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M:\JET REPORTS for NAVISION\Reports -for Vendors\RED ZONE\Files for Mike for Setup\"/>
    </mc:Choice>
  </mc:AlternateContent>
  <xr:revisionPtr revIDLastSave="0" documentId="8_{956D6BD4-50CB-4ECE-9FA6-B7EA04EEE9B7}" xr6:coauthVersionLast="47" xr6:coauthVersionMax="47" xr10:uidLastSave="{00000000-0000-0000-0000-000000000000}"/>
  <bookViews>
    <workbookView xWindow="1128" yWindow="144" windowWidth="21624" windowHeight="16560" tabRatio="845" activeTab="3" xr2:uid="{00000000-000D-0000-FFFF-FFFF00000000}"/>
  </bookViews>
  <sheets>
    <sheet name="Options" sheetId="22" r:id="rId1"/>
    <sheet name="Summary" sheetId="159" state="hidden" r:id="rId2"/>
    <sheet name="-----" sheetId="160" r:id="rId3"/>
    <sheet name="EQP-LAWPACK1" sheetId="68" r:id="rId4"/>
    <sheet name="EQP-LAWPACK2" sheetId="385" r:id="rId5"/>
    <sheet name="SW-COMAS-PACKL" sheetId="386" r:id="rId6"/>
    <sheet name="SW-RISER-PACK" sheetId="387" r:id="rId7"/>
    <sheet name="Sheet21" sheetId="373" state="veryHidden" r:id="rId8"/>
    <sheet name="Sheet22" sheetId="374" state="veryHidden" r:id="rId9"/>
    <sheet name="Sheet23" sheetId="375" state="veryHidden" r:id="rId10"/>
    <sheet name="Sheet24" sheetId="376" state="veryHidden" r:id="rId11"/>
    <sheet name="Sheet36" sheetId="388" state="veryHidden" r:id="rId12"/>
    <sheet name="Sheet37" sheetId="389" state="veryHidden" r:id="rId13"/>
    <sheet name="Sheet38" sheetId="390" state="veryHidden" r:id="rId14"/>
    <sheet name="Sheet39" sheetId="391" state="veryHidden" r:id="rId15"/>
    <sheet name="Sheet40" sheetId="392" state="veryHidden" r:id="rId16"/>
  </sheets>
  <definedNames>
    <definedName name="Dimension">Options!$D$7</definedName>
    <definedName name="eqp_code">Options!$C$9</definedName>
    <definedName name="ItemNoFilter">Options!$D$6</definedName>
    <definedName name="location_code">Options!$C$10</definedName>
    <definedName name="_xlnm.Print_Titles" localSheetId="3">'EQP-LAWPACK1'!$10:$10</definedName>
    <definedName name="_xlnm.Print_Titles" localSheetId="4">'EQP-LAWPACK2'!$10:$10</definedName>
    <definedName name="_xlnm.Print_Titles" localSheetId="1">Summary!$9:$9</definedName>
    <definedName name="_xlnm.Print_Titles" localSheetId="5">'SW-COMAS-PACKL'!$10:$10</definedName>
    <definedName name="_xlnm.Print_Titles" localSheetId="6">'SW-RISER-PACK'!$10:$10</definedName>
    <definedName name="Summary_Items">Options!$D$12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385" l="1"/>
  <c r="G6" i="385"/>
  <c r="J10" i="385"/>
  <c r="L10" i="385"/>
  <c r="D11" i="385"/>
  <c r="E11" i="385"/>
  <c r="G11" i="385"/>
  <c r="H11" i="385"/>
  <c r="K11" i="385"/>
  <c r="D12" i="385"/>
  <c r="E12" i="385"/>
  <c r="G12" i="385"/>
  <c r="H12" i="385"/>
  <c r="K12" i="385"/>
  <c r="D13" i="385"/>
  <c r="E13" i="385"/>
  <c r="G13" i="385"/>
  <c r="H13" i="385"/>
  <c r="K13" i="385"/>
  <c r="D14" i="385"/>
  <c r="E14" i="385"/>
  <c r="G14" i="385"/>
  <c r="H14" i="385"/>
  <c r="K14" i="385"/>
  <c r="D15" i="385"/>
  <c r="E15" i="385"/>
  <c r="G15" i="385"/>
  <c r="H15" i="385"/>
  <c r="K15" i="385"/>
  <c r="D16" i="385"/>
  <c r="E16" i="385"/>
  <c r="G16" i="385"/>
  <c r="H16" i="385"/>
  <c r="K16" i="385"/>
  <c r="D17" i="385"/>
  <c r="E17" i="385"/>
  <c r="G17" i="385"/>
  <c r="H17" i="385"/>
  <c r="K17" i="385"/>
  <c r="D18" i="385"/>
  <c r="E18" i="385"/>
  <c r="G18" i="385"/>
  <c r="H18" i="385"/>
  <c r="K18" i="385"/>
  <c r="D19" i="385"/>
  <c r="E19" i="385"/>
  <c r="G19" i="385"/>
  <c r="H19" i="385"/>
  <c r="K19" i="385"/>
  <c r="D20" i="385"/>
  <c r="E20" i="385"/>
  <c r="G20" i="385"/>
  <c r="H20" i="385"/>
  <c r="K20" i="385"/>
  <c r="D21" i="385"/>
  <c r="E21" i="385"/>
  <c r="G21" i="385"/>
  <c r="H21" i="385"/>
  <c r="K21" i="385"/>
  <c r="D22" i="385"/>
  <c r="E22" i="385"/>
  <c r="G22" i="385"/>
  <c r="H22" i="385"/>
  <c r="K22" i="385"/>
  <c r="D23" i="385"/>
  <c r="E23" i="385"/>
  <c r="G23" i="385"/>
  <c r="H23" i="385"/>
  <c r="K23" i="385"/>
  <c r="D24" i="385"/>
  <c r="E24" i="385"/>
  <c r="G24" i="385"/>
  <c r="H24" i="385"/>
  <c r="K24" i="385"/>
  <c r="D25" i="385"/>
  <c r="E25" i="385"/>
  <c r="G25" i="385"/>
  <c r="H25" i="385"/>
  <c r="K25" i="385"/>
  <c r="D26" i="385"/>
  <c r="E26" i="385"/>
  <c r="G26" i="385"/>
  <c r="H26" i="385"/>
  <c r="K26" i="385"/>
  <c r="D27" i="385"/>
  <c r="E27" i="385"/>
  <c r="G27" i="385"/>
  <c r="H27" i="385"/>
  <c r="K27" i="385"/>
  <c r="D28" i="385"/>
  <c r="E28" i="385"/>
  <c r="G28" i="385"/>
  <c r="H28" i="385"/>
  <c r="K28" i="385"/>
  <c r="D29" i="385"/>
  <c r="E29" i="385"/>
  <c r="G29" i="385"/>
  <c r="H29" i="385"/>
  <c r="K29" i="385"/>
  <c r="D30" i="385"/>
  <c r="E30" i="385"/>
  <c r="G30" i="385"/>
  <c r="H30" i="385"/>
  <c r="K30" i="385"/>
  <c r="G4" i="68"/>
  <c r="G5" i="68"/>
  <c r="G6" i="68"/>
  <c r="J10" i="68"/>
  <c r="L10" i="68"/>
  <c r="D11" i="68"/>
  <c r="E11" i="68"/>
  <c r="G11" i="68"/>
  <c r="H11" i="68"/>
  <c r="K11" i="68"/>
  <c r="D12" i="68"/>
  <c r="E12" i="68"/>
  <c r="G12" i="68"/>
  <c r="H12" i="68"/>
  <c r="K12" i="68"/>
  <c r="D13" i="68"/>
  <c r="E13" i="68"/>
  <c r="G13" i="68"/>
  <c r="H13" i="68"/>
  <c r="K13" i="68"/>
  <c r="D14" i="68"/>
  <c r="E14" i="68"/>
  <c r="G14" i="68"/>
  <c r="H14" i="68"/>
  <c r="K14" i="68"/>
  <c r="D15" i="68"/>
  <c r="E15" i="68"/>
  <c r="G15" i="68"/>
  <c r="H15" i="68"/>
  <c r="K15" i="68"/>
  <c r="D16" i="68"/>
  <c r="E16" i="68"/>
  <c r="G16" i="68"/>
  <c r="H16" i="68"/>
  <c r="K16" i="68"/>
  <c r="D17" i="68"/>
  <c r="E17" i="68"/>
  <c r="G17" i="68"/>
  <c r="H17" i="68"/>
  <c r="K17" i="68"/>
  <c r="D18" i="68"/>
  <c r="E18" i="68"/>
  <c r="G18" i="68"/>
  <c r="H18" i="68"/>
  <c r="K18" i="68"/>
  <c r="D19" i="68"/>
  <c r="E19" i="68"/>
  <c r="G19" i="68"/>
  <c r="H19" i="68"/>
  <c r="K19" i="68"/>
  <c r="D20" i="68"/>
  <c r="E20" i="68"/>
  <c r="G20" i="68"/>
  <c r="H20" i="68"/>
  <c r="K20" i="68"/>
  <c r="D21" i="68"/>
  <c r="E21" i="68"/>
  <c r="G21" i="68"/>
  <c r="H21" i="68"/>
  <c r="K21" i="68"/>
  <c r="D22" i="68"/>
  <c r="E22" i="68"/>
  <c r="G22" i="68"/>
  <c r="H22" i="68"/>
  <c r="K22" i="68"/>
  <c r="D23" i="68"/>
  <c r="E23" i="68"/>
  <c r="G23" i="68"/>
  <c r="H23" i="68"/>
  <c r="K23" i="68"/>
  <c r="D24" i="68"/>
  <c r="E24" i="68"/>
  <c r="G24" i="68"/>
  <c r="H24" i="68"/>
  <c r="K24" i="68"/>
  <c r="D25" i="68"/>
  <c r="E25" i="68"/>
  <c r="G25" i="68"/>
  <c r="H25" i="68"/>
  <c r="K25" i="68"/>
  <c r="D26" i="68"/>
  <c r="E26" i="68"/>
  <c r="G26" i="68"/>
  <c r="H26" i="68"/>
  <c r="K26" i="68"/>
  <c r="D27" i="68"/>
  <c r="E27" i="68"/>
  <c r="G27" i="68"/>
  <c r="H27" i="68"/>
  <c r="K27" i="68"/>
  <c r="D28" i="68"/>
  <c r="E28" i="68"/>
  <c r="G28" i="68"/>
  <c r="H28" i="68"/>
  <c r="K28" i="68"/>
  <c r="D29" i="68"/>
  <c r="E29" i="68"/>
  <c r="G29" i="68"/>
  <c r="H29" i="68"/>
  <c r="K29" i="68"/>
  <c r="D30" i="68"/>
  <c r="E30" i="68"/>
  <c r="G30" i="68"/>
  <c r="H30" i="68"/>
  <c r="K30" i="68"/>
  <c r="D31" i="68"/>
  <c r="E31" i="68"/>
  <c r="G31" i="68"/>
  <c r="H31" i="68"/>
  <c r="K31" i="68"/>
  <c r="D32" i="68"/>
  <c r="E32" i="68"/>
  <c r="G32" i="68"/>
  <c r="H32" i="68"/>
  <c r="K32" i="68"/>
  <c r="D33" i="68"/>
  <c r="E33" i="68"/>
  <c r="G33" i="68"/>
  <c r="H33" i="68"/>
  <c r="K33" i="68"/>
  <c r="D34" i="68"/>
  <c r="E34" i="68"/>
  <c r="G34" i="68"/>
  <c r="H34" i="68"/>
  <c r="K34" i="68"/>
  <c r="D35" i="68"/>
  <c r="E35" i="68"/>
  <c r="G35" i="68"/>
  <c r="H35" i="68"/>
  <c r="K35" i="68"/>
  <c r="D36" i="68"/>
  <c r="E36" i="68"/>
  <c r="G36" i="68"/>
  <c r="H36" i="68"/>
  <c r="K36" i="68"/>
  <c r="D37" i="68"/>
  <c r="E37" i="68"/>
  <c r="G37" i="68"/>
  <c r="H37" i="68"/>
  <c r="K37" i="68"/>
  <c r="D38" i="68"/>
  <c r="E38" i="68"/>
  <c r="G38" i="68"/>
  <c r="H38" i="68"/>
  <c r="K38" i="68"/>
  <c r="D39" i="68"/>
  <c r="E39" i="68"/>
  <c r="G39" i="68"/>
  <c r="H39" i="68"/>
  <c r="K39" i="68"/>
  <c r="D40" i="68"/>
  <c r="E40" i="68"/>
  <c r="G40" i="68"/>
  <c r="H40" i="68"/>
  <c r="K40" i="68"/>
  <c r="D41" i="68"/>
  <c r="E41" i="68"/>
  <c r="G41" i="68"/>
  <c r="H41" i="68"/>
  <c r="K41" i="68"/>
  <c r="D42" i="68"/>
  <c r="E42" i="68"/>
  <c r="G42" i="68"/>
  <c r="H42" i="68"/>
  <c r="K42" i="68"/>
  <c r="D43" i="68"/>
  <c r="E43" i="68"/>
  <c r="G43" i="68"/>
  <c r="H43" i="68"/>
  <c r="K43" i="68"/>
  <c r="D44" i="68"/>
  <c r="E44" i="68"/>
  <c r="G44" i="68"/>
  <c r="H44" i="68"/>
  <c r="K44" i="68"/>
  <c r="D45" i="68"/>
  <c r="E45" i="68"/>
  <c r="G45" i="68"/>
  <c r="H45" i="68"/>
  <c r="K45" i="68"/>
  <c r="D46" i="68"/>
  <c r="E46" i="68"/>
  <c r="G46" i="68"/>
  <c r="H46" i="68"/>
  <c r="K46" i="68"/>
  <c r="D47" i="68"/>
  <c r="E47" i="68"/>
  <c r="G47" i="68"/>
  <c r="H47" i="68"/>
  <c r="K47" i="68"/>
  <c r="D48" i="68"/>
  <c r="E48" i="68"/>
  <c r="G48" i="68"/>
  <c r="H48" i="68"/>
  <c r="K48" i="68"/>
  <c r="D49" i="68"/>
  <c r="E49" i="68"/>
  <c r="G49" i="68"/>
  <c r="H49" i="68"/>
  <c r="K49" i="68"/>
  <c r="D50" i="68"/>
  <c r="E50" i="68"/>
  <c r="G50" i="68"/>
  <c r="H50" i="68"/>
  <c r="K50" i="68"/>
  <c r="D51" i="68"/>
  <c r="E51" i="68"/>
  <c r="G51" i="68"/>
  <c r="H51" i="68"/>
  <c r="K51" i="68"/>
  <c r="D52" i="68"/>
  <c r="E52" i="68"/>
  <c r="G52" i="68"/>
  <c r="H52" i="68"/>
  <c r="J52" i="68"/>
  <c r="K52" i="68"/>
  <c r="D53" i="68"/>
  <c r="E53" i="68"/>
  <c r="G53" i="68"/>
  <c r="H53" i="68"/>
  <c r="K53" i="68"/>
  <c r="D54" i="68"/>
  <c r="E54" i="68"/>
  <c r="G54" i="68"/>
  <c r="H54" i="68"/>
  <c r="K54" i="68"/>
  <c r="D55" i="68"/>
  <c r="E55" i="68"/>
  <c r="G55" i="68"/>
  <c r="H55" i="68"/>
  <c r="K55" i="68"/>
  <c r="D56" i="68"/>
  <c r="E56" i="68"/>
  <c r="G56" i="68"/>
  <c r="H56" i="68"/>
  <c r="K56" i="68"/>
  <c r="D57" i="68"/>
  <c r="E57" i="68"/>
  <c r="G57" i="68"/>
  <c r="H57" i="68"/>
  <c r="K57" i="68"/>
  <c r="D58" i="68"/>
  <c r="E58" i="68"/>
  <c r="G58" i="68"/>
  <c r="H58" i="68"/>
  <c r="K58" i="68"/>
  <c r="D59" i="68"/>
  <c r="E59" i="68"/>
  <c r="G59" i="68"/>
  <c r="H59" i="68"/>
  <c r="K59" i="68"/>
  <c r="D60" i="68"/>
  <c r="E60" i="68"/>
  <c r="G60" i="68"/>
  <c r="H60" i="68"/>
  <c r="K60" i="68"/>
  <c r="D61" i="68"/>
  <c r="E61" i="68"/>
  <c r="G61" i="68"/>
  <c r="H61" i="68"/>
  <c r="K61" i="68"/>
  <c r="D62" i="68"/>
  <c r="E62" i="68"/>
  <c r="G62" i="68"/>
  <c r="H62" i="68"/>
  <c r="K62" i="68"/>
  <c r="D63" i="68"/>
  <c r="E63" i="68"/>
  <c r="G63" i="68"/>
  <c r="H63" i="68"/>
  <c r="K63" i="68"/>
  <c r="D64" i="68"/>
  <c r="E64" i="68"/>
  <c r="G64" i="68"/>
  <c r="H64" i="68"/>
  <c r="K64" i="68"/>
  <c r="D65" i="68"/>
  <c r="E65" i="68"/>
  <c r="G65" i="68"/>
  <c r="H65" i="68"/>
  <c r="K65" i="68"/>
  <c r="D66" i="68"/>
  <c r="E66" i="68"/>
  <c r="G66" i="68"/>
  <c r="H66" i="68"/>
  <c r="K66" i="68"/>
  <c r="D67" i="68"/>
  <c r="E67" i="68"/>
  <c r="G67" i="68"/>
  <c r="H67" i="68"/>
  <c r="K67" i="68"/>
  <c r="D68" i="68"/>
  <c r="E68" i="68"/>
  <c r="G68" i="68"/>
  <c r="H68" i="68"/>
  <c r="K68" i="68"/>
  <c r="D69" i="68"/>
  <c r="E69" i="68"/>
  <c r="G69" i="68"/>
  <c r="H69" i="68"/>
  <c r="K69" i="68"/>
  <c r="D70" i="68"/>
  <c r="E70" i="68"/>
  <c r="G70" i="68"/>
  <c r="H70" i="68"/>
  <c r="K70" i="68"/>
  <c r="D71" i="68"/>
  <c r="E71" i="68"/>
  <c r="G71" i="68"/>
  <c r="H71" i="68"/>
  <c r="K71" i="68"/>
  <c r="D72" i="68"/>
  <c r="E72" i="68"/>
  <c r="G72" i="68"/>
  <c r="H72" i="68"/>
  <c r="K72" i="68"/>
  <c r="D73" i="68"/>
  <c r="E73" i="68"/>
  <c r="G73" i="68"/>
  <c r="H73" i="68"/>
  <c r="K73" i="68"/>
  <c r="D74" i="68"/>
  <c r="E74" i="68"/>
  <c r="G74" i="68"/>
  <c r="H74" i="68"/>
  <c r="K74" i="68"/>
  <c r="D75" i="68"/>
  <c r="E75" i="68"/>
  <c r="G75" i="68"/>
  <c r="H75" i="68"/>
  <c r="K75" i="68"/>
  <c r="D76" i="68"/>
  <c r="E76" i="68"/>
  <c r="G76" i="68"/>
  <c r="H76" i="68"/>
  <c r="K76" i="68"/>
  <c r="D77" i="68"/>
  <c r="E77" i="68"/>
  <c r="G77" i="68"/>
  <c r="H77" i="68"/>
  <c r="K77" i="68"/>
  <c r="D78" i="68"/>
  <c r="E78" i="68"/>
  <c r="G78" i="68"/>
  <c r="H78" i="68"/>
  <c r="J78" i="68"/>
  <c r="K78" i="68" s="1"/>
  <c r="D79" i="68"/>
  <c r="E79" i="68"/>
  <c r="G79" i="68"/>
  <c r="H79" i="68"/>
  <c r="K79" i="68"/>
  <c r="D80" i="68"/>
  <c r="E80" i="68"/>
  <c r="G80" i="68"/>
  <c r="H80" i="68"/>
  <c r="K80" i="68"/>
  <c r="D81" i="68"/>
  <c r="E81" i="68"/>
  <c r="G81" i="68"/>
  <c r="H81" i="68"/>
  <c r="K81" i="68"/>
  <c r="D82" i="68"/>
  <c r="E82" i="68"/>
  <c r="G82" i="68"/>
  <c r="H82" i="68"/>
  <c r="K82" i="68"/>
  <c r="D83" i="68"/>
  <c r="E83" i="68"/>
  <c r="G83" i="68"/>
  <c r="H83" i="68"/>
  <c r="K83" i="68"/>
  <c r="D84" i="68"/>
  <c r="E84" i="68"/>
  <c r="G84" i="68"/>
  <c r="H84" i="68"/>
  <c r="K84" i="68"/>
  <c r="D85" i="68"/>
  <c r="E85" i="68"/>
  <c r="G85" i="68"/>
  <c r="H85" i="68"/>
  <c r="K85" i="68"/>
  <c r="D86" i="68"/>
  <c r="E86" i="68"/>
  <c r="G86" i="68"/>
  <c r="H86" i="68"/>
  <c r="K86" i="68"/>
  <c r="D87" i="68"/>
  <c r="E87" i="68"/>
  <c r="G87" i="68"/>
  <c r="H87" i="68"/>
  <c r="K87" i="68"/>
  <c r="D88" i="68"/>
  <c r="E88" i="68"/>
  <c r="G88" i="68"/>
  <c r="H88" i="68"/>
  <c r="K88" i="68"/>
  <c r="D89" i="68"/>
  <c r="E89" i="68"/>
  <c r="G89" i="68"/>
  <c r="H89" i="68"/>
  <c r="K89" i="68"/>
  <c r="D90" i="68"/>
  <c r="E90" i="68"/>
  <c r="G90" i="68"/>
  <c r="H90" i="68"/>
  <c r="K90" i="68"/>
  <c r="D91" i="68"/>
  <c r="E91" i="68"/>
  <c r="G91" i="68"/>
  <c r="H91" i="68"/>
  <c r="K91" i="68"/>
  <c r="D92" i="68"/>
  <c r="E92" i="68"/>
  <c r="G92" i="68"/>
  <c r="H92" i="68"/>
  <c r="K92" i="68"/>
  <c r="D93" i="68"/>
  <c r="E93" i="68"/>
  <c r="G93" i="68"/>
  <c r="H93" i="68"/>
  <c r="K93" i="68"/>
  <c r="D94" i="68"/>
  <c r="E94" i="68"/>
  <c r="G94" i="68"/>
  <c r="H94" i="68"/>
  <c r="K94" i="68"/>
  <c r="D95" i="68"/>
  <c r="E95" i="68"/>
  <c r="G95" i="68"/>
  <c r="H95" i="68"/>
  <c r="K95" i="68"/>
  <c r="D96" i="68"/>
  <c r="E96" i="68"/>
  <c r="G96" i="68"/>
  <c r="H96" i="68"/>
  <c r="K96" i="68"/>
  <c r="D97" i="68"/>
  <c r="E97" i="68"/>
  <c r="G97" i="68"/>
  <c r="H97" i="68"/>
  <c r="K97" i="68"/>
  <c r="D98" i="68"/>
  <c r="E98" i="68"/>
  <c r="G98" i="68"/>
  <c r="H98" i="68"/>
  <c r="K98" i="68"/>
  <c r="D99" i="68"/>
  <c r="E99" i="68"/>
  <c r="G99" i="68"/>
  <c r="H99" i="68"/>
  <c r="K99" i="68"/>
  <c r="D100" i="68"/>
  <c r="E100" i="68"/>
  <c r="G100" i="68"/>
  <c r="H100" i="68"/>
  <c r="K100" i="68"/>
  <c r="D101" i="68"/>
  <c r="E101" i="68"/>
  <c r="G101" i="68"/>
  <c r="H101" i="68"/>
  <c r="J101" i="68"/>
  <c r="K101" i="68"/>
  <c r="D102" i="68"/>
  <c r="E102" i="68"/>
  <c r="G102" i="68"/>
  <c r="H102" i="68"/>
  <c r="K102" i="68"/>
  <c r="D103" i="68"/>
  <c r="E103" i="68"/>
  <c r="G103" i="68"/>
  <c r="H103" i="68"/>
  <c r="J103" i="68"/>
  <c r="K103" i="68"/>
  <c r="D104" i="68"/>
  <c r="E104" i="68"/>
  <c r="G104" i="68"/>
  <c r="H104" i="68"/>
  <c r="J104" i="68"/>
  <c r="K104" i="68" s="1"/>
  <c r="D105" i="68"/>
  <c r="E105" i="68"/>
  <c r="G105" i="68"/>
  <c r="H105" i="68"/>
  <c r="K105" i="68"/>
  <c r="D106" i="68"/>
  <c r="E106" i="68"/>
  <c r="G106" i="68"/>
  <c r="H106" i="68"/>
  <c r="J106" i="68"/>
  <c r="K106" i="68"/>
  <c r="D107" i="68"/>
  <c r="E107" i="68"/>
  <c r="G107" i="68"/>
  <c r="H107" i="68"/>
  <c r="K107" i="68"/>
  <c r="D108" i="68"/>
  <c r="E108" i="68"/>
  <c r="G108" i="68"/>
  <c r="H108" i="68"/>
  <c r="K108" i="68"/>
  <c r="D109" i="68"/>
  <c r="E109" i="68"/>
  <c r="G109" i="68"/>
  <c r="H109" i="68"/>
  <c r="K109" i="68"/>
  <c r="D110" i="68"/>
  <c r="E110" i="68"/>
  <c r="G110" i="68"/>
  <c r="H110" i="68"/>
  <c r="K110" i="68"/>
  <c r="D111" i="68"/>
  <c r="E111" i="68"/>
  <c r="G111" i="68"/>
  <c r="H111" i="68"/>
  <c r="K111" i="68"/>
  <c r="D112" i="68"/>
  <c r="E112" i="68"/>
  <c r="G112" i="68"/>
  <c r="H112" i="68"/>
  <c r="K112" i="68"/>
  <c r="D113" i="68"/>
  <c r="E113" i="68"/>
  <c r="G113" i="68"/>
  <c r="H113" i="68"/>
  <c r="K113" i="68"/>
  <c r="D114" i="68"/>
  <c r="E114" i="68"/>
  <c r="G114" i="68"/>
  <c r="H114" i="68"/>
  <c r="K114" i="68"/>
  <c r="D115" i="68"/>
  <c r="E115" i="68"/>
  <c r="G115" i="68"/>
  <c r="H115" i="68"/>
  <c r="K115" i="68"/>
  <c r="D116" i="68"/>
  <c r="E116" i="68"/>
  <c r="G116" i="68"/>
  <c r="H116" i="68"/>
  <c r="K116" i="68"/>
  <c r="D117" i="68"/>
  <c r="E117" i="68"/>
  <c r="G117" i="68"/>
  <c r="H117" i="68"/>
  <c r="K117" i="68"/>
  <c r="D118" i="68"/>
  <c r="E118" i="68"/>
  <c r="G118" i="68"/>
  <c r="H118" i="68"/>
  <c r="K118" i="68"/>
  <c r="D119" i="68"/>
  <c r="E119" i="68"/>
  <c r="G119" i="68"/>
  <c r="H119" i="68"/>
  <c r="K119" i="68"/>
  <c r="D120" i="68"/>
  <c r="E120" i="68"/>
  <c r="G120" i="68"/>
  <c r="H120" i="68"/>
  <c r="K120" i="68"/>
  <c r="D121" i="68"/>
  <c r="E121" i="68"/>
  <c r="G121" i="68"/>
  <c r="H121" i="68"/>
  <c r="K121" i="68"/>
  <c r="D122" i="68"/>
  <c r="E122" i="68"/>
  <c r="G122" i="68"/>
  <c r="H122" i="68"/>
  <c r="K122" i="68"/>
  <c r="D123" i="68"/>
  <c r="E123" i="68"/>
  <c r="G123" i="68"/>
  <c r="H123" i="68"/>
  <c r="K123" i="68"/>
  <c r="D124" i="68"/>
  <c r="E124" i="68"/>
  <c r="G124" i="68"/>
  <c r="H124" i="68"/>
  <c r="K124" i="68"/>
  <c r="D125" i="68"/>
  <c r="E125" i="68"/>
  <c r="G125" i="68"/>
  <c r="H125" i="68"/>
  <c r="K125" i="68"/>
  <c r="D126" i="68"/>
  <c r="E126" i="68"/>
  <c r="G126" i="68"/>
  <c r="H126" i="68"/>
  <c r="K126" i="68"/>
  <c r="D127" i="68"/>
  <c r="E127" i="68"/>
  <c r="G127" i="68"/>
  <c r="H127" i="68"/>
  <c r="K127" i="68"/>
  <c r="D128" i="68"/>
  <c r="E128" i="68"/>
  <c r="G128" i="68"/>
  <c r="H128" i="68"/>
  <c r="K128" i="68"/>
  <c r="D129" i="68"/>
  <c r="E129" i="68"/>
  <c r="G129" i="68"/>
  <c r="H129" i="68"/>
  <c r="K129" i="68"/>
  <c r="D130" i="68"/>
  <c r="E130" i="68"/>
  <c r="G130" i="68"/>
  <c r="H130" i="68"/>
  <c r="K130" i="68"/>
  <c r="D131" i="68"/>
  <c r="E131" i="68"/>
  <c r="G131" i="68"/>
  <c r="H131" i="68"/>
  <c r="K131" i="68"/>
  <c r="D132" i="68"/>
  <c r="E132" i="68"/>
  <c r="G132" i="68"/>
  <c r="H132" i="68"/>
  <c r="K132" i="68"/>
  <c r="D133" i="68"/>
  <c r="E133" i="68"/>
  <c r="G133" i="68"/>
  <c r="H133" i="68"/>
  <c r="K133" i="68"/>
  <c r="D134" i="68"/>
  <c r="E134" i="68"/>
  <c r="G134" i="68"/>
  <c r="H134" i="68"/>
  <c r="K134" i="68"/>
  <c r="D135" i="68"/>
  <c r="E135" i="68"/>
  <c r="G135" i="68"/>
  <c r="H135" i="68"/>
  <c r="K135" i="68"/>
  <c r="D136" i="68"/>
  <c r="E136" i="68"/>
  <c r="G136" i="68"/>
  <c r="H136" i="68"/>
  <c r="K136" i="68"/>
  <c r="D137" i="68"/>
  <c r="E137" i="68"/>
  <c r="G137" i="68"/>
  <c r="H137" i="68"/>
  <c r="K137" i="68"/>
  <c r="D138" i="68"/>
  <c r="E138" i="68"/>
  <c r="G138" i="68"/>
  <c r="H138" i="68"/>
  <c r="K138" i="68"/>
  <c r="D139" i="68"/>
  <c r="E139" i="68"/>
  <c r="G139" i="68"/>
  <c r="H139" i="68"/>
  <c r="K139" i="68"/>
  <c r="D140" i="68"/>
  <c r="E140" i="68"/>
  <c r="G140" i="68"/>
  <c r="H140" i="68"/>
  <c r="K140" i="68"/>
  <c r="D141" i="68"/>
  <c r="E141" i="68"/>
  <c r="G141" i="68"/>
  <c r="H141" i="68"/>
  <c r="K141" i="68"/>
  <c r="D142" i="68"/>
  <c r="E142" i="68"/>
  <c r="G142" i="68"/>
  <c r="H142" i="68"/>
  <c r="J142" i="68"/>
  <c r="K142" i="68"/>
  <c r="D143" i="68"/>
  <c r="E143" i="68"/>
  <c r="G143" i="68"/>
  <c r="H143" i="68"/>
  <c r="J143" i="68"/>
  <c r="K143" i="68" s="1"/>
  <c r="D144" i="68"/>
  <c r="E144" i="68"/>
  <c r="G144" i="68"/>
  <c r="H144" i="68"/>
  <c r="K144" i="68"/>
  <c r="D145" i="68"/>
  <c r="E145" i="68"/>
  <c r="G145" i="68"/>
  <c r="H145" i="68"/>
  <c r="J145" i="68"/>
  <c r="K145" i="68" s="1"/>
  <c r="D146" i="68"/>
  <c r="E146" i="68"/>
  <c r="G146" i="68"/>
  <c r="H146" i="68"/>
  <c r="K146" i="68"/>
  <c r="D147" i="68"/>
  <c r="E147" i="68"/>
  <c r="G147" i="68"/>
  <c r="H147" i="68"/>
  <c r="K147" i="68"/>
  <c r="D148" i="68"/>
  <c r="E148" i="68"/>
  <c r="G148" i="68"/>
  <c r="H148" i="68"/>
  <c r="J148" i="68"/>
  <c r="K148" i="68"/>
  <c r="D149" i="68"/>
  <c r="E149" i="68"/>
  <c r="G149" i="68"/>
  <c r="H149" i="68"/>
  <c r="K149" i="68"/>
  <c r="D150" i="68"/>
  <c r="E150" i="68"/>
  <c r="G150" i="68"/>
  <c r="H150" i="68"/>
  <c r="K150" i="68"/>
  <c r="D151" i="68"/>
  <c r="E151" i="68"/>
  <c r="G151" i="68"/>
  <c r="H151" i="68"/>
  <c r="K151" i="68"/>
  <c r="D152" i="68"/>
  <c r="E152" i="68"/>
  <c r="G152" i="68"/>
  <c r="H152" i="68"/>
  <c r="K152" i="68"/>
  <c r="D153" i="68"/>
  <c r="E153" i="68"/>
  <c r="G153" i="68"/>
  <c r="H153" i="68"/>
  <c r="K153" i="68"/>
  <c r="D154" i="68"/>
  <c r="E154" i="68"/>
  <c r="G154" i="68"/>
  <c r="H154" i="68"/>
  <c r="K154" i="68"/>
  <c r="D155" i="68"/>
  <c r="E155" i="68"/>
  <c r="G155" i="68"/>
  <c r="H155" i="68"/>
  <c r="K155" i="68"/>
  <c r="D156" i="68"/>
  <c r="E156" i="68"/>
  <c r="G156" i="68"/>
  <c r="H156" i="68"/>
  <c r="K156" i="68"/>
  <c r="D157" i="68"/>
  <c r="E157" i="68"/>
  <c r="G157" i="68"/>
  <c r="H157" i="68"/>
  <c r="K157" i="68"/>
  <c r="D158" i="68"/>
  <c r="E158" i="68"/>
  <c r="G158" i="68"/>
  <c r="H158" i="68"/>
  <c r="K158" i="68"/>
  <c r="D159" i="68"/>
  <c r="E159" i="68"/>
  <c r="G159" i="68"/>
  <c r="H159" i="68"/>
  <c r="K159" i="68"/>
  <c r="D160" i="68"/>
  <c r="E160" i="68"/>
  <c r="G160" i="68"/>
  <c r="H160" i="68"/>
  <c r="K160" i="68"/>
  <c r="D161" i="68"/>
  <c r="E161" i="68"/>
  <c r="G161" i="68"/>
  <c r="H161" i="68"/>
  <c r="K161" i="68"/>
  <c r="D162" i="68"/>
  <c r="E162" i="68"/>
  <c r="G162" i="68"/>
  <c r="H162" i="68"/>
  <c r="J162" i="68"/>
  <c r="K162" i="68"/>
  <c r="D163" i="68"/>
  <c r="E163" i="68"/>
  <c r="G163" i="68"/>
  <c r="H163" i="68"/>
  <c r="J163" i="68"/>
  <c r="K163" i="68"/>
  <c r="D164" i="68"/>
  <c r="E164" i="68"/>
  <c r="G164" i="68"/>
  <c r="H164" i="68"/>
  <c r="K164" i="68"/>
  <c r="D165" i="68"/>
  <c r="E165" i="68"/>
  <c r="G165" i="68"/>
  <c r="H165" i="68"/>
  <c r="K165" i="68"/>
  <c r="D166" i="68"/>
  <c r="E166" i="68"/>
  <c r="G166" i="68"/>
  <c r="H166" i="68"/>
  <c r="J166" i="68"/>
  <c r="K166" i="68" s="1"/>
  <c r="D167" i="68"/>
  <c r="E167" i="68"/>
  <c r="G167" i="68"/>
  <c r="H167" i="68"/>
  <c r="K167" i="68"/>
  <c r="D168" i="68"/>
  <c r="E168" i="68"/>
  <c r="G168" i="68"/>
  <c r="H168" i="68"/>
  <c r="K168" i="68"/>
  <c r="D169" i="68"/>
  <c r="E169" i="68"/>
  <c r="G169" i="68"/>
  <c r="H169" i="68"/>
  <c r="K169" i="68"/>
  <c r="D170" i="68"/>
  <c r="E170" i="68"/>
  <c r="G170" i="68"/>
  <c r="H170" i="68"/>
  <c r="K170" i="68"/>
  <c r="D171" i="68"/>
  <c r="E171" i="68"/>
  <c r="G171" i="68"/>
  <c r="H171" i="68"/>
  <c r="K171" i="68"/>
  <c r="D172" i="68"/>
  <c r="E172" i="68"/>
  <c r="G172" i="68"/>
  <c r="H172" i="68"/>
  <c r="K172" i="68"/>
  <c r="D173" i="68"/>
  <c r="E173" i="68"/>
  <c r="G173" i="68"/>
  <c r="H173" i="68"/>
  <c r="K173" i="68"/>
  <c r="D174" i="68"/>
  <c r="E174" i="68"/>
  <c r="G174" i="68"/>
  <c r="H174" i="68"/>
  <c r="K174" i="68"/>
  <c r="D175" i="68"/>
  <c r="E175" i="68"/>
  <c r="G175" i="68"/>
  <c r="H175" i="68"/>
  <c r="K175" i="68"/>
  <c r="D176" i="68"/>
  <c r="E176" i="68"/>
  <c r="G176" i="68"/>
  <c r="H176" i="68"/>
  <c r="K176" i="68"/>
  <c r="D177" i="68"/>
  <c r="E177" i="68"/>
  <c r="G177" i="68"/>
  <c r="H177" i="68"/>
  <c r="K177" i="68"/>
  <c r="D178" i="68"/>
  <c r="E178" i="68"/>
  <c r="G178" i="68"/>
  <c r="H178" i="68"/>
  <c r="K178" i="68"/>
  <c r="D179" i="68"/>
  <c r="E179" i="68"/>
  <c r="G179" i="68"/>
  <c r="H179" i="68"/>
  <c r="K179" i="68"/>
  <c r="D180" i="68"/>
  <c r="E180" i="68"/>
  <c r="G180" i="68"/>
  <c r="H180" i="68"/>
  <c r="K180" i="68"/>
  <c r="D181" i="68"/>
  <c r="E181" i="68"/>
  <c r="G181" i="68"/>
  <c r="H181" i="68"/>
  <c r="K181" i="68"/>
  <c r="D182" i="68"/>
  <c r="E182" i="68"/>
  <c r="G182" i="68"/>
  <c r="H182" i="68"/>
  <c r="K182" i="68"/>
  <c r="D183" i="68"/>
  <c r="E183" i="68"/>
  <c r="G183" i="68"/>
  <c r="H183" i="68"/>
  <c r="K183" i="68"/>
  <c r="D184" i="68"/>
  <c r="E184" i="68"/>
  <c r="G184" i="68"/>
  <c r="H184" i="68"/>
  <c r="K184" i="68"/>
  <c r="D185" i="68"/>
  <c r="E185" i="68"/>
  <c r="G185" i="68"/>
  <c r="H185" i="68"/>
  <c r="K185" i="68"/>
  <c r="D186" i="68"/>
  <c r="E186" i="68"/>
  <c r="G186" i="68"/>
  <c r="H186" i="68"/>
  <c r="K186" i="68"/>
  <c r="D187" i="68"/>
  <c r="E187" i="68"/>
  <c r="G187" i="68"/>
  <c r="H187" i="68"/>
  <c r="K187" i="68"/>
  <c r="D188" i="68"/>
  <c r="E188" i="68"/>
  <c r="G188" i="68"/>
  <c r="H188" i="68"/>
  <c r="I188" i="68"/>
  <c r="K188" i="68"/>
  <c r="D189" i="68"/>
  <c r="E189" i="68"/>
  <c r="G189" i="68"/>
  <c r="H189" i="68"/>
  <c r="I189" i="68"/>
  <c r="K189" i="68"/>
  <c r="D190" i="68"/>
  <c r="E190" i="68"/>
  <c r="G190" i="68"/>
  <c r="H190" i="68"/>
  <c r="K190" i="68"/>
  <c r="D191" i="68"/>
  <c r="E191" i="68"/>
  <c r="G191" i="68"/>
  <c r="H191" i="68"/>
  <c r="K191" i="68"/>
  <c r="G5" i="387"/>
  <c r="G6" i="387"/>
  <c r="J10" i="387"/>
  <c r="L10" i="387"/>
  <c r="D11" i="387"/>
  <c r="E11" i="387"/>
  <c r="G11" i="387"/>
  <c r="H11" i="387"/>
  <c r="K11" i="387"/>
  <c r="D12" i="387"/>
  <c r="E12" i="387"/>
  <c r="G12" i="387"/>
  <c r="H12" i="387"/>
  <c r="K12" i="387"/>
  <c r="D13" i="387"/>
  <c r="E13" i="387"/>
  <c r="G13" i="387"/>
  <c r="H13" i="387"/>
  <c r="K13" i="387"/>
  <c r="D14" i="387"/>
  <c r="E14" i="387"/>
  <c r="G14" i="387"/>
  <c r="H14" i="387"/>
  <c r="K14" i="387"/>
  <c r="D15" i="387"/>
  <c r="E15" i="387"/>
  <c r="G15" i="387"/>
  <c r="H15" i="387"/>
  <c r="K15" i="387"/>
  <c r="D16" i="387"/>
  <c r="E16" i="387"/>
  <c r="G16" i="387"/>
  <c r="H16" i="387"/>
  <c r="K16" i="387"/>
  <c r="D17" i="387"/>
  <c r="E17" i="387"/>
  <c r="G17" i="387"/>
  <c r="H17" i="387"/>
  <c r="K17" i="387"/>
  <c r="D18" i="387"/>
  <c r="E18" i="387"/>
  <c r="G18" i="387"/>
  <c r="H18" i="387"/>
  <c r="K18" i="387"/>
  <c r="D19" i="387"/>
  <c r="E19" i="387"/>
  <c r="G19" i="387"/>
  <c r="H19" i="387"/>
  <c r="K19" i="387"/>
  <c r="D20" i="387"/>
  <c r="E20" i="387"/>
  <c r="G20" i="387"/>
  <c r="H20" i="387"/>
  <c r="K20" i="387"/>
  <c r="D21" i="387"/>
  <c r="E21" i="387"/>
  <c r="G21" i="387"/>
  <c r="H21" i="387"/>
  <c r="K21" i="387"/>
  <c r="D22" i="387"/>
  <c r="E22" i="387"/>
  <c r="G22" i="387"/>
  <c r="H22" i="387"/>
  <c r="K22" i="387"/>
  <c r="D23" i="387"/>
  <c r="E23" i="387"/>
  <c r="G23" i="387"/>
  <c r="H23" i="387"/>
  <c r="K23" i="387"/>
  <c r="D24" i="387"/>
  <c r="E24" i="387"/>
  <c r="G24" i="387"/>
  <c r="H24" i="387"/>
  <c r="K24" i="387"/>
  <c r="D25" i="387"/>
  <c r="E25" i="387"/>
  <c r="G25" i="387"/>
  <c r="H25" i="387"/>
  <c r="K25" i="387"/>
  <c r="D26" i="387"/>
  <c r="E26" i="387"/>
  <c r="G26" i="387"/>
  <c r="H26" i="387"/>
  <c r="K26" i="387"/>
  <c r="D27" i="387"/>
  <c r="E27" i="387"/>
  <c r="G27" i="387"/>
  <c r="H27" i="387"/>
  <c r="K27" i="387"/>
  <c r="D28" i="387"/>
  <c r="E28" i="387"/>
  <c r="G28" i="387"/>
  <c r="H28" i="387"/>
  <c r="K28" i="387"/>
  <c r="D29" i="387"/>
  <c r="E29" i="387"/>
  <c r="G29" i="387"/>
  <c r="H29" i="387"/>
  <c r="K29" i="387"/>
  <c r="G5" i="386"/>
  <c r="G6" i="386"/>
  <c r="J10" i="386"/>
  <c r="L10" i="386"/>
  <c r="D11" i="386"/>
  <c r="E11" i="386"/>
  <c r="G11" i="386"/>
  <c r="H11" i="386"/>
  <c r="K11" i="386"/>
  <c r="D12" i="386"/>
  <c r="E12" i="386"/>
  <c r="G12" i="386"/>
  <c r="H12" i="386"/>
  <c r="K12" i="386"/>
  <c r="D13" i="386"/>
  <c r="E13" i="386"/>
  <c r="G13" i="386"/>
  <c r="H13" i="386"/>
  <c r="K13" i="386"/>
  <c r="D14" i="386"/>
  <c r="E14" i="386"/>
  <c r="G14" i="386"/>
  <c r="H14" i="386"/>
  <c r="K14" i="386"/>
  <c r="D15" i="386"/>
  <c r="E15" i="386"/>
  <c r="G15" i="386"/>
  <c r="H15" i="386"/>
  <c r="K15" i="386"/>
  <c r="D16" i="386"/>
  <c r="E16" i="386"/>
  <c r="G16" i="386"/>
  <c r="H16" i="386"/>
  <c r="K16" i="386"/>
  <c r="D17" i="386"/>
  <c r="E17" i="386"/>
  <c r="G17" i="386"/>
  <c r="H17" i="386"/>
  <c r="K17" i="386"/>
  <c r="D18" i="386"/>
  <c r="E18" i="386"/>
  <c r="G18" i="386"/>
  <c r="H18" i="386"/>
  <c r="K18" i="386"/>
  <c r="D19" i="386"/>
  <c r="E19" i="386"/>
  <c r="G19" i="386"/>
  <c r="H19" i="386"/>
  <c r="K19" i="386"/>
  <c r="D20" i="386"/>
  <c r="E20" i="386"/>
  <c r="G20" i="386"/>
  <c r="H20" i="386"/>
  <c r="K20" i="386"/>
  <c r="D21" i="386"/>
  <c r="E21" i="386"/>
  <c r="G21" i="386"/>
  <c r="H21" i="386"/>
  <c r="K21" i="386"/>
  <c r="D22" i="386"/>
  <c r="E22" i="386"/>
  <c r="G22" i="386"/>
  <c r="H22" i="386"/>
  <c r="K22" i="386"/>
  <c r="D23" i="386"/>
  <c r="E23" i="386"/>
  <c r="G23" i="386"/>
  <c r="H23" i="386"/>
  <c r="K23" i="386"/>
  <c r="D24" i="386"/>
  <c r="E24" i="386"/>
  <c r="G24" i="386"/>
  <c r="H24" i="386"/>
  <c r="K24" i="386"/>
  <c r="D25" i="386"/>
  <c r="E25" i="386"/>
  <c r="G25" i="386"/>
  <c r="H25" i="386"/>
  <c r="K25" i="386"/>
  <c r="D26" i="386"/>
  <c r="E26" i="386"/>
  <c r="G26" i="386"/>
  <c r="H26" i="386"/>
  <c r="K26" i="386"/>
  <c r="D27" i="386"/>
  <c r="E27" i="386"/>
  <c r="G27" i="386"/>
  <c r="H27" i="386"/>
  <c r="K27" i="386"/>
  <c r="D28" i="386"/>
  <c r="E28" i="386"/>
  <c r="G28" i="386"/>
  <c r="H28" i="386"/>
  <c r="K28" i="386"/>
  <c r="D29" i="386"/>
  <c r="E29" i="386"/>
  <c r="G29" i="386"/>
  <c r="H29" i="386"/>
  <c r="K29" i="386"/>
  <c r="D30" i="386"/>
  <c r="E30" i="386"/>
  <c r="G30" i="386"/>
  <c r="H30" i="386"/>
  <c r="K30" i="386"/>
  <c r="D31" i="386"/>
  <c r="E31" i="386"/>
  <c r="G31" i="386"/>
  <c r="H31" i="386"/>
  <c r="K31" i="386"/>
  <c r="D32" i="386"/>
  <c r="E32" i="386"/>
  <c r="G32" i="386"/>
  <c r="H32" i="386"/>
  <c r="K32" i="386"/>
  <c r="D33" i="386"/>
  <c r="E33" i="386"/>
  <c r="G33" i="386"/>
  <c r="H33" i="386"/>
  <c r="K33" i="386"/>
  <c r="D34" i="386"/>
  <c r="E34" i="386"/>
  <c r="G34" i="386"/>
  <c r="H34" i="386"/>
  <c r="K34" i="386"/>
  <c r="D35" i="386"/>
  <c r="E35" i="386"/>
  <c r="G35" i="386"/>
  <c r="H35" i="386"/>
  <c r="K35" i="386"/>
  <c r="D36" i="386"/>
  <c r="E36" i="386"/>
  <c r="G36" i="386"/>
  <c r="H36" i="386"/>
  <c r="K36" i="386"/>
  <c r="D37" i="386"/>
  <c r="E37" i="386"/>
  <c r="G37" i="386"/>
  <c r="H37" i="386"/>
  <c r="K37" i="386"/>
  <c r="D38" i="386"/>
  <c r="E38" i="386"/>
  <c r="G38" i="386"/>
  <c r="H38" i="386"/>
  <c r="K38" i="386"/>
  <c r="D39" i="386"/>
  <c r="E39" i="386"/>
  <c r="G39" i="386"/>
  <c r="H39" i="386"/>
  <c r="K39" i="386"/>
  <c r="D40" i="386"/>
  <c r="E40" i="386"/>
  <c r="G40" i="386"/>
  <c r="H40" i="386"/>
  <c r="K40" i="386"/>
  <c r="D41" i="386"/>
  <c r="E41" i="386"/>
  <c r="G41" i="386"/>
  <c r="H41" i="386"/>
  <c r="K41" i="386"/>
  <c r="J6" i="159"/>
  <c r="O9" i="159"/>
  <c r="D10" i="159"/>
  <c r="D11" i="159" s="1"/>
  <c r="D12" i="159" s="1"/>
  <c r="D13" i="159" s="1"/>
  <c r="D14" i="159" s="1"/>
  <c r="E10" i="159"/>
  <c r="K10" i="159"/>
  <c r="L10" i="159"/>
  <c r="M10" i="159"/>
  <c r="P10" i="159"/>
  <c r="K11" i="159"/>
  <c r="L11" i="159"/>
  <c r="Q9" i="159" s="1"/>
  <c r="K12" i="159"/>
  <c r="L12" i="159"/>
  <c r="K13" i="159"/>
  <c r="L13" i="159"/>
  <c r="K14" i="159"/>
  <c r="L14" i="159"/>
  <c r="F16" i="159"/>
  <c r="G16" i="159"/>
  <c r="H16" i="159"/>
  <c r="I16" i="159"/>
  <c r="J16" i="159"/>
  <c r="D17" i="159"/>
  <c r="D18" i="159" s="1"/>
  <c r="D19" i="159" s="1"/>
  <c r="D20" i="159" s="1"/>
  <c r="E17" i="159"/>
  <c r="K17" i="159"/>
  <c r="L17" i="159"/>
  <c r="M17" i="159"/>
  <c r="P17" i="159"/>
  <c r="K18" i="159"/>
  <c r="L18" i="159"/>
  <c r="K19" i="159"/>
  <c r="L19" i="159"/>
  <c r="K20" i="159"/>
  <c r="L20" i="159"/>
  <c r="D21" i="159"/>
  <c r="K21" i="159"/>
  <c r="L21" i="159"/>
  <c r="F23" i="159"/>
  <c r="G23" i="159"/>
  <c r="H23" i="159"/>
  <c r="I23" i="159"/>
  <c r="J23" i="159"/>
  <c r="D24" i="159"/>
  <c r="E24" i="159"/>
  <c r="K24" i="159"/>
  <c r="L24" i="159"/>
  <c r="M24" i="159"/>
  <c r="P24" i="159"/>
  <c r="D25" i="159"/>
  <c r="K25" i="159"/>
  <c r="L25" i="159"/>
  <c r="D26" i="159"/>
  <c r="K26" i="159"/>
  <c r="L26" i="159"/>
  <c r="D27" i="159"/>
  <c r="D28" i="159" s="1"/>
  <c r="K27" i="159"/>
  <c r="L27" i="159"/>
  <c r="K28" i="159"/>
  <c r="L28" i="159"/>
  <c r="F30" i="159"/>
  <c r="G30" i="159"/>
  <c r="H30" i="159"/>
  <c r="I30" i="159"/>
  <c r="J30" i="159"/>
  <c r="D31" i="159"/>
  <c r="D32" i="159" s="1"/>
  <c r="E31" i="159"/>
  <c r="K31" i="159"/>
  <c r="L31" i="159"/>
  <c r="M31" i="159"/>
  <c r="P31" i="159"/>
  <c r="K32" i="159"/>
  <c r="L32" i="159"/>
  <c r="D33" i="159"/>
  <c r="D34" i="159" s="1"/>
  <c r="D35" i="159" s="1"/>
  <c r="K33" i="159"/>
  <c r="L33" i="159"/>
  <c r="K34" i="159"/>
  <c r="L34" i="159"/>
  <c r="K35" i="159"/>
  <c r="L35" i="159"/>
  <c r="F37" i="159"/>
  <c r="G37" i="159"/>
  <c r="H37" i="159"/>
  <c r="I37" i="159"/>
  <c r="J37" i="159"/>
  <c r="D38" i="159"/>
  <c r="E38" i="159"/>
  <c r="K38" i="159"/>
  <c r="L38" i="159"/>
  <c r="M38" i="159"/>
  <c r="P38" i="159"/>
  <c r="D39" i="159"/>
  <c r="D40" i="159" s="1"/>
  <c r="K39" i="159"/>
  <c r="L39" i="159"/>
  <c r="K40" i="159"/>
  <c r="L40" i="159"/>
  <c r="D41" i="159"/>
  <c r="D42" i="159" s="1"/>
  <c r="K41" i="159"/>
  <c r="L41" i="159"/>
  <c r="K42" i="159"/>
  <c r="L42" i="159"/>
  <c r="F44" i="159"/>
  <c r="G44" i="159"/>
  <c r="H44" i="159"/>
  <c r="I44" i="159"/>
  <c r="J44" i="159"/>
  <c r="D45" i="159"/>
  <c r="D46" i="159" s="1"/>
  <c r="E45" i="159"/>
  <c r="K45" i="159"/>
  <c r="L45" i="159"/>
  <c r="M45" i="159"/>
  <c r="P45" i="159"/>
  <c r="K46" i="159"/>
  <c r="L46" i="159"/>
  <c r="D47" i="159"/>
  <c r="D48" i="159" s="1"/>
  <c r="D49" i="159" s="1"/>
  <c r="K47" i="159"/>
  <c r="L47" i="159"/>
  <c r="K48" i="159"/>
  <c r="L48" i="159"/>
  <c r="K49" i="159"/>
  <c r="L49" i="159"/>
  <c r="F51" i="159"/>
  <c r="G51" i="159"/>
  <c r="H51" i="159"/>
  <c r="I51" i="159"/>
  <c r="J51" i="159"/>
  <c r="D52" i="159"/>
  <c r="E52" i="159"/>
  <c r="K52" i="159"/>
  <c r="L52" i="159"/>
  <c r="M52" i="159"/>
  <c r="P52" i="159"/>
  <c r="D53" i="159"/>
  <c r="D54" i="159" s="1"/>
  <c r="D55" i="159" s="1"/>
  <c r="D56" i="159" s="1"/>
  <c r="K53" i="159"/>
  <c r="L53" i="159"/>
  <c r="K54" i="159"/>
  <c r="L54" i="159"/>
  <c r="K55" i="159"/>
  <c r="L55" i="159"/>
  <c r="K56" i="159"/>
  <c r="L56" i="159"/>
  <c r="F58" i="159"/>
  <c r="G58" i="159"/>
  <c r="H58" i="159"/>
  <c r="I58" i="159"/>
  <c r="J58" i="159"/>
  <c r="D59" i="159"/>
  <c r="E59" i="159"/>
  <c r="K59" i="159"/>
  <c r="L59" i="159"/>
  <c r="M59" i="159"/>
  <c r="P59" i="159"/>
  <c r="D60" i="159"/>
  <c r="D61" i="159" s="1"/>
  <c r="D62" i="159" s="1"/>
  <c r="D63" i="159" s="1"/>
  <c r="K60" i="159"/>
  <c r="L60" i="159"/>
  <c r="K61" i="159"/>
  <c r="L61" i="159"/>
  <c r="K62" i="159"/>
  <c r="L62" i="159"/>
  <c r="K63" i="159"/>
  <c r="L63" i="159"/>
  <c r="F65" i="159"/>
  <c r="G65" i="159"/>
  <c r="H65" i="159"/>
  <c r="I65" i="159"/>
  <c r="J65" i="159"/>
  <c r="D66" i="159"/>
  <c r="D67" i="159" s="1"/>
  <c r="D68" i="159" s="1"/>
  <c r="D69" i="159" s="1"/>
  <c r="D70" i="159" s="1"/>
  <c r="E66" i="159"/>
  <c r="K66" i="159"/>
  <c r="L66" i="159"/>
  <c r="M66" i="159"/>
  <c r="P66" i="159"/>
  <c r="K67" i="159"/>
  <c r="L67" i="159"/>
  <c r="K68" i="159"/>
  <c r="L68" i="159"/>
  <c r="K69" i="159"/>
  <c r="L69" i="159"/>
  <c r="K70" i="159"/>
  <c r="L70" i="159"/>
  <c r="F72" i="159"/>
  <c r="G72" i="159"/>
  <c r="H72" i="159"/>
  <c r="I72" i="159"/>
  <c r="J72" i="159"/>
  <c r="D73" i="159"/>
  <c r="E73" i="159"/>
  <c r="K73" i="159"/>
  <c r="L73" i="159"/>
  <c r="M73" i="159"/>
  <c r="P73" i="159"/>
  <c r="D74" i="159"/>
  <c r="D75" i="159" s="1"/>
  <c r="D76" i="159" s="1"/>
  <c r="D77" i="159" s="1"/>
  <c r="K74" i="159"/>
  <c r="L74" i="159"/>
  <c r="K75" i="159"/>
  <c r="L75" i="159"/>
  <c r="K76" i="159"/>
  <c r="L76" i="159"/>
  <c r="K77" i="159"/>
  <c r="L77" i="159"/>
  <c r="F79" i="159"/>
  <c r="G79" i="159"/>
  <c r="H79" i="159"/>
  <c r="I79" i="159"/>
  <c r="J79" i="159"/>
  <c r="D80" i="159"/>
  <c r="E80" i="159"/>
  <c r="K80" i="159"/>
  <c r="L80" i="159"/>
  <c r="M80" i="159"/>
  <c r="P80" i="159"/>
  <c r="D81" i="159"/>
  <c r="D82" i="159" s="1"/>
  <c r="D83" i="159" s="1"/>
  <c r="D84" i="159" s="1"/>
  <c r="K81" i="159"/>
  <c r="L81" i="159"/>
  <c r="K82" i="159"/>
  <c r="L82" i="159"/>
  <c r="K83" i="159"/>
  <c r="L83" i="159"/>
  <c r="K84" i="159"/>
  <c r="L84" i="159"/>
  <c r="F86" i="159"/>
  <c r="G86" i="159"/>
  <c r="H86" i="159"/>
  <c r="I86" i="159"/>
  <c r="J86" i="159"/>
  <c r="D87" i="159"/>
  <c r="D88" i="159" s="1"/>
  <c r="E87" i="159"/>
  <c r="K87" i="159"/>
  <c r="L87" i="159"/>
  <c r="M87" i="159"/>
  <c r="P87" i="159"/>
  <c r="K88" i="159"/>
  <c r="L88" i="159"/>
  <c r="D89" i="159"/>
  <c r="D90" i="159" s="1"/>
  <c r="D91" i="159" s="1"/>
  <c r="K89" i="159"/>
  <c r="L89" i="159"/>
  <c r="K90" i="159"/>
  <c r="L90" i="159"/>
  <c r="K91" i="159"/>
  <c r="L91" i="159"/>
  <c r="F93" i="159"/>
  <c r="G93" i="159"/>
  <c r="H93" i="159"/>
  <c r="I93" i="159"/>
  <c r="J93" i="159"/>
  <c r="D94" i="159"/>
  <c r="D96" i="159" s="1"/>
  <c r="D98" i="159" s="1"/>
  <c r="E94" i="159"/>
  <c r="K94" i="159"/>
  <c r="L94" i="159"/>
  <c r="M94" i="159"/>
  <c r="P94" i="159"/>
  <c r="D95" i="159"/>
  <c r="D97" i="159" s="1"/>
  <c r="D99" i="159" s="1"/>
  <c r="E95" i="159"/>
  <c r="K95" i="159"/>
  <c r="L95" i="159"/>
  <c r="M95" i="159"/>
  <c r="P95" i="159"/>
  <c r="K96" i="159"/>
  <c r="L96" i="159"/>
  <c r="K97" i="159"/>
  <c r="L97" i="159"/>
  <c r="K98" i="159"/>
  <c r="L98" i="159"/>
  <c r="K99" i="159"/>
  <c r="L99" i="159"/>
  <c r="F101" i="159"/>
  <c r="G101" i="159"/>
  <c r="H101" i="159"/>
  <c r="I101" i="159"/>
  <c r="J101" i="159"/>
  <c r="D102" i="159"/>
  <c r="E102" i="159"/>
  <c r="K102" i="159"/>
  <c r="L102" i="159"/>
  <c r="M102" i="159"/>
  <c r="O102" i="159"/>
  <c r="P102" i="159" s="1"/>
  <c r="D103" i="159"/>
  <c r="K103" i="159"/>
  <c r="L103" i="159"/>
  <c r="D104" i="159"/>
  <c r="D105" i="159" s="1"/>
  <c r="D106" i="159" s="1"/>
  <c r="K104" i="159"/>
  <c r="L104" i="159"/>
  <c r="K105" i="159"/>
  <c r="L105" i="159"/>
  <c r="K106" i="159"/>
  <c r="L106" i="159"/>
  <c r="F108" i="159"/>
  <c r="G108" i="159"/>
  <c r="H108" i="159"/>
  <c r="I108" i="159"/>
  <c r="J108" i="159"/>
  <c r="D109" i="159"/>
  <c r="D110" i="159" s="1"/>
  <c r="D111" i="159" s="1"/>
  <c r="D112" i="159" s="1"/>
  <c r="D113" i="159" s="1"/>
  <c r="E109" i="159"/>
  <c r="K109" i="159"/>
  <c r="L109" i="159"/>
  <c r="M109" i="159"/>
  <c r="O109" i="159"/>
  <c r="P109" i="159"/>
  <c r="K110" i="159"/>
  <c r="L110" i="159"/>
  <c r="K111" i="159"/>
  <c r="L111" i="159"/>
  <c r="K112" i="159"/>
  <c r="L112" i="159"/>
  <c r="K113" i="159"/>
  <c r="L113" i="159"/>
  <c r="F115" i="159"/>
  <c r="G115" i="159"/>
  <c r="H115" i="159"/>
  <c r="I115" i="159"/>
  <c r="J115" i="159"/>
  <c r="D116" i="159"/>
  <c r="D117" i="159" s="1"/>
  <c r="D118" i="159" s="1"/>
  <c r="D119" i="159" s="1"/>
  <c r="D120" i="159" s="1"/>
  <c r="E116" i="159"/>
  <c r="K116" i="159"/>
  <c r="L116" i="159"/>
  <c r="M116" i="159"/>
  <c r="O116" i="159"/>
  <c r="P116" i="159" s="1"/>
  <c r="K117" i="159"/>
  <c r="L117" i="159"/>
  <c r="K118" i="159"/>
  <c r="L118" i="159"/>
  <c r="K119" i="159"/>
  <c r="L119" i="159"/>
  <c r="K120" i="159"/>
  <c r="L120" i="159"/>
  <c r="F122" i="159"/>
  <c r="G122" i="159"/>
  <c r="H122" i="159"/>
  <c r="I122" i="159"/>
  <c r="J122" i="159"/>
  <c r="D123" i="159"/>
  <c r="E123" i="159"/>
  <c r="K123" i="159"/>
  <c r="L123" i="159"/>
  <c r="M123" i="159"/>
  <c r="O123" i="159"/>
  <c r="P123" i="159" s="1"/>
  <c r="D124" i="159"/>
  <c r="D125" i="159" s="1"/>
  <c r="D126" i="159" s="1"/>
  <c r="D127" i="159" s="1"/>
  <c r="K124" i="159"/>
  <c r="L124" i="159"/>
  <c r="K125" i="159"/>
  <c r="L125" i="159"/>
  <c r="K126" i="159"/>
  <c r="L126" i="159"/>
  <c r="K127" i="159"/>
  <c r="L127" i="159"/>
  <c r="F129" i="159"/>
  <c r="G129" i="159"/>
  <c r="H129" i="159"/>
  <c r="I129" i="159"/>
  <c r="J129" i="159"/>
  <c r="D130" i="159"/>
  <c r="D131" i="159" s="1"/>
  <c r="D132" i="159" s="1"/>
  <c r="D133" i="159" s="1"/>
  <c r="D134" i="159" s="1"/>
  <c r="E130" i="159"/>
  <c r="K130" i="159"/>
  <c r="L130" i="159"/>
  <c r="M130" i="159"/>
  <c r="O130" i="159"/>
  <c r="P130" i="159"/>
  <c r="K131" i="159"/>
  <c r="L131" i="159"/>
  <c r="K132" i="159"/>
  <c r="L132" i="159"/>
  <c r="K133" i="159"/>
  <c r="L133" i="159"/>
  <c r="K134" i="159"/>
  <c r="L134" i="159"/>
  <c r="F136" i="159"/>
  <c r="G136" i="159"/>
  <c r="H136" i="159"/>
  <c r="I136" i="159"/>
  <c r="J136" i="159"/>
  <c r="D137" i="159"/>
  <c r="E137" i="159"/>
  <c r="K137" i="159"/>
  <c r="L137" i="159"/>
  <c r="M137" i="159"/>
  <c r="O137" i="159"/>
  <c r="P137" i="159" s="1"/>
  <c r="D138" i="159"/>
  <c r="D139" i="159" s="1"/>
  <c r="D140" i="159" s="1"/>
  <c r="D141" i="159" s="1"/>
  <c r="K138" i="159"/>
  <c r="L138" i="159"/>
  <c r="K139" i="159"/>
  <c r="L139" i="159"/>
  <c r="K140" i="159"/>
  <c r="L140" i="159"/>
  <c r="K141" i="159"/>
  <c r="L141" i="159"/>
  <c r="F143" i="159"/>
  <c r="G143" i="159"/>
  <c r="H143" i="159"/>
  <c r="I143" i="159"/>
  <c r="J143" i="159"/>
  <c r="D144" i="159"/>
  <c r="D145" i="159" s="1"/>
  <c r="D146" i="159" s="1"/>
  <c r="D147" i="159" s="1"/>
  <c r="D148" i="159" s="1"/>
  <c r="E144" i="159"/>
  <c r="K144" i="159"/>
  <c r="L144" i="159"/>
  <c r="M144" i="159"/>
  <c r="O144" i="159"/>
  <c r="P144" i="159"/>
  <c r="K145" i="159"/>
  <c r="L145" i="159"/>
  <c r="K146" i="159"/>
  <c r="L146" i="159"/>
  <c r="K147" i="159"/>
  <c r="L147" i="159"/>
  <c r="K148" i="159"/>
  <c r="L148" i="159"/>
  <c r="F150" i="159"/>
  <c r="G150" i="159"/>
  <c r="H150" i="159"/>
  <c r="I150" i="159"/>
  <c r="J150" i="159"/>
  <c r="D151" i="159"/>
  <c r="D152" i="159" s="1"/>
  <c r="D153" i="159" s="1"/>
  <c r="D154" i="159" s="1"/>
  <c r="D155" i="159" s="1"/>
  <c r="E151" i="159"/>
  <c r="K151" i="159"/>
  <c r="L151" i="159"/>
  <c r="M151" i="159"/>
  <c r="O151" i="159"/>
  <c r="P151" i="159" s="1"/>
  <c r="K152" i="159"/>
  <c r="L152" i="159"/>
  <c r="K153" i="159"/>
  <c r="L153" i="159"/>
  <c r="K154" i="159"/>
  <c r="L154" i="159"/>
  <c r="K155" i="159"/>
  <c r="L155" i="159"/>
  <c r="F157" i="159"/>
  <c r="G157" i="159"/>
  <c r="H157" i="159"/>
  <c r="I157" i="159"/>
  <c r="J157" i="159"/>
  <c r="D158" i="159"/>
  <c r="E158" i="159"/>
  <c r="K158" i="159"/>
  <c r="L158" i="159"/>
  <c r="M158" i="159"/>
  <c r="P158" i="159"/>
  <c r="D159" i="159"/>
  <c r="D160" i="159" s="1"/>
  <c r="D161" i="159" s="1"/>
  <c r="D162" i="159" s="1"/>
  <c r="K159" i="159"/>
  <c r="L159" i="159"/>
  <c r="K160" i="159"/>
  <c r="L160" i="159"/>
  <c r="K161" i="159"/>
  <c r="L161" i="159"/>
  <c r="K162" i="159"/>
  <c r="L162" i="159"/>
  <c r="F164" i="159"/>
  <c r="G164" i="159"/>
  <c r="H164" i="159"/>
  <c r="I164" i="159"/>
  <c r="J164" i="159"/>
  <c r="D165" i="159"/>
  <c r="E165" i="159"/>
  <c r="K165" i="159"/>
  <c r="L165" i="159"/>
  <c r="M165" i="159"/>
  <c r="P165" i="159"/>
  <c r="D166" i="159"/>
  <c r="K166" i="159"/>
  <c r="L166" i="159"/>
  <c r="D167" i="159"/>
  <c r="D168" i="159" s="1"/>
  <c r="D169" i="159" s="1"/>
  <c r="K167" i="159"/>
  <c r="L167" i="159"/>
  <c r="K168" i="159"/>
  <c r="L168" i="159"/>
  <c r="K169" i="159"/>
  <c r="L169" i="159"/>
  <c r="F171" i="159"/>
  <c r="G171" i="159"/>
  <c r="H171" i="159"/>
  <c r="I171" i="159"/>
  <c r="J171" i="159"/>
  <c r="D172" i="159"/>
  <c r="D173" i="159" s="1"/>
  <c r="D174" i="159" s="1"/>
  <c r="D175" i="159" s="1"/>
  <c r="D176" i="159" s="1"/>
  <c r="E172" i="159"/>
  <c r="K172" i="159"/>
  <c r="L172" i="159"/>
  <c r="M172" i="159"/>
  <c r="P172" i="159"/>
  <c r="K173" i="159"/>
  <c r="L173" i="159"/>
  <c r="K174" i="159"/>
  <c r="L174" i="159"/>
  <c r="K175" i="159"/>
  <c r="L175" i="159"/>
  <c r="K176" i="159"/>
  <c r="L176" i="159"/>
  <c r="F178" i="159"/>
  <c r="G178" i="159"/>
  <c r="H178" i="159"/>
  <c r="I178" i="159"/>
  <c r="J178" i="159"/>
  <c r="D179" i="159"/>
  <c r="E179" i="159"/>
  <c r="K179" i="159"/>
  <c r="L179" i="159"/>
  <c r="M179" i="159"/>
  <c r="P179" i="159"/>
  <c r="D180" i="159"/>
  <c r="K180" i="159"/>
  <c r="L180" i="159"/>
  <c r="D181" i="159"/>
  <c r="D182" i="159" s="1"/>
  <c r="D183" i="159" s="1"/>
  <c r="K181" i="159"/>
  <c r="L181" i="159"/>
  <c r="K182" i="159"/>
  <c r="L182" i="159"/>
  <c r="K183" i="159"/>
  <c r="L183" i="159"/>
  <c r="F185" i="159"/>
  <c r="G185" i="159"/>
  <c r="H185" i="159"/>
  <c r="I185" i="159"/>
  <c r="J185" i="159"/>
  <c r="D186" i="159"/>
  <c r="D187" i="159" s="1"/>
  <c r="D188" i="159" s="1"/>
  <c r="D189" i="159" s="1"/>
  <c r="D190" i="159" s="1"/>
  <c r="E186" i="159"/>
  <c r="K186" i="159"/>
  <c r="L186" i="159"/>
  <c r="M186" i="159"/>
  <c r="O186" i="159"/>
  <c r="P186" i="159" s="1"/>
  <c r="K187" i="159"/>
  <c r="L187" i="159"/>
  <c r="K188" i="159"/>
  <c r="L188" i="159"/>
  <c r="K189" i="159"/>
  <c r="L189" i="159"/>
  <c r="K190" i="159"/>
  <c r="L190" i="159"/>
  <c r="F192" i="159"/>
  <c r="G192" i="159"/>
  <c r="H192" i="159"/>
  <c r="I192" i="159"/>
  <c r="J192" i="159"/>
  <c r="D193" i="159"/>
  <c r="D194" i="159" s="1"/>
  <c r="D195" i="159" s="1"/>
  <c r="D196" i="159" s="1"/>
  <c r="D197" i="159" s="1"/>
  <c r="E193" i="159"/>
  <c r="K193" i="159"/>
  <c r="L193" i="159"/>
  <c r="M193" i="159"/>
  <c r="O193" i="159"/>
  <c r="P193" i="159" s="1"/>
  <c r="K194" i="159"/>
  <c r="L194" i="159"/>
  <c r="K195" i="159"/>
  <c r="L195" i="159"/>
  <c r="K196" i="159"/>
  <c r="L196" i="159"/>
  <c r="K197" i="159"/>
  <c r="L197" i="159"/>
  <c r="F199" i="159"/>
  <c r="G199" i="159"/>
  <c r="H199" i="159"/>
  <c r="I199" i="159"/>
  <c r="J199" i="159"/>
  <c r="D200" i="159"/>
  <c r="E200" i="159"/>
  <c r="K200" i="159"/>
  <c r="L200" i="159"/>
  <c r="M200" i="159"/>
  <c r="O200" i="159"/>
  <c r="P200" i="159" s="1"/>
  <c r="D201" i="159"/>
  <c r="D202" i="159" s="1"/>
  <c r="D203" i="159" s="1"/>
  <c r="D204" i="159" s="1"/>
  <c r="K201" i="159"/>
  <c r="L201" i="159"/>
  <c r="K202" i="159"/>
  <c r="L202" i="159"/>
  <c r="K203" i="159"/>
  <c r="L203" i="159"/>
  <c r="K204" i="159"/>
  <c r="L204" i="159"/>
  <c r="F206" i="159"/>
  <c r="G206" i="159"/>
  <c r="H206" i="159"/>
  <c r="I206" i="159"/>
  <c r="J206" i="159"/>
  <c r="D207" i="159"/>
  <c r="E207" i="159"/>
  <c r="K207" i="159"/>
  <c r="L207" i="159"/>
  <c r="M207" i="159"/>
  <c r="O207" i="159"/>
  <c r="P207" i="159"/>
  <c r="D208" i="159"/>
  <c r="D209" i="159" s="1"/>
  <c r="D210" i="159" s="1"/>
  <c r="D211" i="159" s="1"/>
  <c r="K208" i="159"/>
  <c r="L208" i="159"/>
  <c r="K209" i="159"/>
  <c r="L209" i="159"/>
  <c r="K210" i="159"/>
  <c r="L210" i="159"/>
  <c r="K211" i="159"/>
  <c r="L211" i="159"/>
  <c r="F213" i="159"/>
  <c r="G213" i="159"/>
  <c r="H213" i="159"/>
  <c r="I213" i="159"/>
  <c r="J213" i="159"/>
  <c r="D214" i="159"/>
  <c r="E214" i="159"/>
  <c r="K214" i="159"/>
  <c r="L214" i="159"/>
  <c r="M214" i="159"/>
  <c r="O214" i="159"/>
  <c r="P214" i="159" s="1"/>
  <c r="D215" i="159"/>
  <c r="D216" i="159" s="1"/>
  <c r="D217" i="159" s="1"/>
  <c r="D218" i="159" s="1"/>
  <c r="K215" i="159"/>
  <c r="L215" i="159"/>
  <c r="K216" i="159"/>
  <c r="L216" i="159"/>
  <c r="K217" i="159"/>
  <c r="L217" i="159"/>
  <c r="K218" i="159"/>
  <c r="L218" i="159"/>
  <c r="F220" i="159"/>
  <c r="G220" i="159"/>
  <c r="H220" i="159"/>
  <c r="I220" i="159"/>
  <c r="J220" i="159"/>
  <c r="D221" i="159"/>
  <c r="D222" i="159" s="1"/>
  <c r="D223" i="159" s="1"/>
  <c r="E221" i="159"/>
  <c r="K221" i="159"/>
  <c r="L221" i="159"/>
  <c r="M221" i="159"/>
  <c r="O221" i="159"/>
  <c r="P221" i="159" s="1"/>
  <c r="K222" i="159"/>
  <c r="L222" i="159"/>
  <c r="K223" i="159"/>
  <c r="L223" i="159"/>
  <c r="D224" i="159"/>
  <c r="D225" i="159" s="1"/>
  <c r="K224" i="159"/>
  <c r="L224" i="159"/>
  <c r="K225" i="159"/>
  <c r="L225" i="159"/>
  <c r="F227" i="159"/>
  <c r="G227" i="159"/>
  <c r="H227" i="159"/>
  <c r="I227" i="159"/>
  <c r="J227" i="159"/>
  <c r="D228" i="159"/>
  <c r="D229" i="159" s="1"/>
  <c r="E228" i="159"/>
  <c r="K228" i="159"/>
  <c r="L228" i="159"/>
  <c r="M228" i="159"/>
  <c r="P228" i="159"/>
  <c r="K229" i="159"/>
  <c r="L229" i="159"/>
  <c r="D230" i="159"/>
  <c r="D231" i="159" s="1"/>
  <c r="D232" i="159" s="1"/>
  <c r="K230" i="159"/>
  <c r="L230" i="159"/>
  <c r="K231" i="159"/>
  <c r="L231" i="159"/>
  <c r="K232" i="159"/>
  <c r="L232" i="159"/>
  <c r="F234" i="159"/>
  <c r="G234" i="159"/>
  <c r="H234" i="159"/>
  <c r="I234" i="159"/>
  <c r="J234" i="159"/>
  <c r="D235" i="159"/>
  <c r="E235" i="159"/>
  <c r="K235" i="159"/>
  <c r="L235" i="159"/>
  <c r="M235" i="159"/>
  <c r="O235" i="159"/>
  <c r="P235" i="159"/>
  <c r="D236" i="159"/>
  <c r="D237" i="159" s="1"/>
  <c r="D238" i="159" s="1"/>
  <c r="D239" i="159" s="1"/>
  <c r="K236" i="159"/>
  <c r="L236" i="159"/>
  <c r="K237" i="159"/>
  <c r="L237" i="159"/>
  <c r="K238" i="159"/>
  <c r="L238" i="159"/>
  <c r="K239" i="159"/>
  <c r="L239" i="159"/>
  <c r="F241" i="159"/>
  <c r="G241" i="159"/>
  <c r="H241" i="159"/>
  <c r="I241" i="159"/>
  <c r="J241" i="159"/>
  <c r="D242" i="159"/>
  <c r="E242" i="159"/>
  <c r="K242" i="159"/>
  <c r="L242" i="159"/>
  <c r="M242" i="159"/>
  <c r="O242" i="159"/>
  <c r="P242" i="159"/>
  <c r="D243" i="159"/>
  <c r="D244" i="159" s="1"/>
  <c r="D245" i="159" s="1"/>
  <c r="D246" i="159" s="1"/>
  <c r="K243" i="159"/>
  <c r="L243" i="159"/>
  <c r="K244" i="159"/>
  <c r="L244" i="159"/>
  <c r="K245" i="159"/>
  <c r="L245" i="159"/>
  <c r="K246" i="159"/>
  <c r="L246" i="159"/>
  <c r="F248" i="159"/>
  <c r="G248" i="159"/>
  <c r="H248" i="159"/>
  <c r="I248" i="159"/>
  <c r="J248" i="159"/>
  <c r="D249" i="159"/>
  <c r="D250" i="159" s="1"/>
  <c r="D251" i="159" s="1"/>
  <c r="D252" i="159" s="1"/>
  <c r="D253" i="159" s="1"/>
  <c r="E249" i="159"/>
  <c r="K249" i="159"/>
  <c r="L249" i="159"/>
  <c r="M249" i="159"/>
  <c r="O249" i="159"/>
  <c r="P249" i="159" s="1"/>
  <c r="K250" i="159"/>
  <c r="L250" i="159"/>
  <c r="K251" i="159"/>
  <c r="L251" i="159"/>
  <c r="K252" i="159"/>
  <c r="L252" i="159"/>
  <c r="K253" i="159"/>
  <c r="L253" i="159"/>
  <c r="F255" i="159"/>
  <c r="G255" i="159"/>
  <c r="H255" i="159"/>
  <c r="I255" i="159"/>
  <c r="J255" i="159"/>
  <c r="D256" i="159"/>
  <c r="D257" i="159" s="1"/>
  <c r="D258" i="159" s="1"/>
  <c r="D259" i="159" s="1"/>
  <c r="D260" i="159" s="1"/>
  <c r="E256" i="159"/>
  <c r="K256" i="159"/>
  <c r="L256" i="159"/>
  <c r="M256" i="159"/>
  <c r="N256" i="159"/>
  <c r="O256" i="159"/>
  <c r="P256" i="159" s="1"/>
  <c r="K257" i="159"/>
  <c r="L257" i="159"/>
  <c r="K258" i="159"/>
  <c r="L258" i="159"/>
  <c r="K259" i="159"/>
  <c r="L259" i="159"/>
  <c r="K260" i="159"/>
  <c r="L260" i="159"/>
  <c r="F262" i="159"/>
  <c r="G262" i="159"/>
  <c r="H262" i="159"/>
  <c r="I262" i="159"/>
  <c r="J262" i="159"/>
  <c r="D263" i="159"/>
  <c r="D264" i="159" s="1"/>
  <c r="D265" i="159" s="1"/>
  <c r="D266" i="159" s="1"/>
  <c r="D267" i="159" s="1"/>
  <c r="E263" i="159"/>
  <c r="K263" i="159"/>
  <c r="L263" i="159"/>
  <c r="M263" i="159"/>
  <c r="N263" i="159"/>
  <c r="O263" i="159"/>
  <c r="P263" i="159"/>
  <c r="K264" i="159"/>
  <c r="L264" i="159"/>
  <c r="K265" i="159"/>
  <c r="L265" i="159"/>
  <c r="K266" i="159"/>
  <c r="L266" i="159"/>
  <c r="K267" i="159"/>
  <c r="L267" i="159"/>
  <c r="F269" i="159"/>
  <c r="G269" i="159"/>
  <c r="H269" i="159"/>
  <c r="I269" i="159"/>
  <c r="J269" i="159"/>
  <c r="D270" i="159"/>
  <c r="D271" i="159" s="1"/>
  <c r="D272" i="159" s="1"/>
  <c r="D273" i="159" s="1"/>
  <c r="D274" i="159" s="1"/>
  <c r="E270" i="159"/>
  <c r="K270" i="159"/>
  <c r="L270" i="159"/>
  <c r="M270" i="159"/>
  <c r="N270" i="159"/>
  <c r="O270" i="159"/>
  <c r="P270" i="159" s="1"/>
  <c r="K271" i="159"/>
  <c r="L271" i="159"/>
  <c r="K272" i="159"/>
  <c r="L272" i="159"/>
  <c r="K273" i="159"/>
  <c r="L273" i="159"/>
  <c r="K274" i="159"/>
  <c r="L274" i="159"/>
  <c r="F276" i="159"/>
  <c r="G276" i="159"/>
  <c r="H276" i="159"/>
  <c r="I276" i="159"/>
  <c r="J276" i="159"/>
  <c r="D277" i="159"/>
  <c r="D278" i="159" s="1"/>
  <c r="D279" i="159" s="1"/>
  <c r="D280" i="159" s="1"/>
  <c r="D281" i="159" s="1"/>
  <c r="E277" i="159"/>
  <c r="K277" i="159"/>
  <c r="L277" i="159"/>
  <c r="M277" i="159"/>
  <c r="O277" i="159"/>
  <c r="P277" i="159" s="1"/>
  <c r="K278" i="159"/>
  <c r="L278" i="159"/>
  <c r="K279" i="159"/>
  <c r="L279" i="159"/>
  <c r="K280" i="159"/>
  <c r="L280" i="159"/>
  <c r="K281" i="159"/>
  <c r="L281" i="159"/>
  <c r="F283" i="159"/>
  <c r="G283" i="159"/>
  <c r="H283" i="159"/>
  <c r="I283" i="159"/>
  <c r="J283" i="159"/>
  <c r="D284" i="159"/>
  <c r="E284" i="159"/>
  <c r="K284" i="159"/>
  <c r="L284" i="159"/>
  <c r="M284" i="159"/>
  <c r="P284" i="159"/>
  <c r="D285" i="159"/>
  <c r="D286" i="159" s="1"/>
  <c r="D287" i="159" s="1"/>
  <c r="D288" i="159" s="1"/>
  <c r="K285" i="159"/>
  <c r="L285" i="159"/>
  <c r="K286" i="159"/>
  <c r="L286" i="159"/>
  <c r="K287" i="159"/>
  <c r="L287" i="159"/>
  <c r="K288" i="159"/>
  <c r="L288" i="159"/>
  <c r="F290" i="159"/>
  <c r="G290" i="159"/>
  <c r="H290" i="159"/>
  <c r="I290" i="159"/>
  <c r="J290" i="159"/>
  <c r="D291" i="159"/>
  <c r="E291" i="159"/>
  <c r="K291" i="159"/>
  <c r="L291" i="159"/>
  <c r="M291" i="159"/>
  <c r="O291" i="159"/>
  <c r="P291" i="159" s="1"/>
  <c r="D292" i="159"/>
  <c r="D293" i="159" s="1"/>
  <c r="D294" i="159" s="1"/>
  <c r="D295" i="159" s="1"/>
  <c r="K292" i="159"/>
  <c r="L292" i="159"/>
  <c r="K293" i="159"/>
  <c r="L293" i="159"/>
  <c r="K294" i="159"/>
  <c r="L294" i="159"/>
  <c r="K295" i="159"/>
  <c r="L295" i="159"/>
  <c r="F297" i="159"/>
  <c r="G297" i="159"/>
  <c r="H297" i="159"/>
  <c r="I297" i="159"/>
  <c r="J297" i="159"/>
  <c r="D298" i="159"/>
  <c r="D299" i="159" s="1"/>
  <c r="D300" i="159" s="1"/>
  <c r="D301" i="159" s="1"/>
  <c r="D302" i="159" s="1"/>
  <c r="E298" i="159"/>
  <c r="K298" i="159"/>
  <c r="L298" i="159"/>
  <c r="M298" i="159"/>
  <c r="P298" i="159"/>
  <c r="K299" i="159"/>
  <c r="L299" i="159"/>
  <c r="K300" i="159"/>
  <c r="L300" i="159"/>
  <c r="K301" i="159"/>
  <c r="L301" i="159"/>
  <c r="K302" i="159"/>
  <c r="L302" i="159"/>
  <c r="F304" i="159"/>
  <c r="G304" i="159"/>
  <c r="H304" i="159"/>
  <c r="I304" i="159"/>
  <c r="J304" i="159"/>
  <c r="D305" i="159"/>
  <c r="E305" i="159"/>
  <c r="K305" i="159"/>
  <c r="L305" i="159"/>
  <c r="M305" i="159"/>
  <c r="P305" i="159"/>
  <c r="D306" i="159"/>
  <c r="D307" i="159" s="1"/>
  <c r="D308" i="159" s="1"/>
  <c r="D309" i="159" s="1"/>
  <c r="K306" i="159"/>
  <c r="L306" i="159"/>
  <c r="K307" i="159"/>
  <c r="L307" i="159"/>
  <c r="K308" i="159"/>
  <c r="L308" i="159"/>
  <c r="K309" i="159"/>
  <c r="L309" i="159"/>
  <c r="F311" i="159"/>
  <c r="G311" i="159"/>
  <c r="H311" i="159"/>
  <c r="I311" i="159"/>
  <c r="J311" i="159"/>
  <c r="D312" i="159"/>
  <c r="E312" i="159"/>
  <c r="K312" i="159"/>
  <c r="L312" i="159"/>
  <c r="M312" i="159"/>
  <c r="P312" i="159"/>
  <c r="D313" i="159"/>
  <c r="K313" i="159"/>
  <c r="L313" i="159"/>
  <c r="D314" i="159"/>
  <c r="D315" i="159" s="1"/>
  <c r="D316" i="159" s="1"/>
  <c r="K314" i="159"/>
  <c r="L314" i="159"/>
  <c r="K315" i="159"/>
  <c r="L315" i="159"/>
  <c r="K316" i="159"/>
  <c r="L316" i="159"/>
  <c r="F318" i="159"/>
  <c r="G318" i="159"/>
  <c r="H318" i="159"/>
  <c r="I318" i="159"/>
  <c r="J318" i="159"/>
  <c r="D319" i="159"/>
  <c r="D320" i="159" s="1"/>
  <c r="D321" i="159" s="1"/>
  <c r="D322" i="159" s="1"/>
  <c r="D323" i="159" s="1"/>
  <c r="E319" i="159"/>
  <c r="K319" i="159"/>
  <c r="L319" i="159"/>
  <c r="M319" i="159"/>
  <c r="P319" i="159"/>
  <c r="K320" i="159"/>
  <c r="L320" i="159"/>
  <c r="K321" i="159"/>
  <c r="L321" i="159"/>
  <c r="K322" i="159"/>
  <c r="L322" i="159"/>
  <c r="K323" i="159"/>
  <c r="L323" i="159"/>
  <c r="F325" i="159"/>
  <c r="G325" i="159"/>
  <c r="H325" i="159"/>
  <c r="I325" i="159"/>
  <c r="J325" i="159"/>
  <c r="D326" i="159"/>
  <c r="E326" i="159"/>
  <c r="K326" i="159"/>
  <c r="L326" i="159"/>
  <c r="M326" i="159"/>
  <c r="O326" i="159"/>
  <c r="P326" i="159" s="1"/>
  <c r="D327" i="159"/>
  <c r="D328" i="159" s="1"/>
  <c r="D329" i="159" s="1"/>
  <c r="K327" i="159"/>
  <c r="L327" i="159"/>
  <c r="K328" i="159"/>
  <c r="L328" i="159"/>
  <c r="K329" i="159"/>
  <c r="L329" i="159"/>
  <c r="D330" i="159"/>
  <c r="K330" i="159"/>
  <c r="L330" i="159"/>
  <c r="F332" i="159"/>
  <c r="G332" i="159"/>
  <c r="H332" i="159"/>
  <c r="I332" i="159"/>
  <c r="J332" i="159"/>
  <c r="D333" i="159"/>
  <c r="E333" i="159"/>
  <c r="K333" i="159"/>
  <c r="L333" i="159"/>
  <c r="M333" i="159"/>
  <c r="P333" i="159"/>
  <c r="D334" i="159"/>
  <c r="D335" i="159" s="1"/>
  <c r="D336" i="159" s="1"/>
  <c r="D337" i="159" s="1"/>
  <c r="K334" i="159"/>
  <c r="L334" i="159"/>
  <c r="K335" i="159"/>
  <c r="L335" i="159"/>
  <c r="K336" i="159"/>
  <c r="L336" i="159"/>
  <c r="K337" i="159"/>
  <c r="L337" i="159"/>
  <c r="F339" i="159"/>
  <c r="G339" i="159"/>
  <c r="H339" i="159"/>
  <c r="I339" i="159"/>
  <c r="J339" i="159"/>
  <c r="D340" i="159"/>
  <c r="D341" i="159" s="1"/>
  <c r="D342" i="159" s="1"/>
  <c r="D343" i="159" s="1"/>
  <c r="D344" i="159" s="1"/>
  <c r="E340" i="159"/>
  <c r="K340" i="159"/>
  <c r="L340" i="159"/>
  <c r="M340" i="159"/>
  <c r="P340" i="159"/>
  <c r="K341" i="159"/>
  <c r="L341" i="159"/>
  <c r="K342" i="159"/>
  <c r="L342" i="159"/>
  <c r="K343" i="159"/>
  <c r="L343" i="159"/>
  <c r="K344" i="159"/>
  <c r="L344" i="159"/>
  <c r="F346" i="159"/>
  <c r="G346" i="159"/>
  <c r="H346" i="159"/>
  <c r="I346" i="159"/>
  <c r="J346" i="159"/>
  <c r="D347" i="159"/>
  <c r="E347" i="159"/>
  <c r="K347" i="159"/>
  <c r="L347" i="159"/>
  <c r="M347" i="159"/>
  <c r="P347" i="159"/>
  <c r="D348" i="159"/>
  <c r="D349" i="159" s="1"/>
  <c r="D350" i="159" s="1"/>
  <c r="D351" i="159" s="1"/>
  <c r="K348" i="159"/>
  <c r="L348" i="159"/>
  <c r="K349" i="159"/>
  <c r="L349" i="159"/>
  <c r="K350" i="159"/>
  <c r="L350" i="159"/>
  <c r="K351" i="159"/>
  <c r="L351" i="159"/>
  <c r="F353" i="159"/>
  <c r="G353" i="159"/>
  <c r="H353" i="159"/>
  <c r="I353" i="159"/>
  <c r="J353" i="159"/>
  <c r="D354" i="159"/>
  <c r="E354" i="159"/>
  <c r="K354" i="159"/>
  <c r="L354" i="159"/>
  <c r="M354" i="159"/>
  <c r="O354" i="159"/>
  <c r="P354" i="159" s="1"/>
  <c r="D355" i="159"/>
  <c r="K355" i="159"/>
  <c r="L355" i="159"/>
  <c r="D356" i="159"/>
  <c r="D357" i="159" s="1"/>
  <c r="D358" i="159" s="1"/>
  <c r="K356" i="159"/>
  <c r="L356" i="159"/>
  <c r="K357" i="159"/>
  <c r="L357" i="159"/>
  <c r="K358" i="159"/>
  <c r="L358" i="159"/>
  <c r="F360" i="159"/>
  <c r="G360" i="159"/>
  <c r="H360" i="159"/>
  <c r="I360" i="159"/>
  <c r="J360" i="159"/>
  <c r="D361" i="159"/>
  <c r="D362" i="159" s="1"/>
  <c r="D363" i="159" s="1"/>
  <c r="D364" i="159" s="1"/>
  <c r="D365" i="159" s="1"/>
  <c r="E361" i="159"/>
  <c r="K361" i="159"/>
  <c r="L361" i="159"/>
  <c r="M361" i="159"/>
  <c r="O361" i="159"/>
  <c r="P361" i="159" s="1"/>
  <c r="K362" i="159"/>
  <c r="L362" i="159"/>
  <c r="K363" i="159"/>
  <c r="L363" i="159"/>
  <c r="K364" i="159"/>
  <c r="L364" i="159"/>
  <c r="K365" i="159"/>
  <c r="L365" i="159"/>
  <c r="F367" i="159"/>
  <c r="G367" i="159"/>
  <c r="H367" i="159"/>
  <c r="I367" i="159"/>
  <c r="J367" i="159"/>
  <c r="D368" i="159"/>
  <c r="E368" i="159"/>
  <c r="K368" i="159"/>
  <c r="L368" i="159"/>
  <c r="M368" i="159"/>
  <c r="O368" i="159"/>
  <c r="P368" i="159"/>
  <c r="D369" i="159"/>
  <c r="D370" i="159" s="1"/>
  <c r="D371" i="159" s="1"/>
  <c r="K369" i="159"/>
  <c r="L369" i="159"/>
  <c r="K370" i="159"/>
  <c r="L370" i="159"/>
  <c r="K371" i="159"/>
  <c r="L371" i="159"/>
  <c r="D372" i="159"/>
  <c r="K372" i="159"/>
  <c r="L372" i="159"/>
  <c r="F374" i="159"/>
  <c r="G374" i="159"/>
  <c r="H374" i="159"/>
  <c r="I374" i="159"/>
  <c r="J374" i="159"/>
  <c r="D375" i="159"/>
  <c r="E375" i="159"/>
  <c r="K375" i="159"/>
  <c r="L375" i="159"/>
  <c r="M375" i="159"/>
  <c r="O375" i="159"/>
  <c r="P375" i="159"/>
  <c r="D376" i="159"/>
  <c r="D377" i="159" s="1"/>
  <c r="K376" i="159"/>
  <c r="L376" i="159"/>
  <c r="K377" i="159"/>
  <c r="L377" i="159"/>
  <c r="D378" i="159"/>
  <c r="D379" i="159" s="1"/>
  <c r="K378" i="159"/>
  <c r="L378" i="159"/>
  <c r="K379" i="159"/>
  <c r="L379" i="159"/>
  <c r="F381" i="159"/>
  <c r="G381" i="159"/>
  <c r="H381" i="159"/>
  <c r="I381" i="159"/>
  <c r="J381" i="159"/>
  <c r="D382" i="159"/>
  <c r="E382" i="159"/>
  <c r="K382" i="159"/>
  <c r="L382" i="159"/>
  <c r="M382" i="159"/>
  <c r="O382" i="159"/>
  <c r="P382" i="159"/>
  <c r="D383" i="159"/>
  <c r="D384" i="159" s="1"/>
  <c r="D385" i="159" s="1"/>
  <c r="D386" i="159" s="1"/>
  <c r="K383" i="159"/>
  <c r="L383" i="159"/>
  <c r="K384" i="159"/>
  <c r="L384" i="159"/>
  <c r="K385" i="159"/>
  <c r="L385" i="159"/>
  <c r="K386" i="159"/>
  <c r="L386" i="159"/>
  <c r="F388" i="159"/>
  <c r="G388" i="159"/>
  <c r="H388" i="159"/>
  <c r="I388" i="159"/>
  <c r="J388" i="159"/>
  <c r="D389" i="159"/>
  <c r="E389" i="159"/>
  <c r="K389" i="159"/>
  <c r="L389" i="159"/>
  <c r="M389" i="159"/>
  <c r="P389" i="159"/>
  <c r="D390" i="159"/>
  <c r="K390" i="159"/>
  <c r="L390" i="159"/>
  <c r="D391" i="159"/>
  <c r="D392" i="159" s="1"/>
  <c r="D393" i="159" s="1"/>
  <c r="K391" i="159"/>
  <c r="L391" i="159"/>
  <c r="K392" i="159"/>
  <c r="L392" i="159"/>
  <c r="K393" i="159"/>
  <c r="L393" i="159"/>
  <c r="F395" i="159"/>
  <c r="G395" i="159"/>
  <c r="H395" i="159"/>
  <c r="I395" i="159"/>
  <c r="J395" i="159"/>
  <c r="D396" i="159"/>
  <c r="D397" i="159" s="1"/>
  <c r="D398" i="159" s="1"/>
  <c r="D399" i="159" s="1"/>
  <c r="D400" i="159" s="1"/>
  <c r="E396" i="159"/>
  <c r="K396" i="159"/>
  <c r="L396" i="159"/>
  <c r="M396" i="159"/>
  <c r="P396" i="159"/>
  <c r="K397" i="159"/>
  <c r="L397" i="159"/>
  <c r="K398" i="159"/>
  <c r="L398" i="159"/>
  <c r="K399" i="159"/>
  <c r="L399" i="159"/>
  <c r="K400" i="159"/>
  <c r="L400" i="159"/>
  <c r="F402" i="159"/>
  <c r="G402" i="159"/>
  <c r="H402" i="159"/>
  <c r="I402" i="159"/>
  <c r="J402" i="159"/>
  <c r="D403" i="159"/>
  <c r="E403" i="159"/>
  <c r="K403" i="159"/>
  <c r="L403" i="159"/>
  <c r="M403" i="159"/>
  <c r="P403" i="159"/>
  <c r="D404" i="159"/>
  <c r="K404" i="159"/>
  <c r="L404" i="159"/>
  <c r="D405" i="159"/>
  <c r="D406" i="159" s="1"/>
  <c r="D407" i="159" s="1"/>
  <c r="K405" i="159"/>
  <c r="L405" i="159"/>
  <c r="K406" i="159"/>
  <c r="L406" i="159"/>
  <c r="K407" i="159"/>
  <c r="L407" i="159"/>
  <c r="F409" i="159"/>
  <c r="G409" i="159"/>
  <c r="H409" i="159"/>
  <c r="I409" i="159"/>
  <c r="J409" i="159"/>
  <c r="D410" i="159"/>
  <c r="E410" i="159"/>
  <c r="K410" i="159"/>
  <c r="L410" i="159"/>
  <c r="M410" i="159"/>
  <c r="P410" i="159"/>
  <c r="D411" i="159"/>
  <c r="D412" i="159" s="1"/>
  <c r="D413" i="159" s="1"/>
  <c r="D414" i="159" s="1"/>
  <c r="K411" i="159"/>
  <c r="L411" i="159"/>
  <c r="K412" i="159"/>
  <c r="L412" i="159"/>
  <c r="K413" i="159"/>
  <c r="L413" i="159"/>
  <c r="K414" i="159"/>
  <c r="L414" i="159"/>
  <c r="F416" i="159"/>
  <c r="G416" i="159"/>
  <c r="H416" i="159"/>
  <c r="I416" i="159"/>
  <c r="J416" i="159"/>
  <c r="D417" i="159"/>
  <c r="E417" i="159"/>
  <c r="K417" i="159"/>
  <c r="L417" i="159"/>
  <c r="M417" i="159"/>
  <c r="O417" i="159"/>
  <c r="P417" i="159" s="1"/>
  <c r="D418" i="159"/>
  <c r="D419" i="159" s="1"/>
  <c r="D420" i="159" s="1"/>
  <c r="D421" i="159" s="1"/>
  <c r="K418" i="159"/>
  <c r="L418" i="159"/>
  <c r="K419" i="159"/>
  <c r="L419" i="159"/>
  <c r="K420" i="159"/>
  <c r="L420" i="159"/>
  <c r="K421" i="159"/>
  <c r="L421" i="159"/>
  <c r="F423" i="159"/>
  <c r="G423" i="159"/>
  <c r="H423" i="159"/>
  <c r="I423" i="159"/>
  <c r="J423" i="159"/>
  <c r="D424" i="159"/>
  <c r="D425" i="159" s="1"/>
  <c r="E424" i="159"/>
  <c r="K424" i="159"/>
  <c r="L424" i="159"/>
  <c r="M424" i="159"/>
  <c r="P424" i="159"/>
  <c r="K425" i="159"/>
  <c r="L425" i="159"/>
  <c r="D426" i="159"/>
  <c r="D427" i="159" s="1"/>
  <c r="D428" i="159" s="1"/>
  <c r="K426" i="159"/>
  <c r="L426" i="159"/>
  <c r="K427" i="159"/>
  <c r="L427" i="159"/>
  <c r="K428" i="159"/>
  <c r="L428" i="159"/>
  <c r="F430" i="159"/>
  <c r="G430" i="159"/>
  <c r="H430" i="159"/>
  <c r="I430" i="159"/>
  <c r="J430" i="159"/>
  <c r="D431" i="159"/>
  <c r="E431" i="159"/>
  <c r="K431" i="159"/>
  <c r="L431" i="159"/>
  <c r="M431" i="159"/>
  <c r="P431" i="159"/>
  <c r="D432" i="159"/>
  <c r="D433" i="159" s="1"/>
  <c r="D434" i="159" s="1"/>
  <c r="D435" i="159" s="1"/>
  <c r="K432" i="159"/>
  <c r="L432" i="159"/>
  <c r="K433" i="159"/>
  <c r="L433" i="159"/>
  <c r="K434" i="159"/>
  <c r="L434" i="159"/>
  <c r="K435" i="159"/>
  <c r="L435" i="159"/>
  <c r="F437" i="159"/>
  <c r="G437" i="159"/>
  <c r="H437" i="159"/>
  <c r="I437" i="159"/>
  <c r="J437" i="159"/>
  <c r="D438" i="159"/>
  <c r="E438" i="159"/>
  <c r="K438" i="159"/>
  <c r="L438" i="159"/>
  <c r="M438" i="159"/>
  <c r="P438" i="159"/>
  <c r="D439" i="159"/>
  <c r="D440" i="159" s="1"/>
  <c r="D441" i="159" s="1"/>
  <c r="D442" i="159" s="1"/>
  <c r="K439" i="159"/>
  <c r="L439" i="159"/>
  <c r="K440" i="159"/>
  <c r="L440" i="159"/>
  <c r="K441" i="159"/>
  <c r="L441" i="159"/>
  <c r="K442" i="159"/>
  <c r="L442" i="159"/>
  <c r="F444" i="159"/>
  <c r="G444" i="159"/>
  <c r="H444" i="159"/>
  <c r="I444" i="159"/>
  <c r="J444" i="159"/>
  <c r="D445" i="159"/>
  <c r="D446" i="159" s="1"/>
  <c r="D447" i="159" s="1"/>
  <c r="D448" i="159" s="1"/>
  <c r="D449" i="159" s="1"/>
  <c r="E445" i="159"/>
  <c r="K445" i="159"/>
  <c r="L445" i="159"/>
  <c r="M445" i="159"/>
  <c r="P445" i="159"/>
  <c r="K446" i="159"/>
  <c r="L446" i="159"/>
  <c r="K447" i="159"/>
  <c r="L447" i="159"/>
  <c r="K448" i="159"/>
  <c r="L448" i="159"/>
  <c r="K449" i="159"/>
  <c r="L449" i="159"/>
  <c r="F451" i="159"/>
  <c r="G451" i="159"/>
  <c r="H451" i="159"/>
  <c r="I451" i="159"/>
  <c r="J451" i="159"/>
  <c r="D452" i="159"/>
  <c r="D453" i="159" s="1"/>
  <c r="D454" i="159" s="1"/>
  <c r="D455" i="159" s="1"/>
  <c r="E452" i="159"/>
  <c r="K452" i="159"/>
  <c r="L452" i="159"/>
  <c r="M452" i="159"/>
  <c r="P452" i="159"/>
  <c r="K453" i="159"/>
  <c r="L453" i="159"/>
  <c r="K454" i="159"/>
  <c r="L454" i="159"/>
  <c r="K455" i="159"/>
  <c r="L455" i="159"/>
  <c r="D456" i="159"/>
  <c r="K456" i="159"/>
  <c r="L456" i="159"/>
  <c r="F458" i="159"/>
  <c r="G458" i="159"/>
  <c r="H458" i="159"/>
  <c r="I458" i="159"/>
  <c r="J458" i="159"/>
  <c r="D459" i="159"/>
  <c r="E459" i="159"/>
  <c r="K459" i="159"/>
  <c r="L459" i="159"/>
  <c r="M459" i="159"/>
  <c r="P459" i="159"/>
  <c r="D460" i="159"/>
  <c r="D461" i="159" s="1"/>
  <c r="D462" i="159" s="1"/>
  <c r="D463" i="159" s="1"/>
  <c r="K460" i="159"/>
  <c r="L460" i="159"/>
  <c r="K461" i="159"/>
  <c r="L461" i="159"/>
  <c r="K462" i="159"/>
  <c r="L462" i="159"/>
  <c r="K463" i="159"/>
  <c r="L463" i="159"/>
  <c r="F465" i="159"/>
  <c r="G465" i="159"/>
  <c r="H465" i="159"/>
  <c r="I465" i="159"/>
  <c r="J465" i="159"/>
  <c r="D466" i="159"/>
  <c r="D467" i="159" s="1"/>
  <c r="E466" i="159"/>
  <c r="K466" i="159"/>
  <c r="L466" i="159"/>
  <c r="M466" i="159"/>
  <c r="O466" i="159"/>
  <c r="P466" i="159" s="1"/>
  <c r="K467" i="159"/>
  <c r="L467" i="159"/>
  <c r="D468" i="159"/>
  <c r="D469" i="159" s="1"/>
  <c r="D470" i="159" s="1"/>
  <c r="K468" i="159"/>
  <c r="L468" i="159"/>
  <c r="K469" i="159"/>
  <c r="L469" i="159"/>
  <c r="K470" i="159"/>
  <c r="L470" i="159"/>
  <c r="F472" i="159"/>
  <c r="G472" i="159"/>
  <c r="H472" i="159"/>
  <c r="I472" i="159"/>
  <c r="J472" i="159"/>
  <c r="D473" i="159"/>
  <c r="E473" i="159"/>
  <c r="K473" i="159"/>
  <c r="L473" i="159"/>
  <c r="M473" i="159"/>
  <c r="O473" i="159"/>
  <c r="P473" i="159"/>
  <c r="D474" i="159"/>
  <c r="D475" i="159" s="1"/>
  <c r="D476" i="159" s="1"/>
  <c r="D477" i="159" s="1"/>
  <c r="K474" i="159"/>
  <c r="L474" i="159"/>
  <c r="K475" i="159"/>
  <c r="L475" i="159"/>
  <c r="K476" i="159"/>
  <c r="L476" i="159"/>
  <c r="K477" i="159"/>
  <c r="L477" i="159"/>
  <c r="F479" i="159"/>
  <c r="G479" i="159"/>
  <c r="H479" i="159"/>
  <c r="I479" i="159"/>
  <c r="J479" i="159"/>
  <c r="D480" i="159"/>
  <c r="D481" i="159" s="1"/>
  <c r="D482" i="159" s="1"/>
  <c r="D483" i="159" s="1"/>
  <c r="D484" i="159" s="1"/>
  <c r="E480" i="159"/>
  <c r="K480" i="159"/>
  <c r="L480" i="159"/>
  <c r="M480" i="159"/>
  <c r="O480" i="159"/>
  <c r="P480" i="159"/>
  <c r="K481" i="159"/>
  <c r="L481" i="159"/>
  <c r="K482" i="159"/>
  <c r="L482" i="159"/>
  <c r="K483" i="159"/>
  <c r="L483" i="159"/>
  <c r="K484" i="159"/>
  <c r="L484" i="159"/>
  <c r="F486" i="159"/>
  <c r="G486" i="159"/>
  <c r="H486" i="159"/>
  <c r="I486" i="159"/>
  <c r="J486" i="159"/>
  <c r="D487" i="159"/>
  <c r="D488" i="159" s="1"/>
  <c r="D489" i="159" s="1"/>
  <c r="E487" i="159"/>
  <c r="K487" i="159"/>
  <c r="L487" i="159"/>
  <c r="M487" i="159"/>
  <c r="O487" i="159"/>
  <c r="P487" i="159" s="1"/>
  <c r="K488" i="159"/>
  <c r="L488" i="159"/>
  <c r="K489" i="159"/>
  <c r="L489" i="159"/>
  <c r="D490" i="159"/>
  <c r="D491" i="159" s="1"/>
  <c r="K490" i="159"/>
  <c r="L490" i="159"/>
  <c r="K491" i="159"/>
  <c r="L491" i="159"/>
  <c r="F493" i="159"/>
  <c r="G493" i="159"/>
  <c r="H493" i="159"/>
  <c r="I493" i="159"/>
  <c r="J493" i="159"/>
  <c r="D494" i="159"/>
  <c r="E494" i="159"/>
  <c r="K494" i="159"/>
  <c r="L494" i="159"/>
  <c r="M494" i="159"/>
  <c r="P494" i="159"/>
  <c r="D495" i="159"/>
  <c r="K495" i="159"/>
  <c r="L495" i="159"/>
  <c r="D496" i="159"/>
  <c r="D497" i="159" s="1"/>
  <c r="D498" i="159" s="1"/>
  <c r="K496" i="159"/>
  <c r="L496" i="159"/>
  <c r="K497" i="159"/>
  <c r="L497" i="159"/>
  <c r="K498" i="159"/>
  <c r="L498" i="159"/>
  <c r="F500" i="159"/>
  <c r="G500" i="159"/>
  <c r="H500" i="159"/>
  <c r="I500" i="159"/>
  <c r="J500" i="159"/>
  <c r="D501" i="159"/>
  <c r="E501" i="159"/>
  <c r="K501" i="159"/>
  <c r="L501" i="159"/>
  <c r="M501" i="159"/>
  <c r="P501" i="159"/>
  <c r="D502" i="159"/>
  <c r="D503" i="159" s="1"/>
  <c r="D504" i="159" s="1"/>
  <c r="D505" i="159" s="1"/>
  <c r="K502" i="159"/>
  <c r="L502" i="159"/>
  <c r="K503" i="159"/>
  <c r="L503" i="159"/>
  <c r="K504" i="159"/>
  <c r="L504" i="159"/>
  <c r="K505" i="159"/>
  <c r="L505" i="159"/>
  <c r="F507" i="159"/>
  <c r="G507" i="159"/>
  <c r="H507" i="159"/>
  <c r="I507" i="159"/>
  <c r="J507" i="159"/>
  <c r="D508" i="159"/>
  <c r="D509" i="159" s="1"/>
  <c r="D510" i="159" s="1"/>
  <c r="D511" i="159" s="1"/>
  <c r="D512" i="159" s="1"/>
  <c r="E508" i="159"/>
  <c r="K508" i="159"/>
  <c r="L508" i="159"/>
  <c r="M508" i="159"/>
  <c r="P508" i="159"/>
  <c r="K509" i="159"/>
  <c r="L509" i="159"/>
  <c r="K510" i="159"/>
  <c r="L510" i="159"/>
  <c r="K511" i="159"/>
  <c r="L511" i="159"/>
  <c r="K512" i="159"/>
  <c r="L512" i="159"/>
  <c r="F514" i="159"/>
  <c r="G514" i="159"/>
  <c r="H514" i="159"/>
  <c r="I514" i="159"/>
  <c r="J514" i="159"/>
  <c r="D515" i="159"/>
  <c r="E515" i="159"/>
  <c r="K515" i="159"/>
  <c r="L515" i="159"/>
  <c r="M515" i="159"/>
  <c r="P515" i="159"/>
  <c r="D516" i="159"/>
  <c r="D517" i="159" s="1"/>
  <c r="D518" i="159" s="1"/>
  <c r="D519" i="159" s="1"/>
  <c r="K516" i="159"/>
  <c r="L516" i="159"/>
  <c r="K517" i="159"/>
  <c r="L517" i="159"/>
  <c r="K518" i="159"/>
  <c r="L518" i="159"/>
  <c r="K519" i="159"/>
  <c r="L519" i="159"/>
  <c r="F521" i="159"/>
  <c r="G521" i="159"/>
  <c r="H521" i="159"/>
  <c r="I521" i="159"/>
  <c r="J521" i="159"/>
  <c r="D522" i="159"/>
  <c r="D523" i="159" s="1"/>
  <c r="D524" i="159" s="1"/>
  <c r="D525" i="159" s="1"/>
  <c r="D526" i="159" s="1"/>
  <c r="E522" i="159"/>
  <c r="K522" i="159"/>
  <c r="L522" i="159"/>
  <c r="M522" i="159"/>
  <c r="O522" i="159"/>
  <c r="P522" i="159"/>
  <c r="K523" i="159"/>
  <c r="L523" i="159"/>
  <c r="K524" i="159"/>
  <c r="L524" i="159"/>
  <c r="K525" i="159"/>
  <c r="L525" i="159"/>
  <c r="K526" i="159"/>
  <c r="L526" i="159"/>
  <c r="F528" i="159"/>
  <c r="G528" i="159"/>
  <c r="H528" i="159"/>
  <c r="I528" i="159"/>
  <c r="J528" i="159"/>
  <c r="D529" i="159"/>
  <c r="D530" i="159" s="1"/>
  <c r="D531" i="159" s="1"/>
  <c r="D532" i="159" s="1"/>
  <c r="D533" i="159" s="1"/>
  <c r="E529" i="159"/>
  <c r="K529" i="159"/>
  <c r="L529" i="159"/>
  <c r="M529" i="159"/>
  <c r="O529" i="159"/>
  <c r="P529" i="159" s="1"/>
  <c r="K530" i="159"/>
  <c r="L530" i="159"/>
  <c r="K531" i="159"/>
  <c r="L531" i="159"/>
  <c r="K532" i="159"/>
  <c r="L532" i="159"/>
  <c r="K533" i="159"/>
  <c r="L533" i="159"/>
  <c r="F535" i="159"/>
  <c r="G535" i="159"/>
  <c r="H535" i="159"/>
  <c r="I535" i="159"/>
  <c r="J535" i="159"/>
  <c r="D536" i="159"/>
  <c r="E536" i="159"/>
  <c r="K536" i="159"/>
  <c r="L536" i="159"/>
  <c r="M536" i="159"/>
  <c r="O536" i="159"/>
  <c r="P536" i="159" s="1"/>
  <c r="D537" i="159"/>
  <c r="D538" i="159" s="1"/>
  <c r="D539" i="159" s="1"/>
  <c r="D540" i="159" s="1"/>
  <c r="K537" i="159"/>
  <c r="L537" i="159"/>
  <c r="K538" i="159"/>
  <c r="L538" i="159"/>
  <c r="K539" i="159"/>
  <c r="L539" i="159"/>
  <c r="K540" i="159"/>
  <c r="L540" i="159"/>
  <c r="F542" i="159"/>
  <c r="G542" i="159"/>
  <c r="H542" i="159"/>
  <c r="I542" i="159"/>
  <c r="J542" i="159"/>
  <c r="D543" i="159"/>
  <c r="D544" i="159" s="1"/>
  <c r="D545" i="159" s="1"/>
  <c r="D546" i="159" s="1"/>
  <c r="D547" i="159" s="1"/>
  <c r="E543" i="159"/>
  <c r="K543" i="159"/>
  <c r="L543" i="159"/>
  <c r="M543" i="159"/>
  <c r="O543" i="159"/>
  <c r="P543" i="159" s="1"/>
  <c r="K544" i="159"/>
  <c r="L544" i="159"/>
  <c r="K545" i="159"/>
  <c r="L545" i="159"/>
  <c r="K546" i="159"/>
  <c r="L546" i="159"/>
  <c r="K547" i="159"/>
  <c r="L547" i="159"/>
  <c r="F549" i="159"/>
  <c r="G549" i="159"/>
  <c r="H549" i="159"/>
  <c r="I549" i="159"/>
  <c r="J549" i="159"/>
  <c r="D550" i="159"/>
  <c r="E550" i="159"/>
  <c r="K550" i="159"/>
  <c r="L550" i="159"/>
  <c r="M550" i="159"/>
  <c r="O550" i="159"/>
  <c r="P550" i="159" s="1"/>
  <c r="D551" i="159"/>
  <c r="D552" i="159" s="1"/>
  <c r="D553" i="159" s="1"/>
  <c r="D554" i="159" s="1"/>
  <c r="K551" i="159"/>
  <c r="L551" i="159"/>
  <c r="K552" i="159"/>
  <c r="L552" i="159"/>
  <c r="K553" i="159"/>
  <c r="L553" i="159"/>
  <c r="K554" i="159"/>
  <c r="L554" i="159"/>
  <c r="F556" i="159"/>
  <c r="G556" i="159"/>
  <c r="H556" i="159"/>
  <c r="I556" i="159"/>
  <c r="J556" i="159"/>
  <c r="D557" i="159"/>
  <c r="E557" i="159"/>
  <c r="K557" i="159"/>
  <c r="L557" i="159"/>
  <c r="M557" i="159"/>
  <c r="O557" i="159"/>
  <c r="P557" i="159"/>
  <c r="D558" i="159"/>
  <c r="D559" i="159" s="1"/>
  <c r="D560" i="159" s="1"/>
  <c r="D561" i="159" s="1"/>
  <c r="K558" i="159"/>
  <c r="L558" i="159"/>
  <c r="K559" i="159"/>
  <c r="L559" i="159"/>
  <c r="K560" i="159"/>
  <c r="L560" i="159"/>
  <c r="K561" i="159"/>
  <c r="L561" i="159"/>
  <c r="F563" i="159"/>
  <c r="G563" i="159"/>
  <c r="H563" i="159"/>
  <c r="I563" i="159"/>
  <c r="J563" i="159"/>
  <c r="D564" i="159"/>
  <c r="D565" i="159" s="1"/>
  <c r="D566" i="159" s="1"/>
  <c r="D567" i="159" s="1"/>
  <c r="D568" i="159" s="1"/>
  <c r="E564" i="159"/>
  <c r="K564" i="159"/>
  <c r="L564" i="159"/>
  <c r="M564" i="159"/>
  <c r="P564" i="159"/>
  <c r="K565" i="159"/>
  <c r="L565" i="159"/>
  <c r="K566" i="159"/>
  <c r="L566" i="159"/>
  <c r="K567" i="159"/>
  <c r="L567" i="159"/>
  <c r="K568" i="159"/>
  <c r="L568" i="159"/>
  <c r="F570" i="159"/>
  <c r="G570" i="159"/>
  <c r="H570" i="159"/>
  <c r="I570" i="159"/>
  <c r="J570" i="159"/>
  <c r="D571" i="159"/>
  <c r="D572" i="159" s="1"/>
  <c r="D573" i="159" s="1"/>
  <c r="D574" i="159" s="1"/>
  <c r="D575" i="159" s="1"/>
  <c r="E571" i="159"/>
  <c r="K571" i="159"/>
  <c r="L571" i="159"/>
  <c r="M571" i="159"/>
  <c r="O571" i="159"/>
  <c r="P571" i="159"/>
  <c r="K572" i="159"/>
  <c r="L572" i="159"/>
  <c r="K573" i="159"/>
  <c r="L573" i="159"/>
  <c r="K574" i="159"/>
  <c r="L574" i="159"/>
  <c r="K575" i="159"/>
  <c r="L575" i="159"/>
  <c r="F577" i="159"/>
  <c r="G577" i="159"/>
  <c r="H577" i="159"/>
  <c r="I577" i="159"/>
  <c r="J577" i="159"/>
  <c r="D578" i="159"/>
  <c r="E578" i="159"/>
  <c r="K578" i="159"/>
  <c r="L578" i="159"/>
  <c r="M578" i="159"/>
  <c r="O578" i="159"/>
  <c r="P578" i="159"/>
  <c r="D579" i="159"/>
  <c r="K579" i="159"/>
  <c r="L579" i="159"/>
  <c r="D580" i="159"/>
  <c r="D581" i="159" s="1"/>
  <c r="D582" i="159" s="1"/>
  <c r="K580" i="159"/>
  <c r="L580" i="159"/>
  <c r="K581" i="159"/>
  <c r="L581" i="159"/>
  <c r="K582" i="159"/>
  <c r="L582" i="159"/>
  <c r="F584" i="159"/>
  <c r="G584" i="159"/>
  <c r="H584" i="159"/>
  <c r="I584" i="159"/>
  <c r="J584" i="159"/>
  <c r="D585" i="159"/>
  <c r="E585" i="159"/>
  <c r="K585" i="159"/>
  <c r="L585" i="159"/>
  <c r="M585" i="159"/>
  <c r="O585" i="159"/>
  <c r="P585" i="159"/>
  <c r="D586" i="159"/>
  <c r="D587" i="159" s="1"/>
  <c r="D588" i="159" s="1"/>
  <c r="D589" i="159" s="1"/>
  <c r="K586" i="159"/>
  <c r="L586" i="159"/>
  <c r="K587" i="159"/>
  <c r="L587" i="159"/>
  <c r="K588" i="159"/>
  <c r="L588" i="159"/>
  <c r="K589" i="159"/>
  <c r="L589" i="159"/>
  <c r="F591" i="159"/>
  <c r="G591" i="159"/>
  <c r="H591" i="159"/>
  <c r="I591" i="159"/>
  <c r="J591" i="159"/>
  <c r="D592" i="159"/>
  <c r="E592" i="159"/>
  <c r="K592" i="159"/>
  <c r="L592" i="159"/>
  <c r="M592" i="159"/>
  <c r="O592" i="159"/>
  <c r="P592" i="159" s="1"/>
  <c r="D593" i="159"/>
  <c r="D594" i="159" s="1"/>
  <c r="D595" i="159" s="1"/>
  <c r="D596" i="159" s="1"/>
  <c r="K593" i="159"/>
  <c r="L593" i="159"/>
  <c r="K594" i="159"/>
  <c r="L594" i="159"/>
  <c r="K595" i="159"/>
  <c r="L595" i="159"/>
  <c r="K596" i="159"/>
  <c r="L596" i="159"/>
  <c r="F598" i="159"/>
  <c r="G598" i="159"/>
  <c r="H598" i="159"/>
  <c r="I598" i="159"/>
  <c r="J598" i="159"/>
  <c r="D599" i="159"/>
  <c r="D600" i="159" s="1"/>
  <c r="D601" i="159" s="1"/>
  <c r="D602" i="159" s="1"/>
  <c r="D603" i="159" s="1"/>
  <c r="E599" i="159"/>
  <c r="K599" i="159"/>
  <c r="L599" i="159"/>
  <c r="M599" i="159"/>
  <c r="O599" i="159"/>
  <c r="P599" i="159" s="1"/>
  <c r="K600" i="159"/>
  <c r="L600" i="159"/>
  <c r="K601" i="159"/>
  <c r="L601" i="159"/>
  <c r="K602" i="159"/>
  <c r="L602" i="159"/>
  <c r="K603" i="159"/>
  <c r="L603" i="159"/>
  <c r="F605" i="159"/>
  <c r="G605" i="159"/>
  <c r="H605" i="159"/>
  <c r="I605" i="159"/>
  <c r="J605" i="159"/>
  <c r="D606" i="159"/>
  <c r="D607" i="159" s="1"/>
  <c r="D608" i="159" s="1"/>
  <c r="D609" i="159" s="1"/>
  <c r="E606" i="159"/>
  <c r="K606" i="159"/>
  <c r="L606" i="159"/>
  <c r="M606" i="159"/>
  <c r="O606" i="159"/>
  <c r="P606" i="159"/>
  <c r="K607" i="159"/>
  <c r="L607" i="159"/>
  <c r="K608" i="159"/>
  <c r="L608" i="159"/>
  <c r="K609" i="159"/>
  <c r="L609" i="159"/>
  <c r="D610" i="159"/>
  <c r="K610" i="159"/>
  <c r="L610" i="159"/>
  <c r="F612" i="159"/>
  <c r="G612" i="159"/>
  <c r="H612" i="159"/>
  <c r="I612" i="159"/>
  <c r="J612" i="159"/>
  <c r="D613" i="159"/>
  <c r="E613" i="159"/>
  <c r="K613" i="159"/>
  <c r="L613" i="159"/>
  <c r="M613" i="159"/>
  <c r="O613" i="159"/>
  <c r="P613" i="159"/>
  <c r="D614" i="159"/>
  <c r="K614" i="159"/>
  <c r="L614" i="159"/>
  <c r="D615" i="159"/>
  <c r="D616" i="159" s="1"/>
  <c r="D617" i="159" s="1"/>
  <c r="K615" i="159"/>
  <c r="L615" i="159"/>
  <c r="K616" i="159"/>
  <c r="L616" i="159"/>
  <c r="K617" i="159"/>
  <c r="L617" i="159"/>
  <c r="F619" i="159"/>
  <c r="G619" i="159"/>
  <c r="H619" i="159"/>
  <c r="I619" i="159"/>
  <c r="J619" i="159"/>
  <c r="D620" i="159"/>
  <c r="D622" i="159" s="1"/>
  <c r="D624" i="159" s="1"/>
  <c r="E620" i="159"/>
  <c r="K620" i="159"/>
  <c r="L620" i="159"/>
  <c r="M620" i="159"/>
  <c r="O620" i="159"/>
  <c r="P620" i="159"/>
  <c r="D621" i="159"/>
  <c r="D623" i="159" s="1"/>
  <c r="D625" i="159" s="1"/>
  <c r="E621" i="159"/>
  <c r="K621" i="159"/>
  <c r="L621" i="159"/>
  <c r="M621" i="159"/>
  <c r="O621" i="159"/>
  <c r="P621" i="159" s="1"/>
  <c r="K622" i="159"/>
  <c r="L622" i="159"/>
  <c r="K623" i="159"/>
  <c r="L623" i="159"/>
  <c r="K624" i="159"/>
  <c r="L624" i="159"/>
  <c r="K625" i="159"/>
  <c r="L625" i="159"/>
  <c r="F627" i="159"/>
  <c r="G627" i="159"/>
  <c r="H627" i="159"/>
  <c r="I627" i="159"/>
  <c r="J627" i="159"/>
  <c r="D628" i="159"/>
  <c r="E628" i="159"/>
  <c r="K628" i="159"/>
  <c r="L628" i="159"/>
  <c r="M628" i="159"/>
  <c r="O628" i="159"/>
  <c r="P628" i="159"/>
  <c r="D629" i="159"/>
  <c r="D630" i="159" s="1"/>
  <c r="D631" i="159" s="1"/>
  <c r="K629" i="159"/>
  <c r="L629" i="159"/>
  <c r="K630" i="159"/>
  <c r="L630" i="159"/>
  <c r="K631" i="159"/>
  <c r="L631" i="159"/>
  <c r="D632" i="159"/>
  <c r="K632" i="159"/>
  <c r="L632" i="159"/>
  <c r="F634" i="159"/>
  <c r="G634" i="159"/>
  <c r="H634" i="159"/>
  <c r="I634" i="159"/>
  <c r="J634" i="159"/>
  <c r="D635" i="159"/>
  <c r="E635" i="159"/>
  <c r="K635" i="159"/>
  <c r="L635" i="159"/>
  <c r="M635" i="159"/>
  <c r="O635" i="159"/>
  <c r="P635" i="159" s="1"/>
  <c r="D636" i="159"/>
  <c r="D637" i="159" s="1"/>
  <c r="K636" i="159"/>
  <c r="L636" i="159"/>
  <c r="K637" i="159"/>
  <c r="L637" i="159"/>
  <c r="D638" i="159"/>
  <c r="D639" i="159" s="1"/>
  <c r="K638" i="159"/>
  <c r="L638" i="159"/>
  <c r="K639" i="159"/>
  <c r="L639" i="159"/>
  <c r="F641" i="159"/>
  <c r="G641" i="159"/>
  <c r="H641" i="159"/>
  <c r="I641" i="159"/>
  <c r="J641" i="159"/>
  <c r="D642" i="159"/>
  <c r="D643" i="159" s="1"/>
  <c r="D644" i="159" s="1"/>
  <c r="D645" i="159" s="1"/>
  <c r="D646" i="159" s="1"/>
  <c r="E642" i="159"/>
  <c r="K642" i="159"/>
  <c r="L642" i="159"/>
  <c r="M642" i="159"/>
  <c r="P642" i="159"/>
  <c r="K643" i="159"/>
  <c r="L643" i="159"/>
  <c r="K644" i="159"/>
  <c r="L644" i="159"/>
  <c r="K645" i="159"/>
  <c r="L645" i="159"/>
  <c r="K646" i="159"/>
  <c r="L646" i="159"/>
  <c r="F648" i="159"/>
  <c r="G648" i="159"/>
  <c r="H648" i="159"/>
  <c r="I648" i="159"/>
  <c r="J648" i="159"/>
  <c r="D649" i="159"/>
  <c r="D650" i="159" s="1"/>
  <c r="D651" i="159" s="1"/>
  <c r="D652" i="159" s="1"/>
  <c r="D653" i="159" s="1"/>
  <c r="E649" i="159"/>
  <c r="K649" i="159"/>
  <c r="L649" i="159"/>
  <c r="M649" i="159"/>
  <c r="O649" i="159"/>
  <c r="P649" i="159"/>
  <c r="K650" i="159"/>
  <c r="L650" i="159"/>
  <c r="K651" i="159"/>
  <c r="L651" i="159"/>
  <c r="K652" i="159"/>
  <c r="L652" i="159"/>
  <c r="K653" i="159"/>
  <c r="L653" i="159"/>
  <c r="F655" i="159"/>
  <c r="G655" i="159"/>
  <c r="H655" i="159"/>
  <c r="I655" i="159"/>
  <c r="J655" i="159"/>
  <c r="D656" i="159"/>
  <c r="D657" i="159" s="1"/>
  <c r="D658" i="159" s="1"/>
  <c r="D659" i="159" s="1"/>
  <c r="D660" i="159" s="1"/>
  <c r="E656" i="159"/>
  <c r="K656" i="159"/>
  <c r="L656" i="159"/>
  <c r="M656" i="159"/>
  <c r="O656" i="159"/>
  <c r="P656" i="159" s="1"/>
  <c r="K657" i="159"/>
  <c r="L657" i="159"/>
  <c r="K658" i="159"/>
  <c r="L658" i="159"/>
  <c r="K659" i="159"/>
  <c r="L659" i="159"/>
  <c r="K660" i="159"/>
  <c r="L660" i="159"/>
  <c r="F662" i="159"/>
  <c r="G662" i="159"/>
  <c r="H662" i="159"/>
  <c r="I662" i="159"/>
  <c r="J662" i="159"/>
  <c r="D663" i="159"/>
  <c r="E663" i="159"/>
  <c r="K663" i="159"/>
  <c r="L663" i="159"/>
  <c r="M663" i="159"/>
  <c r="O663" i="159"/>
  <c r="P663" i="159"/>
  <c r="D664" i="159"/>
  <c r="D665" i="159" s="1"/>
  <c r="D666" i="159" s="1"/>
  <c r="D667" i="159" s="1"/>
  <c r="K664" i="159"/>
  <c r="L664" i="159"/>
  <c r="K665" i="159"/>
  <c r="L665" i="159"/>
  <c r="K666" i="159"/>
  <c r="L666" i="159"/>
  <c r="K667" i="159"/>
  <c r="L667" i="159"/>
  <c r="F669" i="159"/>
  <c r="G669" i="159"/>
  <c r="H669" i="159"/>
  <c r="I669" i="159"/>
  <c r="J669" i="159"/>
  <c r="D670" i="159"/>
  <c r="E670" i="159"/>
  <c r="K670" i="159"/>
  <c r="L670" i="159"/>
  <c r="M670" i="159"/>
  <c r="O670" i="159"/>
  <c r="P670" i="159"/>
  <c r="D671" i="159"/>
  <c r="D672" i="159" s="1"/>
  <c r="D673" i="159" s="1"/>
  <c r="D674" i="159" s="1"/>
  <c r="K671" i="159"/>
  <c r="L671" i="159"/>
  <c r="K672" i="159"/>
  <c r="L672" i="159"/>
  <c r="K673" i="159"/>
  <c r="L673" i="159"/>
  <c r="K674" i="159"/>
  <c r="L674" i="159"/>
  <c r="F676" i="159"/>
  <c r="G676" i="159"/>
  <c r="H676" i="159"/>
  <c r="I676" i="159"/>
  <c r="J676" i="159"/>
  <c r="D677" i="159"/>
  <c r="D678" i="159" s="1"/>
  <c r="D679" i="159" s="1"/>
  <c r="D680" i="159" s="1"/>
  <c r="D681" i="159" s="1"/>
  <c r="E677" i="159"/>
  <c r="K677" i="159"/>
  <c r="L677" i="159"/>
  <c r="M677" i="159"/>
  <c r="O677" i="159"/>
  <c r="P677" i="159" s="1"/>
  <c r="K678" i="159"/>
  <c r="L678" i="159"/>
  <c r="K679" i="159"/>
  <c r="L679" i="159"/>
  <c r="K680" i="159"/>
  <c r="L680" i="159"/>
  <c r="K681" i="159"/>
  <c r="L681" i="159"/>
  <c r="F683" i="159"/>
  <c r="G683" i="159"/>
  <c r="H683" i="159"/>
  <c r="I683" i="159"/>
  <c r="J683" i="159"/>
  <c r="D684" i="159"/>
  <c r="D685" i="159" s="1"/>
  <c r="D686" i="159" s="1"/>
  <c r="D687" i="159" s="1"/>
  <c r="D688" i="159" s="1"/>
  <c r="E684" i="159"/>
  <c r="K684" i="159"/>
  <c r="L684" i="159"/>
  <c r="M684" i="159"/>
  <c r="O684" i="159"/>
  <c r="P684" i="159" s="1"/>
  <c r="K685" i="159"/>
  <c r="L685" i="159"/>
  <c r="K686" i="159"/>
  <c r="L686" i="159"/>
  <c r="K687" i="159"/>
  <c r="L687" i="159"/>
  <c r="K688" i="159"/>
  <c r="L688" i="159"/>
  <c r="F690" i="159"/>
  <c r="G690" i="159"/>
  <c r="H690" i="159"/>
  <c r="I690" i="159"/>
  <c r="J690" i="159"/>
  <c r="D691" i="159"/>
  <c r="D692" i="159" s="1"/>
  <c r="D693" i="159" s="1"/>
  <c r="D694" i="159" s="1"/>
  <c r="D695" i="159" s="1"/>
  <c r="E691" i="159"/>
  <c r="K691" i="159"/>
  <c r="L691" i="159"/>
  <c r="M691" i="159"/>
  <c r="P691" i="159"/>
  <c r="K692" i="159"/>
  <c r="L692" i="159"/>
  <c r="K693" i="159"/>
  <c r="L693" i="159"/>
  <c r="K694" i="159"/>
  <c r="L694" i="159"/>
  <c r="K695" i="159"/>
  <c r="L695" i="159"/>
  <c r="F697" i="159"/>
  <c r="G697" i="159"/>
  <c r="H697" i="159"/>
  <c r="I697" i="159"/>
  <c r="J697" i="159"/>
  <c r="D698" i="159"/>
  <c r="E698" i="159"/>
  <c r="K698" i="159"/>
  <c r="L698" i="159"/>
  <c r="M698" i="159"/>
  <c r="P698" i="159"/>
  <c r="D699" i="159"/>
  <c r="D700" i="159" s="1"/>
  <c r="D701" i="159" s="1"/>
  <c r="D702" i="159" s="1"/>
  <c r="K699" i="159"/>
  <c r="L699" i="159"/>
  <c r="K700" i="159"/>
  <c r="L700" i="159"/>
  <c r="K701" i="159"/>
  <c r="L701" i="159"/>
  <c r="K702" i="159"/>
  <c r="L702" i="159"/>
  <c r="F704" i="159"/>
  <c r="G704" i="159"/>
  <c r="H704" i="159"/>
  <c r="I704" i="159"/>
  <c r="J704" i="159"/>
  <c r="D705" i="159"/>
  <c r="E705" i="159"/>
  <c r="K705" i="159"/>
  <c r="L705" i="159"/>
  <c r="M705" i="159"/>
  <c r="O705" i="159"/>
  <c r="P705" i="159"/>
  <c r="D706" i="159"/>
  <c r="K706" i="159"/>
  <c r="L706" i="159"/>
  <c r="D707" i="159"/>
  <c r="D708" i="159" s="1"/>
  <c r="K707" i="159"/>
  <c r="L707" i="159"/>
  <c r="K708" i="159"/>
  <c r="L708" i="159"/>
  <c r="D709" i="159"/>
  <c r="K709" i="159"/>
  <c r="L709" i="159"/>
  <c r="F711" i="159"/>
  <c r="G711" i="159"/>
  <c r="H711" i="159"/>
  <c r="I711" i="159"/>
  <c r="J711" i="159"/>
  <c r="D712" i="159"/>
  <c r="D713" i="159" s="1"/>
  <c r="D714" i="159" s="1"/>
  <c r="D715" i="159" s="1"/>
  <c r="D716" i="159" s="1"/>
  <c r="E712" i="159"/>
  <c r="K712" i="159"/>
  <c r="L712" i="159"/>
  <c r="M712" i="159"/>
  <c r="O712" i="159"/>
  <c r="P712" i="159"/>
  <c r="K713" i="159"/>
  <c r="L713" i="159"/>
  <c r="K714" i="159"/>
  <c r="L714" i="159"/>
  <c r="K715" i="159"/>
  <c r="L715" i="159"/>
  <c r="K716" i="159"/>
  <c r="L716" i="159"/>
  <c r="F718" i="159"/>
  <c r="G718" i="159"/>
  <c r="H718" i="159"/>
  <c r="I718" i="159"/>
  <c r="J718" i="159"/>
  <c r="D719" i="159"/>
  <c r="E719" i="159"/>
  <c r="K719" i="159"/>
  <c r="L719" i="159"/>
  <c r="M719" i="159"/>
  <c r="O719" i="159"/>
  <c r="P719" i="159"/>
  <c r="D720" i="159"/>
  <c r="D721" i="159" s="1"/>
  <c r="D722" i="159" s="1"/>
  <c r="D723" i="159" s="1"/>
  <c r="K720" i="159"/>
  <c r="L720" i="159"/>
  <c r="K721" i="159"/>
  <c r="L721" i="159"/>
  <c r="K722" i="159"/>
  <c r="L722" i="159"/>
  <c r="K723" i="159"/>
  <c r="L723" i="159"/>
  <c r="F725" i="159"/>
  <c r="G725" i="159"/>
  <c r="H725" i="159"/>
  <c r="I725" i="159"/>
  <c r="J725" i="159"/>
  <c r="D726" i="159"/>
  <c r="E726" i="159"/>
  <c r="K726" i="159"/>
  <c r="L726" i="159"/>
  <c r="M726" i="159"/>
  <c r="O726" i="159"/>
  <c r="P726" i="159" s="1"/>
  <c r="D727" i="159"/>
  <c r="D728" i="159" s="1"/>
  <c r="D729" i="159" s="1"/>
  <c r="D730" i="159" s="1"/>
  <c r="K727" i="159"/>
  <c r="L727" i="159"/>
  <c r="K728" i="159"/>
  <c r="L728" i="159"/>
  <c r="K729" i="159"/>
  <c r="L729" i="159"/>
  <c r="K730" i="159"/>
  <c r="L730" i="159"/>
  <c r="F732" i="159"/>
  <c r="G732" i="159"/>
  <c r="H732" i="159"/>
  <c r="I732" i="159"/>
  <c r="J732" i="159"/>
  <c r="D733" i="159"/>
  <c r="D735" i="159" s="1"/>
  <c r="D737" i="159" s="1"/>
  <c r="E733" i="159"/>
  <c r="K733" i="159"/>
  <c r="L733" i="159"/>
  <c r="M733" i="159"/>
  <c r="O733" i="159"/>
  <c r="P733" i="159" s="1"/>
  <c r="D734" i="159"/>
  <c r="E734" i="159"/>
  <c r="K734" i="159"/>
  <c r="L734" i="159"/>
  <c r="M734" i="159"/>
  <c r="O734" i="159"/>
  <c r="P734" i="159" s="1"/>
  <c r="K735" i="159"/>
  <c r="L735" i="159"/>
  <c r="D736" i="159"/>
  <c r="D738" i="159" s="1"/>
  <c r="K736" i="159"/>
  <c r="L736" i="159"/>
  <c r="K737" i="159"/>
  <c r="L737" i="159"/>
  <c r="K738" i="159"/>
  <c r="L738" i="159"/>
  <c r="F740" i="159"/>
  <c r="G740" i="159"/>
  <c r="H740" i="159"/>
  <c r="I740" i="159"/>
  <c r="J740" i="159"/>
  <c r="D741" i="159"/>
  <c r="E741" i="159"/>
  <c r="K741" i="159"/>
  <c r="L741" i="159"/>
  <c r="M741" i="159"/>
  <c r="N741" i="159"/>
  <c r="O741" i="159"/>
  <c r="P741" i="159"/>
  <c r="D742" i="159"/>
  <c r="D743" i="159" s="1"/>
  <c r="D744" i="159" s="1"/>
  <c r="D745" i="159" s="1"/>
  <c r="K742" i="159"/>
  <c r="L742" i="159"/>
  <c r="K743" i="159"/>
  <c r="L743" i="159"/>
  <c r="K744" i="159"/>
  <c r="L744" i="159"/>
  <c r="K745" i="159"/>
  <c r="L745" i="159"/>
  <c r="F747" i="159"/>
  <c r="G747" i="159"/>
  <c r="H747" i="159"/>
  <c r="I747" i="159"/>
  <c r="J747" i="159"/>
  <c r="D748" i="159"/>
  <c r="D749" i="159" s="1"/>
  <c r="D750" i="159" s="1"/>
  <c r="D751" i="159" s="1"/>
  <c r="D752" i="159" s="1"/>
  <c r="E748" i="159"/>
  <c r="K748" i="159"/>
  <c r="L748" i="159"/>
  <c r="M748" i="159"/>
  <c r="N748" i="159"/>
  <c r="O748" i="159"/>
  <c r="P748" i="159"/>
  <c r="K749" i="159"/>
  <c r="L749" i="159"/>
  <c r="K750" i="159"/>
  <c r="L750" i="159"/>
  <c r="K751" i="159"/>
  <c r="L751" i="159"/>
  <c r="K752" i="159"/>
  <c r="L752" i="159"/>
  <c r="F754" i="159"/>
  <c r="G754" i="159"/>
  <c r="H754" i="159"/>
  <c r="I754" i="159"/>
  <c r="J754" i="159"/>
  <c r="D755" i="159"/>
  <c r="E755" i="159"/>
  <c r="K755" i="159"/>
  <c r="L755" i="159"/>
  <c r="M755" i="159"/>
  <c r="N755" i="159"/>
  <c r="O755" i="159"/>
  <c r="P755" i="159"/>
  <c r="D756" i="159"/>
  <c r="D757" i="159" s="1"/>
  <c r="D758" i="159" s="1"/>
  <c r="D759" i="159" s="1"/>
  <c r="K756" i="159"/>
  <c r="L756" i="159"/>
  <c r="K757" i="159"/>
  <c r="L757" i="159"/>
  <c r="K758" i="159"/>
  <c r="L758" i="159"/>
  <c r="K759" i="159"/>
  <c r="L759" i="159"/>
  <c r="F761" i="159"/>
  <c r="G761" i="159"/>
  <c r="H761" i="159"/>
  <c r="I761" i="159"/>
  <c r="J761" i="159"/>
  <c r="D762" i="159"/>
  <c r="E762" i="159"/>
  <c r="K762" i="159"/>
  <c r="L762" i="159"/>
  <c r="M762" i="159"/>
  <c r="O762" i="159"/>
  <c r="P762" i="159"/>
  <c r="D763" i="159"/>
  <c r="D764" i="159" s="1"/>
  <c r="D765" i="159" s="1"/>
  <c r="D766" i="159" s="1"/>
  <c r="K763" i="159"/>
  <c r="L763" i="159"/>
  <c r="K764" i="159"/>
  <c r="L764" i="159"/>
  <c r="K765" i="159"/>
  <c r="L765" i="159"/>
  <c r="K766" i="159"/>
  <c r="L766" i="159"/>
  <c r="F768" i="159"/>
  <c r="G768" i="159"/>
  <c r="H768" i="159"/>
  <c r="I768" i="159"/>
  <c r="J768" i="159"/>
  <c r="D769" i="159"/>
  <c r="E769" i="159"/>
  <c r="K769" i="159"/>
  <c r="L769" i="159"/>
  <c r="M769" i="159"/>
  <c r="O769" i="159"/>
  <c r="P769" i="159"/>
  <c r="D770" i="159"/>
  <c r="K770" i="159"/>
  <c r="L770" i="159"/>
  <c r="D771" i="159"/>
  <c r="D772" i="159" s="1"/>
  <c r="D773" i="159" s="1"/>
  <c r="K771" i="159"/>
  <c r="L771" i="159"/>
  <c r="K772" i="159"/>
  <c r="L772" i="159"/>
  <c r="K773" i="159"/>
  <c r="L773" i="159"/>
  <c r="F775" i="159"/>
  <c r="G775" i="159"/>
  <c r="H775" i="159"/>
  <c r="I775" i="159"/>
  <c r="J775" i="159"/>
  <c r="D776" i="159"/>
  <c r="D777" i="159" s="1"/>
  <c r="D778" i="159" s="1"/>
  <c r="D779" i="159" s="1"/>
  <c r="D780" i="159" s="1"/>
  <c r="E776" i="159"/>
  <c r="K776" i="159"/>
  <c r="L776" i="159"/>
  <c r="M776" i="159"/>
  <c r="P776" i="159"/>
  <c r="K777" i="159"/>
  <c r="L777" i="159"/>
  <c r="K778" i="159"/>
  <c r="L778" i="159"/>
  <c r="K779" i="159"/>
  <c r="L779" i="159"/>
  <c r="K780" i="159"/>
  <c r="L780" i="159"/>
  <c r="F782" i="159"/>
  <c r="G782" i="159"/>
  <c r="H782" i="159"/>
  <c r="I782" i="159"/>
  <c r="J782" i="159"/>
  <c r="D783" i="159"/>
  <c r="D784" i="159" s="1"/>
  <c r="D785" i="159" s="1"/>
  <c r="D786" i="159" s="1"/>
  <c r="D787" i="159" s="1"/>
  <c r="E783" i="159"/>
  <c r="K783" i="159"/>
  <c r="L783" i="159"/>
  <c r="M783" i="159"/>
  <c r="P783" i="159"/>
  <c r="K784" i="159"/>
  <c r="L784" i="159"/>
  <c r="K785" i="159"/>
  <c r="L785" i="159"/>
  <c r="K786" i="159"/>
  <c r="L786" i="159"/>
  <c r="K787" i="159"/>
  <c r="L787" i="159"/>
  <c r="F789" i="159"/>
  <c r="G789" i="159"/>
  <c r="H789" i="159"/>
  <c r="I789" i="159"/>
  <c r="J789" i="159"/>
  <c r="D790" i="159"/>
  <c r="D791" i="159" s="1"/>
  <c r="D792" i="159" s="1"/>
  <c r="D793" i="159" s="1"/>
  <c r="D794" i="159" s="1"/>
  <c r="E790" i="159"/>
  <c r="K790" i="159"/>
  <c r="L790" i="159"/>
  <c r="M790" i="159"/>
  <c r="P790" i="159"/>
  <c r="K791" i="159"/>
  <c r="L791" i="159"/>
  <c r="K792" i="159"/>
  <c r="L792" i="159"/>
  <c r="K793" i="159"/>
  <c r="L793" i="159"/>
  <c r="K794" i="159"/>
  <c r="L794" i="159"/>
  <c r="F796" i="159"/>
  <c r="G796" i="159"/>
  <c r="H796" i="159"/>
  <c r="I796" i="159"/>
  <c r="J796" i="159"/>
  <c r="D797" i="159"/>
  <c r="D798" i="159" s="1"/>
  <c r="D799" i="159" s="1"/>
  <c r="D800" i="159" s="1"/>
  <c r="D801" i="159" s="1"/>
  <c r="E797" i="159"/>
  <c r="K797" i="159"/>
  <c r="L797" i="159"/>
  <c r="M797" i="159"/>
  <c r="P797" i="159"/>
  <c r="K798" i="159"/>
  <c r="L798" i="159"/>
  <c r="K799" i="159"/>
  <c r="L799" i="159"/>
  <c r="K800" i="159"/>
  <c r="L800" i="159"/>
  <c r="K801" i="159"/>
  <c r="L801" i="159"/>
  <c r="F803" i="159"/>
  <c r="G803" i="159"/>
  <c r="H803" i="159"/>
  <c r="I803" i="159"/>
  <c r="J803" i="159"/>
  <c r="D804" i="159"/>
  <c r="E804" i="159"/>
  <c r="K804" i="159"/>
  <c r="L804" i="159"/>
  <c r="M804" i="159"/>
  <c r="P804" i="159"/>
  <c r="D805" i="159"/>
  <c r="D806" i="159" s="1"/>
  <c r="D807" i="159" s="1"/>
  <c r="D808" i="159" s="1"/>
  <c r="K805" i="159"/>
  <c r="L805" i="159"/>
  <c r="K806" i="159"/>
  <c r="L806" i="159"/>
  <c r="K807" i="159"/>
  <c r="L807" i="159"/>
  <c r="K808" i="159"/>
  <c r="L808" i="159"/>
  <c r="F810" i="159"/>
  <c r="G810" i="159"/>
  <c r="H810" i="159"/>
  <c r="I810" i="159"/>
  <c r="J810" i="159"/>
  <c r="D811" i="159"/>
  <c r="D812" i="159" s="1"/>
  <c r="D813" i="159" s="1"/>
  <c r="D814" i="159" s="1"/>
  <c r="D815" i="159" s="1"/>
  <c r="E811" i="159"/>
  <c r="K811" i="159"/>
  <c r="L811" i="159"/>
  <c r="M811" i="159"/>
  <c r="P811" i="159"/>
  <c r="K812" i="159"/>
  <c r="L812" i="159"/>
  <c r="K813" i="159"/>
  <c r="L813" i="159"/>
  <c r="K814" i="159"/>
  <c r="L814" i="159"/>
  <c r="K815" i="159"/>
  <c r="L815" i="159"/>
  <c r="F817" i="159"/>
  <c r="G817" i="159"/>
  <c r="H817" i="159"/>
  <c r="I817" i="159"/>
  <c r="J817" i="159"/>
  <c r="D818" i="159"/>
  <c r="E818" i="159"/>
  <c r="K818" i="159"/>
  <c r="L818" i="159"/>
  <c r="M818" i="159"/>
  <c r="O818" i="159"/>
  <c r="P818" i="159"/>
  <c r="D819" i="159"/>
  <c r="D820" i="159" s="1"/>
  <c r="D821" i="159" s="1"/>
  <c r="D822" i="159" s="1"/>
  <c r="K819" i="159"/>
  <c r="L819" i="159"/>
  <c r="K820" i="159"/>
  <c r="L820" i="159"/>
  <c r="K821" i="159"/>
  <c r="L821" i="159"/>
  <c r="K822" i="159"/>
  <c r="L822" i="159"/>
  <c r="F824" i="159"/>
  <c r="G824" i="159"/>
  <c r="H824" i="159"/>
  <c r="I824" i="159"/>
  <c r="J824" i="159"/>
  <c r="D825" i="159"/>
  <c r="D826" i="159" s="1"/>
  <c r="D827" i="159" s="1"/>
  <c r="D828" i="159" s="1"/>
  <c r="D829" i="159" s="1"/>
  <c r="E825" i="159"/>
  <c r="K825" i="159"/>
  <c r="L825" i="159"/>
  <c r="M825" i="159"/>
  <c r="P825" i="159"/>
  <c r="K826" i="159"/>
  <c r="L826" i="159"/>
  <c r="K827" i="159"/>
  <c r="L827" i="159"/>
  <c r="K828" i="159"/>
  <c r="L828" i="159"/>
  <c r="K829" i="159"/>
  <c r="L829" i="159"/>
  <c r="F831" i="159"/>
  <c r="G831" i="159"/>
  <c r="H831" i="159"/>
  <c r="I831" i="159"/>
  <c r="J831" i="159"/>
  <c r="D832" i="159"/>
  <c r="D833" i="159" s="1"/>
  <c r="D834" i="159" s="1"/>
  <c r="D835" i="159" s="1"/>
  <c r="D836" i="159" s="1"/>
  <c r="E832" i="159"/>
  <c r="K832" i="159"/>
  <c r="L832" i="159"/>
  <c r="M832" i="159"/>
  <c r="O832" i="159"/>
  <c r="P832" i="159"/>
  <c r="K833" i="159"/>
  <c r="L833" i="159"/>
  <c r="K834" i="159"/>
  <c r="L834" i="159"/>
  <c r="K835" i="159"/>
  <c r="L835" i="159"/>
  <c r="K836" i="159"/>
  <c r="L836" i="159"/>
  <c r="F838" i="159"/>
  <c r="G838" i="159"/>
  <c r="H838" i="159"/>
  <c r="I838" i="159"/>
  <c r="J838" i="159"/>
  <c r="D839" i="159"/>
  <c r="D840" i="159" s="1"/>
  <c r="D841" i="159" s="1"/>
  <c r="D842" i="159" s="1"/>
  <c r="D843" i="159" s="1"/>
  <c r="E839" i="159"/>
  <c r="K839" i="159"/>
  <c r="L839" i="159"/>
  <c r="M839" i="159"/>
  <c r="P839" i="159"/>
  <c r="K840" i="159"/>
  <c r="L840" i="159"/>
  <c r="K841" i="159"/>
  <c r="L841" i="159"/>
  <c r="K842" i="159"/>
  <c r="L842" i="159"/>
  <c r="K843" i="159"/>
  <c r="L843" i="159"/>
  <c r="F845" i="159"/>
  <c r="G845" i="159"/>
  <c r="H845" i="159"/>
  <c r="I845" i="159"/>
  <c r="J845" i="159"/>
  <c r="D846" i="159"/>
  <c r="E846" i="159"/>
  <c r="K846" i="159"/>
  <c r="L846" i="159"/>
  <c r="M846" i="159"/>
  <c r="P846" i="159"/>
  <c r="D847" i="159"/>
  <c r="D848" i="159" s="1"/>
  <c r="D849" i="159" s="1"/>
  <c r="D850" i="159" s="1"/>
  <c r="K847" i="159"/>
  <c r="L847" i="159"/>
  <c r="K848" i="159"/>
  <c r="L848" i="159"/>
  <c r="K849" i="159"/>
  <c r="L849" i="159"/>
  <c r="K850" i="159"/>
  <c r="L850" i="159"/>
  <c r="F852" i="159"/>
  <c r="G852" i="159"/>
  <c r="H852" i="159"/>
  <c r="I852" i="159"/>
  <c r="J852" i="159"/>
  <c r="D853" i="159"/>
  <c r="E853" i="159"/>
  <c r="K853" i="159"/>
  <c r="L853" i="159"/>
  <c r="M853" i="159"/>
  <c r="O853" i="159"/>
  <c r="P853" i="159" s="1"/>
  <c r="D854" i="159"/>
  <c r="D855" i="159" s="1"/>
  <c r="D856" i="159" s="1"/>
  <c r="D857" i="159" s="1"/>
  <c r="K854" i="159"/>
  <c r="L854" i="159"/>
  <c r="K855" i="159"/>
  <c r="L855" i="159"/>
  <c r="K856" i="159"/>
  <c r="L856" i="159"/>
  <c r="K857" i="159"/>
  <c r="L857" i="159"/>
  <c r="F859" i="159"/>
  <c r="G859" i="159"/>
  <c r="H859" i="159"/>
  <c r="I859" i="159"/>
  <c r="J859" i="159"/>
  <c r="D860" i="159"/>
  <c r="D861" i="159" s="1"/>
  <c r="D862" i="159" s="1"/>
  <c r="D863" i="159" s="1"/>
  <c r="D864" i="159" s="1"/>
  <c r="E860" i="159"/>
  <c r="K860" i="159"/>
  <c r="L860" i="159"/>
  <c r="M860" i="159"/>
  <c r="N860" i="159"/>
  <c r="O860" i="159"/>
  <c r="P860" i="159"/>
  <c r="K861" i="159"/>
  <c r="L861" i="159"/>
  <c r="K862" i="159"/>
  <c r="L862" i="159"/>
  <c r="K863" i="159"/>
  <c r="L863" i="159"/>
  <c r="K864" i="159"/>
  <c r="L864" i="159"/>
  <c r="F866" i="159"/>
  <c r="G866" i="159"/>
  <c r="H866" i="159"/>
  <c r="I866" i="159"/>
  <c r="J866" i="159"/>
  <c r="D867" i="159"/>
  <c r="D868" i="159" s="1"/>
  <c r="D869" i="159" s="1"/>
  <c r="D870" i="159" s="1"/>
  <c r="D871" i="159" s="1"/>
  <c r="E867" i="159"/>
  <c r="K867" i="159"/>
  <c r="L867" i="159"/>
  <c r="M867" i="159"/>
  <c r="P867" i="159"/>
  <c r="K868" i="159"/>
  <c r="L868" i="159"/>
  <c r="K869" i="159"/>
  <c r="L869" i="159"/>
  <c r="K870" i="159"/>
  <c r="L870" i="159"/>
  <c r="K871" i="159"/>
  <c r="L871" i="159"/>
  <c r="F873" i="159"/>
  <c r="G873" i="159"/>
  <c r="H873" i="159"/>
  <c r="I873" i="159"/>
  <c r="J873" i="159"/>
  <c r="D874" i="159"/>
  <c r="E874" i="159"/>
  <c r="K874" i="159"/>
  <c r="L874" i="159"/>
  <c r="M874" i="159"/>
  <c r="O874" i="159"/>
  <c r="P874" i="159"/>
  <c r="D875" i="159"/>
  <c r="D876" i="159" s="1"/>
  <c r="K875" i="159"/>
  <c r="L875" i="159"/>
  <c r="K876" i="159"/>
  <c r="L876" i="159"/>
  <c r="D877" i="159"/>
  <c r="D878" i="159" s="1"/>
  <c r="K877" i="159"/>
  <c r="L877" i="159"/>
  <c r="K878" i="159"/>
  <c r="L878" i="159"/>
  <c r="F880" i="159"/>
  <c r="G880" i="159"/>
  <c r="H880" i="159"/>
  <c r="I880" i="159"/>
  <c r="J880" i="159"/>
  <c r="D881" i="159"/>
  <c r="E881" i="159"/>
  <c r="K881" i="159"/>
  <c r="L881" i="159"/>
  <c r="M881" i="159"/>
  <c r="O881" i="159"/>
  <c r="P881" i="159" s="1"/>
  <c r="D882" i="159"/>
  <c r="D883" i="159" s="1"/>
  <c r="K882" i="159"/>
  <c r="L882" i="159"/>
  <c r="K883" i="159"/>
  <c r="L883" i="159"/>
  <c r="D884" i="159"/>
  <c r="D885" i="159" s="1"/>
  <c r="K884" i="159"/>
  <c r="L884" i="159"/>
  <c r="K885" i="159"/>
  <c r="L885" i="159"/>
  <c r="F887" i="159"/>
  <c r="G887" i="159"/>
  <c r="H887" i="159"/>
  <c r="I887" i="159"/>
  <c r="J887" i="159"/>
  <c r="D888" i="159"/>
  <c r="E888" i="159"/>
  <c r="K888" i="159"/>
  <c r="L888" i="159"/>
  <c r="M888" i="159"/>
  <c r="O888" i="159"/>
  <c r="P888" i="159" s="1"/>
  <c r="D889" i="159"/>
  <c r="K889" i="159"/>
  <c r="L889" i="159"/>
  <c r="D890" i="159"/>
  <c r="D891" i="159" s="1"/>
  <c r="D892" i="159" s="1"/>
  <c r="K890" i="159"/>
  <c r="L890" i="159"/>
  <c r="K891" i="159"/>
  <c r="L891" i="159"/>
  <c r="K892" i="159"/>
  <c r="L892" i="159"/>
  <c r="F894" i="159"/>
  <c r="G894" i="159"/>
  <c r="H894" i="159"/>
  <c r="I894" i="159"/>
  <c r="J894" i="159"/>
  <c r="D895" i="159"/>
  <c r="E895" i="159"/>
  <c r="K895" i="159"/>
  <c r="L895" i="159"/>
  <c r="M895" i="159"/>
  <c r="O895" i="159"/>
  <c r="P895" i="159"/>
  <c r="D896" i="159"/>
  <c r="D897" i="159" s="1"/>
  <c r="D898" i="159" s="1"/>
  <c r="D899" i="159" s="1"/>
  <c r="K896" i="159"/>
  <c r="L896" i="159"/>
  <c r="K897" i="159"/>
  <c r="L897" i="159"/>
  <c r="K898" i="159"/>
  <c r="L898" i="159"/>
  <c r="K899" i="159"/>
  <c r="L899" i="159"/>
  <c r="F901" i="159"/>
  <c r="G901" i="159"/>
  <c r="H901" i="159"/>
  <c r="I901" i="159"/>
  <c r="J901" i="159"/>
  <c r="D902" i="159"/>
  <c r="D903" i="159" s="1"/>
  <c r="D904" i="159" s="1"/>
  <c r="D905" i="159" s="1"/>
  <c r="D906" i="159" s="1"/>
  <c r="E902" i="159"/>
  <c r="K902" i="159"/>
  <c r="L902" i="159"/>
  <c r="M902" i="159"/>
  <c r="P902" i="159"/>
  <c r="K903" i="159"/>
  <c r="L903" i="159"/>
  <c r="K904" i="159"/>
  <c r="L904" i="159"/>
  <c r="K905" i="159"/>
  <c r="L905" i="159"/>
  <c r="K906" i="159"/>
  <c r="L906" i="159"/>
  <c r="F908" i="159"/>
  <c r="G908" i="159"/>
  <c r="H908" i="159"/>
  <c r="I908" i="159"/>
  <c r="J908" i="159"/>
  <c r="D909" i="159"/>
  <c r="D910" i="159" s="1"/>
  <c r="D911" i="159" s="1"/>
  <c r="D912" i="159" s="1"/>
  <c r="D913" i="159" s="1"/>
  <c r="E909" i="159"/>
  <c r="K909" i="159"/>
  <c r="L909" i="159"/>
  <c r="M909" i="159"/>
  <c r="P909" i="159"/>
  <c r="K910" i="159"/>
  <c r="L910" i="159"/>
  <c r="K911" i="159"/>
  <c r="L911" i="159"/>
  <c r="K912" i="159"/>
  <c r="L912" i="159"/>
  <c r="K913" i="159"/>
  <c r="L913" i="159"/>
  <c r="F915" i="159"/>
  <c r="G915" i="159"/>
  <c r="H915" i="159"/>
  <c r="I915" i="159"/>
  <c r="J915" i="159"/>
  <c r="D916" i="159"/>
  <c r="D918" i="159" s="1"/>
  <c r="D920" i="159" s="1"/>
  <c r="E916" i="159"/>
  <c r="K916" i="159"/>
  <c r="L916" i="159"/>
  <c r="M916" i="159"/>
  <c r="P916" i="159"/>
  <c r="D917" i="159"/>
  <c r="E917" i="159"/>
  <c r="K917" i="159"/>
  <c r="L917" i="159"/>
  <c r="M917" i="159"/>
  <c r="P917" i="159"/>
  <c r="K918" i="159"/>
  <c r="L918" i="159"/>
  <c r="D919" i="159"/>
  <c r="D921" i="159" s="1"/>
  <c r="K919" i="159"/>
  <c r="L919" i="159"/>
  <c r="K920" i="159"/>
  <c r="L920" i="159"/>
  <c r="K921" i="159"/>
  <c r="L921" i="159"/>
  <c r="F923" i="159"/>
  <c r="G923" i="159"/>
  <c r="H923" i="159"/>
  <c r="I923" i="159"/>
  <c r="J923" i="159"/>
  <c r="D924" i="159"/>
  <c r="E924" i="159"/>
  <c r="K924" i="159"/>
  <c r="L924" i="159"/>
  <c r="M924" i="159"/>
  <c r="P924" i="159"/>
  <c r="D925" i="159"/>
  <c r="D926" i="159" s="1"/>
  <c r="D927" i="159" s="1"/>
  <c r="D928" i="159" s="1"/>
  <c r="K925" i="159"/>
  <c r="L925" i="159"/>
  <c r="K926" i="159"/>
  <c r="L926" i="159"/>
  <c r="K927" i="159"/>
  <c r="L927" i="159"/>
  <c r="K928" i="159"/>
  <c r="L928" i="159"/>
  <c r="F930" i="159"/>
  <c r="G930" i="159"/>
  <c r="H930" i="159"/>
  <c r="I930" i="159"/>
  <c r="J930" i="159"/>
  <c r="D931" i="159"/>
  <c r="E931" i="159"/>
  <c r="K931" i="159"/>
  <c r="L931" i="159"/>
  <c r="M931" i="159"/>
  <c r="O931" i="159"/>
  <c r="P931" i="159" s="1"/>
  <c r="D932" i="159"/>
  <c r="K932" i="159"/>
  <c r="L932" i="159"/>
  <c r="D933" i="159"/>
  <c r="K933" i="159"/>
  <c r="L933" i="159"/>
  <c r="D934" i="159"/>
  <c r="D935" i="159" s="1"/>
  <c r="K934" i="159"/>
  <c r="L934" i="159"/>
  <c r="K935" i="159"/>
  <c r="L935" i="159"/>
  <c r="F937" i="159"/>
  <c r="G937" i="159"/>
  <c r="H937" i="159"/>
  <c r="I937" i="159"/>
  <c r="J937" i="159"/>
  <c r="D938" i="159"/>
  <c r="D939" i="159" s="1"/>
  <c r="D940" i="159" s="1"/>
  <c r="D941" i="159" s="1"/>
  <c r="D942" i="159" s="1"/>
  <c r="E938" i="159"/>
  <c r="K938" i="159"/>
  <c r="L938" i="159"/>
  <c r="M938" i="159"/>
  <c r="P938" i="159"/>
  <c r="K939" i="159"/>
  <c r="L939" i="159"/>
  <c r="K940" i="159"/>
  <c r="L940" i="159"/>
  <c r="K941" i="159"/>
  <c r="L941" i="159"/>
  <c r="K942" i="159"/>
  <c r="L942" i="159"/>
  <c r="F944" i="159"/>
  <c r="G944" i="159"/>
  <c r="H944" i="159"/>
  <c r="I944" i="159"/>
  <c r="J944" i="159"/>
  <c r="D945" i="159"/>
  <c r="E945" i="159"/>
  <c r="K945" i="159"/>
  <c r="L945" i="159"/>
  <c r="M945" i="159"/>
  <c r="P945" i="159"/>
  <c r="D946" i="159"/>
  <c r="D947" i="159" s="1"/>
  <c r="D948" i="159" s="1"/>
  <c r="D949" i="159" s="1"/>
  <c r="K946" i="159"/>
  <c r="L946" i="159"/>
  <c r="K947" i="159"/>
  <c r="L947" i="159"/>
  <c r="K948" i="159"/>
  <c r="L948" i="159"/>
  <c r="K949" i="159"/>
  <c r="L949" i="159"/>
  <c r="F951" i="159"/>
  <c r="G951" i="159"/>
  <c r="H951" i="159"/>
  <c r="I951" i="159"/>
  <c r="J951" i="159"/>
  <c r="D952" i="159"/>
  <c r="E952" i="159"/>
  <c r="K952" i="159"/>
  <c r="L952" i="159"/>
  <c r="M952" i="159"/>
  <c r="P952" i="159"/>
  <c r="D953" i="159"/>
  <c r="K953" i="159"/>
  <c r="L953" i="159"/>
  <c r="D954" i="159"/>
  <c r="D955" i="159" s="1"/>
  <c r="D956" i="159" s="1"/>
  <c r="K954" i="159"/>
  <c r="L954" i="159"/>
  <c r="K955" i="159"/>
  <c r="L955" i="159"/>
  <c r="K956" i="159"/>
  <c r="L956" i="159"/>
  <c r="F958" i="159"/>
  <c r="G958" i="159"/>
  <c r="H958" i="159"/>
  <c r="I958" i="159"/>
  <c r="J958" i="159"/>
  <c r="D959" i="159"/>
  <c r="E959" i="159"/>
  <c r="K959" i="159"/>
  <c r="L959" i="159"/>
  <c r="M959" i="159"/>
  <c r="P959" i="159"/>
  <c r="D960" i="159"/>
  <c r="D961" i="159" s="1"/>
  <c r="D962" i="159" s="1"/>
  <c r="D963" i="159" s="1"/>
  <c r="K960" i="159"/>
  <c r="L960" i="159"/>
  <c r="K961" i="159"/>
  <c r="L961" i="159"/>
  <c r="K962" i="159"/>
  <c r="L962" i="159"/>
  <c r="K963" i="159"/>
  <c r="L963" i="159"/>
  <c r="F965" i="159"/>
  <c r="G965" i="159"/>
  <c r="H965" i="159"/>
  <c r="I965" i="159"/>
  <c r="J965" i="159"/>
  <c r="D966" i="159"/>
  <c r="E966" i="159"/>
  <c r="K966" i="159"/>
  <c r="L966" i="159"/>
  <c r="M966" i="159"/>
  <c r="P966" i="159"/>
  <c r="D967" i="159"/>
  <c r="K967" i="159"/>
  <c r="L967" i="159"/>
  <c r="D968" i="159"/>
  <c r="D969" i="159" s="1"/>
  <c r="D970" i="159" s="1"/>
  <c r="K968" i="159"/>
  <c r="L968" i="159"/>
  <c r="K969" i="159"/>
  <c r="L969" i="159"/>
  <c r="K970" i="159"/>
  <c r="L970" i="159"/>
  <c r="F972" i="159"/>
  <c r="G972" i="159"/>
  <c r="H972" i="159"/>
  <c r="I972" i="159"/>
  <c r="J972" i="159"/>
  <c r="D973" i="159"/>
  <c r="D974" i="159" s="1"/>
  <c r="D975" i="159" s="1"/>
  <c r="D976" i="159" s="1"/>
  <c r="D977" i="159" s="1"/>
  <c r="E973" i="159"/>
  <c r="K973" i="159"/>
  <c r="L973" i="159"/>
  <c r="M973" i="159"/>
  <c r="P973" i="159"/>
  <c r="K974" i="159"/>
  <c r="L974" i="159"/>
  <c r="K975" i="159"/>
  <c r="L975" i="159"/>
  <c r="K976" i="159"/>
  <c r="L976" i="159"/>
  <c r="K977" i="159"/>
  <c r="L977" i="159"/>
  <c r="F979" i="159"/>
  <c r="G979" i="159"/>
  <c r="H979" i="159"/>
  <c r="I979" i="159"/>
  <c r="J979" i="159"/>
  <c r="D980" i="159"/>
  <c r="D981" i="159" s="1"/>
  <c r="D982" i="159" s="1"/>
  <c r="D983" i="159" s="1"/>
  <c r="D984" i="159" s="1"/>
  <c r="E980" i="159"/>
  <c r="K980" i="159"/>
  <c r="L980" i="159"/>
  <c r="M980" i="159"/>
  <c r="P980" i="159"/>
  <c r="K981" i="159"/>
  <c r="L981" i="159"/>
  <c r="K982" i="159"/>
  <c r="L982" i="159"/>
  <c r="K983" i="159"/>
  <c r="L983" i="159"/>
  <c r="K984" i="159"/>
  <c r="L984" i="159"/>
  <c r="F986" i="159"/>
  <c r="G986" i="159"/>
  <c r="H986" i="159"/>
  <c r="I986" i="159"/>
  <c r="J986" i="159"/>
  <c r="D987" i="159"/>
  <c r="D988" i="159" s="1"/>
  <c r="D989" i="159" s="1"/>
  <c r="D990" i="159" s="1"/>
  <c r="D991" i="159" s="1"/>
  <c r="E987" i="159"/>
  <c r="K987" i="159"/>
  <c r="L987" i="159"/>
  <c r="M987" i="159"/>
  <c r="P987" i="159"/>
  <c r="K988" i="159"/>
  <c r="L988" i="159"/>
  <c r="K989" i="159"/>
  <c r="L989" i="159"/>
  <c r="K990" i="159"/>
  <c r="L990" i="159"/>
  <c r="K991" i="159"/>
  <c r="L991" i="159"/>
  <c r="F993" i="159"/>
  <c r="G993" i="159"/>
  <c r="H993" i="159"/>
  <c r="I993" i="159"/>
  <c r="J993" i="159"/>
  <c r="D994" i="159"/>
  <c r="E994" i="159"/>
  <c r="K994" i="159"/>
  <c r="L994" i="159"/>
  <c r="M994" i="159"/>
  <c r="O994" i="159"/>
  <c r="P994" i="159" s="1"/>
  <c r="D995" i="159"/>
  <c r="D996" i="159" s="1"/>
  <c r="D997" i="159" s="1"/>
  <c r="D998" i="159" s="1"/>
  <c r="K995" i="159"/>
  <c r="L995" i="159"/>
  <c r="K996" i="159"/>
  <c r="L996" i="159"/>
  <c r="K997" i="159"/>
  <c r="L997" i="159"/>
  <c r="K998" i="159"/>
  <c r="L998" i="159"/>
  <c r="F1000" i="159"/>
  <c r="G1000" i="159"/>
  <c r="H1000" i="159"/>
  <c r="I1000" i="159"/>
  <c r="J1000" i="159"/>
  <c r="D1001" i="159"/>
  <c r="E1001" i="159"/>
  <c r="K1001" i="159"/>
  <c r="L1001" i="159"/>
  <c r="M1001" i="159"/>
  <c r="O1001" i="159"/>
  <c r="P1001" i="159" s="1"/>
  <c r="D1002" i="159"/>
  <c r="D1003" i="159" s="1"/>
  <c r="D1004" i="159" s="1"/>
  <c r="D1005" i="159" s="1"/>
  <c r="K1002" i="159"/>
  <c r="L1002" i="159"/>
  <c r="K1003" i="159"/>
  <c r="L1003" i="159"/>
  <c r="K1004" i="159"/>
  <c r="L1004" i="159"/>
  <c r="K1005" i="159"/>
  <c r="L1005" i="159"/>
  <c r="F1007" i="159"/>
  <c r="G1007" i="159"/>
  <c r="H1007" i="159"/>
  <c r="I1007" i="159"/>
  <c r="J1007" i="159"/>
  <c r="D1008" i="159"/>
  <c r="E1008" i="159"/>
  <c r="K1008" i="159"/>
  <c r="L1008" i="159"/>
  <c r="M1008" i="159"/>
  <c r="O1008" i="159"/>
  <c r="P1008" i="159"/>
  <c r="D1009" i="159"/>
  <c r="D1010" i="159" s="1"/>
  <c r="D1011" i="159" s="1"/>
  <c r="D1012" i="159" s="1"/>
  <c r="K1009" i="159"/>
  <c r="L1009" i="159"/>
  <c r="K1010" i="159"/>
  <c r="L1010" i="159"/>
  <c r="K1011" i="159"/>
  <c r="L1011" i="159"/>
  <c r="K1012" i="159"/>
  <c r="L1012" i="159"/>
  <c r="F1014" i="159"/>
  <c r="G1014" i="159"/>
  <c r="H1014" i="159"/>
  <c r="I1014" i="159"/>
  <c r="J1014" i="159"/>
  <c r="D1015" i="159"/>
  <c r="E1015" i="159"/>
  <c r="K1015" i="159"/>
  <c r="L1015" i="159"/>
  <c r="M1015" i="159"/>
  <c r="O1015" i="159"/>
  <c r="P1015" i="159" s="1"/>
  <c r="D1016" i="159"/>
  <c r="K1016" i="159"/>
  <c r="L1016" i="159"/>
  <c r="D1017" i="159"/>
  <c r="K1017" i="159"/>
  <c r="L1017" i="159"/>
  <c r="D1018" i="159"/>
  <c r="D1019" i="159" s="1"/>
  <c r="K1018" i="159"/>
  <c r="L1018" i="159"/>
  <c r="K1019" i="159"/>
  <c r="L1019" i="159"/>
  <c r="F1021" i="159"/>
  <c r="G1021" i="159"/>
  <c r="H1021" i="159"/>
  <c r="I1021" i="159"/>
  <c r="J1021" i="159"/>
  <c r="D1022" i="159"/>
  <c r="D1023" i="159" s="1"/>
  <c r="D1024" i="159" s="1"/>
  <c r="D1025" i="159" s="1"/>
  <c r="D1026" i="159" s="1"/>
  <c r="E1022" i="159"/>
  <c r="K1022" i="159"/>
  <c r="L1022" i="159"/>
  <c r="M1022" i="159"/>
  <c r="O1022" i="159"/>
  <c r="P1022" i="159"/>
  <c r="K1023" i="159"/>
  <c r="L1023" i="159"/>
  <c r="K1024" i="159"/>
  <c r="L1024" i="159"/>
  <c r="K1025" i="159"/>
  <c r="L1025" i="159"/>
  <c r="K1026" i="159"/>
  <c r="L1026" i="159"/>
  <c r="F1028" i="159"/>
  <c r="G1028" i="159"/>
  <c r="H1028" i="159"/>
  <c r="I1028" i="159"/>
  <c r="J1028" i="159"/>
  <c r="D1029" i="159"/>
  <c r="E1029" i="159"/>
  <c r="K1029" i="159"/>
  <c r="L1029" i="159"/>
  <c r="M1029" i="159"/>
  <c r="O1029" i="159"/>
  <c r="P1029" i="159" s="1"/>
  <c r="D1030" i="159"/>
  <c r="D1031" i="159" s="1"/>
  <c r="D1032" i="159" s="1"/>
  <c r="D1033" i="159" s="1"/>
  <c r="K1030" i="159"/>
  <c r="L1030" i="159"/>
  <c r="K1031" i="159"/>
  <c r="L1031" i="159"/>
  <c r="K1032" i="159"/>
  <c r="L1032" i="159"/>
  <c r="K1033" i="159"/>
  <c r="L1033" i="159"/>
  <c r="F1035" i="159"/>
  <c r="G1035" i="159"/>
  <c r="H1035" i="159"/>
  <c r="I1035" i="159"/>
  <c r="J1035" i="159"/>
  <c r="D1036" i="159"/>
  <c r="E1036" i="159"/>
  <c r="K1036" i="159"/>
  <c r="L1036" i="159"/>
  <c r="M1036" i="159"/>
  <c r="O1036" i="159"/>
  <c r="P1036" i="159" s="1"/>
  <c r="D1037" i="159"/>
  <c r="D1038" i="159" s="1"/>
  <c r="D1039" i="159" s="1"/>
  <c r="D1040" i="159" s="1"/>
  <c r="K1037" i="159"/>
  <c r="L1037" i="159"/>
  <c r="K1038" i="159"/>
  <c r="L1038" i="159"/>
  <c r="K1039" i="159"/>
  <c r="L1039" i="159"/>
  <c r="K1040" i="159"/>
  <c r="L1040" i="159"/>
  <c r="F1042" i="159"/>
  <c r="G1042" i="159"/>
  <c r="H1042" i="159"/>
  <c r="I1042" i="159"/>
  <c r="J1042" i="159"/>
  <c r="D1043" i="159"/>
  <c r="E1043" i="159"/>
  <c r="K1043" i="159"/>
  <c r="L1043" i="159"/>
  <c r="M1043" i="159"/>
  <c r="O1043" i="159"/>
  <c r="P1043" i="159"/>
  <c r="D1044" i="159"/>
  <c r="D1045" i="159" s="1"/>
  <c r="D1046" i="159" s="1"/>
  <c r="D1047" i="159" s="1"/>
  <c r="K1044" i="159"/>
  <c r="L1044" i="159"/>
  <c r="K1045" i="159"/>
  <c r="L1045" i="159"/>
  <c r="K1046" i="159"/>
  <c r="L1046" i="159"/>
  <c r="K1047" i="159"/>
  <c r="L1047" i="159"/>
  <c r="F1049" i="159"/>
  <c r="G1049" i="159"/>
  <c r="H1049" i="159"/>
  <c r="I1049" i="159"/>
  <c r="J1049" i="159"/>
  <c r="D1050" i="159"/>
  <c r="E1050" i="159"/>
  <c r="K1050" i="159"/>
  <c r="L1050" i="159"/>
  <c r="M1050" i="159"/>
  <c r="O1050" i="159"/>
  <c r="P1050" i="159" s="1"/>
  <c r="D1051" i="159"/>
  <c r="D1052" i="159" s="1"/>
  <c r="D1053" i="159" s="1"/>
  <c r="D1054" i="159" s="1"/>
  <c r="K1051" i="159"/>
  <c r="L1051" i="159"/>
  <c r="K1052" i="159"/>
  <c r="L1052" i="159"/>
  <c r="K1053" i="159"/>
  <c r="L1053" i="159"/>
  <c r="K1054" i="159"/>
  <c r="L1054" i="159"/>
  <c r="F1056" i="159"/>
  <c r="G1056" i="159"/>
  <c r="H1056" i="159"/>
  <c r="I1056" i="159"/>
  <c r="J1056" i="159"/>
  <c r="D1057" i="159"/>
  <c r="D1058" i="159" s="1"/>
  <c r="D1059" i="159" s="1"/>
  <c r="D1060" i="159" s="1"/>
  <c r="D1061" i="159" s="1"/>
  <c r="E1057" i="159"/>
  <c r="K1057" i="159"/>
  <c r="L1057" i="159"/>
  <c r="M1057" i="159"/>
  <c r="O1057" i="159"/>
  <c r="P1057" i="159" s="1"/>
  <c r="K1058" i="159"/>
  <c r="L1058" i="159"/>
  <c r="K1059" i="159"/>
  <c r="L1059" i="159"/>
  <c r="K1060" i="159"/>
  <c r="L1060" i="159"/>
  <c r="K1061" i="159"/>
  <c r="L1061" i="159"/>
  <c r="F1063" i="159"/>
  <c r="G1063" i="159"/>
  <c r="H1063" i="159"/>
  <c r="I1063" i="159"/>
  <c r="J1063" i="159"/>
  <c r="D1064" i="159"/>
  <c r="E1064" i="159"/>
  <c r="K1064" i="159"/>
  <c r="L1064" i="159"/>
  <c r="M1064" i="159"/>
  <c r="O1064" i="159"/>
  <c r="P1064" i="159" s="1"/>
  <c r="D1065" i="159"/>
  <c r="D1066" i="159" s="1"/>
  <c r="D1067" i="159" s="1"/>
  <c r="D1068" i="159" s="1"/>
  <c r="K1065" i="159"/>
  <c r="L1065" i="159"/>
  <c r="K1066" i="159"/>
  <c r="L1066" i="159"/>
  <c r="K1067" i="159"/>
  <c r="L1067" i="159"/>
  <c r="K1068" i="159"/>
  <c r="L1068" i="159"/>
  <c r="F1070" i="159"/>
  <c r="G1070" i="159"/>
  <c r="H1070" i="159"/>
  <c r="I1070" i="159"/>
  <c r="J1070" i="159"/>
  <c r="D1071" i="159"/>
  <c r="E1071" i="159"/>
  <c r="K1071" i="159"/>
  <c r="L1071" i="159"/>
  <c r="M1071" i="159"/>
  <c r="O1071" i="159"/>
  <c r="P1071" i="159" s="1"/>
  <c r="D1072" i="159"/>
  <c r="D1073" i="159" s="1"/>
  <c r="D1074" i="159" s="1"/>
  <c r="D1075" i="159" s="1"/>
  <c r="K1072" i="159"/>
  <c r="L1072" i="159"/>
  <c r="K1073" i="159"/>
  <c r="L1073" i="159"/>
  <c r="K1074" i="159"/>
  <c r="L1074" i="159"/>
  <c r="K1075" i="159"/>
  <c r="L1075" i="159"/>
  <c r="F1077" i="159"/>
  <c r="G1077" i="159"/>
  <c r="H1077" i="159"/>
  <c r="I1077" i="159"/>
  <c r="J1077" i="159"/>
  <c r="D1078" i="159"/>
  <c r="E1078" i="159"/>
  <c r="K1078" i="159"/>
  <c r="L1078" i="159"/>
  <c r="M1078" i="159"/>
  <c r="O1078" i="159"/>
  <c r="P1078" i="159"/>
  <c r="D1079" i="159"/>
  <c r="D1080" i="159" s="1"/>
  <c r="D1081" i="159" s="1"/>
  <c r="D1082" i="159" s="1"/>
  <c r="K1079" i="159"/>
  <c r="L1079" i="159"/>
  <c r="K1080" i="159"/>
  <c r="L1080" i="159"/>
  <c r="K1081" i="159"/>
  <c r="L1081" i="159"/>
  <c r="K1082" i="159"/>
  <c r="L1082" i="159"/>
  <c r="F1084" i="159"/>
  <c r="G1084" i="159"/>
  <c r="H1084" i="159"/>
  <c r="I1084" i="159"/>
  <c r="J1084" i="159"/>
  <c r="D1085" i="159"/>
  <c r="E1085" i="159"/>
  <c r="K1085" i="159"/>
  <c r="L1085" i="159"/>
  <c r="M1085" i="159"/>
  <c r="O1085" i="159"/>
  <c r="P1085" i="159" s="1"/>
  <c r="D1086" i="159"/>
  <c r="D1087" i="159" s="1"/>
  <c r="D1088" i="159" s="1"/>
  <c r="D1089" i="159" s="1"/>
  <c r="K1086" i="159"/>
  <c r="L1086" i="159"/>
  <c r="K1087" i="159"/>
  <c r="L1087" i="159"/>
  <c r="K1088" i="159"/>
  <c r="L1088" i="159"/>
  <c r="K1089" i="159"/>
  <c r="L1089" i="159"/>
  <c r="F1091" i="159"/>
  <c r="G1091" i="159"/>
  <c r="H1091" i="159"/>
  <c r="I1091" i="159"/>
  <c r="J1091" i="159"/>
  <c r="D1092" i="159"/>
  <c r="D1093" i="159" s="1"/>
  <c r="D1094" i="159" s="1"/>
  <c r="D1095" i="159" s="1"/>
  <c r="D1096" i="159" s="1"/>
  <c r="E1092" i="159"/>
  <c r="K1092" i="159"/>
  <c r="L1092" i="159"/>
  <c r="M1092" i="159"/>
  <c r="O1092" i="159"/>
  <c r="P1092" i="159" s="1"/>
  <c r="K1093" i="159"/>
  <c r="L1093" i="159"/>
  <c r="K1094" i="159"/>
  <c r="L1094" i="159"/>
  <c r="K1095" i="159"/>
  <c r="L1095" i="159"/>
  <c r="K1096" i="159"/>
  <c r="L1096" i="159"/>
  <c r="F1098" i="159"/>
  <c r="G1098" i="159"/>
  <c r="H1098" i="159"/>
  <c r="I1098" i="159"/>
  <c r="J1098" i="159"/>
  <c r="D1099" i="159"/>
  <c r="E1099" i="159"/>
  <c r="K1099" i="159"/>
  <c r="L1099" i="159"/>
  <c r="M1099" i="159"/>
  <c r="O1099" i="159"/>
  <c r="P1099" i="159" s="1"/>
  <c r="D1100" i="159"/>
  <c r="D1101" i="159" s="1"/>
  <c r="D1102" i="159" s="1"/>
  <c r="D1103" i="159" s="1"/>
  <c r="K1100" i="159"/>
  <c r="L1100" i="159"/>
  <c r="K1101" i="159"/>
  <c r="L1101" i="159"/>
  <c r="K1102" i="159"/>
  <c r="L1102" i="159"/>
  <c r="K1103" i="159"/>
  <c r="L1103" i="159"/>
  <c r="F1105" i="159"/>
  <c r="G1105" i="159"/>
  <c r="H1105" i="159"/>
  <c r="I1105" i="159"/>
  <c r="J1105" i="159"/>
  <c r="D1106" i="159"/>
  <c r="E1106" i="159"/>
  <c r="K1106" i="159"/>
  <c r="L1106" i="159"/>
  <c r="M1106" i="159"/>
  <c r="O1106" i="159"/>
  <c r="P1106" i="159" s="1"/>
  <c r="D1107" i="159"/>
  <c r="D1108" i="159" s="1"/>
  <c r="D1109" i="159" s="1"/>
  <c r="D1110" i="159" s="1"/>
  <c r="K1107" i="159"/>
  <c r="L1107" i="159"/>
  <c r="K1108" i="159"/>
  <c r="L1108" i="159"/>
  <c r="K1109" i="159"/>
  <c r="L1109" i="159"/>
  <c r="K1110" i="159"/>
  <c r="L1110" i="159"/>
  <c r="F1112" i="159"/>
  <c r="G1112" i="159"/>
  <c r="H1112" i="159"/>
  <c r="I1112" i="159"/>
  <c r="J1112" i="159"/>
  <c r="D1113" i="159"/>
  <c r="E1113" i="159"/>
  <c r="K1113" i="159"/>
  <c r="L1113" i="159"/>
  <c r="M1113" i="159"/>
  <c r="O1113" i="159"/>
  <c r="P1113" i="159"/>
  <c r="D1114" i="159"/>
  <c r="D1115" i="159" s="1"/>
  <c r="D1116" i="159" s="1"/>
  <c r="D1117" i="159" s="1"/>
  <c r="K1114" i="159"/>
  <c r="L1114" i="159"/>
  <c r="K1115" i="159"/>
  <c r="L1115" i="159"/>
  <c r="K1116" i="159"/>
  <c r="L1116" i="159"/>
  <c r="K1117" i="159"/>
  <c r="L1117" i="159"/>
  <c r="F1119" i="159"/>
  <c r="G1119" i="159"/>
  <c r="H1119" i="159"/>
  <c r="I1119" i="159"/>
  <c r="J1119" i="159"/>
  <c r="D1120" i="159"/>
  <c r="E1120" i="159"/>
  <c r="K1120" i="159"/>
  <c r="L1120" i="159"/>
  <c r="M1120" i="159"/>
  <c r="O1120" i="159"/>
  <c r="P1120" i="159" s="1"/>
  <c r="D1121" i="159"/>
  <c r="D1122" i="159" s="1"/>
  <c r="D1123" i="159" s="1"/>
  <c r="D1124" i="159" s="1"/>
  <c r="K1121" i="159"/>
  <c r="L1121" i="159"/>
  <c r="K1122" i="159"/>
  <c r="L1122" i="159"/>
  <c r="K1123" i="159"/>
  <c r="L1123" i="159"/>
  <c r="K1124" i="159"/>
  <c r="L1124" i="159"/>
  <c r="F1126" i="159"/>
  <c r="G1126" i="159"/>
  <c r="H1126" i="159"/>
  <c r="I1126" i="159"/>
  <c r="J1126" i="159"/>
  <c r="D1127" i="159"/>
  <c r="D1128" i="159" s="1"/>
  <c r="D1129" i="159" s="1"/>
  <c r="D1130" i="159" s="1"/>
  <c r="D1131" i="159" s="1"/>
  <c r="E1127" i="159"/>
  <c r="K1127" i="159"/>
  <c r="L1127" i="159"/>
  <c r="M1127" i="159"/>
  <c r="O1127" i="159"/>
  <c r="P1127" i="159" s="1"/>
  <c r="K1128" i="159"/>
  <c r="L1128" i="159"/>
  <c r="K1129" i="159"/>
  <c r="L1129" i="159"/>
  <c r="K1130" i="159"/>
  <c r="L1130" i="159"/>
  <c r="K1131" i="159"/>
  <c r="L1131" i="159"/>
  <c r="F1133" i="159"/>
  <c r="G1133" i="159"/>
  <c r="H1133" i="159"/>
  <c r="I1133" i="159"/>
  <c r="J1133" i="159"/>
  <c r="D1134" i="159"/>
  <c r="E1134" i="159"/>
  <c r="K1134" i="159"/>
  <c r="L1134" i="159"/>
  <c r="M1134" i="159"/>
  <c r="O1134" i="159"/>
  <c r="P1134" i="159" s="1"/>
  <c r="D1135" i="159"/>
  <c r="D1136" i="159" s="1"/>
  <c r="D1137" i="159" s="1"/>
  <c r="D1138" i="159" s="1"/>
  <c r="K1135" i="159"/>
  <c r="L1135" i="159"/>
  <c r="K1136" i="159"/>
  <c r="L1136" i="159"/>
  <c r="K1137" i="159"/>
  <c r="L1137" i="159"/>
  <c r="K1138" i="159"/>
  <c r="L1138" i="159"/>
  <c r="F1140" i="159"/>
  <c r="G1140" i="159"/>
  <c r="H1140" i="159"/>
  <c r="I1140" i="159"/>
  <c r="J1140" i="159"/>
  <c r="D1141" i="159"/>
  <c r="E1141" i="159"/>
  <c r="K1141" i="159"/>
  <c r="L1141" i="159"/>
  <c r="M1141" i="159"/>
  <c r="O1141" i="159"/>
  <c r="P1141" i="159" s="1"/>
  <c r="D1142" i="159"/>
  <c r="D1143" i="159" s="1"/>
  <c r="D1144" i="159" s="1"/>
  <c r="D1145" i="159" s="1"/>
  <c r="K1142" i="159"/>
  <c r="L1142" i="159"/>
  <c r="K1143" i="159"/>
  <c r="L1143" i="159"/>
  <c r="K1144" i="159"/>
  <c r="L1144" i="159"/>
  <c r="K1145" i="159"/>
  <c r="L1145" i="159"/>
  <c r="F1147" i="159"/>
  <c r="G1147" i="159"/>
  <c r="H1147" i="159"/>
  <c r="I1147" i="159"/>
  <c r="J1147" i="159"/>
  <c r="D1148" i="159"/>
  <c r="E1148" i="159"/>
  <c r="K1148" i="159"/>
  <c r="L1148" i="159"/>
  <c r="M1148" i="159"/>
  <c r="O1148" i="159"/>
  <c r="P1148" i="159"/>
  <c r="D1149" i="159"/>
  <c r="D1150" i="159" s="1"/>
  <c r="D1151" i="159" s="1"/>
  <c r="D1152" i="159" s="1"/>
  <c r="K1149" i="159"/>
  <c r="L1149" i="159"/>
  <c r="K1150" i="159"/>
  <c r="L1150" i="159"/>
  <c r="K1151" i="159"/>
  <c r="L1151" i="159"/>
  <c r="K1152" i="159"/>
  <c r="L1152" i="159"/>
  <c r="F1154" i="159"/>
  <c r="G1154" i="159"/>
  <c r="H1154" i="159"/>
  <c r="I1154" i="159"/>
  <c r="J1154" i="159"/>
  <c r="D1155" i="159"/>
  <c r="E1155" i="159"/>
  <c r="K1155" i="159"/>
  <c r="L1155" i="159"/>
  <c r="M1155" i="159"/>
  <c r="O1155" i="159"/>
  <c r="P1155" i="159" s="1"/>
  <c r="D1156" i="159"/>
  <c r="D1157" i="159" s="1"/>
  <c r="D1158" i="159" s="1"/>
  <c r="D1159" i="159" s="1"/>
  <c r="K1156" i="159"/>
  <c r="L1156" i="159"/>
  <c r="K1157" i="159"/>
  <c r="L1157" i="159"/>
  <c r="K1158" i="159"/>
  <c r="L1158" i="159"/>
  <c r="K1159" i="159"/>
  <c r="L1159" i="159"/>
  <c r="F1161" i="159"/>
  <c r="G1161" i="159"/>
  <c r="H1161" i="159"/>
  <c r="I1161" i="159"/>
  <c r="J1161" i="159"/>
  <c r="D1162" i="159"/>
  <c r="D1163" i="159" s="1"/>
  <c r="D1164" i="159" s="1"/>
  <c r="D1165" i="159" s="1"/>
  <c r="D1166" i="159" s="1"/>
  <c r="E1162" i="159"/>
  <c r="K1162" i="159"/>
  <c r="L1162" i="159"/>
  <c r="M1162" i="159"/>
  <c r="O1162" i="159"/>
  <c r="P1162" i="159" s="1"/>
  <c r="K1163" i="159"/>
  <c r="L1163" i="159"/>
  <c r="K1164" i="159"/>
  <c r="L1164" i="159"/>
  <c r="K1165" i="159"/>
  <c r="L1165" i="159"/>
  <c r="K1166" i="159"/>
  <c r="L1166" i="159"/>
  <c r="F1168" i="159"/>
  <c r="G1168" i="159"/>
  <c r="H1168" i="159"/>
  <c r="I1168" i="159"/>
  <c r="J1168" i="159"/>
  <c r="D1169" i="159"/>
  <c r="E1169" i="159"/>
  <c r="K1169" i="159"/>
  <c r="L1169" i="159"/>
  <c r="M1169" i="159"/>
  <c r="O1169" i="159"/>
  <c r="P1169" i="159" s="1"/>
  <c r="D1170" i="159"/>
  <c r="D1171" i="159" s="1"/>
  <c r="D1172" i="159" s="1"/>
  <c r="D1173" i="159" s="1"/>
  <c r="K1170" i="159"/>
  <c r="L1170" i="159"/>
  <c r="K1171" i="159"/>
  <c r="L1171" i="159"/>
  <c r="K1172" i="159"/>
  <c r="L1172" i="159"/>
  <c r="K1173" i="159"/>
  <c r="L1173" i="159"/>
  <c r="F1175" i="159"/>
  <c r="G1175" i="159"/>
  <c r="H1175" i="159"/>
  <c r="I1175" i="159"/>
  <c r="J1175" i="159"/>
  <c r="D1176" i="159"/>
  <c r="E1176" i="159"/>
  <c r="K1176" i="159"/>
  <c r="L1176" i="159"/>
  <c r="M1176" i="159"/>
  <c r="O1176" i="159"/>
  <c r="P1176" i="159" s="1"/>
  <c r="D1177" i="159"/>
  <c r="D1178" i="159" s="1"/>
  <c r="D1179" i="159" s="1"/>
  <c r="D1180" i="159" s="1"/>
  <c r="K1177" i="159"/>
  <c r="L1177" i="159"/>
  <c r="K1178" i="159"/>
  <c r="L1178" i="159"/>
  <c r="K1179" i="159"/>
  <c r="L1179" i="159"/>
  <c r="K1180" i="159"/>
  <c r="L1180" i="159"/>
  <c r="F1182" i="159"/>
  <c r="G1182" i="159"/>
  <c r="H1182" i="159"/>
  <c r="I1182" i="159"/>
  <c r="J1182" i="159"/>
  <c r="D1183" i="159"/>
  <c r="E1183" i="159"/>
  <c r="K1183" i="159"/>
  <c r="L1183" i="159"/>
  <c r="M1183" i="159"/>
  <c r="O1183" i="159"/>
  <c r="P1183" i="159"/>
  <c r="D1184" i="159"/>
  <c r="D1185" i="159" s="1"/>
  <c r="D1186" i="159" s="1"/>
  <c r="D1187" i="159" s="1"/>
  <c r="K1184" i="159"/>
  <c r="L1184" i="159"/>
  <c r="K1185" i="159"/>
  <c r="L1185" i="159"/>
  <c r="K1186" i="159"/>
  <c r="L1186" i="159"/>
  <c r="K1187" i="159"/>
  <c r="L1187" i="159"/>
  <c r="F1189" i="159"/>
  <c r="G1189" i="159"/>
  <c r="H1189" i="159"/>
  <c r="I1189" i="159"/>
  <c r="J1189" i="159"/>
  <c r="D1190" i="159"/>
  <c r="E1190" i="159"/>
  <c r="K1190" i="159"/>
  <c r="L1190" i="159"/>
  <c r="M1190" i="159"/>
  <c r="O1190" i="159"/>
  <c r="P1190" i="159" s="1"/>
  <c r="D1191" i="159"/>
  <c r="D1192" i="159" s="1"/>
  <c r="D1193" i="159" s="1"/>
  <c r="D1194" i="159" s="1"/>
  <c r="K1191" i="159"/>
  <c r="L1191" i="159"/>
  <c r="K1192" i="159"/>
  <c r="L1192" i="159"/>
  <c r="K1193" i="159"/>
  <c r="L1193" i="159"/>
  <c r="K1194" i="159"/>
  <c r="L1194" i="159"/>
  <c r="F1196" i="159"/>
  <c r="G1196" i="159"/>
  <c r="H1196" i="159"/>
  <c r="I1196" i="159"/>
  <c r="J1196" i="159"/>
  <c r="D1197" i="159"/>
  <c r="D1198" i="159" s="1"/>
  <c r="D1199" i="159" s="1"/>
  <c r="D1200" i="159" s="1"/>
  <c r="D1201" i="159" s="1"/>
  <c r="E1197" i="159"/>
  <c r="K1197" i="159"/>
  <c r="L1197" i="159"/>
  <c r="M1197" i="159"/>
  <c r="O1197" i="159"/>
  <c r="P1197" i="159" s="1"/>
  <c r="K1198" i="159"/>
  <c r="L1198" i="159"/>
  <c r="K1199" i="159"/>
  <c r="L1199" i="159"/>
  <c r="K1200" i="159"/>
  <c r="L1200" i="159"/>
  <c r="K1201" i="159"/>
  <c r="L1201" i="159"/>
  <c r="F1203" i="159"/>
  <c r="G1203" i="159"/>
  <c r="H1203" i="159"/>
  <c r="I1203" i="159"/>
  <c r="J1203" i="159"/>
  <c r="D1204" i="159"/>
  <c r="E1204" i="159"/>
  <c r="K1204" i="159"/>
  <c r="L1204" i="159"/>
  <c r="M1204" i="159"/>
  <c r="O1204" i="159"/>
  <c r="P1204" i="159" s="1"/>
  <c r="D1205" i="159"/>
  <c r="D1206" i="159" s="1"/>
  <c r="D1207" i="159" s="1"/>
  <c r="D1208" i="159" s="1"/>
  <c r="K1205" i="159"/>
  <c r="L1205" i="159"/>
  <c r="K1206" i="159"/>
  <c r="L1206" i="159"/>
  <c r="K1207" i="159"/>
  <c r="L1207" i="159"/>
  <c r="K1208" i="159"/>
  <c r="L1208" i="159"/>
  <c r="F1210" i="159"/>
  <c r="G1210" i="159"/>
  <c r="H1210" i="159"/>
  <c r="I1210" i="159"/>
  <c r="J1210" i="159"/>
  <c r="D1211" i="159"/>
  <c r="E1211" i="159"/>
  <c r="K1211" i="159"/>
  <c r="L1211" i="159"/>
  <c r="M1211" i="159"/>
  <c r="O1211" i="159"/>
  <c r="P1211" i="159" s="1"/>
  <c r="D1212" i="159"/>
  <c r="D1213" i="159" s="1"/>
  <c r="D1214" i="159" s="1"/>
  <c r="D1215" i="159" s="1"/>
  <c r="K1212" i="159"/>
  <c r="L1212" i="159"/>
  <c r="K1213" i="159"/>
  <c r="L1213" i="159"/>
  <c r="K1214" i="159"/>
  <c r="L1214" i="159"/>
  <c r="K1215" i="159"/>
  <c r="L1215" i="159"/>
  <c r="F1217" i="159"/>
  <c r="G1217" i="159"/>
  <c r="H1217" i="159"/>
  <c r="I1217" i="159"/>
  <c r="J1217" i="159"/>
  <c r="D1218" i="159"/>
  <c r="E1218" i="159"/>
  <c r="K1218" i="159"/>
  <c r="L1218" i="159"/>
  <c r="M1218" i="159"/>
  <c r="O1218" i="159"/>
  <c r="P1218" i="159"/>
  <c r="D1219" i="159"/>
  <c r="D1220" i="159" s="1"/>
  <c r="D1221" i="159" s="1"/>
  <c r="D1222" i="159" s="1"/>
  <c r="K1219" i="159"/>
  <c r="L1219" i="159"/>
  <c r="K1220" i="159"/>
  <c r="L1220" i="159"/>
  <c r="K1221" i="159"/>
  <c r="L1221" i="159"/>
  <c r="K1222" i="159"/>
  <c r="L1222" i="159"/>
  <c r="F1224" i="159"/>
  <c r="G1224" i="159"/>
  <c r="H1224" i="159"/>
  <c r="I1224" i="159"/>
  <c r="J1224" i="159"/>
  <c r="D1225" i="159"/>
  <c r="D1226" i="159" s="1"/>
  <c r="D1227" i="159" s="1"/>
  <c r="D1228" i="159" s="1"/>
  <c r="D1229" i="159" s="1"/>
  <c r="E1225" i="159"/>
  <c r="K1225" i="159"/>
  <c r="L1225" i="159"/>
  <c r="M1225" i="159"/>
  <c r="O1225" i="159"/>
  <c r="P1225" i="159" s="1"/>
  <c r="K1226" i="159"/>
  <c r="L1226" i="159"/>
  <c r="K1227" i="159"/>
  <c r="L1227" i="159"/>
  <c r="K1228" i="159"/>
  <c r="L1228" i="159"/>
  <c r="K1229" i="159"/>
  <c r="L1229" i="159"/>
  <c r="F1231" i="159"/>
  <c r="G1231" i="159"/>
  <c r="H1231" i="159"/>
  <c r="I1231" i="159"/>
  <c r="J1231" i="159"/>
  <c r="D1232" i="159"/>
  <c r="D1233" i="159" s="1"/>
  <c r="D1234" i="159" s="1"/>
  <c r="D1235" i="159" s="1"/>
  <c r="D1236" i="159" s="1"/>
  <c r="E1232" i="159"/>
  <c r="K1232" i="159"/>
  <c r="L1232" i="159"/>
  <c r="M1232" i="159"/>
  <c r="O1232" i="159"/>
  <c r="P1232" i="159" s="1"/>
  <c r="K1233" i="159"/>
  <c r="L1233" i="159"/>
  <c r="K1234" i="159"/>
  <c r="L1234" i="159"/>
  <c r="K1235" i="159"/>
  <c r="L1235" i="159"/>
  <c r="K1236" i="159"/>
  <c r="L1236" i="159"/>
  <c r="F1238" i="159"/>
  <c r="G1238" i="159"/>
  <c r="H1238" i="159"/>
  <c r="I1238" i="159"/>
  <c r="J1238" i="159"/>
  <c r="D1239" i="159"/>
  <c r="E1239" i="159"/>
  <c r="K1239" i="159"/>
  <c r="L1239" i="159"/>
  <c r="M1239" i="159"/>
  <c r="O1239" i="159"/>
  <c r="P1239" i="159" s="1"/>
  <c r="D1240" i="159"/>
  <c r="D1241" i="159" s="1"/>
  <c r="D1242" i="159" s="1"/>
  <c r="D1243" i="159" s="1"/>
  <c r="K1240" i="159"/>
  <c r="L1240" i="159"/>
  <c r="K1241" i="159"/>
  <c r="L1241" i="159"/>
  <c r="K1242" i="159"/>
  <c r="L1242" i="159"/>
  <c r="K1243" i="159"/>
  <c r="L1243" i="159"/>
  <c r="F1245" i="159"/>
  <c r="G1245" i="159"/>
  <c r="H1245" i="159"/>
  <c r="I1245" i="159"/>
  <c r="J1245" i="159"/>
  <c r="D1246" i="159"/>
  <c r="E1246" i="159"/>
  <c r="K1246" i="159"/>
  <c r="L1246" i="159"/>
  <c r="M1246" i="159"/>
  <c r="O1246" i="159"/>
  <c r="P1246" i="159" s="1"/>
  <c r="D1247" i="159"/>
  <c r="D1248" i="159" s="1"/>
  <c r="D1249" i="159" s="1"/>
  <c r="D1250" i="159" s="1"/>
  <c r="K1247" i="159"/>
  <c r="L1247" i="159"/>
  <c r="K1248" i="159"/>
  <c r="L1248" i="159"/>
  <c r="K1249" i="159"/>
  <c r="L1249" i="159"/>
  <c r="K1250" i="159"/>
  <c r="L1250" i="159"/>
  <c r="F1252" i="159"/>
  <c r="G1252" i="159"/>
  <c r="H1252" i="159"/>
  <c r="I1252" i="159"/>
  <c r="J1252" i="159"/>
  <c r="D1253" i="159"/>
  <c r="E1253" i="159"/>
  <c r="K1253" i="159"/>
  <c r="L1253" i="159"/>
  <c r="M1253" i="159"/>
  <c r="O1253" i="159"/>
  <c r="P1253" i="159"/>
  <c r="D1254" i="159"/>
  <c r="D1255" i="159" s="1"/>
  <c r="D1256" i="159" s="1"/>
  <c r="D1257" i="159" s="1"/>
  <c r="K1254" i="159"/>
  <c r="L1254" i="159"/>
  <c r="K1255" i="159"/>
  <c r="L1255" i="159"/>
  <c r="K1256" i="159"/>
  <c r="L1256" i="159"/>
  <c r="K1257" i="159"/>
  <c r="L1257" i="159"/>
  <c r="F1259" i="159"/>
  <c r="G1259" i="159"/>
  <c r="H1259" i="159"/>
  <c r="I1259" i="159"/>
  <c r="J1259" i="159"/>
  <c r="D1260" i="159"/>
  <c r="D1261" i="159" s="1"/>
  <c r="D1262" i="159" s="1"/>
  <c r="D1263" i="159" s="1"/>
  <c r="D1264" i="159" s="1"/>
  <c r="E1260" i="159"/>
  <c r="K1260" i="159"/>
  <c r="L1260" i="159"/>
  <c r="M1260" i="159"/>
  <c r="O1260" i="159"/>
  <c r="P1260" i="159" s="1"/>
  <c r="K1261" i="159"/>
  <c r="L1261" i="159"/>
  <c r="K1262" i="159"/>
  <c r="L1262" i="159"/>
  <c r="K1263" i="159"/>
  <c r="L1263" i="159"/>
  <c r="K1264" i="159"/>
  <c r="L1264" i="159"/>
  <c r="F1266" i="159"/>
  <c r="G1266" i="159"/>
  <c r="H1266" i="159"/>
  <c r="I1266" i="159"/>
  <c r="J1266" i="159"/>
  <c r="D1267" i="159"/>
  <c r="D1268" i="159" s="1"/>
  <c r="D1269" i="159" s="1"/>
  <c r="D1270" i="159" s="1"/>
  <c r="D1271" i="159" s="1"/>
  <c r="E1267" i="159"/>
  <c r="K1267" i="159"/>
  <c r="L1267" i="159"/>
  <c r="M1267" i="159"/>
  <c r="O1267" i="159"/>
  <c r="P1267" i="159" s="1"/>
  <c r="K1268" i="159"/>
  <c r="L1268" i="159"/>
  <c r="K1269" i="159"/>
  <c r="L1269" i="159"/>
  <c r="K1270" i="159"/>
  <c r="L1270" i="159"/>
  <c r="K1271" i="159"/>
  <c r="L1271" i="159"/>
  <c r="F1273" i="159"/>
  <c r="G1273" i="159"/>
  <c r="H1273" i="159"/>
  <c r="I1273" i="159"/>
  <c r="J1273" i="159"/>
  <c r="D1274" i="159"/>
  <c r="E1274" i="159"/>
  <c r="K1274" i="159"/>
  <c r="L1274" i="159"/>
  <c r="M1274" i="159"/>
  <c r="O1274" i="159"/>
  <c r="P1274" i="159" s="1"/>
  <c r="D1275" i="159"/>
  <c r="D1276" i="159" s="1"/>
  <c r="D1277" i="159" s="1"/>
  <c r="D1278" i="159" s="1"/>
  <c r="K1275" i="159"/>
  <c r="L1275" i="159"/>
  <c r="K1276" i="159"/>
  <c r="L1276" i="159"/>
  <c r="K1277" i="159"/>
  <c r="L1277" i="159"/>
  <c r="K1278" i="159"/>
  <c r="L1278" i="159"/>
  <c r="F1280" i="159"/>
  <c r="G1280" i="159"/>
  <c r="H1280" i="159"/>
  <c r="I1280" i="159"/>
  <c r="J1280" i="159"/>
  <c r="D1281" i="159"/>
  <c r="E1281" i="159"/>
  <c r="K1281" i="159"/>
  <c r="L1281" i="159"/>
  <c r="M1281" i="159"/>
  <c r="O1281" i="159"/>
  <c r="P1281" i="159" s="1"/>
  <c r="D1282" i="159"/>
  <c r="D1283" i="159" s="1"/>
  <c r="D1284" i="159" s="1"/>
  <c r="D1285" i="159" s="1"/>
  <c r="K1282" i="159"/>
  <c r="L1282" i="159"/>
  <c r="K1283" i="159"/>
  <c r="L1283" i="159"/>
  <c r="K1284" i="159"/>
  <c r="L1284" i="159"/>
  <c r="K1285" i="159"/>
  <c r="L1285" i="159"/>
  <c r="F1287" i="159"/>
  <c r="G1287" i="159"/>
  <c r="H1287" i="159"/>
  <c r="I1287" i="159"/>
  <c r="J1287" i="159"/>
  <c r="D1288" i="159"/>
  <c r="E1288" i="159"/>
  <c r="K1288" i="159"/>
  <c r="L1288" i="159"/>
  <c r="M1288" i="159"/>
  <c r="O1288" i="159"/>
  <c r="P1288" i="159"/>
  <c r="D1289" i="159"/>
  <c r="D1290" i="159" s="1"/>
  <c r="D1291" i="159" s="1"/>
  <c r="D1292" i="159" s="1"/>
  <c r="K1289" i="159"/>
  <c r="L1289" i="159"/>
  <c r="K1290" i="159"/>
  <c r="L1290" i="159"/>
  <c r="K1291" i="159"/>
  <c r="L1291" i="159"/>
  <c r="K1292" i="159"/>
  <c r="L1292" i="159"/>
  <c r="F1294" i="159"/>
  <c r="G1294" i="159"/>
  <c r="H1294" i="159"/>
  <c r="I1294" i="159"/>
  <c r="J1294" i="159"/>
  <c r="D1295" i="159"/>
  <c r="D1296" i="159" s="1"/>
  <c r="D1297" i="159" s="1"/>
  <c r="D1298" i="159" s="1"/>
  <c r="D1299" i="159" s="1"/>
  <c r="E1295" i="159"/>
  <c r="K1295" i="159"/>
  <c r="L1295" i="159"/>
  <c r="M1295" i="159"/>
  <c r="O1295" i="159"/>
  <c r="P1295" i="159" s="1"/>
  <c r="K1296" i="159"/>
  <c r="L1296" i="159"/>
  <c r="K1297" i="159"/>
  <c r="L1297" i="159"/>
  <c r="K1298" i="159"/>
  <c r="L1298" i="159"/>
  <c r="K1299" i="159"/>
  <c r="L1299" i="159"/>
  <c r="F1301" i="159"/>
  <c r="G1301" i="159"/>
  <c r="H1301" i="159"/>
  <c r="I1301" i="159"/>
  <c r="J1301" i="159"/>
  <c r="D1302" i="159"/>
  <c r="D1303" i="159" s="1"/>
  <c r="D1304" i="159" s="1"/>
  <c r="D1305" i="159" s="1"/>
  <c r="D1306" i="159" s="1"/>
  <c r="E1302" i="159"/>
  <c r="K1302" i="159"/>
  <c r="L1302" i="159"/>
  <c r="M1302" i="159"/>
  <c r="O1302" i="159"/>
  <c r="P1302" i="159" s="1"/>
  <c r="K1303" i="159"/>
  <c r="L1303" i="159"/>
  <c r="K1304" i="159"/>
  <c r="L1304" i="159"/>
  <c r="K1305" i="159"/>
  <c r="L1305" i="159"/>
  <c r="K1306" i="159"/>
  <c r="L1306" i="159"/>
  <c r="F1308" i="159"/>
  <c r="G1308" i="159"/>
  <c r="H1308" i="159"/>
  <c r="I1308" i="159"/>
  <c r="J1308" i="159"/>
  <c r="D1309" i="159"/>
  <c r="E1309" i="159"/>
  <c r="K1309" i="159"/>
  <c r="L1309" i="159"/>
  <c r="M1309" i="159"/>
  <c r="O1309" i="159"/>
  <c r="P1309" i="159" s="1"/>
  <c r="D1310" i="159"/>
  <c r="D1311" i="159" s="1"/>
  <c r="D1312" i="159" s="1"/>
  <c r="D1313" i="159" s="1"/>
  <c r="K1310" i="159"/>
  <c r="L1310" i="159"/>
  <c r="K1311" i="159"/>
  <c r="L1311" i="159"/>
  <c r="K1312" i="159"/>
  <c r="L1312" i="159"/>
  <c r="K1313" i="159"/>
  <c r="L1313" i="159"/>
  <c r="F1315" i="159"/>
  <c r="G1315" i="159"/>
  <c r="H1315" i="159"/>
  <c r="I1315" i="159"/>
  <c r="J1315" i="159"/>
  <c r="D1316" i="159"/>
  <c r="E1316" i="159"/>
  <c r="K1316" i="159"/>
  <c r="L1316" i="159"/>
  <c r="M1316" i="159"/>
  <c r="O1316" i="159"/>
  <c r="P1316" i="159" s="1"/>
  <c r="D1317" i="159"/>
  <c r="D1318" i="159" s="1"/>
  <c r="D1319" i="159" s="1"/>
  <c r="D1320" i="159" s="1"/>
  <c r="K1317" i="159"/>
  <c r="L1317" i="159"/>
  <c r="K1318" i="159"/>
  <c r="L1318" i="159"/>
  <c r="K1319" i="159"/>
  <c r="L1319" i="159"/>
  <c r="K1320" i="159"/>
  <c r="L1320" i="159"/>
  <c r="F1322" i="159"/>
  <c r="G1322" i="159"/>
  <c r="H1322" i="159"/>
  <c r="I1322" i="159"/>
  <c r="J1322" i="159"/>
  <c r="D1323" i="159"/>
  <c r="E1323" i="159"/>
  <c r="K1323" i="159"/>
  <c r="L1323" i="159"/>
  <c r="M1323" i="159"/>
  <c r="O1323" i="159"/>
  <c r="P1323" i="159"/>
  <c r="D1324" i="159"/>
  <c r="D1325" i="159" s="1"/>
  <c r="D1326" i="159" s="1"/>
  <c r="D1327" i="159" s="1"/>
  <c r="K1324" i="159"/>
  <c r="L1324" i="159"/>
  <c r="K1325" i="159"/>
  <c r="L1325" i="159"/>
  <c r="K1326" i="159"/>
  <c r="L1326" i="159"/>
  <c r="K1327" i="159"/>
  <c r="L1327" i="159"/>
  <c r="F1329" i="159"/>
  <c r="G1329" i="159"/>
  <c r="H1329" i="159"/>
  <c r="I1329" i="159"/>
  <c r="J1329" i="159"/>
  <c r="D1330" i="159"/>
  <c r="D1331" i="159" s="1"/>
  <c r="D1332" i="159" s="1"/>
  <c r="D1333" i="159" s="1"/>
  <c r="D1334" i="159" s="1"/>
  <c r="E1330" i="159"/>
  <c r="K1330" i="159"/>
  <c r="L1330" i="159"/>
  <c r="M1330" i="159"/>
  <c r="O1330" i="159"/>
  <c r="P1330" i="159" s="1"/>
  <c r="K1331" i="159"/>
  <c r="L1331" i="159"/>
  <c r="K1332" i="159"/>
  <c r="L1332" i="159"/>
  <c r="K1333" i="159"/>
  <c r="L1333" i="159"/>
  <c r="K1334" i="159"/>
  <c r="L1334" i="159"/>
  <c r="F1336" i="159"/>
  <c r="G1336" i="159"/>
  <c r="H1336" i="159"/>
  <c r="I1336" i="159"/>
  <c r="J1336" i="159"/>
  <c r="D1337" i="159"/>
  <c r="D1338" i="159" s="1"/>
  <c r="D1339" i="159" s="1"/>
  <c r="D1340" i="159" s="1"/>
  <c r="D1341" i="159" s="1"/>
  <c r="E1337" i="159"/>
  <c r="K1337" i="159"/>
  <c r="L1337" i="159"/>
  <c r="M1337" i="159"/>
  <c r="O1337" i="159"/>
  <c r="P1337" i="159" s="1"/>
  <c r="K1338" i="159"/>
  <c r="L1338" i="159"/>
  <c r="K1339" i="159"/>
  <c r="L1339" i="159"/>
  <c r="K1340" i="159"/>
  <c r="L1340" i="159"/>
  <c r="K1341" i="159"/>
  <c r="L1341" i="159"/>
  <c r="F1343" i="159"/>
  <c r="G1343" i="159"/>
  <c r="H1343" i="159"/>
  <c r="I1343" i="159"/>
  <c r="J1343" i="159"/>
  <c r="D1344" i="159"/>
  <c r="E1344" i="159"/>
  <c r="K1344" i="159"/>
  <c r="L1344" i="159"/>
  <c r="M1344" i="159"/>
  <c r="O1344" i="159"/>
  <c r="P1344" i="159" s="1"/>
  <c r="D1345" i="159"/>
  <c r="D1346" i="159" s="1"/>
  <c r="D1347" i="159" s="1"/>
  <c r="D1348" i="159" s="1"/>
  <c r="K1345" i="159"/>
  <c r="L1345" i="159"/>
  <c r="K1346" i="159"/>
  <c r="L1346" i="159"/>
  <c r="K1347" i="159"/>
  <c r="L1347" i="159"/>
  <c r="K1348" i="159"/>
  <c r="L1348" i="159"/>
  <c r="F1350" i="159"/>
  <c r="G1350" i="159"/>
  <c r="H1350" i="159"/>
  <c r="I1350" i="159"/>
  <c r="J1350" i="159"/>
  <c r="D1351" i="159"/>
  <c r="D1352" i="159" s="1"/>
  <c r="D1353" i="159" s="1"/>
  <c r="D1354" i="159" s="1"/>
  <c r="D1355" i="159" s="1"/>
  <c r="E1351" i="159"/>
  <c r="K1351" i="159"/>
  <c r="L1351" i="159"/>
  <c r="M1351" i="159"/>
  <c r="N1351" i="159"/>
  <c r="O1351" i="159"/>
  <c r="P1351" i="159"/>
  <c r="K1352" i="159"/>
  <c r="L1352" i="159"/>
  <c r="K1353" i="159"/>
  <c r="L1353" i="159"/>
  <c r="K1354" i="159"/>
  <c r="L1354" i="159"/>
  <c r="K1355" i="159"/>
  <c r="L1355" i="159"/>
  <c r="F1357" i="159"/>
  <c r="G1357" i="159"/>
  <c r="H1357" i="159"/>
  <c r="I1357" i="159"/>
  <c r="J1357" i="159"/>
  <c r="D1358" i="159"/>
  <c r="E1358" i="159"/>
  <c r="K1358" i="159"/>
  <c r="L1358" i="159"/>
  <c r="M1358" i="159"/>
  <c r="O1358" i="159"/>
  <c r="P1358" i="159"/>
  <c r="D1359" i="159"/>
  <c r="D1360" i="159" s="1"/>
  <c r="D1361" i="159" s="1"/>
  <c r="D1362" i="159" s="1"/>
  <c r="K1359" i="159"/>
  <c r="L1359" i="159"/>
  <c r="K1360" i="159"/>
  <c r="L1360" i="159"/>
  <c r="K1361" i="159"/>
  <c r="L1361" i="159"/>
  <c r="K1362" i="159"/>
  <c r="L1362" i="159"/>
  <c r="F1364" i="159"/>
  <c r="G1364" i="159"/>
  <c r="H1364" i="159"/>
  <c r="I1364" i="159"/>
  <c r="J1364" i="159"/>
  <c r="D1365" i="159"/>
  <c r="D1366" i="159" s="1"/>
  <c r="D1367" i="159" s="1"/>
  <c r="D1368" i="159" s="1"/>
  <c r="D1369" i="159" s="1"/>
  <c r="E1365" i="159"/>
  <c r="K1365" i="159"/>
  <c r="L1365" i="159"/>
  <c r="M1365" i="159"/>
  <c r="O1365" i="159"/>
  <c r="P1365" i="159" s="1"/>
  <c r="K1366" i="159"/>
  <c r="L1366" i="159"/>
  <c r="K1367" i="159"/>
  <c r="L1367" i="159"/>
  <c r="K1368" i="159"/>
  <c r="L1368" i="159"/>
  <c r="K1369" i="159"/>
  <c r="L1369" i="159"/>
  <c r="F1371" i="159"/>
  <c r="G1371" i="159"/>
  <c r="H1371" i="159"/>
  <c r="I1371" i="159"/>
  <c r="J1371" i="159"/>
  <c r="D1372" i="159"/>
  <c r="D1373" i="159" s="1"/>
  <c r="D1374" i="159" s="1"/>
  <c r="D1375" i="159" s="1"/>
  <c r="D1376" i="159" s="1"/>
  <c r="E1372" i="159"/>
  <c r="K1372" i="159"/>
  <c r="L1372" i="159"/>
  <c r="M1372" i="159"/>
  <c r="O1372" i="159"/>
  <c r="P1372" i="159"/>
  <c r="K1373" i="159"/>
  <c r="L1373" i="159"/>
  <c r="K1374" i="159"/>
  <c r="L1374" i="159"/>
  <c r="K1375" i="159"/>
  <c r="L1375" i="159"/>
  <c r="K1376" i="159"/>
  <c r="L1376" i="159"/>
  <c r="F1378" i="159"/>
  <c r="G1378" i="159"/>
  <c r="H1378" i="159"/>
  <c r="I1378" i="159"/>
  <c r="J1378" i="159"/>
  <c r="D1379" i="159"/>
  <c r="D1380" i="159" s="1"/>
  <c r="D1381" i="159" s="1"/>
  <c r="D1382" i="159" s="1"/>
  <c r="D1383" i="159" s="1"/>
  <c r="E1379" i="159"/>
  <c r="K1379" i="159"/>
  <c r="L1379" i="159"/>
  <c r="M1379" i="159"/>
  <c r="O1379" i="159"/>
  <c r="P1379" i="159"/>
  <c r="K1380" i="159"/>
  <c r="L1380" i="159"/>
  <c r="K1381" i="159"/>
  <c r="L1381" i="159"/>
  <c r="K1382" i="159"/>
  <c r="L1382" i="159"/>
  <c r="K1383" i="159"/>
  <c r="L1383" i="159"/>
  <c r="F1385" i="159"/>
  <c r="G1385" i="159"/>
  <c r="H1385" i="159"/>
  <c r="I1385" i="159"/>
  <c r="J1385" i="159"/>
  <c r="D1386" i="159"/>
  <c r="E1386" i="159"/>
  <c r="K1386" i="159"/>
  <c r="L1386" i="159"/>
  <c r="M1386" i="159"/>
  <c r="O1386" i="159"/>
  <c r="P1386" i="159"/>
  <c r="D1387" i="159"/>
  <c r="D1388" i="159" s="1"/>
  <c r="D1389" i="159" s="1"/>
  <c r="D1390" i="159" s="1"/>
  <c r="K1387" i="159"/>
  <c r="L1387" i="159"/>
  <c r="K1388" i="159"/>
  <c r="L1388" i="159"/>
  <c r="K1389" i="159"/>
  <c r="L1389" i="159"/>
  <c r="K1390" i="159"/>
  <c r="L1390" i="159"/>
  <c r="F1392" i="159"/>
  <c r="G1392" i="159"/>
  <c r="H1392" i="159"/>
  <c r="I1392" i="159"/>
  <c r="J1392" i="159"/>
  <c r="D1393" i="159"/>
  <c r="E1393" i="159"/>
  <c r="K1393" i="159"/>
  <c r="L1393" i="159"/>
  <c r="M1393" i="159"/>
  <c r="O1393" i="159"/>
  <c r="P1393" i="159"/>
  <c r="D1394" i="159"/>
  <c r="D1395" i="159" s="1"/>
  <c r="D1396" i="159" s="1"/>
  <c r="D1397" i="159" s="1"/>
  <c r="K1394" i="159"/>
  <c r="L1394" i="159"/>
  <c r="K1395" i="159"/>
  <c r="L1395" i="159"/>
  <c r="K1396" i="159"/>
  <c r="L1396" i="159"/>
  <c r="K1397" i="159"/>
  <c r="L1397" i="159"/>
  <c r="F1399" i="159"/>
  <c r="G1399" i="159"/>
  <c r="H1399" i="159"/>
  <c r="I1399" i="159"/>
  <c r="J1399" i="159"/>
  <c r="D1400" i="159"/>
  <c r="D1401" i="159" s="1"/>
  <c r="D1402" i="159" s="1"/>
  <c r="D1403" i="159" s="1"/>
  <c r="D1404" i="159" s="1"/>
  <c r="E1400" i="159"/>
  <c r="K1400" i="159"/>
  <c r="L1400" i="159"/>
  <c r="M1400" i="159"/>
  <c r="O1400" i="159"/>
  <c r="P1400" i="159" s="1"/>
  <c r="K1401" i="159"/>
  <c r="L1401" i="159"/>
  <c r="K1402" i="159"/>
  <c r="L1402" i="159"/>
  <c r="K1403" i="159"/>
  <c r="L1403" i="159"/>
  <c r="K1404" i="159"/>
  <c r="L1404" i="159"/>
  <c r="F1406" i="159"/>
  <c r="G1406" i="159"/>
  <c r="H1406" i="159"/>
  <c r="I1406" i="159"/>
  <c r="J1406" i="159"/>
  <c r="D1407" i="159"/>
  <c r="D1408" i="159" s="1"/>
  <c r="D1409" i="159" s="1"/>
  <c r="D1410" i="159" s="1"/>
  <c r="D1411" i="159" s="1"/>
  <c r="E1407" i="159"/>
  <c r="K1407" i="159"/>
  <c r="L1407" i="159"/>
  <c r="M1407" i="159"/>
  <c r="O1407" i="159"/>
  <c r="P1407" i="159"/>
  <c r="K1408" i="159"/>
  <c r="L1408" i="159"/>
  <c r="K1409" i="159"/>
  <c r="L1409" i="159"/>
  <c r="K1410" i="159"/>
  <c r="L1410" i="159"/>
  <c r="K1411" i="159"/>
  <c r="L1411" i="159"/>
  <c r="F1413" i="159"/>
  <c r="G1413" i="159"/>
  <c r="H1413" i="159"/>
  <c r="I1413" i="159"/>
  <c r="J1413" i="159"/>
  <c r="D1414" i="159"/>
  <c r="D1415" i="159" s="1"/>
  <c r="D1416" i="159" s="1"/>
  <c r="D1417" i="159" s="1"/>
  <c r="D1418" i="159" s="1"/>
  <c r="E1414" i="159"/>
  <c r="K1414" i="159"/>
  <c r="L1414" i="159"/>
  <c r="M1414" i="159"/>
  <c r="O1414" i="159"/>
  <c r="P1414" i="159"/>
  <c r="K1415" i="159"/>
  <c r="L1415" i="159"/>
  <c r="K1416" i="159"/>
  <c r="L1416" i="159"/>
  <c r="K1417" i="159"/>
  <c r="L1417" i="159"/>
  <c r="K1418" i="159"/>
  <c r="L1418" i="159"/>
  <c r="F1420" i="159"/>
  <c r="G1420" i="159"/>
  <c r="H1420" i="159"/>
  <c r="I1420" i="159"/>
  <c r="J1420" i="159"/>
  <c r="D1421" i="159"/>
  <c r="D1422" i="159" s="1"/>
  <c r="D1423" i="159" s="1"/>
  <c r="D1424" i="159" s="1"/>
  <c r="D1425" i="159" s="1"/>
  <c r="E1421" i="159"/>
  <c r="K1421" i="159"/>
  <c r="L1421" i="159"/>
  <c r="M1421" i="159"/>
  <c r="O1421" i="159"/>
  <c r="P1421" i="159"/>
  <c r="K1422" i="159"/>
  <c r="L1422" i="159"/>
  <c r="K1423" i="159"/>
  <c r="L1423" i="159"/>
  <c r="K1424" i="159"/>
  <c r="L1424" i="159"/>
  <c r="K1425" i="159"/>
  <c r="L1425" i="159"/>
  <c r="F1427" i="159"/>
  <c r="G1427" i="159"/>
  <c r="H1427" i="159"/>
  <c r="I1427" i="159"/>
  <c r="J1427" i="159"/>
  <c r="D1428" i="159"/>
  <c r="E1428" i="159"/>
  <c r="K1428" i="159"/>
  <c r="L1428" i="159"/>
  <c r="M1428" i="159"/>
  <c r="O1428" i="159"/>
  <c r="P1428" i="159"/>
  <c r="D1429" i="159"/>
  <c r="D1430" i="159" s="1"/>
  <c r="D1431" i="159" s="1"/>
  <c r="D1432" i="159" s="1"/>
  <c r="K1429" i="159"/>
  <c r="L1429" i="159"/>
  <c r="K1430" i="159"/>
  <c r="L1430" i="159"/>
  <c r="K1431" i="159"/>
  <c r="L1431" i="159"/>
  <c r="K1432" i="159"/>
  <c r="L1432" i="159"/>
  <c r="F1434" i="159"/>
  <c r="G1434" i="159"/>
  <c r="H1434" i="159"/>
  <c r="I1434" i="159"/>
  <c r="J1434" i="159"/>
  <c r="D1435" i="159"/>
  <c r="D1436" i="159" s="1"/>
  <c r="D1437" i="159" s="1"/>
  <c r="D1438" i="159" s="1"/>
  <c r="D1439" i="159" s="1"/>
  <c r="E1435" i="159"/>
  <c r="K1435" i="159"/>
  <c r="L1435" i="159"/>
  <c r="M1435" i="159"/>
  <c r="O1435" i="159"/>
  <c r="P1435" i="159" s="1"/>
  <c r="K1436" i="159"/>
  <c r="L1436" i="159"/>
  <c r="K1437" i="159"/>
  <c r="L1437" i="159"/>
  <c r="K1438" i="159"/>
  <c r="L1438" i="159"/>
  <c r="K1439" i="159"/>
  <c r="L1439" i="159"/>
  <c r="F1441" i="159"/>
  <c r="G1441" i="159"/>
  <c r="H1441" i="159"/>
  <c r="I1441" i="159"/>
  <c r="J1441" i="159"/>
  <c r="D1442" i="159"/>
  <c r="D1443" i="159" s="1"/>
  <c r="D1444" i="159" s="1"/>
  <c r="D1445" i="159" s="1"/>
  <c r="D1446" i="159" s="1"/>
  <c r="E1442" i="159"/>
  <c r="K1442" i="159"/>
  <c r="L1442" i="159"/>
  <c r="M1442" i="159"/>
  <c r="O1442" i="159"/>
  <c r="P1442" i="159" s="1"/>
  <c r="K1443" i="159"/>
  <c r="L1443" i="159"/>
  <c r="K1444" i="159"/>
  <c r="L1444" i="159"/>
  <c r="K1445" i="159"/>
  <c r="L1445" i="159"/>
  <c r="K1446" i="159"/>
  <c r="L1446" i="159"/>
  <c r="F1448" i="159"/>
  <c r="G1448" i="159"/>
  <c r="H1448" i="159"/>
  <c r="I1448" i="159"/>
  <c r="J1448" i="159"/>
  <c r="D1449" i="159"/>
  <c r="D1450" i="159" s="1"/>
  <c r="D1451" i="159" s="1"/>
  <c r="D1452" i="159" s="1"/>
  <c r="D1453" i="159" s="1"/>
  <c r="E1449" i="159"/>
  <c r="K1449" i="159"/>
  <c r="L1449" i="159"/>
  <c r="M1449" i="159"/>
  <c r="O1449" i="159"/>
  <c r="P1449" i="159"/>
  <c r="K1450" i="159"/>
  <c r="L1450" i="159"/>
  <c r="K1451" i="159"/>
  <c r="L1451" i="159"/>
  <c r="K1452" i="159"/>
  <c r="L1452" i="159"/>
  <c r="K1453" i="159"/>
  <c r="L1453" i="159"/>
  <c r="F1455" i="159"/>
  <c r="G1455" i="159"/>
  <c r="H1455" i="159"/>
  <c r="I1455" i="159"/>
  <c r="J1455" i="159"/>
  <c r="D1456" i="159"/>
  <c r="D1457" i="159" s="1"/>
  <c r="D1458" i="159" s="1"/>
  <c r="D1459" i="159" s="1"/>
  <c r="D1460" i="159" s="1"/>
  <c r="E1456" i="159"/>
  <c r="K1456" i="159"/>
  <c r="L1456" i="159"/>
  <c r="M1456" i="159"/>
  <c r="O1456" i="159"/>
  <c r="P1456" i="159"/>
  <c r="K1457" i="159"/>
  <c r="L1457" i="159"/>
  <c r="K1458" i="159"/>
  <c r="L1458" i="159"/>
  <c r="K1459" i="159"/>
  <c r="L1459" i="159"/>
  <c r="K1460" i="159"/>
  <c r="L1460" i="159"/>
  <c r="F1462" i="159"/>
  <c r="G1462" i="159"/>
  <c r="H1462" i="159"/>
  <c r="I1462" i="159"/>
  <c r="J1462" i="159"/>
  <c r="D1463" i="159"/>
  <c r="E1463" i="159"/>
  <c r="K1463" i="159"/>
  <c r="L1463" i="159"/>
  <c r="M1463" i="159"/>
  <c r="O1463" i="159"/>
  <c r="P1463" i="159"/>
  <c r="D1464" i="159"/>
  <c r="D1465" i="159" s="1"/>
  <c r="D1466" i="159" s="1"/>
  <c r="D1467" i="159" s="1"/>
  <c r="K1464" i="159"/>
  <c r="L1464" i="159"/>
  <c r="K1465" i="159"/>
  <c r="L1465" i="159"/>
  <c r="K1466" i="159"/>
  <c r="L1466" i="159"/>
  <c r="K1467" i="159"/>
  <c r="L1467" i="159"/>
  <c r="F1469" i="159"/>
  <c r="G1469" i="159"/>
  <c r="H1469" i="159"/>
  <c r="I1469" i="159"/>
  <c r="J1469" i="159"/>
  <c r="D1470" i="159"/>
  <c r="E1470" i="159"/>
  <c r="K1470" i="159"/>
  <c r="L1470" i="159"/>
  <c r="M1470" i="159"/>
  <c r="O1470" i="159"/>
  <c r="P1470" i="159" s="1"/>
  <c r="D1471" i="159"/>
  <c r="D1472" i="159" s="1"/>
  <c r="D1473" i="159" s="1"/>
  <c r="D1474" i="159" s="1"/>
  <c r="K1471" i="159"/>
  <c r="L1471" i="159"/>
  <c r="K1472" i="159"/>
  <c r="L1472" i="159"/>
  <c r="K1473" i="159"/>
  <c r="L1473" i="159"/>
  <c r="K1474" i="159"/>
  <c r="L1474" i="159"/>
  <c r="F1476" i="159"/>
  <c r="G1476" i="159"/>
  <c r="H1476" i="159"/>
  <c r="I1476" i="159"/>
  <c r="J1476" i="159"/>
  <c r="D1477" i="159"/>
  <c r="D1478" i="159" s="1"/>
  <c r="D1479" i="159" s="1"/>
  <c r="D1480" i="159" s="1"/>
  <c r="D1481" i="159" s="1"/>
  <c r="E1477" i="159"/>
  <c r="K1477" i="159"/>
  <c r="L1477" i="159"/>
  <c r="M1477" i="159"/>
  <c r="O1477" i="159"/>
  <c r="P1477" i="159" s="1"/>
  <c r="K1478" i="159"/>
  <c r="L1478" i="159"/>
  <c r="K1479" i="159"/>
  <c r="L1479" i="159"/>
  <c r="K1480" i="159"/>
  <c r="L1480" i="159"/>
  <c r="K1481" i="159"/>
  <c r="L1481" i="159"/>
  <c r="F1483" i="159"/>
  <c r="G1483" i="159"/>
  <c r="H1483" i="159"/>
  <c r="I1483" i="159"/>
  <c r="J1483" i="159"/>
  <c r="D1484" i="159"/>
  <c r="E1484" i="159"/>
  <c r="K1484" i="159"/>
  <c r="L1484" i="159"/>
  <c r="M1484" i="159"/>
  <c r="O1484" i="159"/>
  <c r="P1484" i="159"/>
  <c r="D1485" i="159"/>
  <c r="D1486" i="159" s="1"/>
  <c r="D1487" i="159" s="1"/>
  <c r="D1488" i="159" s="1"/>
  <c r="K1485" i="159"/>
  <c r="L1485" i="159"/>
  <c r="K1486" i="159"/>
  <c r="L1486" i="159"/>
  <c r="K1487" i="159"/>
  <c r="L1487" i="159"/>
  <c r="K1488" i="159"/>
  <c r="L1488" i="159"/>
  <c r="F1490" i="159"/>
  <c r="G1490" i="159"/>
  <c r="H1490" i="159"/>
  <c r="I1490" i="159"/>
  <c r="J1490" i="159"/>
  <c r="D1491" i="159"/>
  <c r="D1492" i="159" s="1"/>
  <c r="D1493" i="159" s="1"/>
  <c r="D1494" i="159" s="1"/>
  <c r="D1495" i="159" s="1"/>
  <c r="E1491" i="159"/>
  <c r="K1491" i="159"/>
  <c r="L1491" i="159"/>
  <c r="M1491" i="159"/>
  <c r="O1491" i="159"/>
  <c r="P1491" i="159"/>
  <c r="K1492" i="159"/>
  <c r="L1492" i="159"/>
  <c r="K1493" i="159"/>
  <c r="L1493" i="159"/>
  <c r="K1494" i="159"/>
  <c r="L1494" i="159"/>
  <c r="K1495" i="159"/>
  <c r="L1495" i="159"/>
  <c r="F1497" i="159"/>
  <c r="G1497" i="159"/>
  <c r="H1497" i="159"/>
  <c r="I1497" i="159"/>
  <c r="J1497" i="159"/>
  <c r="D1498" i="159"/>
  <c r="E1498" i="159"/>
  <c r="K1498" i="159"/>
  <c r="L1498" i="159"/>
  <c r="M1498" i="159"/>
  <c r="O1498" i="159"/>
  <c r="P1498" i="159"/>
  <c r="D1499" i="159"/>
  <c r="D1500" i="159" s="1"/>
  <c r="D1501" i="159" s="1"/>
  <c r="D1502" i="159" s="1"/>
  <c r="K1499" i="159"/>
  <c r="L1499" i="159"/>
  <c r="K1500" i="159"/>
  <c r="L1500" i="159"/>
  <c r="K1501" i="159"/>
  <c r="L1501" i="159"/>
  <c r="K1502" i="159"/>
  <c r="L1502" i="159"/>
  <c r="F1504" i="159"/>
  <c r="G1504" i="159"/>
  <c r="H1504" i="159"/>
  <c r="I1504" i="159"/>
  <c r="J1504" i="159"/>
  <c r="D1505" i="159"/>
  <c r="E1505" i="159"/>
  <c r="K1505" i="159"/>
  <c r="L1505" i="159"/>
  <c r="M1505" i="159"/>
  <c r="O1505" i="159"/>
  <c r="P1505" i="159"/>
  <c r="D1506" i="159"/>
  <c r="D1507" i="159" s="1"/>
  <c r="D1508" i="159" s="1"/>
  <c r="D1509" i="159" s="1"/>
  <c r="K1506" i="159"/>
  <c r="L1506" i="159"/>
  <c r="K1507" i="159"/>
  <c r="L1507" i="159"/>
  <c r="K1508" i="159"/>
  <c r="L1508" i="159"/>
  <c r="K1509" i="159"/>
  <c r="L1509" i="159"/>
  <c r="F1511" i="159"/>
  <c r="G1511" i="159"/>
  <c r="H1511" i="159"/>
  <c r="I1511" i="159"/>
  <c r="J1511" i="159"/>
  <c r="D1512" i="159"/>
  <c r="D1513" i="159" s="1"/>
  <c r="D1514" i="159" s="1"/>
  <c r="D1515" i="159" s="1"/>
  <c r="D1516" i="159" s="1"/>
  <c r="E1512" i="159"/>
  <c r="K1512" i="159"/>
  <c r="L1512" i="159"/>
  <c r="M1512" i="159"/>
  <c r="O1512" i="159"/>
  <c r="P1512" i="159" s="1"/>
  <c r="K1513" i="159"/>
  <c r="L1513" i="159"/>
  <c r="K1514" i="159"/>
  <c r="L1514" i="159"/>
  <c r="K1515" i="159"/>
  <c r="L1515" i="159"/>
  <c r="K1516" i="159"/>
  <c r="L1516" i="159"/>
  <c r="F1518" i="159"/>
  <c r="G1518" i="159"/>
  <c r="H1518" i="159"/>
  <c r="I1518" i="159"/>
  <c r="J1518" i="159"/>
  <c r="D1519" i="159"/>
  <c r="E1519" i="159"/>
  <c r="K1519" i="159"/>
  <c r="L1519" i="159"/>
  <c r="M1519" i="159"/>
  <c r="O1519" i="159"/>
  <c r="P1519" i="159"/>
  <c r="D1520" i="159"/>
  <c r="K1520" i="159"/>
  <c r="L1520" i="159"/>
  <c r="D1521" i="159"/>
  <c r="D1522" i="159" s="1"/>
  <c r="K1521" i="159"/>
  <c r="L1521" i="159"/>
  <c r="K1522" i="159"/>
  <c r="L1522" i="159"/>
  <c r="D1523" i="159"/>
  <c r="K1523" i="159"/>
  <c r="L1523" i="159"/>
  <c r="F1525" i="159"/>
  <c r="G1525" i="159"/>
  <c r="H1525" i="159"/>
  <c r="I1525" i="159"/>
  <c r="J1525" i="159"/>
  <c r="D1526" i="159"/>
  <c r="D1527" i="159" s="1"/>
  <c r="D1528" i="159" s="1"/>
  <c r="D1529" i="159" s="1"/>
  <c r="D1530" i="159" s="1"/>
  <c r="E1526" i="159"/>
  <c r="K1526" i="159"/>
  <c r="L1526" i="159"/>
  <c r="M1526" i="159"/>
  <c r="O1526" i="159"/>
  <c r="P1526" i="159"/>
  <c r="K1527" i="159"/>
  <c r="L1527" i="159"/>
  <c r="K1528" i="159"/>
  <c r="L1528" i="159"/>
  <c r="K1529" i="159"/>
  <c r="L1529" i="159"/>
  <c r="K1530" i="159"/>
  <c r="L1530" i="159"/>
  <c r="F1532" i="159"/>
  <c r="G1532" i="159"/>
  <c r="H1532" i="159"/>
  <c r="I1532" i="159"/>
  <c r="J1532" i="159"/>
  <c r="D1533" i="159"/>
  <c r="E1533" i="159"/>
  <c r="K1533" i="159"/>
  <c r="L1533" i="159"/>
  <c r="M1533" i="159"/>
  <c r="O1533" i="159"/>
  <c r="P1533" i="159"/>
  <c r="D1534" i="159"/>
  <c r="D1535" i="159" s="1"/>
  <c r="D1536" i="159" s="1"/>
  <c r="D1537" i="159" s="1"/>
  <c r="K1534" i="159"/>
  <c r="L1534" i="159"/>
  <c r="K1535" i="159"/>
  <c r="L1535" i="159"/>
  <c r="K1536" i="159"/>
  <c r="L1536" i="159"/>
  <c r="K1537" i="159"/>
  <c r="L1537" i="159"/>
  <c r="F1539" i="159"/>
  <c r="G1539" i="159"/>
  <c r="H1539" i="159"/>
  <c r="I1539" i="159"/>
  <c r="J1539" i="159"/>
  <c r="D1540" i="159"/>
  <c r="E1540" i="159"/>
  <c r="K1540" i="159"/>
  <c r="L1540" i="159"/>
  <c r="M1540" i="159"/>
  <c r="O1540" i="159"/>
  <c r="P1540" i="159"/>
  <c r="D1541" i="159"/>
  <c r="D1542" i="159" s="1"/>
  <c r="D1543" i="159" s="1"/>
  <c r="D1544" i="159" s="1"/>
  <c r="K1541" i="159"/>
  <c r="L1541" i="159"/>
  <c r="K1542" i="159"/>
  <c r="L1542" i="159"/>
  <c r="K1543" i="159"/>
  <c r="L1543" i="159"/>
  <c r="K1544" i="159"/>
  <c r="L1544" i="159"/>
  <c r="F1546" i="159"/>
  <c r="G1546" i="159"/>
  <c r="H1546" i="159"/>
  <c r="I1546" i="159"/>
  <c r="J1546" i="159"/>
  <c r="D1547" i="159"/>
  <c r="D1548" i="159" s="1"/>
  <c r="D1549" i="159" s="1"/>
  <c r="D1550" i="159" s="1"/>
  <c r="D1551" i="159" s="1"/>
  <c r="E1547" i="159"/>
  <c r="K1547" i="159"/>
  <c r="L1547" i="159"/>
  <c r="M1547" i="159"/>
  <c r="O1547" i="159"/>
  <c r="P1547" i="159" s="1"/>
  <c r="K1548" i="159"/>
  <c r="L1548" i="159"/>
  <c r="K1549" i="159"/>
  <c r="L1549" i="159"/>
  <c r="K1550" i="159"/>
  <c r="L1550" i="159"/>
  <c r="K1551" i="159"/>
  <c r="L1551" i="159"/>
  <c r="F1553" i="159"/>
  <c r="G1553" i="159"/>
  <c r="H1553" i="159"/>
  <c r="I1553" i="159"/>
  <c r="J1553" i="159"/>
  <c r="D1554" i="159"/>
  <c r="E1554" i="159"/>
  <c r="K1554" i="159"/>
  <c r="L1554" i="159"/>
  <c r="M1554" i="159"/>
  <c r="O1554" i="159"/>
  <c r="P1554" i="159"/>
  <c r="D1555" i="159"/>
  <c r="K1555" i="159"/>
  <c r="L1555" i="159"/>
  <c r="D1556" i="159"/>
  <c r="D1557" i="159" s="1"/>
  <c r="D1558" i="159" s="1"/>
  <c r="K1556" i="159"/>
  <c r="L1556" i="159"/>
  <c r="K1557" i="159"/>
  <c r="L1557" i="159"/>
  <c r="K1558" i="159"/>
  <c r="L1558" i="159"/>
  <c r="F1560" i="159"/>
  <c r="G1560" i="159"/>
  <c r="H1560" i="159"/>
  <c r="I1560" i="159"/>
  <c r="J1560" i="159"/>
  <c r="D1561" i="159"/>
  <c r="D1562" i="159" s="1"/>
  <c r="E1561" i="159"/>
  <c r="K1561" i="159"/>
  <c r="L1561" i="159"/>
  <c r="M1561" i="159"/>
  <c r="O1561" i="159"/>
  <c r="P1561" i="159"/>
  <c r="K1562" i="159"/>
  <c r="L1562" i="159"/>
  <c r="D1563" i="159"/>
  <c r="D1564" i="159" s="1"/>
  <c r="D1565" i="159" s="1"/>
  <c r="K1563" i="159"/>
  <c r="L1563" i="159"/>
  <c r="K1564" i="159"/>
  <c r="L1564" i="159"/>
  <c r="K1565" i="159"/>
  <c r="L1565" i="159"/>
  <c r="F1567" i="159"/>
  <c r="G1567" i="159"/>
  <c r="H1567" i="159"/>
  <c r="I1567" i="159"/>
  <c r="J1567" i="159"/>
  <c r="D1568" i="159"/>
  <c r="E1568" i="159"/>
  <c r="K1568" i="159"/>
  <c r="L1568" i="159"/>
  <c r="M1568" i="159"/>
  <c r="O1568" i="159"/>
  <c r="P1568" i="159"/>
  <c r="D1569" i="159"/>
  <c r="D1570" i="159" s="1"/>
  <c r="D1571" i="159" s="1"/>
  <c r="D1572" i="159" s="1"/>
  <c r="K1569" i="159"/>
  <c r="L1569" i="159"/>
  <c r="K1570" i="159"/>
  <c r="L1570" i="159"/>
  <c r="K1571" i="159"/>
  <c r="L1571" i="159"/>
  <c r="K1572" i="159"/>
  <c r="L1572" i="159"/>
  <c r="F1574" i="159"/>
  <c r="G1574" i="159"/>
  <c r="H1574" i="159"/>
  <c r="I1574" i="159"/>
  <c r="J1574" i="159"/>
  <c r="D1575" i="159"/>
  <c r="E1575" i="159"/>
  <c r="K1575" i="159"/>
  <c r="L1575" i="159"/>
  <c r="M1575" i="159"/>
  <c r="O1575" i="159"/>
  <c r="P1575" i="159"/>
  <c r="D1576" i="159"/>
  <c r="D1577" i="159" s="1"/>
  <c r="D1578" i="159" s="1"/>
  <c r="D1579" i="159" s="1"/>
  <c r="K1576" i="159"/>
  <c r="L1576" i="159"/>
  <c r="K1577" i="159"/>
  <c r="L1577" i="159"/>
  <c r="K1578" i="159"/>
  <c r="L1578" i="159"/>
  <c r="K1579" i="159"/>
  <c r="L1579" i="159"/>
  <c r="F1581" i="159"/>
  <c r="G1581" i="159"/>
  <c r="H1581" i="159"/>
  <c r="I1581" i="159"/>
  <c r="J1581" i="159"/>
  <c r="D1582" i="159"/>
  <c r="D1583" i="159" s="1"/>
  <c r="D1584" i="159" s="1"/>
  <c r="D1585" i="159" s="1"/>
  <c r="D1586" i="159" s="1"/>
  <c r="E1582" i="159"/>
  <c r="K1582" i="159"/>
  <c r="L1582" i="159"/>
  <c r="M1582" i="159"/>
  <c r="O1582" i="159"/>
  <c r="P1582" i="159" s="1"/>
  <c r="K1583" i="159"/>
  <c r="L1583" i="159"/>
  <c r="K1584" i="159"/>
  <c r="L1584" i="159"/>
  <c r="K1585" i="159"/>
  <c r="L1585" i="159"/>
  <c r="K1586" i="159"/>
  <c r="L1586" i="159"/>
  <c r="F1588" i="159"/>
  <c r="G1588" i="159"/>
  <c r="H1588" i="159"/>
  <c r="I1588" i="159"/>
  <c r="J1588" i="159"/>
  <c r="D1589" i="159"/>
  <c r="E1589" i="159"/>
  <c r="K1589" i="159"/>
  <c r="L1589" i="159"/>
  <c r="M1589" i="159"/>
  <c r="O1589" i="159"/>
  <c r="P1589" i="159"/>
  <c r="D1590" i="159"/>
  <c r="D1591" i="159" s="1"/>
  <c r="D1592" i="159" s="1"/>
  <c r="D1593" i="159" s="1"/>
  <c r="K1590" i="159"/>
  <c r="L1590" i="159"/>
  <c r="K1591" i="159"/>
  <c r="L1591" i="159"/>
  <c r="K1592" i="159"/>
  <c r="L1592" i="159"/>
  <c r="K1593" i="159"/>
  <c r="L1593" i="159"/>
  <c r="F1595" i="159"/>
  <c r="G1595" i="159"/>
  <c r="H1595" i="159"/>
  <c r="I1595" i="159"/>
  <c r="J1595" i="159"/>
  <c r="D1596" i="159"/>
  <c r="E1596" i="159"/>
  <c r="K1596" i="159"/>
  <c r="L1596" i="159"/>
  <c r="M1596" i="159"/>
  <c r="O1596" i="159"/>
  <c r="P1596" i="159"/>
  <c r="D1597" i="159"/>
  <c r="K1597" i="159"/>
  <c r="L1597" i="159"/>
  <c r="D1598" i="159"/>
  <c r="D1599" i="159" s="1"/>
  <c r="D1600" i="159" s="1"/>
  <c r="K1598" i="159"/>
  <c r="L1598" i="159"/>
  <c r="K1599" i="159"/>
  <c r="L1599" i="159"/>
  <c r="K1600" i="159"/>
  <c r="L1600" i="159"/>
  <c r="F1602" i="159"/>
  <c r="G1602" i="159"/>
  <c r="H1602" i="159"/>
  <c r="I1602" i="159"/>
  <c r="J1602" i="159"/>
  <c r="D1603" i="159"/>
  <c r="E1603" i="159"/>
  <c r="K1603" i="159"/>
  <c r="L1603" i="159"/>
  <c r="M1603" i="159"/>
  <c r="O1603" i="159"/>
  <c r="P1603" i="159"/>
  <c r="D1604" i="159"/>
  <c r="D1605" i="159" s="1"/>
  <c r="D1606" i="159" s="1"/>
  <c r="D1607" i="159" s="1"/>
  <c r="K1604" i="159"/>
  <c r="L1604" i="159"/>
  <c r="K1605" i="159"/>
  <c r="L1605" i="159"/>
  <c r="K1606" i="159"/>
  <c r="L1606" i="159"/>
  <c r="K1607" i="159"/>
  <c r="L1607" i="159"/>
  <c r="F1609" i="159"/>
  <c r="G1609" i="159"/>
  <c r="H1609" i="159"/>
  <c r="I1609" i="159"/>
  <c r="J1609" i="159"/>
  <c r="D1610" i="159"/>
  <c r="E1610" i="159"/>
  <c r="K1610" i="159"/>
  <c r="L1610" i="159"/>
  <c r="M1610" i="159"/>
  <c r="O1610" i="159"/>
  <c r="P1610" i="159" s="1"/>
  <c r="D1611" i="159"/>
  <c r="D1612" i="159" s="1"/>
  <c r="D1613" i="159" s="1"/>
  <c r="D1614" i="159" s="1"/>
  <c r="K1611" i="159"/>
  <c r="L1611" i="159"/>
  <c r="K1612" i="159"/>
  <c r="L1612" i="159"/>
  <c r="K1613" i="159"/>
  <c r="L1613" i="159"/>
  <c r="K1614" i="159"/>
  <c r="L1614" i="159"/>
  <c r="F1616" i="159"/>
  <c r="G1616" i="159"/>
  <c r="H1616" i="159"/>
  <c r="I1616" i="159"/>
  <c r="J1616" i="159"/>
  <c r="D1617" i="159"/>
  <c r="D1618" i="159" s="1"/>
  <c r="D1619" i="159" s="1"/>
  <c r="D1620" i="159" s="1"/>
  <c r="D1621" i="159" s="1"/>
  <c r="E1617" i="159"/>
  <c r="K1617" i="159"/>
  <c r="L1617" i="159"/>
  <c r="M1617" i="159"/>
  <c r="O1617" i="159"/>
  <c r="P1617" i="159"/>
  <c r="K1618" i="159"/>
  <c r="L1618" i="159"/>
  <c r="K1619" i="159"/>
  <c r="L1619" i="159"/>
  <c r="K1620" i="159"/>
  <c r="L1620" i="159"/>
  <c r="K1621" i="159"/>
  <c r="L1621" i="159"/>
  <c r="F1623" i="159"/>
  <c r="G1623" i="159"/>
  <c r="H1623" i="159"/>
  <c r="I1623" i="159"/>
  <c r="J1623" i="159"/>
  <c r="D1624" i="159"/>
  <c r="E1624" i="159"/>
  <c r="K1624" i="159"/>
  <c r="L1624" i="159"/>
  <c r="M1624" i="159"/>
  <c r="O1624" i="159"/>
  <c r="P1624" i="159"/>
  <c r="D1625" i="159"/>
  <c r="D1626" i="159" s="1"/>
  <c r="D1627" i="159" s="1"/>
  <c r="D1628" i="159" s="1"/>
  <c r="K1625" i="159"/>
  <c r="L1625" i="159"/>
  <c r="K1626" i="159"/>
  <c r="L1626" i="159"/>
  <c r="K1627" i="159"/>
  <c r="L1627" i="159"/>
  <c r="K1628" i="159"/>
  <c r="L1628" i="159"/>
  <c r="F1630" i="159"/>
  <c r="G1630" i="159"/>
  <c r="H1630" i="159"/>
  <c r="I1630" i="159"/>
  <c r="J1630" i="159"/>
  <c r="D1631" i="159"/>
  <c r="E1631" i="159"/>
  <c r="K1631" i="159"/>
  <c r="L1631" i="159"/>
  <c r="M1631" i="159"/>
  <c r="O1631" i="159"/>
  <c r="P1631" i="159"/>
  <c r="D1632" i="159"/>
  <c r="K1632" i="159"/>
  <c r="L1632" i="159"/>
  <c r="D1633" i="159"/>
  <c r="D1634" i="159" s="1"/>
  <c r="D1635" i="159" s="1"/>
  <c r="K1633" i="159"/>
  <c r="L1633" i="159"/>
  <c r="K1634" i="159"/>
  <c r="L1634" i="159"/>
  <c r="K1635" i="159"/>
  <c r="L1635" i="159"/>
  <c r="F1637" i="159"/>
  <c r="G1637" i="159"/>
  <c r="H1637" i="159"/>
  <c r="I1637" i="159"/>
  <c r="J1637" i="159"/>
  <c r="D1638" i="159"/>
  <c r="E1638" i="159"/>
  <c r="K1638" i="159"/>
  <c r="L1638" i="159"/>
  <c r="M1638" i="159"/>
  <c r="O1638" i="159"/>
  <c r="P1638" i="159"/>
  <c r="D1639" i="159"/>
  <c r="D1640" i="159" s="1"/>
  <c r="D1641" i="159" s="1"/>
  <c r="D1642" i="159" s="1"/>
  <c r="K1639" i="159"/>
  <c r="L1639" i="159"/>
  <c r="K1640" i="159"/>
  <c r="L1640" i="159"/>
  <c r="K1641" i="159"/>
  <c r="L1641" i="159"/>
  <c r="K1642" i="159"/>
  <c r="L1642" i="159"/>
  <c r="F1644" i="159"/>
  <c r="G1644" i="159"/>
  <c r="H1644" i="159"/>
  <c r="I1644" i="159"/>
  <c r="J1644" i="159"/>
  <c r="D1645" i="159"/>
  <c r="E1645" i="159"/>
  <c r="K1645" i="159"/>
  <c r="L1645" i="159"/>
  <c r="M1645" i="159"/>
  <c r="O1645" i="159"/>
  <c r="P1645" i="159" s="1"/>
  <c r="D1646" i="159"/>
  <c r="D1647" i="159" s="1"/>
  <c r="D1648" i="159" s="1"/>
  <c r="D1649" i="159" s="1"/>
  <c r="K1646" i="159"/>
  <c r="L1646" i="159"/>
  <c r="K1647" i="159"/>
  <c r="L1647" i="159"/>
  <c r="K1648" i="159"/>
  <c r="L1648" i="159"/>
  <c r="K1649" i="159"/>
  <c r="L1649" i="159"/>
  <c r="F1651" i="159"/>
  <c r="G1651" i="159"/>
  <c r="H1651" i="159"/>
  <c r="I1651" i="159"/>
  <c r="J1651" i="159"/>
  <c r="D1652" i="159"/>
  <c r="D1653" i="159" s="1"/>
  <c r="D1654" i="159" s="1"/>
  <c r="D1655" i="159" s="1"/>
  <c r="D1656" i="159" s="1"/>
  <c r="E1652" i="159"/>
  <c r="K1652" i="159"/>
  <c r="L1652" i="159"/>
  <c r="M1652" i="159"/>
  <c r="O1652" i="159"/>
  <c r="P1652" i="159" s="1"/>
  <c r="K1653" i="159"/>
  <c r="L1653" i="159"/>
  <c r="K1654" i="159"/>
  <c r="L1654" i="159"/>
  <c r="K1655" i="159"/>
  <c r="L1655" i="159"/>
  <c r="K1656" i="159"/>
  <c r="L1656" i="159"/>
  <c r="F1658" i="159"/>
  <c r="G1658" i="159"/>
  <c r="H1658" i="159"/>
  <c r="I1658" i="159"/>
  <c r="J1658" i="159"/>
  <c r="D1659" i="159"/>
  <c r="E1659" i="159"/>
  <c r="K1659" i="159"/>
  <c r="L1659" i="159"/>
  <c r="M1659" i="159"/>
  <c r="O1659" i="159"/>
  <c r="P1659" i="159"/>
  <c r="D1660" i="159"/>
  <c r="K1660" i="159"/>
  <c r="L1660" i="159"/>
  <c r="D1661" i="159"/>
  <c r="D1662" i="159" s="1"/>
  <c r="D1663" i="159" s="1"/>
  <c r="K1661" i="159"/>
  <c r="L1661" i="159"/>
  <c r="K1662" i="159"/>
  <c r="L1662" i="159"/>
  <c r="K1663" i="159"/>
  <c r="L1663" i="159"/>
  <c r="F1665" i="159"/>
  <c r="G1665" i="159"/>
  <c r="H1665" i="159"/>
  <c r="I1665" i="159"/>
  <c r="J1665" i="159"/>
  <c r="D1666" i="159"/>
  <c r="E1666" i="159"/>
  <c r="K1666" i="159"/>
  <c r="L1666" i="159"/>
  <c r="M1666" i="159"/>
  <c r="O1666" i="159"/>
  <c r="P1666" i="159"/>
  <c r="D1667" i="159"/>
  <c r="K1667" i="159"/>
  <c r="L1667" i="159"/>
  <c r="D1668" i="159"/>
  <c r="D1669" i="159" s="1"/>
  <c r="D1670" i="159" s="1"/>
  <c r="K1668" i="159"/>
  <c r="L1668" i="159"/>
  <c r="K1669" i="159"/>
  <c r="L1669" i="159"/>
  <c r="K1670" i="159"/>
  <c r="L1670" i="159"/>
  <c r="F1672" i="159"/>
  <c r="G1672" i="159"/>
  <c r="H1672" i="159"/>
  <c r="I1672" i="159"/>
  <c r="J1672" i="159"/>
  <c r="D1673" i="159"/>
  <c r="E1673" i="159"/>
  <c r="K1673" i="159"/>
  <c r="L1673" i="159"/>
  <c r="M1673" i="159"/>
  <c r="O1673" i="159"/>
  <c r="P1673" i="159"/>
  <c r="D1674" i="159"/>
  <c r="D1675" i="159" s="1"/>
  <c r="D1676" i="159" s="1"/>
  <c r="D1677" i="159" s="1"/>
  <c r="K1674" i="159"/>
  <c r="L1674" i="159"/>
  <c r="K1675" i="159"/>
  <c r="L1675" i="159"/>
  <c r="K1676" i="159"/>
  <c r="L1676" i="159"/>
  <c r="K1677" i="159"/>
  <c r="L1677" i="159"/>
  <c r="F1679" i="159"/>
  <c r="G1679" i="159"/>
  <c r="H1679" i="159"/>
  <c r="I1679" i="159"/>
  <c r="J1679" i="159"/>
  <c r="D1680" i="159"/>
  <c r="E1680" i="159"/>
  <c r="K1680" i="159"/>
  <c r="L1680" i="159"/>
  <c r="M1680" i="159"/>
  <c r="O1680" i="159"/>
  <c r="P1680" i="159" s="1"/>
  <c r="D1681" i="159"/>
  <c r="D1682" i="159" s="1"/>
  <c r="D1683" i="159" s="1"/>
  <c r="D1684" i="159" s="1"/>
  <c r="K1681" i="159"/>
  <c r="L1681" i="159"/>
  <c r="K1682" i="159"/>
  <c r="L1682" i="159"/>
  <c r="K1683" i="159"/>
  <c r="L1683" i="159"/>
  <c r="K1684" i="159"/>
  <c r="L1684" i="159"/>
  <c r="F1686" i="159"/>
  <c r="G1686" i="159"/>
  <c r="H1686" i="159"/>
  <c r="I1686" i="159"/>
  <c r="J1686" i="159"/>
  <c r="D1687" i="159"/>
  <c r="D1688" i="159" s="1"/>
  <c r="D1689" i="159" s="1"/>
  <c r="D1690" i="159" s="1"/>
  <c r="D1691" i="159" s="1"/>
  <c r="E1687" i="159"/>
  <c r="K1687" i="159"/>
  <c r="L1687" i="159"/>
  <c r="M1687" i="159"/>
  <c r="O1687" i="159"/>
  <c r="P1687" i="159" s="1"/>
  <c r="K1688" i="159"/>
  <c r="L1688" i="159"/>
  <c r="K1689" i="159"/>
  <c r="L1689" i="159"/>
  <c r="K1690" i="159"/>
  <c r="L1690" i="159"/>
  <c r="K1691" i="159"/>
  <c r="L1691" i="159"/>
  <c r="F1693" i="159"/>
  <c r="G1693" i="159"/>
  <c r="H1693" i="159"/>
  <c r="I1693" i="159"/>
  <c r="J1693" i="159"/>
  <c r="D1694" i="159"/>
  <c r="E1694" i="159"/>
  <c r="K1694" i="159"/>
  <c r="L1694" i="159"/>
  <c r="M1694" i="159"/>
  <c r="O1694" i="159"/>
  <c r="P1694" i="159"/>
  <c r="D1695" i="159"/>
  <c r="K1695" i="159"/>
  <c r="L1695" i="159"/>
  <c r="D1696" i="159"/>
  <c r="D1697" i="159" s="1"/>
  <c r="K1696" i="159"/>
  <c r="L1696" i="159"/>
  <c r="K1697" i="159"/>
  <c r="L1697" i="159"/>
  <c r="D1698" i="159"/>
  <c r="K1698" i="159"/>
  <c r="L1698" i="159"/>
  <c r="F1700" i="159"/>
  <c r="G1700" i="159"/>
  <c r="H1700" i="159"/>
  <c r="I1700" i="159"/>
  <c r="J1700" i="159"/>
  <c r="D1701" i="159"/>
  <c r="E1701" i="159"/>
  <c r="K1701" i="159"/>
  <c r="L1701" i="159"/>
  <c r="M1701" i="159"/>
  <c r="O1701" i="159"/>
  <c r="P1701" i="159"/>
  <c r="D1702" i="159"/>
  <c r="K1702" i="159"/>
  <c r="L1702" i="159"/>
  <c r="D1703" i="159"/>
  <c r="D1704" i="159" s="1"/>
  <c r="D1705" i="159" s="1"/>
  <c r="K1703" i="159"/>
  <c r="L1703" i="159"/>
  <c r="K1704" i="159"/>
  <c r="L1704" i="159"/>
  <c r="K1705" i="159"/>
  <c r="L1705" i="159"/>
  <c r="F1707" i="159"/>
  <c r="G1707" i="159"/>
  <c r="H1707" i="159"/>
  <c r="I1707" i="159"/>
  <c r="J1707" i="159"/>
  <c r="D1708" i="159"/>
  <c r="E1708" i="159"/>
  <c r="K1708" i="159"/>
  <c r="L1708" i="159"/>
  <c r="M1708" i="159"/>
  <c r="O1708" i="159"/>
  <c r="P1708" i="159"/>
  <c r="D1709" i="159"/>
  <c r="D1710" i="159" s="1"/>
  <c r="D1711" i="159" s="1"/>
  <c r="D1712" i="159" s="1"/>
  <c r="K1709" i="159"/>
  <c r="L1709" i="159"/>
  <c r="K1710" i="159"/>
  <c r="L1710" i="159"/>
  <c r="K1711" i="159"/>
  <c r="L1711" i="159"/>
  <c r="K1712" i="159"/>
  <c r="L1712" i="159"/>
  <c r="F1714" i="159"/>
  <c r="G1714" i="159"/>
  <c r="H1714" i="159"/>
  <c r="I1714" i="159"/>
  <c r="J1714" i="159"/>
  <c r="D1715" i="159"/>
  <c r="E1715" i="159"/>
  <c r="K1715" i="159"/>
  <c r="L1715" i="159"/>
  <c r="M1715" i="159"/>
  <c r="O1715" i="159"/>
  <c r="P1715" i="159" s="1"/>
  <c r="D1716" i="159"/>
  <c r="D1717" i="159" s="1"/>
  <c r="D1718" i="159" s="1"/>
  <c r="D1719" i="159" s="1"/>
  <c r="K1716" i="159"/>
  <c r="L1716" i="159"/>
  <c r="K1717" i="159"/>
  <c r="L1717" i="159"/>
  <c r="K1718" i="159"/>
  <c r="L1718" i="159"/>
  <c r="K1719" i="159"/>
  <c r="L1719" i="159"/>
  <c r="F1721" i="159"/>
  <c r="G1721" i="159"/>
  <c r="H1721" i="159"/>
  <c r="I1721" i="159"/>
  <c r="J1721" i="159"/>
  <c r="D1722" i="159"/>
  <c r="D1723" i="159" s="1"/>
  <c r="D1724" i="159" s="1"/>
  <c r="D1725" i="159" s="1"/>
  <c r="D1726" i="159" s="1"/>
  <c r="E1722" i="159"/>
  <c r="K1722" i="159"/>
  <c r="L1722" i="159"/>
  <c r="M1722" i="159"/>
  <c r="O1722" i="159"/>
  <c r="P1722" i="159" s="1"/>
  <c r="K1723" i="159"/>
  <c r="L1723" i="159"/>
  <c r="K1724" i="159"/>
  <c r="L1724" i="159"/>
  <c r="K1725" i="159"/>
  <c r="L1725" i="159"/>
  <c r="K1726" i="159"/>
  <c r="L1726" i="159"/>
  <c r="F1728" i="159"/>
  <c r="G1728" i="159"/>
  <c r="H1728" i="159"/>
  <c r="I1728" i="159"/>
  <c r="J1728" i="159"/>
  <c r="D1729" i="159"/>
  <c r="E1729" i="159"/>
  <c r="K1729" i="159"/>
  <c r="L1729" i="159"/>
  <c r="M1729" i="159"/>
  <c r="O1729" i="159"/>
  <c r="P1729" i="159"/>
  <c r="D1730" i="159"/>
  <c r="K1730" i="159"/>
  <c r="L1730" i="159"/>
  <c r="D1731" i="159"/>
  <c r="D1732" i="159" s="1"/>
  <c r="D1733" i="159" s="1"/>
  <c r="K1731" i="159"/>
  <c r="L1731" i="159"/>
  <c r="K1732" i="159"/>
  <c r="L1732" i="159"/>
  <c r="K1733" i="159"/>
  <c r="L1733" i="159"/>
  <c r="F1735" i="159"/>
  <c r="G1735" i="159"/>
  <c r="H1735" i="159"/>
  <c r="I1735" i="159"/>
  <c r="J1735" i="159"/>
  <c r="D1736" i="159"/>
  <c r="D1737" i="159" s="1"/>
  <c r="D1738" i="159" s="1"/>
  <c r="D1739" i="159" s="1"/>
  <c r="D1740" i="159" s="1"/>
  <c r="E1736" i="159"/>
  <c r="K1736" i="159"/>
  <c r="L1736" i="159"/>
  <c r="M1736" i="159"/>
  <c r="O1736" i="159"/>
  <c r="P1736" i="159"/>
  <c r="K1737" i="159"/>
  <c r="L1737" i="159"/>
  <c r="K1738" i="159"/>
  <c r="L1738" i="159"/>
  <c r="K1739" i="159"/>
  <c r="L1739" i="159"/>
  <c r="K1740" i="159"/>
  <c r="L1740" i="159"/>
  <c r="F1742" i="159"/>
  <c r="G1742" i="159"/>
  <c r="H1742" i="159"/>
  <c r="I1742" i="159"/>
  <c r="J1742" i="159"/>
  <c r="D1743" i="159"/>
  <c r="E1743" i="159"/>
  <c r="K1743" i="159"/>
  <c r="L1743" i="159"/>
  <c r="M1743" i="159"/>
  <c r="O1743" i="159"/>
  <c r="P1743" i="159"/>
  <c r="D1744" i="159"/>
  <c r="D1745" i="159" s="1"/>
  <c r="D1746" i="159" s="1"/>
  <c r="D1747" i="159" s="1"/>
  <c r="K1744" i="159"/>
  <c r="L1744" i="159"/>
  <c r="K1745" i="159"/>
  <c r="L1745" i="159"/>
  <c r="K1746" i="159"/>
  <c r="L1746" i="159"/>
  <c r="K1747" i="159"/>
  <c r="L1747" i="159"/>
  <c r="F1749" i="159"/>
  <c r="G1749" i="159"/>
  <c r="H1749" i="159"/>
  <c r="I1749" i="159"/>
  <c r="J1749" i="159"/>
  <c r="D1750" i="159"/>
  <c r="E1750" i="159"/>
  <c r="K1750" i="159"/>
  <c r="L1750" i="159"/>
  <c r="M1750" i="159"/>
  <c r="O1750" i="159"/>
  <c r="P1750" i="159" s="1"/>
  <c r="D1751" i="159"/>
  <c r="D1752" i="159" s="1"/>
  <c r="D1753" i="159" s="1"/>
  <c r="D1754" i="159" s="1"/>
  <c r="K1751" i="159"/>
  <c r="L1751" i="159"/>
  <c r="K1752" i="159"/>
  <c r="L1752" i="159"/>
  <c r="K1753" i="159"/>
  <c r="L1753" i="159"/>
  <c r="K1754" i="159"/>
  <c r="L1754" i="159"/>
  <c r="F1756" i="159"/>
  <c r="G1756" i="159"/>
  <c r="H1756" i="159"/>
  <c r="I1756" i="159"/>
  <c r="J1756" i="159"/>
  <c r="D1757" i="159"/>
  <c r="D1758" i="159" s="1"/>
  <c r="D1759" i="159" s="1"/>
  <c r="D1760" i="159" s="1"/>
  <c r="D1761" i="159" s="1"/>
  <c r="E1757" i="159"/>
  <c r="K1757" i="159"/>
  <c r="L1757" i="159"/>
  <c r="M1757" i="159"/>
  <c r="O1757" i="159"/>
  <c r="P1757" i="159" s="1"/>
  <c r="K1758" i="159"/>
  <c r="L1758" i="159"/>
  <c r="K1759" i="159"/>
  <c r="L1759" i="159"/>
  <c r="K1760" i="159"/>
  <c r="L1760" i="159"/>
  <c r="K1761" i="159"/>
  <c r="L1761" i="159"/>
  <c r="F1763" i="159"/>
  <c r="G1763" i="159"/>
  <c r="H1763" i="159"/>
  <c r="I1763" i="159"/>
  <c r="J1763" i="159"/>
  <c r="D1764" i="159"/>
  <c r="E1764" i="159"/>
  <c r="K1764" i="159"/>
  <c r="L1764" i="159"/>
  <c r="M1764" i="159"/>
  <c r="O1764" i="159"/>
  <c r="P1764" i="159"/>
  <c r="D1765" i="159"/>
  <c r="D1766" i="159" s="1"/>
  <c r="D1767" i="159" s="1"/>
  <c r="D1768" i="159" s="1"/>
  <c r="K1765" i="159"/>
  <c r="L1765" i="159"/>
  <c r="K1766" i="159"/>
  <c r="L1766" i="159"/>
  <c r="K1767" i="159"/>
  <c r="L1767" i="159"/>
  <c r="K1768" i="159"/>
  <c r="L1768" i="159"/>
  <c r="F1770" i="159"/>
  <c r="G1770" i="159"/>
  <c r="H1770" i="159"/>
  <c r="I1770" i="159"/>
  <c r="J1770" i="159"/>
  <c r="D1771" i="159"/>
  <c r="D1772" i="159" s="1"/>
  <c r="D1773" i="159" s="1"/>
  <c r="D1774" i="159" s="1"/>
  <c r="D1775" i="159" s="1"/>
  <c r="E1771" i="159"/>
  <c r="K1771" i="159"/>
  <c r="L1771" i="159"/>
  <c r="M1771" i="159"/>
  <c r="O1771" i="159"/>
  <c r="P1771" i="159"/>
  <c r="K1772" i="159"/>
  <c r="L1772" i="159"/>
  <c r="K1773" i="159"/>
  <c r="L1773" i="159"/>
  <c r="K1774" i="159"/>
  <c r="L1774" i="159"/>
  <c r="K1775" i="159"/>
  <c r="L1775" i="159"/>
  <c r="F1777" i="159"/>
  <c r="G1777" i="159"/>
  <c r="H1777" i="159"/>
  <c r="I1777" i="159"/>
  <c r="J1777" i="159"/>
  <c r="D1778" i="159"/>
  <c r="E1778" i="159"/>
  <c r="K1778" i="159"/>
  <c r="L1778" i="159"/>
  <c r="M1778" i="159"/>
  <c r="O1778" i="159"/>
  <c r="P1778" i="159"/>
  <c r="D1779" i="159"/>
  <c r="D1780" i="159" s="1"/>
  <c r="D1781" i="159" s="1"/>
  <c r="D1782" i="159" s="1"/>
  <c r="K1779" i="159"/>
  <c r="L1779" i="159"/>
  <c r="K1780" i="159"/>
  <c r="L1780" i="159"/>
  <c r="K1781" i="159"/>
  <c r="L1781" i="159"/>
  <c r="K1782" i="159"/>
  <c r="L1782" i="159"/>
  <c r="F1784" i="159"/>
  <c r="G1784" i="159"/>
  <c r="H1784" i="159"/>
  <c r="I1784" i="159"/>
  <c r="J1784" i="159"/>
  <c r="D1785" i="159"/>
  <c r="E1785" i="159"/>
  <c r="K1785" i="159"/>
  <c r="L1785" i="159"/>
  <c r="M1785" i="159"/>
  <c r="O1785" i="159"/>
  <c r="P1785" i="159" s="1"/>
  <c r="D1786" i="159"/>
  <c r="D1787" i="159" s="1"/>
  <c r="D1788" i="159" s="1"/>
  <c r="D1789" i="159" s="1"/>
  <c r="K1786" i="159"/>
  <c r="L1786" i="159"/>
  <c r="K1787" i="159"/>
  <c r="L1787" i="159"/>
  <c r="K1788" i="159"/>
  <c r="L1788" i="159"/>
  <c r="K1789" i="159"/>
  <c r="L1789" i="159"/>
  <c r="F1791" i="159"/>
  <c r="G1791" i="159"/>
  <c r="H1791" i="159"/>
  <c r="I1791" i="159"/>
  <c r="J1791" i="159"/>
  <c r="D1792" i="159"/>
  <c r="D1793" i="159" s="1"/>
  <c r="D1794" i="159" s="1"/>
  <c r="D1795" i="159" s="1"/>
  <c r="D1796" i="159" s="1"/>
  <c r="E1792" i="159"/>
  <c r="K1792" i="159"/>
  <c r="L1792" i="159"/>
  <c r="M1792" i="159"/>
  <c r="O1792" i="159"/>
  <c r="P1792" i="159" s="1"/>
  <c r="K1793" i="159"/>
  <c r="L1793" i="159"/>
  <c r="K1794" i="159"/>
  <c r="L1794" i="159"/>
  <c r="K1795" i="159"/>
  <c r="L1795" i="159"/>
  <c r="K1796" i="159"/>
  <c r="L1796" i="159"/>
  <c r="F1798" i="159"/>
  <c r="G1798" i="159"/>
  <c r="H1798" i="159"/>
  <c r="I1798" i="159"/>
  <c r="J1798" i="159"/>
  <c r="D1799" i="159"/>
  <c r="E1799" i="159"/>
  <c r="K1799" i="159"/>
  <c r="L1799" i="159"/>
  <c r="M1799" i="159"/>
  <c r="O1799" i="159"/>
  <c r="P1799" i="159"/>
  <c r="D1800" i="159"/>
  <c r="K1800" i="159"/>
  <c r="L1800" i="159"/>
  <c r="D1801" i="159"/>
  <c r="D1802" i="159" s="1"/>
  <c r="K1801" i="159"/>
  <c r="L1801" i="159"/>
  <c r="K1802" i="159"/>
  <c r="L1802" i="159"/>
  <c r="D1803" i="159"/>
  <c r="K1803" i="159"/>
  <c r="L1803" i="159"/>
  <c r="F1805" i="159"/>
  <c r="G1805" i="159"/>
  <c r="H1805" i="159"/>
  <c r="I1805" i="159"/>
  <c r="J1805" i="159"/>
  <c r="D1806" i="159"/>
  <c r="D1807" i="159" s="1"/>
  <c r="D1808" i="159" s="1"/>
  <c r="D1809" i="159" s="1"/>
  <c r="D1810" i="159" s="1"/>
  <c r="E1806" i="159"/>
  <c r="K1806" i="159"/>
  <c r="L1806" i="159"/>
  <c r="M1806" i="159"/>
  <c r="O1806" i="159"/>
  <c r="P1806" i="159"/>
  <c r="K1807" i="159"/>
  <c r="L1807" i="159"/>
  <c r="K1808" i="159"/>
  <c r="L1808" i="159"/>
  <c r="K1809" i="159"/>
  <c r="L1809" i="159"/>
  <c r="K1810" i="159"/>
  <c r="L1810" i="159"/>
  <c r="F1812" i="159"/>
  <c r="G1812" i="159"/>
  <c r="H1812" i="159"/>
  <c r="I1812" i="159"/>
  <c r="J1812" i="159"/>
  <c r="D1813" i="159"/>
  <c r="E1813" i="159"/>
  <c r="K1813" i="159"/>
  <c r="L1813" i="159"/>
  <c r="M1813" i="159"/>
  <c r="O1813" i="159"/>
  <c r="P1813" i="159"/>
  <c r="D1814" i="159"/>
  <c r="D1815" i="159" s="1"/>
  <c r="D1816" i="159" s="1"/>
  <c r="D1817" i="159" s="1"/>
  <c r="K1814" i="159"/>
  <c r="L1814" i="159"/>
  <c r="K1815" i="159"/>
  <c r="L1815" i="159"/>
  <c r="K1816" i="159"/>
  <c r="L1816" i="159"/>
  <c r="K1817" i="159"/>
  <c r="L1817" i="159"/>
  <c r="F1819" i="159"/>
  <c r="G1819" i="159"/>
  <c r="H1819" i="159"/>
  <c r="I1819" i="159"/>
  <c r="J1819" i="159"/>
  <c r="D1820" i="159"/>
  <c r="E1820" i="159"/>
  <c r="K1820" i="159"/>
  <c r="L1820" i="159"/>
  <c r="M1820" i="159"/>
  <c r="O1820" i="159"/>
  <c r="P1820" i="159" s="1"/>
  <c r="D1821" i="159"/>
  <c r="D1822" i="159" s="1"/>
  <c r="D1823" i="159" s="1"/>
  <c r="D1824" i="159" s="1"/>
  <c r="K1821" i="159"/>
  <c r="L1821" i="159"/>
  <c r="K1822" i="159"/>
  <c r="L1822" i="159"/>
  <c r="K1823" i="159"/>
  <c r="L1823" i="159"/>
  <c r="K1824" i="159"/>
  <c r="L1824" i="159"/>
  <c r="F1826" i="159"/>
  <c r="G1826" i="159"/>
  <c r="H1826" i="159"/>
  <c r="I1826" i="159"/>
  <c r="J1826" i="159"/>
  <c r="D1827" i="159"/>
  <c r="D1828" i="159" s="1"/>
  <c r="D1829" i="159" s="1"/>
  <c r="D1830" i="159" s="1"/>
  <c r="D1831" i="159" s="1"/>
  <c r="E1827" i="159"/>
  <c r="K1827" i="159"/>
  <c r="L1827" i="159"/>
  <c r="M1827" i="159"/>
  <c r="O1827" i="159"/>
  <c r="P1827" i="159" s="1"/>
  <c r="K1828" i="159"/>
  <c r="L1828" i="159"/>
  <c r="K1829" i="159"/>
  <c r="L1829" i="159"/>
  <c r="K1830" i="159"/>
  <c r="L1830" i="159"/>
  <c r="K1831" i="159"/>
  <c r="L1831" i="159"/>
  <c r="F1833" i="159"/>
  <c r="G1833" i="159"/>
  <c r="H1833" i="159"/>
  <c r="I1833" i="159"/>
  <c r="J1833" i="159"/>
  <c r="D1834" i="159"/>
  <c r="E1834" i="159"/>
  <c r="K1834" i="159"/>
  <c r="L1834" i="159"/>
  <c r="M1834" i="159"/>
  <c r="N1834" i="159"/>
  <c r="O1834" i="159"/>
  <c r="P1834" i="159" s="1"/>
  <c r="D1835" i="159"/>
  <c r="D1836" i="159" s="1"/>
  <c r="K1835" i="159"/>
  <c r="L1835" i="159"/>
  <c r="K1836" i="159"/>
  <c r="L1836" i="159"/>
  <c r="D1837" i="159"/>
  <c r="D1838" i="159" s="1"/>
  <c r="K1837" i="159"/>
  <c r="L1837" i="159"/>
  <c r="K1838" i="159"/>
  <c r="L1838" i="159"/>
  <c r="F1840" i="159"/>
  <c r="G1840" i="159"/>
  <c r="H1840" i="159"/>
  <c r="I1840" i="159"/>
  <c r="J1840" i="159"/>
  <c r="D1841" i="159"/>
  <c r="D1842" i="159" s="1"/>
  <c r="D1843" i="159" s="1"/>
  <c r="D1844" i="159" s="1"/>
  <c r="D1845" i="159" s="1"/>
  <c r="E1841" i="159"/>
  <c r="K1841" i="159"/>
  <c r="L1841" i="159"/>
  <c r="M1841" i="159"/>
  <c r="O1841" i="159"/>
  <c r="P1841" i="159" s="1"/>
  <c r="K1842" i="159"/>
  <c r="L1842" i="159"/>
  <c r="K1843" i="159"/>
  <c r="L1843" i="159"/>
  <c r="K1844" i="159"/>
  <c r="L1844" i="159"/>
  <c r="K1845" i="159"/>
  <c r="L1845" i="159"/>
  <c r="F1847" i="159"/>
  <c r="G1847" i="159"/>
  <c r="H1847" i="159"/>
  <c r="I1847" i="159"/>
  <c r="J1847" i="159"/>
  <c r="D1848" i="159"/>
  <c r="E1848" i="159"/>
  <c r="K1848" i="159"/>
  <c r="L1848" i="159"/>
  <c r="M1848" i="159"/>
  <c r="O1848" i="159"/>
  <c r="P1848" i="159"/>
  <c r="D1849" i="159"/>
  <c r="D1850" i="159" s="1"/>
  <c r="D1851" i="159" s="1"/>
  <c r="D1852" i="159" s="1"/>
  <c r="K1849" i="159"/>
  <c r="L1849" i="159"/>
  <c r="K1850" i="159"/>
  <c r="L1850" i="159"/>
  <c r="K1851" i="159"/>
  <c r="L1851" i="159"/>
  <c r="K1852" i="159"/>
  <c r="L1852" i="159"/>
  <c r="F1854" i="159"/>
  <c r="G1854" i="159"/>
  <c r="H1854" i="159"/>
  <c r="I1854" i="159"/>
  <c r="J1854" i="159"/>
  <c r="D1855" i="159"/>
  <c r="D1856" i="159" s="1"/>
  <c r="D1857" i="159" s="1"/>
  <c r="D1858" i="159" s="1"/>
  <c r="D1859" i="159" s="1"/>
  <c r="E1855" i="159"/>
  <c r="K1855" i="159"/>
  <c r="L1855" i="159"/>
  <c r="M1855" i="159"/>
  <c r="O1855" i="159"/>
  <c r="P1855" i="159" s="1"/>
  <c r="K1856" i="159"/>
  <c r="L1856" i="159"/>
  <c r="K1857" i="159"/>
  <c r="L1857" i="159"/>
  <c r="K1858" i="159"/>
  <c r="L1858" i="159"/>
  <c r="K1859" i="159"/>
  <c r="L1859" i="159"/>
  <c r="F1861" i="159"/>
  <c r="G1861" i="159"/>
  <c r="H1861" i="159"/>
  <c r="I1861" i="159"/>
  <c r="J1861" i="159"/>
  <c r="D1862" i="159"/>
  <c r="D1863" i="159" s="1"/>
  <c r="D1864" i="159" s="1"/>
  <c r="D1865" i="159" s="1"/>
  <c r="D1866" i="159" s="1"/>
  <c r="E1862" i="159"/>
  <c r="K1862" i="159"/>
  <c r="L1862" i="159"/>
  <c r="M1862" i="159"/>
  <c r="O1862" i="159"/>
  <c r="P1862" i="159"/>
  <c r="K1863" i="159"/>
  <c r="L1863" i="159"/>
  <c r="K1864" i="159"/>
  <c r="L1864" i="159"/>
  <c r="K1865" i="159"/>
  <c r="L1865" i="159"/>
  <c r="K1866" i="159"/>
  <c r="L1866" i="159"/>
  <c r="F1868" i="159"/>
  <c r="G1868" i="159"/>
  <c r="H1868" i="159"/>
  <c r="I1868" i="159"/>
  <c r="J1868" i="159"/>
  <c r="D1869" i="159"/>
  <c r="D1870" i="159" s="1"/>
  <c r="D1871" i="159" s="1"/>
  <c r="D1872" i="159" s="1"/>
  <c r="D1873" i="159" s="1"/>
  <c r="E1869" i="159"/>
  <c r="K1869" i="159"/>
  <c r="L1869" i="159"/>
  <c r="M1869" i="159"/>
  <c r="O1869" i="159"/>
  <c r="P1869" i="159" s="1"/>
  <c r="K1870" i="159"/>
  <c r="L1870" i="159"/>
  <c r="K1871" i="159"/>
  <c r="L1871" i="159"/>
  <c r="K1872" i="159"/>
  <c r="L1872" i="159"/>
  <c r="K1873" i="159"/>
  <c r="L1873" i="159"/>
  <c r="F1875" i="159"/>
  <c r="G1875" i="159"/>
  <c r="H1875" i="159"/>
  <c r="I1875" i="159"/>
  <c r="J1875" i="159"/>
  <c r="D1876" i="159"/>
  <c r="E1876" i="159"/>
  <c r="K1876" i="159"/>
  <c r="L1876" i="159"/>
  <c r="M1876" i="159"/>
  <c r="O1876" i="159"/>
  <c r="P1876" i="159" s="1"/>
  <c r="D1877" i="159"/>
  <c r="D1878" i="159" s="1"/>
  <c r="D1879" i="159" s="1"/>
  <c r="D1880" i="159" s="1"/>
  <c r="K1877" i="159"/>
  <c r="L1877" i="159"/>
  <c r="K1878" i="159"/>
  <c r="L1878" i="159"/>
  <c r="K1879" i="159"/>
  <c r="L1879" i="159"/>
  <c r="K1880" i="159"/>
  <c r="L1880" i="159"/>
  <c r="F1882" i="159"/>
  <c r="G1882" i="159"/>
  <c r="H1882" i="159"/>
  <c r="I1882" i="159"/>
  <c r="J1882" i="159"/>
  <c r="D1883" i="159"/>
  <c r="E1883" i="159"/>
  <c r="K1883" i="159"/>
  <c r="L1883" i="159"/>
  <c r="M1883" i="159"/>
  <c r="O1883" i="159"/>
  <c r="P1883" i="159" s="1"/>
  <c r="D1884" i="159"/>
  <c r="D1885" i="159" s="1"/>
  <c r="D1886" i="159" s="1"/>
  <c r="D1887" i="159" s="1"/>
  <c r="K1884" i="159"/>
  <c r="L1884" i="159"/>
  <c r="K1885" i="159"/>
  <c r="L1885" i="159"/>
  <c r="K1886" i="159"/>
  <c r="L1886" i="159"/>
  <c r="K1887" i="159"/>
  <c r="L1887" i="159"/>
  <c r="F1889" i="159"/>
  <c r="G1889" i="159"/>
  <c r="H1889" i="159"/>
  <c r="I1889" i="159"/>
  <c r="J1889" i="159"/>
  <c r="D1890" i="159"/>
  <c r="D1891" i="159" s="1"/>
  <c r="D1892" i="159" s="1"/>
  <c r="D1893" i="159" s="1"/>
  <c r="D1894" i="159" s="1"/>
  <c r="E1890" i="159"/>
  <c r="K1890" i="159"/>
  <c r="L1890" i="159"/>
  <c r="M1890" i="159"/>
  <c r="O1890" i="159"/>
  <c r="P1890" i="159" s="1"/>
  <c r="K1891" i="159"/>
  <c r="L1891" i="159"/>
  <c r="K1892" i="159"/>
  <c r="L1892" i="159"/>
  <c r="K1893" i="159"/>
  <c r="L1893" i="159"/>
  <c r="K1894" i="159"/>
  <c r="L1894" i="159"/>
  <c r="F1896" i="159"/>
  <c r="G1896" i="159"/>
  <c r="H1896" i="159"/>
  <c r="I1896" i="159"/>
  <c r="J1896" i="159"/>
  <c r="D1897" i="159"/>
  <c r="D1898" i="159" s="1"/>
  <c r="D1899" i="159" s="1"/>
  <c r="D1900" i="159" s="1"/>
  <c r="D1901" i="159" s="1"/>
  <c r="E1897" i="159"/>
  <c r="K1897" i="159"/>
  <c r="L1897" i="159"/>
  <c r="M1897" i="159"/>
  <c r="O1897" i="159"/>
  <c r="P1897" i="159"/>
  <c r="K1898" i="159"/>
  <c r="L1898" i="159"/>
  <c r="K1899" i="159"/>
  <c r="L1899" i="159"/>
  <c r="K1900" i="159"/>
  <c r="L1900" i="159"/>
  <c r="K1901" i="159"/>
  <c r="L1901" i="159"/>
  <c r="F1903" i="159"/>
  <c r="G1903" i="159"/>
  <c r="H1903" i="159"/>
  <c r="I1903" i="159"/>
  <c r="J1903" i="159"/>
  <c r="D1904" i="159"/>
  <c r="D1905" i="159" s="1"/>
  <c r="D1906" i="159" s="1"/>
  <c r="D1907" i="159" s="1"/>
  <c r="D1908" i="159" s="1"/>
  <c r="E1904" i="159"/>
  <c r="K1904" i="159"/>
  <c r="L1904" i="159"/>
  <c r="M1904" i="159"/>
  <c r="O1904" i="159"/>
  <c r="P1904" i="159"/>
  <c r="K1905" i="159"/>
  <c r="L1905" i="159"/>
  <c r="K1906" i="159"/>
  <c r="L1906" i="159"/>
  <c r="K1907" i="159"/>
  <c r="L1907" i="159"/>
  <c r="K1908" i="159"/>
  <c r="L1908" i="159"/>
  <c r="F1910" i="159"/>
  <c r="G1910" i="159"/>
  <c r="H1910" i="159"/>
  <c r="I1910" i="159"/>
  <c r="J1910" i="159"/>
  <c r="D1911" i="159"/>
  <c r="E1911" i="159"/>
  <c r="K1911" i="159"/>
  <c r="L1911" i="159"/>
  <c r="M1911" i="159"/>
  <c r="O1911" i="159"/>
  <c r="P1911" i="159" s="1"/>
  <c r="D1912" i="159"/>
  <c r="K1912" i="159"/>
  <c r="L1912" i="159"/>
  <c r="D1913" i="159"/>
  <c r="D1914" i="159" s="1"/>
  <c r="D1915" i="159" s="1"/>
  <c r="K1913" i="159"/>
  <c r="L1913" i="159"/>
  <c r="K1914" i="159"/>
  <c r="L1914" i="159"/>
  <c r="K1915" i="159"/>
  <c r="L1915" i="159"/>
  <c r="F1917" i="159"/>
  <c r="G1917" i="159"/>
  <c r="H1917" i="159"/>
  <c r="I1917" i="159"/>
  <c r="J1917" i="159"/>
  <c r="D1918" i="159"/>
  <c r="E1918" i="159"/>
  <c r="K1918" i="159"/>
  <c r="L1918" i="159"/>
  <c r="M1918" i="159"/>
  <c r="O1918" i="159"/>
  <c r="P1918" i="159" s="1"/>
  <c r="D1919" i="159"/>
  <c r="D1920" i="159" s="1"/>
  <c r="D1921" i="159" s="1"/>
  <c r="D1922" i="159" s="1"/>
  <c r="K1919" i="159"/>
  <c r="L1919" i="159"/>
  <c r="K1920" i="159"/>
  <c r="L1920" i="159"/>
  <c r="K1921" i="159"/>
  <c r="L1921" i="159"/>
  <c r="K1922" i="159"/>
  <c r="L1922" i="159"/>
  <c r="F1924" i="159"/>
  <c r="G1924" i="159"/>
  <c r="H1924" i="159"/>
  <c r="I1924" i="159"/>
  <c r="J1924" i="159"/>
  <c r="D1925" i="159"/>
  <c r="D1926" i="159" s="1"/>
  <c r="D1927" i="159" s="1"/>
  <c r="D1928" i="159" s="1"/>
  <c r="D1929" i="159" s="1"/>
  <c r="E1925" i="159"/>
  <c r="K1925" i="159"/>
  <c r="L1925" i="159"/>
  <c r="M1925" i="159"/>
  <c r="O1925" i="159"/>
  <c r="P1925" i="159" s="1"/>
  <c r="K1926" i="159"/>
  <c r="L1926" i="159"/>
  <c r="K1927" i="159"/>
  <c r="L1927" i="159"/>
  <c r="K1928" i="159"/>
  <c r="L1928" i="159"/>
  <c r="K1929" i="159"/>
  <c r="L1929" i="159"/>
  <c r="F1931" i="159"/>
  <c r="G1931" i="159"/>
  <c r="H1931" i="159"/>
  <c r="I1931" i="159"/>
  <c r="J1931" i="159"/>
  <c r="D1932" i="159"/>
  <c r="E1932" i="159"/>
  <c r="K1932" i="159"/>
  <c r="L1932" i="159"/>
  <c r="M1932" i="159"/>
  <c r="O1932" i="159"/>
  <c r="P1932" i="159" s="1"/>
  <c r="D1933" i="159"/>
  <c r="D1934" i="159" s="1"/>
  <c r="K1933" i="159"/>
  <c r="L1933" i="159"/>
  <c r="K1934" i="159"/>
  <c r="L1934" i="159"/>
  <c r="D1935" i="159"/>
  <c r="D1936" i="159" s="1"/>
  <c r="K1935" i="159"/>
  <c r="L1935" i="159"/>
  <c r="K1936" i="159"/>
  <c r="L1936" i="159"/>
  <c r="F1938" i="159"/>
  <c r="G1938" i="159"/>
  <c r="H1938" i="159"/>
  <c r="I1938" i="159"/>
  <c r="J1938" i="159"/>
  <c r="D1939" i="159"/>
  <c r="D1940" i="159" s="1"/>
  <c r="D1941" i="159" s="1"/>
  <c r="E1939" i="159"/>
  <c r="K1939" i="159"/>
  <c r="L1939" i="159"/>
  <c r="M1939" i="159"/>
  <c r="O1939" i="159"/>
  <c r="P1939" i="159"/>
  <c r="K1940" i="159"/>
  <c r="L1940" i="159"/>
  <c r="K1941" i="159"/>
  <c r="L1941" i="159"/>
  <c r="D1942" i="159"/>
  <c r="D1943" i="159" s="1"/>
  <c r="K1942" i="159"/>
  <c r="L1942" i="159"/>
  <c r="K1943" i="159"/>
  <c r="L1943" i="159"/>
  <c r="F1945" i="159"/>
  <c r="G1945" i="159"/>
  <c r="H1945" i="159"/>
  <c r="I1945" i="159"/>
  <c r="J1945" i="159"/>
  <c r="D1946" i="159"/>
  <c r="E1946" i="159"/>
  <c r="K1946" i="159"/>
  <c r="L1946" i="159"/>
  <c r="M1946" i="159"/>
  <c r="O1946" i="159"/>
  <c r="P1946" i="159" s="1"/>
  <c r="D1947" i="159"/>
  <c r="K1947" i="159"/>
  <c r="L1947" i="159"/>
  <c r="D1948" i="159"/>
  <c r="D1949" i="159" s="1"/>
  <c r="D1950" i="159" s="1"/>
  <c r="K1948" i="159"/>
  <c r="L1948" i="159"/>
  <c r="K1949" i="159"/>
  <c r="L1949" i="159"/>
  <c r="K1950" i="159"/>
  <c r="L1950" i="159"/>
  <c r="F1952" i="159"/>
  <c r="G1952" i="159"/>
  <c r="H1952" i="159"/>
  <c r="I1952" i="159"/>
  <c r="J1952" i="159"/>
  <c r="D1953" i="159"/>
  <c r="E1953" i="159"/>
  <c r="K1953" i="159"/>
  <c r="L1953" i="159"/>
  <c r="M1953" i="159"/>
  <c r="O1953" i="159"/>
  <c r="P1953" i="159"/>
  <c r="D1954" i="159"/>
  <c r="D1955" i="159" s="1"/>
  <c r="D1956" i="159" s="1"/>
  <c r="D1957" i="159" s="1"/>
  <c r="K1954" i="159"/>
  <c r="L1954" i="159"/>
  <c r="K1955" i="159"/>
  <c r="L1955" i="159"/>
  <c r="K1956" i="159"/>
  <c r="L1956" i="159"/>
  <c r="K1957" i="159"/>
  <c r="L1957" i="159"/>
  <c r="F1959" i="159"/>
  <c r="G1959" i="159"/>
  <c r="H1959" i="159"/>
  <c r="I1959" i="159"/>
  <c r="J1959" i="159"/>
  <c r="D1960" i="159"/>
  <c r="D1961" i="159" s="1"/>
  <c r="D1962" i="159" s="1"/>
  <c r="D1963" i="159" s="1"/>
  <c r="D1964" i="159" s="1"/>
  <c r="E1960" i="159"/>
  <c r="K1960" i="159"/>
  <c r="L1960" i="159"/>
  <c r="M1960" i="159"/>
  <c r="O1960" i="159"/>
  <c r="P1960" i="159" s="1"/>
  <c r="K1961" i="159"/>
  <c r="L1961" i="159"/>
  <c r="K1962" i="159"/>
  <c r="L1962" i="159"/>
  <c r="K1963" i="159"/>
  <c r="L1963" i="159"/>
  <c r="K1964" i="159"/>
  <c r="L1964" i="159"/>
  <c r="F1966" i="159"/>
  <c r="G1966" i="159"/>
  <c r="H1966" i="159"/>
  <c r="I1966" i="159"/>
  <c r="J1966" i="159"/>
  <c r="D1967" i="159"/>
  <c r="E1967" i="159"/>
  <c r="K1967" i="159"/>
  <c r="L1967" i="159"/>
  <c r="M1967" i="159"/>
  <c r="O1967" i="159"/>
  <c r="P1967" i="159" s="1"/>
  <c r="D1968" i="159"/>
  <c r="D1969" i="159" s="1"/>
  <c r="K1968" i="159"/>
  <c r="L1968" i="159"/>
  <c r="K1969" i="159"/>
  <c r="L1969" i="159"/>
  <c r="D1970" i="159"/>
  <c r="D1971" i="159" s="1"/>
  <c r="K1970" i="159"/>
  <c r="L1970" i="159"/>
  <c r="K1971" i="159"/>
  <c r="L1971" i="159"/>
  <c r="F1973" i="159"/>
  <c r="G1973" i="159"/>
  <c r="H1973" i="159"/>
  <c r="I1973" i="159"/>
  <c r="J1973" i="159"/>
  <c r="D1974" i="159"/>
  <c r="D1975" i="159" s="1"/>
  <c r="D1976" i="159" s="1"/>
  <c r="E1974" i="159"/>
  <c r="K1974" i="159"/>
  <c r="L1974" i="159"/>
  <c r="M1974" i="159"/>
  <c r="O1974" i="159"/>
  <c r="P1974" i="159" s="1"/>
  <c r="K1975" i="159"/>
  <c r="L1975" i="159"/>
  <c r="K1976" i="159"/>
  <c r="L1976" i="159"/>
  <c r="D1977" i="159"/>
  <c r="D1978" i="159" s="1"/>
  <c r="K1977" i="159"/>
  <c r="L1977" i="159"/>
  <c r="K1978" i="159"/>
  <c r="L1978" i="159"/>
  <c r="F1980" i="159"/>
  <c r="G1980" i="159"/>
  <c r="H1980" i="159"/>
  <c r="I1980" i="159"/>
  <c r="J1980" i="159"/>
  <c r="D1981" i="159"/>
  <c r="E1981" i="159"/>
  <c r="K1981" i="159"/>
  <c r="L1981" i="159"/>
  <c r="M1981" i="159"/>
  <c r="O1981" i="159"/>
  <c r="P1981" i="159" s="1"/>
  <c r="D1982" i="159"/>
  <c r="K1982" i="159"/>
  <c r="L1982" i="159"/>
  <c r="D1983" i="159"/>
  <c r="D1984" i="159" s="1"/>
  <c r="D1985" i="159" s="1"/>
  <c r="K1983" i="159"/>
  <c r="L1983" i="159"/>
  <c r="K1984" i="159"/>
  <c r="L1984" i="159"/>
  <c r="K1985" i="159"/>
  <c r="L1985" i="159"/>
  <c r="F1987" i="159"/>
  <c r="G1987" i="159"/>
  <c r="H1987" i="159"/>
  <c r="I1987" i="159"/>
  <c r="J1987" i="159"/>
  <c r="D1988" i="159"/>
  <c r="E1988" i="159"/>
  <c r="K1988" i="159"/>
  <c r="L1988" i="159"/>
  <c r="M1988" i="159"/>
  <c r="O1988" i="159"/>
  <c r="P1988" i="159"/>
  <c r="D1989" i="159"/>
  <c r="D1990" i="159" s="1"/>
  <c r="D1991" i="159" s="1"/>
  <c r="D1992" i="159" s="1"/>
  <c r="K1989" i="159"/>
  <c r="L1989" i="159"/>
  <c r="K1990" i="159"/>
  <c r="L1990" i="159"/>
  <c r="K1991" i="159"/>
  <c r="L1991" i="159"/>
  <c r="K1992" i="159"/>
  <c r="L1992" i="159"/>
  <c r="F1994" i="159"/>
  <c r="G1994" i="159"/>
  <c r="H1994" i="159"/>
  <c r="I1994" i="159"/>
  <c r="J1994" i="159"/>
  <c r="D1995" i="159"/>
  <c r="D1996" i="159" s="1"/>
  <c r="D1997" i="159" s="1"/>
  <c r="D1998" i="159" s="1"/>
  <c r="D1999" i="159" s="1"/>
  <c r="E1995" i="159"/>
  <c r="K1995" i="159"/>
  <c r="L1995" i="159"/>
  <c r="M1995" i="159"/>
  <c r="P1995" i="159"/>
  <c r="K1996" i="159"/>
  <c r="L1996" i="159"/>
  <c r="K1997" i="159"/>
  <c r="L1997" i="159"/>
  <c r="K1998" i="159"/>
  <c r="L1998" i="159"/>
  <c r="K1999" i="159"/>
  <c r="L1999" i="159"/>
  <c r="F2001" i="159"/>
  <c r="G2001" i="159"/>
  <c r="H2001" i="159"/>
  <c r="I2001" i="159"/>
  <c r="J2001" i="159"/>
  <c r="D2002" i="159"/>
  <c r="D2003" i="159" s="1"/>
  <c r="D2004" i="159" s="1"/>
  <c r="D2005" i="159" s="1"/>
  <c r="D2006" i="159" s="1"/>
  <c r="E2002" i="159"/>
  <c r="K2002" i="159"/>
  <c r="L2002" i="159"/>
  <c r="M2002" i="159"/>
  <c r="O2002" i="159"/>
  <c r="P2002" i="159" s="1"/>
  <c r="K2003" i="159"/>
  <c r="L2003" i="159"/>
  <c r="K2004" i="159"/>
  <c r="L2004" i="159"/>
  <c r="K2005" i="159"/>
  <c r="L2005" i="159"/>
  <c r="K2006" i="159"/>
  <c r="L2006" i="159"/>
  <c r="F2008" i="159"/>
  <c r="G2008" i="159"/>
  <c r="H2008" i="159"/>
  <c r="I2008" i="159"/>
  <c r="J2008" i="159"/>
  <c r="D2009" i="159"/>
  <c r="D2010" i="159" s="1"/>
  <c r="E2009" i="159"/>
  <c r="K2009" i="159"/>
  <c r="L2009" i="159"/>
  <c r="M2009" i="159"/>
  <c r="O2009" i="159"/>
  <c r="P2009" i="159" s="1"/>
  <c r="K2010" i="159"/>
  <c r="L2010" i="159"/>
  <c r="D2011" i="159"/>
  <c r="D2012" i="159" s="1"/>
  <c r="K2011" i="159"/>
  <c r="L2011" i="159"/>
  <c r="K2012" i="159"/>
  <c r="L2012" i="159"/>
  <c r="D2013" i="159"/>
  <c r="K2013" i="159"/>
  <c r="L2013" i="159"/>
  <c r="F2015" i="159"/>
  <c r="G2015" i="159"/>
  <c r="H2015" i="159"/>
  <c r="I2015" i="159"/>
  <c r="J2015" i="159"/>
  <c r="D2016" i="159"/>
  <c r="D2017" i="159" s="1"/>
  <c r="E2016" i="159"/>
  <c r="K2016" i="159"/>
  <c r="L2016" i="159"/>
  <c r="M2016" i="159"/>
  <c r="O2016" i="159"/>
  <c r="P2016" i="159"/>
  <c r="K2017" i="159"/>
  <c r="L2017" i="159"/>
  <c r="D2018" i="159"/>
  <c r="D2019" i="159" s="1"/>
  <c r="D2020" i="159" s="1"/>
  <c r="K2018" i="159"/>
  <c r="L2018" i="159"/>
  <c r="K2019" i="159"/>
  <c r="L2019" i="159"/>
  <c r="K2020" i="159"/>
  <c r="L2020" i="159"/>
  <c r="F2022" i="159"/>
  <c r="G2022" i="159"/>
  <c r="H2022" i="159"/>
  <c r="I2022" i="159"/>
  <c r="J2022" i="159"/>
  <c r="D2023" i="159"/>
  <c r="E2023" i="159"/>
  <c r="K2023" i="159"/>
  <c r="L2023" i="159"/>
  <c r="M2023" i="159"/>
  <c r="O2023" i="159"/>
  <c r="P2023" i="159"/>
  <c r="D2024" i="159"/>
  <c r="D2025" i="159" s="1"/>
  <c r="D2026" i="159" s="1"/>
  <c r="D2027" i="159" s="1"/>
  <c r="K2024" i="159"/>
  <c r="L2024" i="159"/>
  <c r="K2025" i="159"/>
  <c r="L2025" i="159"/>
  <c r="K2026" i="159"/>
  <c r="L2026" i="159"/>
  <c r="K2027" i="159"/>
  <c r="L2027" i="159"/>
  <c r="F2029" i="159"/>
  <c r="G2029" i="159"/>
  <c r="H2029" i="159"/>
  <c r="I2029" i="159"/>
  <c r="J2029" i="159"/>
  <c r="D2030" i="159"/>
  <c r="E2030" i="159"/>
  <c r="K2030" i="159"/>
  <c r="L2030" i="159"/>
  <c r="M2030" i="159"/>
  <c r="O2030" i="159"/>
  <c r="P2030" i="159" s="1"/>
  <c r="D2031" i="159"/>
  <c r="E2031" i="159"/>
  <c r="K2031" i="159"/>
  <c r="L2031" i="159"/>
  <c r="M2031" i="159"/>
  <c r="O2031" i="159"/>
  <c r="P2031" i="159" s="1"/>
  <c r="D2032" i="159"/>
  <c r="D2034" i="159" s="1"/>
  <c r="K2032" i="159"/>
  <c r="L2032" i="159"/>
  <c r="D2033" i="159"/>
  <c r="D2035" i="159" s="1"/>
  <c r="K2033" i="159"/>
  <c r="L2033" i="159"/>
  <c r="K2034" i="159"/>
  <c r="L2034" i="159"/>
  <c r="K2035" i="159"/>
  <c r="L2035" i="159"/>
  <c r="F2037" i="159"/>
  <c r="G2037" i="159"/>
  <c r="H2037" i="159"/>
  <c r="I2037" i="159"/>
  <c r="J2037" i="159"/>
  <c r="D2038" i="159"/>
  <c r="E2038" i="159"/>
  <c r="K2038" i="159"/>
  <c r="L2038" i="159"/>
  <c r="M2038" i="159"/>
  <c r="O2038" i="159"/>
  <c r="P2038" i="159" s="1"/>
  <c r="D2039" i="159"/>
  <c r="D2040" i="159" s="1"/>
  <c r="D2041" i="159" s="1"/>
  <c r="D2042" i="159" s="1"/>
  <c r="K2039" i="159"/>
  <c r="L2039" i="159"/>
  <c r="K2040" i="159"/>
  <c r="L2040" i="159"/>
  <c r="K2041" i="159"/>
  <c r="L2041" i="159"/>
  <c r="K2042" i="159"/>
  <c r="L2042" i="159"/>
  <c r="F2044" i="159"/>
  <c r="G2044" i="159"/>
  <c r="H2044" i="159"/>
  <c r="I2044" i="159"/>
  <c r="J2044" i="159"/>
  <c r="D2045" i="159"/>
  <c r="E2045" i="159"/>
  <c r="K2045" i="159"/>
  <c r="L2045" i="159"/>
  <c r="M2045" i="159"/>
  <c r="P2045" i="159"/>
  <c r="D2046" i="159"/>
  <c r="K2046" i="159"/>
  <c r="L2046" i="159"/>
  <c r="D2047" i="159"/>
  <c r="D2048" i="159" s="1"/>
  <c r="D2049" i="159" s="1"/>
  <c r="K2047" i="159"/>
  <c r="L2047" i="159"/>
  <c r="K2048" i="159"/>
  <c r="L2048" i="159"/>
  <c r="K2049" i="159"/>
  <c r="L2049" i="159"/>
  <c r="F2051" i="159"/>
  <c r="G2051" i="159"/>
  <c r="H2051" i="159"/>
  <c r="I2051" i="159"/>
  <c r="J2051" i="159"/>
  <c r="D2052" i="159"/>
  <c r="D2053" i="159" s="1"/>
  <c r="D2054" i="159" s="1"/>
  <c r="D2055" i="159" s="1"/>
  <c r="D2056" i="159" s="1"/>
  <c r="E2052" i="159"/>
  <c r="K2052" i="159"/>
  <c r="L2052" i="159"/>
  <c r="M2052" i="159"/>
  <c r="P2052" i="159"/>
  <c r="K2053" i="159"/>
  <c r="L2053" i="159"/>
  <c r="K2054" i="159"/>
  <c r="L2054" i="159"/>
  <c r="K2055" i="159"/>
  <c r="L2055" i="159"/>
  <c r="K2056" i="159"/>
  <c r="L2056" i="159"/>
  <c r="F2058" i="159"/>
  <c r="G2058" i="159"/>
  <c r="H2058" i="159"/>
  <c r="I2058" i="159"/>
  <c r="J2058" i="159"/>
  <c r="D2059" i="159"/>
  <c r="D2060" i="159" s="1"/>
  <c r="D2061" i="159" s="1"/>
  <c r="D2062" i="159" s="1"/>
  <c r="D2063" i="159" s="1"/>
  <c r="E2059" i="159"/>
  <c r="K2059" i="159"/>
  <c r="L2059" i="159"/>
  <c r="M2059" i="159"/>
  <c r="P2059" i="159"/>
  <c r="K2060" i="159"/>
  <c r="L2060" i="159"/>
  <c r="K2061" i="159"/>
  <c r="L2061" i="159"/>
  <c r="K2062" i="159"/>
  <c r="L2062" i="159"/>
  <c r="K2063" i="159"/>
  <c r="L2063" i="159"/>
  <c r="F2065" i="159"/>
  <c r="G2065" i="159"/>
  <c r="H2065" i="159"/>
  <c r="I2065" i="159"/>
  <c r="J2065" i="159"/>
  <c r="D2066" i="159"/>
  <c r="D2067" i="159" s="1"/>
  <c r="D2068" i="159" s="1"/>
  <c r="D2069" i="159" s="1"/>
  <c r="D2070" i="159" s="1"/>
  <c r="E2066" i="159"/>
  <c r="K2066" i="159"/>
  <c r="L2066" i="159"/>
  <c r="M2066" i="159"/>
  <c r="P2066" i="159"/>
  <c r="K2067" i="159"/>
  <c r="L2067" i="159"/>
  <c r="K2068" i="159"/>
  <c r="L2068" i="159"/>
  <c r="K2069" i="159"/>
  <c r="L2069" i="159"/>
  <c r="K2070" i="159"/>
  <c r="L2070" i="159"/>
  <c r="F2072" i="159"/>
  <c r="G2072" i="159"/>
  <c r="H2072" i="159"/>
  <c r="I2072" i="159"/>
  <c r="J2072" i="159"/>
  <c r="D2073" i="159"/>
  <c r="D2074" i="159" s="1"/>
  <c r="D2075" i="159" s="1"/>
  <c r="D2076" i="159" s="1"/>
  <c r="D2077" i="159" s="1"/>
  <c r="E2073" i="159"/>
  <c r="K2073" i="159"/>
  <c r="L2073" i="159"/>
  <c r="M2073" i="159"/>
  <c r="P2073" i="159"/>
  <c r="K2074" i="159"/>
  <c r="L2074" i="159"/>
  <c r="K2075" i="159"/>
  <c r="L2075" i="159"/>
  <c r="K2076" i="159"/>
  <c r="L2076" i="159"/>
  <c r="K2077" i="159"/>
  <c r="L2077" i="159"/>
  <c r="F2079" i="159"/>
  <c r="G2079" i="159"/>
  <c r="H2079" i="159"/>
  <c r="I2079" i="159"/>
  <c r="J2079" i="159"/>
  <c r="D2080" i="159"/>
  <c r="D2081" i="159" s="1"/>
  <c r="D2082" i="159" s="1"/>
  <c r="D2083" i="159" s="1"/>
  <c r="D2084" i="159" s="1"/>
  <c r="E2080" i="159"/>
  <c r="K2080" i="159"/>
  <c r="L2080" i="159"/>
  <c r="M2080" i="159"/>
  <c r="O2080" i="159"/>
  <c r="P2080" i="159"/>
  <c r="K2081" i="159"/>
  <c r="L2081" i="159"/>
  <c r="K2082" i="159"/>
  <c r="L2082" i="159"/>
  <c r="K2083" i="159"/>
  <c r="L2083" i="159"/>
  <c r="K2084" i="159"/>
  <c r="L2084" i="159"/>
  <c r="F2086" i="159"/>
  <c r="G2086" i="159"/>
  <c r="H2086" i="159"/>
  <c r="I2086" i="159"/>
  <c r="J2086" i="159"/>
  <c r="D2087" i="159"/>
  <c r="E2087" i="159"/>
  <c r="K2087" i="159"/>
  <c r="L2087" i="159"/>
  <c r="M2087" i="159"/>
  <c r="O2087" i="159"/>
  <c r="P2087" i="159"/>
  <c r="D2088" i="159"/>
  <c r="D2089" i="159" s="1"/>
  <c r="D2090" i="159" s="1"/>
  <c r="D2091" i="159" s="1"/>
  <c r="K2088" i="159"/>
  <c r="L2088" i="159"/>
  <c r="K2089" i="159"/>
  <c r="L2089" i="159"/>
  <c r="K2090" i="159"/>
  <c r="L2090" i="159"/>
  <c r="K2091" i="159"/>
  <c r="L2091" i="159"/>
  <c r="F2093" i="159"/>
  <c r="G2093" i="159"/>
  <c r="H2093" i="159"/>
  <c r="I2093" i="159"/>
  <c r="J2093" i="159"/>
  <c r="D2094" i="159"/>
  <c r="E2094" i="159"/>
  <c r="K2094" i="159"/>
  <c r="L2094" i="159"/>
  <c r="M2094" i="159"/>
  <c r="P2094" i="159"/>
  <c r="D2095" i="159"/>
  <c r="D2096" i="159" s="1"/>
  <c r="D2097" i="159" s="1"/>
  <c r="D2098" i="159" s="1"/>
  <c r="K2095" i="159"/>
  <c r="L2095" i="159"/>
  <c r="K2096" i="159"/>
  <c r="L2096" i="159"/>
  <c r="K2097" i="159"/>
  <c r="L2097" i="159"/>
  <c r="K2098" i="159"/>
  <c r="L2098" i="159"/>
  <c r="F2100" i="159"/>
  <c r="G2100" i="159"/>
  <c r="H2100" i="159"/>
  <c r="I2100" i="159"/>
  <c r="J2100" i="159"/>
  <c r="D2101" i="159"/>
  <c r="E2101" i="159"/>
  <c r="K2101" i="159"/>
  <c r="L2101" i="159"/>
  <c r="M2101" i="159"/>
  <c r="P2101" i="159"/>
  <c r="D2102" i="159"/>
  <c r="D2103" i="159" s="1"/>
  <c r="D2104" i="159" s="1"/>
  <c r="D2105" i="159" s="1"/>
  <c r="K2102" i="159"/>
  <c r="L2102" i="159"/>
  <c r="K2103" i="159"/>
  <c r="L2103" i="159"/>
  <c r="K2104" i="159"/>
  <c r="L2104" i="159"/>
  <c r="K2105" i="159"/>
  <c r="L2105" i="159"/>
  <c r="F2107" i="159"/>
  <c r="G2107" i="159"/>
  <c r="H2107" i="159"/>
  <c r="I2107" i="159"/>
  <c r="J2107" i="159"/>
  <c r="D2108" i="159"/>
  <c r="E2108" i="159"/>
  <c r="K2108" i="159"/>
  <c r="L2108" i="159"/>
  <c r="M2108" i="159"/>
  <c r="P2108" i="159"/>
  <c r="D2109" i="159"/>
  <c r="D2110" i="159" s="1"/>
  <c r="D2111" i="159" s="1"/>
  <c r="D2112" i="159" s="1"/>
  <c r="K2109" i="159"/>
  <c r="L2109" i="159"/>
  <c r="K2110" i="159"/>
  <c r="L2110" i="159"/>
  <c r="K2111" i="159"/>
  <c r="L2111" i="159"/>
  <c r="K2112" i="159"/>
  <c r="L2112" i="159"/>
  <c r="F2114" i="159"/>
  <c r="G2114" i="159"/>
  <c r="H2114" i="159"/>
  <c r="I2114" i="159"/>
  <c r="J2114" i="159"/>
  <c r="D2115" i="159"/>
  <c r="D2116" i="159" s="1"/>
  <c r="D2117" i="159" s="1"/>
  <c r="D2118" i="159" s="1"/>
  <c r="D2119" i="159" s="1"/>
  <c r="E2115" i="159"/>
  <c r="K2115" i="159"/>
  <c r="L2115" i="159"/>
  <c r="M2115" i="159"/>
  <c r="P2115" i="159"/>
  <c r="K2116" i="159"/>
  <c r="L2116" i="159"/>
  <c r="K2117" i="159"/>
  <c r="L2117" i="159"/>
  <c r="K2118" i="159"/>
  <c r="L2118" i="159"/>
  <c r="K2119" i="159"/>
  <c r="L2119" i="159"/>
  <c r="F2121" i="159"/>
  <c r="G2121" i="159"/>
  <c r="H2121" i="159"/>
  <c r="I2121" i="159"/>
  <c r="J2121" i="159"/>
  <c r="D2122" i="159"/>
  <c r="D2123" i="159" s="1"/>
  <c r="D2124" i="159" s="1"/>
  <c r="D2125" i="159" s="1"/>
  <c r="D2126" i="159" s="1"/>
  <c r="E2122" i="159"/>
  <c r="K2122" i="159"/>
  <c r="L2122" i="159"/>
  <c r="M2122" i="159"/>
  <c r="P2122" i="159"/>
  <c r="K2123" i="159"/>
  <c r="L2123" i="159"/>
  <c r="K2124" i="159"/>
  <c r="L2124" i="159"/>
  <c r="K2125" i="159"/>
  <c r="L2125" i="159"/>
  <c r="K2126" i="159"/>
  <c r="L2126" i="159"/>
  <c r="F2128" i="159"/>
  <c r="G2128" i="159"/>
  <c r="H2128" i="159"/>
  <c r="I2128" i="159"/>
  <c r="J2128" i="159"/>
  <c r="D2129" i="159"/>
  <c r="E2129" i="159"/>
  <c r="K2129" i="159"/>
  <c r="L2129" i="159"/>
  <c r="M2129" i="159"/>
  <c r="O2129" i="159"/>
  <c r="P2129" i="159" s="1"/>
  <c r="D2130" i="159"/>
  <c r="D2131" i="159" s="1"/>
  <c r="D2132" i="159" s="1"/>
  <c r="D2133" i="159" s="1"/>
  <c r="K2130" i="159"/>
  <c r="L2130" i="159"/>
  <c r="K2131" i="159"/>
  <c r="L2131" i="159"/>
  <c r="K2132" i="159"/>
  <c r="L2132" i="159"/>
  <c r="K2133" i="159"/>
  <c r="L2133" i="159"/>
  <c r="F2135" i="159"/>
  <c r="G2135" i="159"/>
  <c r="H2135" i="159"/>
  <c r="I2135" i="159"/>
  <c r="J2135" i="159"/>
  <c r="D2136" i="159"/>
  <c r="E2136" i="159"/>
  <c r="K2136" i="159"/>
  <c r="L2136" i="159"/>
  <c r="M2136" i="159"/>
  <c r="P2136" i="159"/>
  <c r="D2137" i="159"/>
  <c r="D2138" i="159" s="1"/>
  <c r="D2139" i="159" s="1"/>
  <c r="D2140" i="159" s="1"/>
  <c r="K2137" i="159"/>
  <c r="L2137" i="159"/>
  <c r="K2138" i="159"/>
  <c r="L2138" i="159"/>
  <c r="K2139" i="159"/>
  <c r="L2139" i="159"/>
  <c r="K2140" i="159"/>
  <c r="L2140" i="159"/>
  <c r="F2142" i="159"/>
  <c r="G2142" i="159"/>
  <c r="H2142" i="159"/>
  <c r="I2142" i="159"/>
  <c r="J2142" i="159"/>
  <c r="D2143" i="159"/>
  <c r="E2143" i="159"/>
  <c r="K2143" i="159"/>
  <c r="L2143" i="159"/>
  <c r="M2143" i="159"/>
  <c r="P2143" i="159"/>
  <c r="D2144" i="159"/>
  <c r="D2145" i="159" s="1"/>
  <c r="D2146" i="159" s="1"/>
  <c r="D2147" i="159" s="1"/>
  <c r="K2144" i="159"/>
  <c r="L2144" i="159"/>
  <c r="K2145" i="159"/>
  <c r="L2145" i="159"/>
  <c r="K2146" i="159"/>
  <c r="L2146" i="159"/>
  <c r="K2147" i="159"/>
  <c r="L2147" i="159"/>
  <c r="F2149" i="159"/>
  <c r="G2149" i="159"/>
  <c r="H2149" i="159"/>
  <c r="I2149" i="159"/>
  <c r="J2149" i="159"/>
  <c r="D2150" i="159"/>
  <c r="E2150" i="159"/>
  <c r="K2150" i="159"/>
  <c r="L2150" i="159"/>
  <c r="M2150" i="159"/>
  <c r="P2150" i="159"/>
  <c r="D2151" i="159"/>
  <c r="D2152" i="159" s="1"/>
  <c r="D2153" i="159" s="1"/>
  <c r="D2154" i="159" s="1"/>
  <c r="K2151" i="159"/>
  <c r="L2151" i="159"/>
  <c r="K2152" i="159"/>
  <c r="L2152" i="159"/>
  <c r="K2153" i="159"/>
  <c r="L2153" i="159"/>
  <c r="K2154" i="159"/>
  <c r="L2154" i="159"/>
  <c r="F2156" i="159"/>
  <c r="G2156" i="159"/>
  <c r="H2156" i="159"/>
  <c r="I2156" i="159"/>
  <c r="J2156" i="159"/>
  <c r="D2157" i="159"/>
  <c r="D2158" i="159" s="1"/>
  <c r="D2159" i="159" s="1"/>
  <c r="D2160" i="159" s="1"/>
  <c r="D2161" i="159" s="1"/>
  <c r="E2157" i="159"/>
  <c r="K2157" i="159"/>
  <c r="L2157" i="159"/>
  <c r="M2157" i="159"/>
  <c r="P2157" i="159"/>
  <c r="K2158" i="159"/>
  <c r="L2158" i="159"/>
  <c r="K2159" i="159"/>
  <c r="L2159" i="159"/>
  <c r="K2160" i="159"/>
  <c r="L2160" i="159"/>
  <c r="K2161" i="159"/>
  <c r="L2161" i="159"/>
  <c r="F2163" i="159"/>
  <c r="G2163" i="159"/>
  <c r="H2163" i="159"/>
  <c r="I2163" i="159"/>
  <c r="J2163" i="159"/>
  <c r="D2164" i="159"/>
  <c r="D2165" i="159" s="1"/>
  <c r="D2166" i="159" s="1"/>
  <c r="D2167" i="159" s="1"/>
  <c r="D2168" i="159" s="1"/>
  <c r="E2164" i="159"/>
  <c r="K2164" i="159"/>
  <c r="L2164" i="159"/>
  <c r="M2164" i="159"/>
  <c r="O2164" i="159"/>
  <c r="P2164" i="159" s="1"/>
  <c r="K2165" i="159"/>
  <c r="L2165" i="159"/>
  <c r="K2166" i="159"/>
  <c r="L2166" i="159"/>
  <c r="K2167" i="159"/>
  <c r="L2167" i="159"/>
  <c r="K2168" i="159"/>
  <c r="L2168" i="159"/>
  <c r="F2170" i="159"/>
  <c r="G2170" i="159"/>
  <c r="H2170" i="159"/>
  <c r="I2170" i="159"/>
  <c r="J2170" i="159"/>
  <c r="D2171" i="159"/>
  <c r="E2171" i="159"/>
  <c r="K2171" i="159"/>
  <c r="L2171" i="159"/>
  <c r="M2171" i="159"/>
  <c r="O2171" i="159"/>
  <c r="P2171" i="159" s="1"/>
  <c r="D2172" i="159"/>
  <c r="D2173" i="159" s="1"/>
  <c r="D2174" i="159" s="1"/>
  <c r="D2175" i="159" s="1"/>
  <c r="K2172" i="159"/>
  <c r="L2172" i="159"/>
  <c r="K2173" i="159"/>
  <c r="L2173" i="159"/>
  <c r="K2174" i="159"/>
  <c r="L2174" i="159"/>
  <c r="K2175" i="159"/>
  <c r="L2175" i="159"/>
  <c r="F2177" i="159"/>
  <c r="G2177" i="159"/>
  <c r="H2177" i="159"/>
  <c r="I2177" i="159"/>
  <c r="J2177" i="159"/>
  <c r="D2178" i="159"/>
  <c r="E2178" i="159"/>
  <c r="K2178" i="159"/>
  <c r="L2178" i="159"/>
  <c r="M2178" i="159"/>
  <c r="O2178" i="159"/>
  <c r="P2178" i="159" s="1"/>
  <c r="D2179" i="159"/>
  <c r="K2179" i="159"/>
  <c r="L2179" i="159"/>
  <c r="D2180" i="159"/>
  <c r="D2181" i="159" s="1"/>
  <c r="D2182" i="159" s="1"/>
  <c r="K2180" i="159"/>
  <c r="L2180" i="159"/>
  <c r="K2181" i="159"/>
  <c r="L2181" i="159"/>
  <c r="K2182" i="159"/>
  <c r="L2182" i="159"/>
  <c r="F2184" i="159"/>
  <c r="G2184" i="159"/>
  <c r="H2184" i="159"/>
  <c r="I2184" i="159"/>
  <c r="J2184" i="159"/>
  <c r="D2185" i="159"/>
  <c r="D2186" i="159" s="1"/>
  <c r="D2187" i="159" s="1"/>
  <c r="D2188" i="159" s="1"/>
  <c r="D2189" i="159" s="1"/>
  <c r="E2185" i="159"/>
  <c r="K2185" i="159"/>
  <c r="L2185" i="159"/>
  <c r="M2185" i="159"/>
  <c r="O2185" i="159"/>
  <c r="P2185" i="159" s="1"/>
  <c r="K2186" i="159"/>
  <c r="L2186" i="159"/>
  <c r="K2187" i="159"/>
  <c r="L2187" i="159"/>
  <c r="K2188" i="159"/>
  <c r="L2188" i="159"/>
  <c r="K2189" i="159"/>
  <c r="L2189" i="159"/>
  <c r="F2191" i="159"/>
  <c r="G2191" i="159"/>
  <c r="H2191" i="159"/>
  <c r="I2191" i="159"/>
  <c r="J2191" i="159"/>
  <c r="D2192" i="159"/>
  <c r="D2193" i="159" s="1"/>
  <c r="D2194" i="159" s="1"/>
  <c r="D2195" i="159" s="1"/>
  <c r="D2196" i="159" s="1"/>
  <c r="E2192" i="159"/>
  <c r="K2192" i="159"/>
  <c r="L2192" i="159"/>
  <c r="M2192" i="159"/>
  <c r="O2192" i="159"/>
  <c r="P2192" i="159" s="1"/>
  <c r="K2193" i="159"/>
  <c r="L2193" i="159"/>
  <c r="K2194" i="159"/>
  <c r="L2194" i="159"/>
  <c r="K2195" i="159"/>
  <c r="L2195" i="159"/>
  <c r="K2196" i="159"/>
  <c r="L2196" i="159"/>
  <c r="F2198" i="159"/>
  <c r="G2198" i="159"/>
  <c r="H2198" i="159"/>
  <c r="I2198" i="159"/>
  <c r="J2198" i="159"/>
  <c r="D2199" i="159"/>
  <c r="D2200" i="159" s="1"/>
  <c r="D2201" i="159" s="1"/>
  <c r="D2202" i="159" s="1"/>
  <c r="D2203" i="159" s="1"/>
  <c r="E2199" i="159"/>
  <c r="K2199" i="159"/>
  <c r="L2199" i="159"/>
  <c r="M2199" i="159"/>
  <c r="O2199" i="159"/>
  <c r="P2199" i="159" s="1"/>
  <c r="K2200" i="159"/>
  <c r="L2200" i="159"/>
  <c r="K2201" i="159"/>
  <c r="L2201" i="159"/>
  <c r="K2202" i="159"/>
  <c r="L2202" i="159"/>
  <c r="K2203" i="159"/>
  <c r="L2203" i="159"/>
  <c r="F2205" i="159"/>
  <c r="G2205" i="159"/>
  <c r="H2205" i="159"/>
  <c r="I2205" i="159"/>
  <c r="J2205" i="159"/>
  <c r="D2206" i="159"/>
  <c r="E2206" i="159"/>
  <c r="K2206" i="159"/>
  <c r="L2206" i="159"/>
  <c r="M2206" i="159"/>
  <c r="O2206" i="159"/>
  <c r="P2206" i="159" s="1"/>
  <c r="D2207" i="159"/>
  <c r="D2208" i="159" s="1"/>
  <c r="D2209" i="159" s="1"/>
  <c r="D2210" i="159" s="1"/>
  <c r="K2207" i="159"/>
  <c r="L2207" i="159"/>
  <c r="K2208" i="159"/>
  <c r="L2208" i="159"/>
  <c r="K2209" i="159"/>
  <c r="L2209" i="159"/>
  <c r="K2210" i="159"/>
  <c r="L2210" i="159"/>
  <c r="F2212" i="159"/>
  <c r="G2212" i="159"/>
  <c r="H2212" i="159"/>
  <c r="I2212" i="159"/>
  <c r="J2212" i="159"/>
  <c r="D2213" i="159"/>
  <c r="E2213" i="159"/>
  <c r="K2213" i="159"/>
  <c r="L2213" i="159"/>
  <c r="M2213" i="159"/>
  <c r="O2213" i="159"/>
  <c r="P2213" i="159"/>
  <c r="D2214" i="159"/>
  <c r="D2215" i="159" s="1"/>
  <c r="D2216" i="159" s="1"/>
  <c r="D2217" i="159" s="1"/>
  <c r="K2214" i="159"/>
  <c r="L2214" i="159"/>
  <c r="K2215" i="159"/>
  <c r="L2215" i="159"/>
  <c r="K2216" i="159"/>
  <c r="L2216" i="159"/>
  <c r="K2217" i="159"/>
  <c r="L2217" i="159"/>
  <c r="F2219" i="159"/>
  <c r="G2219" i="159"/>
  <c r="H2219" i="159"/>
  <c r="I2219" i="159"/>
  <c r="J2219" i="159"/>
  <c r="D2220" i="159"/>
  <c r="D2221" i="159" s="1"/>
  <c r="D2222" i="159" s="1"/>
  <c r="D2223" i="159" s="1"/>
  <c r="D2224" i="159" s="1"/>
  <c r="E2220" i="159"/>
  <c r="K2220" i="159"/>
  <c r="L2220" i="159"/>
  <c r="M2220" i="159"/>
  <c r="P2220" i="159"/>
  <c r="K2221" i="159"/>
  <c r="L2221" i="159"/>
  <c r="K2222" i="159"/>
  <c r="L2222" i="159"/>
  <c r="K2223" i="159"/>
  <c r="L2223" i="159"/>
  <c r="K2224" i="159"/>
  <c r="L2224" i="159"/>
  <c r="F2226" i="159"/>
  <c r="G2226" i="159"/>
  <c r="H2226" i="159"/>
  <c r="I2226" i="159"/>
  <c r="J2226" i="159"/>
  <c r="D2227" i="159"/>
  <c r="E2227" i="159"/>
  <c r="K2227" i="159"/>
  <c r="L2227" i="159"/>
  <c r="M2227" i="159"/>
  <c r="P2227" i="159"/>
  <c r="D2228" i="159"/>
  <c r="D2229" i="159" s="1"/>
  <c r="D2230" i="159" s="1"/>
  <c r="D2231" i="159" s="1"/>
  <c r="K2228" i="159"/>
  <c r="L2228" i="159"/>
  <c r="K2229" i="159"/>
  <c r="L2229" i="159"/>
  <c r="K2230" i="159"/>
  <c r="L2230" i="159"/>
  <c r="K2231" i="159"/>
  <c r="L2231" i="159"/>
  <c r="F2233" i="159"/>
  <c r="G2233" i="159"/>
  <c r="H2233" i="159"/>
  <c r="I2233" i="159"/>
  <c r="J2233" i="159"/>
  <c r="D2234" i="159"/>
  <c r="D2235" i="159" s="1"/>
  <c r="D2236" i="159" s="1"/>
  <c r="D2237" i="159" s="1"/>
  <c r="D2238" i="159" s="1"/>
  <c r="E2234" i="159"/>
  <c r="K2234" i="159"/>
  <c r="L2234" i="159"/>
  <c r="M2234" i="159"/>
  <c r="P2234" i="159"/>
  <c r="K2235" i="159"/>
  <c r="L2235" i="159"/>
  <c r="K2236" i="159"/>
  <c r="L2236" i="159"/>
  <c r="K2237" i="159"/>
  <c r="L2237" i="159"/>
  <c r="K2238" i="159"/>
  <c r="L2238" i="159"/>
  <c r="F2240" i="159"/>
  <c r="G2240" i="159"/>
  <c r="H2240" i="159"/>
  <c r="I2240" i="159"/>
  <c r="J2240" i="159"/>
  <c r="D2241" i="159"/>
  <c r="D2242" i="159" s="1"/>
  <c r="D2243" i="159" s="1"/>
  <c r="D2244" i="159" s="1"/>
  <c r="D2245" i="159" s="1"/>
  <c r="E2241" i="159"/>
  <c r="K2241" i="159"/>
  <c r="L2241" i="159"/>
  <c r="M2241" i="159"/>
  <c r="P2241" i="159"/>
  <c r="K2242" i="159"/>
  <c r="L2242" i="159"/>
  <c r="K2243" i="159"/>
  <c r="L2243" i="159"/>
  <c r="K2244" i="159"/>
  <c r="L2244" i="159"/>
  <c r="K2245" i="159"/>
  <c r="L2245" i="159"/>
  <c r="F2247" i="159"/>
  <c r="G2247" i="159"/>
  <c r="H2247" i="159"/>
  <c r="I2247" i="159"/>
  <c r="J2247" i="159"/>
  <c r="D2248" i="159"/>
  <c r="E2248" i="159"/>
  <c r="K2248" i="159"/>
  <c r="L2248" i="159"/>
  <c r="M2248" i="159"/>
  <c r="P2248" i="159"/>
  <c r="D2249" i="159"/>
  <c r="K2249" i="159"/>
  <c r="L2249" i="159"/>
  <c r="D2250" i="159"/>
  <c r="D2251" i="159" s="1"/>
  <c r="D2252" i="159" s="1"/>
  <c r="K2250" i="159"/>
  <c r="L2250" i="159"/>
  <c r="K2251" i="159"/>
  <c r="L2251" i="159"/>
  <c r="K2252" i="159"/>
  <c r="L2252" i="159"/>
  <c r="F2254" i="159"/>
  <c r="G2254" i="159"/>
  <c r="H2254" i="159"/>
  <c r="I2254" i="159"/>
  <c r="J2254" i="159"/>
  <c r="D2255" i="159"/>
  <c r="E2255" i="159"/>
  <c r="K2255" i="159"/>
  <c r="L2255" i="159"/>
  <c r="M2255" i="159"/>
  <c r="O2255" i="159"/>
  <c r="P2255" i="159" s="1"/>
  <c r="D2256" i="159"/>
  <c r="D2257" i="159" s="1"/>
  <c r="D2258" i="159" s="1"/>
  <c r="D2259" i="159" s="1"/>
  <c r="K2256" i="159"/>
  <c r="L2256" i="159"/>
  <c r="K2257" i="159"/>
  <c r="L2257" i="159"/>
  <c r="K2258" i="159"/>
  <c r="L2258" i="159"/>
  <c r="K2259" i="159"/>
  <c r="L2259" i="159"/>
  <c r="F2261" i="159"/>
  <c r="G2261" i="159"/>
  <c r="H2261" i="159"/>
  <c r="I2261" i="159"/>
  <c r="J2261" i="159"/>
  <c r="D2262" i="159"/>
  <c r="D2263" i="159" s="1"/>
  <c r="D2264" i="159" s="1"/>
  <c r="D2265" i="159" s="1"/>
  <c r="D2266" i="159" s="1"/>
  <c r="E2262" i="159"/>
  <c r="K2262" i="159"/>
  <c r="L2262" i="159"/>
  <c r="M2262" i="159"/>
  <c r="O2262" i="159"/>
  <c r="P2262" i="159"/>
  <c r="K2263" i="159"/>
  <c r="L2263" i="159"/>
  <c r="K2264" i="159"/>
  <c r="L2264" i="159"/>
  <c r="K2265" i="159"/>
  <c r="L2265" i="159"/>
  <c r="K2266" i="159"/>
  <c r="L2266" i="159"/>
  <c r="F2268" i="159"/>
  <c r="G2268" i="159"/>
  <c r="H2268" i="159"/>
  <c r="I2268" i="159"/>
  <c r="J2268" i="159"/>
  <c r="D2269" i="159"/>
  <c r="D2270" i="159" s="1"/>
  <c r="D2271" i="159" s="1"/>
  <c r="D2272" i="159" s="1"/>
  <c r="D2273" i="159" s="1"/>
  <c r="E2269" i="159"/>
  <c r="K2269" i="159"/>
  <c r="L2269" i="159"/>
  <c r="M2269" i="159"/>
  <c r="P2269" i="159"/>
  <c r="K2270" i="159"/>
  <c r="L2270" i="159"/>
  <c r="K2271" i="159"/>
  <c r="L2271" i="159"/>
  <c r="K2272" i="159"/>
  <c r="L2272" i="159"/>
  <c r="K2273" i="159"/>
  <c r="L2273" i="159"/>
  <c r="F2275" i="159"/>
  <c r="G2275" i="159"/>
  <c r="H2275" i="159"/>
  <c r="I2275" i="159"/>
  <c r="J2275" i="159"/>
  <c r="D2276" i="159"/>
  <c r="D2277" i="159" s="1"/>
  <c r="D2278" i="159" s="1"/>
  <c r="D2279" i="159" s="1"/>
  <c r="D2280" i="159" s="1"/>
  <c r="E2276" i="159"/>
  <c r="K2276" i="159"/>
  <c r="L2276" i="159"/>
  <c r="M2276" i="159"/>
  <c r="P2276" i="159"/>
  <c r="K2277" i="159"/>
  <c r="L2277" i="159"/>
  <c r="K2278" i="159"/>
  <c r="L2278" i="159"/>
  <c r="K2279" i="159"/>
  <c r="L2279" i="159"/>
  <c r="K2280" i="159"/>
  <c r="L2280" i="159"/>
  <c r="F2282" i="159"/>
  <c r="G2282" i="159"/>
  <c r="H2282" i="159"/>
  <c r="I2282" i="159"/>
  <c r="J2282" i="159"/>
  <c r="D2283" i="159"/>
  <c r="D2284" i="159" s="1"/>
  <c r="D2285" i="159" s="1"/>
  <c r="D2286" i="159" s="1"/>
  <c r="D2287" i="159" s="1"/>
  <c r="E2283" i="159"/>
  <c r="K2283" i="159"/>
  <c r="L2283" i="159"/>
  <c r="M2283" i="159"/>
  <c r="O2283" i="159"/>
  <c r="P2283" i="159"/>
  <c r="K2284" i="159"/>
  <c r="L2284" i="159"/>
  <c r="K2285" i="159"/>
  <c r="L2285" i="159"/>
  <c r="K2286" i="159"/>
  <c r="L2286" i="159"/>
  <c r="K2287" i="159"/>
  <c r="L2287" i="159"/>
  <c r="F2289" i="159"/>
  <c r="G2289" i="159"/>
  <c r="H2289" i="159"/>
  <c r="I2289" i="159"/>
  <c r="J2289" i="159"/>
  <c r="D2290" i="159"/>
  <c r="E2290" i="159"/>
  <c r="K2290" i="159"/>
  <c r="L2290" i="159"/>
  <c r="M2290" i="159"/>
  <c r="P2290" i="159"/>
  <c r="D2291" i="159"/>
  <c r="D2292" i="159" s="1"/>
  <c r="D2293" i="159" s="1"/>
  <c r="K2291" i="159"/>
  <c r="L2291" i="159"/>
  <c r="K2292" i="159"/>
  <c r="L2292" i="159"/>
  <c r="K2293" i="159"/>
  <c r="L2293" i="159"/>
  <c r="D2294" i="159"/>
  <c r="K2294" i="159"/>
  <c r="L2294" i="159"/>
  <c r="F2296" i="159"/>
  <c r="G2296" i="159"/>
  <c r="H2296" i="159"/>
  <c r="I2296" i="159"/>
  <c r="J2296" i="159"/>
  <c r="D2297" i="159"/>
  <c r="E2297" i="159"/>
  <c r="K2297" i="159"/>
  <c r="L2297" i="159"/>
  <c r="M2297" i="159"/>
  <c r="O2297" i="159"/>
  <c r="P2297" i="159" s="1"/>
  <c r="D2298" i="159"/>
  <c r="D2299" i="159" s="1"/>
  <c r="D2300" i="159" s="1"/>
  <c r="D2301" i="159" s="1"/>
  <c r="K2298" i="159"/>
  <c r="L2298" i="159"/>
  <c r="K2299" i="159"/>
  <c r="L2299" i="159"/>
  <c r="K2300" i="159"/>
  <c r="L2300" i="159"/>
  <c r="K2301" i="159"/>
  <c r="L2301" i="159"/>
  <c r="F2303" i="159"/>
  <c r="G2303" i="159"/>
  <c r="H2303" i="159"/>
  <c r="I2303" i="159"/>
  <c r="J2303" i="159"/>
  <c r="D2304" i="159"/>
  <c r="D2305" i="159" s="1"/>
  <c r="D2306" i="159" s="1"/>
  <c r="D2307" i="159" s="1"/>
  <c r="D2308" i="159" s="1"/>
  <c r="E2304" i="159"/>
  <c r="K2304" i="159"/>
  <c r="L2304" i="159"/>
  <c r="M2304" i="159"/>
  <c r="O2304" i="159"/>
  <c r="P2304" i="159"/>
  <c r="K2305" i="159"/>
  <c r="L2305" i="159"/>
  <c r="K2306" i="159"/>
  <c r="L2306" i="159"/>
  <c r="K2307" i="159"/>
  <c r="L2307" i="159"/>
  <c r="K2308" i="159"/>
  <c r="L2308" i="159"/>
  <c r="F2310" i="159"/>
  <c r="G2310" i="159"/>
  <c r="H2310" i="159"/>
  <c r="I2310" i="159"/>
  <c r="J2310" i="159"/>
  <c r="D2311" i="159"/>
  <c r="D2312" i="159" s="1"/>
  <c r="D2313" i="159" s="1"/>
  <c r="D2314" i="159" s="1"/>
  <c r="D2315" i="159" s="1"/>
  <c r="E2311" i="159"/>
  <c r="K2311" i="159"/>
  <c r="L2311" i="159"/>
  <c r="M2311" i="159"/>
  <c r="O2311" i="159"/>
  <c r="P2311" i="159"/>
  <c r="K2312" i="159"/>
  <c r="L2312" i="159"/>
  <c r="K2313" i="159"/>
  <c r="L2313" i="159"/>
  <c r="K2314" i="159"/>
  <c r="L2314" i="159"/>
  <c r="K2315" i="159"/>
  <c r="L2315" i="159"/>
  <c r="F2317" i="159"/>
  <c r="G2317" i="159"/>
  <c r="H2317" i="159"/>
  <c r="I2317" i="159"/>
  <c r="J2317" i="159"/>
  <c r="D2318" i="159"/>
  <c r="D2319" i="159" s="1"/>
  <c r="D2320" i="159" s="1"/>
  <c r="D2321" i="159" s="1"/>
  <c r="D2322" i="159" s="1"/>
  <c r="E2318" i="159"/>
  <c r="K2318" i="159"/>
  <c r="L2318" i="159"/>
  <c r="M2318" i="159"/>
  <c r="O2318" i="159"/>
  <c r="P2318" i="159" s="1"/>
  <c r="K2319" i="159"/>
  <c r="L2319" i="159"/>
  <c r="K2320" i="159"/>
  <c r="L2320" i="159"/>
  <c r="K2321" i="159"/>
  <c r="L2321" i="159"/>
  <c r="K2322" i="159"/>
  <c r="L2322" i="159"/>
  <c r="F2324" i="159"/>
  <c r="G2324" i="159"/>
  <c r="H2324" i="159"/>
  <c r="I2324" i="159"/>
  <c r="J2324" i="159"/>
  <c r="D2325" i="159"/>
  <c r="E2325" i="159"/>
  <c r="K2325" i="159"/>
  <c r="L2325" i="159"/>
  <c r="M2325" i="159"/>
  <c r="O2325" i="159"/>
  <c r="P2325" i="159" s="1"/>
  <c r="D2326" i="159"/>
  <c r="D2327" i="159" s="1"/>
  <c r="D2328" i="159" s="1"/>
  <c r="D2329" i="159" s="1"/>
  <c r="K2326" i="159"/>
  <c r="L2326" i="159"/>
  <c r="K2327" i="159"/>
  <c r="L2327" i="159"/>
  <c r="K2328" i="159"/>
  <c r="L2328" i="159"/>
  <c r="K2329" i="159"/>
  <c r="L2329" i="159"/>
  <c r="F2331" i="159"/>
  <c r="G2331" i="159"/>
  <c r="H2331" i="159"/>
  <c r="I2331" i="159"/>
  <c r="J2331" i="159"/>
  <c r="D2332" i="159"/>
  <c r="E2332" i="159"/>
  <c r="K2332" i="159"/>
  <c r="L2332" i="159"/>
  <c r="M2332" i="159"/>
  <c r="O2332" i="159"/>
  <c r="P2332" i="159"/>
  <c r="D2333" i="159"/>
  <c r="D2334" i="159" s="1"/>
  <c r="D2335" i="159" s="1"/>
  <c r="D2336" i="159" s="1"/>
  <c r="K2333" i="159"/>
  <c r="L2333" i="159"/>
  <c r="K2334" i="159"/>
  <c r="L2334" i="159"/>
  <c r="K2335" i="159"/>
  <c r="L2335" i="159"/>
  <c r="K2336" i="159"/>
  <c r="L2336" i="159"/>
  <c r="F2338" i="159"/>
  <c r="G2338" i="159"/>
  <c r="H2338" i="159"/>
  <c r="I2338" i="159"/>
  <c r="J2338" i="159"/>
  <c r="D2339" i="159"/>
  <c r="D2340" i="159" s="1"/>
  <c r="D2341" i="159" s="1"/>
  <c r="D2342" i="159" s="1"/>
  <c r="D2343" i="159" s="1"/>
  <c r="E2339" i="159"/>
  <c r="K2339" i="159"/>
  <c r="L2339" i="159"/>
  <c r="M2339" i="159"/>
  <c r="N2339" i="159"/>
  <c r="O2339" i="159"/>
  <c r="P2339" i="159" s="1"/>
  <c r="K2340" i="159"/>
  <c r="L2340" i="159"/>
  <c r="K2341" i="159"/>
  <c r="L2341" i="159"/>
  <c r="K2342" i="159"/>
  <c r="L2342" i="159"/>
  <c r="K2343" i="159"/>
  <c r="L2343" i="159"/>
  <c r="F2345" i="159"/>
  <c r="G2345" i="159"/>
  <c r="H2345" i="159"/>
  <c r="I2345" i="159"/>
  <c r="J2345" i="159"/>
  <c r="D2346" i="159"/>
  <c r="D2347" i="159" s="1"/>
  <c r="D2348" i="159" s="1"/>
  <c r="D2349" i="159" s="1"/>
  <c r="D2350" i="159" s="1"/>
  <c r="E2346" i="159"/>
  <c r="K2346" i="159"/>
  <c r="L2346" i="159"/>
  <c r="M2346" i="159"/>
  <c r="O2346" i="159"/>
  <c r="P2346" i="159" s="1"/>
  <c r="K2347" i="159"/>
  <c r="L2347" i="159"/>
  <c r="K2348" i="159"/>
  <c r="L2348" i="159"/>
  <c r="K2349" i="159"/>
  <c r="L2349" i="159"/>
  <c r="K2350" i="159"/>
  <c r="L2350" i="159"/>
  <c r="F2352" i="159"/>
  <c r="G2352" i="159"/>
  <c r="H2352" i="159"/>
  <c r="I2352" i="159"/>
  <c r="J2352" i="159"/>
  <c r="D2353" i="159"/>
  <c r="D2354" i="159" s="1"/>
  <c r="D2355" i="159" s="1"/>
  <c r="D2356" i="159" s="1"/>
  <c r="D2357" i="159" s="1"/>
  <c r="E2353" i="159"/>
  <c r="K2353" i="159"/>
  <c r="L2353" i="159"/>
  <c r="M2353" i="159"/>
  <c r="O2353" i="159"/>
  <c r="P2353" i="159"/>
  <c r="K2354" i="159"/>
  <c r="L2354" i="159"/>
  <c r="K2355" i="159"/>
  <c r="L2355" i="159"/>
  <c r="K2356" i="159"/>
  <c r="L2356" i="159"/>
  <c r="K2357" i="159"/>
  <c r="L2357" i="159"/>
  <c r="F2359" i="159"/>
  <c r="G2359" i="159"/>
  <c r="H2359" i="159"/>
  <c r="I2359" i="159"/>
  <c r="J2359" i="159"/>
  <c r="D2360" i="159"/>
  <c r="E2360" i="159"/>
  <c r="K2360" i="159"/>
  <c r="L2360" i="159"/>
  <c r="M2360" i="159"/>
  <c r="O2360" i="159"/>
  <c r="P2360" i="159"/>
  <c r="D2361" i="159"/>
  <c r="K2361" i="159"/>
  <c r="L2361" i="159"/>
  <c r="D2362" i="159"/>
  <c r="D2363" i="159" s="1"/>
  <c r="K2362" i="159"/>
  <c r="L2362" i="159"/>
  <c r="K2363" i="159"/>
  <c r="L2363" i="159"/>
  <c r="D2364" i="159"/>
  <c r="K2364" i="159"/>
  <c r="L2364" i="159"/>
  <c r="F2366" i="159"/>
  <c r="G2366" i="159"/>
  <c r="H2366" i="159"/>
  <c r="I2366" i="159"/>
  <c r="J2366" i="159"/>
  <c r="D2367" i="159"/>
  <c r="E2367" i="159"/>
  <c r="K2367" i="159"/>
  <c r="L2367" i="159"/>
  <c r="M2367" i="159"/>
  <c r="O2367" i="159"/>
  <c r="P2367" i="159"/>
  <c r="D2368" i="159"/>
  <c r="K2368" i="159"/>
  <c r="L2368" i="159"/>
  <c r="D2369" i="159"/>
  <c r="D2370" i="159" s="1"/>
  <c r="D2371" i="159" s="1"/>
  <c r="K2369" i="159"/>
  <c r="L2369" i="159"/>
  <c r="K2370" i="159"/>
  <c r="L2370" i="159"/>
  <c r="K2371" i="159"/>
  <c r="L2371" i="159"/>
  <c r="F2373" i="159"/>
  <c r="G2373" i="159"/>
  <c r="H2373" i="159"/>
  <c r="I2373" i="159"/>
  <c r="J2373" i="159"/>
  <c r="D2374" i="159"/>
  <c r="E2374" i="159"/>
  <c r="K2374" i="159"/>
  <c r="L2374" i="159"/>
  <c r="M2374" i="159"/>
  <c r="O2374" i="159"/>
  <c r="P2374" i="159"/>
  <c r="D2375" i="159"/>
  <c r="D2376" i="159" s="1"/>
  <c r="D2377" i="159" s="1"/>
  <c r="D2378" i="159" s="1"/>
  <c r="K2375" i="159"/>
  <c r="L2375" i="159"/>
  <c r="K2376" i="159"/>
  <c r="L2376" i="159"/>
  <c r="K2377" i="159"/>
  <c r="L2377" i="159"/>
  <c r="K2378" i="159"/>
  <c r="L2378" i="159"/>
  <c r="F2380" i="159"/>
  <c r="G2380" i="159"/>
  <c r="H2380" i="159"/>
  <c r="I2380" i="159"/>
  <c r="J2380" i="159"/>
  <c r="D2381" i="159"/>
  <c r="D2382" i="159" s="1"/>
  <c r="D2383" i="159" s="1"/>
  <c r="D2384" i="159" s="1"/>
  <c r="D2385" i="159" s="1"/>
  <c r="E2381" i="159"/>
  <c r="K2381" i="159"/>
  <c r="L2381" i="159"/>
  <c r="M2381" i="159"/>
  <c r="O2381" i="159"/>
  <c r="P2381" i="159" s="1"/>
  <c r="K2382" i="159"/>
  <c r="L2382" i="159"/>
  <c r="K2383" i="159"/>
  <c r="L2383" i="159"/>
  <c r="K2384" i="159"/>
  <c r="L2384" i="159"/>
  <c r="K2385" i="159"/>
  <c r="L2385" i="159"/>
  <c r="F2387" i="159"/>
  <c r="G2387" i="159"/>
  <c r="H2387" i="159"/>
  <c r="I2387" i="159"/>
  <c r="J2387" i="159"/>
  <c r="D2388" i="159"/>
  <c r="D2389" i="159" s="1"/>
  <c r="D2390" i="159" s="1"/>
  <c r="D2391" i="159" s="1"/>
  <c r="D2392" i="159" s="1"/>
  <c r="E2388" i="159"/>
  <c r="K2388" i="159"/>
  <c r="L2388" i="159"/>
  <c r="M2388" i="159"/>
  <c r="O2388" i="159"/>
  <c r="P2388" i="159"/>
  <c r="K2389" i="159"/>
  <c r="L2389" i="159"/>
  <c r="K2390" i="159"/>
  <c r="L2390" i="159"/>
  <c r="K2391" i="159"/>
  <c r="L2391" i="159"/>
  <c r="K2392" i="159"/>
  <c r="L2392" i="159"/>
  <c r="F2394" i="159"/>
  <c r="G2394" i="159"/>
  <c r="H2394" i="159"/>
  <c r="I2394" i="159"/>
  <c r="J2394" i="159"/>
  <c r="D2395" i="159"/>
  <c r="E2395" i="159"/>
  <c r="K2395" i="159"/>
  <c r="L2395" i="159"/>
  <c r="M2395" i="159"/>
  <c r="O2395" i="159"/>
  <c r="P2395" i="159"/>
  <c r="D2396" i="159"/>
  <c r="D2397" i="159" s="1"/>
  <c r="D2398" i="159" s="1"/>
  <c r="D2399" i="159" s="1"/>
  <c r="K2396" i="159"/>
  <c r="L2396" i="159"/>
  <c r="K2397" i="159"/>
  <c r="L2397" i="159"/>
  <c r="K2398" i="159"/>
  <c r="L2398" i="159"/>
  <c r="K2399" i="159"/>
  <c r="L2399" i="159"/>
  <c r="F2401" i="159"/>
  <c r="G2401" i="159"/>
  <c r="H2401" i="159"/>
  <c r="I2401" i="159"/>
  <c r="J2401" i="159"/>
  <c r="D2402" i="159"/>
  <c r="E2402" i="159"/>
  <c r="K2402" i="159"/>
  <c r="L2402" i="159"/>
  <c r="M2402" i="159"/>
  <c r="O2402" i="159"/>
  <c r="P2402" i="159"/>
  <c r="D2403" i="159"/>
  <c r="K2403" i="159"/>
  <c r="L2403" i="159"/>
  <c r="D2404" i="159"/>
  <c r="D2405" i="159" s="1"/>
  <c r="D2406" i="159" s="1"/>
  <c r="K2404" i="159"/>
  <c r="L2404" i="159"/>
  <c r="K2405" i="159"/>
  <c r="L2405" i="159"/>
  <c r="K2406" i="159"/>
  <c r="L2406" i="159"/>
  <c r="F2408" i="159"/>
  <c r="G2408" i="159"/>
  <c r="H2408" i="159"/>
  <c r="I2408" i="159"/>
  <c r="J2408" i="159"/>
  <c r="D2409" i="159"/>
  <c r="E2409" i="159"/>
  <c r="K2409" i="159"/>
  <c r="L2409" i="159"/>
  <c r="M2409" i="159"/>
  <c r="O2409" i="159"/>
  <c r="P2409" i="159" s="1"/>
  <c r="D2410" i="159"/>
  <c r="D2411" i="159" s="1"/>
  <c r="D2412" i="159" s="1"/>
  <c r="D2413" i="159" s="1"/>
  <c r="K2410" i="159"/>
  <c r="L2410" i="159"/>
  <c r="K2411" i="159"/>
  <c r="L2411" i="159"/>
  <c r="K2412" i="159"/>
  <c r="L2412" i="159"/>
  <c r="K2413" i="159"/>
  <c r="L2413" i="159"/>
  <c r="F2415" i="159"/>
  <c r="G2415" i="159"/>
  <c r="H2415" i="159"/>
  <c r="I2415" i="159"/>
  <c r="J2415" i="159"/>
  <c r="D2416" i="159"/>
  <c r="D2417" i="159" s="1"/>
  <c r="D2418" i="159" s="1"/>
  <c r="D2419" i="159" s="1"/>
  <c r="E2416" i="159"/>
  <c r="K2416" i="159"/>
  <c r="L2416" i="159"/>
  <c r="M2416" i="159"/>
  <c r="O2416" i="159"/>
  <c r="P2416" i="159" s="1"/>
  <c r="K2417" i="159"/>
  <c r="L2417" i="159"/>
  <c r="K2418" i="159"/>
  <c r="L2418" i="159"/>
  <c r="K2419" i="159"/>
  <c r="L2419" i="159"/>
  <c r="D2420" i="159"/>
  <c r="K2420" i="159"/>
  <c r="L2420" i="159"/>
  <c r="F2422" i="159"/>
  <c r="G2422" i="159"/>
  <c r="H2422" i="159"/>
  <c r="I2422" i="159"/>
  <c r="J2422" i="159"/>
  <c r="D2423" i="159"/>
  <c r="D2424" i="159" s="1"/>
  <c r="E2423" i="159"/>
  <c r="K2423" i="159"/>
  <c r="L2423" i="159"/>
  <c r="M2423" i="159"/>
  <c r="O2423" i="159"/>
  <c r="P2423" i="159"/>
  <c r="K2424" i="159"/>
  <c r="L2424" i="159"/>
  <c r="D2425" i="159"/>
  <c r="K2425" i="159"/>
  <c r="L2425" i="159"/>
  <c r="D2426" i="159"/>
  <c r="D2427" i="159" s="1"/>
  <c r="K2426" i="159"/>
  <c r="L2426" i="159"/>
  <c r="K2427" i="159"/>
  <c r="L2427" i="159"/>
  <c r="F2429" i="159"/>
  <c r="G2429" i="159"/>
  <c r="H2429" i="159"/>
  <c r="I2429" i="159"/>
  <c r="J2429" i="159"/>
  <c r="D2430" i="159"/>
  <c r="E2430" i="159"/>
  <c r="K2430" i="159"/>
  <c r="L2430" i="159"/>
  <c r="M2430" i="159"/>
  <c r="O2430" i="159"/>
  <c r="P2430" i="159"/>
  <c r="D2431" i="159"/>
  <c r="D2432" i="159" s="1"/>
  <c r="D2433" i="159" s="1"/>
  <c r="D2434" i="159" s="1"/>
  <c r="K2431" i="159"/>
  <c r="L2431" i="159"/>
  <c r="K2432" i="159"/>
  <c r="L2432" i="159"/>
  <c r="K2433" i="159"/>
  <c r="L2433" i="159"/>
  <c r="K2434" i="159"/>
  <c r="L2434" i="159"/>
  <c r="F2436" i="159"/>
  <c r="G2436" i="159"/>
  <c r="H2436" i="159"/>
  <c r="I2436" i="159"/>
  <c r="J2436" i="159"/>
  <c r="D2437" i="159"/>
  <c r="E2437" i="159"/>
  <c r="K2437" i="159"/>
  <c r="L2437" i="159"/>
  <c r="M2437" i="159"/>
  <c r="O2437" i="159"/>
  <c r="P2437" i="159" s="1"/>
  <c r="D2438" i="159"/>
  <c r="D2439" i="159" s="1"/>
  <c r="D2440" i="159" s="1"/>
  <c r="D2441" i="159" s="1"/>
  <c r="K2438" i="159"/>
  <c r="L2438" i="159"/>
  <c r="K2439" i="159"/>
  <c r="L2439" i="159"/>
  <c r="K2440" i="159"/>
  <c r="L2440" i="159"/>
  <c r="K2441" i="159"/>
  <c r="L2441" i="159"/>
  <c r="F2443" i="159"/>
  <c r="G2443" i="159"/>
  <c r="H2443" i="159"/>
  <c r="I2443" i="159"/>
  <c r="J2443" i="159"/>
  <c r="D2444" i="159"/>
  <c r="E2444" i="159"/>
  <c r="K2444" i="159"/>
  <c r="L2444" i="159"/>
  <c r="M2444" i="159"/>
  <c r="O2444" i="159"/>
  <c r="P2444" i="159" s="1"/>
  <c r="D2445" i="159"/>
  <c r="D2446" i="159" s="1"/>
  <c r="D2447" i="159" s="1"/>
  <c r="D2448" i="159" s="1"/>
  <c r="K2445" i="159"/>
  <c r="L2445" i="159"/>
  <c r="K2446" i="159"/>
  <c r="L2446" i="159"/>
  <c r="K2447" i="159"/>
  <c r="L2447" i="159"/>
  <c r="K2448" i="159"/>
  <c r="L2448" i="159"/>
  <c r="F2450" i="159"/>
  <c r="G2450" i="159"/>
  <c r="H2450" i="159"/>
  <c r="I2450" i="159"/>
  <c r="J2450" i="159"/>
  <c r="D2451" i="159"/>
  <c r="D2452" i="159" s="1"/>
  <c r="D2453" i="159" s="1"/>
  <c r="D2454" i="159" s="1"/>
  <c r="D2455" i="159" s="1"/>
  <c r="E2451" i="159"/>
  <c r="K2451" i="159"/>
  <c r="L2451" i="159"/>
  <c r="M2451" i="159"/>
  <c r="O2451" i="159"/>
  <c r="P2451" i="159" s="1"/>
  <c r="K2452" i="159"/>
  <c r="L2452" i="159"/>
  <c r="K2453" i="159"/>
  <c r="L2453" i="159"/>
  <c r="K2454" i="159"/>
  <c r="L2454" i="159"/>
  <c r="K2455" i="159"/>
  <c r="L2455" i="159"/>
  <c r="F2457" i="159"/>
  <c r="G2457" i="159"/>
  <c r="H2457" i="159"/>
  <c r="I2457" i="159"/>
  <c r="J2457" i="159"/>
  <c r="D2458" i="159"/>
  <c r="D2459" i="159" s="1"/>
  <c r="D2460" i="159" s="1"/>
  <c r="D2461" i="159" s="1"/>
  <c r="D2462" i="159" s="1"/>
  <c r="E2458" i="159"/>
  <c r="K2458" i="159"/>
  <c r="L2458" i="159"/>
  <c r="M2458" i="159"/>
  <c r="N2458" i="159"/>
  <c r="O2458" i="159"/>
  <c r="P2458" i="159" s="1"/>
  <c r="K2459" i="159"/>
  <c r="L2459" i="159"/>
  <c r="K2460" i="159"/>
  <c r="L2460" i="159"/>
  <c r="K2461" i="159"/>
  <c r="L2461" i="159"/>
  <c r="K2462" i="159"/>
  <c r="L2462" i="159"/>
  <c r="F2464" i="159"/>
  <c r="G2464" i="159"/>
  <c r="H2464" i="159"/>
  <c r="I2464" i="159"/>
  <c r="J2464" i="159"/>
  <c r="D2465" i="159"/>
  <c r="E2465" i="159"/>
  <c r="K2465" i="159"/>
  <c r="L2465" i="159"/>
  <c r="M2465" i="159"/>
  <c r="O2465" i="159"/>
  <c r="P2465" i="159"/>
  <c r="D2466" i="159"/>
  <c r="D2467" i="159" s="1"/>
  <c r="D2468" i="159" s="1"/>
  <c r="D2469" i="159" s="1"/>
  <c r="K2466" i="159"/>
  <c r="L2466" i="159"/>
  <c r="K2467" i="159"/>
  <c r="L2467" i="159"/>
  <c r="K2468" i="159"/>
  <c r="L2468" i="159"/>
  <c r="K2469" i="159"/>
  <c r="L2469" i="159"/>
  <c r="F2471" i="159"/>
  <c r="G2471" i="159"/>
  <c r="H2471" i="159"/>
  <c r="I2471" i="159"/>
  <c r="J2471" i="159"/>
  <c r="D2472" i="159"/>
  <c r="E2472" i="159"/>
  <c r="K2472" i="159"/>
  <c r="L2472" i="159"/>
  <c r="M2472" i="159"/>
  <c r="O2472" i="159"/>
  <c r="P2472" i="159"/>
  <c r="D2473" i="159"/>
  <c r="K2473" i="159"/>
  <c r="L2473" i="159"/>
  <c r="D2474" i="159"/>
  <c r="D2475" i="159" s="1"/>
  <c r="D2476" i="159" s="1"/>
  <c r="K2474" i="159"/>
  <c r="L2474" i="159"/>
  <c r="K2475" i="159"/>
  <c r="L2475" i="159"/>
  <c r="K2476" i="159"/>
  <c r="L2476" i="159"/>
  <c r="F2478" i="159"/>
  <c r="G2478" i="159"/>
  <c r="H2478" i="159"/>
  <c r="I2478" i="159"/>
  <c r="J2478" i="159"/>
  <c r="D2479" i="159"/>
  <c r="E2479" i="159"/>
  <c r="K2479" i="159"/>
  <c r="L2479" i="159"/>
  <c r="M2479" i="159"/>
  <c r="O2479" i="159"/>
  <c r="P2479" i="159"/>
  <c r="D2480" i="159"/>
  <c r="D2481" i="159" s="1"/>
  <c r="D2482" i="159" s="1"/>
  <c r="D2483" i="159" s="1"/>
  <c r="K2480" i="159"/>
  <c r="L2480" i="159"/>
  <c r="K2481" i="159"/>
  <c r="L2481" i="159"/>
  <c r="K2482" i="159"/>
  <c r="L2482" i="159"/>
  <c r="K2483" i="159"/>
  <c r="L2483" i="159"/>
  <c r="F2485" i="159"/>
  <c r="G2485" i="159"/>
  <c r="H2485" i="159"/>
  <c r="I2485" i="159"/>
  <c r="J2485" i="159"/>
  <c r="D2486" i="159"/>
  <c r="D2487" i="159" s="1"/>
  <c r="D2488" i="159" s="1"/>
  <c r="D2489" i="159" s="1"/>
  <c r="D2490" i="159" s="1"/>
  <c r="E2486" i="159"/>
  <c r="K2486" i="159"/>
  <c r="L2486" i="159"/>
  <c r="M2486" i="159"/>
  <c r="O2486" i="159"/>
  <c r="P2486" i="159" s="1"/>
  <c r="K2487" i="159"/>
  <c r="L2487" i="159"/>
  <c r="K2488" i="159"/>
  <c r="L2488" i="159"/>
  <c r="K2489" i="159"/>
  <c r="L2489" i="159"/>
  <c r="K2490" i="159"/>
  <c r="L2490" i="159"/>
  <c r="F2492" i="159"/>
  <c r="G2492" i="159"/>
  <c r="H2492" i="159"/>
  <c r="I2492" i="159"/>
  <c r="J2492" i="159"/>
  <c r="D2493" i="159"/>
  <c r="D2494" i="159" s="1"/>
  <c r="D2495" i="159" s="1"/>
  <c r="D2496" i="159" s="1"/>
  <c r="D2497" i="159" s="1"/>
  <c r="E2493" i="159"/>
  <c r="K2493" i="159"/>
  <c r="L2493" i="159"/>
  <c r="M2493" i="159"/>
  <c r="O2493" i="159"/>
  <c r="P2493" i="159" s="1"/>
  <c r="K2494" i="159"/>
  <c r="L2494" i="159"/>
  <c r="K2495" i="159"/>
  <c r="L2495" i="159"/>
  <c r="K2496" i="159"/>
  <c r="L2496" i="159"/>
  <c r="K2497" i="159"/>
  <c r="L2497" i="159"/>
  <c r="F2499" i="159"/>
  <c r="G2499" i="159"/>
  <c r="H2499" i="159"/>
  <c r="I2499" i="159"/>
  <c r="J2499" i="159"/>
  <c r="D2500" i="159"/>
  <c r="E2500" i="159"/>
  <c r="K2500" i="159"/>
  <c r="L2500" i="159"/>
  <c r="M2500" i="159"/>
  <c r="O2500" i="159"/>
  <c r="P2500" i="159"/>
  <c r="D2501" i="159"/>
  <c r="D2502" i="159" s="1"/>
  <c r="K2501" i="159"/>
  <c r="L2501" i="159"/>
  <c r="K2502" i="159"/>
  <c r="L2502" i="159"/>
  <c r="D2503" i="159"/>
  <c r="D2504" i="159" s="1"/>
  <c r="K2503" i="159"/>
  <c r="L2503" i="159"/>
  <c r="K2504" i="159"/>
  <c r="L2504" i="159"/>
  <c r="F2506" i="159"/>
  <c r="G2506" i="159"/>
  <c r="H2506" i="159"/>
  <c r="I2506" i="159"/>
  <c r="J2506" i="159"/>
  <c r="D2507" i="159"/>
  <c r="E2507" i="159"/>
  <c r="K2507" i="159"/>
  <c r="L2507" i="159"/>
  <c r="M2507" i="159"/>
  <c r="O2507" i="159"/>
  <c r="P2507" i="159"/>
  <c r="D2508" i="159"/>
  <c r="D2509" i="159" s="1"/>
  <c r="D2510" i="159" s="1"/>
  <c r="D2511" i="159" s="1"/>
  <c r="K2508" i="159"/>
  <c r="L2508" i="159"/>
  <c r="K2509" i="159"/>
  <c r="L2509" i="159"/>
  <c r="K2510" i="159"/>
  <c r="L2510" i="159"/>
  <c r="K2511" i="159"/>
  <c r="L2511" i="159"/>
  <c r="F2513" i="159"/>
  <c r="G2513" i="159"/>
  <c r="H2513" i="159"/>
  <c r="I2513" i="159"/>
  <c r="J2513" i="159"/>
  <c r="D2514" i="159"/>
  <c r="E2514" i="159"/>
  <c r="K2514" i="159"/>
  <c r="L2514" i="159"/>
  <c r="M2514" i="159"/>
  <c r="O2514" i="159"/>
  <c r="P2514" i="159" s="1"/>
  <c r="D2515" i="159"/>
  <c r="D2516" i="159" s="1"/>
  <c r="D2517" i="159" s="1"/>
  <c r="D2518" i="159" s="1"/>
  <c r="K2515" i="159"/>
  <c r="L2515" i="159"/>
  <c r="K2516" i="159"/>
  <c r="L2516" i="159"/>
  <c r="K2517" i="159"/>
  <c r="L2517" i="159"/>
  <c r="K2518" i="159"/>
  <c r="L2518" i="159"/>
  <c r="F2520" i="159"/>
  <c r="G2520" i="159"/>
  <c r="H2520" i="159"/>
  <c r="I2520" i="159"/>
  <c r="J2520" i="159"/>
  <c r="D2521" i="159"/>
  <c r="D2522" i="159" s="1"/>
  <c r="D2523" i="159" s="1"/>
  <c r="D2524" i="159" s="1"/>
  <c r="D2525" i="159" s="1"/>
  <c r="E2521" i="159"/>
  <c r="K2521" i="159"/>
  <c r="L2521" i="159"/>
  <c r="M2521" i="159"/>
  <c r="O2521" i="159"/>
  <c r="P2521" i="159" s="1"/>
  <c r="K2522" i="159"/>
  <c r="L2522" i="159"/>
  <c r="K2523" i="159"/>
  <c r="L2523" i="159"/>
  <c r="K2524" i="159"/>
  <c r="L2524" i="159"/>
  <c r="K2525" i="159"/>
  <c r="L2525" i="159"/>
  <c r="F2527" i="159"/>
  <c r="G2527" i="159"/>
  <c r="H2527" i="159"/>
  <c r="I2527" i="159"/>
  <c r="J2527" i="159"/>
  <c r="D2528" i="159"/>
  <c r="D2529" i="159" s="1"/>
  <c r="D2530" i="159" s="1"/>
  <c r="D2531" i="159" s="1"/>
  <c r="D2532" i="159" s="1"/>
  <c r="E2528" i="159"/>
  <c r="K2528" i="159"/>
  <c r="L2528" i="159"/>
  <c r="M2528" i="159"/>
  <c r="O2528" i="159"/>
  <c r="P2528" i="159" s="1"/>
  <c r="K2529" i="159"/>
  <c r="L2529" i="159"/>
  <c r="K2530" i="159"/>
  <c r="L2530" i="159"/>
  <c r="K2531" i="159"/>
  <c r="L2531" i="159"/>
  <c r="K2532" i="159"/>
  <c r="L2532" i="159"/>
  <c r="F2534" i="159"/>
  <c r="G2534" i="159"/>
  <c r="H2534" i="159"/>
  <c r="I2534" i="159"/>
  <c r="J2534" i="159"/>
  <c r="D2535" i="159"/>
  <c r="E2535" i="159"/>
  <c r="K2535" i="159"/>
  <c r="L2535" i="159"/>
  <c r="M2535" i="159"/>
  <c r="O2535" i="159"/>
  <c r="P2535" i="159"/>
  <c r="D2536" i="159"/>
  <c r="K2536" i="159"/>
  <c r="L2536" i="159"/>
  <c r="D2537" i="159"/>
  <c r="K2537" i="159"/>
  <c r="L2537" i="159"/>
  <c r="D2538" i="159"/>
  <c r="D2539" i="159" s="1"/>
  <c r="K2538" i="159"/>
  <c r="L2538" i="159"/>
  <c r="K2539" i="159"/>
  <c r="L2539" i="159"/>
  <c r="F2541" i="159"/>
  <c r="G2541" i="159"/>
  <c r="H2541" i="159"/>
  <c r="I2541" i="159"/>
  <c r="J2541" i="159"/>
  <c r="D2542" i="159"/>
  <c r="E2542" i="159"/>
  <c r="K2542" i="159"/>
  <c r="L2542" i="159"/>
  <c r="M2542" i="159"/>
  <c r="O2542" i="159"/>
  <c r="P2542" i="159"/>
  <c r="D2543" i="159"/>
  <c r="K2543" i="159"/>
  <c r="L2543" i="159"/>
  <c r="D2544" i="159"/>
  <c r="D2545" i="159" s="1"/>
  <c r="D2546" i="159" s="1"/>
  <c r="K2544" i="159"/>
  <c r="L2544" i="159"/>
  <c r="K2545" i="159"/>
  <c r="L2545" i="159"/>
  <c r="K2546" i="159"/>
  <c r="L2546" i="159"/>
  <c r="F2548" i="159"/>
  <c r="G2548" i="159"/>
  <c r="H2548" i="159"/>
  <c r="I2548" i="159"/>
  <c r="J2548" i="159"/>
  <c r="D2549" i="159"/>
  <c r="E2549" i="159"/>
  <c r="K2549" i="159"/>
  <c r="L2549" i="159"/>
  <c r="M2549" i="159"/>
  <c r="O2549" i="159"/>
  <c r="P2549" i="159"/>
  <c r="D2550" i="159"/>
  <c r="D2551" i="159" s="1"/>
  <c r="D2552" i="159" s="1"/>
  <c r="D2553" i="159" s="1"/>
  <c r="K2550" i="159"/>
  <c r="L2550" i="159"/>
  <c r="K2551" i="159"/>
  <c r="L2551" i="159"/>
  <c r="K2552" i="159"/>
  <c r="L2552" i="159"/>
  <c r="K2553" i="159"/>
  <c r="L2553" i="159"/>
  <c r="F2555" i="159"/>
  <c r="G2555" i="159"/>
  <c r="H2555" i="159"/>
  <c r="I2555" i="159"/>
  <c r="J2555" i="159"/>
  <c r="D2556" i="159"/>
  <c r="D2557" i="159" s="1"/>
  <c r="D2558" i="159" s="1"/>
  <c r="E2556" i="159"/>
  <c r="K2556" i="159"/>
  <c r="L2556" i="159"/>
  <c r="M2556" i="159"/>
  <c r="O2556" i="159"/>
  <c r="P2556" i="159" s="1"/>
  <c r="K2557" i="159"/>
  <c r="L2557" i="159"/>
  <c r="K2558" i="159"/>
  <c r="L2558" i="159"/>
  <c r="D2559" i="159"/>
  <c r="D2560" i="159" s="1"/>
  <c r="K2559" i="159"/>
  <c r="L2559" i="159"/>
  <c r="K2560" i="159"/>
  <c r="L2560" i="159"/>
  <c r="F2562" i="159"/>
  <c r="G2562" i="159"/>
  <c r="H2562" i="159"/>
  <c r="I2562" i="159"/>
  <c r="J2562" i="159"/>
  <c r="D2563" i="159"/>
  <c r="D2564" i="159" s="1"/>
  <c r="E2563" i="159"/>
  <c r="K2563" i="159"/>
  <c r="L2563" i="159"/>
  <c r="M2563" i="159"/>
  <c r="O2563" i="159"/>
  <c r="P2563" i="159" s="1"/>
  <c r="K2564" i="159"/>
  <c r="L2564" i="159"/>
  <c r="D2565" i="159"/>
  <c r="D2566" i="159" s="1"/>
  <c r="D2567" i="159" s="1"/>
  <c r="K2565" i="159"/>
  <c r="L2565" i="159"/>
  <c r="K2566" i="159"/>
  <c r="L2566" i="159"/>
  <c r="K2567" i="159"/>
  <c r="L2567" i="159"/>
  <c r="F2569" i="159"/>
  <c r="G2569" i="159"/>
  <c r="H2569" i="159"/>
  <c r="I2569" i="159"/>
  <c r="J2569" i="159"/>
  <c r="D2570" i="159"/>
  <c r="E2570" i="159"/>
  <c r="K2570" i="159"/>
  <c r="L2570" i="159"/>
  <c r="M2570" i="159"/>
  <c r="O2570" i="159"/>
  <c r="P2570" i="159"/>
  <c r="D2571" i="159"/>
  <c r="D2572" i="159" s="1"/>
  <c r="D2573" i="159" s="1"/>
  <c r="D2574" i="159" s="1"/>
  <c r="K2571" i="159"/>
  <c r="L2571" i="159"/>
  <c r="K2572" i="159"/>
  <c r="L2572" i="159"/>
  <c r="K2573" i="159"/>
  <c r="L2573" i="159"/>
  <c r="K2574" i="159"/>
  <c r="L2574" i="159"/>
  <c r="F2576" i="159"/>
  <c r="G2576" i="159"/>
  <c r="H2576" i="159"/>
  <c r="I2576" i="159"/>
  <c r="J2576" i="159"/>
  <c r="D2577" i="159"/>
  <c r="E2577" i="159"/>
  <c r="K2577" i="159"/>
  <c r="L2577" i="159"/>
  <c r="M2577" i="159"/>
  <c r="O2577" i="159"/>
  <c r="P2577" i="159"/>
  <c r="D2578" i="159"/>
  <c r="D2579" i="159" s="1"/>
  <c r="D2580" i="159" s="1"/>
  <c r="D2581" i="159" s="1"/>
  <c r="K2578" i="159"/>
  <c r="L2578" i="159"/>
  <c r="K2579" i="159"/>
  <c r="L2579" i="159"/>
  <c r="K2580" i="159"/>
  <c r="L2580" i="159"/>
  <c r="K2581" i="159"/>
  <c r="L2581" i="159"/>
  <c r="F2583" i="159"/>
  <c r="G2583" i="159"/>
  <c r="H2583" i="159"/>
  <c r="I2583" i="159"/>
  <c r="J2583" i="159"/>
  <c r="D2584" i="159"/>
  <c r="E2584" i="159"/>
  <c r="K2584" i="159"/>
  <c r="L2584" i="159"/>
  <c r="M2584" i="159"/>
  <c r="O2584" i="159"/>
  <c r="P2584" i="159" s="1"/>
  <c r="D2585" i="159"/>
  <c r="D2586" i="159" s="1"/>
  <c r="D2587" i="159" s="1"/>
  <c r="D2588" i="159" s="1"/>
  <c r="K2585" i="159"/>
  <c r="L2585" i="159"/>
  <c r="K2586" i="159"/>
  <c r="L2586" i="159"/>
  <c r="K2587" i="159"/>
  <c r="L2587" i="159"/>
  <c r="K2588" i="159"/>
  <c r="L2588" i="159"/>
  <c r="F2590" i="159"/>
  <c r="G2590" i="159"/>
  <c r="H2590" i="159"/>
  <c r="I2590" i="159"/>
  <c r="J2590" i="159"/>
  <c r="D2591" i="159"/>
  <c r="D2592" i="159" s="1"/>
  <c r="D2593" i="159" s="1"/>
  <c r="D2594" i="159" s="1"/>
  <c r="D2595" i="159" s="1"/>
  <c r="E2591" i="159"/>
  <c r="K2591" i="159"/>
  <c r="L2591" i="159"/>
  <c r="M2591" i="159"/>
  <c r="O2591" i="159"/>
  <c r="P2591" i="159" s="1"/>
  <c r="K2592" i="159"/>
  <c r="L2592" i="159"/>
  <c r="K2593" i="159"/>
  <c r="L2593" i="159"/>
  <c r="K2594" i="159"/>
  <c r="L2594" i="159"/>
  <c r="K2595" i="159"/>
  <c r="L2595" i="159"/>
  <c r="F2597" i="159"/>
  <c r="G2597" i="159"/>
  <c r="H2597" i="159"/>
  <c r="I2597" i="159"/>
  <c r="J2597" i="159"/>
  <c r="D2598" i="159"/>
  <c r="D2599" i="159" s="1"/>
  <c r="D2600" i="159" s="1"/>
  <c r="D2601" i="159" s="1"/>
  <c r="D2602" i="159" s="1"/>
  <c r="E2598" i="159"/>
  <c r="K2598" i="159"/>
  <c r="L2598" i="159"/>
  <c r="M2598" i="159"/>
  <c r="O2598" i="159"/>
  <c r="P2598" i="159" s="1"/>
  <c r="K2599" i="159"/>
  <c r="L2599" i="159"/>
  <c r="K2600" i="159"/>
  <c r="L2600" i="159"/>
  <c r="K2601" i="159"/>
  <c r="L2601" i="159"/>
  <c r="K2602" i="159"/>
  <c r="L2602" i="159"/>
  <c r="F2604" i="159"/>
  <c r="G2604" i="159"/>
  <c r="H2604" i="159"/>
  <c r="I2604" i="159"/>
  <c r="J2604" i="159"/>
  <c r="D2605" i="159"/>
  <c r="E2605" i="159"/>
  <c r="K2605" i="159"/>
  <c r="L2605" i="159"/>
  <c r="M2605" i="159"/>
  <c r="O2605" i="159"/>
  <c r="P2605" i="159"/>
  <c r="D2606" i="159"/>
  <c r="K2606" i="159"/>
  <c r="L2606" i="159"/>
  <c r="D2607" i="159"/>
  <c r="K2607" i="159"/>
  <c r="L2607" i="159"/>
  <c r="D2608" i="159"/>
  <c r="D2609" i="159" s="1"/>
  <c r="K2608" i="159"/>
  <c r="L2608" i="159"/>
  <c r="K2609" i="159"/>
  <c r="L2609" i="159"/>
  <c r="F2611" i="159"/>
  <c r="G2611" i="159"/>
  <c r="H2611" i="159"/>
  <c r="I2611" i="159"/>
  <c r="J2611" i="159"/>
  <c r="D2612" i="159"/>
  <c r="E2612" i="159"/>
  <c r="K2612" i="159"/>
  <c r="L2612" i="159"/>
  <c r="M2612" i="159"/>
  <c r="O2612" i="159"/>
  <c r="P2612" i="159"/>
  <c r="D2613" i="159"/>
  <c r="K2613" i="159"/>
  <c r="L2613" i="159"/>
  <c r="D2614" i="159"/>
  <c r="D2615" i="159" s="1"/>
  <c r="D2616" i="159" s="1"/>
  <c r="K2614" i="159"/>
  <c r="L2614" i="159"/>
  <c r="K2615" i="159"/>
  <c r="L2615" i="159"/>
  <c r="K2616" i="159"/>
  <c r="L2616" i="159"/>
  <c r="F2618" i="159"/>
  <c r="G2618" i="159"/>
  <c r="H2618" i="159"/>
  <c r="I2618" i="159"/>
  <c r="J2618" i="159"/>
  <c r="D2619" i="159"/>
  <c r="E2619" i="159"/>
  <c r="K2619" i="159"/>
  <c r="L2619" i="159"/>
  <c r="M2619" i="159"/>
  <c r="O2619" i="159"/>
  <c r="P2619" i="159"/>
  <c r="D2620" i="159"/>
  <c r="D2621" i="159" s="1"/>
  <c r="D2622" i="159" s="1"/>
  <c r="D2623" i="159" s="1"/>
  <c r="K2620" i="159"/>
  <c r="L2620" i="159"/>
  <c r="K2621" i="159"/>
  <c r="L2621" i="159"/>
  <c r="K2622" i="159"/>
  <c r="L2622" i="159"/>
  <c r="K2623" i="159"/>
  <c r="L2623" i="159"/>
  <c r="F2625" i="159"/>
  <c r="G2625" i="159"/>
  <c r="H2625" i="159"/>
  <c r="I2625" i="159"/>
  <c r="J2625" i="159"/>
  <c r="D2626" i="159"/>
  <c r="D2627" i="159" s="1"/>
  <c r="D2628" i="159" s="1"/>
  <c r="D2629" i="159" s="1"/>
  <c r="D2630" i="159" s="1"/>
  <c r="E2626" i="159"/>
  <c r="K2626" i="159"/>
  <c r="L2626" i="159"/>
  <c r="M2626" i="159"/>
  <c r="O2626" i="159"/>
  <c r="P2626" i="159" s="1"/>
  <c r="K2627" i="159"/>
  <c r="L2627" i="159"/>
  <c r="K2628" i="159"/>
  <c r="L2628" i="159"/>
  <c r="K2629" i="159"/>
  <c r="L2629" i="159"/>
  <c r="K2630" i="159"/>
  <c r="L2630" i="159"/>
  <c r="F2632" i="159"/>
  <c r="G2632" i="159"/>
  <c r="H2632" i="159"/>
  <c r="I2632" i="159"/>
  <c r="J2632" i="159"/>
  <c r="D2633" i="159"/>
  <c r="D2634" i="159" s="1"/>
  <c r="E2633" i="159"/>
  <c r="K2633" i="159"/>
  <c r="L2633" i="159"/>
  <c r="M2633" i="159"/>
  <c r="O2633" i="159"/>
  <c r="P2633" i="159" s="1"/>
  <c r="K2634" i="159"/>
  <c r="L2634" i="159"/>
  <c r="D2635" i="159"/>
  <c r="D2636" i="159" s="1"/>
  <c r="D2637" i="159" s="1"/>
  <c r="K2635" i="159"/>
  <c r="L2635" i="159"/>
  <c r="K2636" i="159"/>
  <c r="L2636" i="159"/>
  <c r="K2637" i="159"/>
  <c r="L2637" i="159"/>
  <c r="F2639" i="159"/>
  <c r="G2639" i="159"/>
  <c r="H2639" i="159"/>
  <c r="I2639" i="159"/>
  <c r="J2639" i="159"/>
  <c r="D2640" i="159"/>
  <c r="E2640" i="159"/>
  <c r="K2640" i="159"/>
  <c r="L2640" i="159"/>
  <c r="M2640" i="159"/>
  <c r="O2640" i="159"/>
  <c r="P2640" i="159"/>
  <c r="D2641" i="159"/>
  <c r="D2642" i="159" s="1"/>
  <c r="D2643" i="159" s="1"/>
  <c r="D2644" i="159" s="1"/>
  <c r="K2641" i="159"/>
  <c r="L2641" i="159"/>
  <c r="K2642" i="159"/>
  <c r="L2642" i="159"/>
  <c r="K2643" i="159"/>
  <c r="L2643" i="159"/>
  <c r="K2644" i="159"/>
  <c r="L2644" i="159"/>
  <c r="F2646" i="159"/>
  <c r="G2646" i="159"/>
  <c r="H2646" i="159"/>
  <c r="I2646" i="159"/>
  <c r="J2646" i="159"/>
  <c r="D2647" i="159"/>
  <c r="E2647" i="159"/>
  <c r="K2647" i="159"/>
  <c r="L2647" i="159"/>
  <c r="M2647" i="159"/>
  <c r="O2647" i="159"/>
  <c r="P2647" i="159"/>
  <c r="D2648" i="159"/>
  <c r="D2649" i="159" s="1"/>
  <c r="D2650" i="159" s="1"/>
  <c r="D2651" i="159" s="1"/>
  <c r="K2648" i="159"/>
  <c r="L2648" i="159"/>
  <c r="K2649" i="159"/>
  <c r="L2649" i="159"/>
  <c r="K2650" i="159"/>
  <c r="L2650" i="159"/>
  <c r="K2651" i="159"/>
  <c r="L2651" i="159"/>
  <c r="F2653" i="159"/>
  <c r="G2653" i="159"/>
  <c r="H2653" i="159"/>
  <c r="I2653" i="159"/>
  <c r="J2653" i="159"/>
  <c r="D2654" i="159"/>
  <c r="E2654" i="159"/>
  <c r="K2654" i="159"/>
  <c r="L2654" i="159"/>
  <c r="M2654" i="159"/>
  <c r="O2654" i="159"/>
  <c r="P2654" i="159"/>
  <c r="D2655" i="159"/>
  <c r="D2656" i="159" s="1"/>
  <c r="D2657" i="159" s="1"/>
  <c r="D2658" i="159" s="1"/>
  <c r="K2655" i="159"/>
  <c r="L2655" i="159"/>
  <c r="K2656" i="159"/>
  <c r="L2656" i="159"/>
  <c r="K2657" i="159"/>
  <c r="L2657" i="159"/>
  <c r="K2658" i="159"/>
  <c r="L2658" i="159"/>
  <c r="F2660" i="159"/>
  <c r="G2660" i="159"/>
  <c r="H2660" i="159"/>
  <c r="I2660" i="159"/>
  <c r="J2660" i="159"/>
  <c r="D2661" i="159"/>
  <c r="D2662" i="159" s="1"/>
  <c r="D2663" i="159" s="1"/>
  <c r="D2664" i="159" s="1"/>
  <c r="D2665" i="159" s="1"/>
  <c r="E2661" i="159"/>
  <c r="K2661" i="159"/>
  <c r="L2661" i="159"/>
  <c r="M2661" i="159"/>
  <c r="O2661" i="159"/>
  <c r="P2661" i="159" s="1"/>
  <c r="K2662" i="159"/>
  <c r="L2662" i="159"/>
  <c r="K2663" i="159"/>
  <c r="L2663" i="159"/>
  <c r="K2664" i="159"/>
  <c r="L2664" i="159"/>
  <c r="K2665" i="159"/>
  <c r="L2665" i="159"/>
  <c r="F2667" i="159"/>
  <c r="G2667" i="159"/>
  <c r="H2667" i="159"/>
  <c r="I2667" i="159"/>
  <c r="J2667" i="159"/>
  <c r="D2668" i="159"/>
  <c r="D2669" i="159" s="1"/>
  <c r="D2670" i="159" s="1"/>
  <c r="D2671" i="159" s="1"/>
  <c r="D2672" i="159" s="1"/>
  <c r="E2668" i="159"/>
  <c r="K2668" i="159"/>
  <c r="L2668" i="159"/>
  <c r="M2668" i="159"/>
  <c r="O2668" i="159"/>
  <c r="P2668" i="159" s="1"/>
  <c r="K2669" i="159"/>
  <c r="L2669" i="159"/>
  <c r="K2670" i="159"/>
  <c r="L2670" i="159"/>
  <c r="K2671" i="159"/>
  <c r="L2671" i="159"/>
  <c r="K2672" i="159"/>
  <c r="L2672" i="159"/>
  <c r="F2674" i="159"/>
  <c r="G2674" i="159"/>
  <c r="H2674" i="159"/>
  <c r="I2674" i="159"/>
  <c r="J2674" i="159"/>
  <c r="D2675" i="159"/>
  <c r="E2675" i="159"/>
  <c r="K2675" i="159"/>
  <c r="L2675" i="159"/>
  <c r="M2675" i="159"/>
  <c r="O2675" i="159"/>
  <c r="P2675" i="159"/>
  <c r="D2676" i="159"/>
  <c r="K2676" i="159"/>
  <c r="L2676" i="159"/>
  <c r="D2677" i="159"/>
  <c r="D2678" i="159" s="1"/>
  <c r="D2679" i="159" s="1"/>
  <c r="K2677" i="159"/>
  <c r="L2677" i="159"/>
  <c r="K2678" i="159"/>
  <c r="L2678" i="159"/>
  <c r="K2679" i="159"/>
  <c r="L2679" i="159"/>
  <c r="F2681" i="159"/>
  <c r="G2681" i="159"/>
  <c r="H2681" i="159"/>
  <c r="I2681" i="159"/>
  <c r="J2681" i="159"/>
  <c r="D2682" i="159"/>
  <c r="E2682" i="159"/>
  <c r="K2682" i="159"/>
  <c r="L2682" i="159"/>
  <c r="M2682" i="159"/>
  <c r="O2682" i="159"/>
  <c r="P2682" i="159"/>
  <c r="D2683" i="159"/>
  <c r="D2684" i="159" s="1"/>
  <c r="D2685" i="159" s="1"/>
  <c r="D2686" i="159" s="1"/>
  <c r="K2683" i="159"/>
  <c r="L2683" i="159"/>
  <c r="K2684" i="159"/>
  <c r="L2684" i="159"/>
  <c r="K2685" i="159"/>
  <c r="L2685" i="159"/>
  <c r="K2686" i="159"/>
  <c r="L2686" i="159"/>
  <c r="F2688" i="159"/>
  <c r="G2688" i="159"/>
  <c r="H2688" i="159"/>
  <c r="I2688" i="159"/>
  <c r="J2688" i="159"/>
  <c r="D2689" i="159"/>
  <c r="E2689" i="159"/>
  <c r="K2689" i="159"/>
  <c r="L2689" i="159"/>
  <c r="M2689" i="159"/>
  <c r="O2689" i="159"/>
  <c r="P2689" i="159"/>
  <c r="D2690" i="159"/>
  <c r="D2691" i="159" s="1"/>
  <c r="D2692" i="159" s="1"/>
  <c r="D2693" i="159" s="1"/>
  <c r="K2690" i="159"/>
  <c r="L2690" i="159"/>
  <c r="K2691" i="159"/>
  <c r="L2691" i="159"/>
  <c r="K2692" i="159"/>
  <c r="L2692" i="159"/>
  <c r="K2693" i="159"/>
  <c r="L2693" i="159"/>
  <c r="F2695" i="159"/>
  <c r="G2695" i="159"/>
  <c r="H2695" i="159"/>
  <c r="I2695" i="159"/>
  <c r="J2695" i="159"/>
  <c r="D2696" i="159"/>
  <c r="D2697" i="159" s="1"/>
  <c r="D2698" i="159" s="1"/>
  <c r="E2696" i="159"/>
  <c r="K2696" i="159"/>
  <c r="L2696" i="159"/>
  <c r="M2696" i="159"/>
  <c r="O2696" i="159"/>
  <c r="P2696" i="159" s="1"/>
  <c r="K2697" i="159"/>
  <c r="L2697" i="159"/>
  <c r="K2698" i="159"/>
  <c r="L2698" i="159"/>
  <c r="D2699" i="159"/>
  <c r="D2700" i="159" s="1"/>
  <c r="K2699" i="159"/>
  <c r="L2699" i="159"/>
  <c r="K2700" i="159"/>
  <c r="L2700" i="159"/>
  <c r="F2702" i="159"/>
  <c r="G2702" i="159"/>
  <c r="H2702" i="159"/>
  <c r="I2702" i="159"/>
  <c r="J2702" i="159"/>
  <c r="D2703" i="159"/>
  <c r="D2704" i="159" s="1"/>
  <c r="E2703" i="159"/>
  <c r="K2703" i="159"/>
  <c r="L2703" i="159"/>
  <c r="M2703" i="159"/>
  <c r="O2703" i="159"/>
  <c r="P2703" i="159" s="1"/>
  <c r="K2704" i="159"/>
  <c r="L2704" i="159"/>
  <c r="D2705" i="159"/>
  <c r="D2706" i="159" s="1"/>
  <c r="D2707" i="159" s="1"/>
  <c r="K2705" i="159"/>
  <c r="L2705" i="159"/>
  <c r="K2706" i="159"/>
  <c r="L2706" i="159"/>
  <c r="K2707" i="159"/>
  <c r="L2707" i="159"/>
  <c r="F2709" i="159"/>
  <c r="G2709" i="159"/>
  <c r="H2709" i="159"/>
  <c r="I2709" i="159"/>
  <c r="J2709" i="159"/>
  <c r="D2710" i="159"/>
  <c r="E2710" i="159"/>
  <c r="K2710" i="159"/>
  <c r="L2710" i="159"/>
  <c r="M2710" i="159"/>
  <c r="O2710" i="159"/>
  <c r="P2710" i="159"/>
  <c r="D2711" i="159"/>
  <c r="D2712" i="159" s="1"/>
  <c r="D2713" i="159" s="1"/>
  <c r="D2714" i="159" s="1"/>
  <c r="K2711" i="159"/>
  <c r="L2711" i="159"/>
  <c r="K2712" i="159"/>
  <c r="L2712" i="159"/>
  <c r="K2713" i="159"/>
  <c r="L2713" i="159"/>
  <c r="K2714" i="159"/>
  <c r="L2714" i="159"/>
  <c r="F2716" i="159"/>
  <c r="G2716" i="159"/>
  <c r="H2716" i="159"/>
  <c r="I2716" i="159"/>
  <c r="J2716" i="159"/>
  <c r="D2717" i="159"/>
  <c r="E2717" i="159"/>
  <c r="K2717" i="159"/>
  <c r="L2717" i="159"/>
  <c r="M2717" i="159"/>
  <c r="O2717" i="159"/>
  <c r="P2717" i="159"/>
  <c r="D2718" i="159"/>
  <c r="D2719" i="159" s="1"/>
  <c r="D2720" i="159" s="1"/>
  <c r="D2721" i="159" s="1"/>
  <c r="K2718" i="159"/>
  <c r="L2718" i="159"/>
  <c r="K2719" i="159"/>
  <c r="L2719" i="159"/>
  <c r="K2720" i="159"/>
  <c r="L2720" i="159"/>
  <c r="K2721" i="159"/>
  <c r="L2721" i="159"/>
  <c r="F2723" i="159"/>
  <c r="G2723" i="159"/>
  <c r="H2723" i="159"/>
  <c r="I2723" i="159"/>
  <c r="J2723" i="159"/>
  <c r="D2724" i="159"/>
  <c r="E2724" i="159"/>
  <c r="K2724" i="159"/>
  <c r="L2724" i="159"/>
  <c r="M2724" i="159"/>
  <c r="O2724" i="159"/>
  <c r="P2724" i="159" s="1"/>
  <c r="D2725" i="159"/>
  <c r="D2726" i="159" s="1"/>
  <c r="D2727" i="159" s="1"/>
  <c r="D2728" i="159" s="1"/>
  <c r="K2725" i="159"/>
  <c r="L2725" i="159"/>
  <c r="K2726" i="159"/>
  <c r="L2726" i="159"/>
  <c r="K2727" i="159"/>
  <c r="L2727" i="159"/>
  <c r="K2728" i="159"/>
  <c r="L2728" i="159"/>
  <c r="F2730" i="159"/>
  <c r="G2730" i="159"/>
  <c r="H2730" i="159"/>
  <c r="I2730" i="159"/>
  <c r="J2730" i="159"/>
  <c r="D2731" i="159"/>
  <c r="D2732" i="159" s="1"/>
  <c r="D2733" i="159" s="1"/>
  <c r="D2734" i="159" s="1"/>
  <c r="D2735" i="159" s="1"/>
  <c r="E2731" i="159"/>
  <c r="K2731" i="159"/>
  <c r="L2731" i="159"/>
  <c r="M2731" i="159"/>
  <c r="O2731" i="159"/>
  <c r="P2731" i="159" s="1"/>
  <c r="K2732" i="159"/>
  <c r="L2732" i="159"/>
  <c r="K2733" i="159"/>
  <c r="L2733" i="159"/>
  <c r="K2734" i="159"/>
  <c r="L2734" i="159"/>
  <c r="K2735" i="159"/>
  <c r="L2735" i="159"/>
  <c r="F2737" i="159"/>
  <c r="G2737" i="159"/>
  <c r="H2737" i="159"/>
  <c r="I2737" i="159"/>
  <c r="J2737" i="159"/>
  <c r="D2738" i="159"/>
  <c r="D2740" i="159" s="1"/>
  <c r="D2742" i="159" s="1"/>
  <c r="E2738" i="159"/>
  <c r="K2738" i="159"/>
  <c r="L2738" i="159"/>
  <c r="M2738" i="159"/>
  <c r="O2738" i="159"/>
  <c r="P2738" i="159" s="1"/>
  <c r="D2739" i="159"/>
  <c r="E2739" i="159"/>
  <c r="K2739" i="159"/>
  <c r="L2739" i="159"/>
  <c r="M2739" i="159"/>
  <c r="P2739" i="159"/>
  <c r="K2740" i="159"/>
  <c r="L2740" i="159"/>
  <c r="D2741" i="159"/>
  <c r="D2743" i="159" s="1"/>
  <c r="K2741" i="159"/>
  <c r="L2741" i="159"/>
  <c r="K2742" i="159"/>
  <c r="L2742" i="159"/>
  <c r="K2743" i="159"/>
  <c r="L2743" i="159"/>
  <c r="F2745" i="159"/>
  <c r="G2745" i="159"/>
  <c r="H2745" i="159"/>
  <c r="I2745" i="159"/>
  <c r="J2745" i="159"/>
  <c r="D2746" i="159"/>
  <c r="E2746" i="159"/>
  <c r="K2746" i="159"/>
  <c r="L2746" i="159"/>
  <c r="M2746" i="159"/>
  <c r="O2746" i="159"/>
  <c r="P2746" i="159"/>
  <c r="D2747" i="159"/>
  <c r="D2748" i="159" s="1"/>
  <c r="D2749" i="159" s="1"/>
  <c r="D2750" i="159" s="1"/>
  <c r="K2747" i="159"/>
  <c r="L2747" i="159"/>
  <c r="K2748" i="159"/>
  <c r="L2748" i="159"/>
  <c r="K2749" i="159"/>
  <c r="L2749" i="159"/>
  <c r="K2750" i="159"/>
  <c r="L2750" i="159"/>
  <c r="F2752" i="159"/>
  <c r="G2752" i="159"/>
  <c r="H2752" i="159"/>
  <c r="I2752" i="159"/>
  <c r="J2752" i="159"/>
  <c r="D2753" i="159"/>
  <c r="D2754" i="159" s="1"/>
  <c r="D2755" i="159" s="1"/>
  <c r="D2756" i="159" s="1"/>
  <c r="D2757" i="159" s="1"/>
  <c r="E2753" i="159"/>
  <c r="K2753" i="159"/>
  <c r="L2753" i="159"/>
  <c r="M2753" i="159"/>
  <c r="O2753" i="159"/>
  <c r="P2753" i="159" s="1"/>
  <c r="K2754" i="159"/>
  <c r="L2754" i="159"/>
  <c r="K2755" i="159"/>
  <c r="L2755" i="159"/>
  <c r="K2756" i="159"/>
  <c r="L2756" i="159"/>
  <c r="K2757" i="159"/>
  <c r="L2757" i="159"/>
  <c r="F2759" i="159"/>
  <c r="G2759" i="159"/>
  <c r="H2759" i="159"/>
  <c r="I2759" i="159"/>
  <c r="J2759" i="159"/>
  <c r="D2760" i="159"/>
  <c r="E2760" i="159"/>
  <c r="K2760" i="159"/>
  <c r="L2760" i="159"/>
  <c r="M2760" i="159"/>
  <c r="O2760" i="159"/>
  <c r="P2760" i="159" s="1"/>
  <c r="D2761" i="159"/>
  <c r="E2761" i="159"/>
  <c r="K2761" i="159"/>
  <c r="L2761" i="159"/>
  <c r="M2761" i="159"/>
  <c r="P2761" i="159"/>
  <c r="D2762" i="159"/>
  <c r="D2764" i="159" s="1"/>
  <c r="K2762" i="159"/>
  <c r="L2762" i="159"/>
  <c r="D2763" i="159"/>
  <c r="K2763" i="159"/>
  <c r="L2763" i="159"/>
  <c r="K2764" i="159"/>
  <c r="L2764" i="159"/>
  <c r="D2765" i="159"/>
  <c r="K2765" i="159"/>
  <c r="L2765" i="159"/>
  <c r="F2767" i="159"/>
  <c r="G2767" i="159"/>
  <c r="H2767" i="159"/>
  <c r="I2767" i="159"/>
  <c r="J2767" i="159"/>
  <c r="D2768" i="159"/>
  <c r="E2768" i="159"/>
  <c r="K2768" i="159"/>
  <c r="L2768" i="159"/>
  <c r="M2768" i="159"/>
  <c r="O2768" i="159"/>
  <c r="P2768" i="159" s="1"/>
  <c r="D2769" i="159"/>
  <c r="K2769" i="159"/>
  <c r="L2769" i="159"/>
  <c r="D2770" i="159"/>
  <c r="D2771" i="159" s="1"/>
  <c r="D2772" i="159" s="1"/>
  <c r="K2770" i="159"/>
  <c r="L2770" i="159"/>
  <c r="K2771" i="159"/>
  <c r="L2771" i="159"/>
  <c r="K2772" i="159"/>
  <c r="L2772" i="159"/>
  <c r="F2774" i="159"/>
  <c r="G2774" i="159"/>
  <c r="H2774" i="159"/>
  <c r="I2774" i="159"/>
  <c r="J2774" i="159"/>
  <c r="D2775" i="159"/>
  <c r="D2776" i="159" s="1"/>
  <c r="D2777" i="159" s="1"/>
  <c r="D2778" i="159" s="1"/>
  <c r="D2779" i="159" s="1"/>
  <c r="E2775" i="159"/>
  <c r="K2775" i="159"/>
  <c r="L2775" i="159"/>
  <c r="M2775" i="159"/>
  <c r="O2775" i="159"/>
  <c r="P2775" i="159"/>
  <c r="K2776" i="159"/>
  <c r="L2776" i="159"/>
  <c r="K2777" i="159"/>
  <c r="L2777" i="159"/>
  <c r="K2778" i="159"/>
  <c r="L2778" i="159"/>
  <c r="K2779" i="159"/>
  <c r="L2779" i="159"/>
  <c r="F2781" i="159"/>
  <c r="G2781" i="159"/>
  <c r="H2781" i="159"/>
  <c r="I2781" i="159"/>
  <c r="J2781" i="159"/>
  <c r="D2782" i="159"/>
  <c r="D2783" i="159" s="1"/>
  <c r="D2784" i="159" s="1"/>
  <c r="D2785" i="159" s="1"/>
  <c r="D2786" i="159" s="1"/>
  <c r="E2782" i="159"/>
  <c r="K2782" i="159"/>
  <c r="L2782" i="159"/>
  <c r="M2782" i="159"/>
  <c r="P2782" i="159"/>
  <c r="K2783" i="159"/>
  <c r="L2783" i="159"/>
  <c r="K2784" i="159"/>
  <c r="L2784" i="159"/>
  <c r="K2785" i="159"/>
  <c r="L2785" i="159"/>
  <c r="K2786" i="159"/>
  <c r="L2786" i="159"/>
  <c r="F2788" i="159"/>
  <c r="G2788" i="159"/>
  <c r="H2788" i="159"/>
  <c r="I2788" i="159"/>
  <c r="J2788" i="159"/>
  <c r="D2789" i="159"/>
  <c r="D2790" i="159" s="1"/>
  <c r="D2791" i="159" s="1"/>
  <c r="D2792" i="159" s="1"/>
  <c r="D2793" i="159" s="1"/>
  <c r="E2789" i="159"/>
  <c r="K2789" i="159"/>
  <c r="L2789" i="159"/>
  <c r="M2789" i="159"/>
  <c r="O2789" i="159"/>
  <c r="P2789" i="159" s="1"/>
  <c r="K2790" i="159"/>
  <c r="L2790" i="159"/>
  <c r="K2791" i="159"/>
  <c r="L2791" i="159"/>
  <c r="K2792" i="159"/>
  <c r="L2792" i="159"/>
  <c r="K2793" i="159"/>
  <c r="L2793" i="159"/>
  <c r="F2795" i="159"/>
  <c r="G2795" i="159"/>
  <c r="H2795" i="159"/>
  <c r="I2795" i="159"/>
  <c r="J2795" i="159"/>
  <c r="D2796" i="159"/>
  <c r="E2796" i="159"/>
  <c r="K2796" i="159"/>
  <c r="L2796" i="159"/>
  <c r="M2796" i="159"/>
  <c r="O2796" i="159"/>
  <c r="P2796" i="159"/>
  <c r="D2797" i="159"/>
  <c r="K2797" i="159"/>
  <c r="L2797" i="159"/>
  <c r="D2798" i="159"/>
  <c r="D2799" i="159" s="1"/>
  <c r="D2800" i="159" s="1"/>
  <c r="K2798" i="159"/>
  <c r="L2798" i="159"/>
  <c r="K2799" i="159"/>
  <c r="L2799" i="159"/>
  <c r="K2800" i="159"/>
  <c r="L2800" i="159"/>
  <c r="F2802" i="159"/>
  <c r="G2802" i="159"/>
  <c r="H2802" i="159"/>
  <c r="I2802" i="159"/>
  <c r="J2802" i="159"/>
  <c r="D2803" i="159"/>
  <c r="D2805" i="159" s="1"/>
  <c r="D2807" i="159" s="1"/>
  <c r="E2803" i="159"/>
  <c r="K2803" i="159"/>
  <c r="L2803" i="159"/>
  <c r="M2803" i="159"/>
  <c r="O2803" i="159"/>
  <c r="P2803" i="159" s="1"/>
  <c r="D2804" i="159"/>
  <c r="D2806" i="159" s="1"/>
  <c r="D2808" i="159" s="1"/>
  <c r="E2804" i="159"/>
  <c r="K2804" i="159"/>
  <c r="L2804" i="159"/>
  <c r="M2804" i="159"/>
  <c r="O2804" i="159"/>
  <c r="P2804" i="159"/>
  <c r="K2805" i="159"/>
  <c r="L2805" i="159"/>
  <c r="K2806" i="159"/>
  <c r="L2806" i="159"/>
  <c r="K2807" i="159"/>
  <c r="L2807" i="159"/>
  <c r="K2808" i="159"/>
  <c r="L2808" i="159"/>
  <c r="F2810" i="159"/>
  <c r="G2810" i="159"/>
  <c r="H2810" i="159"/>
  <c r="I2810" i="159"/>
  <c r="J2810" i="159"/>
  <c r="D2811" i="159"/>
  <c r="D2812" i="159" s="1"/>
  <c r="D2813" i="159" s="1"/>
  <c r="D2814" i="159" s="1"/>
  <c r="D2815" i="159" s="1"/>
  <c r="E2811" i="159"/>
  <c r="K2811" i="159"/>
  <c r="L2811" i="159"/>
  <c r="M2811" i="159"/>
  <c r="O2811" i="159"/>
  <c r="P2811" i="159" s="1"/>
  <c r="K2812" i="159"/>
  <c r="L2812" i="159"/>
  <c r="K2813" i="159"/>
  <c r="L2813" i="159"/>
  <c r="K2814" i="159"/>
  <c r="L2814" i="159"/>
  <c r="K2815" i="159"/>
  <c r="L2815" i="159"/>
  <c r="F2817" i="159"/>
  <c r="G2817" i="159"/>
  <c r="H2817" i="159"/>
  <c r="I2817" i="159"/>
  <c r="J2817" i="159"/>
  <c r="D2818" i="159"/>
  <c r="E2818" i="159"/>
  <c r="K2818" i="159"/>
  <c r="L2818" i="159"/>
  <c r="M2818" i="159"/>
  <c r="O2818" i="159"/>
  <c r="P2818" i="159" s="1"/>
  <c r="D2819" i="159"/>
  <c r="D2820" i="159" s="1"/>
  <c r="D2821" i="159" s="1"/>
  <c r="D2822" i="159" s="1"/>
  <c r="K2819" i="159"/>
  <c r="L2819" i="159"/>
  <c r="K2820" i="159"/>
  <c r="L2820" i="159"/>
  <c r="K2821" i="159"/>
  <c r="L2821" i="159"/>
  <c r="K2822" i="159"/>
  <c r="L2822" i="159"/>
  <c r="F2824" i="159"/>
  <c r="G2824" i="159"/>
  <c r="H2824" i="159"/>
  <c r="I2824" i="159"/>
  <c r="J2824" i="159"/>
  <c r="D2825" i="159"/>
  <c r="E2825" i="159"/>
  <c r="K2825" i="159"/>
  <c r="L2825" i="159"/>
  <c r="M2825" i="159"/>
  <c r="O2825" i="159"/>
  <c r="P2825" i="159" s="1"/>
  <c r="D2826" i="159"/>
  <c r="D2827" i="159" s="1"/>
  <c r="D2828" i="159" s="1"/>
  <c r="D2829" i="159" s="1"/>
  <c r="K2826" i="159"/>
  <c r="L2826" i="159"/>
  <c r="K2827" i="159"/>
  <c r="L2827" i="159"/>
  <c r="K2828" i="159"/>
  <c r="L2828" i="159"/>
  <c r="K2829" i="159"/>
  <c r="L2829" i="159"/>
  <c r="F2831" i="159"/>
  <c r="G2831" i="159"/>
  <c r="H2831" i="159"/>
  <c r="I2831" i="159"/>
  <c r="J2831" i="159"/>
  <c r="D2832" i="159"/>
  <c r="D2833" i="159" s="1"/>
  <c r="D2834" i="159" s="1"/>
  <c r="D2835" i="159" s="1"/>
  <c r="D2836" i="159" s="1"/>
  <c r="E2832" i="159"/>
  <c r="K2832" i="159"/>
  <c r="L2832" i="159"/>
  <c r="M2832" i="159"/>
  <c r="O2832" i="159"/>
  <c r="P2832" i="159" s="1"/>
  <c r="K2833" i="159"/>
  <c r="L2833" i="159"/>
  <c r="K2834" i="159"/>
  <c r="L2834" i="159"/>
  <c r="K2835" i="159"/>
  <c r="L2835" i="159"/>
  <c r="K2836" i="159"/>
  <c r="L2836" i="159"/>
  <c r="F2838" i="159"/>
  <c r="G2838" i="159"/>
  <c r="H2838" i="159"/>
  <c r="I2838" i="159"/>
  <c r="J2838" i="159"/>
  <c r="D2839" i="159"/>
  <c r="D2840" i="159" s="1"/>
  <c r="D2841" i="159" s="1"/>
  <c r="D2842" i="159" s="1"/>
  <c r="E2839" i="159"/>
  <c r="K2839" i="159"/>
  <c r="L2839" i="159"/>
  <c r="M2839" i="159"/>
  <c r="O2839" i="159"/>
  <c r="P2839" i="159"/>
  <c r="K2840" i="159"/>
  <c r="L2840" i="159"/>
  <c r="K2841" i="159"/>
  <c r="L2841" i="159"/>
  <c r="K2842" i="159"/>
  <c r="L2842" i="159"/>
  <c r="D2843" i="159"/>
  <c r="K2843" i="159"/>
  <c r="L2843" i="159"/>
  <c r="F2845" i="159"/>
  <c r="G2845" i="159"/>
  <c r="H2845" i="159"/>
  <c r="I2845" i="159"/>
  <c r="J2845" i="159"/>
  <c r="D2846" i="159"/>
  <c r="D2847" i="159" s="1"/>
  <c r="D2848" i="159" s="1"/>
  <c r="E2846" i="159"/>
  <c r="K2846" i="159"/>
  <c r="L2846" i="159"/>
  <c r="M2846" i="159"/>
  <c r="O2846" i="159"/>
  <c r="P2846" i="159" s="1"/>
  <c r="K2847" i="159"/>
  <c r="L2847" i="159"/>
  <c r="K2848" i="159"/>
  <c r="L2848" i="159"/>
  <c r="D2849" i="159"/>
  <c r="K2849" i="159"/>
  <c r="L2849" i="159"/>
  <c r="D2850" i="159"/>
  <c r="K2850" i="159"/>
  <c r="L2850" i="159"/>
  <c r="F2852" i="159"/>
  <c r="G2852" i="159"/>
  <c r="H2852" i="159"/>
  <c r="I2852" i="159"/>
  <c r="J2852" i="159"/>
  <c r="D2853" i="159"/>
  <c r="E2853" i="159"/>
  <c r="K2853" i="159"/>
  <c r="L2853" i="159"/>
  <c r="M2853" i="159"/>
  <c r="P2853" i="159"/>
  <c r="D2854" i="159"/>
  <c r="K2854" i="159"/>
  <c r="L2854" i="159"/>
  <c r="D2855" i="159"/>
  <c r="K2855" i="159"/>
  <c r="L2855" i="159"/>
  <c r="D2856" i="159"/>
  <c r="K2856" i="159"/>
  <c r="L2856" i="159"/>
  <c r="D2857" i="159"/>
  <c r="K2857" i="159"/>
  <c r="L2857" i="159"/>
  <c r="F2859" i="159"/>
  <c r="G2859" i="159"/>
  <c r="H2859" i="159"/>
  <c r="I2859" i="159"/>
  <c r="J2859" i="159"/>
  <c r="D2860" i="159"/>
  <c r="E2860" i="159"/>
  <c r="K2860" i="159"/>
  <c r="L2860" i="159"/>
  <c r="M2860" i="159"/>
  <c r="O2860" i="159"/>
  <c r="P2860" i="159" s="1"/>
  <c r="D2861" i="159"/>
  <c r="D2862" i="159" s="1"/>
  <c r="D2863" i="159" s="1"/>
  <c r="D2864" i="159" s="1"/>
  <c r="K2861" i="159"/>
  <c r="L2861" i="159"/>
  <c r="K2862" i="159"/>
  <c r="L2862" i="159"/>
  <c r="K2863" i="159"/>
  <c r="L2863" i="159"/>
  <c r="K2864" i="159"/>
  <c r="L2864" i="159"/>
  <c r="F2866" i="159"/>
  <c r="G2866" i="159"/>
  <c r="H2866" i="159"/>
  <c r="I2866" i="159"/>
  <c r="J2866" i="159"/>
  <c r="D2867" i="159"/>
  <c r="D2868" i="159" s="1"/>
  <c r="D2869" i="159" s="1"/>
  <c r="D2870" i="159" s="1"/>
  <c r="D2871" i="159" s="1"/>
  <c r="E2867" i="159"/>
  <c r="K2867" i="159"/>
  <c r="L2867" i="159"/>
  <c r="M2867" i="159"/>
  <c r="O2867" i="159"/>
  <c r="P2867" i="159"/>
  <c r="K2868" i="159"/>
  <c r="L2868" i="159"/>
  <c r="K2869" i="159"/>
  <c r="L2869" i="159"/>
  <c r="K2870" i="159"/>
  <c r="L2870" i="159"/>
  <c r="K2871" i="159"/>
  <c r="L2871" i="159"/>
  <c r="F2873" i="159"/>
  <c r="G2873" i="159"/>
  <c r="H2873" i="159"/>
  <c r="I2873" i="159"/>
  <c r="J2873" i="159"/>
  <c r="D2874" i="159"/>
  <c r="E2874" i="159"/>
  <c r="K2874" i="159"/>
  <c r="L2874" i="159"/>
  <c r="M2874" i="159"/>
  <c r="O2874" i="159"/>
  <c r="P2874" i="159"/>
  <c r="D2875" i="159"/>
  <c r="D2876" i="159" s="1"/>
  <c r="D2877" i="159" s="1"/>
  <c r="D2878" i="159" s="1"/>
  <c r="K2875" i="159"/>
  <c r="L2875" i="159"/>
  <c r="K2876" i="159"/>
  <c r="L2876" i="159"/>
  <c r="K2877" i="159"/>
  <c r="L2877" i="159"/>
  <c r="K2878" i="159"/>
  <c r="L2878" i="159"/>
  <c r="F2880" i="159"/>
  <c r="G2880" i="159"/>
  <c r="H2880" i="159"/>
  <c r="I2880" i="159"/>
  <c r="J2880" i="159"/>
  <c r="D2881" i="159"/>
  <c r="D2882" i="159" s="1"/>
  <c r="D2883" i="159" s="1"/>
  <c r="D2884" i="159" s="1"/>
  <c r="D2885" i="159" s="1"/>
  <c r="E2881" i="159"/>
  <c r="K2881" i="159"/>
  <c r="L2881" i="159"/>
  <c r="M2881" i="159"/>
  <c r="O2881" i="159"/>
  <c r="P2881" i="159"/>
  <c r="K2882" i="159"/>
  <c r="L2882" i="159"/>
  <c r="K2883" i="159"/>
  <c r="L2883" i="159"/>
  <c r="K2884" i="159"/>
  <c r="L2884" i="159"/>
  <c r="K2885" i="159"/>
  <c r="L2885" i="159"/>
  <c r="F2887" i="159"/>
  <c r="G2887" i="159"/>
  <c r="H2887" i="159"/>
  <c r="I2887" i="159"/>
  <c r="J2887" i="159"/>
  <c r="D2888" i="159"/>
  <c r="E2888" i="159"/>
  <c r="K2888" i="159"/>
  <c r="L2888" i="159"/>
  <c r="M2888" i="159"/>
  <c r="N2888" i="159"/>
  <c r="P2888" i="159"/>
  <c r="D2889" i="159"/>
  <c r="K2889" i="159"/>
  <c r="L2889" i="159"/>
  <c r="D2890" i="159"/>
  <c r="D2891" i="159" s="1"/>
  <c r="D2892" i="159" s="1"/>
  <c r="K2890" i="159"/>
  <c r="L2890" i="159"/>
  <c r="K2891" i="159"/>
  <c r="L2891" i="159"/>
  <c r="K2892" i="159"/>
  <c r="L2892" i="159"/>
  <c r="F2894" i="159"/>
  <c r="G2894" i="159"/>
  <c r="H2894" i="159"/>
  <c r="I2894" i="159"/>
  <c r="J2894" i="159"/>
  <c r="D2895" i="159"/>
  <c r="E2895" i="159"/>
  <c r="K2895" i="159"/>
  <c r="L2895" i="159"/>
  <c r="M2895" i="159"/>
  <c r="N2895" i="159"/>
  <c r="P2895" i="159"/>
  <c r="D2896" i="159"/>
  <c r="D2897" i="159" s="1"/>
  <c r="D2898" i="159" s="1"/>
  <c r="D2899" i="159" s="1"/>
  <c r="K2896" i="159"/>
  <c r="L2896" i="159"/>
  <c r="K2897" i="159"/>
  <c r="L2897" i="159"/>
  <c r="K2898" i="159"/>
  <c r="L2898" i="159"/>
  <c r="K2899" i="159"/>
  <c r="L2899" i="159"/>
  <c r="F2901" i="159"/>
  <c r="G2901" i="159"/>
  <c r="H2901" i="159"/>
  <c r="I2901" i="159"/>
  <c r="J2901" i="159"/>
  <c r="D2902" i="159"/>
  <c r="E2902" i="159"/>
  <c r="K2902" i="159"/>
  <c r="L2902" i="159"/>
  <c r="M2902" i="159"/>
  <c r="N2902" i="159"/>
  <c r="P2902" i="159"/>
  <c r="D2903" i="159"/>
  <c r="D2904" i="159" s="1"/>
  <c r="D2905" i="159" s="1"/>
  <c r="D2906" i="159" s="1"/>
  <c r="K2903" i="159"/>
  <c r="L2903" i="159"/>
  <c r="K2904" i="159"/>
  <c r="L2904" i="159"/>
  <c r="K2905" i="159"/>
  <c r="L2905" i="159"/>
  <c r="K2906" i="159"/>
  <c r="L2906" i="159"/>
  <c r="F2908" i="159"/>
  <c r="G2908" i="159"/>
  <c r="H2908" i="159"/>
  <c r="I2908" i="159"/>
  <c r="J2908" i="159"/>
  <c r="D2909" i="159"/>
  <c r="E2909" i="159"/>
  <c r="K2909" i="159"/>
  <c r="L2909" i="159"/>
  <c r="M2909" i="159"/>
  <c r="N2909" i="159"/>
  <c r="P2909" i="159"/>
  <c r="D2910" i="159"/>
  <c r="D2911" i="159" s="1"/>
  <c r="D2912" i="159" s="1"/>
  <c r="K2910" i="159"/>
  <c r="L2910" i="159"/>
  <c r="K2911" i="159"/>
  <c r="L2911" i="159"/>
  <c r="K2912" i="159"/>
  <c r="L2912" i="159"/>
  <c r="D2913" i="159"/>
  <c r="K2913" i="159"/>
  <c r="L2913" i="159"/>
  <c r="F2915" i="159"/>
  <c r="G2915" i="159"/>
  <c r="H2915" i="159"/>
  <c r="I2915" i="159"/>
  <c r="J2915" i="159"/>
  <c r="D2916" i="159"/>
  <c r="D2917" i="159" s="1"/>
  <c r="D2918" i="159" s="1"/>
  <c r="D2919" i="159" s="1"/>
  <c r="D2920" i="159" s="1"/>
  <c r="E2916" i="159"/>
  <c r="K2916" i="159"/>
  <c r="L2916" i="159"/>
  <c r="M2916" i="159"/>
  <c r="O2916" i="159"/>
  <c r="P2916" i="159"/>
  <c r="K2917" i="159"/>
  <c r="L2917" i="159"/>
  <c r="K2918" i="159"/>
  <c r="L2918" i="159"/>
  <c r="K2919" i="159"/>
  <c r="L2919" i="159"/>
  <c r="K2920" i="159"/>
  <c r="L2920" i="159"/>
  <c r="F2922" i="159"/>
  <c r="G2922" i="159"/>
  <c r="H2922" i="159"/>
  <c r="I2922" i="159"/>
  <c r="J2922" i="159"/>
  <c r="D2923" i="159"/>
  <c r="D2924" i="159" s="1"/>
  <c r="D2925" i="159" s="1"/>
  <c r="D2926" i="159" s="1"/>
  <c r="D2927" i="159" s="1"/>
  <c r="E2923" i="159"/>
  <c r="K2923" i="159"/>
  <c r="L2923" i="159"/>
  <c r="M2923" i="159"/>
  <c r="O2923" i="159"/>
  <c r="P2923" i="159"/>
  <c r="K2924" i="159"/>
  <c r="L2924" i="159"/>
  <c r="K2925" i="159"/>
  <c r="L2925" i="159"/>
  <c r="K2926" i="159"/>
  <c r="L2926" i="159"/>
  <c r="K2927" i="159"/>
  <c r="L2927" i="159"/>
  <c r="F2929" i="159"/>
  <c r="G2929" i="159"/>
  <c r="H2929" i="159"/>
  <c r="I2929" i="159"/>
  <c r="J2929" i="159"/>
  <c r="D2930" i="159"/>
  <c r="E2930" i="159"/>
  <c r="K2930" i="159"/>
  <c r="L2930" i="159"/>
  <c r="M2930" i="159"/>
  <c r="N2930" i="159"/>
  <c r="O2930" i="159"/>
  <c r="P2930" i="159"/>
  <c r="D2931" i="159"/>
  <c r="D2932" i="159" s="1"/>
  <c r="D2933" i="159" s="1"/>
  <c r="D2934" i="159" s="1"/>
  <c r="K2931" i="159"/>
  <c r="L2931" i="159"/>
  <c r="K2932" i="159"/>
  <c r="L2932" i="159"/>
  <c r="K2933" i="159"/>
  <c r="L2933" i="159"/>
  <c r="K2934" i="159"/>
  <c r="L2934" i="159"/>
  <c r="F2936" i="159"/>
  <c r="G2936" i="159"/>
  <c r="H2936" i="159"/>
  <c r="I2936" i="159"/>
  <c r="J2936" i="159"/>
  <c r="D2937" i="159"/>
  <c r="D2938" i="159" s="1"/>
  <c r="D2939" i="159" s="1"/>
  <c r="D2940" i="159" s="1"/>
  <c r="D2941" i="159" s="1"/>
  <c r="E2937" i="159"/>
  <c r="K2937" i="159"/>
  <c r="L2937" i="159"/>
  <c r="M2937" i="159"/>
  <c r="O2937" i="159"/>
  <c r="P2937" i="159" s="1"/>
  <c r="K2938" i="159"/>
  <c r="L2938" i="159"/>
  <c r="K2939" i="159"/>
  <c r="L2939" i="159"/>
  <c r="K2940" i="159"/>
  <c r="L2940" i="159"/>
  <c r="K2941" i="159"/>
  <c r="L2941" i="159"/>
  <c r="F2943" i="159"/>
  <c r="G2943" i="159"/>
  <c r="H2943" i="159"/>
  <c r="I2943" i="159"/>
  <c r="J2943" i="159"/>
  <c r="D2944" i="159"/>
  <c r="D2945" i="159" s="1"/>
  <c r="D2946" i="159" s="1"/>
  <c r="D2947" i="159" s="1"/>
  <c r="D2948" i="159" s="1"/>
  <c r="E2944" i="159"/>
  <c r="K2944" i="159"/>
  <c r="L2944" i="159"/>
  <c r="M2944" i="159"/>
  <c r="O2944" i="159"/>
  <c r="P2944" i="159"/>
  <c r="K2945" i="159"/>
  <c r="L2945" i="159"/>
  <c r="K2946" i="159"/>
  <c r="L2946" i="159"/>
  <c r="K2947" i="159"/>
  <c r="L2947" i="159"/>
  <c r="K2948" i="159"/>
  <c r="L2948" i="159"/>
  <c r="F2950" i="159"/>
  <c r="G2950" i="159"/>
  <c r="H2950" i="159"/>
  <c r="I2950" i="159"/>
  <c r="J2950" i="159"/>
  <c r="D2951" i="159"/>
  <c r="D2952" i="159" s="1"/>
  <c r="D2953" i="159" s="1"/>
  <c r="D2954" i="159" s="1"/>
  <c r="D2955" i="159" s="1"/>
  <c r="E2951" i="159"/>
  <c r="K2951" i="159"/>
  <c r="L2951" i="159"/>
  <c r="M2951" i="159"/>
  <c r="P2951" i="159"/>
  <c r="K2952" i="159"/>
  <c r="L2952" i="159"/>
  <c r="K2953" i="159"/>
  <c r="L2953" i="159"/>
  <c r="K2954" i="159"/>
  <c r="L2954" i="159"/>
  <c r="K2955" i="159"/>
  <c r="L2955" i="159"/>
  <c r="F2957" i="159"/>
  <c r="G2957" i="159"/>
  <c r="H2957" i="159"/>
  <c r="I2957" i="159"/>
  <c r="J2957" i="159"/>
  <c r="D2958" i="159"/>
  <c r="D2959" i="159" s="1"/>
  <c r="D2960" i="159" s="1"/>
  <c r="D2961" i="159" s="1"/>
  <c r="D2962" i="159" s="1"/>
  <c r="E2958" i="159"/>
  <c r="K2958" i="159"/>
  <c r="L2958" i="159"/>
  <c r="M2958" i="159"/>
  <c r="O2958" i="159"/>
  <c r="P2958" i="159"/>
  <c r="K2959" i="159"/>
  <c r="L2959" i="159"/>
  <c r="K2960" i="159"/>
  <c r="L2960" i="159"/>
  <c r="K2961" i="159"/>
  <c r="L2961" i="159"/>
  <c r="K2962" i="159"/>
  <c r="L2962" i="159"/>
  <c r="F2964" i="159"/>
  <c r="G2964" i="159"/>
  <c r="H2964" i="159"/>
  <c r="I2964" i="159"/>
  <c r="J2964" i="159"/>
  <c r="D2965" i="159"/>
  <c r="E2965" i="159"/>
  <c r="K2965" i="159"/>
  <c r="L2965" i="159"/>
  <c r="M2965" i="159"/>
  <c r="O2965" i="159"/>
  <c r="P2965" i="159" s="1"/>
  <c r="D2966" i="159"/>
  <c r="D2967" i="159" s="1"/>
  <c r="D2968" i="159" s="1"/>
  <c r="D2969" i="159" s="1"/>
  <c r="K2966" i="159"/>
  <c r="L2966" i="159"/>
  <c r="K2967" i="159"/>
  <c r="L2967" i="159"/>
  <c r="K2968" i="159"/>
  <c r="L2968" i="159"/>
  <c r="K2969" i="159"/>
  <c r="L2969" i="159"/>
  <c r="F2971" i="159"/>
  <c r="G2971" i="159"/>
  <c r="H2971" i="159"/>
  <c r="I2971" i="159"/>
  <c r="J2971" i="159"/>
  <c r="D2972" i="159"/>
  <c r="E2972" i="159"/>
  <c r="K2972" i="159"/>
  <c r="L2972" i="159"/>
  <c r="M2972" i="159"/>
  <c r="O2972" i="159"/>
  <c r="P2972" i="159" s="1"/>
  <c r="D2973" i="159"/>
  <c r="K2973" i="159"/>
  <c r="L2973" i="159"/>
  <c r="D2974" i="159"/>
  <c r="D2975" i="159" s="1"/>
  <c r="D2976" i="159" s="1"/>
  <c r="K2974" i="159"/>
  <c r="L2974" i="159"/>
  <c r="K2975" i="159"/>
  <c r="L2975" i="159"/>
  <c r="K2976" i="159"/>
  <c r="L2976" i="159"/>
  <c r="F2978" i="159"/>
  <c r="G2978" i="159"/>
  <c r="H2978" i="159"/>
  <c r="I2978" i="159"/>
  <c r="J2978" i="159"/>
  <c r="D2979" i="159"/>
  <c r="D2980" i="159" s="1"/>
  <c r="D2981" i="159" s="1"/>
  <c r="D2982" i="159" s="1"/>
  <c r="D2983" i="159" s="1"/>
  <c r="E2979" i="159"/>
  <c r="K2979" i="159"/>
  <c r="L2979" i="159"/>
  <c r="M2979" i="159"/>
  <c r="P2979" i="159"/>
  <c r="K2980" i="159"/>
  <c r="L2980" i="159"/>
  <c r="K2981" i="159"/>
  <c r="L2981" i="159"/>
  <c r="K2982" i="159"/>
  <c r="L2982" i="159"/>
  <c r="K2983" i="159"/>
  <c r="L2983" i="159"/>
  <c r="F2985" i="159"/>
  <c r="G2985" i="159"/>
  <c r="H2985" i="159"/>
  <c r="I2985" i="159"/>
  <c r="J2985" i="159"/>
  <c r="D2986" i="159"/>
  <c r="D2987" i="159" s="1"/>
  <c r="D2988" i="159" s="1"/>
  <c r="E2986" i="159"/>
  <c r="K2986" i="159"/>
  <c r="L2986" i="159"/>
  <c r="M2986" i="159"/>
  <c r="O2986" i="159"/>
  <c r="P2986" i="159" s="1"/>
  <c r="K2987" i="159"/>
  <c r="L2987" i="159"/>
  <c r="K2988" i="159"/>
  <c r="L2988" i="159"/>
  <c r="D2989" i="159"/>
  <c r="K2989" i="159"/>
  <c r="L2989" i="159"/>
  <c r="D2990" i="159"/>
  <c r="K2990" i="159"/>
  <c r="L2990" i="159"/>
  <c r="F2992" i="159"/>
  <c r="G2992" i="159"/>
  <c r="H2992" i="159"/>
  <c r="I2992" i="159"/>
  <c r="J2992" i="159"/>
  <c r="D2993" i="159"/>
  <c r="D2994" i="159" s="1"/>
  <c r="E2993" i="159"/>
  <c r="K2993" i="159"/>
  <c r="L2993" i="159"/>
  <c r="M2993" i="159"/>
  <c r="O2993" i="159"/>
  <c r="P2993" i="159" s="1"/>
  <c r="K2994" i="159"/>
  <c r="L2994" i="159"/>
  <c r="D2995" i="159"/>
  <c r="K2995" i="159"/>
  <c r="L2995" i="159"/>
  <c r="D2996" i="159"/>
  <c r="D2997" i="159" s="1"/>
  <c r="K2996" i="159"/>
  <c r="L2996" i="159"/>
  <c r="K2997" i="159"/>
  <c r="L2997" i="159"/>
  <c r="F2999" i="159"/>
  <c r="G2999" i="159"/>
  <c r="H2999" i="159"/>
  <c r="I2999" i="159"/>
  <c r="J2999" i="159"/>
  <c r="D3000" i="159"/>
  <c r="E3000" i="159"/>
  <c r="K3000" i="159"/>
  <c r="L3000" i="159"/>
  <c r="M3000" i="159"/>
  <c r="O3000" i="159"/>
  <c r="P3000" i="159" s="1"/>
  <c r="D3001" i="159"/>
  <c r="K3001" i="159"/>
  <c r="L3001" i="159"/>
  <c r="D3002" i="159"/>
  <c r="D3003" i="159" s="1"/>
  <c r="D3004" i="159" s="1"/>
  <c r="K3002" i="159"/>
  <c r="L3002" i="159"/>
  <c r="K3003" i="159"/>
  <c r="L3003" i="159"/>
  <c r="K3004" i="159"/>
  <c r="L3004" i="159"/>
  <c r="F3006" i="159"/>
  <c r="G3006" i="159"/>
  <c r="H3006" i="159"/>
  <c r="I3006" i="159"/>
  <c r="J3006" i="159"/>
  <c r="D3007" i="159"/>
  <c r="E3007" i="159"/>
  <c r="K3007" i="159"/>
  <c r="L3007" i="159"/>
  <c r="M3007" i="159"/>
  <c r="O3007" i="159"/>
  <c r="P3007" i="159"/>
  <c r="D3008" i="159"/>
  <c r="K3008" i="159"/>
  <c r="L3008" i="159"/>
  <c r="D3009" i="159"/>
  <c r="D3010" i="159" s="1"/>
  <c r="D3011" i="159" s="1"/>
  <c r="K3009" i="159"/>
  <c r="L3009" i="159"/>
  <c r="K3010" i="159"/>
  <c r="L3010" i="159"/>
  <c r="K3011" i="159"/>
  <c r="L3011" i="159"/>
  <c r="F3013" i="159"/>
  <c r="G3013" i="159"/>
  <c r="H3013" i="159"/>
  <c r="I3013" i="159"/>
  <c r="J3013" i="159"/>
  <c r="D3014" i="159"/>
  <c r="D3015" i="159" s="1"/>
  <c r="D3016" i="159" s="1"/>
  <c r="D3017" i="159" s="1"/>
  <c r="D3018" i="159" s="1"/>
  <c r="E3014" i="159"/>
  <c r="K3014" i="159"/>
  <c r="L3014" i="159"/>
  <c r="M3014" i="159"/>
  <c r="O3014" i="159"/>
  <c r="P3014" i="159"/>
  <c r="K3015" i="159"/>
  <c r="L3015" i="159"/>
  <c r="K3016" i="159"/>
  <c r="L3016" i="159"/>
  <c r="K3017" i="159"/>
  <c r="L3017" i="159"/>
  <c r="K3018" i="159"/>
  <c r="L3018" i="159"/>
  <c r="F3020" i="159"/>
  <c r="G3020" i="159"/>
  <c r="H3020" i="159"/>
  <c r="I3020" i="159"/>
  <c r="J3020" i="159"/>
  <c r="D3021" i="159"/>
  <c r="D3022" i="159" s="1"/>
  <c r="D3023" i="159" s="1"/>
  <c r="D3024" i="159" s="1"/>
  <c r="D3025" i="159" s="1"/>
  <c r="E3021" i="159"/>
  <c r="K3021" i="159"/>
  <c r="L3021" i="159"/>
  <c r="M3021" i="159"/>
  <c r="O3021" i="159"/>
  <c r="P3021" i="159" s="1"/>
  <c r="K3022" i="159"/>
  <c r="L3022" i="159"/>
  <c r="K3023" i="159"/>
  <c r="L3023" i="159"/>
  <c r="K3024" i="159"/>
  <c r="L3024" i="159"/>
  <c r="K3025" i="159"/>
  <c r="L3025" i="159"/>
  <c r="F3027" i="159"/>
  <c r="G3027" i="159"/>
  <c r="H3027" i="159"/>
  <c r="I3027" i="159"/>
  <c r="J3027" i="159"/>
  <c r="D3028" i="159"/>
  <c r="D3029" i="159" s="1"/>
  <c r="D3030" i="159" s="1"/>
  <c r="D3031" i="159" s="1"/>
  <c r="D3032" i="159" s="1"/>
  <c r="E3028" i="159"/>
  <c r="K3028" i="159"/>
  <c r="L3028" i="159"/>
  <c r="M3028" i="159"/>
  <c r="O3028" i="159"/>
  <c r="P3028" i="159" s="1"/>
  <c r="K3029" i="159"/>
  <c r="L3029" i="159"/>
  <c r="K3030" i="159"/>
  <c r="L3030" i="159"/>
  <c r="K3031" i="159"/>
  <c r="L3031" i="159"/>
  <c r="K3032" i="159"/>
  <c r="L3032" i="159"/>
  <c r="F3034" i="159"/>
  <c r="G3034" i="159"/>
  <c r="H3034" i="159"/>
  <c r="I3034" i="159"/>
  <c r="J3034" i="159"/>
  <c r="D3035" i="159"/>
  <c r="E3035" i="159"/>
  <c r="K3035" i="159"/>
  <c r="L3035" i="159"/>
  <c r="M3035" i="159"/>
  <c r="O3035" i="159"/>
  <c r="P3035" i="159" s="1"/>
  <c r="D3036" i="159"/>
  <c r="D3037" i="159" s="1"/>
  <c r="D3038" i="159" s="1"/>
  <c r="D3039" i="159" s="1"/>
  <c r="K3036" i="159"/>
  <c r="L3036" i="159"/>
  <c r="K3037" i="159"/>
  <c r="L3037" i="159"/>
  <c r="K3038" i="159"/>
  <c r="L3038" i="159"/>
  <c r="K3039" i="159"/>
  <c r="L3039" i="159"/>
  <c r="F3041" i="159"/>
  <c r="G3041" i="159"/>
  <c r="H3041" i="159"/>
  <c r="I3041" i="159"/>
  <c r="J3041" i="159"/>
  <c r="D3042" i="159"/>
  <c r="E3042" i="159"/>
  <c r="K3042" i="159"/>
  <c r="L3042" i="159"/>
  <c r="M3042" i="159"/>
  <c r="N3042" i="159"/>
  <c r="O3042" i="159"/>
  <c r="P3042" i="159" s="1"/>
  <c r="D3043" i="159"/>
  <c r="K3043" i="159"/>
  <c r="L3043" i="159"/>
  <c r="D3044" i="159"/>
  <c r="D3045" i="159" s="1"/>
  <c r="D3046" i="159" s="1"/>
  <c r="K3044" i="159"/>
  <c r="L3044" i="159"/>
  <c r="K3045" i="159"/>
  <c r="L3045" i="159"/>
  <c r="K3046" i="159"/>
  <c r="L3046" i="159"/>
  <c r="F3048" i="159"/>
  <c r="G3048" i="159"/>
  <c r="H3048" i="159"/>
  <c r="I3048" i="159"/>
  <c r="J3048" i="159"/>
  <c r="D3049" i="159"/>
  <c r="D3050" i="159" s="1"/>
  <c r="D3051" i="159" s="1"/>
  <c r="D3052" i="159" s="1"/>
  <c r="D3053" i="159" s="1"/>
  <c r="E3049" i="159"/>
  <c r="K3049" i="159"/>
  <c r="L3049" i="159"/>
  <c r="M3049" i="159"/>
  <c r="N3049" i="159"/>
  <c r="O3049" i="159"/>
  <c r="P3049" i="159"/>
  <c r="K3050" i="159"/>
  <c r="L3050" i="159"/>
  <c r="K3051" i="159"/>
  <c r="L3051" i="159"/>
  <c r="K3052" i="159"/>
  <c r="L3052" i="159"/>
  <c r="K3053" i="159"/>
  <c r="L3053" i="159"/>
  <c r="F3055" i="159"/>
  <c r="G3055" i="159"/>
  <c r="H3055" i="159"/>
  <c r="I3055" i="159"/>
  <c r="J3055" i="159"/>
  <c r="D3056" i="159"/>
  <c r="D3057" i="159" s="1"/>
  <c r="D3058" i="159" s="1"/>
  <c r="E3056" i="159"/>
  <c r="K3056" i="159"/>
  <c r="L3056" i="159"/>
  <c r="M3056" i="159"/>
  <c r="P3056" i="159"/>
  <c r="K3057" i="159"/>
  <c r="L3057" i="159"/>
  <c r="K3058" i="159"/>
  <c r="L3058" i="159"/>
  <c r="D3059" i="159"/>
  <c r="D3060" i="159" s="1"/>
  <c r="K3059" i="159"/>
  <c r="L3059" i="159"/>
  <c r="K3060" i="159"/>
  <c r="L3060" i="159"/>
  <c r="F3062" i="159"/>
  <c r="G3062" i="159"/>
  <c r="H3062" i="159"/>
  <c r="I3062" i="159"/>
  <c r="J3062" i="159"/>
  <c r="D3063" i="159"/>
  <c r="E3063" i="159"/>
  <c r="K3063" i="159"/>
  <c r="L3063" i="159"/>
  <c r="M3063" i="159"/>
  <c r="P3063" i="159"/>
  <c r="D3064" i="159"/>
  <c r="K3064" i="159"/>
  <c r="L3064" i="159"/>
  <c r="D3065" i="159"/>
  <c r="D3066" i="159" s="1"/>
  <c r="D3067" i="159" s="1"/>
  <c r="K3065" i="159"/>
  <c r="L3065" i="159"/>
  <c r="K3066" i="159"/>
  <c r="L3066" i="159"/>
  <c r="K3067" i="159"/>
  <c r="L3067" i="159"/>
  <c r="F3069" i="159"/>
  <c r="G3069" i="159"/>
  <c r="H3069" i="159"/>
  <c r="I3069" i="159"/>
  <c r="J3069" i="159"/>
  <c r="D3070" i="159"/>
  <c r="E3070" i="159"/>
  <c r="K3070" i="159"/>
  <c r="L3070" i="159"/>
  <c r="M3070" i="159"/>
  <c r="O3070" i="159"/>
  <c r="P3070" i="159"/>
  <c r="D3071" i="159"/>
  <c r="D3072" i="159" s="1"/>
  <c r="D3073" i="159" s="1"/>
  <c r="D3074" i="159" s="1"/>
  <c r="K3071" i="159"/>
  <c r="L3071" i="159"/>
  <c r="K3072" i="159"/>
  <c r="L3072" i="159"/>
  <c r="K3073" i="159"/>
  <c r="L3073" i="159"/>
  <c r="K3074" i="159"/>
  <c r="L3074" i="159"/>
  <c r="F3076" i="159"/>
  <c r="G3076" i="159"/>
  <c r="H3076" i="159"/>
  <c r="I3076" i="159"/>
  <c r="J3076" i="159"/>
  <c r="D3077" i="159"/>
  <c r="E3077" i="159"/>
  <c r="K3077" i="159"/>
  <c r="L3077" i="159"/>
  <c r="M3077" i="159"/>
  <c r="O3077" i="159"/>
  <c r="P3077" i="159"/>
  <c r="D3078" i="159"/>
  <c r="K3078" i="159"/>
  <c r="L3078" i="159"/>
  <c r="D3079" i="159"/>
  <c r="D3080" i="159" s="1"/>
  <c r="D3081" i="159" s="1"/>
  <c r="K3079" i="159"/>
  <c r="L3079" i="159"/>
  <c r="K3080" i="159"/>
  <c r="L3080" i="159"/>
  <c r="K3081" i="159"/>
  <c r="L3081" i="159"/>
  <c r="F3083" i="159"/>
  <c r="G3083" i="159"/>
  <c r="H3083" i="159"/>
  <c r="I3083" i="159"/>
  <c r="J3083" i="159"/>
  <c r="D3084" i="159"/>
  <c r="D3085" i="159" s="1"/>
  <c r="D3086" i="159" s="1"/>
  <c r="D3087" i="159" s="1"/>
  <c r="D3088" i="159" s="1"/>
  <c r="E3084" i="159"/>
  <c r="K3084" i="159"/>
  <c r="L3084" i="159"/>
  <c r="M3084" i="159"/>
  <c r="O3084" i="159"/>
  <c r="P3084" i="159" s="1"/>
  <c r="K3085" i="159"/>
  <c r="L3085" i="159"/>
  <c r="K3086" i="159"/>
  <c r="L3086" i="159"/>
  <c r="K3087" i="159"/>
  <c r="L3087" i="159"/>
  <c r="K3088" i="159"/>
  <c r="L3088" i="159"/>
  <c r="F3090" i="159"/>
  <c r="G3090" i="159"/>
  <c r="H3090" i="159"/>
  <c r="I3090" i="159"/>
  <c r="J3090" i="159"/>
  <c r="D3091" i="159"/>
  <c r="D3092" i="159" s="1"/>
  <c r="D3093" i="159" s="1"/>
  <c r="D3094" i="159" s="1"/>
  <c r="D3095" i="159" s="1"/>
  <c r="E3091" i="159"/>
  <c r="K3091" i="159"/>
  <c r="L3091" i="159"/>
  <c r="M3091" i="159"/>
  <c r="O3091" i="159"/>
  <c r="P3091" i="159" s="1"/>
  <c r="K3092" i="159"/>
  <c r="L3092" i="159"/>
  <c r="K3093" i="159"/>
  <c r="L3093" i="159"/>
  <c r="K3094" i="159"/>
  <c r="L3094" i="159"/>
  <c r="K3095" i="159"/>
  <c r="L3095" i="159"/>
  <c r="F3097" i="159"/>
  <c r="G3097" i="159"/>
  <c r="H3097" i="159"/>
  <c r="I3097" i="159"/>
  <c r="J3097" i="159"/>
  <c r="D3098" i="159"/>
  <c r="D3099" i="159" s="1"/>
  <c r="E3098" i="159"/>
  <c r="K3098" i="159"/>
  <c r="L3098" i="159"/>
  <c r="M3098" i="159"/>
  <c r="O3098" i="159"/>
  <c r="P3098" i="159" s="1"/>
  <c r="K3099" i="159"/>
  <c r="L3099" i="159"/>
  <c r="D3100" i="159"/>
  <c r="D3101" i="159" s="1"/>
  <c r="D3102" i="159" s="1"/>
  <c r="K3100" i="159"/>
  <c r="L3100" i="159"/>
  <c r="K3101" i="159"/>
  <c r="L3101" i="159"/>
  <c r="K3102" i="159"/>
  <c r="L3102" i="159"/>
  <c r="F3104" i="159"/>
  <c r="G3104" i="159"/>
  <c r="H3104" i="159"/>
  <c r="I3104" i="159"/>
  <c r="J3104" i="159"/>
  <c r="D3105" i="159"/>
  <c r="E3105" i="159"/>
  <c r="K3105" i="159"/>
  <c r="L3105" i="159"/>
  <c r="M3105" i="159"/>
  <c r="O3105" i="159"/>
  <c r="P3105" i="159"/>
  <c r="D3106" i="159"/>
  <c r="D3107" i="159" s="1"/>
  <c r="D3108" i="159" s="1"/>
  <c r="D3109" i="159" s="1"/>
  <c r="K3106" i="159"/>
  <c r="L3106" i="159"/>
  <c r="K3107" i="159"/>
  <c r="L3107" i="159"/>
  <c r="K3108" i="159"/>
  <c r="L3108" i="159"/>
  <c r="K3109" i="159"/>
  <c r="L3109" i="159"/>
  <c r="F3111" i="159"/>
  <c r="G3111" i="159"/>
  <c r="H3111" i="159"/>
  <c r="I3111" i="159"/>
  <c r="J3111" i="159"/>
  <c r="D3112" i="159"/>
  <c r="E3112" i="159"/>
  <c r="K3112" i="159"/>
  <c r="L3112" i="159"/>
  <c r="M3112" i="159"/>
  <c r="O3112" i="159"/>
  <c r="P3112" i="159"/>
  <c r="D3113" i="159"/>
  <c r="D3114" i="159" s="1"/>
  <c r="D3115" i="159" s="1"/>
  <c r="D3116" i="159" s="1"/>
  <c r="K3113" i="159"/>
  <c r="L3113" i="159"/>
  <c r="K3114" i="159"/>
  <c r="L3114" i="159"/>
  <c r="K3115" i="159"/>
  <c r="L3115" i="159"/>
  <c r="K3116" i="159"/>
  <c r="L3116" i="159"/>
  <c r="F3118" i="159"/>
  <c r="G3118" i="159"/>
  <c r="H3118" i="159"/>
  <c r="I3118" i="159"/>
  <c r="J3118" i="159"/>
  <c r="D3119" i="159"/>
  <c r="D3120" i="159" s="1"/>
  <c r="D3121" i="159" s="1"/>
  <c r="D3122" i="159" s="1"/>
  <c r="D3123" i="159" s="1"/>
  <c r="E3119" i="159"/>
  <c r="K3119" i="159"/>
  <c r="L3119" i="159"/>
  <c r="M3119" i="159"/>
  <c r="O3119" i="159"/>
  <c r="P3119" i="159"/>
  <c r="K3120" i="159"/>
  <c r="L3120" i="159"/>
  <c r="K3121" i="159"/>
  <c r="L3121" i="159"/>
  <c r="K3122" i="159"/>
  <c r="L3122" i="159"/>
  <c r="K3123" i="159"/>
  <c r="L3123" i="159"/>
  <c r="F3125" i="159"/>
  <c r="G3125" i="159"/>
  <c r="H3125" i="159"/>
  <c r="I3125" i="159"/>
  <c r="J3125" i="159"/>
  <c r="D3126" i="159"/>
  <c r="D3127" i="159" s="1"/>
  <c r="D3128" i="159" s="1"/>
  <c r="D3129" i="159" s="1"/>
  <c r="D3130" i="159" s="1"/>
  <c r="E3126" i="159"/>
  <c r="K3126" i="159"/>
  <c r="L3126" i="159"/>
  <c r="M3126" i="159"/>
  <c r="O3126" i="159"/>
  <c r="P3126" i="159" s="1"/>
  <c r="K3127" i="159"/>
  <c r="L3127" i="159"/>
  <c r="K3128" i="159"/>
  <c r="L3128" i="159"/>
  <c r="K3129" i="159"/>
  <c r="L3129" i="159"/>
  <c r="K3130" i="159"/>
  <c r="L3130" i="159"/>
  <c r="F3132" i="159"/>
  <c r="G3132" i="159"/>
  <c r="H3132" i="159"/>
  <c r="I3132" i="159"/>
  <c r="J3132" i="159"/>
  <c r="D3133" i="159"/>
  <c r="D3134" i="159" s="1"/>
  <c r="D3135" i="159" s="1"/>
  <c r="D3136" i="159" s="1"/>
  <c r="D3137" i="159" s="1"/>
  <c r="E3133" i="159"/>
  <c r="K3133" i="159"/>
  <c r="L3133" i="159"/>
  <c r="M3133" i="159"/>
  <c r="O3133" i="159"/>
  <c r="P3133" i="159" s="1"/>
  <c r="K3134" i="159"/>
  <c r="L3134" i="159"/>
  <c r="K3135" i="159"/>
  <c r="L3135" i="159"/>
  <c r="K3136" i="159"/>
  <c r="L3136" i="159"/>
  <c r="K3137" i="159"/>
  <c r="L3137" i="159"/>
  <c r="F3139" i="159"/>
  <c r="G3139" i="159"/>
  <c r="H3139" i="159"/>
  <c r="I3139" i="159"/>
  <c r="J3139" i="159"/>
  <c r="D3140" i="159"/>
  <c r="E3140" i="159"/>
  <c r="K3140" i="159"/>
  <c r="L3140" i="159"/>
  <c r="M3140" i="159"/>
  <c r="O3140" i="159"/>
  <c r="P3140" i="159" s="1"/>
  <c r="D3141" i="159"/>
  <c r="D3142" i="159" s="1"/>
  <c r="D3143" i="159" s="1"/>
  <c r="D3144" i="159" s="1"/>
  <c r="K3141" i="159"/>
  <c r="L3141" i="159"/>
  <c r="K3142" i="159"/>
  <c r="L3142" i="159"/>
  <c r="K3143" i="159"/>
  <c r="L3143" i="159"/>
  <c r="K3144" i="159"/>
  <c r="L3144" i="159"/>
  <c r="F3146" i="159"/>
  <c r="G3146" i="159"/>
  <c r="H3146" i="159"/>
  <c r="I3146" i="159"/>
  <c r="J3146" i="159"/>
  <c r="D3147" i="159"/>
  <c r="E3147" i="159"/>
  <c r="K3147" i="159"/>
  <c r="L3147" i="159"/>
  <c r="M3147" i="159"/>
  <c r="O3147" i="159"/>
  <c r="P3147" i="159"/>
  <c r="D3148" i="159"/>
  <c r="D3149" i="159" s="1"/>
  <c r="D3150" i="159" s="1"/>
  <c r="D3151" i="159" s="1"/>
  <c r="K3148" i="159"/>
  <c r="L3148" i="159"/>
  <c r="K3149" i="159"/>
  <c r="L3149" i="159"/>
  <c r="K3150" i="159"/>
  <c r="L3150" i="159"/>
  <c r="K3151" i="159"/>
  <c r="L3151" i="159"/>
  <c r="F3153" i="159"/>
  <c r="G3153" i="159"/>
  <c r="H3153" i="159"/>
  <c r="I3153" i="159"/>
  <c r="J3153" i="159"/>
  <c r="D3154" i="159"/>
  <c r="D3155" i="159" s="1"/>
  <c r="D3156" i="159" s="1"/>
  <c r="D3157" i="159" s="1"/>
  <c r="D3158" i="159" s="1"/>
  <c r="E3154" i="159"/>
  <c r="K3154" i="159"/>
  <c r="L3154" i="159"/>
  <c r="M3154" i="159"/>
  <c r="O3154" i="159"/>
  <c r="P3154" i="159" s="1"/>
  <c r="K3155" i="159"/>
  <c r="L3155" i="159"/>
  <c r="K3156" i="159"/>
  <c r="L3156" i="159"/>
  <c r="K3157" i="159"/>
  <c r="L3157" i="159"/>
  <c r="K3158" i="159"/>
  <c r="L3158" i="159"/>
  <c r="F3160" i="159"/>
  <c r="G3160" i="159"/>
  <c r="H3160" i="159"/>
  <c r="I3160" i="159"/>
  <c r="J3160" i="159"/>
  <c r="D3161" i="159"/>
  <c r="D3162" i="159" s="1"/>
  <c r="D3163" i="159" s="1"/>
  <c r="D3164" i="159" s="1"/>
  <c r="D3165" i="159" s="1"/>
  <c r="E3161" i="159"/>
  <c r="K3161" i="159"/>
  <c r="L3161" i="159"/>
  <c r="M3161" i="159"/>
  <c r="O3161" i="159"/>
  <c r="P3161" i="159"/>
  <c r="K3162" i="159"/>
  <c r="L3162" i="159"/>
  <c r="K3163" i="159"/>
  <c r="L3163" i="159"/>
  <c r="K3164" i="159"/>
  <c r="L3164" i="159"/>
  <c r="K3165" i="159"/>
  <c r="L3165" i="159"/>
  <c r="F3167" i="159"/>
  <c r="G3167" i="159"/>
  <c r="H3167" i="159"/>
  <c r="I3167" i="159"/>
  <c r="J3167" i="159"/>
  <c r="D3168" i="159"/>
  <c r="D3169" i="159" s="1"/>
  <c r="D3170" i="159" s="1"/>
  <c r="D3171" i="159" s="1"/>
  <c r="D3172" i="159" s="1"/>
  <c r="E3168" i="159"/>
  <c r="K3168" i="159"/>
  <c r="L3168" i="159"/>
  <c r="M3168" i="159"/>
  <c r="O3168" i="159"/>
  <c r="P3168" i="159" s="1"/>
  <c r="K3169" i="159"/>
  <c r="L3169" i="159"/>
  <c r="K3170" i="159"/>
  <c r="L3170" i="159"/>
  <c r="K3171" i="159"/>
  <c r="L3171" i="159"/>
  <c r="K3172" i="159"/>
  <c r="L3172" i="159"/>
  <c r="F3174" i="159"/>
  <c r="G3174" i="159"/>
  <c r="H3174" i="159"/>
  <c r="I3174" i="159"/>
  <c r="J3174" i="159"/>
  <c r="D3175" i="159"/>
  <c r="E3175" i="159"/>
  <c r="K3175" i="159"/>
  <c r="L3175" i="159"/>
  <c r="M3175" i="159"/>
  <c r="O3175" i="159"/>
  <c r="P3175" i="159" s="1"/>
  <c r="D3176" i="159"/>
  <c r="D3177" i="159" s="1"/>
  <c r="D3178" i="159" s="1"/>
  <c r="D3179" i="159" s="1"/>
  <c r="K3176" i="159"/>
  <c r="L3176" i="159"/>
  <c r="K3177" i="159"/>
  <c r="L3177" i="159"/>
  <c r="K3178" i="159"/>
  <c r="L3178" i="159"/>
  <c r="K3179" i="159"/>
  <c r="L3179" i="159"/>
  <c r="F3181" i="159"/>
  <c r="G3181" i="159"/>
  <c r="H3181" i="159"/>
  <c r="I3181" i="159"/>
  <c r="J3181" i="159"/>
  <c r="D3182" i="159"/>
  <c r="E3182" i="159"/>
  <c r="K3182" i="159"/>
  <c r="L3182" i="159"/>
  <c r="M3182" i="159"/>
  <c r="O3182" i="159"/>
  <c r="P3182" i="159"/>
  <c r="D3183" i="159"/>
  <c r="D3184" i="159" s="1"/>
  <c r="D3185" i="159" s="1"/>
  <c r="D3186" i="159" s="1"/>
  <c r="K3183" i="159"/>
  <c r="L3183" i="159"/>
  <c r="K3184" i="159"/>
  <c r="L3184" i="159"/>
  <c r="K3185" i="159"/>
  <c r="L3185" i="159"/>
  <c r="K3186" i="159"/>
  <c r="L3186" i="159"/>
  <c r="F3188" i="159"/>
  <c r="G3188" i="159"/>
  <c r="H3188" i="159"/>
  <c r="I3188" i="159"/>
  <c r="J3188" i="159"/>
  <c r="D3189" i="159"/>
  <c r="E3189" i="159"/>
  <c r="K3189" i="159"/>
  <c r="L3189" i="159"/>
  <c r="M3189" i="159"/>
  <c r="O3189" i="159"/>
  <c r="P3189" i="159" s="1"/>
  <c r="D3190" i="159"/>
  <c r="D3191" i="159" s="1"/>
  <c r="D3192" i="159" s="1"/>
  <c r="D3193" i="159" s="1"/>
  <c r="K3190" i="159"/>
  <c r="L3190" i="159"/>
  <c r="K3191" i="159"/>
  <c r="L3191" i="159"/>
  <c r="K3192" i="159"/>
  <c r="L3192" i="159"/>
  <c r="K3193" i="159"/>
  <c r="L3193" i="159"/>
  <c r="F3195" i="159"/>
  <c r="G3195" i="159"/>
  <c r="H3195" i="159"/>
  <c r="I3195" i="159"/>
  <c r="J3195" i="159"/>
  <c r="D3196" i="159"/>
  <c r="D3197" i="159" s="1"/>
  <c r="D3198" i="159" s="1"/>
  <c r="D3199" i="159" s="1"/>
  <c r="D3200" i="159" s="1"/>
  <c r="E3196" i="159"/>
  <c r="K3196" i="159"/>
  <c r="L3196" i="159"/>
  <c r="M3196" i="159"/>
  <c r="O3196" i="159"/>
  <c r="P3196" i="159" s="1"/>
  <c r="K3197" i="159"/>
  <c r="L3197" i="159"/>
  <c r="K3198" i="159"/>
  <c r="L3198" i="159"/>
  <c r="K3199" i="159"/>
  <c r="L3199" i="159"/>
  <c r="K3200" i="159"/>
  <c r="L3200" i="159"/>
  <c r="F3202" i="159"/>
  <c r="G3202" i="159"/>
  <c r="H3202" i="159"/>
  <c r="I3202" i="159"/>
  <c r="J3202" i="159"/>
  <c r="D3203" i="159"/>
  <c r="D3204" i="159" s="1"/>
  <c r="D3205" i="159" s="1"/>
  <c r="D3206" i="159" s="1"/>
  <c r="D3207" i="159" s="1"/>
  <c r="E3203" i="159"/>
  <c r="K3203" i="159"/>
  <c r="L3203" i="159"/>
  <c r="M3203" i="159"/>
  <c r="O3203" i="159"/>
  <c r="P3203" i="159" s="1"/>
  <c r="K3204" i="159"/>
  <c r="L3204" i="159"/>
  <c r="K3205" i="159"/>
  <c r="L3205" i="159"/>
  <c r="K3206" i="159"/>
  <c r="L3206" i="159"/>
  <c r="K3207" i="159"/>
  <c r="L3207" i="159"/>
  <c r="F3209" i="159"/>
  <c r="G3209" i="159"/>
  <c r="H3209" i="159"/>
  <c r="I3209" i="159"/>
  <c r="J3209" i="159"/>
  <c r="D3210" i="159"/>
  <c r="E3210" i="159"/>
  <c r="K3210" i="159"/>
  <c r="L3210" i="159"/>
  <c r="M3210" i="159"/>
  <c r="O3210" i="159"/>
  <c r="P3210" i="159"/>
  <c r="D3211" i="159"/>
  <c r="D3212" i="159" s="1"/>
  <c r="D3213" i="159" s="1"/>
  <c r="D3214" i="159" s="1"/>
  <c r="K3211" i="159"/>
  <c r="L3211" i="159"/>
  <c r="K3212" i="159"/>
  <c r="L3212" i="159"/>
  <c r="K3213" i="159"/>
  <c r="L3213" i="159"/>
  <c r="K3214" i="159"/>
  <c r="L3214" i="159"/>
  <c r="F3216" i="159"/>
  <c r="G3216" i="159"/>
  <c r="H3216" i="159"/>
  <c r="I3216" i="159"/>
  <c r="J3216" i="159"/>
  <c r="D3217" i="159"/>
  <c r="E3217" i="159"/>
  <c r="K3217" i="159"/>
  <c r="L3217" i="159"/>
  <c r="M3217" i="159"/>
  <c r="O3217" i="159"/>
  <c r="P3217" i="159" s="1"/>
  <c r="D3218" i="159"/>
  <c r="K3218" i="159"/>
  <c r="L3218" i="159"/>
  <c r="D3219" i="159"/>
  <c r="D3220" i="159" s="1"/>
  <c r="D3221" i="159" s="1"/>
  <c r="K3219" i="159"/>
  <c r="L3219" i="159"/>
  <c r="K3220" i="159"/>
  <c r="L3220" i="159"/>
  <c r="K3221" i="159"/>
  <c r="L3221" i="159"/>
  <c r="F3223" i="159"/>
  <c r="G3223" i="159"/>
  <c r="H3223" i="159"/>
  <c r="I3223" i="159"/>
  <c r="J3223" i="159"/>
  <c r="D3224" i="159"/>
  <c r="D3225" i="159" s="1"/>
  <c r="D3226" i="159" s="1"/>
  <c r="D3227" i="159" s="1"/>
  <c r="D3228" i="159" s="1"/>
  <c r="E3224" i="159"/>
  <c r="K3224" i="159"/>
  <c r="L3224" i="159"/>
  <c r="M3224" i="159"/>
  <c r="O3224" i="159"/>
  <c r="P3224" i="159" s="1"/>
  <c r="K3225" i="159"/>
  <c r="L3225" i="159"/>
  <c r="K3226" i="159"/>
  <c r="L3226" i="159"/>
  <c r="K3227" i="159"/>
  <c r="L3227" i="159"/>
  <c r="K3228" i="159"/>
  <c r="L3228" i="159"/>
  <c r="F3230" i="159"/>
  <c r="G3230" i="159"/>
  <c r="H3230" i="159"/>
  <c r="I3230" i="159"/>
  <c r="J3230" i="159"/>
  <c r="D3231" i="159"/>
  <c r="D3232" i="159" s="1"/>
  <c r="D3233" i="159" s="1"/>
  <c r="E3231" i="159"/>
  <c r="K3231" i="159"/>
  <c r="L3231" i="159"/>
  <c r="M3231" i="159"/>
  <c r="O3231" i="159"/>
  <c r="P3231" i="159" s="1"/>
  <c r="K3232" i="159"/>
  <c r="L3232" i="159"/>
  <c r="K3233" i="159"/>
  <c r="L3233" i="159"/>
  <c r="D3234" i="159"/>
  <c r="K3234" i="159"/>
  <c r="L3234" i="159"/>
  <c r="D3235" i="159"/>
  <c r="K3235" i="159"/>
  <c r="L3235" i="159"/>
  <c r="F3237" i="159"/>
  <c r="G3237" i="159"/>
  <c r="H3237" i="159"/>
  <c r="I3237" i="159"/>
  <c r="J3237" i="159"/>
  <c r="D3238" i="159"/>
  <c r="D3239" i="159" s="1"/>
  <c r="E3238" i="159"/>
  <c r="K3238" i="159"/>
  <c r="L3238" i="159"/>
  <c r="M3238" i="159"/>
  <c r="O3238" i="159"/>
  <c r="P3238" i="159" s="1"/>
  <c r="K3239" i="159"/>
  <c r="L3239" i="159"/>
  <c r="D3240" i="159"/>
  <c r="D3241" i="159" s="1"/>
  <c r="D3242" i="159" s="1"/>
  <c r="K3240" i="159"/>
  <c r="L3240" i="159"/>
  <c r="K3241" i="159"/>
  <c r="L3241" i="159"/>
  <c r="K3242" i="159"/>
  <c r="L3242" i="159"/>
  <c r="F3244" i="159"/>
  <c r="G3244" i="159"/>
  <c r="H3244" i="159"/>
  <c r="I3244" i="159"/>
  <c r="J3244" i="159"/>
  <c r="D3245" i="159"/>
  <c r="E3245" i="159"/>
  <c r="K3245" i="159"/>
  <c r="L3245" i="159"/>
  <c r="M3245" i="159"/>
  <c r="O3245" i="159"/>
  <c r="P3245" i="159" s="1"/>
  <c r="D3246" i="159"/>
  <c r="K3246" i="159"/>
  <c r="L3246" i="159"/>
  <c r="D3247" i="159"/>
  <c r="K3247" i="159"/>
  <c r="L3247" i="159"/>
  <c r="D3248" i="159"/>
  <c r="K3248" i="159"/>
  <c r="L3248" i="159"/>
  <c r="D3249" i="159"/>
  <c r="K3249" i="159"/>
  <c r="L3249" i="159"/>
  <c r="F3251" i="159"/>
  <c r="G3251" i="159"/>
  <c r="H3251" i="159"/>
  <c r="I3251" i="159"/>
  <c r="J3251" i="159"/>
  <c r="D3252" i="159"/>
  <c r="E3252" i="159"/>
  <c r="K3252" i="159"/>
  <c r="L3252" i="159"/>
  <c r="M3252" i="159"/>
  <c r="P3252" i="159"/>
  <c r="D3253" i="159"/>
  <c r="K3253" i="159"/>
  <c r="L3253" i="159"/>
  <c r="D3254" i="159"/>
  <c r="K3254" i="159"/>
  <c r="L3254" i="159"/>
  <c r="D3255" i="159"/>
  <c r="D3256" i="159" s="1"/>
  <c r="K3255" i="159"/>
  <c r="L3255" i="159"/>
  <c r="K3256" i="159"/>
  <c r="L3256" i="159"/>
  <c r="F3258" i="159"/>
  <c r="G3258" i="159"/>
  <c r="H3258" i="159"/>
  <c r="I3258" i="159"/>
  <c r="J3258" i="159"/>
  <c r="D3259" i="159"/>
  <c r="D3260" i="159" s="1"/>
  <c r="D3261" i="159" s="1"/>
  <c r="D3262" i="159" s="1"/>
  <c r="D3263" i="159" s="1"/>
  <c r="E3259" i="159"/>
  <c r="K3259" i="159"/>
  <c r="L3259" i="159"/>
  <c r="M3259" i="159"/>
  <c r="P3259" i="159"/>
  <c r="K3260" i="159"/>
  <c r="L3260" i="159"/>
  <c r="K3261" i="159"/>
  <c r="L3261" i="159"/>
  <c r="K3262" i="159"/>
  <c r="L3262" i="159"/>
  <c r="K3263" i="159"/>
  <c r="L3263" i="159"/>
  <c r="F3265" i="159"/>
  <c r="G3265" i="159"/>
  <c r="H3265" i="159"/>
  <c r="I3265" i="159"/>
  <c r="J3265" i="159"/>
  <c r="D3266" i="159"/>
  <c r="D3267" i="159" s="1"/>
  <c r="D3268" i="159" s="1"/>
  <c r="D3269" i="159" s="1"/>
  <c r="D3270" i="159" s="1"/>
  <c r="E3266" i="159"/>
  <c r="K3266" i="159"/>
  <c r="L3266" i="159"/>
  <c r="M3266" i="159"/>
  <c r="O3266" i="159"/>
  <c r="P3266" i="159"/>
  <c r="K3267" i="159"/>
  <c r="L3267" i="159"/>
  <c r="K3268" i="159"/>
  <c r="L3268" i="159"/>
  <c r="K3269" i="159"/>
  <c r="L3269" i="159"/>
  <c r="K3270" i="159"/>
  <c r="L3270" i="159"/>
  <c r="F3272" i="159"/>
  <c r="G3272" i="159"/>
  <c r="H3272" i="159"/>
  <c r="I3272" i="159"/>
  <c r="J3272" i="159"/>
  <c r="D3273" i="159"/>
  <c r="D3274" i="159" s="1"/>
  <c r="D3275" i="159" s="1"/>
  <c r="D3276" i="159" s="1"/>
  <c r="D3277" i="159" s="1"/>
  <c r="E3273" i="159"/>
  <c r="K3273" i="159"/>
  <c r="L3273" i="159"/>
  <c r="M3273" i="159"/>
  <c r="O3273" i="159"/>
  <c r="P3273" i="159" s="1"/>
  <c r="K3274" i="159"/>
  <c r="L3274" i="159"/>
  <c r="K3275" i="159"/>
  <c r="L3275" i="159"/>
  <c r="K3276" i="159"/>
  <c r="L3276" i="159"/>
  <c r="K3277" i="159"/>
  <c r="L3277" i="159"/>
  <c r="F3279" i="159"/>
  <c r="G3279" i="159"/>
  <c r="H3279" i="159"/>
  <c r="I3279" i="159"/>
  <c r="J3279" i="159"/>
  <c r="D3280" i="159"/>
  <c r="E3280" i="159"/>
  <c r="K3280" i="159"/>
  <c r="L3280" i="159"/>
  <c r="M3280" i="159"/>
  <c r="O3280" i="159"/>
  <c r="P3280" i="159" s="1"/>
  <c r="D3281" i="159"/>
  <c r="D3282" i="159" s="1"/>
  <c r="D3283" i="159" s="1"/>
  <c r="D3284" i="159" s="1"/>
  <c r="K3281" i="159"/>
  <c r="L3281" i="159"/>
  <c r="K3282" i="159"/>
  <c r="L3282" i="159"/>
  <c r="K3283" i="159"/>
  <c r="L3283" i="159"/>
  <c r="K3284" i="159"/>
  <c r="L3284" i="159"/>
  <c r="F3286" i="159"/>
  <c r="G3286" i="159"/>
  <c r="H3286" i="159"/>
  <c r="I3286" i="159"/>
  <c r="J3286" i="159"/>
  <c r="D3287" i="159"/>
  <c r="E3287" i="159"/>
  <c r="K3287" i="159"/>
  <c r="L3287" i="159"/>
  <c r="M3287" i="159"/>
  <c r="O3287" i="159"/>
  <c r="P3287" i="159"/>
  <c r="D3288" i="159"/>
  <c r="D3289" i="159" s="1"/>
  <c r="D3290" i="159" s="1"/>
  <c r="D3291" i="159" s="1"/>
  <c r="K3288" i="159"/>
  <c r="L3288" i="159"/>
  <c r="K3289" i="159"/>
  <c r="L3289" i="159"/>
  <c r="K3290" i="159"/>
  <c r="L3290" i="159"/>
  <c r="K3291" i="159"/>
  <c r="L3291" i="159"/>
  <c r="F3293" i="159"/>
  <c r="G3293" i="159"/>
  <c r="H3293" i="159"/>
  <c r="I3293" i="159"/>
  <c r="J3293" i="159"/>
  <c r="D3294" i="159"/>
  <c r="D3295" i="159" s="1"/>
  <c r="D3296" i="159" s="1"/>
  <c r="D3297" i="159" s="1"/>
  <c r="D3298" i="159" s="1"/>
  <c r="E3294" i="159"/>
  <c r="K3294" i="159"/>
  <c r="L3294" i="159"/>
  <c r="M3294" i="159"/>
  <c r="O3294" i="159"/>
  <c r="P3294" i="159" s="1"/>
  <c r="K3295" i="159"/>
  <c r="L3295" i="159"/>
  <c r="K3296" i="159"/>
  <c r="L3296" i="159"/>
  <c r="K3297" i="159"/>
  <c r="L3297" i="159"/>
  <c r="K3298" i="159"/>
  <c r="L3298" i="159"/>
  <c r="F3300" i="159"/>
  <c r="G3300" i="159"/>
  <c r="H3300" i="159"/>
  <c r="I3300" i="159"/>
  <c r="J3300" i="159"/>
  <c r="D3301" i="159"/>
  <c r="D3302" i="159" s="1"/>
  <c r="D3303" i="159" s="1"/>
  <c r="D3304" i="159" s="1"/>
  <c r="E3301" i="159"/>
  <c r="K3301" i="159"/>
  <c r="L3301" i="159"/>
  <c r="M3301" i="159"/>
  <c r="O3301" i="159"/>
  <c r="P3301" i="159"/>
  <c r="K3302" i="159"/>
  <c r="L3302" i="159"/>
  <c r="K3303" i="159"/>
  <c r="L3303" i="159"/>
  <c r="K3304" i="159"/>
  <c r="L3304" i="159"/>
  <c r="D3305" i="159"/>
  <c r="K3305" i="159"/>
  <c r="L3305" i="159"/>
  <c r="F3307" i="159"/>
  <c r="G3307" i="159"/>
  <c r="H3307" i="159"/>
  <c r="I3307" i="159"/>
  <c r="J3307" i="159"/>
  <c r="D3308" i="159"/>
  <c r="D3309" i="159" s="1"/>
  <c r="D3310" i="159" s="1"/>
  <c r="E3308" i="159"/>
  <c r="K3308" i="159"/>
  <c r="L3308" i="159"/>
  <c r="M3308" i="159"/>
  <c r="O3308" i="159"/>
  <c r="P3308" i="159" s="1"/>
  <c r="K3309" i="159"/>
  <c r="L3309" i="159"/>
  <c r="K3310" i="159"/>
  <c r="L3310" i="159"/>
  <c r="D3311" i="159"/>
  <c r="K3311" i="159"/>
  <c r="L3311" i="159"/>
  <c r="D3312" i="159"/>
  <c r="K3312" i="159"/>
  <c r="L3312" i="159"/>
  <c r="F3314" i="159"/>
  <c r="G3314" i="159"/>
  <c r="H3314" i="159"/>
  <c r="I3314" i="159"/>
  <c r="J3314" i="159"/>
  <c r="D3315" i="159"/>
  <c r="E3315" i="159"/>
  <c r="K3315" i="159"/>
  <c r="L3315" i="159"/>
  <c r="M3315" i="159"/>
  <c r="O3315" i="159"/>
  <c r="P3315" i="159" s="1"/>
  <c r="D3316" i="159"/>
  <c r="D3317" i="159" s="1"/>
  <c r="D3318" i="159" s="1"/>
  <c r="K3316" i="159"/>
  <c r="L3316" i="159"/>
  <c r="K3317" i="159"/>
  <c r="L3317" i="159"/>
  <c r="K3318" i="159"/>
  <c r="L3318" i="159"/>
  <c r="D3319" i="159"/>
  <c r="K3319" i="159"/>
  <c r="L3319" i="159"/>
  <c r="F3321" i="159"/>
  <c r="G3321" i="159"/>
  <c r="H3321" i="159"/>
  <c r="I3321" i="159"/>
  <c r="J3321" i="159"/>
  <c r="D3322" i="159"/>
  <c r="E3322" i="159"/>
  <c r="K3322" i="159"/>
  <c r="L3322" i="159"/>
  <c r="M3322" i="159"/>
  <c r="O3322" i="159"/>
  <c r="P3322" i="159" s="1"/>
  <c r="D3323" i="159"/>
  <c r="D3324" i="159" s="1"/>
  <c r="K3323" i="159"/>
  <c r="L3323" i="159"/>
  <c r="K3324" i="159"/>
  <c r="L3324" i="159"/>
  <c r="D3325" i="159"/>
  <c r="D3326" i="159" s="1"/>
  <c r="K3325" i="159"/>
  <c r="L3325" i="159"/>
  <c r="K3326" i="159"/>
  <c r="L3326" i="159"/>
  <c r="F3328" i="159"/>
  <c r="G3328" i="159"/>
  <c r="H3328" i="159"/>
  <c r="I3328" i="159"/>
  <c r="J3328" i="159"/>
  <c r="D3329" i="159"/>
  <c r="D3330" i="159" s="1"/>
  <c r="E3329" i="159"/>
  <c r="K3329" i="159"/>
  <c r="L3329" i="159"/>
  <c r="M3329" i="159"/>
  <c r="O3329" i="159"/>
  <c r="P3329" i="159"/>
  <c r="K3330" i="159"/>
  <c r="L3330" i="159"/>
  <c r="D3331" i="159"/>
  <c r="D3332" i="159" s="1"/>
  <c r="D3333" i="159" s="1"/>
  <c r="K3331" i="159"/>
  <c r="L3331" i="159"/>
  <c r="K3332" i="159"/>
  <c r="L3332" i="159"/>
  <c r="K3333" i="159"/>
  <c r="L3333" i="159"/>
  <c r="F3335" i="159"/>
  <c r="G3335" i="159"/>
  <c r="H3335" i="159"/>
  <c r="I3335" i="159"/>
  <c r="J3335" i="159"/>
  <c r="D3336" i="159"/>
  <c r="D3337" i="159" s="1"/>
  <c r="D3338" i="159" s="1"/>
  <c r="D3339" i="159" s="1"/>
  <c r="D3340" i="159" s="1"/>
  <c r="E3336" i="159"/>
  <c r="K3336" i="159"/>
  <c r="L3336" i="159"/>
  <c r="M3336" i="159"/>
  <c r="O3336" i="159"/>
  <c r="P3336" i="159"/>
  <c r="K3337" i="159"/>
  <c r="L3337" i="159"/>
  <c r="K3338" i="159"/>
  <c r="L3338" i="159"/>
  <c r="K3339" i="159"/>
  <c r="L3339" i="159"/>
  <c r="K3340" i="159"/>
  <c r="L3340" i="159"/>
  <c r="F3342" i="159"/>
  <c r="G3342" i="159"/>
  <c r="H3342" i="159"/>
  <c r="I3342" i="159"/>
  <c r="J3342" i="159"/>
  <c r="D3343" i="159"/>
  <c r="D3344" i="159" s="1"/>
  <c r="D3345" i="159" s="1"/>
  <c r="D3346" i="159" s="1"/>
  <c r="D3347" i="159" s="1"/>
  <c r="E3343" i="159"/>
  <c r="K3343" i="159"/>
  <c r="L3343" i="159"/>
  <c r="M3343" i="159"/>
  <c r="O3343" i="159"/>
  <c r="P3343" i="159"/>
  <c r="K3344" i="159"/>
  <c r="L3344" i="159"/>
  <c r="K3345" i="159"/>
  <c r="L3345" i="159"/>
  <c r="K3346" i="159"/>
  <c r="L3346" i="159"/>
  <c r="K3347" i="159"/>
  <c r="L3347" i="159"/>
  <c r="F3349" i="159"/>
  <c r="G3349" i="159"/>
  <c r="H3349" i="159"/>
  <c r="I3349" i="159"/>
  <c r="J3349" i="159"/>
  <c r="D3350" i="159"/>
  <c r="E3350" i="159"/>
  <c r="K3350" i="159"/>
  <c r="L3350" i="159"/>
  <c r="M3350" i="159"/>
  <c r="O3350" i="159"/>
  <c r="P3350" i="159" s="1"/>
  <c r="D3351" i="159"/>
  <c r="D3352" i="159" s="1"/>
  <c r="D3353" i="159" s="1"/>
  <c r="D3354" i="159" s="1"/>
  <c r="K3351" i="159"/>
  <c r="L3351" i="159"/>
  <c r="K3352" i="159"/>
  <c r="L3352" i="159"/>
  <c r="K3353" i="159"/>
  <c r="L3353" i="159"/>
  <c r="K3354" i="159"/>
  <c r="L3354" i="159"/>
  <c r="F3356" i="159"/>
  <c r="G3356" i="159"/>
  <c r="H3356" i="159"/>
  <c r="I3356" i="159"/>
  <c r="J3356" i="159"/>
  <c r="D3357" i="159"/>
  <c r="E3357" i="159"/>
  <c r="K3357" i="159"/>
  <c r="L3357" i="159"/>
  <c r="M3357" i="159"/>
  <c r="O3357" i="159"/>
  <c r="P3357" i="159"/>
  <c r="D3358" i="159"/>
  <c r="K3358" i="159"/>
  <c r="L3358" i="159"/>
  <c r="D3359" i="159"/>
  <c r="D3360" i="159" s="1"/>
  <c r="D3361" i="159" s="1"/>
  <c r="K3359" i="159"/>
  <c r="L3359" i="159"/>
  <c r="K3360" i="159"/>
  <c r="L3360" i="159"/>
  <c r="K3361" i="159"/>
  <c r="L3361" i="159"/>
  <c r="F3363" i="159"/>
  <c r="G3363" i="159"/>
  <c r="H3363" i="159"/>
  <c r="I3363" i="159"/>
  <c r="J3363" i="159"/>
  <c r="D3364" i="159"/>
  <c r="D3365" i="159" s="1"/>
  <c r="D3366" i="159" s="1"/>
  <c r="D3367" i="159" s="1"/>
  <c r="D3368" i="159" s="1"/>
  <c r="E3364" i="159"/>
  <c r="K3364" i="159"/>
  <c r="L3364" i="159"/>
  <c r="M3364" i="159"/>
  <c r="O3364" i="159"/>
  <c r="P3364" i="159" s="1"/>
  <c r="K3365" i="159"/>
  <c r="L3365" i="159"/>
  <c r="K3366" i="159"/>
  <c r="L3366" i="159"/>
  <c r="K3367" i="159"/>
  <c r="L3367" i="159"/>
  <c r="K3368" i="159"/>
  <c r="L3368" i="159"/>
  <c r="F3370" i="159"/>
  <c r="G3370" i="159"/>
  <c r="H3370" i="159"/>
  <c r="I3370" i="159"/>
  <c r="J3370" i="159"/>
  <c r="D3371" i="159"/>
  <c r="D3372" i="159" s="1"/>
  <c r="D3373" i="159" s="1"/>
  <c r="D3374" i="159" s="1"/>
  <c r="D3375" i="159" s="1"/>
  <c r="E3371" i="159"/>
  <c r="K3371" i="159"/>
  <c r="L3371" i="159"/>
  <c r="M3371" i="159"/>
  <c r="O3371" i="159"/>
  <c r="P3371" i="159" s="1"/>
  <c r="K3372" i="159"/>
  <c r="L3372" i="159"/>
  <c r="K3373" i="159"/>
  <c r="L3373" i="159"/>
  <c r="K3374" i="159"/>
  <c r="L3374" i="159"/>
  <c r="K3375" i="159"/>
  <c r="L3375" i="159"/>
  <c r="F3377" i="159"/>
  <c r="G3377" i="159"/>
  <c r="H3377" i="159"/>
  <c r="I3377" i="159"/>
  <c r="J3377" i="159"/>
  <c r="D3378" i="159"/>
  <c r="D3379" i="159" s="1"/>
  <c r="D3380" i="159" s="1"/>
  <c r="D3381" i="159" s="1"/>
  <c r="D3382" i="159" s="1"/>
  <c r="E3378" i="159"/>
  <c r="K3378" i="159"/>
  <c r="L3378" i="159"/>
  <c r="M3378" i="159"/>
  <c r="O3378" i="159"/>
  <c r="P3378" i="159" s="1"/>
  <c r="K3379" i="159"/>
  <c r="L3379" i="159"/>
  <c r="K3380" i="159"/>
  <c r="L3380" i="159"/>
  <c r="K3381" i="159"/>
  <c r="L3381" i="159"/>
  <c r="K3382" i="159"/>
  <c r="L3382" i="159"/>
  <c r="F3384" i="159"/>
  <c r="G3384" i="159"/>
  <c r="H3384" i="159"/>
  <c r="I3384" i="159"/>
  <c r="J3384" i="159"/>
  <c r="D3385" i="159"/>
  <c r="E3385" i="159"/>
  <c r="K3385" i="159"/>
  <c r="L3385" i="159"/>
  <c r="M3385" i="159"/>
  <c r="O3385" i="159"/>
  <c r="P3385" i="159" s="1"/>
  <c r="D3386" i="159"/>
  <c r="K3386" i="159"/>
  <c r="L3386" i="159"/>
  <c r="D3387" i="159"/>
  <c r="D3388" i="159" s="1"/>
  <c r="D3389" i="159" s="1"/>
  <c r="K3387" i="159"/>
  <c r="L3387" i="159"/>
  <c r="K3388" i="159"/>
  <c r="L3388" i="159"/>
  <c r="K3389" i="159"/>
  <c r="L3389" i="159"/>
  <c r="F3391" i="159"/>
  <c r="G3391" i="159"/>
  <c r="H3391" i="159"/>
  <c r="I3391" i="159"/>
  <c r="J3391" i="159"/>
  <c r="D3392" i="159"/>
  <c r="E3392" i="159"/>
  <c r="K3392" i="159"/>
  <c r="L3392" i="159"/>
  <c r="M3392" i="159"/>
  <c r="O3392" i="159"/>
  <c r="P3392" i="159" s="1"/>
  <c r="D3393" i="159"/>
  <c r="D3394" i="159" s="1"/>
  <c r="D3395" i="159" s="1"/>
  <c r="D3396" i="159" s="1"/>
  <c r="K3393" i="159"/>
  <c r="L3393" i="159"/>
  <c r="K3394" i="159"/>
  <c r="L3394" i="159"/>
  <c r="K3395" i="159"/>
  <c r="L3395" i="159"/>
  <c r="K3396" i="159"/>
  <c r="L3396" i="159"/>
  <c r="F3398" i="159"/>
  <c r="G3398" i="159"/>
  <c r="H3398" i="159"/>
  <c r="I3398" i="159"/>
  <c r="J3398" i="159"/>
  <c r="D3399" i="159"/>
  <c r="E3399" i="159"/>
  <c r="K3399" i="159"/>
  <c r="L3399" i="159"/>
  <c r="M3399" i="159"/>
  <c r="O3399" i="159"/>
  <c r="P3399" i="159" s="1"/>
  <c r="D3400" i="159"/>
  <c r="D3401" i="159" s="1"/>
  <c r="D3402" i="159" s="1"/>
  <c r="D3403" i="159" s="1"/>
  <c r="K3400" i="159"/>
  <c r="L3400" i="159"/>
  <c r="K3401" i="159"/>
  <c r="L3401" i="159"/>
  <c r="K3402" i="159"/>
  <c r="L3402" i="159"/>
  <c r="K3403" i="159"/>
  <c r="L3403" i="159"/>
  <c r="F3405" i="159"/>
  <c r="G3405" i="159"/>
  <c r="H3405" i="159"/>
  <c r="I3405" i="159"/>
  <c r="J3405" i="159"/>
  <c r="D3406" i="159"/>
  <c r="D3407" i="159" s="1"/>
  <c r="D3408" i="159" s="1"/>
  <c r="D3409" i="159" s="1"/>
  <c r="D3410" i="159" s="1"/>
  <c r="E3406" i="159"/>
  <c r="K3406" i="159"/>
  <c r="L3406" i="159"/>
  <c r="M3406" i="159"/>
  <c r="O3406" i="159"/>
  <c r="P3406" i="159"/>
  <c r="K3407" i="159"/>
  <c r="L3407" i="159"/>
  <c r="K3408" i="159"/>
  <c r="L3408" i="159"/>
  <c r="K3409" i="159"/>
  <c r="L3409" i="159"/>
  <c r="K3410" i="159"/>
  <c r="L3410" i="159"/>
  <c r="F3412" i="159"/>
  <c r="G3412" i="159"/>
  <c r="H3412" i="159"/>
  <c r="I3412" i="159"/>
  <c r="J3412" i="159"/>
  <c r="D3413" i="159"/>
  <c r="D3414" i="159" s="1"/>
  <c r="D3415" i="159" s="1"/>
  <c r="D3416" i="159" s="1"/>
  <c r="D3417" i="159" s="1"/>
  <c r="E3413" i="159"/>
  <c r="K3413" i="159"/>
  <c r="L3413" i="159"/>
  <c r="M3413" i="159"/>
  <c r="O3413" i="159"/>
  <c r="P3413" i="159" s="1"/>
  <c r="K3414" i="159"/>
  <c r="L3414" i="159"/>
  <c r="K3415" i="159"/>
  <c r="L3415" i="159"/>
  <c r="K3416" i="159"/>
  <c r="L3416" i="159"/>
  <c r="K3417" i="159"/>
  <c r="L3417" i="159"/>
  <c r="F3419" i="159"/>
  <c r="G3419" i="159"/>
  <c r="H3419" i="159"/>
  <c r="I3419" i="159"/>
  <c r="J3419" i="159"/>
  <c r="D3420" i="159"/>
  <c r="E3420" i="159"/>
  <c r="K3420" i="159"/>
  <c r="L3420" i="159"/>
  <c r="M3420" i="159"/>
  <c r="N3420" i="159"/>
  <c r="P3420" i="159"/>
  <c r="D3421" i="159"/>
  <c r="D3422" i="159" s="1"/>
  <c r="D3423" i="159" s="1"/>
  <c r="D3424" i="159" s="1"/>
  <c r="K3421" i="159"/>
  <c r="L3421" i="159"/>
  <c r="K3422" i="159"/>
  <c r="L3422" i="159"/>
  <c r="K3423" i="159"/>
  <c r="L3423" i="159"/>
  <c r="K3424" i="159"/>
  <c r="L3424" i="159"/>
  <c r="F3426" i="159"/>
  <c r="G3426" i="159"/>
  <c r="H3426" i="159"/>
  <c r="I3426" i="159"/>
  <c r="J3426" i="159"/>
  <c r="D3427" i="159"/>
  <c r="E3427" i="159"/>
  <c r="K3427" i="159"/>
  <c r="L3427" i="159"/>
  <c r="M3427" i="159"/>
  <c r="O3427" i="159"/>
  <c r="P3427" i="159" s="1"/>
  <c r="D3428" i="159"/>
  <c r="D3429" i="159" s="1"/>
  <c r="D3430" i="159" s="1"/>
  <c r="D3431" i="159" s="1"/>
  <c r="K3428" i="159"/>
  <c r="L3428" i="159"/>
  <c r="K3429" i="159"/>
  <c r="L3429" i="159"/>
  <c r="K3430" i="159"/>
  <c r="L3430" i="159"/>
  <c r="K3431" i="159"/>
  <c r="L3431" i="159"/>
  <c r="F3433" i="159"/>
  <c r="G3433" i="159"/>
  <c r="H3433" i="159"/>
  <c r="I3433" i="159"/>
  <c r="J3433" i="159"/>
  <c r="D3434" i="159"/>
  <c r="E3434" i="159"/>
  <c r="K3434" i="159"/>
  <c r="L3434" i="159"/>
  <c r="M3434" i="159"/>
  <c r="O3434" i="159"/>
  <c r="P3434" i="159"/>
  <c r="D3435" i="159"/>
  <c r="K3435" i="159"/>
  <c r="L3435" i="159"/>
  <c r="D3436" i="159"/>
  <c r="D3437" i="159" s="1"/>
  <c r="D3438" i="159" s="1"/>
  <c r="K3436" i="159"/>
  <c r="L3436" i="159"/>
  <c r="K3437" i="159"/>
  <c r="L3437" i="159"/>
  <c r="K3438" i="159"/>
  <c r="L3438" i="159"/>
  <c r="F3440" i="159"/>
  <c r="G3440" i="159"/>
  <c r="H3440" i="159"/>
  <c r="I3440" i="159"/>
  <c r="J3440" i="159"/>
  <c r="D3441" i="159"/>
  <c r="D3442" i="159" s="1"/>
  <c r="D3443" i="159" s="1"/>
  <c r="D3444" i="159" s="1"/>
  <c r="D3445" i="159" s="1"/>
  <c r="E3441" i="159"/>
  <c r="K3441" i="159"/>
  <c r="L3441" i="159"/>
  <c r="M3441" i="159"/>
  <c r="O3441" i="159"/>
  <c r="P3441" i="159"/>
  <c r="K3442" i="159"/>
  <c r="L3442" i="159"/>
  <c r="K3443" i="159"/>
  <c r="L3443" i="159"/>
  <c r="K3444" i="159"/>
  <c r="L3444" i="159"/>
  <c r="K3445" i="159"/>
  <c r="L3445" i="159"/>
  <c r="F3447" i="159"/>
  <c r="G3447" i="159"/>
  <c r="H3447" i="159"/>
  <c r="I3447" i="159"/>
  <c r="J3447" i="159"/>
  <c r="D3448" i="159"/>
  <c r="D3449" i="159" s="1"/>
  <c r="D3450" i="159" s="1"/>
  <c r="E3448" i="159"/>
  <c r="K3448" i="159"/>
  <c r="L3448" i="159"/>
  <c r="M3448" i="159"/>
  <c r="O3448" i="159"/>
  <c r="P3448" i="159" s="1"/>
  <c r="K3449" i="159"/>
  <c r="L3449" i="159"/>
  <c r="K3450" i="159"/>
  <c r="L3450" i="159"/>
  <c r="D3451" i="159"/>
  <c r="K3451" i="159"/>
  <c r="L3451" i="159"/>
  <c r="D3452" i="159"/>
  <c r="K3452" i="159"/>
  <c r="L3452" i="159"/>
  <c r="F3454" i="159"/>
  <c r="G3454" i="159"/>
  <c r="H3454" i="159"/>
  <c r="I3454" i="159"/>
  <c r="J3454" i="159"/>
  <c r="D3455" i="159"/>
  <c r="E3455" i="159"/>
  <c r="K3455" i="159"/>
  <c r="L3455" i="159"/>
  <c r="M3455" i="159"/>
  <c r="O3455" i="159"/>
  <c r="P3455" i="159" s="1"/>
  <c r="D3456" i="159"/>
  <c r="K3456" i="159"/>
  <c r="L3456" i="159"/>
  <c r="D3457" i="159"/>
  <c r="K3457" i="159"/>
  <c r="L3457" i="159"/>
  <c r="D3458" i="159"/>
  <c r="K3458" i="159"/>
  <c r="L3458" i="159"/>
  <c r="D3459" i="159"/>
  <c r="K3459" i="159"/>
  <c r="L3459" i="159"/>
  <c r="F3461" i="159"/>
  <c r="G3461" i="159"/>
  <c r="H3461" i="159"/>
  <c r="I3461" i="159"/>
  <c r="J3461" i="159"/>
  <c r="D3462" i="159"/>
  <c r="E3462" i="159"/>
  <c r="K3462" i="159"/>
  <c r="L3462" i="159"/>
  <c r="M3462" i="159"/>
  <c r="O3462" i="159"/>
  <c r="P3462" i="159"/>
  <c r="D3463" i="159"/>
  <c r="K3463" i="159"/>
  <c r="L3463" i="159"/>
  <c r="D3464" i="159"/>
  <c r="D3465" i="159" s="1"/>
  <c r="D3466" i="159" s="1"/>
  <c r="K3464" i="159"/>
  <c r="L3464" i="159"/>
  <c r="K3465" i="159"/>
  <c r="L3465" i="159"/>
  <c r="K3466" i="159"/>
  <c r="L3466" i="159"/>
  <c r="F3468" i="159"/>
  <c r="G3468" i="159"/>
  <c r="H3468" i="159"/>
  <c r="I3468" i="159"/>
  <c r="J3468" i="159"/>
  <c r="D3469" i="159"/>
  <c r="E3469" i="159"/>
  <c r="K3469" i="159"/>
  <c r="L3469" i="159"/>
  <c r="M3469" i="159"/>
  <c r="O3469" i="159"/>
  <c r="P3469" i="159"/>
  <c r="D3470" i="159"/>
  <c r="D3471" i="159" s="1"/>
  <c r="D3472" i="159" s="1"/>
  <c r="D3473" i="159" s="1"/>
  <c r="K3470" i="159"/>
  <c r="L3470" i="159"/>
  <c r="K3471" i="159"/>
  <c r="L3471" i="159"/>
  <c r="K3472" i="159"/>
  <c r="L3472" i="159"/>
  <c r="K3473" i="159"/>
  <c r="L3473" i="159"/>
  <c r="F3475" i="159"/>
  <c r="G3475" i="159"/>
  <c r="H3475" i="159"/>
  <c r="I3475" i="159"/>
  <c r="J3475" i="159"/>
  <c r="D3476" i="159"/>
  <c r="D3477" i="159" s="1"/>
  <c r="D3478" i="159" s="1"/>
  <c r="D3479" i="159" s="1"/>
  <c r="D3480" i="159" s="1"/>
  <c r="E3476" i="159"/>
  <c r="K3476" i="159"/>
  <c r="L3476" i="159"/>
  <c r="M3476" i="159"/>
  <c r="O3476" i="159"/>
  <c r="P3476" i="159"/>
  <c r="K3477" i="159"/>
  <c r="L3477" i="159"/>
  <c r="K3478" i="159"/>
  <c r="L3478" i="159"/>
  <c r="K3479" i="159"/>
  <c r="L3479" i="159"/>
  <c r="K3480" i="159"/>
  <c r="L3480" i="159"/>
  <c r="F3482" i="159"/>
  <c r="G3482" i="159"/>
  <c r="H3482" i="159"/>
  <c r="I3482" i="159"/>
  <c r="J3482" i="159"/>
  <c r="D3483" i="159"/>
  <c r="D3484" i="159" s="1"/>
  <c r="D3485" i="159" s="1"/>
  <c r="D3486" i="159" s="1"/>
  <c r="D3487" i="159" s="1"/>
  <c r="E3483" i="159"/>
  <c r="K3483" i="159"/>
  <c r="L3483" i="159"/>
  <c r="M3483" i="159"/>
  <c r="O3483" i="159"/>
  <c r="P3483" i="159"/>
  <c r="K3484" i="159"/>
  <c r="L3484" i="159"/>
  <c r="K3485" i="159"/>
  <c r="L3485" i="159"/>
  <c r="K3486" i="159"/>
  <c r="L3486" i="159"/>
  <c r="K3487" i="159"/>
  <c r="L3487" i="159"/>
  <c r="F3489" i="159"/>
  <c r="G3489" i="159"/>
  <c r="H3489" i="159"/>
  <c r="I3489" i="159"/>
  <c r="J3489" i="159"/>
  <c r="D3490" i="159"/>
  <c r="E3490" i="159"/>
  <c r="K3490" i="159"/>
  <c r="L3490" i="159"/>
  <c r="M3490" i="159"/>
  <c r="O3490" i="159"/>
  <c r="P3490" i="159" s="1"/>
  <c r="D3491" i="159"/>
  <c r="K3491" i="159"/>
  <c r="L3491" i="159"/>
  <c r="D3492" i="159"/>
  <c r="K3492" i="159"/>
  <c r="L3492" i="159"/>
  <c r="D3493" i="159"/>
  <c r="D3494" i="159" s="1"/>
  <c r="K3493" i="159"/>
  <c r="L3493" i="159"/>
  <c r="K3494" i="159"/>
  <c r="L3494" i="159"/>
  <c r="F3496" i="159"/>
  <c r="G3496" i="159"/>
  <c r="H3496" i="159"/>
  <c r="I3496" i="159"/>
  <c r="J3496" i="159"/>
  <c r="D3497" i="159"/>
  <c r="E3497" i="159"/>
  <c r="K3497" i="159"/>
  <c r="L3497" i="159"/>
  <c r="M3497" i="159"/>
  <c r="O3497" i="159"/>
  <c r="P3497" i="159" s="1"/>
  <c r="D3498" i="159"/>
  <c r="K3498" i="159"/>
  <c r="L3498" i="159"/>
  <c r="D3499" i="159"/>
  <c r="D3500" i="159" s="1"/>
  <c r="D3501" i="159" s="1"/>
  <c r="K3499" i="159"/>
  <c r="L3499" i="159"/>
  <c r="K3500" i="159"/>
  <c r="L3500" i="159"/>
  <c r="K3501" i="159"/>
  <c r="L3501" i="159"/>
  <c r="F3503" i="159"/>
  <c r="G3503" i="159"/>
  <c r="H3503" i="159"/>
  <c r="I3503" i="159"/>
  <c r="J3503" i="159"/>
  <c r="D3504" i="159"/>
  <c r="E3504" i="159"/>
  <c r="K3504" i="159"/>
  <c r="L3504" i="159"/>
  <c r="M3504" i="159"/>
  <c r="O3504" i="159"/>
  <c r="P3504" i="159" s="1"/>
  <c r="D3505" i="159"/>
  <c r="D3506" i="159" s="1"/>
  <c r="D3507" i="159" s="1"/>
  <c r="D3508" i="159" s="1"/>
  <c r="K3505" i="159"/>
  <c r="L3505" i="159"/>
  <c r="K3506" i="159"/>
  <c r="L3506" i="159"/>
  <c r="K3507" i="159"/>
  <c r="L3507" i="159"/>
  <c r="K3508" i="159"/>
  <c r="L3508" i="159"/>
  <c r="F3510" i="159"/>
  <c r="G3510" i="159"/>
  <c r="H3510" i="159"/>
  <c r="I3510" i="159"/>
  <c r="J3510" i="159"/>
  <c r="D3511" i="159"/>
  <c r="D3512" i="159" s="1"/>
  <c r="D3513" i="159" s="1"/>
  <c r="D3514" i="159" s="1"/>
  <c r="D3515" i="159" s="1"/>
  <c r="E3511" i="159"/>
  <c r="K3511" i="159"/>
  <c r="L3511" i="159"/>
  <c r="M3511" i="159"/>
  <c r="O3511" i="159"/>
  <c r="P3511" i="159" s="1"/>
  <c r="K3512" i="159"/>
  <c r="L3512" i="159"/>
  <c r="K3513" i="159"/>
  <c r="L3513" i="159"/>
  <c r="K3514" i="159"/>
  <c r="L3514" i="159"/>
  <c r="K3515" i="159"/>
  <c r="L3515" i="159"/>
  <c r="F3517" i="159"/>
  <c r="G3517" i="159"/>
  <c r="H3517" i="159"/>
  <c r="I3517" i="159"/>
  <c r="J3517" i="159"/>
  <c r="D3518" i="159"/>
  <c r="D3519" i="159" s="1"/>
  <c r="D3520" i="159" s="1"/>
  <c r="D3521" i="159" s="1"/>
  <c r="D3522" i="159" s="1"/>
  <c r="E3518" i="159"/>
  <c r="K3518" i="159"/>
  <c r="L3518" i="159"/>
  <c r="M3518" i="159"/>
  <c r="O3518" i="159"/>
  <c r="P3518" i="159" s="1"/>
  <c r="K3519" i="159"/>
  <c r="L3519" i="159"/>
  <c r="K3520" i="159"/>
  <c r="L3520" i="159"/>
  <c r="K3521" i="159"/>
  <c r="L3521" i="159"/>
  <c r="K3522" i="159"/>
  <c r="L3522" i="159"/>
  <c r="F3524" i="159"/>
  <c r="G3524" i="159"/>
  <c r="H3524" i="159"/>
  <c r="I3524" i="159"/>
  <c r="J3524" i="159"/>
  <c r="D3525" i="159"/>
  <c r="E3525" i="159"/>
  <c r="K3525" i="159"/>
  <c r="L3525" i="159"/>
  <c r="M3525" i="159"/>
  <c r="O3525" i="159"/>
  <c r="P3525" i="159" s="1"/>
  <c r="D3526" i="159"/>
  <c r="D3527" i="159" s="1"/>
  <c r="D3528" i="159" s="1"/>
  <c r="D3529" i="159" s="1"/>
  <c r="K3526" i="159"/>
  <c r="L3526" i="159"/>
  <c r="K3527" i="159"/>
  <c r="L3527" i="159"/>
  <c r="K3528" i="159"/>
  <c r="L3528" i="159"/>
  <c r="K3529" i="159"/>
  <c r="L3529" i="159"/>
  <c r="F3531" i="159"/>
  <c r="G3531" i="159"/>
  <c r="H3531" i="159"/>
  <c r="I3531" i="159"/>
  <c r="J3531" i="159"/>
  <c r="D3532" i="159"/>
  <c r="E3532" i="159"/>
  <c r="K3532" i="159"/>
  <c r="L3532" i="159"/>
  <c r="M3532" i="159"/>
  <c r="O3532" i="159"/>
  <c r="P3532" i="159"/>
  <c r="D3533" i="159"/>
  <c r="K3533" i="159"/>
  <c r="L3533" i="159"/>
  <c r="D3534" i="159"/>
  <c r="D3535" i="159" s="1"/>
  <c r="D3536" i="159" s="1"/>
  <c r="K3534" i="159"/>
  <c r="L3534" i="159"/>
  <c r="K3535" i="159"/>
  <c r="L3535" i="159"/>
  <c r="K3536" i="159"/>
  <c r="L3536" i="159"/>
  <c r="F3538" i="159"/>
  <c r="G3538" i="159"/>
  <c r="H3538" i="159"/>
  <c r="I3538" i="159"/>
  <c r="J3538" i="159"/>
  <c r="D3539" i="159"/>
  <c r="E3539" i="159"/>
  <c r="K3539" i="159"/>
  <c r="L3539" i="159"/>
  <c r="M3539" i="159"/>
  <c r="O3539" i="159"/>
  <c r="P3539" i="159"/>
  <c r="D3540" i="159"/>
  <c r="D3541" i="159" s="1"/>
  <c r="D3542" i="159" s="1"/>
  <c r="D3543" i="159" s="1"/>
  <c r="K3540" i="159"/>
  <c r="L3540" i="159"/>
  <c r="K3541" i="159"/>
  <c r="L3541" i="159"/>
  <c r="K3542" i="159"/>
  <c r="L3542" i="159"/>
  <c r="K3543" i="159"/>
  <c r="L3543" i="159"/>
  <c r="F3545" i="159"/>
  <c r="G3545" i="159"/>
  <c r="H3545" i="159"/>
  <c r="I3545" i="159"/>
  <c r="J3545" i="159"/>
  <c r="D3546" i="159"/>
  <c r="D3547" i="159" s="1"/>
  <c r="D3548" i="159" s="1"/>
  <c r="D3549" i="159" s="1"/>
  <c r="D3550" i="159" s="1"/>
  <c r="E3546" i="159"/>
  <c r="K3546" i="159"/>
  <c r="L3546" i="159"/>
  <c r="M3546" i="159"/>
  <c r="O3546" i="159"/>
  <c r="P3546" i="159" s="1"/>
  <c r="K3547" i="159"/>
  <c r="L3547" i="159"/>
  <c r="K3548" i="159"/>
  <c r="L3548" i="159"/>
  <c r="K3549" i="159"/>
  <c r="L3549" i="159"/>
  <c r="K3550" i="159"/>
  <c r="L3550" i="159"/>
  <c r="F3552" i="159"/>
  <c r="G3552" i="159"/>
  <c r="H3552" i="159"/>
  <c r="I3552" i="159"/>
  <c r="J3552" i="159"/>
  <c r="D3553" i="159"/>
  <c r="D3554" i="159" s="1"/>
  <c r="D3555" i="159" s="1"/>
  <c r="D3556" i="159" s="1"/>
  <c r="D3557" i="159" s="1"/>
  <c r="E3553" i="159"/>
  <c r="K3553" i="159"/>
  <c r="L3553" i="159"/>
  <c r="M3553" i="159"/>
  <c r="O3553" i="159"/>
  <c r="P3553" i="159" s="1"/>
  <c r="K3554" i="159"/>
  <c r="L3554" i="159"/>
  <c r="K3555" i="159"/>
  <c r="L3555" i="159"/>
  <c r="K3556" i="159"/>
  <c r="L3556" i="159"/>
  <c r="K3557" i="159"/>
  <c r="L3557" i="159"/>
  <c r="F3559" i="159"/>
  <c r="G3559" i="159"/>
  <c r="H3559" i="159"/>
  <c r="I3559" i="159"/>
  <c r="J3559" i="159"/>
  <c r="D3560" i="159"/>
  <c r="E3560" i="159"/>
  <c r="K3560" i="159"/>
  <c r="L3560" i="159"/>
  <c r="M3560" i="159"/>
  <c r="O3560" i="159"/>
  <c r="P3560" i="159" s="1"/>
  <c r="D3561" i="159"/>
  <c r="D3562" i="159" s="1"/>
  <c r="D3563" i="159" s="1"/>
  <c r="D3564" i="159" s="1"/>
  <c r="K3561" i="159"/>
  <c r="L3561" i="159"/>
  <c r="K3562" i="159"/>
  <c r="L3562" i="159"/>
  <c r="K3563" i="159"/>
  <c r="L3563" i="159"/>
  <c r="K3564" i="159"/>
  <c r="L3564" i="159"/>
  <c r="F3566" i="159"/>
  <c r="G3566" i="159"/>
  <c r="H3566" i="159"/>
  <c r="I3566" i="159"/>
  <c r="J3566" i="159"/>
  <c r="D3567" i="159"/>
  <c r="E3567" i="159"/>
  <c r="K3567" i="159"/>
  <c r="L3567" i="159"/>
  <c r="M3567" i="159"/>
  <c r="N3567" i="159"/>
  <c r="O3567" i="159"/>
  <c r="P3567" i="159" s="1"/>
  <c r="D3568" i="159"/>
  <c r="D3569" i="159" s="1"/>
  <c r="D3570" i="159" s="1"/>
  <c r="D3571" i="159" s="1"/>
  <c r="K3568" i="159"/>
  <c r="L3568" i="159"/>
  <c r="K3569" i="159"/>
  <c r="L3569" i="159"/>
  <c r="K3570" i="159"/>
  <c r="L3570" i="159"/>
  <c r="K3571" i="159"/>
  <c r="L3571" i="159"/>
  <c r="F3573" i="159"/>
  <c r="G3573" i="159"/>
  <c r="H3573" i="159"/>
  <c r="I3573" i="159"/>
  <c r="J3573" i="159"/>
  <c r="D3574" i="159"/>
  <c r="E3574" i="159"/>
  <c r="K3574" i="159"/>
  <c r="L3574" i="159"/>
  <c r="M3574" i="159"/>
  <c r="N3574" i="159"/>
  <c r="O3574" i="159"/>
  <c r="P3574" i="159" s="1"/>
  <c r="D3575" i="159"/>
  <c r="D3576" i="159" s="1"/>
  <c r="D3577" i="159" s="1"/>
  <c r="D3578" i="159" s="1"/>
  <c r="K3575" i="159"/>
  <c r="L3575" i="159"/>
  <c r="K3576" i="159"/>
  <c r="L3576" i="159"/>
  <c r="K3577" i="159"/>
  <c r="L3577" i="159"/>
  <c r="K3578" i="159"/>
  <c r="L3578" i="159"/>
  <c r="F3580" i="159"/>
  <c r="G3580" i="159"/>
  <c r="H3580" i="159"/>
  <c r="I3580" i="159"/>
  <c r="J3580" i="159"/>
  <c r="D3581" i="159"/>
  <c r="D3582" i="159" s="1"/>
  <c r="D3583" i="159" s="1"/>
  <c r="E3581" i="159"/>
  <c r="K3581" i="159"/>
  <c r="L3581" i="159"/>
  <c r="M3581" i="159"/>
  <c r="O3581" i="159"/>
  <c r="P3581" i="159" s="1"/>
  <c r="K3582" i="159"/>
  <c r="L3582" i="159"/>
  <c r="K3583" i="159"/>
  <c r="L3583" i="159"/>
  <c r="D3584" i="159"/>
  <c r="K3584" i="159"/>
  <c r="L3584" i="159"/>
  <c r="D3585" i="159"/>
  <c r="K3585" i="159"/>
  <c r="L3585" i="159"/>
  <c r="F3587" i="159"/>
  <c r="G3587" i="159"/>
  <c r="H3587" i="159"/>
  <c r="I3587" i="159"/>
  <c r="J3587" i="159"/>
  <c r="D3588" i="159"/>
  <c r="D3589" i="159" s="1"/>
  <c r="E3588" i="159"/>
  <c r="K3588" i="159"/>
  <c r="L3588" i="159"/>
  <c r="M3588" i="159"/>
  <c r="O3588" i="159"/>
  <c r="P3588" i="159" s="1"/>
  <c r="K3589" i="159"/>
  <c r="L3589" i="159"/>
  <c r="D3590" i="159"/>
  <c r="K3590" i="159"/>
  <c r="L3590" i="159"/>
  <c r="D3591" i="159"/>
  <c r="K3591" i="159"/>
  <c r="L3591" i="159"/>
  <c r="D3592" i="159"/>
  <c r="K3592" i="159"/>
  <c r="L3592" i="159"/>
  <c r="F3594" i="159"/>
  <c r="G3594" i="159"/>
  <c r="H3594" i="159"/>
  <c r="I3594" i="159"/>
  <c r="J3594" i="159"/>
  <c r="D3595" i="159"/>
  <c r="E3595" i="159"/>
  <c r="K3595" i="159"/>
  <c r="L3595" i="159"/>
  <c r="M3595" i="159"/>
  <c r="O3595" i="159"/>
  <c r="P3595" i="159"/>
  <c r="D3596" i="159"/>
  <c r="K3596" i="159"/>
  <c r="L3596" i="159"/>
  <c r="D3597" i="159"/>
  <c r="D3598" i="159" s="1"/>
  <c r="D3599" i="159" s="1"/>
  <c r="K3597" i="159"/>
  <c r="L3597" i="159"/>
  <c r="K3598" i="159"/>
  <c r="L3598" i="159"/>
  <c r="K3599" i="159"/>
  <c r="L3599" i="159"/>
  <c r="F3601" i="159"/>
  <c r="G3601" i="159"/>
  <c r="H3601" i="159"/>
  <c r="I3601" i="159"/>
  <c r="J3601" i="159"/>
  <c r="D3602" i="159"/>
  <c r="E3602" i="159"/>
  <c r="K3602" i="159"/>
  <c r="L3602" i="159"/>
  <c r="M3602" i="159"/>
  <c r="N3602" i="159"/>
  <c r="O3602" i="159"/>
  <c r="P3602" i="159"/>
  <c r="D3603" i="159"/>
  <c r="D3604" i="159" s="1"/>
  <c r="D3605" i="159" s="1"/>
  <c r="D3606" i="159" s="1"/>
  <c r="K3603" i="159"/>
  <c r="L3603" i="159"/>
  <c r="K3604" i="159"/>
  <c r="L3604" i="159"/>
  <c r="K3605" i="159"/>
  <c r="L3605" i="159"/>
  <c r="K3606" i="159"/>
  <c r="L3606" i="159"/>
  <c r="F3608" i="159"/>
  <c r="G3608" i="159"/>
  <c r="H3608" i="159"/>
  <c r="I3608" i="159"/>
  <c r="J3608" i="159"/>
  <c r="D3609" i="159"/>
  <c r="D3610" i="159" s="1"/>
  <c r="D3611" i="159" s="1"/>
  <c r="D3612" i="159" s="1"/>
  <c r="D3613" i="159" s="1"/>
  <c r="E3609" i="159"/>
  <c r="K3609" i="159"/>
  <c r="L3609" i="159"/>
  <c r="M3609" i="159"/>
  <c r="O3609" i="159"/>
  <c r="P3609" i="159" s="1"/>
  <c r="K3610" i="159"/>
  <c r="L3610" i="159"/>
  <c r="K3611" i="159"/>
  <c r="L3611" i="159"/>
  <c r="K3612" i="159"/>
  <c r="L3612" i="159"/>
  <c r="K3613" i="159"/>
  <c r="L3613" i="159"/>
  <c r="F3615" i="159"/>
  <c r="G3615" i="159"/>
  <c r="H3615" i="159"/>
  <c r="I3615" i="159"/>
  <c r="J3615" i="159"/>
  <c r="D3616" i="159"/>
  <c r="D3617" i="159" s="1"/>
  <c r="D3618" i="159" s="1"/>
  <c r="D3619" i="159" s="1"/>
  <c r="D3620" i="159" s="1"/>
  <c r="E3616" i="159"/>
  <c r="K3616" i="159"/>
  <c r="L3616" i="159"/>
  <c r="M3616" i="159"/>
  <c r="N3616" i="159"/>
  <c r="P3616" i="159"/>
  <c r="K3617" i="159"/>
  <c r="L3617" i="159"/>
  <c r="K3618" i="159"/>
  <c r="L3618" i="159"/>
  <c r="K3619" i="159"/>
  <c r="L3619" i="159"/>
  <c r="K3620" i="159"/>
  <c r="L3620" i="159"/>
  <c r="F3622" i="159"/>
  <c r="G3622" i="159"/>
  <c r="H3622" i="159"/>
  <c r="I3622" i="159"/>
  <c r="J3622" i="159"/>
  <c r="D3623" i="159"/>
  <c r="E3623" i="159"/>
  <c r="K3623" i="159"/>
  <c r="L3623" i="159"/>
  <c r="M3623" i="159"/>
  <c r="N3623" i="159"/>
  <c r="P3623" i="159"/>
  <c r="D3624" i="159"/>
  <c r="K3624" i="159"/>
  <c r="L3624" i="159"/>
  <c r="D3625" i="159"/>
  <c r="D3626" i="159" s="1"/>
  <c r="D3627" i="159" s="1"/>
  <c r="K3625" i="159"/>
  <c r="L3625" i="159"/>
  <c r="K3626" i="159"/>
  <c r="L3626" i="159"/>
  <c r="K3627" i="159"/>
  <c r="L3627" i="159"/>
  <c r="F3629" i="159"/>
  <c r="G3629" i="159"/>
  <c r="H3629" i="159"/>
  <c r="I3629" i="159"/>
  <c r="J3629" i="159"/>
  <c r="D3630" i="159"/>
  <c r="E3630" i="159"/>
  <c r="K3630" i="159"/>
  <c r="L3630" i="159"/>
  <c r="M3630" i="159"/>
  <c r="N3630" i="159"/>
  <c r="P3630" i="159"/>
  <c r="D3631" i="159"/>
  <c r="K3631" i="159"/>
  <c r="L3631" i="159"/>
  <c r="D3632" i="159"/>
  <c r="D3633" i="159" s="1"/>
  <c r="D3634" i="159" s="1"/>
  <c r="K3632" i="159"/>
  <c r="L3632" i="159"/>
  <c r="K3633" i="159"/>
  <c r="L3633" i="159"/>
  <c r="K3634" i="159"/>
  <c r="L3634" i="159"/>
  <c r="F3636" i="159"/>
  <c r="G3636" i="159"/>
  <c r="H3636" i="159"/>
  <c r="I3636" i="159"/>
  <c r="J3636" i="159"/>
  <c r="D3637" i="159"/>
  <c r="E3637" i="159"/>
  <c r="K3637" i="159"/>
  <c r="L3637" i="159"/>
  <c r="M3637" i="159"/>
  <c r="N3637" i="159"/>
  <c r="P3637" i="159"/>
  <c r="D3638" i="159"/>
  <c r="D3639" i="159" s="1"/>
  <c r="D3640" i="159" s="1"/>
  <c r="D3641" i="159" s="1"/>
  <c r="K3638" i="159"/>
  <c r="L3638" i="159"/>
  <c r="K3639" i="159"/>
  <c r="L3639" i="159"/>
  <c r="K3640" i="159"/>
  <c r="L3640" i="159"/>
  <c r="K3641" i="159"/>
  <c r="L3641" i="159"/>
  <c r="F3643" i="159"/>
  <c r="G3643" i="159"/>
  <c r="H3643" i="159"/>
  <c r="I3643" i="159"/>
  <c r="J3643" i="159"/>
  <c r="D3644" i="159"/>
  <c r="E3644" i="159"/>
  <c r="K3644" i="159"/>
  <c r="L3644" i="159"/>
  <c r="M3644" i="159"/>
  <c r="N3644" i="159"/>
  <c r="P3644" i="159"/>
  <c r="D3645" i="159"/>
  <c r="D3646" i="159" s="1"/>
  <c r="D3647" i="159" s="1"/>
  <c r="D3648" i="159" s="1"/>
  <c r="K3645" i="159"/>
  <c r="L3645" i="159"/>
  <c r="K3646" i="159"/>
  <c r="L3646" i="159"/>
  <c r="K3647" i="159"/>
  <c r="L3647" i="159"/>
  <c r="K3648" i="159"/>
  <c r="L3648" i="159"/>
  <c r="F3650" i="159"/>
  <c r="G3650" i="159"/>
  <c r="H3650" i="159"/>
  <c r="I3650" i="159"/>
  <c r="J3650" i="159"/>
  <c r="D3651" i="159"/>
  <c r="D3652" i="159" s="1"/>
  <c r="D3653" i="159" s="1"/>
  <c r="D3654" i="159" s="1"/>
  <c r="D3655" i="159" s="1"/>
  <c r="E3651" i="159"/>
  <c r="K3651" i="159"/>
  <c r="L3651" i="159"/>
  <c r="M3651" i="159"/>
  <c r="O3651" i="159"/>
  <c r="P3651" i="159" s="1"/>
  <c r="K3652" i="159"/>
  <c r="L3652" i="159"/>
  <c r="K3653" i="159"/>
  <c r="L3653" i="159"/>
  <c r="K3654" i="159"/>
  <c r="L3654" i="159"/>
  <c r="K3655" i="159"/>
  <c r="L3655" i="159"/>
  <c r="F3657" i="159"/>
  <c r="G3657" i="159"/>
  <c r="H3657" i="159"/>
  <c r="I3657" i="159"/>
  <c r="J3657" i="159"/>
  <c r="D3658" i="159"/>
  <c r="E3658" i="159"/>
  <c r="K3658" i="159"/>
  <c r="L3658" i="159"/>
  <c r="M3658" i="159"/>
  <c r="O3658" i="159"/>
  <c r="P3658" i="159"/>
  <c r="D3659" i="159"/>
  <c r="D3660" i="159" s="1"/>
  <c r="D3661" i="159" s="1"/>
  <c r="D3662" i="159" s="1"/>
  <c r="K3659" i="159"/>
  <c r="L3659" i="159"/>
  <c r="K3660" i="159"/>
  <c r="L3660" i="159"/>
  <c r="K3661" i="159"/>
  <c r="L3661" i="159"/>
  <c r="K3662" i="159"/>
  <c r="L3662" i="159"/>
  <c r="F3664" i="159"/>
  <c r="G3664" i="159"/>
  <c r="H3664" i="159"/>
  <c r="I3664" i="159"/>
  <c r="J3664" i="159"/>
  <c r="D3665" i="159"/>
  <c r="E3665" i="159"/>
  <c r="K3665" i="159"/>
  <c r="L3665" i="159"/>
  <c r="M3665" i="159"/>
  <c r="O3665" i="159"/>
  <c r="P3665" i="159" s="1"/>
  <c r="D3666" i="159"/>
  <c r="K3666" i="159"/>
  <c r="L3666" i="159"/>
  <c r="D3667" i="159"/>
  <c r="K3667" i="159"/>
  <c r="L3667" i="159"/>
  <c r="D3668" i="159"/>
  <c r="D3669" i="159" s="1"/>
  <c r="K3668" i="159"/>
  <c r="L3668" i="159"/>
  <c r="K3669" i="159"/>
  <c r="L3669" i="159"/>
  <c r="F3671" i="159"/>
  <c r="G3671" i="159"/>
  <c r="H3671" i="159"/>
  <c r="I3671" i="159"/>
  <c r="J3671" i="159"/>
  <c r="D3672" i="159"/>
  <c r="D3673" i="159" s="1"/>
  <c r="D3674" i="159" s="1"/>
  <c r="D3675" i="159" s="1"/>
  <c r="D3676" i="159" s="1"/>
  <c r="E3672" i="159"/>
  <c r="K3672" i="159"/>
  <c r="L3672" i="159"/>
  <c r="M3672" i="159"/>
  <c r="O3672" i="159"/>
  <c r="P3672" i="159" s="1"/>
  <c r="K3673" i="159"/>
  <c r="L3673" i="159"/>
  <c r="K3674" i="159"/>
  <c r="L3674" i="159"/>
  <c r="K3675" i="159"/>
  <c r="L3675" i="159"/>
  <c r="K3676" i="159"/>
  <c r="L3676" i="159"/>
  <c r="F3678" i="159"/>
  <c r="G3678" i="159"/>
  <c r="H3678" i="159"/>
  <c r="I3678" i="159"/>
  <c r="J3678" i="159"/>
  <c r="D3679" i="159"/>
  <c r="D3680" i="159" s="1"/>
  <c r="D3681" i="159" s="1"/>
  <c r="D3682" i="159" s="1"/>
  <c r="D3683" i="159" s="1"/>
  <c r="E3679" i="159"/>
  <c r="K3679" i="159"/>
  <c r="L3679" i="159"/>
  <c r="M3679" i="159"/>
  <c r="O3679" i="159"/>
  <c r="P3679" i="159" s="1"/>
  <c r="K3680" i="159"/>
  <c r="L3680" i="159"/>
  <c r="K3681" i="159"/>
  <c r="L3681" i="159"/>
  <c r="K3682" i="159"/>
  <c r="L3682" i="159"/>
  <c r="K3683" i="159"/>
  <c r="L3683" i="159"/>
  <c r="F3685" i="159"/>
  <c r="G3685" i="159"/>
  <c r="H3685" i="159"/>
  <c r="I3685" i="159"/>
  <c r="J3685" i="159"/>
  <c r="D3686" i="159"/>
  <c r="D3687" i="159" s="1"/>
  <c r="D3688" i="159" s="1"/>
  <c r="D3689" i="159" s="1"/>
  <c r="D3690" i="159" s="1"/>
  <c r="E3686" i="159"/>
  <c r="K3686" i="159"/>
  <c r="L3686" i="159"/>
  <c r="M3686" i="159"/>
  <c r="O3686" i="159"/>
  <c r="P3686" i="159"/>
  <c r="K3687" i="159"/>
  <c r="L3687" i="159"/>
  <c r="K3688" i="159"/>
  <c r="L3688" i="159"/>
  <c r="K3689" i="159"/>
  <c r="L3689" i="159"/>
  <c r="K3690" i="159"/>
  <c r="L3690" i="159"/>
  <c r="F3692" i="159"/>
  <c r="G3692" i="159"/>
  <c r="H3692" i="159"/>
  <c r="I3692" i="159"/>
  <c r="J3692" i="159"/>
  <c r="D3693" i="159"/>
  <c r="E3693" i="159"/>
  <c r="K3693" i="159"/>
  <c r="L3693" i="159"/>
  <c r="M3693" i="159"/>
  <c r="O3693" i="159"/>
  <c r="P3693" i="159"/>
  <c r="D3694" i="159"/>
  <c r="D3695" i="159" s="1"/>
  <c r="D3696" i="159" s="1"/>
  <c r="D3697" i="159" s="1"/>
  <c r="K3694" i="159"/>
  <c r="L3694" i="159"/>
  <c r="K3695" i="159"/>
  <c r="L3695" i="159"/>
  <c r="K3696" i="159"/>
  <c r="L3696" i="159"/>
  <c r="K3697" i="159"/>
  <c r="L3697" i="159"/>
  <c r="F3699" i="159"/>
  <c r="G3699" i="159"/>
  <c r="H3699" i="159"/>
  <c r="I3699" i="159"/>
  <c r="J3699" i="159"/>
  <c r="D3700" i="159"/>
  <c r="E3700" i="159"/>
  <c r="K3700" i="159"/>
  <c r="L3700" i="159"/>
  <c r="M3700" i="159"/>
  <c r="O3700" i="159"/>
  <c r="P3700" i="159"/>
  <c r="D3701" i="159"/>
  <c r="K3701" i="159"/>
  <c r="L3701" i="159"/>
  <c r="D3702" i="159"/>
  <c r="D3703" i="159" s="1"/>
  <c r="D3704" i="159" s="1"/>
  <c r="K3702" i="159"/>
  <c r="L3702" i="159"/>
  <c r="K3703" i="159"/>
  <c r="L3703" i="159"/>
  <c r="K3704" i="159"/>
  <c r="L3704" i="159"/>
  <c r="F3706" i="159"/>
  <c r="G3706" i="159"/>
  <c r="H3706" i="159"/>
  <c r="I3706" i="159"/>
  <c r="J3706" i="159"/>
  <c r="D3707" i="159"/>
  <c r="E3707" i="159"/>
  <c r="K3707" i="159"/>
  <c r="L3707" i="159"/>
  <c r="M3707" i="159"/>
  <c r="O3707" i="159"/>
  <c r="P3707" i="159"/>
  <c r="D3708" i="159"/>
  <c r="D3709" i="159" s="1"/>
  <c r="D3710" i="159" s="1"/>
  <c r="D3711" i="159" s="1"/>
  <c r="K3708" i="159"/>
  <c r="L3708" i="159"/>
  <c r="K3709" i="159"/>
  <c r="L3709" i="159"/>
  <c r="K3710" i="159"/>
  <c r="L3710" i="159"/>
  <c r="K3711" i="159"/>
  <c r="L3711" i="159"/>
  <c r="F3713" i="159"/>
  <c r="G3713" i="159"/>
  <c r="H3713" i="159"/>
  <c r="I3713" i="159"/>
  <c r="J3713" i="159"/>
  <c r="D3714" i="159"/>
  <c r="E3714" i="159"/>
  <c r="K3714" i="159"/>
  <c r="L3714" i="159"/>
  <c r="M3714" i="159"/>
  <c r="O3714" i="159"/>
  <c r="P3714" i="159" s="1"/>
  <c r="D3715" i="159"/>
  <c r="D3716" i="159" s="1"/>
  <c r="D3717" i="159" s="1"/>
  <c r="D3718" i="159" s="1"/>
  <c r="K3715" i="159"/>
  <c r="L3715" i="159"/>
  <c r="K3716" i="159"/>
  <c r="L3716" i="159"/>
  <c r="K3717" i="159"/>
  <c r="L3717" i="159"/>
  <c r="K3718" i="159"/>
  <c r="L3718" i="159"/>
  <c r="F3720" i="159"/>
  <c r="G3720" i="159"/>
  <c r="H3720" i="159"/>
  <c r="I3720" i="159"/>
  <c r="J3720" i="159"/>
  <c r="D3721" i="159"/>
  <c r="D3722" i="159" s="1"/>
  <c r="D3723" i="159" s="1"/>
  <c r="D3724" i="159" s="1"/>
  <c r="D3725" i="159" s="1"/>
  <c r="E3721" i="159"/>
  <c r="K3721" i="159"/>
  <c r="L3721" i="159"/>
  <c r="M3721" i="159"/>
  <c r="P3721" i="159"/>
  <c r="K3722" i="159"/>
  <c r="L3722" i="159"/>
  <c r="K3723" i="159"/>
  <c r="L3723" i="159"/>
  <c r="K3724" i="159"/>
  <c r="L3724" i="159"/>
  <c r="K3725" i="159"/>
  <c r="L3725" i="159"/>
  <c r="F3727" i="159"/>
  <c r="G3727" i="159"/>
  <c r="H3727" i="159"/>
  <c r="I3727" i="159"/>
  <c r="J3727" i="159"/>
  <c r="D3728" i="159"/>
  <c r="D3729" i="159" s="1"/>
  <c r="D3730" i="159" s="1"/>
  <c r="D3731" i="159" s="1"/>
  <c r="D3732" i="159" s="1"/>
  <c r="E3728" i="159"/>
  <c r="K3728" i="159"/>
  <c r="L3728" i="159"/>
  <c r="M3728" i="159"/>
  <c r="O3728" i="159"/>
  <c r="P3728" i="159" s="1"/>
  <c r="K3729" i="159"/>
  <c r="L3729" i="159"/>
  <c r="K3730" i="159"/>
  <c r="L3730" i="159"/>
  <c r="K3731" i="159"/>
  <c r="L3731" i="159"/>
  <c r="K3732" i="159"/>
  <c r="L3732" i="159"/>
  <c r="F3734" i="159"/>
  <c r="G3734" i="159"/>
  <c r="H3734" i="159"/>
  <c r="I3734" i="159"/>
  <c r="J3734" i="159"/>
  <c r="D3735" i="159"/>
  <c r="E3735" i="159"/>
  <c r="K3735" i="159"/>
  <c r="L3735" i="159"/>
  <c r="M3735" i="159"/>
  <c r="O3735" i="159"/>
  <c r="P3735" i="159" s="1"/>
  <c r="D3736" i="159"/>
  <c r="K3736" i="159"/>
  <c r="L3736" i="159"/>
  <c r="D3737" i="159"/>
  <c r="D3738" i="159" s="1"/>
  <c r="D3739" i="159" s="1"/>
  <c r="K3737" i="159"/>
  <c r="L3737" i="159"/>
  <c r="K3738" i="159"/>
  <c r="L3738" i="159"/>
  <c r="K3739" i="159"/>
  <c r="L3739" i="159"/>
  <c r="F3741" i="159"/>
  <c r="G3741" i="159"/>
  <c r="H3741" i="159"/>
  <c r="I3741" i="159"/>
  <c r="J3741" i="159"/>
  <c r="D3742" i="159"/>
  <c r="E3742" i="159"/>
  <c r="K3742" i="159"/>
  <c r="L3742" i="159"/>
  <c r="M3742" i="159"/>
  <c r="P3742" i="159"/>
  <c r="D3743" i="159"/>
  <c r="D3744" i="159" s="1"/>
  <c r="D3745" i="159" s="1"/>
  <c r="D3746" i="159" s="1"/>
  <c r="K3743" i="159"/>
  <c r="L3743" i="159"/>
  <c r="K3744" i="159"/>
  <c r="L3744" i="159"/>
  <c r="K3745" i="159"/>
  <c r="L3745" i="159"/>
  <c r="K3746" i="159"/>
  <c r="L3746" i="159"/>
  <c r="F3748" i="159"/>
  <c r="G3748" i="159"/>
  <c r="H3748" i="159"/>
  <c r="I3748" i="159"/>
  <c r="J3748" i="159"/>
  <c r="D3749" i="159"/>
  <c r="E3749" i="159"/>
  <c r="K3749" i="159"/>
  <c r="L3749" i="159"/>
  <c r="M3749" i="159"/>
  <c r="O3749" i="159"/>
  <c r="P3749" i="159" s="1"/>
  <c r="D3750" i="159"/>
  <c r="D3751" i="159" s="1"/>
  <c r="D3752" i="159" s="1"/>
  <c r="D3753" i="159" s="1"/>
  <c r="K3750" i="159"/>
  <c r="L3750" i="159"/>
  <c r="K3751" i="159"/>
  <c r="L3751" i="159"/>
  <c r="K3752" i="159"/>
  <c r="L3752" i="159"/>
  <c r="K3753" i="159"/>
  <c r="L3753" i="159"/>
  <c r="F3755" i="159"/>
  <c r="G3755" i="159"/>
  <c r="H3755" i="159"/>
  <c r="I3755" i="159"/>
  <c r="J3755" i="159"/>
  <c r="D3756" i="159"/>
  <c r="D3757" i="159" s="1"/>
  <c r="D3758" i="159" s="1"/>
  <c r="D3759" i="159" s="1"/>
  <c r="E3756" i="159"/>
  <c r="K3756" i="159"/>
  <c r="L3756" i="159"/>
  <c r="M3756" i="159"/>
  <c r="P3756" i="159"/>
  <c r="K3757" i="159"/>
  <c r="L3757" i="159"/>
  <c r="K3758" i="159"/>
  <c r="L3758" i="159"/>
  <c r="K3759" i="159"/>
  <c r="L3759" i="159"/>
  <c r="D3760" i="159"/>
  <c r="K3760" i="159"/>
  <c r="L3760" i="159"/>
  <c r="F3762" i="159"/>
  <c r="G3762" i="159"/>
  <c r="H3762" i="159"/>
  <c r="I3762" i="159"/>
  <c r="J3762" i="159"/>
  <c r="D3763" i="159"/>
  <c r="D3764" i="159" s="1"/>
  <c r="D3765" i="159" s="1"/>
  <c r="E3763" i="159"/>
  <c r="K3763" i="159"/>
  <c r="L3763" i="159"/>
  <c r="M3763" i="159"/>
  <c r="O3763" i="159"/>
  <c r="P3763" i="159" s="1"/>
  <c r="K3764" i="159"/>
  <c r="L3764" i="159"/>
  <c r="K3765" i="159"/>
  <c r="L3765" i="159"/>
  <c r="D3766" i="159"/>
  <c r="K3766" i="159"/>
  <c r="L3766" i="159"/>
  <c r="D3767" i="159"/>
  <c r="K3767" i="159"/>
  <c r="L3767" i="159"/>
  <c r="F3769" i="159"/>
  <c r="G3769" i="159"/>
  <c r="H3769" i="159"/>
  <c r="I3769" i="159"/>
  <c r="J3769" i="159"/>
  <c r="D3770" i="159"/>
  <c r="E3770" i="159"/>
  <c r="K3770" i="159"/>
  <c r="L3770" i="159"/>
  <c r="M3770" i="159"/>
  <c r="O3770" i="159"/>
  <c r="P3770" i="159" s="1"/>
  <c r="D3771" i="159"/>
  <c r="K3771" i="159"/>
  <c r="L3771" i="159"/>
  <c r="D3772" i="159"/>
  <c r="K3772" i="159"/>
  <c r="L3772" i="159"/>
  <c r="D3773" i="159"/>
  <c r="D3774" i="159" s="1"/>
  <c r="K3773" i="159"/>
  <c r="L3773" i="159"/>
  <c r="K3774" i="159"/>
  <c r="L3774" i="159"/>
  <c r="F3776" i="159"/>
  <c r="G3776" i="159"/>
  <c r="H3776" i="159"/>
  <c r="I3776" i="159"/>
  <c r="J3776" i="159"/>
  <c r="D3777" i="159"/>
  <c r="E3777" i="159"/>
  <c r="K3777" i="159"/>
  <c r="L3777" i="159"/>
  <c r="M3777" i="159"/>
  <c r="O3777" i="159"/>
  <c r="P3777" i="159"/>
  <c r="D3778" i="159"/>
  <c r="K3778" i="159"/>
  <c r="L3778" i="159"/>
  <c r="D3779" i="159"/>
  <c r="D3780" i="159" s="1"/>
  <c r="D3781" i="159" s="1"/>
  <c r="K3779" i="159"/>
  <c r="L3779" i="159"/>
  <c r="K3780" i="159"/>
  <c r="L3780" i="159"/>
  <c r="K3781" i="159"/>
  <c r="L3781" i="159"/>
  <c r="F3783" i="159"/>
  <c r="G3783" i="159"/>
  <c r="H3783" i="159"/>
  <c r="I3783" i="159"/>
  <c r="J3783" i="159"/>
  <c r="D3784" i="159"/>
  <c r="E3784" i="159"/>
  <c r="K3784" i="159"/>
  <c r="L3784" i="159"/>
  <c r="M3784" i="159"/>
  <c r="O3784" i="159"/>
  <c r="P3784" i="159"/>
  <c r="D3785" i="159"/>
  <c r="D3786" i="159" s="1"/>
  <c r="D3787" i="159" s="1"/>
  <c r="D3788" i="159" s="1"/>
  <c r="K3785" i="159"/>
  <c r="L3785" i="159"/>
  <c r="K3786" i="159"/>
  <c r="L3786" i="159"/>
  <c r="K3787" i="159"/>
  <c r="L3787" i="159"/>
  <c r="K3788" i="159"/>
  <c r="L3788" i="159"/>
  <c r="F3790" i="159"/>
  <c r="G3790" i="159"/>
  <c r="H3790" i="159"/>
  <c r="I3790" i="159"/>
  <c r="J3790" i="159"/>
  <c r="D3791" i="159"/>
  <c r="D3792" i="159" s="1"/>
  <c r="D3793" i="159" s="1"/>
  <c r="D3794" i="159" s="1"/>
  <c r="D3795" i="159" s="1"/>
  <c r="E3791" i="159"/>
  <c r="K3791" i="159"/>
  <c r="L3791" i="159"/>
  <c r="M3791" i="159"/>
  <c r="O3791" i="159"/>
  <c r="P3791" i="159" s="1"/>
  <c r="K3792" i="159"/>
  <c r="L3792" i="159"/>
  <c r="K3793" i="159"/>
  <c r="L3793" i="159"/>
  <c r="K3794" i="159"/>
  <c r="L3794" i="159"/>
  <c r="K3795" i="159"/>
  <c r="L3795" i="159"/>
  <c r="F3797" i="159"/>
  <c r="G3797" i="159"/>
  <c r="H3797" i="159"/>
  <c r="I3797" i="159"/>
  <c r="J3797" i="159"/>
  <c r="D3798" i="159"/>
  <c r="D3799" i="159" s="1"/>
  <c r="D3800" i="159" s="1"/>
  <c r="D3801" i="159" s="1"/>
  <c r="D3802" i="159" s="1"/>
  <c r="E3798" i="159"/>
  <c r="K3798" i="159"/>
  <c r="L3798" i="159"/>
  <c r="M3798" i="159"/>
  <c r="P3798" i="159"/>
  <c r="K3799" i="159"/>
  <c r="L3799" i="159"/>
  <c r="K3800" i="159"/>
  <c r="L3800" i="159"/>
  <c r="K3801" i="159"/>
  <c r="L3801" i="159"/>
  <c r="K3802" i="159"/>
  <c r="L3802" i="159"/>
  <c r="F3804" i="159"/>
  <c r="G3804" i="159"/>
  <c r="H3804" i="159"/>
  <c r="I3804" i="159"/>
  <c r="J3804" i="159"/>
  <c r="D3805" i="159"/>
  <c r="E3805" i="159"/>
  <c r="K3805" i="159"/>
  <c r="L3805" i="159"/>
  <c r="M3805" i="159"/>
  <c r="P3805" i="159"/>
  <c r="D3806" i="159"/>
  <c r="K3806" i="159"/>
  <c r="L3806" i="159"/>
  <c r="D3807" i="159"/>
  <c r="K3807" i="159"/>
  <c r="L3807" i="159"/>
  <c r="D3808" i="159"/>
  <c r="D3809" i="159" s="1"/>
  <c r="K3808" i="159"/>
  <c r="L3808" i="159"/>
  <c r="K3809" i="159"/>
  <c r="L3809" i="159"/>
  <c r="F3811" i="159"/>
  <c r="G3811" i="159"/>
  <c r="H3811" i="159"/>
  <c r="I3811" i="159"/>
  <c r="J3811" i="159"/>
  <c r="D3812" i="159"/>
  <c r="E3812" i="159"/>
  <c r="K3812" i="159"/>
  <c r="L3812" i="159"/>
  <c r="M3812" i="159"/>
  <c r="N3812" i="159"/>
  <c r="P3812" i="159"/>
  <c r="D3813" i="159"/>
  <c r="K3813" i="159"/>
  <c r="L3813" i="159"/>
  <c r="D3814" i="159"/>
  <c r="D3815" i="159" s="1"/>
  <c r="D3816" i="159" s="1"/>
  <c r="K3814" i="159"/>
  <c r="L3814" i="159"/>
  <c r="K3815" i="159"/>
  <c r="L3815" i="159"/>
  <c r="K3816" i="159"/>
  <c r="L3816" i="159"/>
  <c r="F3818" i="159"/>
  <c r="G3818" i="159"/>
  <c r="H3818" i="159"/>
  <c r="I3818" i="159"/>
  <c r="J3818" i="159"/>
  <c r="D3819" i="159"/>
  <c r="E3819" i="159"/>
  <c r="K3819" i="159"/>
  <c r="L3819" i="159"/>
  <c r="M3819" i="159"/>
  <c r="P3819" i="159"/>
  <c r="D3820" i="159"/>
  <c r="D3821" i="159" s="1"/>
  <c r="D3822" i="159" s="1"/>
  <c r="D3823" i="159" s="1"/>
  <c r="K3820" i="159"/>
  <c r="L3820" i="159"/>
  <c r="K3821" i="159"/>
  <c r="L3821" i="159"/>
  <c r="K3822" i="159"/>
  <c r="L3822" i="159"/>
  <c r="K3823" i="159"/>
  <c r="L3823" i="159"/>
  <c r="F3825" i="159"/>
  <c r="G3825" i="159"/>
  <c r="H3825" i="159"/>
  <c r="I3825" i="159"/>
  <c r="J3825" i="159"/>
  <c r="D3826" i="159"/>
  <c r="E3826" i="159"/>
  <c r="K3826" i="159"/>
  <c r="L3826" i="159"/>
  <c r="M3826" i="159"/>
  <c r="P3826" i="159"/>
  <c r="D3827" i="159"/>
  <c r="D3828" i="159" s="1"/>
  <c r="D3829" i="159" s="1"/>
  <c r="D3830" i="159" s="1"/>
  <c r="K3827" i="159"/>
  <c r="L3827" i="159"/>
  <c r="K3828" i="159"/>
  <c r="L3828" i="159"/>
  <c r="K3829" i="159"/>
  <c r="L3829" i="159"/>
  <c r="K3830" i="159"/>
  <c r="L3830" i="159"/>
  <c r="F3832" i="159"/>
  <c r="G3832" i="159"/>
  <c r="H3832" i="159"/>
  <c r="I3832" i="159"/>
  <c r="J3832" i="159"/>
  <c r="D3833" i="159"/>
  <c r="E3833" i="159"/>
  <c r="K3833" i="159"/>
  <c r="L3833" i="159"/>
  <c r="M3833" i="159"/>
  <c r="P3833" i="159"/>
  <c r="D3834" i="159"/>
  <c r="D3835" i="159" s="1"/>
  <c r="D3836" i="159" s="1"/>
  <c r="D3837" i="159" s="1"/>
  <c r="K3834" i="159"/>
  <c r="L3834" i="159"/>
  <c r="K3835" i="159"/>
  <c r="L3835" i="159"/>
  <c r="K3836" i="159"/>
  <c r="L3836" i="159"/>
  <c r="K3837" i="159"/>
  <c r="L3837" i="159"/>
  <c r="F3839" i="159"/>
  <c r="G3839" i="159"/>
  <c r="H3839" i="159"/>
  <c r="I3839" i="159"/>
  <c r="J3839" i="159"/>
  <c r="D3840" i="159"/>
  <c r="D3841" i="159" s="1"/>
  <c r="D3842" i="159" s="1"/>
  <c r="D3843" i="159" s="1"/>
  <c r="D3844" i="159" s="1"/>
  <c r="E3840" i="159"/>
  <c r="K3840" i="159"/>
  <c r="L3840" i="159"/>
  <c r="M3840" i="159"/>
  <c r="P3840" i="159"/>
  <c r="K3841" i="159"/>
  <c r="L3841" i="159"/>
  <c r="K3842" i="159"/>
  <c r="L3842" i="159"/>
  <c r="K3843" i="159"/>
  <c r="L3843" i="159"/>
  <c r="K3844" i="159"/>
  <c r="L3844" i="159"/>
  <c r="F3846" i="159"/>
  <c r="G3846" i="159"/>
  <c r="H3846" i="159"/>
  <c r="I3846" i="159"/>
  <c r="J3846" i="159"/>
  <c r="D3847" i="159"/>
  <c r="D3848" i="159" s="1"/>
  <c r="D3849" i="159" s="1"/>
  <c r="D3850" i="159" s="1"/>
  <c r="D3851" i="159" s="1"/>
  <c r="E3847" i="159"/>
  <c r="K3847" i="159"/>
  <c r="L3847" i="159"/>
  <c r="M3847" i="159"/>
  <c r="O3847" i="159"/>
  <c r="P3847" i="159" s="1"/>
  <c r="K3848" i="159"/>
  <c r="L3848" i="159"/>
  <c r="K3849" i="159"/>
  <c r="L3849" i="159"/>
  <c r="K3850" i="159"/>
  <c r="L3850" i="159"/>
  <c r="K3851" i="159"/>
  <c r="L3851" i="159"/>
  <c r="F3853" i="159"/>
  <c r="G3853" i="159"/>
  <c r="H3853" i="159"/>
  <c r="I3853" i="159"/>
  <c r="J3853" i="159"/>
  <c r="D3854" i="159"/>
  <c r="E3854" i="159"/>
  <c r="K3854" i="159"/>
  <c r="L3854" i="159"/>
  <c r="M3854" i="159"/>
  <c r="N3854" i="159"/>
  <c r="P3854" i="159"/>
  <c r="D3855" i="159"/>
  <c r="D3856" i="159" s="1"/>
  <c r="D3857" i="159" s="1"/>
  <c r="D3858" i="159" s="1"/>
  <c r="K3855" i="159"/>
  <c r="L3855" i="159"/>
  <c r="K3856" i="159"/>
  <c r="L3856" i="159"/>
  <c r="K3857" i="159"/>
  <c r="L3857" i="159"/>
  <c r="K3858" i="159"/>
  <c r="L3858" i="159"/>
  <c r="F3860" i="159"/>
  <c r="G3860" i="159"/>
  <c r="H3860" i="159"/>
  <c r="I3860" i="159"/>
  <c r="J3860" i="159"/>
  <c r="D3861" i="159"/>
  <c r="E3861" i="159"/>
  <c r="K3861" i="159"/>
  <c r="L3861" i="159"/>
  <c r="M3861" i="159"/>
  <c r="O3861" i="159"/>
  <c r="P3861" i="159" s="1"/>
  <c r="D3862" i="159"/>
  <c r="D3863" i="159" s="1"/>
  <c r="D3864" i="159" s="1"/>
  <c r="D3865" i="159" s="1"/>
  <c r="K3862" i="159"/>
  <c r="L3862" i="159"/>
  <c r="K3863" i="159"/>
  <c r="L3863" i="159"/>
  <c r="K3864" i="159"/>
  <c r="L3864" i="159"/>
  <c r="K3865" i="159"/>
  <c r="L3865" i="159"/>
  <c r="F3867" i="159"/>
  <c r="G3867" i="159"/>
  <c r="H3867" i="159"/>
  <c r="I3867" i="159"/>
  <c r="J3867" i="159"/>
  <c r="D3868" i="159"/>
  <c r="E3868" i="159"/>
  <c r="K3868" i="159"/>
  <c r="L3868" i="159"/>
  <c r="M3868" i="159"/>
  <c r="O3868" i="159"/>
  <c r="P3868" i="159"/>
  <c r="D3869" i="159"/>
  <c r="D3870" i="159" s="1"/>
  <c r="D3871" i="159" s="1"/>
  <c r="D3872" i="159" s="1"/>
  <c r="K3869" i="159"/>
  <c r="L3869" i="159"/>
  <c r="K3870" i="159"/>
  <c r="L3870" i="159"/>
  <c r="K3871" i="159"/>
  <c r="L3871" i="159"/>
  <c r="K3872" i="159"/>
  <c r="L3872" i="159"/>
  <c r="F3874" i="159"/>
  <c r="G3874" i="159"/>
  <c r="H3874" i="159"/>
  <c r="I3874" i="159"/>
  <c r="J3874" i="159"/>
  <c r="D3875" i="159"/>
  <c r="D3876" i="159" s="1"/>
  <c r="D3877" i="159" s="1"/>
  <c r="D3878" i="159" s="1"/>
  <c r="D3879" i="159" s="1"/>
  <c r="E3875" i="159"/>
  <c r="K3875" i="159"/>
  <c r="L3875" i="159"/>
  <c r="M3875" i="159"/>
  <c r="P3875" i="159"/>
  <c r="K3876" i="159"/>
  <c r="L3876" i="159"/>
  <c r="K3877" i="159"/>
  <c r="L3877" i="159"/>
  <c r="K3878" i="159"/>
  <c r="L3878" i="159"/>
  <c r="K3879" i="159"/>
  <c r="L3879" i="159"/>
  <c r="F3881" i="159"/>
  <c r="G3881" i="159"/>
  <c r="H3881" i="159"/>
  <c r="I3881" i="159"/>
  <c r="J3881" i="159"/>
  <c r="D3882" i="159"/>
  <c r="D3883" i="159" s="1"/>
  <c r="D3884" i="159" s="1"/>
  <c r="D3885" i="159" s="1"/>
  <c r="D3886" i="159" s="1"/>
  <c r="E3882" i="159"/>
  <c r="K3882" i="159"/>
  <c r="L3882" i="159"/>
  <c r="M3882" i="159"/>
  <c r="O3882" i="159"/>
  <c r="P3882" i="159" s="1"/>
  <c r="K3883" i="159"/>
  <c r="L3883" i="159"/>
  <c r="K3884" i="159"/>
  <c r="L3884" i="159"/>
  <c r="K3885" i="159"/>
  <c r="L3885" i="159"/>
  <c r="K3886" i="159"/>
  <c r="L3886" i="159"/>
  <c r="F3888" i="159"/>
  <c r="G3888" i="159"/>
  <c r="H3888" i="159"/>
  <c r="I3888" i="159"/>
  <c r="J3888" i="159"/>
  <c r="D3889" i="159"/>
  <c r="E3889" i="159"/>
  <c r="K3889" i="159"/>
  <c r="L3889" i="159"/>
  <c r="M3889" i="159"/>
  <c r="P3889" i="159"/>
  <c r="D3890" i="159"/>
  <c r="D3891" i="159" s="1"/>
  <c r="D3892" i="159" s="1"/>
  <c r="D3893" i="159" s="1"/>
  <c r="K3890" i="159"/>
  <c r="L3890" i="159"/>
  <c r="K3891" i="159"/>
  <c r="L3891" i="159"/>
  <c r="K3892" i="159"/>
  <c r="L3892" i="159"/>
  <c r="K3893" i="159"/>
  <c r="L3893" i="159"/>
  <c r="F3895" i="159"/>
  <c r="G3895" i="159"/>
  <c r="H3895" i="159"/>
  <c r="I3895" i="159"/>
  <c r="J3895" i="159"/>
  <c r="D3896" i="159"/>
  <c r="E3896" i="159"/>
  <c r="K3896" i="159"/>
  <c r="L3896" i="159"/>
  <c r="M3896" i="159"/>
  <c r="O3896" i="159"/>
  <c r="P3896" i="159" s="1"/>
  <c r="D3897" i="159"/>
  <c r="D3898" i="159" s="1"/>
  <c r="D3899" i="159" s="1"/>
  <c r="D3900" i="159" s="1"/>
  <c r="K3897" i="159"/>
  <c r="L3897" i="159"/>
  <c r="K3898" i="159"/>
  <c r="L3898" i="159"/>
  <c r="K3899" i="159"/>
  <c r="L3899" i="159"/>
  <c r="K3900" i="159"/>
  <c r="L3900" i="159"/>
  <c r="F3902" i="159"/>
  <c r="G3902" i="159"/>
  <c r="H3902" i="159"/>
  <c r="I3902" i="159"/>
  <c r="J3902" i="159"/>
  <c r="D3903" i="159"/>
  <c r="E3903" i="159"/>
  <c r="K3903" i="159"/>
  <c r="L3903" i="159"/>
  <c r="M3903" i="159"/>
  <c r="P3903" i="159"/>
  <c r="D3904" i="159"/>
  <c r="D3905" i="159" s="1"/>
  <c r="D3906" i="159" s="1"/>
  <c r="D3907" i="159" s="1"/>
  <c r="K3904" i="159"/>
  <c r="L3904" i="159"/>
  <c r="K3905" i="159"/>
  <c r="L3905" i="159"/>
  <c r="K3906" i="159"/>
  <c r="L3906" i="159"/>
  <c r="K3907" i="159"/>
  <c r="L3907" i="159"/>
  <c r="F3909" i="159"/>
  <c r="G3909" i="159"/>
  <c r="H3909" i="159"/>
  <c r="I3909" i="159"/>
  <c r="J3909" i="159"/>
  <c r="D3910" i="159"/>
  <c r="E3910" i="159"/>
  <c r="K3910" i="159"/>
  <c r="L3910" i="159"/>
  <c r="M3910" i="159"/>
  <c r="O3910" i="159"/>
  <c r="P3910" i="159" s="1"/>
  <c r="D3911" i="159"/>
  <c r="D3912" i="159" s="1"/>
  <c r="D3913" i="159" s="1"/>
  <c r="K3911" i="159"/>
  <c r="L3911" i="159"/>
  <c r="K3912" i="159"/>
  <c r="L3912" i="159"/>
  <c r="K3913" i="159"/>
  <c r="L3913" i="159"/>
  <c r="D3914" i="159"/>
  <c r="K3914" i="159"/>
  <c r="L3914" i="159"/>
  <c r="F3916" i="159"/>
  <c r="G3916" i="159"/>
  <c r="H3916" i="159"/>
  <c r="I3916" i="159"/>
  <c r="J3916" i="159"/>
  <c r="D3917" i="159"/>
  <c r="D3918" i="159" s="1"/>
  <c r="D3919" i="159" s="1"/>
  <c r="D3920" i="159" s="1"/>
  <c r="D3921" i="159" s="1"/>
  <c r="E3917" i="159"/>
  <c r="K3917" i="159"/>
  <c r="L3917" i="159"/>
  <c r="M3917" i="159"/>
  <c r="P3917" i="159"/>
  <c r="K3918" i="159"/>
  <c r="L3918" i="159"/>
  <c r="K3919" i="159"/>
  <c r="L3919" i="159"/>
  <c r="K3920" i="159"/>
  <c r="L3920" i="159"/>
  <c r="K3921" i="159"/>
  <c r="L3921" i="159"/>
  <c r="F3923" i="159"/>
  <c r="G3923" i="159"/>
  <c r="H3923" i="159"/>
  <c r="I3923" i="159"/>
  <c r="J3923" i="159"/>
  <c r="D3924" i="159"/>
  <c r="D3925" i="159" s="1"/>
  <c r="D3926" i="159" s="1"/>
  <c r="D3927" i="159" s="1"/>
  <c r="D3928" i="159" s="1"/>
  <c r="E3924" i="159"/>
  <c r="K3924" i="159"/>
  <c r="L3924" i="159"/>
  <c r="M3924" i="159"/>
  <c r="O3924" i="159"/>
  <c r="P3924" i="159" s="1"/>
  <c r="K3925" i="159"/>
  <c r="L3925" i="159"/>
  <c r="K3926" i="159"/>
  <c r="L3926" i="159"/>
  <c r="K3927" i="159"/>
  <c r="L3927" i="159"/>
  <c r="K3928" i="159"/>
  <c r="L3928" i="159"/>
  <c r="F3930" i="159"/>
  <c r="G3930" i="159"/>
  <c r="H3930" i="159"/>
  <c r="I3930" i="159"/>
  <c r="J3930" i="159"/>
  <c r="D3931" i="159"/>
  <c r="E3931" i="159"/>
  <c r="K3931" i="159"/>
  <c r="L3931" i="159"/>
  <c r="M3931" i="159"/>
  <c r="P3931" i="159"/>
  <c r="D3932" i="159"/>
  <c r="K3932" i="159"/>
  <c r="L3932" i="159"/>
  <c r="D3933" i="159"/>
  <c r="D3934" i="159" s="1"/>
  <c r="D3935" i="159" s="1"/>
  <c r="K3933" i="159"/>
  <c r="L3933" i="159"/>
  <c r="K3934" i="159"/>
  <c r="L3934" i="159"/>
  <c r="K3935" i="159"/>
  <c r="L3935" i="159"/>
  <c r="F3937" i="159"/>
  <c r="G3937" i="159"/>
  <c r="H3937" i="159"/>
  <c r="I3937" i="159"/>
  <c r="J3937" i="159"/>
  <c r="D3938" i="159"/>
  <c r="E3938" i="159"/>
  <c r="K3938" i="159"/>
  <c r="L3938" i="159"/>
  <c r="M3938" i="159"/>
  <c r="O3938" i="159"/>
  <c r="P3938" i="159" s="1"/>
  <c r="D3939" i="159"/>
  <c r="K3939" i="159"/>
  <c r="L3939" i="159"/>
  <c r="D3940" i="159"/>
  <c r="K3940" i="159"/>
  <c r="L3940" i="159"/>
  <c r="D3941" i="159"/>
  <c r="D3942" i="159" s="1"/>
  <c r="K3941" i="159"/>
  <c r="L3941" i="159"/>
  <c r="K3942" i="159"/>
  <c r="L3942" i="159"/>
  <c r="F3944" i="159"/>
  <c r="G3944" i="159"/>
  <c r="H3944" i="159"/>
  <c r="I3944" i="159"/>
  <c r="J3944" i="159"/>
  <c r="D3945" i="159"/>
  <c r="D3946" i="159" s="1"/>
  <c r="D3947" i="159" s="1"/>
  <c r="D3948" i="159" s="1"/>
  <c r="D3949" i="159" s="1"/>
  <c r="E3945" i="159"/>
  <c r="K3945" i="159"/>
  <c r="L3945" i="159"/>
  <c r="M3945" i="159"/>
  <c r="P3945" i="159"/>
  <c r="K3946" i="159"/>
  <c r="L3946" i="159"/>
  <c r="K3947" i="159"/>
  <c r="L3947" i="159"/>
  <c r="K3948" i="159"/>
  <c r="L3948" i="159"/>
  <c r="K3949" i="159"/>
  <c r="L3949" i="159"/>
  <c r="F3951" i="159"/>
  <c r="G3951" i="159"/>
  <c r="H3951" i="159"/>
  <c r="I3951" i="159"/>
  <c r="J3951" i="159"/>
  <c r="D3952" i="159"/>
  <c r="D3953" i="159" s="1"/>
  <c r="D3954" i="159" s="1"/>
  <c r="D3955" i="159" s="1"/>
  <c r="D3956" i="159" s="1"/>
  <c r="E3952" i="159"/>
  <c r="K3952" i="159"/>
  <c r="L3952" i="159"/>
  <c r="M3952" i="159"/>
  <c r="P3952" i="159"/>
  <c r="K3953" i="159"/>
  <c r="L3953" i="159"/>
  <c r="K3954" i="159"/>
  <c r="L3954" i="159"/>
  <c r="K3955" i="159"/>
  <c r="L3955" i="159"/>
  <c r="K3956" i="159"/>
  <c r="L3956" i="159"/>
  <c r="F3958" i="159"/>
  <c r="G3958" i="159"/>
  <c r="H3958" i="159"/>
  <c r="I3958" i="159"/>
  <c r="J3958" i="159"/>
  <c r="D3959" i="159"/>
  <c r="D3960" i="159" s="1"/>
  <c r="D3961" i="159" s="1"/>
  <c r="D3962" i="159" s="1"/>
  <c r="D3963" i="159" s="1"/>
  <c r="E3959" i="159"/>
  <c r="K3959" i="159"/>
  <c r="L3959" i="159"/>
  <c r="M3959" i="159"/>
  <c r="O3959" i="159"/>
  <c r="P3959" i="159" s="1"/>
  <c r="K3960" i="159"/>
  <c r="L3960" i="159"/>
  <c r="K3961" i="159"/>
  <c r="L3961" i="159"/>
  <c r="K3962" i="159"/>
  <c r="L3962" i="159"/>
  <c r="K3963" i="159"/>
  <c r="L3963" i="159"/>
  <c r="F3965" i="159"/>
  <c r="G3965" i="159"/>
  <c r="H3965" i="159"/>
  <c r="I3965" i="159"/>
  <c r="J3965" i="159"/>
  <c r="D3966" i="159"/>
  <c r="D3967" i="159" s="1"/>
  <c r="D3968" i="159" s="1"/>
  <c r="D3969" i="159" s="1"/>
  <c r="D3970" i="159" s="1"/>
  <c r="E3966" i="159"/>
  <c r="K3966" i="159"/>
  <c r="L3966" i="159"/>
  <c r="M3966" i="159"/>
  <c r="O3966" i="159"/>
  <c r="P3966" i="159" s="1"/>
  <c r="K3967" i="159"/>
  <c r="L3967" i="159"/>
  <c r="K3968" i="159"/>
  <c r="L3968" i="159"/>
  <c r="K3969" i="159"/>
  <c r="L3969" i="159"/>
  <c r="K3970" i="159"/>
  <c r="L3970" i="159"/>
  <c r="F3972" i="159"/>
  <c r="G3972" i="159"/>
  <c r="H3972" i="159"/>
  <c r="I3972" i="159"/>
  <c r="J3972" i="159"/>
  <c r="D3973" i="159"/>
  <c r="E3973" i="159"/>
  <c r="K3973" i="159"/>
  <c r="L3973" i="159"/>
  <c r="M3973" i="159"/>
  <c r="P3973" i="159"/>
  <c r="D3974" i="159"/>
  <c r="D3975" i="159" s="1"/>
  <c r="D3976" i="159" s="1"/>
  <c r="D3977" i="159" s="1"/>
  <c r="K3974" i="159"/>
  <c r="L3974" i="159"/>
  <c r="K3975" i="159"/>
  <c r="L3975" i="159"/>
  <c r="K3976" i="159"/>
  <c r="L3976" i="159"/>
  <c r="K3977" i="159"/>
  <c r="L3977" i="159"/>
  <c r="F3979" i="159"/>
  <c r="G3979" i="159"/>
  <c r="H3979" i="159"/>
  <c r="I3979" i="159"/>
  <c r="J3979" i="159"/>
  <c r="D3980" i="159"/>
  <c r="E3980" i="159"/>
  <c r="K3980" i="159"/>
  <c r="L3980" i="159"/>
  <c r="M3980" i="159"/>
  <c r="P3980" i="159"/>
  <c r="D3981" i="159"/>
  <c r="D3982" i="159" s="1"/>
  <c r="D3983" i="159" s="1"/>
  <c r="D3984" i="159" s="1"/>
  <c r="K3981" i="159"/>
  <c r="L3981" i="159"/>
  <c r="K3982" i="159"/>
  <c r="L3982" i="159"/>
  <c r="K3983" i="159"/>
  <c r="L3983" i="159"/>
  <c r="K3984" i="159"/>
  <c r="L3984" i="159"/>
  <c r="F3986" i="159"/>
  <c r="G3986" i="159"/>
  <c r="H3986" i="159"/>
  <c r="I3986" i="159"/>
  <c r="J3986" i="159"/>
  <c r="D3987" i="159"/>
  <c r="D3988" i="159" s="1"/>
  <c r="D3989" i="159" s="1"/>
  <c r="D3990" i="159" s="1"/>
  <c r="D3991" i="159" s="1"/>
  <c r="E3987" i="159"/>
  <c r="K3987" i="159"/>
  <c r="L3987" i="159"/>
  <c r="M3987" i="159"/>
  <c r="P3987" i="159"/>
  <c r="K3988" i="159"/>
  <c r="L3988" i="159"/>
  <c r="K3989" i="159"/>
  <c r="L3989" i="159"/>
  <c r="K3990" i="159"/>
  <c r="L3990" i="159"/>
  <c r="K3991" i="159"/>
  <c r="L3991" i="159"/>
  <c r="F3993" i="159"/>
  <c r="G3993" i="159"/>
  <c r="H3993" i="159"/>
  <c r="I3993" i="159"/>
  <c r="J3993" i="159"/>
  <c r="D3994" i="159"/>
  <c r="E3994" i="159"/>
  <c r="K3994" i="159"/>
  <c r="L3994" i="159"/>
  <c r="M3994" i="159"/>
  <c r="P3994" i="159"/>
  <c r="D3995" i="159"/>
  <c r="D3996" i="159" s="1"/>
  <c r="D3997" i="159" s="1"/>
  <c r="D3998" i="159" s="1"/>
  <c r="K3995" i="159"/>
  <c r="L3995" i="159"/>
  <c r="K3996" i="159"/>
  <c r="L3996" i="159"/>
  <c r="K3997" i="159"/>
  <c r="L3997" i="159"/>
  <c r="K3998" i="159"/>
  <c r="L3998" i="159"/>
  <c r="F4000" i="159"/>
  <c r="G4000" i="159"/>
  <c r="H4000" i="159"/>
  <c r="I4000" i="159"/>
  <c r="J4000" i="159"/>
  <c r="D4001" i="159"/>
  <c r="D4002" i="159" s="1"/>
  <c r="D4003" i="159" s="1"/>
  <c r="D4004" i="159" s="1"/>
  <c r="D4005" i="159" s="1"/>
  <c r="E4001" i="159"/>
  <c r="K4001" i="159"/>
  <c r="L4001" i="159"/>
  <c r="M4001" i="159"/>
  <c r="P4001" i="159"/>
  <c r="K4002" i="159"/>
  <c r="L4002" i="159"/>
  <c r="K4003" i="159"/>
  <c r="L4003" i="159"/>
  <c r="K4004" i="159"/>
  <c r="L4004" i="159"/>
  <c r="K4005" i="159"/>
  <c r="L4005" i="159"/>
  <c r="F4007" i="159"/>
  <c r="G4007" i="159"/>
  <c r="H4007" i="159"/>
  <c r="I4007" i="159"/>
  <c r="J4007" i="159"/>
  <c r="D4008" i="159"/>
  <c r="D4009" i="159" s="1"/>
  <c r="D4010" i="159" s="1"/>
  <c r="D4011" i="159" s="1"/>
  <c r="D4012" i="159" s="1"/>
  <c r="E4008" i="159"/>
  <c r="K4008" i="159"/>
  <c r="L4008" i="159"/>
  <c r="M4008" i="159"/>
  <c r="O4008" i="159"/>
  <c r="P4008" i="159" s="1"/>
  <c r="K4009" i="159"/>
  <c r="L4009" i="159"/>
  <c r="K4010" i="159"/>
  <c r="L4010" i="159"/>
  <c r="K4011" i="159"/>
  <c r="L4011" i="159"/>
  <c r="K4012" i="159"/>
  <c r="L4012" i="159"/>
  <c r="F4014" i="159"/>
  <c r="G4014" i="159"/>
  <c r="H4014" i="159"/>
  <c r="I4014" i="159"/>
  <c r="J4014" i="159"/>
  <c r="D4015" i="159"/>
  <c r="E4015" i="159"/>
  <c r="K4015" i="159"/>
  <c r="L4015" i="159"/>
  <c r="M4015" i="159"/>
  <c r="O4015" i="159"/>
  <c r="P4015" i="159"/>
  <c r="D4016" i="159"/>
  <c r="D4017" i="159" s="1"/>
  <c r="D4018" i="159" s="1"/>
  <c r="D4019" i="159" s="1"/>
  <c r="K4016" i="159"/>
  <c r="L4016" i="159"/>
  <c r="K4017" i="159"/>
  <c r="L4017" i="159"/>
  <c r="K4018" i="159"/>
  <c r="L4018" i="159"/>
  <c r="K4019" i="159"/>
  <c r="L4019" i="159"/>
  <c r="F4021" i="159"/>
  <c r="G4021" i="159"/>
  <c r="H4021" i="159"/>
  <c r="I4021" i="159"/>
  <c r="J4021" i="159"/>
  <c r="D4022" i="159"/>
  <c r="E4022" i="159"/>
  <c r="K4022" i="159"/>
  <c r="L4022" i="159"/>
  <c r="M4022" i="159"/>
  <c r="P4022" i="159"/>
  <c r="D4023" i="159"/>
  <c r="K4023" i="159"/>
  <c r="L4023" i="159"/>
  <c r="D4024" i="159"/>
  <c r="K4024" i="159"/>
  <c r="L4024" i="159"/>
  <c r="D4025" i="159"/>
  <c r="D4026" i="159" s="1"/>
  <c r="K4025" i="159"/>
  <c r="L4025" i="159"/>
  <c r="K4026" i="159"/>
  <c r="L4026" i="159"/>
  <c r="F4028" i="159"/>
  <c r="G4028" i="159"/>
  <c r="H4028" i="159"/>
  <c r="I4028" i="159"/>
  <c r="J4028" i="159"/>
  <c r="D4029" i="159"/>
  <c r="D4030" i="159" s="1"/>
  <c r="D4031" i="159" s="1"/>
  <c r="D4032" i="159" s="1"/>
  <c r="D4033" i="159" s="1"/>
  <c r="E4029" i="159"/>
  <c r="K4029" i="159"/>
  <c r="L4029" i="159"/>
  <c r="M4029" i="159"/>
  <c r="P4029" i="159"/>
  <c r="K4030" i="159"/>
  <c r="L4030" i="159"/>
  <c r="K4031" i="159"/>
  <c r="L4031" i="159"/>
  <c r="K4032" i="159"/>
  <c r="L4032" i="159"/>
  <c r="K4033" i="159"/>
  <c r="L4033" i="159"/>
  <c r="F4035" i="159"/>
  <c r="G4035" i="159"/>
  <c r="H4035" i="159"/>
  <c r="I4035" i="159"/>
  <c r="J4035" i="159"/>
  <c r="D4036" i="159"/>
  <c r="D4037" i="159" s="1"/>
  <c r="D4038" i="159" s="1"/>
  <c r="D4039" i="159" s="1"/>
  <c r="D4040" i="159" s="1"/>
  <c r="E4036" i="159"/>
  <c r="K4036" i="159"/>
  <c r="L4036" i="159"/>
  <c r="M4036" i="159"/>
  <c r="P4036" i="159"/>
  <c r="K4037" i="159"/>
  <c r="L4037" i="159"/>
  <c r="K4038" i="159"/>
  <c r="L4038" i="159"/>
  <c r="K4039" i="159"/>
  <c r="L4039" i="159"/>
  <c r="K4040" i="159"/>
  <c r="L4040" i="159"/>
  <c r="F4042" i="159"/>
  <c r="G4042" i="159"/>
  <c r="H4042" i="159"/>
  <c r="I4042" i="159"/>
  <c r="J4042" i="159"/>
  <c r="D4043" i="159"/>
  <c r="D4044" i="159" s="1"/>
  <c r="D4045" i="159" s="1"/>
  <c r="D4046" i="159" s="1"/>
  <c r="D4047" i="159" s="1"/>
  <c r="E4043" i="159"/>
  <c r="K4043" i="159"/>
  <c r="L4043" i="159"/>
  <c r="M4043" i="159"/>
  <c r="P4043" i="159"/>
  <c r="K4044" i="159"/>
  <c r="L4044" i="159"/>
  <c r="K4045" i="159"/>
  <c r="L4045" i="159"/>
  <c r="K4046" i="159"/>
  <c r="L4046" i="159"/>
  <c r="K4047" i="159"/>
  <c r="L4047" i="159"/>
  <c r="F4049" i="159"/>
  <c r="G4049" i="159"/>
  <c r="H4049" i="159"/>
  <c r="I4049" i="159"/>
  <c r="J4049" i="159"/>
  <c r="D4050" i="159"/>
  <c r="D4051" i="159" s="1"/>
  <c r="D4052" i="159" s="1"/>
  <c r="D4053" i="159" s="1"/>
  <c r="D4054" i="159" s="1"/>
  <c r="E4050" i="159"/>
  <c r="K4050" i="159"/>
  <c r="L4050" i="159"/>
  <c r="M4050" i="159"/>
  <c r="P4050" i="159"/>
  <c r="K4051" i="159"/>
  <c r="L4051" i="159"/>
  <c r="K4052" i="159"/>
  <c r="L4052" i="159"/>
  <c r="K4053" i="159"/>
  <c r="L4053" i="159"/>
  <c r="K4054" i="159"/>
  <c r="L4054" i="159"/>
  <c r="F4056" i="159"/>
  <c r="G4056" i="159"/>
  <c r="H4056" i="159"/>
  <c r="I4056" i="159"/>
  <c r="J4056" i="159"/>
  <c r="D4057" i="159"/>
  <c r="E4057" i="159"/>
  <c r="K4057" i="159"/>
  <c r="L4057" i="159"/>
  <c r="M4057" i="159"/>
  <c r="P4057" i="159"/>
  <c r="D4058" i="159"/>
  <c r="D4059" i="159" s="1"/>
  <c r="D4060" i="159" s="1"/>
  <c r="K4058" i="159"/>
  <c r="L4058" i="159"/>
  <c r="K4059" i="159"/>
  <c r="L4059" i="159"/>
  <c r="K4060" i="159"/>
  <c r="L4060" i="159"/>
  <c r="D4061" i="159"/>
  <c r="K4061" i="159"/>
  <c r="L4061" i="159"/>
  <c r="F4063" i="159"/>
  <c r="G4063" i="159"/>
  <c r="H4063" i="159"/>
  <c r="I4063" i="159"/>
  <c r="J4063" i="159"/>
  <c r="D4064" i="159"/>
  <c r="E4064" i="159"/>
  <c r="K4064" i="159"/>
  <c r="L4064" i="159"/>
  <c r="M4064" i="159"/>
  <c r="P4064" i="159"/>
  <c r="D4065" i="159"/>
  <c r="K4065" i="159"/>
  <c r="L4065" i="159"/>
  <c r="D4066" i="159"/>
  <c r="K4066" i="159"/>
  <c r="L4066" i="159"/>
  <c r="D4067" i="159"/>
  <c r="D4068" i="159" s="1"/>
  <c r="K4067" i="159"/>
  <c r="L4067" i="159"/>
  <c r="K4068" i="159"/>
  <c r="L4068" i="159"/>
  <c r="F4070" i="159"/>
  <c r="G4070" i="159"/>
  <c r="H4070" i="159"/>
  <c r="I4070" i="159"/>
  <c r="J4070" i="159"/>
  <c r="D4071" i="159"/>
  <c r="E4071" i="159"/>
  <c r="K4071" i="159"/>
  <c r="L4071" i="159"/>
  <c r="M4071" i="159"/>
  <c r="O4071" i="159"/>
  <c r="P4071" i="159"/>
  <c r="D4072" i="159"/>
  <c r="K4072" i="159"/>
  <c r="L4072" i="159"/>
  <c r="D4073" i="159"/>
  <c r="D4074" i="159" s="1"/>
  <c r="D4075" i="159" s="1"/>
  <c r="K4073" i="159"/>
  <c r="L4073" i="159"/>
  <c r="K4074" i="159"/>
  <c r="L4074" i="159"/>
  <c r="K4075" i="159"/>
  <c r="L4075" i="159"/>
  <c r="F4077" i="159"/>
  <c r="G4077" i="159"/>
  <c r="H4077" i="159"/>
  <c r="I4077" i="159"/>
  <c r="J4077" i="159"/>
  <c r="D4078" i="159"/>
  <c r="E4078" i="159"/>
  <c r="K4078" i="159"/>
  <c r="L4078" i="159"/>
  <c r="M4078" i="159"/>
  <c r="O4078" i="159"/>
  <c r="P4078" i="159" s="1"/>
  <c r="D4079" i="159"/>
  <c r="D4080" i="159" s="1"/>
  <c r="D4081" i="159" s="1"/>
  <c r="D4082" i="159" s="1"/>
  <c r="K4079" i="159"/>
  <c r="L4079" i="159"/>
  <c r="K4080" i="159"/>
  <c r="L4080" i="159"/>
  <c r="K4081" i="159"/>
  <c r="L4081" i="159"/>
  <c r="K4082" i="159"/>
  <c r="L4082" i="159"/>
  <c r="F4084" i="159"/>
  <c r="G4084" i="159"/>
  <c r="H4084" i="159"/>
  <c r="I4084" i="159"/>
  <c r="J4084" i="159"/>
  <c r="D4085" i="159"/>
  <c r="E4085" i="159"/>
  <c r="K4085" i="159"/>
  <c r="L4085" i="159"/>
  <c r="M4085" i="159"/>
  <c r="O4085" i="159"/>
  <c r="P4085" i="159" s="1"/>
  <c r="D4086" i="159"/>
  <c r="D4087" i="159" s="1"/>
  <c r="D4088" i="159" s="1"/>
  <c r="D4089" i="159" s="1"/>
  <c r="K4086" i="159"/>
  <c r="L4086" i="159"/>
  <c r="K4087" i="159"/>
  <c r="L4087" i="159"/>
  <c r="K4088" i="159"/>
  <c r="L4088" i="159"/>
  <c r="K4089" i="159"/>
  <c r="L4089" i="159"/>
  <c r="F4091" i="159"/>
  <c r="G4091" i="159"/>
  <c r="H4091" i="159"/>
  <c r="I4091" i="159"/>
  <c r="J4091" i="159"/>
  <c r="D4092" i="159"/>
  <c r="D4093" i="159" s="1"/>
  <c r="D4094" i="159" s="1"/>
  <c r="D4095" i="159" s="1"/>
  <c r="D4096" i="159" s="1"/>
  <c r="E4092" i="159"/>
  <c r="K4092" i="159"/>
  <c r="L4092" i="159"/>
  <c r="M4092" i="159"/>
  <c r="O4092" i="159"/>
  <c r="P4092" i="159"/>
  <c r="K4093" i="159"/>
  <c r="L4093" i="159"/>
  <c r="K4094" i="159"/>
  <c r="L4094" i="159"/>
  <c r="K4095" i="159"/>
  <c r="L4095" i="159"/>
  <c r="K4096" i="159"/>
  <c r="L4096" i="159"/>
  <c r="F4098" i="159"/>
  <c r="G4098" i="159"/>
  <c r="H4098" i="159"/>
  <c r="I4098" i="159"/>
  <c r="J4098" i="159"/>
  <c r="D4099" i="159"/>
  <c r="E4099" i="159"/>
  <c r="K4099" i="159"/>
  <c r="L4099" i="159"/>
  <c r="M4099" i="159"/>
  <c r="O4099" i="159"/>
  <c r="P4099" i="159"/>
  <c r="D4100" i="159"/>
  <c r="D4101" i="159" s="1"/>
  <c r="D4102" i="159" s="1"/>
  <c r="D4103" i="159" s="1"/>
  <c r="K4100" i="159"/>
  <c r="L4100" i="159"/>
  <c r="K4101" i="159"/>
  <c r="L4101" i="159"/>
  <c r="K4102" i="159"/>
  <c r="L4102" i="159"/>
  <c r="K4103" i="159"/>
  <c r="L4103" i="159"/>
  <c r="F4105" i="159"/>
  <c r="G4105" i="159"/>
  <c r="H4105" i="159"/>
  <c r="I4105" i="159"/>
  <c r="J4105" i="159"/>
  <c r="D4106" i="159"/>
  <c r="E4106" i="159"/>
  <c r="K4106" i="159"/>
  <c r="L4106" i="159"/>
  <c r="M4106" i="159"/>
  <c r="O4106" i="159"/>
  <c r="P4106" i="159"/>
  <c r="D4107" i="159"/>
  <c r="K4107" i="159"/>
  <c r="L4107" i="159"/>
  <c r="D4108" i="159"/>
  <c r="K4108" i="159"/>
  <c r="L4108" i="159"/>
  <c r="D4109" i="159"/>
  <c r="D4110" i="159" s="1"/>
  <c r="K4109" i="159"/>
  <c r="L4109" i="159"/>
  <c r="K4110" i="159"/>
  <c r="L4110" i="159"/>
  <c r="F4112" i="159"/>
  <c r="G4112" i="159"/>
  <c r="H4112" i="159"/>
  <c r="I4112" i="159"/>
  <c r="J4112" i="159"/>
  <c r="D4113" i="159"/>
  <c r="D4114" i="159" s="1"/>
  <c r="D4115" i="159" s="1"/>
  <c r="D4116" i="159" s="1"/>
  <c r="D4117" i="159" s="1"/>
  <c r="E4113" i="159"/>
  <c r="K4113" i="159"/>
  <c r="L4113" i="159"/>
  <c r="M4113" i="159"/>
  <c r="O4113" i="159"/>
  <c r="P4113" i="159"/>
  <c r="K4114" i="159"/>
  <c r="L4114" i="159"/>
  <c r="K4115" i="159"/>
  <c r="L4115" i="159"/>
  <c r="K4116" i="159"/>
  <c r="L4116" i="159"/>
  <c r="K4117" i="159"/>
  <c r="L4117" i="159"/>
  <c r="F4119" i="159"/>
  <c r="G4119" i="159"/>
  <c r="H4119" i="159"/>
  <c r="I4119" i="159"/>
  <c r="J4119" i="159"/>
  <c r="D4120" i="159"/>
  <c r="E4120" i="159"/>
  <c r="K4120" i="159"/>
  <c r="L4120" i="159"/>
  <c r="M4120" i="159"/>
  <c r="O4120" i="159"/>
  <c r="P4120" i="159"/>
  <c r="D4121" i="159"/>
  <c r="D4122" i="159" s="1"/>
  <c r="D4123" i="159" s="1"/>
  <c r="D4124" i="159" s="1"/>
  <c r="K4121" i="159"/>
  <c r="L4121" i="159"/>
  <c r="K4122" i="159"/>
  <c r="L4122" i="159"/>
  <c r="K4123" i="159"/>
  <c r="L4123" i="159"/>
  <c r="K4124" i="159"/>
  <c r="L4124" i="159"/>
  <c r="F4126" i="159"/>
  <c r="G4126" i="159"/>
  <c r="H4126" i="159"/>
  <c r="I4126" i="159"/>
  <c r="J4126" i="159"/>
  <c r="D4127" i="159"/>
  <c r="D4128" i="159" s="1"/>
  <c r="D4129" i="159" s="1"/>
  <c r="D4130" i="159" s="1"/>
  <c r="D4131" i="159" s="1"/>
  <c r="E4127" i="159"/>
  <c r="K4127" i="159"/>
  <c r="L4127" i="159"/>
  <c r="M4127" i="159"/>
  <c r="O4127" i="159"/>
  <c r="P4127" i="159"/>
  <c r="K4128" i="159"/>
  <c r="L4128" i="159"/>
  <c r="K4129" i="159"/>
  <c r="L4129" i="159"/>
  <c r="K4130" i="159"/>
  <c r="L4130" i="159"/>
  <c r="K4131" i="159"/>
  <c r="L4131" i="159"/>
  <c r="F4133" i="159"/>
  <c r="G4133" i="159"/>
  <c r="H4133" i="159"/>
  <c r="I4133" i="159"/>
  <c r="J4133" i="159"/>
  <c r="D4134" i="159"/>
  <c r="E4134" i="159"/>
  <c r="K4134" i="159"/>
  <c r="L4134" i="159"/>
  <c r="M4134" i="159"/>
  <c r="O4134" i="159"/>
  <c r="P4134" i="159"/>
  <c r="D4135" i="159"/>
  <c r="D4136" i="159" s="1"/>
  <c r="D4137" i="159" s="1"/>
  <c r="D4138" i="159" s="1"/>
  <c r="K4135" i="159"/>
  <c r="L4135" i="159"/>
  <c r="K4136" i="159"/>
  <c r="L4136" i="159"/>
  <c r="K4137" i="159"/>
  <c r="L4137" i="159"/>
  <c r="K4138" i="159"/>
  <c r="L4138" i="159"/>
  <c r="F4140" i="159"/>
  <c r="G4140" i="159"/>
  <c r="H4140" i="159"/>
  <c r="I4140" i="159"/>
  <c r="J4140" i="159"/>
  <c r="D4141" i="159"/>
  <c r="E4141" i="159"/>
  <c r="K4141" i="159"/>
  <c r="L4141" i="159"/>
  <c r="M4141" i="159"/>
  <c r="O4141" i="159"/>
  <c r="P4141" i="159"/>
  <c r="D4142" i="159"/>
  <c r="K4142" i="159"/>
  <c r="L4142" i="159"/>
  <c r="D4143" i="159"/>
  <c r="D4144" i="159" s="1"/>
  <c r="D4145" i="159" s="1"/>
  <c r="K4143" i="159"/>
  <c r="L4143" i="159"/>
  <c r="K4144" i="159"/>
  <c r="L4144" i="159"/>
  <c r="K4145" i="159"/>
  <c r="L4145" i="159"/>
  <c r="F4147" i="159"/>
  <c r="G4147" i="159"/>
  <c r="H4147" i="159"/>
  <c r="I4147" i="159"/>
  <c r="J4147" i="159"/>
  <c r="D4148" i="159"/>
  <c r="D4149" i="159" s="1"/>
  <c r="D4150" i="159" s="1"/>
  <c r="D4151" i="159" s="1"/>
  <c r="D4152" i="159" s="1"/>
  <c r="E4148" i="159"/>
  <c r="K4148" i="159"/>
  <c r="L4148" i="159"/>
  <c r="M4148" i="159"/>
  <c r="O4148" i="159"/>
  <c r="P4148" i="159"/>
  <c r="K4149" i="159"/>
  <c r="L4149" i="159"/>
  <c r="K4150" i="159"/>
  <c r="L4150" i="159"/>
  <c r="K4151" i="159"/>
  <c r="L4151" i="159"/>
  <c r="K4152" i="159"/>
  <c r="L4152" i="159"/>
  <c r="F4154" i="159"/>
  <c r="G4154" i="159"/>
  <c r="H4154" i="159"/>
  <c r="I4154" i="159"/>
  <c r="J4154" i="159"/>
  <c r="D4155" i="159"/>
  <c r="E4155" i="159"/>
  <c r="K4155" i="159"/>
  <c r="L4155" i="159"/>
  <c r="M4155" i="159"/>
  <c r="O4155" i="159"/>
  <c r="P4155" i="159" s="1"/>
  <c r="D4156" i="159"/>
  <c r="D4157" i="159" s="1"/>
  <c r="D4158" i="159" s="1"/>
  <c r="D4159" i="159" s="1"/>
  <c r="K4156" i="159"/>
  <c r="L4156" i="159"/>
  <c r="K4157" i="159"/>
  <c r="L4157" i="159"/>
  <c r="K4158" i="159"/>
  <c r="L4158" i="159"/>
  <c r="K4159" i="159"/>
  <c r="L4159" i="159"/>
  <c r="F4161" i="159"/>
  <c r="G4161" i="159"/>
  <c r="H4161" i="159"/>
  <c r="I4161" i="159"/>
  <c r="J4161" i="159"/>
  <c r="D4162" i="159"/>
  <c r="D4163" i="159" s="1"/>
  <c r="D4164" i="159" s="1"/>
  <c r="D4165" i="159" s="1"/>
  <c r="D4166" i="159" s="1"/>
  <c r="E4162" i="159"/>
  <c r="K4162" i="159"/>
  <c r="L4162" i="159"/>
  <c r="M4162" i="159"/>
  <c r="P4162" i="159"/>
  <c r="K4163" i="159"/>
  <c r="L4163" i="159"/>
  <c r="K4164" i="159"/>
  <c r="L4164" i="159"/>
  <c r="K4165" i="159"/>
  <c r="L4165" i="159"/>
  <c r="K4166" i="159"/>
  <c r="L4166" i="159"/>
  <c r="F4168" i="159"/>
  <c r="G4168" i="159"/>
  <c r="H4168" i="159"/>
  <c r="I4168" i="159"/>
  <c r="J4168" i="159"/>
  <c r="D4169" i="159"/>
  <c r="D4170" i="159" s="1"/>
  <c r="D4171" i="159" s="1"/>
  <c r="D4172" i="159" s="1"/>
  <c r="D4173" i="159" s="1"/>
  <c r="E4169" i="159"/>
  <c r="K4169" i="159"/>
  <c r="L4169" i="159"/>
  <c r="M4169" i="159"/>
  <c r="O4169" i="159"/>
  <c r="P4169" i="159" s="1"/>
  <c r="K4170" i="159"/>
  <c r="L4170" i="159"/>
  <c r="K4171" i="159"/>
  <c r="L4171" i="159"/>
  <c r="K4172" i="159"/>
  <c r="L4172" i="159"/>
  <c r="K4173" i="159"/>
  <c r="L4173" i="159"/>
  <c r="F4175" i="159"/>
  <c r="G4175" i="159"/>
  <c r="H4175" i="159"/>
  <c r="I4175" i="159"/>
  <c r="J4175" i="159"/>
  <c r="D4176" i="159"/>
  <c r="E4176" i="159"/>
  <c r="K4176" i="159"/>
  <c r="L4176" i="159"/>
  <c r="M4176" i="159"/>
  <c r="P4176" i="159"/>
  <c r="D4177" i="159"/>
  <c r="K4177" i="159"/>
  <c r="L4177" i="159"/>
  <c r="D4178" i="159"/>
  <c r="D4179" i="159" s="1"/>
  <c r="D4180" i="159" s="1"/>
  <c r="K4178" i="159"/>
  <c r="L4178" i="159"/>
  <c r="K4179" i="159"/>
  <c r="L4179" i="159"/>
  <c r="K4180" i="159"/>
  <c r="L4180" i="159"/>
  <c r="F4182" i="159"/>
  <c r="G4182" i="159"/>
  <c r="H4182" i="159"/>
  <c r="I4182" i="159"/>
  <c r="J4182" i="159"/>
  <c r="D4183" i="159"/>
  <c r="D4184" i="159" s="1"/>
  <c r="D4185" i="159" s="1"/>
  <c r="D4186" i="159" s="1"/>
  <c r="D4187" i="159" s="1"/>
  <c r="E4183" i="159"/>
  <c r="K4183" i="159"/>
  <c r="L4183" i="159"/>
  <c r="M4183" i="159"/>
  <c r="P4183" i="159"/>
  <c r="K4184" i="159"/>
  <c r="L4184" i="159"/>
  <c r="K4185" i="159"/>
  <c r="L4185" i="159"/>
  <c r="K4186" i="159"/>
  <c r="L4186" i="159"/>
  <c r="K4187" i="159"/>
  <c r="L4187" i="159"/>
  <c r="F4189" i="159"/>
  <c r="G4189" i="159"/>
  <c r="H4189" i="159"/>
  <c r="I4189" i="159"/>
  <c r="J4189" i="159"/>
  <c r="D4190" i="159"/>
  <c r="E4190" i="159"/>
  <c r="K4190" i="159"/>
  <c r="L4190" i="159"/>
  <c r="M4190" i="159"/>
  <c r="O4190" i="159"/>
  <c r="P4190" i="159" s="1"/>
  <c r="D4191" i="159"/>
  <c r="D4192" i="159" s="1"/>
  <c r="D4193" i="159" s="1"/>
  <c r="D4194" i="159" s="1"/>
  <c r="K4191" i="159"/>
  <c r="L4191" i="159"/>
  <c r="K4192" i="159"/>
  <c r="L4192" i="159"/>
  <c r="K4193" i="159"/>
  <c r="L4193" i="159"/>
  <c r="K4194" i="159"/>
  <c r="L4194" i="159"/>
  <c r="F4196" i="159"/>
  <c r="G4196" i="159"/>
  <c r="H4196" i="159"/>
  <c r="I4196" i="159"/>
  <c r="J4196" i="159"/>
  <c r="D4197" i="159"/>
  <c r="D4198" i="159" s="1"/>
  <c r="D4199" i="159" s="1"/>
  <c r="D4200" i="159" s="1"/>
  <c r="D4201" i="159" s="1"/>
  <c r="E4197" i="159"/>
  <c r="K4197" i="159"/>
  <c r="L4197" i="159"/>
  <c r="M4197" i="159"/>
  <c r="O4197" i="159"/>
  <c r="P4197" i="159" s="1"/>
  <c r="K4198" i="159"/>
  <c r="L4198" i="159"/>
  <c r="K4199" i="159"/>
  <c r="L4199" i="159"/>
  <c r="K4200" i="159"/>
  <c r="L4200" i="159"/>
  <c r="K4201" i="159"/>
  <c r="L4201" i="159"/>
  <c r="F4203" i="159"/>
  <c r="G4203" i="159"/>
  <c r="H4203" i="159"/>
  <c r="I4203" i="159"/>
  <c r="J4203" i="159"/>
  <c r="D4204" i="159"/>
  <c r="D4205" i="159" s="1"/>
  <c r="D4206" i="159" s="1"/>
  <c r="D4207" i="159" s="1"/>
  <c r="D4208" i="159" s="1"/>
  <c r="E4204" i="159"/>
  <c r="K4204" i="159"/>
  <c r="L4204" i="159"/>
  <c r="M4204" i="159"/>
  <c r="O4204" i="159"/>
  <c r="P4204" i="159" s="1"/>
  <c r="K4205" i="159"/>
  <c r="L4205" i="159"/>
  <c r="K4206" i="159"/>
  <c r="L4206" i="159"/>
  <c r="K4207" i="159"/>
  <c r="L4207" i="159"/>
  <c r="K4208" i="159"/>
  <c r="L4208" i="159"/>
  <c r="F4210" i="159"/>
  <c r="G4210" i="159"/>
  <c r="H4210" i="159"/>
  <c r="I4210" i="159"/>
  <c r="J4210" i="159"/>
  <c r="D4211" i="159"/>
  <c r="E4211" i="159"/>
  <c r="K4211" i="159"/>
  <c r="L4211" i="159"/>
  <c r="M4211" i="159"/>
  <c r="O4211" i="159"/>
  <c r="P4211" i="159" s="1"/>
  <c r="D4212" i="159"/>
  <c r="D4213" i="159" s="1"/>
  <c r="D4214" i="159" s="1"/>
  <c r="D4215" i="159" s="1"/>
  <c r="K4212" i="159"/>
  <c r="L4212" i="159"/>
  <c r="K4213" i="159"/>
  <c r="L4213" i="159"/>
  <c r="K4214" i="159"/>
  <c r="L4214" i="159"/>
  <c r="K4215" i="159"/>
  <c r="L4215" i="159"/>
  <c r="F4217" i="159"/>
  <c r="G4217" i="159"/>
  <c r="H4217" i="159"/>
  <c r="I4217" i="159"/>
  <c r="J4217" i="159"/>
  <c r="D4218" i="159"/>
  <c r="E4218" i="159"/>
  <c r="K4218" i="159"/>
  <c r="L4218" i="159"/>
  <c r="M4218" i="159"/>
  <c r="O4218" i="159"/>
  <c r="P4218" i="159"/>
  <c r="D4219" i="159"/>
  <c r="D4220" i="159" s="1"/>
  <c r="D4221" i="159" s="1"/>
  <c r="D4222" i="159" s="1"/>
  <c r="K4219" i="159"/>
  <c r="L4219" i="159"/>
  <c r="K4220" i="159"/>
  <c r="L4220" i="159"/>
  <c r="K4221" i="159"/>
  <c r="L4221" i="159"/>
  <c r="K4222" i="159"/>
  <c r="L4222" i="159"/>
  <c r="F4224" i="159"/>
  <c r="G4224" i="159"/>
  <c r="H4224" i="159"/>
  <c r="I4224" i="159"/>
  <c r="J4224" i="159"/>
  <c r="D4225" i="159"/>
  <c r="E4225" i="159"/>
  <c r="K4225" i="159"/>
  <c r="L4225" i="159"/>
  <c r="M4225" i="159"/>
  <c r="N4225" i="159"/>
  <c r="O4225" i="159"/>
  <c r="P4225" i="159"/>
  <c r="D4226" i="159"/>
  <c r="D4227" i="159" s="1"/>
  <c r="D4228" i="159" s="1"/>
  <c r="D4229" i="159" s="1"/>
  <c r="K4226" i="159"/>
  <c r="L4226" i="159"/>
  <c r="K4227" i="159"/>
  <c r="L4227" i="159"/>
  <c r="K4228" i="159"/>
  <c r="L4228" i="159"/>
  <c r="K4229" i="159"/>
  <c r="L4229" i="159"/>
  <c r="F4231" i="159"/>
  <c r="G4231" i="159"/>
  <c r="H4231" i="159"/>
  <c r="I4231" i="159"/>
  <c r="J4231" i="159"/>
  <c r="D4232" i="159"/>
  <c r="D4233" i="159" s="1"/>
  <c r="D4234" i="159" s="1"/>
  <c r="D4235" i="159" s="1"/>
  <c r="D4236" i="159" s="1"/>
  <c r="E4232" i="159"/>
  <c r="K4232" i="159"/>
  <c r="L4232" i="159"/>
  <c r="M4232" i="159"/>
  <c r="O4232" i="159"/>
  <c r="P4232" i="159" s="1"/>
  <c r="K4233" i="159"/>
  <c r="L4233" i="159"/>
  <c r="K4234" i="159"/>
  <c r="L4234" i="159"/>
  <c r="K4235" i="159"/>
  <c r="L4235" i="159"/>
  <c r="K4236" i="159"/>
  <c r="L4236" i="159"/>
  <c r="F4238" i="159"/>
  <c r="G4238" i="159"/>
  <c r="H4238" i="159"/>
  <c r="I4238" i="159"/>
  <c r="J4238" i="159"/>
  <c r="D4239" i="159"/>
  <c r="D4240" i="159" s="1"/>
  <c r="D4241" i="159" s="1"/>
  <c r="D4242" i="159" s="1"/>
  <c r="D4243" i="159" s="1"/>
  <c r="E4239" i="159"/>
  <c r="K4239" i="159"/>
  <c r="L4239" i="159"/>
  <c r="M4239" i="159"/>
  <c r="P4239" i="159"/>
  <c r="K4240" i="159"/>
  <c r="L4240" i="159"/>
  <c r="K4241" i="159"/>
  <c r="L4241" i="159"/>
  <c r="K4242" i="159"/>
  <c r="L4242" i="159"/>
  <c r="K4243" i="159"/>
  <c r="L4243" i="159"/>
  <c r="F4245" i="159"/>
  <c r="G4245" i="159"/>
  <c r="H4245" i="159"/>
  <c r="I4245" i="159"/>
  <c r="J4245" i="159"/>
  <c r="D4246" i="159"/>
  <c r="E4246" i="159"/>
  <c r="K4246" i="159"/>
  <c r="L4246" i="159"/>
  <c r="M4246" i="159"/>
  <c r="P4246" i="159"/>
  <c r="D4247" i="159"/>
  <c r="D4248" i="159" s="1"/>
  <c r="D4249" i="159" s="1"/>
  <c r="D4250" i="159" s="1"/>
  <c r="K4247" i="159"/>
  <c r="L4247" i="159"/>
  <c r="K4248" i="159"/>
  <c r="L4248" i="159"/>
  <c r="K4249" i="159"/>
  <c r="L4249" i="159"/>
  <c r="K4250" i="159"/>
  <c r="L4250" i="159"/>
  <c r="F4252" i="159"/>
  <c r="G4252" i="159"/>
  <c r="H4252" i="159"/>
  <c r="I4252" i="159"/>
  <c r="J4252" i="159"/>
  <c r="D4253" i="159"/>
  <c r="E4253" i="159"/>
  <c r="K4253" i="159"/>
  <c r="L4253" i="159"/>
  <c r="M4253" i="159"/>
  <c r="P4253" i="159"/>
  <c r="D4254" i="159"/>
  <c r="D4255" i="159" s="1"/>
  <c r="D4256" i="159" s="1"/>
  <c r="D4257" i="159" s="1"/>
  <c r="K4254" i="159"/>
  <c r="L4254" i="159"/>
  <c r="K4255" i="159"/>
  <c r="L4255" i="159"/>
  <c r="K4256" i="159"/>
  <c r="L4256" i="159"/>
  <c r="K4257" i="159"/>
  <c r="L4257" i="159"/>
  <c r="F4259" i="159"/>
  <c r="G4259" i="159"/>
  <c r="H4259" i="159"/>
  <c r="I4259" i="159"/>
  <c r="J4259" i="159"/>
  <c r="D4260" i="159"/>
  <c r="E4260" i="159"/>
  <c r="K4260" i="159"/>
  <c r="L4260" i="159"/>
  <c r="M4260" i="159"/>
  <c r="P4260" i="159"/>
  <c r="D4261" i="159"/>
  <c r="D4262" i="159" s="1"/>
  <c r="D4263" i="159" s="1"/>
  <c r="D4264" i="159" s="1"/>
  <c r="K4261" i="159"/>
  <c r="L4261" i="159"/>
  <c r="K4262" i="159"/>
  <c r="L4262" i="159"/>
  <c r="K4263" i="159"/>
  <c r="L4263" i="159"/>
  <c r="K4264" i="159"/>
  <c r="L4264" i="159"/>
  <c r="F4266" i="159"/>
  <c r="G4266" i="159"/>
  <c r="H4266" i="159"/>
  <c r="I4266" i="159"/>
  <c r="J4266" i="159"/>
  <c r="D4267" i="159"/>
  <c r="E4267" i="159"/>
  <c r="K4267" i="159"/>
  <c r="L4267" i="159"/>
  <c r="M4267" i="159"/>
  <c r="P4267" i="159"/>
  <c r="D4268" i="159"/>
  <c r="D4269" i="159" s="1"/>
  <c r="D4270" i="159" s="1"/>
  <c r="D4271" i="159" s="1"/>
  <c r="K4268" i="159"/>
  <c r="L4268" i="159"/>
  <c r="K4269" i="159"/>
  <c r="L4269" i="159"/>
  <c r="K4270" i="159"/>
  <c r="L4270" i="159"/>
  <c r="K4271" i="159"/>
  <c r="L4271" i="159"/>
  <c r="F4273" i="159"/>
  <c r="G4273" i="159"/>
  <c r="H4273" i="159"/>
  <c r="I4273" i="159"/>
  <c r="J4273" i="159"/>
  <c r="D4274" i="159"/>
  <c r="E4274" i="159"/>
  <c r="K4274" i="159"/>
  <c r="L4274" i="159"/>
  <c r="M4274" i="159"/>
  <c r="P4274" i="159"/>
  <c r="D4275" i="159"/>
  <c r="D4276" i="159" s="1"/>
  <c r="D4277" i="159" s="1"/>
  <c r="D4278" i="159" s="1"/>
  <c r="K4275" i="159"/>
  <c r="L4275" i="159"/>
  <c r="K4276" i="159"/>
  <c r="L4276" i="159"/>
  <c r="K4277" i="159"/>
  <c r="L4277" i="159"/>
  <c r="K4278" i="159"/>
  <c r="L4278" i="159"/>
  <c r="F4280" i="159"/>
  <c r="G4280" i="159"/>
  <c r="H4280" i="159"/>
  <c r="I4280" i="159"/>
  <c r="J4280" i="159"/>
  <c r="D4281" i="159"/>
  <c r="D4282" i="159" s="1"/>
  <c r="D4283" i="159" s="1"/>
  <c r="D4284" i="159" s="1"/>
  <c r="D4285" i="159" s="1"/>
  <c r="E4281" i="159"/>
  <c r="K4281" i="159"/>
  <c r="L4281" i="159"/>
  <c r="M4281" i="159"/>
  <c r="P4281" i="159"/>
  <c r="K4282" i="159"/>
  <c r="L4282" i="159"/>
  <c r="K4283" i="159"/>
  <c r="L4283" i="159"/>
  <c r="K4284" i="159"/>
  <c r="L4284" i="159"/>
  <c r="K4285" i="159"/>
  <c r="L4285" i="159"/>
  <c r="F4287" i="159"/>
  <c r="G4287" i="159"/>
  <c r="H4287" i="159"/>
  <c r="I4287" i="159"/>
  <c r="J4287" i="159"/>
  <c r="D4288" i="159"/>
  <c r="D4289" i="159" s="1"/>
  <c r="D4290" i="159" s="1"/>
  <c r="D4291" i="159" s="1"/>
  <c r="D4292" i="159" s="1"/>
  <c r="E4288" i="159"/>
  <c r="K4288" i="159"/>
  <c r="L4288" i="159"/>
  <c r="M4288" i="159"/>
  <c r="O4288" i="159"/>
  <c r="P4288" i="159" s="1"/>
  <c r="K4289" i="159"/>
  <c r="L4289" i="159"/>
  <c r="K4290" i="159"/>
  <c r="L4290" i="159"/>
  <c r="K4291" i="159"/>
  <c r="L4291" i="159"/>
  <c r="K4292" i="159"/>
  <c r="L4292" i="159"/>
  <c r="F4294" i="159"/>
  <c r="G4294" i="159"/>
  <c r="H4294" i="159"/>
  <c r="I4294" i="159"/>
  <c r="J4294" i="159"/>
  <c r="D4295" i="159"/>
  <c r="E4295" i="159"/>
  <c r="K4295" i="159"/>
  <c r="L4295" i="159"/>
  <c r="M4295" i="159"/>
  <c r="O4295" i="159"/>
  <c r="P4295" i="159" s="1"/>
  <c r="D4296" i="159"/>
  <c r="D4297" i="159" s="1"/>
  <c r="D4298" i="159" s="1"/>
  <c r="D4299" i="159" s="1"/>
  <c r="K4296" i="159"/>
  <c r="L4296" i="159"/>
  <c r="K4297" i="159"/>
  <c r="L4297" i="159"/>
  <c r="K4298" i="159"/>
  <c r="L4298" i="159"/>
  <c r="K4299" i="159"/>
  <c r="L4299" i="159"/>
  <c r="F4301" i="159"/>
  <c r="G4301" i="159"/>
  <c r="H4301" i="159"/>
  <c r="I4301" i="159"/>
  <c r="J4301" i="159"/>
  <c r="D4302" i="159"/>
  <c r="E4302" i="159"/>
  <c r="K4302" i="159"/>
  <c r="L4302" i="159"/>
  <c r="M4302" i="159"/>
  <c r="O4302" i="159"/>
  <c r="P4302" i="159"/>
  <c r="D4303" i="159"/>
  <c r="D4304" i="159" s="1"/>
  <c r="D4305" i="159" s="1"/>
  <c r="D4306" i="159" s="1"/>
  <c r="K4303" i="159"/>
  <c r="L4303" i="159"/>
  <c r="K4304" i="159"/>
  <c r="L4304" i="159"/>
  <c r="K4305" i="159"/>
  <c r="L4305" i="159"/>
  <c r="K4306" i="159"/>
  <c r="L4306" i="159"/>
  <c r="F4308" i="159"/>
  <c r="G4308" i="159"/>
  <c r="H4308" i="159"/>
  <c r="I4308" i="159"/>
  <c r="J4308" i="159"/>
  <c r="D4309" i="159"/>
  <c r="E4309" i="159"/>
  <c r="K4309" i="159"/>
  <c r="L4309" i="159"/>
  <c r="M4309" i="159"/>
  <c r="P4309" i="159"/>
  <c r="D4310" i="159"/>
  <c r="D4311" i="159" s="1"/>
  <c r="D4312" i="159" s="1"/>
  <c r="D4313" i="159" s="1"/>
  <c r="K4310" i="159"/>
  <c r="L4310" i="159"/>
  <c r="K4311" i="159"/>
  <c r="L4311" i="159"/>
  <c r="K4312" i="159"/>
  <c r="L4312" i="159"/>
  <c r="K4313" i="159"/>
  <c r="L4313" i="159"/>
  <c r="F4315" i="159"/>
  <c r="G4315" i="159"/>
  <c r="H4315" i="159"/>
  <c r="I4315" i="159"/>
  <c r="J4315" i="159"/>
  <c r="D4316" i="159"/>
  <c r="D4317" i="159" s="1"/>
  <c r="D4318" i="159" s="1"/>
  <c r="D4319" i="159" s="1"/>
  <c r="D4320" i="159" s="1"/>
  <c r="E4316" i="159"/>
  <c r="K4316" i="159"/>
  <c r="L4316" i="159"/>
  <c r="M4316" i="159"/>
  <c r="O4316" i="159"/>
  <c r="P4316" i="159" s="1"/>
  <c r="K4317" i="159"/>
  <c r="L4317" i="159"/>
  <c r="K4318" i="159"/>
  <c r="L4318" i="159"/>
  <c r="K4319" i="159"/>
  <c r="L4319" i="159"/>
  <c r="K4320" i="159"/>
  <c r="L4320" i="159"/>
  <c r="F4322" i="159"/>
  <c r="G4322" i="159"/>
  <c r="H4322" i="159"/>
  <c r="I4322" i="159"/>
  <c r="J4322" i="159"/>
  <c r="D4323" i="159"/>
  <c r="D4324" i="159" s="1"/>
  <c r="D4325" i="159" s="1"/>
  <c r="D4326" i="159" s="1"/>
  <c r="D4327" i="159" s="1"/>
  <c r="E4323" i="159"/>
  <c r="K4323" i="159"/>
  <c r="L4323" i="159"/>
  <c r="M4323" i="159"/>
  <c r="O4323" i="159"/>
  <c r="P4323" i="159"/>
  <c r="K4324" i="159"/>
  <c r="L4324" i="159"/>
  <c r="K4325" i="159"/>
  <c r="L4325" i="159"/>
  <c r="K4326" i="159"/>
  <c r="L4326" i="159"/>
  <c r="K4327" i="159"/>
  <c r="L4327" i="159"/>
  <c r="F4329" i="159"/>
  <c r="G4329" i="159"/>
  <c r="H4329" i="159"/>
  <c r="I4329" i="159"/>
  <c r="J4329" i="159"/>
  <c r="D4330" i="159"/>
  <c r="E4330" i="159"/>
  <c r="K4330" i="159"/>
  <c r="L4330" i="159"/>
  <c r="M4330" i="159"/>
  <c r="P4330" i="159"/>
  <c r="D4331" i="159"/>
  <c r="D4332" i="159" s="1"/>
  <c r="D4333" i="159" s="1"/>
  <c r="D4334" i="159" s="1"/>
  <c r="K4331" i="159"/>
  <c r="L4331" i="159"/>
  <c r="K4332" i="159"/>
  <c r="L4332" i="159"/>
  <c r="K4333" i="159"/>
  <c r="L4333" i="159"/>
  <c r="K4334" i="159"/>
  <c r="L4334" i="159"/>
  <c r="F4336" i="159"/>
  <c r="G4336" i="159"/>
  <c r="H4336" i="159"/>
  <c r="I4336" i="159"/>
  <c r="J4336" i="159"/>
  <c r="D4337" i="159"/>
  <c r="E4337" i="159"/>
  <c r="K4337" i="159"/>
  <c r="L4337" i="159"/>
  <c r="M4337" i="159"/>
  <c r="P4337" i="159"/>
  <c r="D4338" i="159"/>
  <c r="K4338" i="159"/>
  <c r="L4338" i="159"/>
  <c r="D4339" i="159"/>
  <c r="K4339" i="159"/>
  <c r="L4339" i="159"/>
  <c r="D4340" i="159"/>
  <c r="D4341" i="159" s="1"/>
  <c r="K4340" i="159"/>
  <c r="L4340" i="159"/>
  <c r="K4341" i="159"/>
  <c r="L4341" i="159"/>
  <c r="F4343" i="159"/>
  <c r="G4343" i="159"/>
  <c r="H4343" i="159"/>
  <c r="I4343" i="159"/>
  <c r="J4343" i="159"/>
  <c r="D4344" i="159"/>
  <c r="E4344" i="159"/>
  <c r="K4344" i="159"/>
  <c r="L4344" i="159"/>
  <c r="M4344" i="159"/>
  <c r="P4344" i="159"/>
  <c r="D4345" i="159"/>
  <c r="K4345" i="159"/>
  <c r="L4345" i="159"/>
  <c r="D4346" i="159"/>
  <c r="D4347" i="159" s="1"/>
  <c r="D4348" i="159" s="1"/>
  <c r="K4346" i="159"/>
  <c r="L4346" i="159"/>
  <c r="K4347" i="159"/>
  <c r="L4347" i="159"/>
  <c r="K4348" i="159"/>
  <c r="L4348" i="159"/>
  <c r="F4350" i="159"/>
  <c r="G4350" i="159"/>
  <c r="H4350" i="159"/>
  <c r="I4350" i="159"/>
  <c r="J4350" i="159"/>
  <c r="D4351" i="159"/>
  <c r="E4351" i="159"/>
  <c r="K4351" i="159"/>
  <c r="L4351" i="159"/>
  <c r="M4351" i="159"/>
  <c r="P4351" i="159"/>
  <c r="D4352" i="159"/>
  <c r="D4353" i="159" s="1"/>
  <c r="D4354" i="159" s="1"/>
  <c r="D4355" i="159" s="1"/>
  <c r="K4352" i="159"/>
  <c r="L4352" i="159"/>
  <c r="K4353" i="159"/>
  <c r="L4353" i="159"/>
  <c r="K4354" i="159"/>
  <c r="L4354" i="159"/>
  <c r="K4355" i="159"/>
  <c r="L4355" i="159"/>
  <c r="F4357" i="159"/>
  <c r="G4357" i="159"/>
  <c r="H4357" i="159"/>
  <c r="I4357" i="159"/>
  <c r="J4357" i="159"/>
  <c r="D4358" i="159"/>
  <c r="D4359" i="159" s="1"/>
  <c r="D4360" i="159" s="1"/>
  <c r="D4361" i="159" s="1"/>
  <c r="D4362" i="159" s="1"/>
  <c r="E4358" i="159"/>
  <c r="K4358" i="159"/>
  <c r="L4358" i="159"/>
  <c r="M4358" i="159"/>
  <c r="O4358" i="159"/>
  <c r="P4358" i="159" s="1"/>
  <c r="K4359" i="159"/>
  <c r="L4359" i="159"/>
  <c r="K4360" i="159"/>
  <c r="L4360" i="159"/>
  <c r="K4361" i="159"/>
  <c r="L4361" i="159"/>
  <c r="K4362" i="159"/>
  <c r="L4362" i="159"/>
  <c r="F4364" i="159"/>
  <c r="G4364" i="159"/>
  <c r="H4364" i="159"/>
  <c r="I4364" i="159"/>
  <c r="J4364" i="159"/>
  <c r="D4365" i="159"/>
  <c r="D4366" i="159" s="1"/>
  <c r="D4367" i="159" s="1"/>
  <c r="D4368" i="159" s="1"/>
  <c r="D4369" i="159" s="1"/>
  <c r="E4365" i="159"/>
  <c r="K4365" i="159"/>
  <c r="L4365" i="159"/>
  <c r="M4365" i="159"/>
  <c r="P4365" i="159"/>
  <c r="K4366" i="159"/>
  <c r="L4366" i="159"/>
  <c r="K4367" i="159"/>
  <c r="L4367" i="159"/>
  <c r="K4368" i="159"/>
  <c r="L4368" i="159"/>
  <c r="K4369" i="159"/>
  <c r="L4369" i="159"/>
  <c r="F4371" i="159"/>
  <c r="G4371" i="159"/>
  <c r="H4371" i="159"/>
  <c r="I4371" i="159"/>
  <c r="J4371" i="159"/>
  <c r="D4372" i="159"/>
  <c r="E4372" i="159"/>
  <c r="K4372" i="159"/>
  <c r="L4372" i="159"/>
  <c r="M4372" i="159"/>
  <c r="O4372" i="159"/>
  <c r="P4372" i="159" s="1"/>
  <c r="D4373" i="159"/>
  <c r="D4374" i="159" s="1"/>
  <c r="K4373" i="159"/>
  <c r="L4373" i="159"/>
  <c r="K4374" i="159"/>
  <c r="L4374" i="159"/>
  <c r="D4375" i="159"/>
  <c r="D4376" i="159" s="1"/>
  <c r="K4375" i="159"/>
  <c r="L4375" i="159"/>
  <c r="K4376" i="159"/>
  <c r="L4376" i="159"/>
  <c r="F4378" i="159"/>
  <c r="G4378" i="159"/>
  <c r="H4378" i="159"/>
  <c r="I4378" i="159"/>
  <c r="J4378" i="159"/>
  <c r="D4379" i="159"/>
  <c r="E4379" i="159"/>
  <c r="K4379" i="159"/>
  <c r="L4379" i="159"/>
  <c r="M4379" i="159"/>
  <c r="O4379" i="159"/>
  <c r="P4379" i="159"/>
  <c r="D4380" i="159"/>
  <c r="D4381" i="159" s="1"/>
  <c r="D4382" i="159" s="1"/>
  <c r="D4383" i="159" s="1"/>
  <c r="K4380" i="159"/>
  <c r="L4380" i="159"/>
  <c r="K4381" i="159"/>
  <c r="L4381" i="159"/>
  <c r="K4382" i="159"/>
  <c r="L4382" i="159"/>
  <c r="K4383" i="159"/>
  <c r="L4383" i="159"/>
  <c r="F4385" i="159"/>
  <c r="G4385" i="159"/>
  <c r="H4385" i="159"/>
  <c r="I4385" i="159"/>
  <c r="J4385" i="159"/>
  <c r="D4386" i="159"/>
  <c r="E4386" i="159"/>
  <c r="K4386" i="159"/>
  <c r="L4386" i="159"/>
  <c r="M4386" i="159"/>
  <c r="O4386" i="159"/>
  <c r="P4386" i="159" s="1"/>
  <c r="D4387" i="159"/>
  <c r="K4387" i="159"/>
  <c r="L4387" i="159"/>
  <c r="D4388" i="159"/>
  <c r="D4389" i="159" s="1"/>
  <c r="D4390" i="159" s="1"/>
  <c r="K4388" i="159"/>
  <c r="L4388" i="159"/>
  <c r="K4389" i="159"/>
  <c r="L4389" i="159"/>
  <c r="K4390" i="159"/>
  <c r="L4390" i="159"/>
  <c r="F4392" i="159"/>
  <c r="G4392" i="159"/>
  <c r="H4392" i="159"/>
  <c r="I4392" i="159"/>
  <c r="J4392" i="159"/>
  <c r="D4393" i="159"/>
  <c r="D4394" i="159" s="1"/>
  <c r="D4395" i="159" s="1"/>
  <c r="D4396" i="159" s="1"/>
  <c r="D4397" i="159" s="1"/>
  <c r="E4393" i="159"/>
  <c r="K4393" i="159"/>
  <c r="L4393" i="159"/>
  <c r="M4393" i="159"/>
  <c r="O4393" i="159"/>
  <c r="P4393" i="159"/>
  <c r="K4394" i="159"/>
  <c r="L4394" i="159"/>
  <c r="K4395" i="159"/>
  <c r="L4395" i="159"/>
  <c r="K4396" i="159"/>
  <c r="L4396" i="159"/>
  <c r="K4397" i="159"/>
  <c r="L4397" i="159"/>
  <c r="F4399" i="159"/>
  <c r="G4399" i="159"/>
  <c r="H4399" i="159"/>
  <c r="I4399" i="159"/>
  <c r="J4399" i="159"/>
  <c r="D4400" i="159"/>
  <c r="D4401" i="159" s="1"/>
  <c r="D4402" i="159" s="1"/>
  <c r="D4403" i="159" s="1"/>
  <c r="D4404" i="159" s="1"/>
  <c r="E4400" i="159"/>
  <c r="K4400" i="159"/>
  <c r="L4400" i="159"/>
  <c r="M4400" i="159"/>
  <c r="O4400" i="159"/>
  <c r="P4400" i="159" s="1"/>
  <c r="K4401" i="159"/>
  <c r="L4401" i="159"/>
  <c r="K4402" i="159"/>
  <c r="L4402" i="159"/>
  <c r="K4403" i="159"/>
  <c r="L4403" i="159"/>
  <c r="K4404" i="159"/>
  <c r="L4404" i="159"/>
  <c r="F4406" i="159"/>
  <c r="G4406" i="159"/>
  <c r="H4406" i="159"/>
  <c r="I4406" i="159"/>
  <c r="J4406" i="159"/>
  <c r="D4407" i="159"/>
  <c r="E4407" i="159"/>
  <c r="K4407" i="159"/>
  <c r="L4407" i="159"/>
  <c r="M4407" i="159"/>
  <c r="O4407" i="159"/>
  <c r="P4407" i="159" s="1"/>
  <c r="D4408" i="159"/>
  <c r="D4409" i="159" s="1"/>
  <c r="D4410" i="159" s="1"/>
  <c r="D4411" i="159" s="1"/>
  <c r="K4408" i="159"/>
  <c r="L4408" i="159"/>
  <c r="K4409" i="159"/>
  <c r="L4409" i="159"/>
  <c r="K4410" i="159"/>
  <c r="L4410" i="159"/>
  <c r="K4411" i="159"/>
  <c r="L4411" i="159"/>
  <c r="F4413" i="159"/>
  <c r="G4413" i="159"/>
  <c r="H4413" i="159"/>
  <c r="I4413" i="159"/>
  <c r="J4413" i="159"/>
  <c r="D4414" i="159"/>
  <c r="E4414" i="159"/>
  <c r="K4414" i="159"/>
  <c r="L4414" i="159"/>
  <c r="M4414" i="159"/>
  <c r="O4414" i="159"/>
  <c r="P4414" i="159"/>
  <c r="D4415" i="159"/>
  <c r="D4416" i="159" s="1"/>
  <c r="D4417" i="159" s="1"/>
  <c r="D4418" i="159" s="1"/>
  <c r="K4415" i="159"/>
  <c r="L4415" i="159"/>
  <c r="K4416" i="159"/>
  <c r="L4416" i="159"/>
  <c r="K4417" i="159"/>
  <c r="L4417" i="159"/>
  <c r="K4418" i="159"/>
  <c r="L4418" i="159"/>
  <c r="F4420" i="159"/>
  <c r="G4420" i="159"/>
  <c r="H4420" i="159"/>
  <c r="I4420" i="159"/>
  <c r="J4420" i="159"/>
  <c r="D4421" i="159"/>
  <c r="E4421" i="159"/>
  <c r="K4421" i="159"/>
  <c r="L4421" i="159"/>
  <c r="M4421" i="159"/>
  <c r="O4421" i="159"/>
  <c r="P4421" i="159" s="1"/>
  <c r="D4422" i="159"/>
  <c r="K4422" i="159"/>
  <c r="L4422" i="159"/>
  <c r="D4423" i="159"/>
  <c r="D4424" i="159" s="1"/>
  <c r="D4425" i="159" s="1"/>
  <c r="K4423" i="159"/>
  <c r="L4423" i="159"/>
  <c r="K4424" i="159"/>
  <c r="L4424" i="159"/>
  <c r="K4425" i="159"/>
  <c r="L4425" i="159"/>
  <c r="F4427" i="159"/>
  <c r="G4427" i="159"/>
  <c r="H4427" i="159"/>
  <c r="I4427" i="159"/>
  <c r="J4427" i="159"/>
  <c r="D4428" i="159"/>
  <c r="D4429" i="159" s="1"/>
  <c r="D4430" i="159" s="1"/>
  <c r="D4431" i="159" s="1"/>
  <c r="D4432" i="159" s="1"/>
  <c r="E4428" i="159"/>
  <c r="K4428" i="159"/>
  <c r="L4428" i="159"/>
  <c r="M4428" i="159"/>
  <c r="O4428" i="159"/>
  <c r="P4428" i="159" s="1"/>
  <c r="K4429" i="159"/>
  <c r="L4429" i="159"/>
  <c r="K4430" i="159"/>
  <c r="L4430" i="159"/>
  <c r="K4431" i="159"/>
  <c r="L4431" i="159"/>
  <c r="K4432" i="159"/>
  <c r="L4432" i="159"/>
  <c r="F4434" i="159"/>
  <c r="G4434" i="159"/>
  <c r="H4434" i="159"/>
  <c r="I4434" i="159"/>
  <c r="J4434" i="159"/>
  <c r="D4435" i="159"/>
  <c r="D4436" i="159" s="1"/>
  <c r="D4437" i="159" s="1"/>
  <c r="D4438" i="159" s="1"/>
  <c r="D4439" i="159" s="1"/>
  <c r="E4435" i="159"/>
  <c r="K4435" i="159"/>
  <c r="L4435" i="159"/>
  <c r="M4435" i="159"/>
  <c r="O4435" i="159"/>
  <c r="P4435" i="159" s="1"/>
  <c r="K4436" i="159"/>
  <c r="L4436" i="159"/>
  <c r="K4437" i="159"/>
  <c r="L4437" i="159"/>
  <c r="K4438" i="159"/>
  <c r="L4438" i="159"/>
  <c r="K4439" i="159"/>
  <c r="L4439" i="159"/>
  <c r="F4441" i="159"/>
  <c r="G4441" i="159"/>
  <c r="H4441" i="159"/>
  <c r="I4441" i="159"/>
  <c r="J4441" i="159"/>
  <c r="D4442" i="159"/>
  <c r="E4442" i="159"/>
  <c r="K4442" i="159"/>
  <c r="L4442" i="159"/>
  <c r="M4442" i="159"/>
  <c r="O4442" i="159"/>
  <c r="P4442" i="159" s="1"/>
  <c r="D4443" i="159"/>
  <c r="D4444" i="159" s="1"/>
  <c r="K4443" i="159"/>
  <c r="L4443" i="159"/>
  <c r="K4444" i="159"/>
  <c r="L4444" i="159"/>
  <c r="D4445" i="159"/>
  <c r="K4445" i="159"/>
  <c r="L4445" i="159"/>
  <c r="D4446" i="159"/>
  <c r="K4446" i="159"/>
  <c r="L4446" i="159"/>
  <c r="F4448" i="159"/>
  <c r="G4448" i="159"/>
  <c r="H4448" i="159"/>
  <c r="I4448" i="159"/>
  <c r="J4448" i="159"/>
  <c r="D4449" i="159"/>
  <c r="E4449" i="159"/>
  <c r="K4449" i="159"/>
  <c r="L4449" i="159"/>
  <c r="M4449" i="159"/>
  <c r="O4449" i="159"/>
  <c r="P4449" i="159"/>
  <c r="D4450" i="159"/>
  <c r="D4451" i="159" s="1"/>
  <c r="K4450" i="159"/>
  <c r="L4450" i="159"/>
  <c r="K4451" i="159"/>
  <c r="L4451" i="159"/>
  <c r="D4452" i="159"/>
  <c r="D4453" i="159" s="1"/>
  <c r="K4452" i="159"/>
  <c r="L4452" i="159"/>
  <c r="K4453" i="159"/>
  <c r="L4453" i="159"/>
  <c r="F4455" i="159"/>
  <c r="G4455" i="159"/>
  <c r="H4455" i="159"/>
  <c r="I4455" i="159"/>
  <c r="J4455" i="159"/>
  <c r="D4456" i="159"/>
  <c r="E4456" i="159"/>
  <c r="K4456" i="159"/>
  <c r="L4456" i="159"/>
  <c r="M4456" i="159"/>
  <c r="O4456" i="159"/>
  <c r="P4456" i="159" s="1"/>
  <c r="D4457" i="159"/>
  <c r="K4457" i="159"/>
  <c r="L4457" i="159"/>
  <c r="D4458" i="159"/>
  <c r="D4459" i="159" s="1"/>
  <c r="D4460" i="159" s="1"/>
  <c r="K4458" i="159"/>
  <c r="L4458" i="159"/>
  <c r="K4459" i="159"/>
  <c r="L4459" i="159"/>
  <c r="K4460" i="159"/>
  <c r="L4460" i="159"/>
  <c r="F4462" i="159"/>
  <c r="G4462" i="159"/>
  <c r="H4462" i="159"/>
  <c r="I4462" i="159"/>
  <c r="J4462" i="159"/>
  <c r="D4463" i="159"/>
  <c r="D4464" i="159" s="1"/>
  <c r="D4465" i="159" s="1"/>
  <c r="D4466" i="159" s="1"/>
  <c r="D4467" i="159" s="1"/>
  <c r="E4463" i="159"/>
  <c r="K4463" i="159"/>
  <c r="L4463" i="159"/>
  <c r="M4463" i="159"/>
  <c r="O4463" i="159"/>
  <c r="P4463" i="159"/>
  <c r="K4464" i="159"/>
  <c r="L4464" i="159"/>
  <c r="K4465" i="159"/>
  <c r="L4465" i="159"/>
  <c r="K4466" i="159"/>
  <c r="L4466" i="159"/>
  <c r="K4467" i="159"/>
  <c r="L4467" i="159"/>
  <c r="F4469" i="159"/>
  <c r="G4469" i="159"/>
  <c r="H4469" i="159"/>
  <c r="I4469" i="159"/>
  <c r="J4469" i="159"/>
  <c r="D4470" i="159"/>
  <c r="D4471" i="159" s="1"/>
  <c r="D4472" i="159" s="1"/>
  <c r="D4473" i="159" s="1"/>
  <c r="D4474" i="159" s="1"/>
  <c r="E4470" i="159"/>
  <c r="K4470" i="159"/>
  <c r="L4470" i="159"/>
  <c r="M4470" i="159"/>
  <c r="O4470" i="159"/>
  <c r="P4470" i="159" s="1"/>
  <c r="K4471" i="159"/>
  <c r="L4471" i="159"/>
  <c r="K4472" i="159"/>
  <c r="L4472" i="159"/>
  <c r="K4473" i="159"/>
  <c r="L4473" i="159"/>
  <c r="K4474" i="159"/>
  <c r="L4474" i="159"/>
  <c r="F4476" i="159"/>
  <c r="G4476" i="159"/>
  <c r="H4476" i="159"/>
  <c r="I4476" i="159"/>
  <c r="J4476" i="159"/>
  <c r="D4477" i="159"/>
  <c r="E4477" i="159"/>
  <c r="K4477" i="159"/>
  <c r="L4477" i="159"/>
  <c r="M4477" i="159"/>
  <c r="O4477" i="159"/>
  <c r="P4477" i="159" s="1"/>
  <c r="D4478" i="159"/>
  <c r="D4479" i="159" s="1"/>
  <c r="K4478" i="159"/>
  <c r="L4478" i="159"/>
  <c r="K4479" i="159"/>
  <c r="L4479" i="159"/>
  <c r="D4480" i="159"/>
  <c r="D4481" i="159" s="1"/>
  <c r="K4480" i="159"/>
  <c r="L4480" i="159"/>
  <c r="K4481" i="159"/>
  <c r="L4481" i="159"/>
  <c r="F4483" i="159"/>
  <c r="G4483" i="159"/>
  <c r="H4483" i="159"/>
  <c r="I4483" i="159"/>
  <c r="J4483" i="159"/>
  <c r="D4484" i="159"/>
  <c r="E4484" i="159"/>
  <c r="K4484" i="159"/>
  <c r="L4484" i="159"/>
  <c r="M4484" i="159"/>
  <c r="O4484" i="159"/>
  <c r="P4484" i="159" s="1"/>
  <c r="D4485" i="159"/>
  <c r="D4486" i="159" s="1"/>
  <c r="D4487" i="159" s="1"/>
  <c r="D4488" i="159" s="1"/>
  <c r="K4485" i="159"/>
  <c r="L4485" i="159"/>
  <c r="K4486" i="159"/>
  <c r="L4486" i="159"/>
  <c r="K4487" i="159"/>
  <c r="L4487" i="159"/>
  <c r="K4488" i="159"/>
  <c r="L4488" i="159"/>
  <c r="F4490" i="159"/>
  <c r="G4490" i="159"/>
  <c r="H4490" i="159"/>
  <c r="I4490" i="159"/>
  <c r="J4490" i="159"/>
  <c r="D4491" i="159"/>
  <c r="E4491" i="159"/>
  <c r="K4491" i="159"/>
  <c r="L4491" i="159"/>
  <c r="M4491" i="159"/>
  <c r="O4491" i="159"/>
  <c r="P4491" i="159" s="1"/>
  <c r="D4492" i="159"/>
  <c r="K4492" i="159"/>
  <c r="L4492" i="159"/>
  <c r="D4493" i="159"/>
  <c r="D4494" i="159" s="1"/>
  <c r="D4495" i="159" s="1"/>
  <c r="K4493" i="159"/>
  <c r="L4493" i="159"/>
  <c r="K4494" i="159"/>
  <c r="L4494" i="159"/>
  <c r="K4495" i="159"/>
  <c r="L4495" i="159"/>
  <c r="F4497" i="159"/>
  <c r="G4497" i="159"/>
  <c r="H4497" i="159"/>
  <c r="I4497" i="159"/>
  <c r="J4497" i="159"/>
  <c r="D4498" i="159"/>
  <c r="D4499" i="159" s="1"/>
  <c r="D4500" i="159" s="1"/>
  <c r="D4501" i="159" s="1"/>
  <c r="D4502" i="159" s="1"/>
  <c r="E4498" i="159"/>
  <c r="K4498" i="159"/>
  <c r="L4498" i="159"/>
  <c r="M4498" i="159"/>
  <c r="O4498" i="159"/>
  <c r="P4498" i="159"/>
  <c r="K4499" i="159"/>
  <c r="L4499" i="159"/>
  <c r="K4500" i="159"/>
  <c r="L4500" i="159"/>
  <c r="K4501" i="159"/>
  <c r="L4501" i="159"/>
  <c r="K4502" i="159"/>
  <c r="L4502" i="159"/>
  <c r="F4504" i="159"/>
  <c r="G4504" i="159"/>
  <c r="H4504" i="159"/>
  <c r="I4504" i="159"/>
  <c r="J4504" i="159"/>
  <c r="D4505" i="159"/>
  <c r="D4506" i="159" s="1"/>
  <c r="D4507" i="159" s="1"/>
  <c r="D4508" i="159" s="1"/>
  <c r="D4509" i="159" s="1"/>
  <c r="E4505" i="159"/>
  <c r="K4505" i="159"/>
  <c r="L4505" i="159"/>
  <c r="M4505" i="159"/>
  <c r="O4505" i="159"/>
  <c r="P4505" i="159" s="1"/>
  <c r="K4506" i="159"/>
  <c r="L4506" i="159"/>
  <c r="K4507" i="159"/>
  <c r="L4507" i="159"/>
  <c r="K4508" i="159"/>
  <c r="L4508" i="159"/>
  <c r="K4509" i="159"/>
  <c r="L4509" i="159"/>
  <c r="F4511" i="159"/>
  <c r="G4511" i="159"/>
  <c r="H4511" i="159"/>
  <c r="I4511" i="159"/>
  <c r="J4511" i="159"/>
  <c r="D4512" i="159"/>
  <c r="E4512" i="159"/>
  <c r="K4512" i="159"/>
  <c r="L4512" i="159"/>
  <c r="M4512" i="159"/>
  <c r="O4512" i="159"/>
  <c r="P4512" i="159" s="1"/>
  <c r="D4513" i="159"/>
  <c r="D4514" i="159" s="1"/>
  <c r="D4515" i="159" s="1"/>
  <c r="D4516" i="159" s="1"/>
  <c r="K4513" i="159"/>
  <c r="L4513" i="159"/>
  <c r="K4514" i="159"/>
  <c r="L4514" i="159"/>
  <c r="K4515" i="159"/>
  <c r="L4515" i="159"/>
  <c r="K4516" i="159"/>
  <c r="L4516" i="159"/>
  <c r="F4518" i="159"/>
  <c r="G4518" i="159"/>
  <c r="H4518" i="159"/>
  <c r="I4518" i="159"/>
  <c r="J4518" i="159"/>
  <c r="D4519" i="159"/>
  <c r="E4519" i="159"/>
  <c r="K4519" i="159"/>
  <c r="L4519" i="159"/>
  <c r="M4519" i="159"/>
  <c r="O4519" i="159"/>
  <c r="P4519" i="159" s="1"/>
  <c r="D4520" i="159"/>
  <c r="D4521" i="159" s="1"/>
  <c r="D4522" i="159" s="1"/>
  <c r="D4523" i="159" s="1"/>
  <c r="K4520" i="159"/>
  <c r="L4520" i="159"/>
  <c r="K4521" i="159"/>
  <c r="L4521" i="159"/>
  <c r="K4522" i="159"/>
  <c r="L4522" i="159"/>
  <c r="K4523" i="159"/>
  <c r="L4523" i="159"/>
  <c r="F4525" i="159"/>
  <c r="G4525" i="159"/>
  <c r="H4525" i="159"/>
  <c r="I4525" i="159"/>
  <c r="J4525" i="159"/>
  <c r="D4526" i="159"/>
  <c r="E4526" i="159"/>
  <c r="K4526" i="159"/>
  <c r="L4526" i="159"/>
  <c r="M4526" i="159"/>
  <c r="O4526" i="159"/>
  <c r="P4526" i="159" s="1"/>
  <c r="D4527" i="159"/>
  <c r="D4528" i="159" s="1"/>
  <c r="D4529" i="159" s="1"/>
  <c r="D4530" i="159" s="1"/>
  <c r="K4527" i="159"/>
  <c r="L4527" i="159"/>
  <c r="K4528" i="159"/>
  <c r="L4528" i="159"/>
  <c r="K4529" i="159"/>
  <c r="L4529" i="159"/>
  <c r="K4530" i="159"/>
  <c r="L4530" i="159"/>
  <c r="F4532" i="159"/>
  <c r="G4532" i="159"/>
  <c r="H4532" i="159"/>
  <c r="I4532" i="159"/>
  <c r="J4532" i="159"/>
  <c r="D4533" i="159"/>
  <c r="D4534" i="159" s="1"/>
  <c r="D4535" i="159" s="1"/>
  <c r="D4536" i="159" s="1"/>
  <c r="D4537" i="159" s="1"/>
  <c r="E4533" i="159"/>
  <c r="K4533" i="159"/>
  <c r="L4533" i="159"/>
  <c r="M4533" i="159"/>
  <c r="N4533" i="159"/>
  <c r="O4533" i="159"/>
  <c r="P4533" i="159" s="1"/>
  <c r="K4534" i="159"/>
  <c r="L4534" i="159"/>
  <c r="K4535" i="159"/>
  <c r="L4535" i="159"/>
  <c r="K4536" i="159"/>
  <c r="L4536" i="159"/>
  <c r="K4537" i="159"/>
  <c r="L4537" i="159"/>
  <c r="F4539" i="159"/>
  <c r="G4539" i="159"/>
  <c r="H4539" i="159"/>
  <c r="I4539" i="159"/>
  <c r="J4539" i="159"/>
  <c r="D4540" i="159"/>
  <c r="D4541" i="159" s="1"/>
  <c r="D4542" i="159" s="1"/>
  <c r="D4543" i="159" s="1"/>
  <c r="D4544" i="159" s="1"/>
  <c r="E4540" i="159"/>
  <c r="K4540" i="159"/>
  <c r="L4540" i="159"/>
  <c r="M4540" i="159"/>
  <c r="P4540" i="159"/>
  <c r="K4541" i="159"/>
  <c r="L4541" i="159"/>
  <c r="K4542" i="159"/>
  <c r="L4542" i="159"/>
  <c r="K4543" i="159"/>
  <c r="L4543" i="159"/>
  <c r="K4544" i="159"/>
  <c r="L4544" i="159"/>
  <c r="F4546" i="159"/>
  <c r="G4546" i="159"/>
  <c r="H4546" i="159"/>
  <c r="I4546" i="159"/>
  <c r="J4546" i="159"/>
  <c r="D4547" i="159"/>
  <c r="E4547" i="159"/>
  <c r="K4547" i="159"/>
  <c r="L4547" i="159"/>
  <c r="M4547" i="159"/>
  <c r="P4547" i="159"/>
  <c r="D4548" i="159"/>
  <c r="D4549" i="159" s="1"/>
  <c r="D4550" i="159" s="1"/>
  <c r="D4551" i="159" s="1"/>
  <c r="K4548" i="159"/>
  <c r="L4548" i="159"/>
  <c r="K4549" i="159"/>
  <c r="L4549" i="159"/>
  <c r="K4550" i="159"/>
  <c r="L4550" i="159"/>
  <c r="K4551" i="159"/>
  <c r="L4551" i="159"/>
  <c r="F4553" i="159"/>
  <c r="G4553" i="159"/>
  <c r="H4553" i="159"/>
  <c r="I4553" i="159"/>
  <c r="J4553" i="159"/>
  <c r="D4554" i="159"/>
  <c r="E4554" i="159"/>
  <c r="K4554" i="159"/>
  <c r="L4554" i="159"/>
  <c r="M4554" i="159"/>
  <c r="O4554" i="159"/>
  <c r="P4554" i="159"/>
  <c r="D4555" i="159"/>
  <c r="K4555" i="159"/>
  <c r="L4555" i="159"/>
  <c r="D4556" i="159"/>
  <c r="D4557" i="159" s="1"/>
  <c r="D4558" i="159" s="1"/>
  <c r="K4556" i="159"/>
  <c r="L4556" i="159"/>
  <c r="K4557" i="159"/>
  <c r="L4557" i="159"/>
  <c r="K4558" i="159"/>
  <c r="L4558" i="159"/>
  <c r="F4560" i="159"/>
  <c r="G4560" i="159"/>
  <c r="H4560" i="159"/>
  <c r="I4560" i="159"/>
  <c r="J4560" i="159"/>
  <c r="D4561" i="159"/>
  <c r="D4562" i="159" s="1"/>
  <c r="D4563" i="159" s="1"/>
  <c r="D4564" i="159" s="1"/>
  <c r="D4565" i="159" s="1"/>
  <c r="E4561" i="159"/>
  <c r="K4561" i="159"/>
  <c r="L4561" i="159"/>
  <c r="M4561" i="159"/>
  <c r="O4561" i="159"/>
  <c r="P4561" i="159"/>
  <c r="K4562" i="159"/>
  <c r="L4562" i="159"/>
  <c r="K4563" i="159"/>
  <c r="L4563" i="159"/>
  <c r="K4564" i="159"/>
  <c r="L4564" i="159"/>
  <c r="K4565" i="159"/>
  <c r="L4565" i="159"/>
  <c r="F4567" i="159"/>
  <c r="G4567" i="159"/>
  <c r="H4567" i="159"/>
  <c r="I4567" i="159"/>
  <c r="J4567" i="159"/>
  <c r="D4568" i="159"/>
  <c r="E4568" i="159"/>
  <c r="K4568" i="159"/>
  <c r="L4568" i="159"/>
  <c r="M4568" i="159"/>
  <c r="O4568" i="159"/>
  <c r="P4568" i="159"/>
  <c r="D4569" i="159"/>
  <c r="D4570" i="159" s="1"/>
  <c r="D4571" i="159" s="1"/>
  <c r="D4572" i="159" s="1"/>
  <c r="K4569" i="159"/>
  <c r="L4569" i="159"/>
  <c r="K4570" i="159"/>
  <c r="L4570" i="159"/>
  <c r="K4571" i="159"/>
  <c r="L4571" i="159"/>
  <c r="K4572" i="159"/>
  <c r="L4572" i="159"/>
  <c r="F4574" i="159"/>
  <c r="G4574" i="159"/>
  <c r="H4574" i="159"/>
  <c r="I4574" i="159"/>
  <c r="J4574" i="159"/>
  <c r="D4575" i="159"/>
  <c r="D4576" i="159" s="1"/>
  <c r="D4577" i="159" s="1"/>
  <c r="D4578" i="159" s="1"/>
  <c r="D4579" i="159" s="1"/>
  <c r="E4575" i="159"/>
  <c r="K4575" i="159"/>
  <c r="L4575" i="159"/>
  <c r="M4575" i="159"/>
  <c r="O4575" i="159"/>
  <c r="P4575" i="159"/>
  <c r="K4576" i="159"/>
  <c r="L4576" i="159"/>
  <c r="K4577" i="159"/>
  <c r="L4577" i="159"/>
  <c r="K4578" i="159"/>
  <c r="L4578" i="159"/>
  <c r="K4579" i="159"/>
  <c r="L4579" i="159"/>
  <c r="F4581" i="159"/>
  <c r="G4581" i="159"/>
  <c r="H4581" i="159"/>
  <c r="I4581" i="159"/>
  <c r="J4581" i="159"/>
  <c r="D4582" i="159"/>
  <c r="E4582" i="159"/>
  <c r="K4582" i="159"/>
  <c r="L4582" i="159"/>
  <c r="M4582" i="159"/>
  <c r="O4582" i="159"/>
  <c r="P4582" i="159"/>
  <c r="D4583" i="159"/>
  <c r="D4584" i="159" s="1"/>
  <c r="D4585" i="159" s="1"/>
  <c r="D4586" i="159" s="1"/>
  <c r="K4583" i="159"/>
  <c r="L4583" i="159"/>
  <c r="K4584" i="159"/>
  <c r="L4584" i="159"/>
  <c r="K4585" i="159"/>
  <c r="L4585" i="159"/>
  <c r="K4586" i="159"/>
  <c r="L4586" i="159"/>
  <c r="F4588" i="159"/>
  <c r="G4588" i="159"/>
  <c r="H4588" i="159"/>
  <c r="I4588" i="159"/>
  <c r="J4588" i="159"/>
  <c r="D4589" i="159"/>
  <c r="E4589" i="159"/>
  <c r="K4589" i="159"/>
  <c r="L4589" i="159"/>
  <c r="M4589" i="159"/>
  <c r="O4589" i="159"/>
  <c r="P4589" i="159"/>
  <c r="D4590" i="159"/>
  <c r="D4591" i="159" s="1"/>
  <c r="D4592" i="159" s="1"/>
  <c r="D4593" i="159" s="1"/>
  <c r="K4590" i="159"/>
  <c r="L4590" i="159"/>
  <c r="K4591" i="159"/>
  <c r="L4591" i="159"/>
  <c r="K4592" i="159"/>
  <c r="L4592" i="159"/>
  <c r="K4593" i="159"/>
  <c r="L4593" i="159"/>
  <c r="F4595" i="159"/>
  <c r="G4595" i="159"/>
  <c r="H4595" i="159"/>
  <c r="I4595" i="159"/>
  <c r="J4595" i="159"/>
  <c r="D4596" i="159"/>
  <c r="D4597" i="159" s="1"/>
  <c r="D4598" i="159" s="1"/>
  <c r="D4599" i="159" s="1"/>
  <c r="D4600" i="159" s="1"/>
  <c r="E4596" i="159"/>
  <c r="K4596" i="159"/>
  <c r="L4596" i="159"/>
  <c r="M4596" i="159"/>
  <c r="O4596" i="159"/>
  <c r="P4596" i="159"/>
  <c r="K4597" i="159"/>
  <c r="L4597" i="159"/>
  <c r="K4598" i="159"/>
  <c r="L4598" i="159"/>
  <c r="K4599" i="159"/>
  <c r="L4599" i="159"/>
  <c r="K4600" i="159"/>
  <c r="L4600" i="159"/>
  <c r="F4602" i="159"/>
  <c r="G4602" i="159"/>
  <c r="H4602" i="159"/>
  <c r="I4602" i="159"/>
  <c r="J4602" i="159"/>
  <c r="D4603" i="159"/>
  <c r="E4603" i="159"/>
  <c r="K4603" i="159"/>
  <c r="L4603" i="159"/>
  <c r="M4603" i="159"/>
  <c r="O4603" i="159"/>
  <c r="P4603" i="159"/>
  <c r="D4604" i="159"/>
  <c r="D4605" i="159" s="1"/>
  <c r="D4606" i="159" s="1"/>
  <c r="D4607" i="159" s="1"/>
  <c r="K4604" i="159"/>
  <c r="L4604" i="159"/>
  <c r="K4605" i="159"/>
  <c r="L4605" i="159"/>
  <c r="K4606" i="159"/>
  <c r="L4606" i="159"/>
  <c r="K4607" i="159"/>
  <c r="L4607" i="159"/>
  <c r="F4609" i="159"/>
  <c r="G4609" i="159"/>
  <c r="H4609" i="159"/>
  <c r="I4609" i="159"/>
  <c r="J4609" i="159"/>
  <c r="D4610" i="159"/>
  <c r="D4612" i="159" s="1"/>
  <c r="D4614" i="159" s="1"/>
  <c r="E4610" i="159"/>
  <c r="K4610" i="159"/>
  <c r="L4610" i="159"/>
  <c r="M4610" i="159"/>
  <c r="O4610" i="159"/>
  <c r="P4610" i="159"/>
  <c r="D4611" i="159"/>
  <c r="E4611" i="159"/>
  <c r="K4611" i="159"/>
  <c r="L4611" i="159"/>
  <c r="M4611" i="159"/>
  <c r="O4611" i="159"/>
  <c r="P4611" i="159" s="1"/>
  <c r="K4612" i="159"/>
  <c r="L4612" i="159"/>
  <c r="D4613" i="159"/>
  <c r="K4613" i="159"/>
  <c r="L4613" i="159"/>
  <c r="K4614" i="159"/>
  <c r="L4614" i="159"/>
  <c r="D4615" i="159"/>
  <c r="K4615" i="159"/>
  <c r="L4615" i="159"/>
  <c r="F4617" i="159"/>
  <c r="G4617" i="159"/>
  <c r="H4617" i="159"/>
  <c r="I4617" i="159"/>
  <c r="J4617" i="159"/>
  <c r="D4618" i="159"/>
  <c r="E4618" i="159"/>
  <c r="K4618" i="159"/>
  <c r="L4618" i="159"/>
  <c r="M4618" i="159"/>
  <c r="O4618" i="159"/>
  <c r="P4618" i="159"/>
  <c r="D4619" i="159"/>
  <c r="K4619" i="159"/>
  <c r="L4619" i="159"/>
  <c r="D4620" i="159"/>
  <c r="D4621" i="159" s="1"/>
  <c r="D4622" i="159" s="1"/>
  <c r="K4620" i="159"/>
  <c r="L4620" i="159"/>
  <c r="K4621" i="159"/>
  <c r="L4621" i="159"/>
  <c r="K4622" i="159"/>
  <c r="L4622" i="159"/>
  <c r="F4624" i="159"/>
  <c r="G4624" i="159"/>
  <c r="H4624" i="159"/>
  <c r="I4624" i="159"/>
  <c r="J4624" i="159"/>
  <c r="D4625" i="159"/>
  <c r="E4625" i="159"/>
  <c r="K4625" i="159"/>
  <c r="L4625" i="159"/>
  <c r="M4625" i="159"/>
  <c r="O4625" i="159"/>
  <c r="P4625" i="159" s="1"/>
  <c r="D4626" i="159"/>
  <c r="D4627" i="159" s="1"/>
  <c r="D4628" i="159" s="1"/>
  <c r="D4629" i="159" s="1"/>
  <c r="K4626" i="159"/>
  <c r="L4626" i="159"/>
  <c r="K4627" i="159"/>
  <c r="L4627" i="159"/>
  <c r="K4628" i="159"/>
  <c r="L4628" i="159"/>
  <c r="K4629" i="159"/>
  <c r="L4629" i="159"/>
  <c r="F4631" i="159"/>
  <c r="G4631" i="159"/>
  <c r="H4631" i="159"/>
  <c r="I4631" i="159"/>
  <c r="J4631" i="159"/>
  <c r="D4632" i="159"/>
  <c r="E4632" i="159"/>
  <c r="K4632" i="159"/>
  <c r="L4632" i="159"/>
  <c r="M4632" i="159"/>
  <c r="O4632" i="159"/>
  <c r="P4632" i="159" s="1"/>
  <c r="D4633" i="159"/>
  <c r="D4634" i="159" s="1"/>
  <c r="D4635" i="159" s="1"/>
  <c r="D4636" i="159" s="1"/>
  <c r="K4633" i="159"/>
  <c r="L4633" i="159"/>
  <c r="K4634" i="159"/>
  <c r="L4634" i="159"/>
  <c r="K4635" i="159"/>
  <c r="L4635" i="159"/>
  <c r="K4636" i="159"/>
  <c r="L4636" i="159"/>
  <c r="F4638" i="159"/>
  <c r="G4638" i="159"/>
  <c r="H4638" i="159"/>
  <c r="I4638" i="159"/>
  <c r="J4638" i="159"/>
  <c r="D4639" i="159"/>
  <c r="D4640" i="159" s="1"/>
  <c r="D4641" i="159" s="1"/>
  <c r="D4642" i="159" s="1"/>
  <c r="D4643" i="159" s="1"/>
  <c r="E4639" i="159"/>
  <c r="K4639" i="159"/>
  <c r="L4639" i="159"/>
  <c r="M4639" i="159"/>
  <c r="N4639" i="159"/>
  <c r="O4639" i="159"/>
  <c r="P4639" i="159"/>
  <c r="K4640" i="159"/>
  <c r="L4640" i="159"/>
  <c r="K4641" i="159"/>
  <c r="L4641" i="159"/>
  <c r="K4642" i="159"/>
  <c r="L4642" i="159"/>
  <c r="K4643" i="159"/>
  <c r="L4643" i="159"/>
  <c r="F4645" i="159"/>
  <c r="G4645" i="159"/>
  <c r="H4645" i="159"/>
  <c r="I4645" i="159"/>
  <c r="J4645" i="159"/>
  <c r="D4646" i="159"/>
  <c r="E4646" i="159"/>
  <c r="K4646" i="159"/>
  <c r="L4646" i="159"/>
  <c r="M4646" i="159"/>
  <c r="O4646" i="159"/>
  <c r="P4646" i="159"/>
  <c r="D4647" i="159"/>
  <c r="K4647" i="159"/>
  <c r="L4647" i="159"/>
  <c r="D4648" i="159"/>
  <c r="K4648" i="159"/>
  <c r="L4648" i="159"/>
  <c r="D4649" i="159"/>
  <c r="D4650" i="159" s="1"/>
  <c r="K4649" i="159"/>
  <c r="L4649" i="159"/>
  <c r="K4650" i="159"/>
  <c r="L4650" i="159"/>
  <c r="F4652" i="159"/>
  <c r="G4652" i="159"/>
  <c r="H4652" i="159"/>
  <c r="I4652" i="159"/>
  <c r="J4652" i="159"/>
  <c r="D4653" i="159"/>
  <c r="D4654" i="159" s="1"/>
  <c r="E4653" i="159"/>
  <c r="K4653" i="159"/>
  <c r="L4653" i="159"/>
  <c r="M4653" i="159"/>
  <c r="O4653" i="159"/>
  <c r="P4653" i="159"/>
  <c r="K4654" i="159"/>
  <c r="L4654" i="159"/>
  <c r="D4655" i="159"/>
  <c r="D4656" i="159" s="1"/>
  <c r="D4657" i="159" s="1"/>
  <c r="K4655" i="159"/>
  <c r="L4655" i="159"/>
  <c r="K4656" i="159"/>
  <c r="L4656" i="159"/>
  <c r="K4657" i="159"/>
  <c r="L4657" i="159"/>
  <c r="F4659" i="159"/>
  <c r="G4659" i="159"/>
  <c r="H4659" i="159"/>
  <c r="I4659" i="159"/>
  <c r="J4659" i="159"/>
  <c r="D4660" i="159"/>
  <c r="D4661" i="159" s="1"/>
  <c r="D4662" i="159" s="1"/>
  <c r="D4663" i="159" s="1"/>
  <c r="D4664" i="159" s="1"/>
  <c r="E4660" i="159"/>
  <c r="K4660" i="159"/>
  <c r="L4660" i="159"/>
  <c r="M4660" i="159"/>
  <c r="N4660" i="159"/>
  <c r="O4660" i="159"/>
  <c r="P4660" i="159"/>
  <c r="K4661" i="159"/>
  <c r="L4661" i="159"/>
  <c r="K4662" i="159"/>
  <c r="L4662" i="159"/>
  <c r="K4663" i="159"/>
  <c r="L4663" i="159"/>
  <c r="K4664" i="159"/>
  <c r="L4664" i="159"/>
  <c r="F4666" i="159"/>
  <c r="G4666" i="159"/>
  <c r="H4666" i="159"/>
  <c r="I4666" i="159"/>
  <c r="J4666" i="159"/>
  <c r="D4667" i="159"/>
  <c r="D4668" i="159" s="1"/>
  <c r="D4669" i="159" s="1"/>
  <c r="D4670" i="159" s="1"/>
  <c r="D4671" i="159" s="1"/>
  <c r="E4667" i="159"/>
  <c r="K4667" i="159"/>
  <c r="L4667" i="159"/>
  <c r="M4667" i="159"/>
  <c r="N4667" i="159"/>
  <c r="O4667" i="159"/>
  <c r="P4667" i="159"/>
  <c r="K4668" i="159"/>
  <c r="L4668" i="159"/>
  <c r="K4669" i="159"/>
  <c r="L4669" i="159"/>
  <c r="K4670" i="159"/>
  <c r="L4670" i="159"/>
  <c r="K4671" i="159"/>
  <c r="L4671" i="159"/>
  <c r="F4673" i="159"/>
  <c r="G4673" i="159"/>
  <c r="H4673" i="159"/>
  <c r="I4673" i="159"/>
  <c r="J4673" i="159"/>
  <c r="D4674" i="159"/>
  <c r="D4675" i="159" s="1"/>
  <c r="D4676" i="159" s="1"/>
  <c r="D4677" i="159" s="1"/>
  <c r="D4678" i="159" s="1"/>
  <c r="E4674" i="159"/>
  <c r="K4674" i="159"/>
  <c r="L4674" i="159"/>
  <c r="M4674" i="159"/>
  <c r="O4674" i="159"/>
  <c r="P4674" i="159"/>
  <c r="K4675" i="159"/>
  <c r="L4675" i="159"/>
  <c r="K4676" i="159"/>
  <c r="L4676" i="159"/>
  <c r="K4677" i="159"/>
  <c r="L4677" i="159"/>
  <c r="K4678" i="159"/>
  <c r="L4678" i="159"/>
  <c r="F4680" i="159"/>
  <c r="G4680" i="159"/>
  <c r="H4680" i="159"/>
  <c r="I4680" i="159"/>
  <c r="J4680" i="159"/>
  <c r="D4681" i="159"/>
  <c r="D4682" i="159" s="1"/>
  <c r="D4683" i="159" s="1"/>
  <c r="D4684" i="159" s="1"/>
  <c r="D4685" i="159" s="1"/>
  <c r="E4681" i="159"/>
  <c r="K4681" i="159"/>
  <c r="L4681" i="159"/>
  <c r="M4681" i="159"/>
  <c r="P4681" i="159"/>
  <c r="K4682" i="159"/>
  <c r="L4682" i="159"/>
  <c r="K4683" i="159"/>
  <c r="L4683" i="159"/>
  <c r="K4684" i="159"/>
  <c r="L4684" i="159"/>
  <c r="K4685" i="159"/>
  <c r="L4685" i="159"/>
  <c r="F4687" i="159"/>
  <c r="G4687" i="159"/>
  <c r="H4687" i="159"/>
  <c r="I4687" i="159"/>
  <c r="J4687" i="159"/>
  <c r="D4688" i="159"/>
  <c r="D4689" i="159" s="1"/>
  <c r="D4690" i="159" s="1"/>
  <c r="D4691" i="159" s="1"/>
  <c r="D4692" i="159" s="1"/>
  <c r="E4688" i="159"/>
  <c r="K4688" i="159"/>
  <c r="L4688" i="159"/>
  <c r="M4688" i="159"/>
  <c r="P4688" i="159"/>
  <c r="K4689" i="159"/>
  <c r="L4689" i="159"/>
  <c r="K4690" i="159"/>
  <c r="L4690" i="159"/>
  <c r="K4691" i="159"/>
  <c r="L4691" i="159"/>
  <c r="K4692" i="159"/>
  <c r="L4692" i="159"/>
  <c r="F4694" i="159"/>
  <c r="G4694" i="159"/>
  <c r="H4694" i="159"/>
  <c r="I4694" i="159"/>
  <c r="J4694" i="159"/>
  <c r="D4695" i="159"/>
  <c r="E4695" i="159"/>
  <c r="K4695" i="159"/>
  <c r="L4695" i="159"/>
  <c r="M4695" i="159"/>
  <c r="P4695" i="159"/>
  <c r="D4696" i="159"/>
  <c r="D4697" i="159" s="1"/>
  <c r="D4698" i="159" s="1"/>
  <c r="D4699" i="159" s="1"/>
  <c r="K4696" i="159"/>
  <c r="L4696" i="159"/>
  <c r="K4697" i="159"/>
  <c r="L4697" i="159"/>
  <c r="K4698" i="159"/>
  <c r="L4698" i="159"/>
  <c r="K4699" i="159"/>
  <c r="L4699" i="159"/>
  <c r="F4701" i="159"/>
  <c r="G4701" i="159"/>
  <c r="H4701" i="159"/>
  <c r="I4701" i="159"/>
  <c r="J4701" i="159"/>
  <c r="D4702" i="159"/>
  <c r="D4703" i="159" s="1"/>
  <c r="D4704" i="159" s="1"/>
  <c r="D4705" i="159" s="1"/>
  <c r="D4706" i="159" s="1"/>
  <c r="E4702" i="159"/>
  <c r="K4702" i="159"/>
  <c r="L4702" i="159"/>
  <c r="M4702" i="159"/>
  <c r="P4702" i="159"/>
  <c r="K4703" i="159"/>
  <c r="L4703" i="159"/>
  <c r="K4704" i="159"/>
  <c r="L4704" i="159"/>
  <c r="K4705" i="159"/>
  <c r="L4705" i="159"/>
  <c r="K4706" i="159"/>
  <c r="L4706" i="159"/>
  <c r="F4708" i="159"/>
  <c r="G4708" i="159"/>
  <c r="H4708" i="159"/>
  <c r="I4708" i="159"/>
  <c r="J4708" i="159"/>
  <c r="D4709" i="159"/>
  <c r="D4710" i="159" s="1"/>
  <c r="D4711" i="159" s="1"/>
  <c r="D4712" i="159" s="1"/>
  <c r="D4713" i="159" s="1"/>
  <c r="E4709" i="159"/>
  <c r="K4709" i="159"/>
  <c r="L4709" i="159"/>
  <c r="M4709" i="159"/>
  <c r="P4709" i="159"/>
  <c r="K4710" i="159"/>
  <c r="L4710" i="159"/>
  <c r="K4711" i="159"/>
  <c r="L4711" i="159"/>
  <c r="K4712" i="159"/>
  <c r="L4712" i="159"/>
  <c r="K4713" i="159"/>
  <c r="L4713" i="159"/>
  <c r="F4715" i="159"/>
  <c r="G4715" i="159"/>
  <c r="H4715" i="159"/>
  <c r="I4715" i="159"/>
  <c r="J4715" i="159"/>
  <c r="D4716" i="159"/>
  <c r="E4716" i="159"/>
  <c r="K4716" i="159"/>
  <c r="L4716" i="159"/>
  <c r="M4716" i="159"/>
  <c r="P4716" i="159"/>
  <c r="D4717" i="159"/>
  <c r="D4718" i="159" s="1"/>
  <c r="D4719" i="159" s="1"/>
  <c r="D4720" i="159" s="1"/>
  <c r="K4717" i="159"/>
  <c r="L4717" i="159"/>
  <c r="K4718" i="159"/>
  <c r="L4718" i="159"/>
  <c r="K4719" i="159"/>
  <c r="L4719" i="159"/>
  <c r="K4720" i="159"/>
  <c r="L4720" i="159"/>
  <c r="F4722" i="159"/>
  <c r="G4722" i="159"/>
  <c r="H4722" i="159"/>
  <c r="I4722" i="159"/>
  <c r="J4722" i="159"/>
  <c r="D4723" i="159"/>
  <c r="E4723" i="159"/>
  <c r="K4723" i="159"/>
  <c r="L4723" i="159"/>
  <c r="M4723" i="159"/>
  <c r="P4723" i="159"/>
  <c r="D4724" i="159"/>
  <c r="D4725" i="159" s="1"/>
  <c r="D4726" i="159" s="1"/>
  <c r="D4727" i="159" s="1"/>
  <c r="K4724" i="159"/>
  <c r="L4724" i="159"/>
  <c r="K4725" i="159"/>
  <c r="L4725" i="159"/>
  <c r="K4726" i="159"/>
  <c r="L4726" i="159"/>
  <c r="K4727" i="159"/>
  <c r="L4727" i="159"/>
  <c r="F4729" i="159"/>
  <c r="G4729" i="159"/>
  <c r="H4729" i="159"/>
  <c r="I4729" i="159"/>
  <c r="J4729" i="159"/>
  <c r="D4730" i="159"/>
  <c r="E4730" i="159"/>
  <c r="K4730" i="159"/>
  <c r="L4730" i="159"/>
  <c r="M4730" i="159"/>
  <c r="P4730" i="159"/>
  <c r="D4731" i="159"/>
  <c r="D4732" i="159" s="1"/>
  <c r="D4733" i="159" s="1"/>
  <c r="D4734" i="159" s="1"/>
  <c r="K4731" i="159"/>
  <c r="L4731" i="159"/>
  <c r="K4732" i="159"/>
  <c r="L4732" i="159"/>
  <c r="K4733" i="159"/>
  <c r="L4733" i="159"/>
  <c r="K4734" i="159"/>
  <c r="L4734" i="159"/>
  <c r="F4736" i="159"/>
  <c r="G4736" i="159"/>
  <c r="H4736" i="159"/>
  <c r="I4736" i="159"/>
  <c r="J4736" i="159"/>
  <c r="D4737" i="159"/>
  <c r="E4737" i="159"/>
  <c r="K4737" i="159"/>
  <c r="L4737" i="159"/>
  <c r="M4737" i="159"/>
  <c r="P4737" i="159"/>
  <c r="D4738" i="159"/>
  <c r="D4739" i="159" s="1"/>
  <c r="D4740" i="159" s="1"/>
  <c r="D4741" i="159" s="1"/>
  <c r="K4738" i="159"/>
  <c r="L4738" i="159"/>
  <c r="K4739" i="159"/>
  <c r="L4739" i="159"/>
  <c r="K4740" i="159"/>
  <c r="L4740" i="159"/>
  <c r="K4741" i="159"/>
  <c r="L4741" i="159"/>
  <c r="F4743" i="159"/>
  <c r="G4743" i="159"/>
  <c r="H4743" i="159"/>
  <c r="I4743" i="159"/>
  <c r="J4743" i="159"/>
  <c r="D4744" i="159"/>
  <c r="D4745" i="159" s="1"/>
  <c r="D4746" i="159" s="1"/>
  <c r="D4747" i="159" s="1"/>
  <c r="D4748" i="159" s="1"/>
  <c r="E4744" i="159"/>
  <c r="K4744" i="159"/>
  <c r="L4744" i="159"/>
  <c r="M4744" i="159"/>
  <c r="N4744" i="159"/>
  <c r="O4744" i="159"/>
  <c r="P4744" i="159" s="1"/>
  <c r="K4745" i="159"/>
  <c r="L4745" i="159"/>
  <c r="K4746" i="159"/>
  <c r="L4746" i="159"/>
  <c r="K4747" i="159"/>
  <c r="L4747" i="159"/>
  <c r="K4748" i="159"/>
  <c r="L4748" i="159"/>
  <c r="F4750" i="159"/>
  <c r="G4750" i="159"/>
  <c r="H4750" i="159"/>
  <c r="I4750" i="159"/>
  <c r="J4750" i="159"/>
  <c r="D4751" i="159"/>
  <c r="D4752" i="159" s="1"/>
  <c r="D4753" i="159" s="1"/>
  <c r="D4754" i="159" s="1"/>
  <c r="D4755" i="159" s="1"/>
  <c r="E4751" i="159"/>
  <c r="K4751" i="159"/>
  <c r="L4751" i="159"/>
  <c r="M4751" i="159"/>
  <c r="N4751" i="159"/>
  <c r="O4751" i="159"/>
  <c r="P4751" i="159" s="1"/>
  <c r="K4752" i="159"/>
  <c r="L4752" i="159"/>
  <c r="K4753" i="159"/>
  <c r="L4753" i="159"/>
  <c r="K4754" i="159"/>
  <c r="L4754" i="159"/>
  <c r="K4755" i="159"/>
  <c r="L4755" i="159"/>
  <c r="F4757" i="159"/>
  <c r="G4757" i="159"/>
  <c r="H4757" i="159"/>
  <c r="I4757" i="159"/>
  <c r="J4757" i="159"/>
  <c r="D4758" i="159"/>
  <c r="E4758" i="159"/>
  <c r="K4758" i="159"/>
  <c r="L4758" i="159"/>
  <c r="M4758" i="159"/>
  <c r="O4758" i="159"/>
  <c r="P4758" i="159" s="1"/>
  <c r="D4759" i="159"/>
  <c r="D4760" i="159" s="1"/>
  <c r="D4761" i="159" s="1"/>
  <c r="D4762" i="159" s="1"/>
  <c r="K4759" i="159"/>
  <c r="L4759" i="159"/>
  <c r="K4760" i="159"/>
  <c r="L4760" i="159"/>
  <c r="K4761" i="159"/>
  <c r="L4761" i="159"/>
  <c r="K4762" i="159"/>
  <c r="L4762" i="159"/>
  <c r="F4764" i="159"/>
  <c r="G4764" i="159"/>
  <c r="H4764" i="159"/>
  <c r="I4764" i="159"/>
  <c r="J4764" i="159"/>
  <c r="D4765" i="159"/>
  <c r="E4765" i="159"/>
  <c r="K4765" i="159"/>
  <c r="L4765" i="159"/>
  <c r="M4765" i="159"/>
  <c r="O4765" i="159"/>
  <c r="P4765" i="159"/>
  <c r="D4766" i="159"/>
  <c r="D4767" i="159" s="1"/>
  <c r="D4768" i="159" s="1"/>
  <c r="D4769" i="159" s="1"/>
  <c r="K4766" i="159"/>
  <c r="L4766" i="159"/>
  <c r="K4767" i="159"/>
  <c r="L4767" i="159"/>
  <c r="K4768" i="159"/>
  <c r="L4768" i="159"/>
  <c r="K4769" i="159"/>
  <c r="L4769" i="159"/>
  <c r="F4771" i="159"/>
  <c r="G4771" i="159"/>
  <c r="H4771" i="159"/>
  <c r="I4771" i="159"/>
  <c r="J4771" i="159"/>
  <c r="D4772" i="159"/>
  <c r="E4772" i="159"/>
  <c r="K4772" i="159"/>
  <c r="L4772" i="159"/>
  <c r="M4772" i="159"/>
  <c r="O4772" i="159"/>
  <c r="P4772" i="159" s="1"/>
  <c r="D4773" i="159"/>
  <c r="D4774" i="159" s="1"/>
  <c r="D4775" i="159" s="1"/>
  <c r="D4776" i="159" s="1"/>
  <c r="K4773" i="159"/>
  <c r="L4773" i="159"/>
  <c r="K4774" i="159"/>
  <c r="L4774" i="159"/>
  <c r="K4775" i="159"/>
  <c r="L4775" i="159"/>
  <c r="K4776" i="159"/>
  <c r="L4776" i="159"/>
  <c r="F4778" i="159"/>
  <c r="G4778" i="159"/>
  <c r="H4778" i="159"/>
  <c r="I4778" i="159"/>
  <c r="J4778" i="159"/>
  <c r="D4779" i="159"/>
  <c r="E4779" i="159"/>
  <c r="K4779" i="159"/>
  <c r="L4779" i="159"/>
  <c r="M4779" i="159"/>
  <c r="O4779" i="159"/>
  <c r="P4779" i="159" s="1"/>
  <c r="D4780" i="159"/>
  <c r="D4781" i="159" s="1"/>
  <c r="D4782" i="159" s="1"/>
  <c r="D4783" i="159" s="1"/>
  <c r="K4780" i="159"/>
  <c r="L4780" i="159"/>
  <c r="K4781" i="159"/>
  <c r="L4781" i="159"/>
  <c r="K4782" i="159"/>
  <c r="L4782" i="159"/>
  <c r="K4783" i="159"/>
  <c r="L4783" i="159"/>
  <c r="F4785" i="159"/>
  <c r="G4785" i="159"/>
  <c r="H4785" i="159"/>
  <c r="I4785" i="159"/>
  <c r="J4785" i="159"/>
  <c r="D4786" i="159"/>
  <c r="E4786" i="159"/>
  <c r="K4786" i="159"/>
  <c r="L4786" i="159"/>
  <c r="M4786" i="159"/>
  <c r="O4786" i="159"/>
  <c r="P4786" i="159" s="1"/>
  <c r="D4787" i="159"/>
  <c r="D4788" i="159" s="1"/>
  <c r="D4789" i="159" s="1"/>
  <c r="D4790" i="159" s="1"/>
  <c r="K4787" i="159"/>
  <c r="L4787" i="159"/>
  <c r="K4788" i="159"/>
  <c r="L4788" i="159"/>
  <c r="K4789" i="159"/>
  <c r="L4789" i="159"/>
  <c r="K4790" i="159"/>
  <c r="L4790" i="159"/>
  <c r="F4792" i="159"/>
  <c r="G4792" i="159"/>
  <c r="H4792" i="159"/>
  <c r="I4792" i="159"/>
  <c r="J4792" i="159"/>
  <c r="D4793" i="159"/>
  <c r="E4793" i="159"/>
  <c r="K4793" i="159"/>
  <c r="L4793" i="159"/>
  <c r="M4793" i="159"/>
  <c r="O4793" i="159"/>
  <c r="P4793" i="159" s="1"/>
  <c r="D4794" i="159"/>
  <c r="D4795" i="159" s="1"/>
  <c r="D4796" i="159" s="1"/>
  <c r="D4797" i="159" s="1"/>
  <c r="K4794" i="159"/>
  <c r="L4794" i="159"/>
  <c r="K4795" i="159"/>
  <c r="L4795" i="159"/>
  <c r="K4796" i="159"/>
  <c r="L4796" i="159"/>
  <c r="K4797" i="159"/>
  <c r="L4797" i="159"/>
  <c r="F4799" i="159"/>
  <c r="G4799" i="159"/>
  <c r="H4799" i="159"/>
  <c r="I4799" i="159"/>
  <c r="J4799" i="159"/>
  <c r="D4800" i="159"/>
  <c r="E4800" i="159"/>
  <c r="K4800" i="159"/>
  <c r="L4800" i="159"/>
  <c r="M4800" i="159"/>
  <c r="O4800" i="159"/>
  <c r="P4800" i="159"/>
  <c r="D4801" i="159"/>
  <c r="D4802" i="159" s="1"/>
  <c r="D4803" i="159" s="1"/>
  <c r="D4804" i="159" s="1"/>
  <c r="K4801" i="159"/>
  <c r="L4801" i="159"/>
  <c r="K4802" i="159"/>
  <c r="L4802" i="159"/>
  <c r="K4803" i="159"/>
  <c r="L4803" i="159"/>
  <c r="K4804" i="159"/>
  <c r="L4804" i="159"/>
  <c r="F4806" i="159"/>
  <c r="G4806" i="159"/>
  <c r="H4806" i="159"/>
  <c r="I4806" i="159"/>
  <c r="J4806" i="159"/>
  <c r="D4807" i="159"/>
  <c r="E4807" i="159"/>
  <c r="K4807" i="159"/>
  <c r="L4807" i="159"/>
  <c r="M4807" i="159"/>
  <c r="O4807" i="159"/>
  <c r="P4807" i="159" s="1"/>
  <c r="D4808" i="159"/>
  <c r="D4809" i="159" s="1"/>
  <c r="D4810" i="159" s="1"/>
  <c r="D4811" i="159" s="1"/>
  <c r="K4808" i="159"/>
  <c r="L4808" i="159"/>
  <c r="K4809" i="159"/>
  <c r="L4809" i="159"/>
  <c r="K4810" i="159"/>
  <c r="L4810" i="159"/>
  <c r="K4811" i="159"/>
  <c r="L4811" i="159"/>
  <c r="F4813" i="159"/>
  <c r="G4813" i="159"/>
  <c r="H4813" i="159"/>
  <c r="I4813" i="159"/>
  <c r="J4813" i="159"/>
  <c r="D4814" i="159"/>
  <c r="E4814" i="159"/>
  <c r="K4814" i="159"/>
  <c r="L4814" i="159"/>
  <c r="M4814" i="159"/>
  <c r="O4814" i="159"/>
  <c r="P4814" i="159" s="1"/>
  <c r="D4815" i="159"/>
  <c r="D4816" i="159" s="1"/>
  <c r="D4817" i="159" s="1"/>
  <c r="D4818" i="159" s="1"/>
  <c r="K4815" i="159"/>
  <c r="L4815" i="159"/>
  <c r="K4816" i="159"/>
  <c r="L4816" i="159"/>
  <c r="K4817" i="159"/>
  <c r="L4817" i="159"/>
  <c r="K4818" i="159"/>
  <c r="L4818" i="159"/>
  <c r="F4820" i="159"/>
  <c r="G4820" i="159"/>
  <c r="H4820" i="159"/>
  <c r="I4820" i="159"/>
  <c r="J4820" i="159"/>
  <c r="D4821" i="159"/>
  <c r="E4821" i="159"/>
  <c r="K4821" i="159"/>
  <c r="L4821" i="159"/>
  <c r="M4821" i="159"/>
  <c r="O4821" i="159"/>
  <c r="P4821" i="159" s="1"/>
  <c r="D4822" i="159"/>
  <c r="D4823" i="159" s="1"/>
  <c r="D4824" i="159" s="1"/>
  <c r="D4825" i="159" s="1"/>
  <c r="K4822" i="159"/>
  <c r="L4822" i="159"/>
  <c r="K4823" i="159"/>
  <c r="L4823" i="159"/>
  <c r="K4824" i="159"/>
  <c r="L4824" i="159"/>
  <c r="K4825" i="159"/>
  <c r="L4825" i="159"/>
  <c r="F4827" i="159"/>
  <c r="G4827" i="159"/>
  <c r="H4827" i="159"/>
  <c r="I4827" i="159"/>
  <c r="J4827" i="159"/>
  <c r="D4828" i="159"/>
  <c r="E4828" i="159"/>
  <c r="K4828" i="159"/>
  <c r="L4828" i="159"/>
  <c r="M4828" i="159"/>
  <c r="O4828" i="159"/>
  <c r="P4828" i="159" s="1"/>
  <c r="D4829" i="159"/>
  <c r="K4829" i="159"/>
  <c r="L4829" i="159"/>
  <c r="D4830" i="159"/>
  <c r="D4831" i="159" s="1"/>
  <c r="D4832" i="159" s="1"/>
  <c r="K4830" i="159"/>
  <c r="L4830" i="159"/>
  <c r="K4831" i="159"/>
  <c r="L4831" i="159"/>
  <c r="K4832" i="159"/>
  <c r="L4832" i="159"/>
  <c r="F4834" i="159"/>
  <c r="G4834" i="159"/>
  <c r="H4834" i="159"/>
  <c r="I4834" i="159"/>
  <c r="J4834" i="159"/>
  <c r="D4835" i="159"/>
  <c r="E4835" i="159"/>
  <c r="K4835" i="159"/>
  <c r="L4835" i="159"/>
  <c r="M4835" i="159"/>
  <c r="O4835" i="159"/>
  <c r="P4835" i="159"/>
  <c r="D4836" i="159"/>
  <c r="D4837" i="159" s="1"/>
  <c r="D4838" i="159" s="1"/>
  <c r="D4839" i="159" s="1"/>
  <c r="K4836" i="159"/>
  <c r="L4836" i="159"/>
  <c r="K4837" i="159"/>
  <c r="L4837" i="159"/>
  <c r="K4838" i="159"/>
  <c r="L4838" i="159"/>
  <c r="K4839" i="159"/>
  <c r="L4839" i="159"/>
  <c r="F4841" i="159"/>
  <c r="G4841" i="159"/>
  <c r="H4841" i="159"/>
  <c r="I4841" i="159"/>
  <c r="J4841" i="159"/>
  <c r="D4842" i="159"/>
  <c r="E4842" i="159"/>
  <c r="K4842" i="159"/>
  <c r="L4842" i="159"/>
  <c r="M4842" i="159"/>
  <c r="O4842" i="159"/>
  <c r="P4842" i="159"/>
  <c r="D4843" i="159"/>
  <c r="D4844" i="159" s="1"/>
  <c r="D4845" i="159" s="1"/>
  <c r="D4846" i="159" s="1"/>
  <c r="K4843" i="159"/>
  <c r="L4843" i="159"/>
  <c r="K4844" i="159"/>
  <c r="L4844" i="159"/>
  <c r="K4845" i="159"/>
  <c r="L4845" i="159"/>
  <c r="K4846" i="159"/>
  <c r="L4846" i="159"/>
  <c r="F4848" i="159"/>
  <c r="G4848" i="159"/>
  <c r="H4848" i="159"/>
  <c r="I4848" i="159"/>
  <c r="J4848" i="159"/>
  <c r="D4849" i="159"/>
  <c r="E4849" i="159"/>
  <c r="K4849" i="159"/>
  <c r="L4849" i="159"/>
  <c r="M4849" i="159"/>
  <c r="O4849" i="159"/>
  <c r="P4849" i="159" s="1"/>
  <c r="D4850" i="159"/>
  <c r="D4851" i="159" s="1"/>
  <c r="D4852" i="159" s="1"/>
  <c r="D4853" i="159" s="1"/>
  <c r="K4850" i="159"/>
  <c r="L4850" i="159"/>
  <c r="K4851" i="159"/>
  <c r="L4851" i="159"/>
  <c r="K4852" i="159"/>
  <c r="L4852" i="159"/>
  <c r="K4853" i="159"/>
  <c r="L4853" i="159"/>
  <c r="F4855" i="159"/>
  <c r="G4855" i="159"/>
  <c r="H4855" i="159"/>
  <c r="I4855" i="159"/>
  <c r="J4855" i="159"/>
  <c r="D4856" i="159"/>
  <c r="D4857" i="159" s="1"/>
  <c r="D4858" i="159" s="1"/>
  <c r="D4859" i="159" s="1"/>
  <c r="D4860" i="159" s="1"/>
  <c r="E4856" i="159"/>
  <c r="K4856" i="159"/>
  <c r="L4856" i="159"/>
  <c r="M4856" i="159"/>
  <c r="O4856" i="159"/>
  <c r="P4856" i="159" s="1"/>
  <c r="K4857" i="159"/>
  <c r="L4857" i="159"/>
  <c r="K4858" i="159"/>
  <c r="L4858" i="159"/>
  <c r="K4859" i="159"/>
  <c r="L4859" i="159"/>
  <c r="K4860" i="159"/>
  <c r="L4860" i="159"/>
  <c r="F4862" i="159"/>
  <c r="G4862" i="159"/>
  <c r="H4862" i="159"/>
  <c r="I4862" i="159"/>
  <c r="J4862" i="159"/>
  <c r="D4863" i="159"/>
  <c r="E4863" i="159"/>
  <c r="K4863" i="159"/>
  <c r="L4863" i="159"/>
  <c r="M4863" i="159"/>
  <c r="O4863" i="159"/>
  <c r="P4863" i="159" s="1"/>
  <c r="D4864" i="159"/>
  <c r="K4864" i="159"/>
  <c r="L4864" i="159"/>
  <c r="D4865" i="159"/>
  <c r="D4866" i="159" s="1"/>
  <c r="D4867" i="159" s="1"/>
  <c r="K4865" i="159"/>
  <c r="L4865" i="159"/>
  <c r="K4866" i="159"/>
  <c r="L4866" i="159"/>
  <c r="K4867" i="159"/>
  <c r="L4867" i="159"/>
  <c r="F4869" i="159"/>
  <c r="G4869" i="159"/>
  <c r="H4869" i="159"/>
  <c r="I4869" i="159"/>
  <c r="J4869" i="159"/>
  <c r="D4870" i="159"/>
  <c r="E4870" i="159"/>
  <c r="K4870" i="159"/>
  <c r="L4870" i="159"/>
  <c r="M4870" i="159"/>
  <c r="O4870" i="159"/>
  <c r="P4870" i="159"/>
  <c r="D4871" i="159"/>
  <c r="K4871" i="159"/>
  <c r="L4871" i="159"/>
  <c r="D4872" i="159"/>
  <c r="D4873" i="159" s="1"/>
  <c r="D4874" i="159" s="1"/>
  <c r="K4872" i="159"/>
  <c r="L4872" i="159"/>
  <c r="K4873" i="159"/>
  <c r="L4873" i="159"/>
  <c r="K4874" i="159"/>
  <c r="L4874" i="159"/>
  <c r="F4876" i="159"/>
  <c r="G4876" i="159"/>
  <c r="H4876" i="159"/>
  <c r="I4876" i="159"/>
  <c r="J4876" i="159"/>
  <c r="D4877" i="159"/>
  <c r="E4877" i="159"/>
  <c r="K4877" i="159"/>
  <c r="L4877" i="159"/>
  <c r="M4877" i="159"/>
  <c r="O4877" i="159"/>
  <c r="P4877" i="159"/>
  <c r="D4878" i="159"/>
  <c r="D4879" i="159" s="1"/>
  <c r="D4880" i="159" s="1"/>
  <c r="D4881" i="159" s="1"/>
  <c r="K4878" i="159"/>
  <c r="L4878" i="159"/>
  <c r="K4879" i="159"/>
  <c r="L4879" i="159"/>
  <c r="K4880" i="159"/>
  <c r="L4880" i="159"/>
  <c r="K4881" i="159"/>
  <c r="L4881" i="159"/>
  <c r="F4883" i="159"/>
  <c r="G4883" i="159"/>
  <c r="H4883" i="159"/>
  <c r="I4883" i="159"/>
  <c r="J4883" i="159"/>
  <c r="D4884" i="159"/>
  <c r="E4884" i="159"/>
  <c r="K4884" i="159"/>
  <c r="L4884" i="159"/>
  <c r="M4884" i="159"/>
  <c r="O4884" i="159"/>
  <c r="P4884" i="159" s="1"/>
  <c r="D4885" i="159"/>
  <c r="D4886" i="159" s="1"/>
  <c r="K4885" i="159"/>
  <c r="L4885" i="159"/>
  <c r="K4886" i="159"/>
  <c r="L4886" i="159"/>
  <c r="D4887" i="159"/>
  <c r="D4888" i="159" s="1"/>
  <c r="K4887" i="159"/>
  <c r="L4887" i="159"/>
  <c r="K4888" i="159"/>
  <c r="L4888" i="159"/>
  <c r="F4890" i="159"/>
  <c r="G4890" i="159"/>
  <c r="H4890" i="159"/>
  <c r="I4890" i="159"/>
  <c r="J4890" i="159"/>
  <c r="D4891" i="159"/>
  <c r="E4891" i="159"/>
  <c r="K4891" i="159"/>
  <c r="L4891" i="159"/>
  <c r="M4891" i="159"/>
  <c r="O4891" i="159"/>
  <c r="P4891" i="159" s="1"/>
  <c r="D4892" i="159"/>
  <c r="D4893" i="159" s="1"/>
  <c r="D4894" i="159" s="1"/>
  <c r="D4895" i="159" s="1"/>
  <c r="K4892" i="159"/>
  <c r="L4892" i="159"/>
  <c r="K4893" i="159"/>
  <c r="L4893" i="159"/>
  <c r="K4894" i="159"/>
  <c r="L4894" i="159"/>
  <c r="K4895" i="159"/>
  <c r="L4895" i="159"/>
  <c r="F4897" i="159"/>
  <c r="G4897" i="159"/>
  <c r="H4897" i="159"/>
  <c r="I4897" i="159"/>
  <c r="J4897" i="159"/>
  <c r="D4898" i="159"/>
  <c r="E4898" i="159"/>
  <c r="K4898" i="159"/>
  <c r="L4898" i="159"/>
  <c r="M4898" i="159"/>
  <c r="O4898" i="159"/>
  <c r="P4898" i="159" s="1"/>
  <c r="D4899" i="159"/>
  <c r="K4899" i="159"/>
  <c r="L4899" i="159"/>
  <c r="D4900" i="159"/>
  <c r="D4901" i="159" s="1"/>
  <c r="D4902" i="159" s="1"/>
  <c r="K4900" i="159"/>
  <c r="L4900" i="159"/>
  <c r="K4901" i="159"/>
  <c r="L4901" i="159"/>
  <c r="K4902" i="159"/>
  <c r="L4902" i="159"/>
  <c r="F4904" i="159"/>
  <c r="G4904" i="159"/>
  <c r="H4904" i="159"/>
  <c r="I4904" i="159"/>
  <c r="J4904" i="159"/>
  <c r="D4905" i="159"/>
  <c r="E4905" i="159"/>
  <c r="K4905" i="159"/>
  <c r="L4905" i="159"/>
  <c r="M4905" i="159"/>
  <c r="O4905" i="159"/>
  <c r="P4905" i="159"/>
  <c r="D4906" i="159"/>
  <c r="D4907" i="159" s="1"/>
  <c r="D4908" i="159" s="1"/>
  <c r="D4909" i="159" s="1"/>
  <c r="K4906" i="159"/>
  <c r="L4906" i="159"/>
  <c r="K4907" i="159"/>
  <c r="L4907" i="159"/>
  <c r="K4908" i="159"/>
  <c r="L4908" i="159"/>
  <c r="K4909" i="159"/>
  <c r="L4909" i="159"/>
  <c r="F4911" i="159"/>
  <c r="G4911" i="159"/>
  <c r="H4911" i="159"/>
  <c r="I4911" i="159"/>
  <c r="J4911" i="159"/>
  <c r="D4912" i="159"/>
  <c r="E4912" i="159"/>
  <c r="K4912" i="159"/>
  <c r="L4912" i="159"/>
  <c r="M4912" i="159"/>
  <c r="N4912" i="159"/>
  <c r="P4912" i="159"/>
  <c r="D4913" i="159"/>
  <c r="D4914" i="159" s="1"/>
  <c r="D4915" i="159" s="1"/>
  <c r="D4916" i="159" s="1"/>
  <c r="K4913" i="159"/>
  <c r="L4913" i="159"/>
  <c r="K4914" i="159"/>
  <c r="L4914" i="159"/>
  <c r="K4915" i="159"/>
  <c r="L4915" i="159"/>
  <c r="K4916" i="159"/>
  <c r="L4916" i="159"/>
  <c r="F4918" i="159"/>
  <c r="G4918" i="159"/>
  <c r="H4918" i="159"/>
  <c r="I4918" i="159"/>
  <c r="J4918" i="159"/>
  <c r="D4919" i="159"/>
  <c r="E4919" i="159"/>
  <c r="K4919" i="159"/>
  <c r="L4919" i="159"/>
  <c r="M4919" i="159"/>
  <c r="O4919" i="159"/>
  <c r="P4919" i="159"/>
  <c r="D4920" i="159"/>
  <c r="D4921" i="159" s="1"/>
  <c r="D4922" i="159" s="1"/>
  <c r="D4923" i="159" s="1"/>
  <c r="K4920" i="159"/>
  <c r="L4920" i="159"/>
  <c r="K4921" i="159"/>
  <c r="L4921" i="159"/>
  <c r="K4922" i="159"/>
  <c r="L4922" i="159"/>
  <c r="K4923" i="159"/>
  <c r="L4923" i="159"/>
  <c r="F4925" i="159"/>
  <c r="G4925" i="159"/>
  <c r="H4925" i="159"/>
  <c r="I4925" i="159"/>
  <c r="J4925" i="159"/>
  <c r="D4926" i="159"/>
  <c r="E4926" i="159"/>
  <c r="K4926" i="159"/>
  <c r="L4926" i="159"/>
  <c r="M4926" i="159"/>
  <c r="O4926" i="159"/>
  <c r="P4926" i="159" s="1"/>
  <c r="D4927" i="159"/>
  <c r="D4928" i="159" s="1"/>
  <c r="D4929" i="159" s="1"/>
  <c r="D4930" i="159" s="1"/>
  <c r="K4927" i="159"/>
  <c r="L4927" i="159"/>
  <c r="K4928" i="159"/>
  <c r="L4928" i="159"/>
  <c r="K4929" i="159"/>
  <c r="L4929" i="159"/>
  <c r="K4930" i="159"/>
  <c r="L4930" i="159"/>
  <c r="F4932" i="159"/>
  <c r="G4932" i="159"/>
  <c r="H4932" i="159"/>
  <c r="I4932" i="159"/>
  <c r="J4932" i="159"/>
  <c r="D4933" i="159"/>
  <c r="E4933" i="159"/>
  <c r="K4933" i="159"/>
  <c r="L4933" i="159"/>
  <c r="M4933" i="159"/>
  <c r="O4933" i="159"/>
  <c r="P4933" i="159" s="1"/>
  <c r="D4934" i="159"/>
  <c r="D4935" i="159" s="1"/>
  <c r="D4936" i="159" s="1"/>
  <c r="D4937" i="159" s="1"/>
  <c r="K4934" i="159"/>
  <c r="L4934" i="159"/>
  <c r="K4935" i="159"/>
  <c r="L4935" i="159"/>
  <c r="K4936" i="159"/>
  <c r="L4936" i="159"/>
  <c r="K4937" i="159"/>
  <c r="L4937" i="159"/>
  <c r="F4939" i="159"/>
  <c r="G4939" i="159"/>
  <c r="H4939" i="159"/>
  <c r="I4939" i="159"/>
  <c r="J4939" i="159"/>
  <c r="D4940" i="159"/>
  <c r="E4940" i="159"/>
  <c r="K4940" i="159"/>
  <c r="L4940" i="159"/>
  <c r="M4940" i="159"/>
  <c r="O4940" i="159"/>
  <c r="P4940" i="159"/>
  <c r="D4941" i="159"/>
  <c r="D4942" i="159" s="1"/>
  <c r="D4943" i="159" s="1"/>
  <c r="D4944" i="159" s="1"/>
  <c r="K4941" i="159"/>
  <c r="L4941" i="159"/>
  <c r="K4942" i="159"/>
  <c r="L4942" i="159"/>
  <c r="K4943" i="159"/>
  <c r="L4943" i="159"/>
  <c r="K4944" i="159"/>
  <c r="L4944" i="159"/>
  <c r="F4946" i="159"/>
  <c r="G4946" i="159"/>
  <c r="H4946" i="159"/>
  <c r="I4946" i="159"/>
  <c r="J4946" i="159"/>
  <c r="D4947" i="159"/>
  <c r="E4947" i="159"/>
  <c r="K4947" i="159"/>
  <c r="L4947" i="159"/>
  <c r="M4947" i="159"/>
  <c r="P4947" i="159"/>
  <c r="D4948" i="159"/>
  <c r="D4949" i="159" s="1"/>
  <c r="D4950" i="159" s="1"/>
  <c r="K4948" i="159"/>
  <c r="L4948" i="159"/>
  <c r="K4949" i="159"/>
  <c r="L4949" i="159"/>
  <c r="K4950" i="159"/>
  <c r="L4950" i="159"/>
  <c r="D4951" i="159"/>
  <c r="K4951" i="159"/>
  <c r="L4951" i="159"/>
  <c r="F4953" i="159"/>
  <c r="G4953" i="159"/>
  <c r="H4953" i="159"/>
  <c r="I4953" i="159"/>
  <c r="J4953" i="159"/>
  <c r="D4954" i="159"/>
  <c r="D4955" i="159" s="1"/>
  <c r="D4956" i="159" s="1"/>
  <c r="D4957" i="159" s="1"/>
  <c r="D4958" i="159" s="1"/>
  <c r="E4954" i="159"/>
  <c r="K4954" i="159"/>
  <c r="L4954" i="159"/>
  <c r="M4954" i="159"/>
  <c r="P4954" i="159"/>
  <c r="K4955" i="159"/>
  <c r="L4955" i="159"/>
  <c r="K4956" i="159"/>
  <c r="L4956" i="159"/>
  <c r="K4957" i="159"/>
  <c r="L4957" i="159"/>
  <c r="K4958" i="159"/>
  <c r="L4958" i="159"/>
  <c r="F4960" i="159"/>
  <c r="G4960" i="159"/>
  <c r="H4960" i="159"/>
  <c r="I4960" i="159"/>
  <c r="J4960" i="159"/>
  <c r="D4961" i="159"/>
  <c r="D4962" i="159" s="1"/>
  <c r="D4963" i="159" s="1"/>
  <c r="D4964" i="159" s="1"/>
  <c r="D4965" i="159" s="1"/>
  <c r="E4961" i="159"/>
  <c r="K4961" i="159"/>
  <c r="L4961" i="159"/>
  <c r="M4961" i="159"/>
  <c r="P4961" i="159"/>
  <c r="K4962" i="159"/>
  <c r="L4962" i="159"/>
  <c r="K4963" i="159"/>
  <c r="L4963" i="159"/>
  <c r="K4964" i="159"/>
  <c r="L4964" i="159"/>
  <c r="K4965" i="159"/>
  <c r="L4965" i="159"/>
  <c r="F4967" i="159"/>
  <c r="G4967" i="159"/>
  <c r="H4967" i="159"/>
  <c r="I4967" i="159"/>
  <c r="J4967" i="159"/>
  <c r="D4968" i="159"/>
  <c r="E4968" i="159"/>
  <c r="K4968" i="159"/>
  <c r="L4968" i="159"/>
  <c r="M4968" i="159"/>
  <c r="P4968" i="159"/>
  <c r="D4969" i="159"/>
  <c r="D4970" i="159" s="1"/>
  <c r="D4971" i="159" s="1"/>
  <c r="D4972" i="159" s="1"/>
  <c r="K4969" i="159"/>
  <c r="L4969" i="159"/>
  <c r="K4970" i="159"/>
  <c r="L4970" i="159"/>
  <c r="K4971" i="159"/>
  <c r="L4971" i="159"/>
  <c r="K4972" i="159"/>
  <c r="L4972" i="159"/>
  <c r="F4974" i="159"/>
  <c r="G4974" i="159"/>
  <c r="H4974" i="159"/>
  <c r="I4974" i="159"/>
  <c r="J4974" i="159"/>
  <c r="D4975" i="159"/>
  <c r="E4975" i="159"/>
  <c r="K4975" i="159"/>
  <c r="L4975" i="159"/>
  <c r="M4975" i="159"/>
  <c r="P4975" i="159"/>
  <c r="D4976" i="159"/>
  <c r="D4977" i="159" s="1"/>
  <c r="D4978" i="159" s="1"/>
  <c r="D4979" i="159" s="1"/>
  <c r="K4976" i="159"/>
  <c r="L4976" i="159"/>
  <c r="K4977" i="159"/>
  <c r="L4977" i="159"/>
  <c r="K4978" i="159"/>
  <c r="L4978" i="159"/>
  <c r="K4979" i="159"/>
  <c r="L4979" i="159"/>
  <c r="F4981" i="159"/>
  <c r="G4981" i="159"/>
  <c r="H4981" i="159"/>
  <c r="I4981" i="159"/>
  <c r="J4981" i="159"/>
  <c r="D4982" i="159"/>
  <c r="D4983" i="159" s="1"/>
  <c r="D4984" i="159" s="1"/>
  <c r="D4985" i="159" s="1"/>
  <c r="D4986" i="159" s="1"/>
  <c r="E4982" i="159"/>
  <c r="K4982" i="159"/>
  <c r="L4982" i="159"/>
  <c r="M4982" i="159"/>
  <c r="P4982" i="159"/>
  <c r="K4983" i="159"/>
  <c r="L4983" i="159"/>
  <c r="K4984" i="159"/>
  <c r="L4984" i="159"/>
  <c r="K4985" i="159"/>
  <c r="L4985" i="159"/>
  <c r="K4986" i="159"/>
  <c r="L4986" i="159"/>
  <c r="F4988" i="159"/>
  <c r="G4988" i="159"/>
  <c r="H4988" i="159"/>
  <c r="I4988" i="159"/>
  <c r="J4988" i="159"/>
  <c r="D4989" i="159"/>
  <c r="E4989" i="159"/>
  <c r="K4989" i="159"/>
  <c r="L4989" i="159"/>
  <c r="M4989" i="159"/>
  <c r="O4989" i="159"/>
  <c r="P4989" i="159" s="1"/>
  <c r="D4990" i="159"/>
  <c r="D4991" i="159" s="1"/>
  <c r="D4992" i="159" s="1"/>
  <c r="D4993" i="159" s="1"/>
  <c r="K4990" i="159"/>
  <c r="L4990" i="159"/>
  <c r="K4991" i="159"/>
  <c r="L4991" i="159"/>
  <c r="K4992" i="159"/>
  <c r="L4992" i="159"/>
  <c r="K4993" i="159"/>
  <c r="L4993" i="159"/>
  <c r="F4995" i="159"/>
  <c r="G4995" i="159"/>
  <c r="H4995" i="159"/>
  <c r="I4995" i="159"/>
  <c r="J4995" i="159"/>
  <c r="D4996" i="159"/>
  <c r="D4997" i="159" s="1"/>
  <c r="D4998" i="159" s="1"/>
  <c r="D4999" i="159" s="1"/>
  <c r="D5000" i="159" s="1"/>
  <c r="E4996" i="159"/>
  <c r="K4996" i="159"/>
  <c r="L4996" i="159"/>
  <c r="M4996" i="159"/>
  <c r="O4996" i="159"/>
  <c r="P4996" i="159" s="1"/>
  <c r="K4997" i="159"/>
  <c r="L4997" i="159"/>
  <c r="K4998" i="159"/>
  <c r="L4998" i="159"/>
  <c r="K4999" i="159"/>
  <c r="L4999" i="159"/>
  <c r="K5000" i="159"/>
  <c r="L5000" i="159"/>
  <c r="F5002" i="159"/>
  <c r="G5002" i="159"/>
  <c r="H5002" i="159"/>
  <c r="I5002" i="159"/>
  <c r="J5002" i="159"/>
  <c r="D5003" i="159"/>
  <c r="D5004" i="159" s="1"/>
  <c r="D5005" i="159" s="1"/>
  <c r="D5006" i="159" s="1"/>
  <c r="D5007" i="159" s="1"/>
  <c r="E5003" i="159"/>
  <c r="K5003" i="159"/>
  <c r="L5003" i="159"/>
  <c r="M5003" i="159"/>
  <c r="O5003" i="159"/>
  <c r="P5003" i="159" s="1"/>
  <c r="K5004" i="159"/>
  <c r="L5004" i="159"/>
  <c r="K5005" i="159"/>
  <c r="L5005" i="159"/>
  <c r="K5006" i="159"/>
  <c r="L5006" i="159"/>
  <c r="K5007" i="159"/>
  <c r="L5007" i="159"/>
  <c r="F5009" i="159"/>
  <c r="G5009" i="159"/>
  <c r="H5009" i="159"/>
  <c r="I5009" i="159"/>
  <c r="J5009" i="159"/>
  <c r="D5010" i="159"/>
  <c r="E5010" i="159"/>
  <c r="K5010" i="159"/>
  <c r="L5010" i="159"/>
  <c r="M5010" i="159"/>
  <c r="O5010" i="159"/>
  <c r="P5010" i="159" s="1"/>
  <c r="D5011" i="159"/>
  <c r="D5012" i="159" s="1"/>
  <c r="D5013" i="159" s="1"/>
  <c r="D5014" i="159" s="1"/>
  <c r="K5011" i="159"/>
  <c r="L5011" i="159"/>
  <c r="K5012" i="159"/>
  <c r="L5012" i="159"/>
  <c r="K5013" i="159"/>
  <c r="L5013" i="159"/>
  <c r="K5014" i="159"/>
  <c r="L5014" i="159"/>
  <c r="F5016" i="159"/>
  <c r="G5016" i="159"/>
  <c r="H5016" i="159"/>
  <c r="I5016" i="159"/>
  <c r="J5016" i="159"/>
  <c r="D5017" i="159"/>
  <c r="E5017" i="159"/>
  <c r="K5017" i="159"/>
  <c r="L5017" i="159"/>
  <c r="M5017" i="159"/>
  <c r="O5017" i="159"/>
  <c r="P5017" i="159"/>
  <c r="D5018" i="159"/>
  <c r="D5019" i="159" s="1"/>
  <c r="D5020" i="159" s="1"/>
  <c r="D5021" i="159" s="1"/>
  <c r="K5018" i="159"/>
  <c r="L5018" i="159"/>
  <c r="K5019" i="159"/>
  <c r="L5019" i="159"/>
  <c r="K5020" i="159"/>
  <c r="L5020" i="159"/>
  <c r="K5021" i="159"/>
  <c r="L5021" i="159"/>
  <c r="F5023" i="159"/>
  <c r="G5023" i="159"/>
  <c r="H5023" i="159"/>
  <c r="I5023" i="159"/>
  <c r="J5023" i="159"/>
  <c r="D5024" i="159"/>
  <c r="E5024" i="159"/>
  <c r="K5024" i="159"/>
  <c r="L5024" i="159"/>
  <c r="M5024" i="159"/>
  <c r="O5024" i="159"/>
  <c r="P5024" i="159" s="1"/>
  <c r="D5025" i="159"/>
  <c r="D5026" i="159" s="1"/>
  <c r="D5027" i="159" s="1"/>
  <c r="D5028" i="159" s="1"/>
  <c r="K5025" i="159"/>
  <c r="L5025" i="159"/>
  <c r="K5026" i="159"/>
  <c r="L5026" i="159"/>
  <c r="K5027" i="159"/>
  <c r="L5027" i="159"/>
  <c r="K5028" i="159"/>
  <c r="L5028" i="159"/>
  <c r="F5030" i="159"/>
  <c r="G5030" i="159"/>
  <c r="H5030" i="159"/>
  <c r="I5030" i="159"/>
  <c r="J5030" i="159"/>
  <c r="D5031" i="159"/>
  <c r="D5032" i="159" s="1"/>
  <c r="D5033" i="159" s="1"/>
  <c r="D5034" i="159" s="1"/>
  <c r="D5035" i="159" s="1"/>
  <c r="E5031" i="159"/>
  <c r="K5031" i="159"/>
  <c r="L5031" i="159"/>
  <c r="M5031" i="159"/>
  <c r="O5031" i="159"/>
  <c r="P5031" i="159" s="1"/>
  <c r="K5032" i="159"/>
  <c r="L5032" i="159"/>
  <c r="K5033" i="159"/>
  <c r="L5033" i="159"/>
  <c r="K5034" i="159"/>
  <c r="L5034" i="159"/>
  <c r="K5035" i="159"/>
  <c r="L5035" i="159"/>
  <c r="F5037" i="159"/>
  <c r="G5037" i="159"/>
  <c r="H5037" i="159"/>
  <c r="I5037" i="159"/>
  <c r="J5037" i="159"/>
  <c r="D5038" i="159"/>
  <c r="D5039" i="159" s="1"/>
  <c r="D5040" i="159" s="1"/>
  <c r="D5041" i="159" s="1"/>
  <c r="D5042" i="159" s="1"/>
  <c r="E5038" i="159"/>
  <c r="K5038" i="159"/>
  <c r="L5038" i="159"/>
  <c r="M5038" i="159"/>
  <c r="O5038" i="159"/>
  <c r="P5038" i="159" s="1"/>
  <c r="K5039" i="159"/>
  <c r="L5039" i="159"/>
  <c r="K5040" i="159"/>
  <c r="L5040" i="159"/>
  <c r="K5041" i="159"/>
  <c r="L5041" i="159"/>
  <c r="K5042" i="159"/>
  <c r="L5042" i="159"/>
  <c r="F5044" i="159"/>
  <c r="G5044" i="159"/>
  <c r="H5044" i="159"/>
  <c r="I5044" i="159"/>
  <c r="J5044" i="159"/>
  <c r="D5045" i="159"/>
  <c r="E5045" i="159"/>
  <c r="K5045" i="159"/>
  <c r="L5045" i="159"/>
  <c r="M5045" i="159"/>
  <c r="O5045" i="159"/>
  <c r="P5045" i="159" s="1"/>
  <c r="D5046" i="159"/>
  <c r="D5047" i="159" s="1"/>
  <c r="D5048" i="159" s="1"/>
  <c r="D5049" i="159" s="1"/>
  <c r="K5046" i="159"/>
  <c r="L5046" i="159"/>
  <c r="K5047" i="159"/>
  <c r="L5047" i="159"/>
  <c r="K5048" i="159"/>
  <c r="L5048" i="159"/>
  <c r="K5049" i="159"/>
  <c r="L5049" i="159"/>
  <c r="F5051" i="159"/>
  <c r="G5051" i="159"/>
  <c r="H5051" i="159"/>
  <c r="I5051" i="159"/>
  <c r="J5051" i="159"/>
  <c r="D5052" i="159"/>
  <c r="E5052" i="159"/>
  <c r="K5052" i="159"/>
  <c r="L5052" i="159"/>
  <c r="M5052" i="159"/>
  <c r="O5052" i="159"/>
  <c r="P5052" i="159"/>
  <c r="D5053" i="159"/>
  <c r="D5054" i="159" s="1"/>
  <c r="D5055" i="159" s="1"/>
  <c r="D5056" i="159" s="1"/>
  <c r="K5053" i="159"/>
  <c r="L5053" i="159"/>
  <c r="K5054" i="159"/>
  <c r="L5054" i="159"/>
  <c r="K5055" i="159"/>
  <c r="L5055" i="159"/>
  <c r="K5056" i="159"/>
  <c r="L5056" i="159"/>
  <c r="F5058" i="159"/>
  <c r="G5058" i="159"/>
  <c r="H5058" i="159"/>
  <c r="I5058" i="159"/>
  <c r="J5058" i="159"/>
  <c r="D5059" i="159"/>
  <c r="E5059" i="159"/>
  <c r="K5059" i="159"/>
  <c r="L5059" i="159"/>
  <c r="M5059" i="159"/>
  <c r="O5059" i="159"/>
  <c r="P5059" i="159" s="1"/>
  <c r="D5060" i="159"/>
  <c r="D5061" i="159" s="1"/>
  <c r="D5062" i="159" s="1"/>
  <c r="D5063" i="159" s="1"/>
  <c r="K5060" i="159"/>
  <c r="L5060" i="159"/>
  <c r="K5061" i="159"/>
  <c r="L5061" i="159"/>
  <c r="K5062" i="159"/>
  <c r="L5062" i="159"/>
  <c r="K5063" i="159"/>
  <c r="L5063" i="159"/>
  <c r="F5065" i="159"/>
  <c r="G5065" i="159"/>
  <c r="H5065" i="159"/>
  <c r="I5065" i="159"/>
  <c r="J5065" i="159"/>
  <c r="D5066" i="159"/>
  <c r="D5067" i="159" s="1"/>
  <c r="D5068" i="159" s="1"/>
  <c r="D5069" i="159" s="1"/>
  <c r="D5070" i="159" s="1"/>
  <c r="E5066" i="159"/>
  <c r="K5066" i="159"/>
  <c r="L5066" i="159"/>
  <c r="M5066" i="159"/>
  <c r="O5066" i="159"/>
  <c r="P5066" i="159" s="1"/>
  <c r="K5067" i="159"/>
  <c r="L5067" i="159"/>
  <c r="K5068" i="159"/>
  <c r="L5068" i="159"/>
  <c r="K5069" i="159"/>
  <c r="L5069" i="159"/>
  <c r="K5070" i="159"/>
  <c r="L5070" i="159"/>
  <c r="F5072" i="159"/>
  <c r="G5072" i="159"/>
  <c r="H5072" i="159"/>
  <c r="I5072" i="159"/>
  <c r="J5072" i="159"/>
  <c r="D5073" i="159"/>
  <c r="D5074" i="159" s="1"/>
  <c r="D5075" i="159" s="1"/>
  <c r="D5076" i="159" s="1"/>
  <c r="D5077" i="159" s="1"/>
  <c r="E5073" i="159"/>
  <c r="K5073" i="159"/>
  <c r="L5073" i="159"/>
  <c r="M5073" i="159"/>
  <c r="O5073" i="159"/>
  <c r="P5073" i="159" s="1"/>
  <c r="K5074" i="159"/>
  <c r="L5074" i="159"/>
  <c r="K5075" i="159"/>
  <c r="L5075" i="159"/>
  <c r="K5076" i="159"/>
  <c r="L5076" i="159"/>
  <c r="K5077" i="159"/>
  <c r="L5077" i="159"/>
  <c r="F5079" i="159"/>
  <c r="G5079" i="159"/>
  <c r="H5079" i="159"/>
  <c r="I5079" i="159"/>
  <c r="J5079" i="159"/>
  <c r="D5080" i="159"/>
  <c r="E5080" i="159"/>
  <c r="K5080" i="159"/>
  <c r="L5080" i="159"/>
  <c r="M5080" i="159"/>
  <c r="O5080" i="159"/>
  <c r="P5080" i="159" s="1"/>
  <c r="D5081" i="159"/>
  <c r="D5082" i="159" s="1"/>
  <c r="D5083" i="159" s="1"/>
  <c r="D5084" i="159" s="1"/>
  <c r="K5081" i="159"/>
  <c r="L5081" i="159"/>
  <c r="K5082" i="159"/>
  <c r="L5082" i="159"/>
  <c r="K5083" i="159"/>
  <c r="L5083" i="159"/>
  <c r="K5084" i="159"/>
  <c r="L5084" i="159"/>
  <c r="F5086" i="159"/>
  <c r="G5086" i="159"/>
  <c r="H5086" i="159"/>
  <c r="I5086" i="159"/>
  <c r="J5086" i="159"/>
  <c r="D5087" i="159"/>
  <c r="E5087" i="159"/>
  <c r="K5087" i="159"/>
  <c r="L5087" i="159"/>
  <c r="M5087" i="159"/>
  <c r="O5087" i="159"/>
  <c r="P5087" i="159"/>
  <c r="D5088" i="159"/>
  <c r="D5089" i="159" s="1"/>
  <c r="D5090" i="159" s="1"/>
  <c r="D5091" i="159" s="1"/>
  <c r="K5088" i="159"/>
  <c r="L5088" i="159"/>
  <c r="K5089" i="159"/>
  <c r="L5089" i="159"/>
  <c r="K5090" i="159"/>
  <c r="L5090" i="159"/>
  <c r="K5091" i="159"/>
  <c r="L5091" i="159"/>
  <c r="F5093" i="159"/>
  <c r="G5093" i="159"/>
  <c r="H5093" i="159"/>
  <c r="I5093" i="159"/>
  <c r="J5093" i="159"/>
  <c r="D5094" i="159"/>
  <c r="E5094" i="159"/>
  <c r="K5094" i="159"/>
  <c r="L5094" i="159"/>
  <c r="M5094" i="159"/>
  <c r="O5094" i="159"/>
  <c r="P5094" i="159" s="1"/>
  <c r="D5095" i="159"/>
  <c r="D5096" i="159" s="1"/>
  <c r="D5097" i="159" s="1"/>
  <c r="D5098" i="159" s="1"/>
  <c r="K5095" i="159"/>
  <c r="L5095" i="159"/>
  <c r="K5096" i="159"/>
  <c r="L5096" i="159"/>
  <c r="K5097" i="159"/>
  <c r="L5097" i="159"/>
  <c r="K5098" i="159"/>
  <c r="L5098" i="159"/>
  <c r="F5100" i="159"/>
  <c r="G5100" i="159"/>
  <c r="H5100" i="159"/>
  <c r="I5100" i="159"/>
  <c r="J5100" i="159"/>
  <c r="D5101" i="159"/>
  <c r="D5102" i="159" s="1"/>
  <c r="D5103" i="159" s="1"/>
  <c r="D5104" i="159" s="1"/>
  <c r="D5105" i="159" s="1"/>
  <c r="E5101" i="159"/>
  <c r="K5101" i="159"/>
  <c r="L5101" i="159"/>
  <c r="M5101" i="159"/>
  <c r="O5101" i="159"/>
  <c r="P5101" i="159" s="1"/>
  <c r="K5102" i="159"/>
  <c r="L5102" i="159"/>
  <c r="K5103" i="159"/>
  <c r="L5103" i="159"/>
  <c r="K5104" i="159"/>
  <c r="L5104" i="159"/>
  <c r="K5105" i="159"/>
  <c r="L5105" i="159"/>
  <c r="F5107" i="159"/>
  <c r="G5107" i="159"/>
  <c r="H5107" i="159"/>
  <c r="I5107" i="159"/>
  <c r="J5107" i="159"/>
  <c r="D5108" i="159"/>
  <c r="D5109" i="159" s="1"/>
  <c r="D5110" i="159" s="1"/>
  <c r="D5111" i="159" s="1"/>
  <c r="D5112" i="159" s="1"/>
  <c r="E5108" i="159"/>
  <c r="K5108" i="159"/>
  <c r="L5108" i="159"/>
  <c r="M5108" i="159"/>
  <c r="N5108" i="159"/>
  <c r="O5108" i="159"/>
  <c r="P5108" i="159"/>
  <c r="K5109" i="159"/>
  <c r="L5109" i="159"/>
  <c r="K5110" i="159"/>
  <c r="L5110" i="159"/>
  <c r="K5111" i="159"/>
  <c r="L5111" i="159"/>
  <c r="K5112" i="159"/>
  <c r="L5112" i="159"/>
  <c r="F5114" i="159"/>
  <c r="G5114" i="159"/>
  <c r="H5114" i="159"/>
  <c r="I5114" i="159"/>
  <c r="J5114" i="159"/>
  <c r="D5115" i="159"/>
  <c r="D5116" i="159" s="1"/>
  <c r="E5115" i="159"/>
  <c r="K5115" i="159"/>
  <c r="L5115" i="159"/>
  <c r="M5115" i="159"/>
  <c r="O5115" i="159"/>
  <c r="P5115" i="159" s="1"/>
  <c r="K5116" i="159"/>
  <c r="L5116" i="159"/>
  <c r="D5117" i="159"/>
  <c r="D5118" i="159" s="1"/>
  <c r="D5119" i="159" s="1"/>
  <c r="K5117" i="159"/>
  <c r="L5117" i="159"/>
  <c r="K5118" i="159"/>
  <c r="L5118" i="159"/>
  <c r="K5119" i="159"/>
  <c r="L5119" i="159"/>
  <c r="F5121" i="159"/>
  <c r="G5121" i="159"/>
  <c r="H5121" i="159"/>
  <c r="I5121" i="159"/>
  <c r="J5121" i="159"/>
  <c r="D5122" i="159"/>
  <c r="E5122" i="159"/>
  <c r="K5122" i="159"/>
  <c r="L5122" i="159"/>
  <c r="M5122" i="159"/>
  <c r="O5122" i="159"/>
  <c r="P5122" i="159"/>
  <c r="D5123" i="159"/>
  <c r="D5124" i="159" s="1"/>
  <c r="D5125" i="159" s="1"/>
  <c r="D5126" i="159" s="1"/>
  <c r="K5123" i="159"/>
  <c r="L5123" i="159"/>
  <c r="K5124" i="159"/>
  <c r="L5124" i="159"/>
  <c r="K5125" i="159"/>
  <c r="L5125" i="159"/>
  <c r="K5126" i="159"/>
  <c r="L5126" i="159"/>
  <c r="F5128" i="159"/>
  <c r="G5128" i="159"/>
  <c r="H5128" i="159"/>
  <c r="I5128" i="159"/>
  <c r="J5128" i="159"/>
  <c r="D5129" i="159"/>
  <c r="D5130" i="159" s="1"/>
  <c r="D5131" i="159" s="1"/>
  <c r="D5132" i="159" s="1"/>
  <c r="D5133" i="159" s="1"/>
  <c r="E5129" i="159"/>
  <c r="K5129" i="159"/>
  <c r="L5129" i="159"/>
  <c r="M5129" i="159"/>
  <c r="O5129" i="159"/>
  <c r="P5129" i="159"/>
  <c r="K5130" i="159"/>
  <c r="L5130" i="159"/>
  <c r="K5131" i="159"/>
  <c r="L5131" i="159"/>
  <c r="K5132" i="159"/>
  <c r="L5132" i="159"/>
  <c r="K5133" i="159"/>
  <c r="L5133" i="159"/>
  <c r="F5135" i="159"/>
  <c r="G5135" i="159"/>
  <c r="H5135" i="159"/>
  <c r="I5135" i="159"/>
  <c r="J5135" i="159"/>
  <c r="D5136" i="159"/>
  <c r="D5137" i="159" s="1"/>
  <c r="D5138" i="159" s="1"/>
  <c r="D5139" i="159" s="1"/>
  <c r="D5140" i="159" s="1"/>
  <c r="E5136" i="159"/>
  <c r="K5136" i="159"/>
  <c r="L5136" i="159"/>
  <c r="M5136" i="159"/>
  <c r="O5136" i="159"/>
  <c r="P5136" i="159" s="1"/>
  <c r="K5137" i="159"/>
  <c r="L5137" i="159"/>
  <c r="K5138" i="159"/>
  <c r="L5138" i="159"/>
  <c r="K5139" i="159"/>
  <c r="L5139" i="159"/>
  <c r="K5140" i="159"/>
  <c r="L5140" i="159"/>
  <c r="F5142" i="159"/>
  <c r="G5142" i="159"/>
  <c r="H5142" i="159"/>
  <c r="I5142" i="159"/>
  <c r="J5142" i="159"/>
  <c r="D5143" i="159"/>
  <c r="D5144" i="159" s="1"/>
  <c r="D5145" i="159" s="1"/>
  <c r="D5146" i="159" s="1"/>
  <c r="D5147" i="159" s="1"/>
  <c r="E5143" i="159"/>
  <c r="K5143" i="159"/>
  <c r="L5143" i="159"/>
  <c r="M5143" i="159"/>
  <c r="O5143" i="159"/>
  <c r="P5143" i="159"/>
  <c r="K5144" i="159"/>
  <c r="L5144" i="159"/>
  <c r="K5145" i="159"/>
  <c r="L5145" i="159"/>
  <c r="K5146" i="159"/>
  <c r="L5146" i="159"/>
  <c r="K5147" i="159"/>
  <c r="L5147" i="159"/>
  <c r="F5149" i="159"/>
  <c r="G5149" i="159"/>
  <c r="H5149" i="159"/>
  <c r="I5149" i="159"/>
  <c r="J5149" i="159"/>
  <c r="D5150" i="159"/>
  <c r="D5151" i="159" s="1"/>
  <c r="D5152" i="159" s="1"/>
  <c r="D5153" i="159" s="1"/>
  <c r="D5154" i="159" s="1"/>
  <c r="E5150" i="159"/>
  <c r="K5150" i="159"/>
  <c r="L5150" i="159"/>
  <c r="M5150" i="159"/>
  <c r="O5150" i="159"/>
  <c r="P5150" i="159" s="1"/>
  <c r="K5151" i="159"/>
  <c r="L5151" i="159"/>
  <c r="K5152" i="159"/>
  <c r="L5152" i="159"/>
  <c r="K5153" i="159"/>
  <c r="L5153" i="159"/>
  <c r="K5154" i="159"/>
  <c r="L5154" i="159"/>
  <c r="F5156" i="159"/>
  <c r="G5156" i="159"/>
  <c r="H5156" i="159"/>
  <c r="I5156" i="159"/>
  <c r="J5156" i="159"/>
  <c r="D5157" i="159"/>
  <c r="D5158" i="159" s="1"/>
  <c r="D5159" i="159" s="1"/>
  <c r="D5160" i="159" s="1"/>
  <c r="D5161" i="159" s="1"/>
  <c r="E5157" i="159"/>
  <c r="K5157" i="159"/>
  <c r="L5157" i="159"/>
  <c r="M5157" i="159"/>
  <c r="O5157" i="159"/>
  <c r="P5157" i="159"/>
  <c r="K5158" i="159"/>
  <c r="L5158" i="159"/>
  <c r="K5159" i="159"/>
  <c r="L5159" i="159"/>
  <c r="K5160" i="159"/>
  <c r="L5160" i="159"/>
  <c r="K5161" i="159"/>
  <c r="L5161" i="159"/>
  <c r="F5163" i="159"/>
  <c r="G5163" i="159"/>
  <c r="H5163" i="159"/>
  <c r="I5163" i="159"/>
  <c r="J5163" i="159"/>
  <c r="D5164" i="159"/>
  <c r="E5164" i="159"/>
  <c r="K5164" i="159"/>
  <c r="L5164" i="159"/>
  <c r="M5164" i="159"/>
  <c r="O5164" i="159"/>
  <c r="P5164" i="159"/>
  <c r="D5165" i="159"/>
  <c r="D5166" i="159" s="1"/>
  <c r="D5167" i="159" s="1"/>
  <c r="D5168" i="159" s="1"/>
  <c r="K5165" i="159"/>
  <c r="L5165" i="159"/>
  <c r="K5166" i="159"/>
  <c r="L5166" i="159"/>
  <c r="K5167" i="159"/>
  <c r="L5167" i="159"/>
  <c r="K5168" i="159"/>
  <c r="L5168" i="159"/>
  <c r="F5170" i="159"/>
  <c r="G5170" i="159"/>
  <c r="H5170" i="159"/>
  <c r="I5170" i="159"/>
  <c r="J5170" i="159"/>
  <c r="D5171" i="159"/>
  <c r="D5172" i="159" s="1"/>
  <c r="D5173" i="159" s="1"/>
  <c r="E5171" i="159"/>
  <c r="K5171" i="159"/>
  <c r="L5171" i="159"/>
  <c r="M5171" i="159"/>
  <c r="O5171" i="159"/>
  <c r="P5171" i="159" s="1"/>
  <c r="K5172" i="159"/>
  <c r="L5172" i="159"/>
  <c r="K5173" i="159"/>
  <c r="L5173" i="159"/>
  <c r="D5174" i="159"/>
  <c r="D5175" i="159" s="1"/>
  <c r="K5174" i="159"/>
  <c r="L5174" i="159"/>
  <c r="K5175" i="159"/>
  <c r="L5175" i="159"/>
  <c r="F5177" i="159"/>
  <c r="G5177" i="159"/>
  <c r="H5177" i="159"/>
  <c r="I5177" i="159"/>
  <c r="J5177" i="159"/>
  <c r="D5178" i="159"/>
  <c r="D5179" i="159" s="1"/>
  <c r="E5178" i="159"/>
  <c r="K5178" i="159"/>
  <c r="L5178" i="159"/>
  <c r="M5178" i="159"/>
  <c r="O5178" i="159"/>
  <c r="P5178" i="159" s="1"/>
  <c r="K5179" i="159"/>
  <c r="L5179" i="159"/>
  <c r="D5180" i="159"/>
  <c r="D5181" i="159" s="1"/>
  <c r="D5182" i="159" s="1"/>
  <c r="K5180" i="159"/>
  <c r="L5180" i="159"/>
  <c r="K5181" i="159"/>
  <c r="L5181" i="159"/>
  <c r="K5182" i="159"/>
  <c r="L5182" i="159"/>
  <c r="F5184" i="159"/>
  <c r="G5184" i="159"/>
  <c r="H5184" i="159"/>
  <c r="I5184" i="159"/>
  <c r="J5184" i="159"/>
  <c r="D5185" i="159"/>
  <c r="E5185" i="159"/>
  <c r="K5185" i="159"/>
  <c r="L5185" i="159"/>
  <c r="M5185" i="159"/>
  <c r="N5185" i="159"/>
  <c r="O5185" i="159"/>
  <c r="P5185" i="159" s="1"/>
  <c r="D5186" i="159"/>
  <c r="D5187" i="159" s="1"/>
  <c r="D5188" i="159" s="1"/>
  <c r="D5189" i="159" s="1"/>
  <c r="K5186" i="159"/>
  <c r="L5186" i="159"/>
  <c r="K5187" i="159"/>
  <c r="L5187" i="159"/>
  <c r="K5188" i="159"/>
  <c r="L5188" i="159"/>
  <c r="K5189" i="159"/>
  <c r="L5189" i="159"/>
  <c r="F5191" i="159"/>
  <c r="G5191" i="159"/>
  <c r="H5191" i="159"/>
  <c r="I5191" i="159"/>
  <c r="J5191" i="159"/>
  <c r="D5192" i="159"/>
  <c r="D5193" i="159" s="1"/>
  <c r="E5192" i="159"/>
  <c r="K5192" i="159"/>
  <c r="L5192" i="159"/>
  <c r="M5192" i="159"/>
  <c r="N5192" i="159"/>
  <c r="O5192" i="159"/>
  <c r="P5192" i="159" s="1"/>
  <c r="K5193" i="159"/>
  <c r="L5193" i="159"/>
  <c r="D5194" i="159"/>
  <c r="D5195" i="159" s="1"/>
  <c r="D5196" i="159" s="1"/>
  <c r="K5194" i="159"/>
  <c r="L5194" i="159"/>
  <c r="K5195" i="159"/>
  <c r="L5195" i="159"/>
  <c r="K5196" i="159"/>
  <c r="L5196" i="159"/>
  <c r="F5198" i="159"/>
  <c r="G5198" i="159"/>
  <c r="H5198" i="159"/>
  <c r="I5198" i="159"/>
  <c r="J5198" i="159"/>
  <c r="D5199" i="159"/>
  <c r="D5200" i="159" s="1"/>
  <c r="D5201" i="159" s="1"/>
  <c r="D5202" i="159" s="1"/>
  <c r="D5203" i="159" s="1"/>
  <c r="E5199" i="159"/>
  <c r="K5199" i="159"/>
  <c r="L5199" i="159"/>
  <c r="M5199" i="159"/>
  <c r="N5199" i="159"/>
  <c r="O5199" i="159"/>
  <c r="P5199" i="159" s="1"/>
  <c r="K5200" i="159"/>
  <c r="L5200" i="159"/>
  <c r="K5201" i="159"/>
  <c r="L5201" i="159"/>
  <c r="K5202" i="159"/>
  <c r="L5202" i="159"/>
  <c r="K5203" i="159"/>
  <c r="L5203" i="159"/>
  <c r="F5205" i="159"/>
  <c r="G5205" i="159"/>
  <c r="H5205" i="159"/>
  <c r="I5205" i="159"/>
  <c r="J5205" i="159"/>
  <c r="D5206" i="159"/>
  <c r="D5207" i="159" s="1"/>
  <c r="D5208" i="159" s="1"/>
  <c r="D5209" i="159" s="1"/>
  <c r="D5210" i="159" s="1"/>
  <c r="E5206" i="159"/>
  <c r="K5206" i="159"/>
  <c r="L5206" i="159"/>
  <c r="M5206" i="159"/>
  <c r="P5206" i="159"/>
  <c r="K5207" i="159"/>
  <c r="L5207" i="159"/>
  <c r="K5208" i="159"/>
  <c r="L5208" i="159"/>
  <c r="K5209" i="159"/>
  <c r="L5209" i="159"/>
  <c r="K5210" i="159"/>
  <c r="L5210" i="159"/>
  <c r="F5212" i="159"/>
  <c r="G5212" i="159"/>
  <c r="H5212" i="159"/>
  <c r="I5212" i="159"/>
  <c r="J5212" i="159"/>
  <c r="D5213" i="159"/>
  <c r="E5213" i="159"/>
  <c r="K5213" i="159"/>
  <c r="L5213" i="159"/>
  <c r="M5213" i="159"/>
  <c r="O5213" i="159"/>
  <c r="P5213" i="159"/>
  <c r="D5214" i="159"/>
  <c r="E5214" i="159"/>
  <c r="K5214" i="159"/>
  <c r="L5214" i="159"/>
  <c r="M5214" i="159"/>
  <c r="O5214" i="159"/>
  <c r="P5214" i="159"/>
  <c r="D5215" i="159"/>
  <c r="D5217" i="159" s="1"/>
  <c r="K5215" i="159"/>
  <c r="L5215" i="159"/>
  <c r="D5216" i="159"/>
  <c r="D5218" i="159" s="1"/>
  <c r="K5216" i="159"/>
  <c r="L5216" i="159"/>
  <c r="K5217" i="159"/>
  <c r="L5217" i="159"/>
  <c r="K5218" i="159"/>
  <c r="L5218" i="159"/>
  <c r="F5220" i="159"/>
  <c r="G5220" i="159"/>
  <c r="H5220" i="159"/>
  <c r="I5220" i="159"/>
  <c r="J5220" i="159"/>
  <c r="D5221" i="159"/>
  <c r="E5221" i="159"/>
  <c r="K5221" i="159"/>
  <c r="L5221" i="159"/>
  <c r="M5221" i="159"/>
  <c r="P5221" i="159"/>
  <c r="D5222" i="159"/>
  <c r="D5223" i="159" s="1"/>
  <c r="D5224" i="159" s="1"/>
  <c r="D5225" i="159" s="1"/>
  <c r="K5222" i="159"/>
  <c r="L5222" i="159"/>
  <c r="K5223" i="159"/>
  <c r="L5223" i="159"/>
  <c r="K5224" i="159"/>
  <c r="L5224" i="159"/>
  <c r="K5225" i="159"/>
  <c r="L5225" i="159"/>
  <c r="F5227" i="159"/>
  <c r="G5227" i="159"/>
  <c r="H5227" i="159"/>
  <c r="I5227" i="159"/>
  <c r="J5227" i="159"/>
  <c r="D5228" i="159"/>
  <c r="D5229" i="159" s="1"/>
  <c r="D5230" i="159" s="1"/>
  <c r="D5231" i="159" s="1"/>
  <c r="D5232" i="159" s="1"/>
  <c r="E5228" i="159"/>
  <c r="K5228" i="159"/>
  <c r="L5228" i="159"/>
  <c r="M5228" i="159"/>
  <c r="O5228" i="159"/>
  <c r="P5228" i="159" s="1"/>
  <c r="K5229" i="159"/>
  <c r="L5229" i="159"/>
  <c r="K5230" i="159"/>
  <c r="L5230" i="159"/>
  <c r="K5231" i="159"/>
  <c r="L5231" i="159"/>
  <c r="K5232" i="159"/>
  <c r="L5232" i="159"/>
  <c r="F5234" i="159"/>
  <c r="G5234" i="159"/>
  <c r="H5234" i="159"/>
  <c r="I5234" i="159"/>
  <c r="J5234" i="159"/>
  <c r="D5235" i="159"/>
  <c r="D5236" i="159" s="1"/>
  <c r="D5237" i="159" s="1"/>
  <c r="D5238" i="159" s="1"/>
  <c r="D5239" i="159" s="1"/>
  <c r="E5235" i="159"/>
  <c r="K5235" i="159"/>
  <c r="L5235" i="159"/>
  <c r="M5235" i="159"/>
  <c r="O5235" i="159"/>
  <c r="P5235" i="159" s="1"/>
  <c r="K5236" i="159"/>
  <c r="L5236" i="159"/>
  <c r="K5237" i="159"/>
  <c r="L5237" i="159"/>
  <c r="K5238" i="159"/>
  <c r="L5238" i="159"/>
  <c r="K5239" i="159"/>
  <c r="L5239" i="159"/>
  <c r="F5241" i="159"/>
  <c r="G5241" i="159"/>
  <c r="H5241" i="159"/>
  <c r="I5241" i="159"/>
  <c r="J5241" i="159"/>
  <c r="D5242" i="159"/>
  <c r="D5243" i="159" s="1"/>
  <c r="D5244" i="159" s="1"/>
  <c r="D5245" i="159" s="1"/>
  <c r="D5246" i="159" s="1"/>
  <c r="E5242" i="159"/>
  <c r="K5242" i="159"/>
  <c r="L5242" i="159"/>
  <c r="M5242" i="159"/>
  <c r="O5242" i="159"/>
  <c r="P5242" i="159" s="1"/>
  <c r="K5243" i="159"/>
  <c r="L5243" i="159"/>
  <c r="K5244" i="159"/>
  <c r="L5244" i="159"/>
  <c r="K5245" i="159"/>
  <c r="L5245" i="159"/>
  <c r="K5246" i="159"/>
  <c r="L5246" i="159"/>
  <c r="F5248" i="159"/>
  <c r="G5248" i="159"/>
  <c r="H5248" i="159"/>
  <c r="I5248" i="159"/>
  <c r="J5248" i="159"/>
  <c r="D5249" i="159"/>
  <c r="E5249" i="159"/>
  <c r="K5249" i="159"/>
  <c r="L5249" i="159"/>
  <c r="M5249" i="159"/>
  <c r="N5249" i="159"/>
  <c r="O5249" i="159"/>
  <c r="P5249" i="159"/>
  <c r="D5250" i="159"/>
  <c r="K5250" i="159"/>
  <c r="L5250" i="159"/>
  <c r="D5251" i="159"/>
  <c r="D5252" i="159" s="1"/>
  <c r="D5253" i="159" s="1"/>
  <c r="K5251" i="159"/>
  <c r="L5251" i="159"/>
  <c r="K5252" i="159"/>
  <c r="L5252" i="159"/>
  <c r="K5253" i="159"/>
  <c r="L5253" i="159"/>
  <c r="F5255" i="159"/>
  <c r="G5255" i="159"/>
  <c r="H5255" i="159"/>
  <c r="I5255" i="159"/>
  <c r="J5255" i="159"/>
  <c r="D5256" i="159"/>
  <c r="E5256" i="159"/>
  <c r="K5256" i="159"/>
  <c r="L5256" i="159"/>
  <c r="M5256" i="159"/>
  <c r="O5256" i="159"/>
  <c r="P5256" i="159"/>
  <c r="D5257" i="159"/>
  <c r="D5258" i="159" s="1"/>
  <c r="D5259" i="159" s="1"/>
  <c r="D5260" i="159" s="1"/>
  <c r="K5257" i="159"/>
  <c r="L5257" i="159"/>
  <c r="K5258" i="159"/>
  <c r="L5258" i="159"/>
  <c r="K5259" i="159"/>
  <c r="L5259" i="159"/>
  <c r="K5260" i="159"/>
  <c r="L5260" i="159"/>
  <c r="F5262" i="159"/>
  <c r="G5262" i="159"/>
  <c r="H5262" i="159"/>
  <c r="I5262" i="159"/>
  <c r="J5262" i="159"/>
  <c r="D5263" i="159"/>
  <c r="E5263" i="159"/>
  <c r="K5263" i="159"/>
  <c r="L5263" i="159"/>
  <c r="M5263" i="159"/>
  <c r="O5263" i="159"/>
  <c r="P5263" i="159" s="1"/>
  <c r="D5264" i="159"/>
  <c r="D5265" i="159" s="1"/>
  <c r="D5266" i="159" s="1"/>
  <c r="D5267" i="159" s="1"/>
  <c r="K5264" i="159"/>
  <c r="L5264" i="159"/>
  <c r="K5265" i="159"/>
  <c r="L5265" i="159"/>
  <c r="K5266" i="159"/>
  <c r="L5266" i="159"/>
  <c r="K5267" i="159"/>
  <c r="L5267" i="159"/>
  <c r="F5269" i="159"/>
  <c r="G5269" i="159"/>
  <c r="H5269" i="159"/>
  <c r="I5269" i="159"/>
  <c r="J5269" i="159"/>
  <c r="D5270" i="159"/>
  <c r="E5270" i="159"/>
  <c r="K5270" i="159"/>
  <c r="L5270" i="159"/>
  <c r="M5270" i="159"/>
  <c r="O5270" i="159"/>
  <c r="P5270" i="159"/>
  <c r="D5271" i="159"/>
  <c r="D5272" i="159" s="1"/>
  <c r="D5273" i="159" s="1"/>
  <c r="D5274" i="159" s="1"/>
  <c r="K5271" i="159"/>
  <c r="L5271" i="159"/>
  <c r="K5272" i="159"/>
  <c r="L5272" i="159"/>
  <c r="K5273" i="159"/>
  <c r="L5273" i="159"/>
  <c r="K5274" i="159"/>
  <c r="L5274" i="159"/>
  <c r="F5276" i="159"/>
  <c r="G5276" i="159"/>
  <c r="H5276" i="159"/>
  <c r="I5276" i="159"/>
  <c r="J5276" i="159"/>
  <c r="D5277" i="159"/>
  <c r="E5277" i="159"/>
  <c r="K5277" i="159"/>
  <c r="L5277" i="159"/>
  <c r="M5277" i="159"/>
  <c r="O5277" i="159"/>
  <c r="P5277" i="159" s="1"/>
  <c r="D5278" i="159"/>
  <c r="D5279" i="159" s="1"/>
  <c r="D5280" i="159" s="1"/>
  <c r="D5281" i="159" s="1"/>
  <c r="K5278" i="159"/>
  <c r="L5278" i="159"/>
  <c r="K5279" i="159"/>
  <c r="L5279" i="159"/>
  <c r="K5280" i="159"/>
  <c r="L5280" i="159"/>
  <c r="K5281" i="159"/>
  <c r="L5281" i="159"/>
  <c r="F5283" i="159"/>
  <c r="G5283" i="159"/>
  <c r="H5283" i="159"/>
  <c r="I5283" i="159"/>
  <c r="J5283" i="159"/>
  <c r="D5284" i="159"/>
  <c r="D5285" i="159" s="1"/>
  <c r="D5286" i="159" s="1"/>
  <c r="D5287" i="159" s="1"/>
  <c r="D5288" i="159" s="1"/>
  <c r="E5284" i="159"/>
  <c r="K5284" i="159"/>
  <c r="L5284" i="159"/>
  <c r="M5284" i="159"/>
  <c r="O5284" i="159"/>
  <c r="P5284" i="159" s="1"/>
  <c r="K5285" i="159"/>
  <c r="L5285" i="159"/>
  <c r="K5286" i="159"/>
  <c r="L5286" i="159"/>
  <c r="K5287" i="159"/>
  <c r="L5287" i="159"/>
  <c r="K5288" i="159"/>
  <c r="L5288" i="159"/>
  <c r="F5290" i="159"/>
  <c r="G5290" i="159"/>
  <c r="H5290" i="159"/>
  <c r="I5290" i="159"/>
  <c r="J5290" i="159"/>
  <c r="D5291" i="159"/>
  <c r="D5292" i="159" s="1"/>
  <c r="D5293" i="159" s="1"/>
  <c r="D5294" i="159" s="1"/>
  <c r="D5295" i="159" s="1"/>
  <c r="E5291" i="159"/>
  <c r="K5291" i="159"/>
  <c r="L5291" i="159"/>
  <c r="M5291" i="159"/>
  <c r="O5291" i="159"/>
  <c r="P5291" i="159"/>
  <c r="K5292" i="159"/>
  <c r="L5292" i="159"/>
  <c r="K5293" i="159"/>
  <c r="L5293" i="159"/>
  <c r="K5294" i="159"/>
  <c r="L5294" i="159"/>
  <c r="K5295" i="159"/>
  <c r="L5295" i="159"/>
  <c r="F5297" i="159"/>
  <c r="G5297" i="159"/>
  <c r="H5297" i="159"/>
  <c r="I5297" i="159"/>
  <c r="J5297" i="159"/>
  <c r="D5298" i="159"/>
  <c r="E5298" i="159"/>
  <c r="K5298" i="159"/>
  <c r="L5298" i="159"/>
  <c r="M5298" i="159"/>
  <c r="O5298" i="159"/>
  <c r="P5298" i="159" s="1"/>
  <c r="D5299" i="159"/>
  <c r="D5300" i="159" s="1"/>
  <c r="D5301" i="159" s="1"/>
  <c r="D5302" i="159" s="1"/>
  <c r="K5299" i="159"/>
  <c r="L5299" i="159"/>
  <c r="K5300" i="159"/>
  <c r="L5300" i="159"/>
  <c r="K5301" i="159"/>
  <c r="L5301" i="159"/>
  <c r="K5302" i="159"/>
  <c r="L5302" i="159"/>
  <c r="F5304" i="159"/>
  <c r="G5304" i="159"/>
  <c r="H5304" i="159"/>
  <c r="I5304" i="159"/>
  <c r="J5304" i="159"/>
  <c r="D5305" i="159"/>
  <c r="D5306" i="159" s="1"/>
  <c r="D5307" i="159" s="1"/>
  <c r="D5308" i="159" s="1"/>
  <c r="D5309" i="159" s="1"/>
  <c r="E5305" i="159"/>
  <c r="K5305" i="159"/>
  <c r="L5305" i="159"/>
  <c r="M5305" i="159"/>
  <c r="O5305" i="159"/>
  <c r="P5305" i="159"/>
  <c r="K5306" i="159"/>
  <c r="L5306" i="159"/>
  <c r="K5307" i="159"/>
  <c r="L5307" i="159"/>
  <c r="K5308" i="159"/>
  <c r="L5308" i="159"/>
  <c r="K5309" i="159"/>
  <c r="L5309" i="159"/>
  <c r="F5311" i="159"/>
  <c r="G5311" i="159"/>
  <c r="H5311" i="159"/>
  <c r="I5311" i="159"/>
  <c r="J5311" i="159"/>
  <c r="D5312" i="159"/>
  <c r="E5312" i="159"/>
  <c r="K5312" i="159"/>
  <c r="L5312" i="159"/>
  <c r="M5312" i="159"/>
  <c r="O5312" i="159"/>
  <c r="P5312" i="159" s="1"/>
  <c r="D5313" i="159"/>
  <c r="D5314" i="159" s="1"/>
  <c r="D5315" i="159" s="1"/>
  <c r="D5316" i="159" s="1"/>
  <c r="K5313" i="159"/>
  <c r="L5313" i="159"/>
  <c r="K5314" i="159"/>
  <c r="L5314" i="159"/>
  <c r="K5315" i="159"/>
  <c r="L5315" i="159"/>
  <c r="K5316" i="159"/>
  <c r="L5316" i="159"/>
  <c r="F5318" i="159"/>
  <c r="G5318" i="159"/>
  <c r="H5318" i="159"/>
  <c r="I5318" i="159"/>
  <c r="J5318" i="159"/>
  <c r="D5319" i="159"/>
  <c r="D5320" i="159" s="1"/>
  <c r="D5321" i="159" s="1"/>
  <c r="D5322" i="159" s="1"/>
  <c r="D5323" i="159" s="1"/>
  <c r="E5319" i="159"/>
  <c r="K5319" i="159"/>
  <c r="L5319" i="159"/>
  <c r="M5319" i="159"/>
  <c r="O5319" i="159"/>
  <c r="P5319" i="159"/>
  <c r="K5320" i="159"/>
  <c r="L5320" i="159"/>
  <c r="K5321" i="159"/>
  <c r="L5321" i="159"/>
  <c r="K5322" i="159"/>
  <c r="L5322" i="159"/>
  <c r="K5323" i="159"/>
  <c r="L5323" i="159"/>
  <c r="F5325" i="159"/>
  <c r="G5325" i="159"/>
  <c r="H5325" i="159"/>
  <c r="I5325" i="159"/>
  <c r="J5325" i="159"/>
  <c r="D5326" i="159"/>
  <c r="E5326" i="159"/>
  <c r="K5326" i="159"/>
  <c r="L5326" i="159"/>
  <c r="M5326" i="159"/>
  <c r="O5326" i="159"/>
  <c r="P5326" i="159"/>
  <c r="D5327" i="159"/>
  <c r="D5328" i="159" s="1"/>
  <c r="D5329" i="159" s="1"/>
  <c r="D5330" i="159" s="1"/>
  <c r="K5327" i="159"/>
  <c r="L5327" i="159"/>
  <c r="K5328" i="159"/>
  <c r="L5328" i="159"/>
  <c r="K5329" i="159"/>
  <c r="L5329" i="159"/>
  <c r="K5330" i="159"/>
  <c r="L5330" i="159"/>
  <c r="F5332" i="159"/>
  <c r="G5332" i="159"/>
  <c r="H5332" i="159"/>
  <c r="I5332" i="159"/>
  <c r="J5332" i="159"/>
  <c r="D5333" i="159"/>
  <c r="E5333" i="159"/>
  <c r="K5333" i="159"/>
  <c r="L5333" i="159"/>
  <c r="M5333" i="159"/>
  <c r="O5333" i="159"/>
  <c r="P5333" i="159" s="1"/>
  <c r="D5334" i="159"/>
  <c r="D5335" i="159" s="1"/>
  <c r="D5336" i="159" s="1"/>
  <c r="D5337" i="159" s="1"/>
  <c r="K5334" i="159"/>
  <c r="L5334" i="159"/>
  <c r="K5335" i="159"/>
  <c r="L5335" i="159"/>
  <c r="K5336" i="159"/>
  <c r="L5336" i="159"/>
  <c r="K5337" i="159"/>
  <c r="L5337" i="159"/>
  <c r="F5339" i="159"/>
  <c r="G5339" i="159"/>
  <c r="H5339" i="159"/>
  <c r="I5339" i="159"/>
  <c r="J5339" i="159"/>
  <c r="D5340" i="159"/>
  <c r="D5341" i="159" s="1"/>
  <c r="D5342" i="159" s="1"/>
  <c r="D5343" i="159" s="1"/>
  <c r="D5344" i="159" s="1"/>
  <c r="E5340" i="159"/>
  <c r="K5340" i="159"/>
  <c r="L5340" i="159"/>
  <c r="M5340" i="159"/>
  <c r="N5340" i="159"/>
  <c r="O5340" i="159"/>
  <c r="P5340" i="159" s="1"/>
  <c r="K5341" i="159"/>
  <c r="L5341" i="159"/>
  <c r="K5342" i="159"/>
  <c r="L5342" i="159"/>
  <c r="K5343" i="159"/>
  <c r="L5343" i="159"/>
  <c r="K5344" i="159"/>
  <c r="L5344" i="159"/>
  <c r="F5346" i="159"/>
  <c r="G5346" i="159"/>
  <c r="H5346" i="159"/>
  <c r="I5346" i="159"/>
  <c r="J5346" i="159"/>
  <c r="D5347" i="159"/>
  <c r="E5347" i="159"/>
  <c r="K5347" i="159"/>
  <c r="L5347" i="159"/>
  <c r="M5347" i="159"/>
  <c r="N5347" i="159"/>
  <c r="O5347" i="159"/>
  <c r="P5347" i="159"/>
  <c r="D5348" i="159"/>
  <c r="D5349" i="159" s="1"/>
  <c r="K5348" i="159"/>
  <c r="L5348" i="159"/>
  <c r="K5349" i="159"/>
  <c r="L5349" i="159"/>
  <c r="D5350" i="159"/>
  <c r="D5351" i="159" s="1"/>
  <c r="K5350" i="159"/>
  <c r="L5350" i="159"/>
  <c r="K5351" i="159"/>
  <c r="L5351" i="159"/>
  <c r="F5353" i="159"/>
  <c r="G5353" i="159"/>
  <c r="H5353" i="159"/>
  <c r="I5353" i="159"/>
  <c r="J5353" i="159"/>
  <c r="D5354" i="159"/>
  <c r="E5354" i="159"/>
  <c r="K5354" i="159"/>
  <c r="L5354" i="159"/>
  <c r="M5354" i="159"/>
  <c r="O5354" i="159"/>
  <c r="P5354" i="159" s="1"/>
  <c r="D5355" i="159"/>
  <c r="K5355" i="159"/>
  <c r="L5355" i="159"/>
  <c r="D5356" i="159"/>
  <c r="K5356" i="159"/>
  <c r="L5356" i="159"/>
  <c r="D5357" i="159"/>
  <c r="K5357" i="159"/>
  <c r="L5357" i="159"/>
  <c r="D5358" i="159"/>
  <c r="K5358" i="159"/>
  <c r="L5358" i="159"/>
  <c r="F5360" i="159"/>
  <c r="G5360" i="159"/>
  <c r="H5360" i="159"/>
  <c r="I5360" i="159"/>
  <c r="J5360" i="159"/>
  <c r="D5361" i="159"/>
  <c r="E5361" i="159"/>
  <c r="K5361" i="159"/>
  <c r="L5361" i="159"/>
  <c r="M5361" i="159"/>
  <c r="O5361" i="159"/>
  <c r="P5361" i="159" s="1"/>
  <c r="D5362" i="159"/>
  <c r="K5362" i="159"/>
  <c r="L5362" i="159"/>
  <c r="D5363" i="159"/>
  <c r="D5364" i="159" s="1"/>
  <c r="D5365" i="159" s="1"/>
  <c r="K5363" i="159"/>
  <c r="L5363" i="159"/>
  <c r="K5364" i="159"/>
  <c r="L5364" i="159"/>
  <c r="K5365" i="159"/>
  <c r="L5365" i="159"/>
  <c r="F5367" i="159"/>
  <c r="G5367" i="159"/>
  <c r="H5367" i="159"/>
  <c r="I5367" i="159"/>
  <c r="J5367" i="159"/>
  <c r="D5368" i="159"/>
  <c r="E5368" i="159"/>
  <c r="K5368" i="159"/>
  <c r="L5368" i="159"/>
  <c r="M5368" i="159"/>
  <c r="O5368" i="159"/>
  <c r="P5368" i="159"/>
  <c r="D5369" i="159"/>
  <c r="D5370" i="159" s="1"/>
  <c r="D5371" i="159" s="1"/>
  <c r="D5372" i="159" s="1"/>
  <c r="K5369" i="159"/>
  <c r="L5369" i="159"/>
  <c r="K5370" i="159"/>
  <c r="L5370" i="159"/>
  <c r="K5371" i="159"/>
  <c r="L5371" i="159"/>
  <c r="K5372" i="159"/>
  <c r="L5372" i="159"/>
  <c r="F5374" i="159"/>
  <c r="G5374" i="159"/>
  <c r="H5374" i="159"/>
  <c r="I5374" i="159"/>
  <c r="J5374" i="159"/>
  <c r="D5375" i="159"/>
  <c r="E5375" i="159"/>
  <c r="K5375" i="159"/>
  <c r="L5375" i="159"/>
  <c r="M5375" i="159"/>
  <c r="O5375" i="159"/>
  <c r="P5375" i="159" s="1"/>
  <c r="D5376" i="159"/>
  <c r="K5376" i="159"/>
  <c r="L5376" i="159"/>
  <c r="D5377" i="159"/>
  <c r="D5378" i="159" s="1"/>
  <c r="D5379" i="159" s="1"/>
  <c r="K5377" i="159"/>
  <c r="L5377" i="159"/>
  <c r="K5378" i="159"/>
  <c r="L5378" i="159"/>
  <c r="K5379" i="159"/>
  <c r="L5379" i="159"/>
  <c r="F5381" i="159"/>
  <c r="G5381" i="159"/>
  <c r="H5381" i="159"/>
  <c r="I5381" i="159"/>
  <c r="J5381" i="159"/>
  <c r="D5382" i="159"/>
  <c r="D5383" i="159" s="1"/>
  <c r="D5384" i="159" s="1"/>
  <c r="D5385" i="159" s="1"/>
  <c r="D5386" i="159" s="1"/>
  <c r="E5382" i="159"/>
  <c r="K5382" i="159"/>
  <c r="L5382" i="159"/>
  <c r="M5382" i="159"/>
  <c r="O5382" i="159"/>
  <c r="P5382" i="159"/>
  <c r="K5383" i="159"/>
  <c r="L5383" i="159"/>
  <c r="K5384" i="159"/>
  <c r="L5384" i="159"/>
  <c r="K5385" i="159"/>
  <c r="L5385" i="159"/>
  <c r="K5386" i="159"/>
  <c r="L5386" i="159"/>
  <c r="F5388" i="159"/>
  <c r="G5388" i="159"/>
  <c r="H5388" i="159"/>
  <c r="I5388" i="159"/>
  <c r="J5388" i="159"/>
  <c r="D5389" i="159"/>
  <c r="E5389" i="159"/>
  <c r="K5389" i="159"/>
  <c r="L5389" i="159"/>
  <c r="M5389" i="159"/>
  <c r="O5389" i="159"/>
  <c r="P5389" i="159" s="1"/>
  <c r="D5390" i="159"/>
  <c r="D5391" i="159" s="1"/>
  <c r="D5392" i="159" s="1"/>
  <c r="D5393" i="159" s="1"/>
  <c r="K5390" i="159"/>
  <c r="L5390" i="159"/>
  <c r="K5391" i="159"/>
  <c r="L5391" i="159"/>
  <c r="K5392" i="159"/>
  <c r="L5392" i="159"/>
  <c r="K5393" i="159"/>
  <c r="L5393" i="159"/>
  <c r="F5395" i="159"/>
  <c r="G5395" i="159"/>
  <c r="H5395" i="159"/>
  <c r="I5395" i="159"/>
  <c r="J5395" i="159"/>
  <c r="D5396" i="159"/>
  <c r="E5396" i="159"/>
  <c r="K5396" i="159"/>
  <c r="L5396" i="159"/>
  <c r="M5396" i="159"/>
  <c r="O5396" i="159"/>
  <c r="P5396" i="159"/>
  <c r="D5397" i="159"/>
  <c r="D5398" i="159" s="1"/>
  <c r="D5399" i="159" s="1"/>
  <c r="D5400" i="159" s="1"/>
  <c r="K5397" i="159"/>
  <c r="L5397" i="159"/>
  <c r="K5398" i="159"/>
  <c r="L5398" i="159"/>
  <c r="K5399" i="159"/>
  <c r="L5399" i="159"/>
  <c r="K5400" i="159"/>
  <c r="L5400" i="159"/>
  <c r="F5402" i="159"/>
  <c r="G5402" i="159"/>
  <c r="H5402" i="159"/>
  <c r="I5402" i="159"/>
  <c r="J5402" i="159"/>
  <c r="D5403" i="159"/>
  <c r="E5403" i="159"/>
  <c r="K5403" i="159"/>
  <c r="L5403" i="159"/>
  <c r="M5403" i="159"/>
  <c r="O5403" i="159"/>
  <c r="P5403" i="159" s="1"/>
  <c r="D5404" i="159"/>
  <c r="K5404" i="159"/>
  <c r="L5404" i="159"/>
  <c r="D5405" i="159"/>
  <c r="D5406" i="159" s="1"/>
  <c r="D5407" i="159" s="1"/>
  <c r="K5405" i="159"/>
  <c r="L5405" i="159"/>
  <c r="K5406" i="159"/>
  <c r="L5406" i="159"/>
  <c r="K5407" i="159"/>
  <c r="L5407" i="159"/>
  <c r="F5409" i="159"/>
  <c r="G5409" i="159"/>
  <c r="H5409" i="159"/>
  <c r="I5409" i="159"/>
  <c r="J5409" i="159"/>
  <c r="D5410" i="159"/>
  <c r="E5410" i="159"/>
  <c r="K5410" i="159"/>
  <c r="L5410" i="159"/>
  <c r="M5410" i="159"/>
  <c r="O5410" i="159"/>
  <c r="P5410" i="159"/>
  <c r="D5411" i="159"/>
  <c r="D5412" i="159" s="1"/>
  <c r="D5413" i="159" s="1"/>
  <c r="D5414" i="159" s="1"/>
  <c r="K5411" i="159"/>
  <c r="L5411" i="159"/>
  <c r="K5412" i="159"/>
  <c r="L5412" i="159"/>
  <c r="K5413" i="159"/>
  <c r="L5413" i="159"/>
  <c r="K5414" i="159"/>
  <c r="L5414" i="159"/>
  <c r="F5416" i="159"/>
  <c r="G5416" i="159"/>
  <c r="H5416" i="159"/>
  <c r="I5416" i="159"/>
  <c r="J5416" i="159"/>
  <c r="D5417" i="159"/>
  <c r="D5418" i="159" s="1"/>
  <c r="D5419" i="159" s="1"/>
  <c r="D5420" i="159" s="1"/>
  <c r="D5421" i="159" s="1"/>
  <c r="E5417" i="159"/>
  <c r="K5417" i="159"/>
  <c r="L5417" i="159"/>
  <c r="M5417" i="159"/>
  <c r="N5417" i="159"/>
  <c r="P5417" i="159"/>
  <c r="K5418" i="159"/>
  <c r="L5418" i="159"/>
  <c r="K5419" i="159"/>
  <c r="L5419" i="159"/>
  <c r="K5420" i="159"/>
  <c r="L5420" i="159"/>
  <c r="K5421" i="159"/>
  <c r="L5421" i="159"/>
  <c r="F5423" i="159"/>
  <c r="G5423" i="159"/>
  <c r="H5423" i="159"/>
  <c r="I5423" i="159"/>
  <c r="J5423" i="159"/>
  <c r="D5424" i="159"/>
  <c r="E5424" i="159"/>
  <c r="K5424" i="159"/>
  <c r="L5424" i="159"/>
  <c r="M5424" i="159"/>
  <c r="O5424" i="159"/>
  <c r="P5424" i="159" s="1"/>
  <c r="D5425" i="159"/>
  <c r="D5426" i="159" s="1"/>
  <c r="D5427" i="159" s="1"/>
  <c r="D5428" i="159" s="1"/>
  <c r="K5425" i="159"/>
  <c r="L5425" i="159"/>
  <c r="K5426" i="159"/>
  <c r="L5426" i="159"/>
  <c r="K5427" i="159"/>
  <c r="L5427" i="159"/>
  <c r="K5428" i="159"/>
  <c r="L5428" i="159"/>
  <c r="F5430" i="159"/>
  <c r="G5430" i="159"/>
  <c r="H5430" i="159"/>
  <c r="I5430" i="159"/>
  <c r="J5430" i="159"/>
  <c r="D5431" i="159"/>
  <c r="E5431" i="159"/>
  <c r="K5431" i="159"/>
  <c r="L5431" i="159"/>
  <c r="M5431" i="159"/>
  <c r="O5431" i="159"/>
  <c r="P5431" i="159"/>
  <c r="D5432" i="159"/>
  <c r="D5433" i="159" s="1"/>
  <c r="D5434" i="159" s="1"/>
  <c r="D5435" i="159" s="1"/>
  <c r="K5432" i="159"/>
  <c r="L5432" i="159"/>
  <c r="K5433" i="159"/>
  <c r="L5433" i="159"/>
  <c r="K5434" i="159"/>
  <c r="L5434" i="159"/>
  <c r="K5435" i="159"/>
  <c r="L5435" i="159"/>
  <c r="F5437" i="159"/>
  <c r="G5437" i="159"/>
  <c r="H5437" i="159"/>
  <c r="I5437" i="159"/>
  <c r="J5437" i="159"/>
  <c r="D5438" i="159"/>
  <c r="E5438" i="159"/>
  <c r="K5438" i="159"/>
  <c r="L5438" i="159"/>
  <c r="M5438" i="159"/>
  <c r="O5438" i="159"/>
  <c r="P5438" i="159" s="1"/>
  <c r="D5439" i="159"/>
  <c r="D5440" i="159" s="1"/>
  <c r="D5441" i="159" s="1"/>
  <c r="D5442" i="159" s="1"/>
  <c r="K5439" i="159"/>
  <c r="L5439" i="159"/>
  <c r="K5440" i="159"/>
  <c r="L5440" i="159"/>
  <c r="K5441" i="159"/>
  <c r="L5441" i="159"/>
  <c r="K5442" i="159"/>
  <c r="L5442" i="159"/>
  <c r="F5444" i="159"/>
  <c r="G5444" i="159"/>
  <c r="H5444" i="159"/>
  <c r="I5444" i="159"/>
  <c r="J5444" i="159"/>
  <c r="D5445" i="159"/>
  <c r="E5445" i="159"/>
  <c r="K5445" i="159"/>
  <c r="L5445" i="159"/>
  <c r="M5445" i="159"/>
  <c r="O5445" i="159"/>
  <c r="P5445" i="159"/>
  <c r="D5446" i="159"/>
  <c r="D5447" i="159" s="1"/>
  <c r="D5448" i="159" s="1"/>
  <c r="D5449" i="159" s="1"/>
  <c r="K5446" i="159"/>
  <c r="L5446" i="159"/>
  <c r="K5447" i="159"/>
  <c r="L5447" i="159"/>
  <c r="K5448" i="159"/>
  <c r="L5448" i="159"/>
  <c r="K5449" i="159"/>
  <c r="L5449" i="159"/>
  <c r="F5451" i="159"/>
  <c r="G5451" i="159"/>
  <c r="H5451" i="159"/>
  <c r="I5451" i="159"/>
  <c r="J5451" i="159"/>
  <c r="D5452" i="159"/>
  <c r="D5453" i="159" s="1"/>
  <c r="D5454" i="159" s="1"/>
  <c r="D5455" i="159" s="1"/>
  <c r="D5456" i="159" s="1"/>
  <c r="E5452" i="159"/>
  <c r="K5452" i="159"/>
  <c r="L5452" i="159"/>
  <c r="M5452" i="159"/>
  <c r="N5452" i="159"/>
  <c r="P5452" i="159"/>
  <c r="K5453" i="159"/>
  <c r="L5453" i="159"/>
  <c r="K5454" i="159"/>
  <c r="L5454" i="159"/>
  <c r="K5455" i="159"/>
  <c r="L5455" i="159"/>
  <c r="K5456" i="159"/>
  <c r="L5456" i="159"/>
  <c r="F5458" i="159"/>
  <c r="G5458" i="159"/>
  <c r="H5458" i="159"/>
  <c r="I5458" i="159"/>
  <c r="J5458" i="159"/>
  <c r="D5459" i="159"/>
  <c r="E5459" i="159"/>
  <c r="K5459" i="159"/>
  <c r="L5459" i="159"/>
  <c r="M5459" i="159"/>
  <c r="O5459" i="159"/>
  <c r="P5459" i="159" s="1"/>
  <c r="D5460" i="159"/>
  <c r="D5461" i="159" s="1"/>
  <c r="D5462" i="159" s="1"/>
  <c r="D5463" i="159" s="1"/>
  <c r="K5460" i="159"/>
  <c r="L5460" i="159"/>
  <c r="K5461" i="159"/>
  <c r="L5461" i="159"/>
  <c r="K5462" i="159"/>
  <c r="L5462" i="159"/>
  <c r="K5463" i="159"/>
  <c r="L5463" i="159"/>
  <c r="F5465" i="159"/>
  <c r="G5465" i="159"/>
  <c r="H5465" i="159"/>
  <c r="I5465" i="159"/>
  <c r="J5465" i="159"/>
  <c r="D5466" i="159"/>
  <c r="E5466" i="159"/>
  <c r="K5466" i="159"/>
  <c r="L5466" i="159"/>
  <c r="M5466" i="159"/>
  <c r="O5466" i="159"/>
  <c r="P5466" i="159"/>
  <c r="D5467" i="159"/>
  <c r="D5468" i="159" s="1"/>
  <c r="D5469" i="159" s="1"/>
  <c r="D5470" i="159" s="1"/>
  <c r="K5467" i="159"/>
  <c r="L5467" i="159"/>
  <c r="K5468" i="159"/>
  <c r="L5468" i="159"/>
  <c r="K5469" i="159"/>
  <c r="L5469" i="159"/>
  <c r="K5470" i="159"/>
  <c r="L5470" i="159"/>
  <c r="F5472" i="159"/>
  <c r="G5472" i="159"/>
  <c r="H5472" i="159"/>
  <c r="I5472" i="159"/>
  <c r="J5472" i="159"/>
  <c r="D5473" i="159"/>
  <c r="D5475" i="159" s="1"/>
  <c r="D5477" i="159" s="1"/>
  <c r="E5473" i="159"/>
  <c r="K5473" i="159"/>
  <c r="L5473" i="159"/>
  <c r="M5473" i="159"/>
  <c r="P5473" i="159"/>
  <c r="D5474" i="159"/>
  <c r="E5474" i="159"/>
  <c r="K5474" i="159"/>
  <c r="L5474" i="159"/>
  <c r="M5474" i="159"/>
  <c r="P5474" i="159"/>
  <c r="K5475" i="159"/>
  <c r="L5475" i="159"/>
  <c r="D5476" i="159"/>
  <c r="D5478" i="159" s="1"/>
  <c r="K5476" i="159"/>
  <c r="L5476" i="159"/>
  <c r="K5477" i="159"/>
  <c r="L5477" i="159"/>
  <c r="K5478" i="159"/>
  <c r="L5478" i="159"/>
  <c r="F5480" i="159"/>
  <c r="G5480" i="159"/>
  <c r="H5480" i="159"/>
  <c r="I5480" i="159"/>
  <c r="J5480" i="159"/>
  <c r="D5481" i="159"/>
  <c r="D5482" i="159" s="1"/>
  <c r="D5483" i="159" s="1"/>
  <c r="D5484" i="159" s="1"/>
  <c r="D5485" i="159" s="1"/>
  <c r="E5481" i="159"/>
  <c r="K5481" i="159"/>
  <c r="L5481" i="159"/>
  <c r="M5481" i="159"/>
  <c r="O5481" i="159"/>
  <c r="P5481" i="159"/>
  <c r="K5482" i="159"/>
  <c r="L5482" i="159"/>
  <c r="K5483" i="159"/>
  <c r="L5483" i="159"/>
  <c r="K5484" i="159"/>
  <c r="L5484" i="159"/>
  <c r="K5485" i="159"/>
  <c r="L5485" i="159"/>
  <c r="F5487" i="159"/>
  <c r="G5487" i="159"/>
  <c r="H5487" i="159"/>
  <c r="I5487" i="159"/>
  <c r="J5487" i="159"/>
  <c r="D5488" i="159"/>
  <c r="E5488" i="159"/>
  <c r="K5488" i="159"/>
  <c r="L5488" i="159"/>
  <c r="M5488" i="159"/>
  <c r="P5488" i="159"/>
  <c r="D5489" i="159"/>
  <c r="E5489" i="159"/>
  <c r="K5489" i="159"/>
  <c r="L5489" i="159"/>
  <c r="M5489" i="159"/>
  <c r="P5489" i="159"/>
  <c r="D5490" i="159"/>
  <c r="D5492" i="159" s="1"/>
  <c r="K5490" i="159"/>
  <c r="L5490" i="159"/>
  <c r="D5491" i="159"/>
  <c r="D5493" i="159" s="1"/>
  <c r="K5491" i="159"/>
  <c r="L5491" i="159"/>
  <c r="K5492" i="159"/>
  <c r="L5492" i="159"/>
  <c r="K5493" i="159"/>
  <c r="L5493" i="159"/>
  <c r="F5495" i="159"/>
  <c r="G5495" i="159"/>
  <c r="H5495" i="159"/>
  <c r="I5495" i="159"/>
  <c r="J5495" i="159"/>
  <c r="D5496" i="159"/>
  <c r="E5496" i="159"/>
  <c r="K5496" i="159"/>
  <c r="L5496" i="159"/>
  <c r="M5496" i="159"/>
  <c r="N5496" i="159"/>
  <c r="P5496" i="159"/>
  <c r="D5497" i="159"/>
  <c r="D5498" i="159" s="1"/>
  <c r="D5499" i="159" s="1"/>
  <c r="D5500" i="159" s="1"/>
  <c r="K5497" i="159"/>
  <c r="L5497" i="159"/>
  <c r="K5498" i="159"/>
  <c r="L5498" i="159"/>
  <c r="K5499" i="159"/>
  <c r="L5499" i="159"/>
  <c r="K5500" i="159"/>
  <c r="L5500" i="159"/>
  <c r="F5502" i="159"/>
  <c r="G5502" i="159"/>
  <c r="H5502" i="159"/>
  <c r="I5502" i="159"/>
  <c r="J5502" i="159"/>
  <c r="D5503" i="159"/>
  <c r="D5504" i="159" s="1"/>
  <c r="D5505" i="159" s="1"/>
  <c r="D5506" i="159" s="1"/>
  <c r="D5507" i="159" s="1"/>
  <c r="E5503" i="159"/>
  <c r="K5503" i="159"/>
  <c r="L5503" i="159"/>
  <c r="M5503" i="159"/>
  <c r="N5503" i="159"/>
  <c r="P5503" i="159"/>
  <c r="K5504" i="159"/>
  <c r="L5504" i="159"/>
  <c r="K5505" i="159"/>
  <c r="L5505" i="159"/>
  <c r="K5506" i="159"/>
  <c r="L5506" i="159"/>
  <c r="K5507" i="159"/>
  <c r="L5507" i="159"/>
  <c r="F5509" i="159"/>
  <c r="G5509" i="159"/>
  <c r="H5509" i="159"/>
  <c r="I5509" i="159"/>
  <c r="J5509" i="159"/>
  <c r="D5510" i="159"/>
  <c r="D5511" i="159" s="1"/>
  <c r="D5512" i="159" s="1"/>
  <c r="D5513" i="159" s="1"/>
  <c r="D5514" i="159" s="1"/>
  <c r="E5510" i="159"/>
  <c r="K5510" i="159"/>
  <c r="L5510" i="159"/>
  <c r="M5510" i="159"/>
  <c r="N5510" i="159"/>
  <c r="P5510" i="159"/>
  <c r="K5511" i="159"/>
  <c r="L5511" i="159"/>
  <c r="K5512" i="159"/>
  <c r="L5512" i="159"/>
  <c r="K5513" i="159"/>
  <c r="L5513" i="159"/>
  <c r="K5514" i="159"/>
  <c r="L5514" i="159"/>
  <c r="F5516" i="159"/>
  <c r="G5516" i="159"/>
  <c r="H5516" i="159"/>
  <c r="I5516" i="159"/>
  <c r="J5516" i="159"/>
  <c r="D5517" i="159"/>
  <c r="D5518" i="159" s="1"/>
  <c r="D5519" i="159" s="1"/>
  <c r="D5520" i="159" s="1"/>
  <c r="D5521" i="159" s="1"/>
  <c r="E5517" i="159"/>
  <c r="K5517" i="159"/>
  <c r="L5517" i="159"/>
  <c r="M5517" i="159"/>
  <c r="N5517" i="159"/>
  <c r="P5517" i="159"/>
  <c r="K5518" i="159"/>
  <c r="L5518" i="159"/>
  <c r="K5519" i="159"/>
  <c r="L5519" i="159"/>
  <c r="K5520" i="159"/>
  <c r="L5520" i="159"/>
  <c r="K5521" i="159"/>
  <c r="L5521" i="159"/>
  <c r="F5523" i="159"/>
  <c r="G5523" i="159"/>
  <c r="H5523" i="159"/>
  <c r="I5523" i="159"/>
  <c r="J5523" i="159"/>
  <c r="D5524" i="159"/>
  <c r="E5524" i="159"/>
  <c r="K5524" i="159"/>
  <c r="L5524" i="159"/>
  <c r="M5524" i="159"/>
  <c r="N5524" i="159"/>
  <c r="P5524" i="159"/>
  <c r="D5525" i="159"/>
  <c r="K5525" i="159"/>
  <c r="L5525" i="159"/>
  <c r="D5526" i="159"/>
  <c r="D5527" i="159" s="1"/>
  <c r="D5528" i="159" s="1"/>
  <c r="K5526" i="159"/>
  <c r="L5526" i="159"/>
  <c r="K5527" i="159"/>
  <c r="L5527" i="159"/>
  <c r="K5528" i="159"/>
  <c r="L5528" i="159"/>
  <c r="F5530" i="159"/>
  <c r="G5530" i="159"/>
  <c r="H5530" i="159"/>
  <c r="I5530" i="159"/>
  <c r="J5530" i="159"/>
  <c r="D5531" i="159"/>
  <c r="E5531" i="159"/>
  <c r="K5531" i="159"/>
  <c r="L5531" i="159"/>
  <c r="M5531" i="159"/>
  <c r="N5531" i="159"/>
  <c r="P5531" i="159"/>
  <c r="D5532" i="159"/>
  <c r="D5533" i="159" s="1"/>
  <c r="D5534" i="159" s="1"/>
  <c r="D5535" i="159" s="1"/>
  <c r="K5532" i="159"/>
  <c r="L5532" i="159"/>
  <c r="K5533" i="159"/>
  <c r="L5533" i="159"/>
  <c r="K5534" i="159"/>
  <c r="L5534" i="159"/>
  <c r="K5535" i="159"/>
  <c r="L5535" i="159"/>
  <c r="F5537" i="159"/>
  <c r="G5537" i="159"/>
  <c r="H5537" i="159"/>
  <c r="I5537" i="159"/>
  <c r="J5537" i="159"/>
  <c r="D5538" i="159"/>
  <c r="D5539" i="159" s="1"/>
  <c r="D5540" i="159" s="1"/>
  <c r="D5541" i="159" s="1"/>
  <c r="D5542" i="159" s="1"/>
  <c r="E5538" i="159"/>
  <c r="K5538" i="159"/>
  <c r="L5538" i="159"/>
  <c r="M5538" i="159"/>
  <c r="N5538" i="159"/>
  <c r="P5538" i="159"/>
  <c r="K5539" i="159"/>
  <c r="L5539" i="159"/>
  <c r="K5540" i="159"/>
  <c r="L5540" i="159"/>
  <c r="K5541" i="159"/>
  <c r="L5541" i="159"/>
  <c r="K5542" i="159"/>
  <c r="L5542" i="159"/>
  <c r="F5544" i="159"/>
  <c r="G5544" i="159"/>
  <c r="H5544" i="159"/>
  <c r="I5544" i="159"/>
  <c r="J5544" i="159"/>
  <c r="D5545" i="159"/>
  <c r="D5546" i="159" s="1"/>
  <c r="D5547" i="159" s="1"/>
  <c r="D5548" i="159" s="1"/>
  <c r="D5549" i="159" s="1"/>
  <c r="E5545" i="159"/>
  <c r="K5545" i="159"/>
  <c r="L5545" i="159"/>
  <c r="M5545" i="159"/>
  <c r="N5545" i="159"/>
  <c r="P5545" i="159"/>
  <c r="K5546" i="159"/>
  <c r="L5546" i="159"/>
  <c r="K5547" i="159"/>
  <c r="L5547" i="159"/>
  <c r="K5548" i="159"/>
  <c r="L5548" i="159"/>
  <c r="K5549" i="159"/>
  <c r="L5549" i="159"/>
  <c r="F5551" i="159"/>
  <c r="G5551" i="159"/>
  <c r="H5551" i="159"/>
  <c r="I5551" i="159"/>
  <c r="J5551" i="159"/>
  <c r="D5552" i="159"/>
  <c r="D5553" i="159" s="1"/>
  <c r="D5554" i="159" s="1"/>
  <c r="D5555" i="159" s="1"/>
  <c r="D5556" i="159" s="1"/>
  <c r="E5552" i="159"/>
  <c r="K5552" i="159"/>
  <c r="L5552" i="159"/>
  <c r="M5552" i="159"/>
  <c r="N5552" i="159"/>
  <c r="P5552" i="159"/>
  <c r="K5553" i="159"/>
  <c r="L5553" i="159"/>
  <c r="K5554" i="159"/>
  <c r="L5554" i="159"/>
  <c r="K5555" i="159"/>
  <c r="L5555" i="159"/>
  <c r="K5556" i="159"/>
  <c r="L5556" i="159"/>
  <c r="F5558" i="159"/>
  <c r="G5558" i="159"/>
  <c r="H5558" i="159"/>
  <c r="I5558" i="159"/>
  <c r="J5558" i="159"/>
  <c r="D5559" i="159"/>
  <c r="E5559" i="159"/>
  <c r="K5559" i="159"/>
  <c r="L5559" i="159"/>
  <c r="M5559" i="159"/>
  <c r="N5559" i="159"/>
  <c r="P5559" i="159"/>
  <c r="D5560" i="159"/>
  <c r="D5561" i="159" s="1"/>
  <c r="D5562" i="159" s="1"/>
  <c r="D5563" i="159" s="1"/>
  <c r="K5560" i="159"/>
  <c r="L5560" i="159"/>
  <c r="K5561" i="159"/>
  <c r="L5561" i="159"/>
  <c r="K5562" i="159"/>
  <c r="L5562" i="159"/>
  <c r="K5563" i="159"/>
  <c r="L5563" i="159"/>
  <c r="F5565" i="159"/>
  <c r="G5565" i="159"/>
  <c r="H5565" i="159"/>
  <c r="I5565" i="159"/>
  <c r="J5565" i="159"/>
  <c r="D5566" i="159"/>
  <c r="E5566" i="159"/>
  <c r="K5566" i="159"/>
  <c r="L5566" i="159"/>
  <c r="M5566" i="159"/>
  <c r="N5566" i="159"/>
  <c r="P5566" i="159"/>
  <c r="D5567" i="159"/>
  <c r="D5568" i="159" s="1"/>
  <c r="D5569" i="159" s="1"/>
  <c r="D5570" i="159" s="1"/>
  <c r="K5567" i="159"/>
  <c r="L5567" i="159"/>
  <c r="K5568" i="159"/>
  <c r="L5568" i="159"/>
  <c r="K5569" i="159"/>
  <c r="L5569" i="159"/>
  <c r="K5570" i="159"/>
  <c r="L5570" i="159"/>
  <c r="F5572" i="159"/>
  <c r="G5572" i="159"/>
  <c r="H5572" i="159"/>
  <c r="I5572" i="159"/>
  <c r="J5572" i="159"/>
  <c r="D5573" i="159"/>
  <c r="D5574" i="159" s="1"/>
  <c r="D5575" i="159" s="1"/>
  <c r="D5576" i="159" s="1"/>
  <c r="D5577" i="159" s="1"/>
  <c r="E5573" i="159"/>
  <c r="K5573" i="159"/>
  <c r="L5573" i="159"/>
  <c r="M5573" i="159"/>
  <c r="N5573" i="159"/>
  <c r="P5573" i="159"/>
  <c r="K5574" i="159"/>
  <c r="L5574" i="159"/>
  <c r="K5575" i="159"/>
  <c r="L5575" i="159"/>
  <c r="K5576" i="159"/>
  <c r="L5576" i="159"/>
  <c r="K5577" i="159"/>
  <c r="L5577" i="159"/>
  <c r="F5579" i="159"/>
  <c r="G5579" i="159"/>
  <c r="H5579" i="159"/>
  <c r="I5579" i="159"/>
  <c r="J5579" i="159"/>
  <c r="D5580" i="159"/>
  <c r="D5581" i="159" s="1"/>
  <c r="D5582" i="159" s="1"/>
  <c r="D5583" i="159" s="1"/>
  <c r="D5584" i="159" s="1"/>
  <c r="E5580" i="159"/>
  <c r="K5580" i="159"/>
  <c r="L5580" i="159"/>
  <c r="M5580" i="159"/>
  <c r="N5580" i="159"/>
  <c r="P5580" i="159"/>
  <c r="K5581" i="159"/>
  <c r="L5581" i="159"/>
  <c r="K5582" i="159"/>
  <c r="L5582" i="159"/>
  <c r="K5583" i="159"/>
  <c r="L5583" i="159"/>
  <c r="K5584" i="159"/>
  <c r="L5584" i="159"/>
  <c r="F5586" i="159"/>
  <c r="G5586" i="159"/>
  <c r="H5586" i="159"/>
  <c r="I5586" i="159"/>
  <c r="J5586" i="159"/>
  <c r="D5587" i="159"/>
  <c r="D5588" i="159" s="1"/>
  <c r="D5589" i="159" s="1"/>
  <c r="D5590" i="159" s="1"/>
  <c r="D5591" i="159" s="1"/>
  <c r="E5587" i="159"/>
  <c r="K5587" i="159"/>
  <c r="L5587" i="159"/>
  <c r="M5587" i="159"/>
  <c r="N5587" i="159"/>
  <c r="P5587" i="159"/>
  <c r="K5588" i="159"/>
  <c r="L5588" i="159"/>
  <c r="K5589" i="159"/>
  <c r="L5589" i="159"/>
  <c r="K5590" i="159"/>
  <c r="L5590" i="159"/>
  <c r="K5591" i="159"/>
  <c r="L5591" i="159"/>
  <c r="F5593" i="159"/>
  <c r="G5593" i="159"/>
  <c r="H5593" i="159"/>
  <c r="I5593" i="159"/>
  <c r="J5593" i="159"/>
  <c r="D5594" i="159"/>
  <c r="E5594" i="159"/>
  <c r="K5594" i="159"/>
  <c r="L5594" i="159"/>
  <c r="M5594" i="159"/>
  <c r="N5594" i="159"/>
  <c r="P5594" i="159"/>
  <c r="D5595" i="159"/>
  <c r="D5596" i="159" s="1"/>
  <c r="D5597" i="159" s="1"/>
  <c r="D5598" i="159" s="1"/>
  <c r="K5595" i="159"/>
  <c r="L5595" i="159"/>
  <c r="K5596" i="159"/>
  <c r="L5596" i="159"/>
  <c r="K5597" i="159"/>
  <c r="L5597" i="159"/>
  <c r="K5598" i="159"/>
  <c r="L5598" i="159"/>
  <c r="F5600" i="159"/>
  <c r="G5600" i="159"/>
  <c r="H5600" i="159"/>
  <c r="I5600" i="159"/>
  <c r="J5600" i="159"/>
  <c r="D5601" i="159"/>
  <c r="E5601" i="159"/>
  <c r="K5601" i="159"/>
  <c r="L5601" i="159"/>
  <c r="M5601" i="159"/>
  <c r="N5601" i="159"/>
  <c r="P5601" i="159"/>
  <c r="D5602" i="159"/>
  <c r="D5603" i="159" s="1"/>
  <c r="D5604" i="159" s="1"/>
  <c r="D5605" i="159" s="1"/>
  <c r="K5602" i="159"/>
  <c r="L5602" i="159"/>
  <c r="K5603" i="159"/>
  <c r="L5603" i="159"/>
  <c r="K5604" i="159"/>
  <c r="L5604" i="159"/>
  <c r="K5605" i="159"/>
  <c r="L5605" i="159"/>
  <c r="F5607" i="159"/>
  <c r="G5607" i="159"/>
  <c r="H5607" i="159"/>
  <c r="I5607" i="159"/>
  <c r="J5607" i="159"/>
  <c r="D5608" i="159"/>
  <c r="D5609" i="159" s="1"/>
  <c r="D5610" i="159" s="1"/>
  <c r="D5611" i="159" s="1"/>
  <c r="D5612" i="159" s="1"/>
  <c r="E5608" i="159"/>
  <c r="K5608" i="159"/>
  <c r="L5608" i="159"/>
  <c r="M5608" i="159"/>
  <c r="O5608" i="159"/>
  <c r="P5608" i="159" s="1"/>
  <c r="K5609" i="159"/>
  <c r="L5609" i="159"/>
  <c r="K5610" i="159"/>
  <c r="L5610" i="159"/>
  <c r="K5611" i="159"/>
  <c r="L5611" i="159"/>
  <c r="K5612" i="159"/>
  <c r="L5612" i="159"/>
  <c r="F5614" i="159"/>
  <c r="G5614" i="159"/>
  <c r="H5614" i="159"/>
  <c r="I5614" i="159"/>
  <c r="J5614" i="159"/>
  <c r="D5615" i="159"/>
  <c r="D5616" i="159" s="1"/>
  <c r="D5617" i="159" s="1"/>
  <c r="D5618" i="159" s="1"/>
  <c r="D5619" i="159" s="1"/>
  <c r="E5615" i="159"/>
  <c r="K5615" i="159"/>
  <c r="L5615" i="159"/>
  <c r="M5615" i="159"/>
  <c r="N5615" i="159"/>
  <c r="P5615" i="159"/>
  <c r="K5616" i="159"/>
  <c r="L5616" i="159"/>
  <c r="K5617" i="159"/>
  <c r="L5617" i="159"/>
  <c r="K5618" i="159"/>
  <c r="L5618" i="159"/>
  <c r="K5619" i="159"/>
  <c r="L5619" i="159"/>
  <c r="F5621" i="159"/>
  <c r="G5621" i="159"/>
  <c r="H5621" i="159"/>
  <c r="I5621" i="159"/>
  <c r="J5621" i="159"/>
  <c r="D5622" i="159"/>
  <c r="D5623" i="159" s="1"/>
  <c r="D5624" i="159" s="1"/>
  <c r="D5625" i="159" s="1"/>
  <c r="D5626" i="159" s="1"/>
  <c r="E5622" i="159"/>
  <c r="K5622" i="159"/>
  <c r="L5622" i="159"/>
  <c r="M5622" i="159"/>
  <c r="O5622" i="159"/>
  <c r="P5622" i="159"/>
  <c r="K5623" i="159"/>
  <c r="L5623" i="159"/>
  <c r="K5624" i="159"/>
  <c r="L5624" i="159"/>
  <c r="K5625" i="159"/>
  <c r="L5625" i="159"/>
  <c r="K5626" i="159"/>
  <c r="L5626" i="159"/>
  <c r="F5628" i="159"/>
  <c r="G5628" i="159"/>
  <c r="H5628" i="159"/>
  <c r="I5628" i="159"/>
  <c r="J5628" i="159"/>
  <c r="D5629" i="159"/>
  <c r="E5629" i="159"/>
  <c r="K5629" i="159"/>
  <c r="L5629" i="159"/>
  <c r="M5629" i="159"/>
  <c r="O5629" i="159"/>
  <c r="P5629" i="159" s="1"/>
  <c r="D5630" i="159"/>
  <c r="D5631" i="159" s="1"/>
  <c r="D5632" i="159" s="1"/>
  <c r="D5633" i="159" s="1"/>
  <c r="K5630" i="159"/>
  <c r="L5630" i="159"/>
  <c r="K5631" i="159"/>
  <c r="L5631" i="159"/>
  <c r="K5632" i="159"/>
  <c r="L5632" i="159"/>
  <c r="K5633" i="159"/>
  <c r="L5633" i="159"/>
  <c r="F5635" i="159"/>
  <c r="G5635" i="159"/>
  <c r="H5635" i="159"/>
  <c r="I5635" i="159"/>
  <c r="J5635" i="159"/>
  <c r="D5636" i="159"/>
  <c r="E5636" i="159"/>
  <c r="K5636" i="159"/>
  <c r="L5636" i="159"/>
  <c r="M5636" i="159"/>
  <c r="O5636" i="159"/>
  <c r="P5636" i="159"/>
  <c r="D5637" i="159"/>
  <c r="D5638" i="159" s="1"/>
  <c r="D5639" i="159" s="1"/>
  <c r="D5640" i="159" s="1"/>
  <c r="K5637" i="159"/>
  <c r="L5637" i="159"/>
  <c r="K5638" i="159"/>
  <c r="L5638" i="159"/>
  <c r="K5639" i="159"/>
  <c r="L5639" i="159"/>
  <c r="K5640" i="159"/>
  <c r="L5640" i="159"/>
  <c r="F5642" i="159"/>
  <c r="G5642" i="159"/>
  <c r="H5642" i="159"/>
  <c r="I5642" i="159"/>
  <c r="J5642" i="159"/>
  <c r="D5643" i="159"/>
  <c r="D5644" i="159" s="1"/>
  <c r="D5645" i="159" s="1"/>
  <c r="D5646" i="159" s="1"/>
  <c r="D5647" i="159" s="1"/>
  <c r="E5643" i="159"/>
  <c r="K5643" i="159"/>
  <c r="L5643" i="159"/>
  <c r="M5643" i="159"/>
  <c r="O5643" i="159"/>
  <c r="P5643" i="159" s="1"/>
  <c r="K5644" i="159"/>
  <c r="L5644" i="159"/>
  <c r="K5645" i="159"/>
  <c r="L5645" i="159"/>
  <c r="K5646" i="159"/>
  <c r="L5646" i="159"/>
  <c r="K5647" i="159"/>
  <c r="L5647" i="159"/>
  <c r="F5649" i="159"/>
  <c r="G5649" i="159"/>
  <c r="H5649" i="159"/>
  <c r="I5649" i="159"/>
  <c r="J5649" i="159"/>
  <c r="D5650" i="159"/>
  <c r="D5651" i="159" s="1"/>
  <c r="D5652" i="159" s="1"/>
  <c r="D5653" i="159" s="1"/>
  <c r="D5654" i="159" s="1"/>
  <c r="E5650" i="159"/>
  <c r="K5650" i="159"/>
  <c r="L5650" i="159"/>
  <c r="M5650" i="159"/>
  <c r="O5650" i="159"/>
  <c r="P5650" i="159" s="1"/>
  <c r="K5651" i="159"/>
  <c r="L5651" i="159"/>
  <c r="K5652" i="159"/>
  <c r="L5652" i="159"/>
  <c r="K5653" i="159"/>
  <c r="L5653" i="159"/>
  <c r="K5654" i="159"/>
  <c r="L5654" i="159"/>
  <c r="F5656" i="159"/>
  <c r="G5656" i="159"/>
  <c r="H5656" i="159"/>
  <c r="I5656" i="159"/>
  <c r="J5656" i="159"/>
  <c r="D5657" i="159"/>
  <c r="D5658" i="159" s="1"/>
  <c r="D5659" i="159" s="1"/>
  <c r="D5660" i="159" s="1"/>
  <c r="D5661" i="159" s="1"/>
  <c r="E5657" i="159"/>
  <c r="K5657" i="159"/>
  <c r="L5657" i="159"/>
  <c r="M5657" i="159"/>
  <c r="O5657" i="159"/>
  <c r="P5657" i="159"/>
  <c r="K5658" i="159"/>
  <c r="L5658" i="159"/>
  <c r="K5659" i="159"/>
  <c r="L5659" i="159"/>
  <c r="K5660" i="159"/>
  <c r="L5660" i="159"/>
  <c r="K5661" i="159"/>
  <c r="L5661" i="159"/>
  <c r="F5663" i="159"/>
  <c r="G5663" i="159"/>
  <c r="H5663" i="159"/>
  <c r="I5663" i="159"/>
  <c r="J5663" i="159"/>
  <c r="D5664" i="159"/>
  <c r="E5664" i="159"/>
  <c r="K5664" i="159"/>
  <c r="L5664" i="159"/>
  <c r="M5664" i="159"/>
  <c r="O5664" i="159"/>
  <c r="P5664" i="159" s="1"/>
  <c r="D5665" i="159"/>
  <c r="D5666" i="159" s="1"/>
  <c r="D5667" i="159" s="1"/>
  <c r="D5668" i="159" s="1"/>
  <c r="K5665" i="159"/>
  <c r="L5665" i="159"/>
  <c r="K5666" i="159"/>
  <c r="L5666" i="159"/>
  <c r="K5667" i="159"/>
  <c r="L5667" i="159"/>
  <c r="K5668" i="159"/>
  <c r="L5668" i="159"/>
  <c r="F5670" i="159"/>
  <c r="G5670" i="159"/>
  <c r="H5670" i="159"/>
  <c r="I5670" i="159"/>
  <c r="J5670" i="159"/>
  <c r="D5671" i="159"/>
  <c r="E5671" i="159"/>
  <c r="K5671" i="159"/>
  <c r="L5671" i="159"/>
  <c r="M5671" i="159"/>
  <c r="O5671" i="159"/>
  <c r="P5671" i="159"/>
  <c r="D5672" i="159"/>
  <c r="D5673" i="159" s="1"/>
  <c r="D5674" i="159" s="1"/>
  <c r="D5675" i="159" s="1"/>
  <c r="K5672" i="159"/>
  <c r="L5672" i="159"/>
  <c r="K5673" i="159"/>
  <c r="L5673" i="159"/>
  <c r="K5674" i="159"/>
  <c r="L5674" i="159"/>
  <c r="K5675" i="159"/>
  <c r="L5675" i="159"/>
  <c r="F5677" i="159"/>
  <c r="G5677" i="159"/>
  <c r="H5677" i="159"/>
  <c r="I5677" i="159"/>
  <c r="J5677" i="159"/>
  <c r="D5678" i="159"/>
  <c r="D5679" i="159" s="1"/>
  <c r="D5680" i="159" s="1"/>
  <c r="D5681" i="159" s="1"/>
  <c r="D5682" i="159" s="1"/>
  <c r="E5678" i="159"/>
  <c r="K5678" i="159"/>
  <c r="L5678" i="159"/>
  <c r="M5678" i="159"/>
  <c r="O5678" i="159"/>
  <c r="P5678" i="159" s="1"/>
  <c r="K5679" i="159"/>
  <c r="L5679" i="159"/>
  <c r="K5680" i="159"/>
  <c r="L5680" i="159"/>
  <c r="K5681" i="159"/>
  <c r="L5681" i="159"/>
  <c r="K5682" i="159"/>
  <c r="L5682" i="159"/>
  <c r="F5684" i="159"/>
  <c r="G5684" i="159"/>
  <c r="H5684" i="159"/>
  <c r="I5684" i="159"/>
  <c r="J5684" i="159"/>
  <c r="D5685" i="159"/>
  <c r="D5686" i="159" s="1"/>
  <c r="D5687" i="159" s="1"/>
  <c r="D5688" i="159" s="1"/>
  <c r="D5689" i="159" s="1"/>
  <c r="E5685" i="159"/>
  <c r="K5685" i="159"/>
  <c r="L5685" i="159"/>
  <c r="M5685" i="159"/>
  <c r="O5685" i="159"/>
  <c r="P5685" i="159" s="1"/>
  <c r="K5686" i="159"/>
  <c r="L5686" i="159"/>
  <c r="K5687" i="159"/>
  <c r="L5687" i="159"/>
  <c r="K5688" i="159"/>
  <c r="L5688" i="159"/>
  <c r="K5689" i="159"/>
  <c r="L5689" i="159"/>
  <c r="F5691" i="159"/>
  <c r="G5691" i="159"/>
  <c r="H5691" i="159"/>
  <c r="I5691" i="159"/>
  <c r="J5691" i="159"/>
  <c r="D5692" i="159"/>
  <c r="D5693" i="159" s="1"/>
  <c r="D5694" i="159" s="1"/>
  <c r="D5695" i="159" s="1"/>
  <c r="D5696" i="159" s="1"/>
  <c r="E5692" i="159"/>
  <c r="K5692" i="159"/>
  <c r="L5692" i="159"/>
  <c r="M5692" i="159"/>
  <c r="O5692" i="159"/>
  <c r="P5692" i="159"/>
  <c r="K5693" i="159"/>
  <c r="L5693" i="159"/>
  <c r="K5694" i="159"/>
  <c r="L5694" i="159"/>
  <c r="K5695" i="159"/>
  <c r="L5695" i="159"/>
  <c r="K5696" i="159"/>
  <c r="L5696" i="159"/>
  <c r="F5698" i="159"/>
  <c r="G5698" i="159"/>
  <c r="H5698" i="159"/>
  <c r="I5698" i="159"/>
  <c r="J5698" i="159"/>
  <c r="D5699" i="159"/>
  <c r="E5699" i="159"/>
  <c r="K5699" i="159"/>
  <c r="L5699" i="159"/>
  <c r="M5699" i="159"/>
  <c r="O5699" i="159"/>
  <c r="P5699" i="159" s="1"/>
  <c r="D5700" i="159"/>
  <c r="D5701" i="159" s="1"/>
  <c r="D5702" i="159" s="1"/>
  <c r="D5703" i="159" s="1"/>
  <c r="K5700" i="159"/>
  <c r="L5700" i="159"/>
  <c r="K5701" i="159"/>
  <c r="L5701" i="159"/>
  <c r="K5702" i="159"/>
  <c r="L5702" i="159"/>
  <c r="K5703" i="159"/>
  <c r="L5703" i="159"/>
  <c r="F5705" i="159"/>
  <c r="G5705" i="159"/>
  <c r="H5705" i="159"/>
  <c r="I5705" i="159"/>
  <c r="J5705" i="159"/>
  <c r="D5706" i="159"/>
  <c r="E5706" i="159"/>
  <c r="K5706" i="159"/>
  <c r="L5706" i="159"/>
  <c r="M5706" i="159"/>
  <c r="P5706" i="159"/>
  <c r="D5707" i="159"/>
  <c r="D5708" i="159" s="1"/>
  <c r="D5709" i="159" s="1"/>
  <c r="D5710" i="159" s="1"/>
  <c r="K5707" i="159"/>
  <c r="L5707" i="159"/>
  <c r="K5708" i="159"/>
  <c r="L5708" i="159"/>
  <c r="K5709" i="159"/>
  <c r="L5709" i="159"/>
  <c r="K5710" i="159"/>
  <c r="L5710" i="159"/>
  <c r="F5712" i="159"/>
  <c r="G5712" i="159"/>
  <c r="H5712" i="159"/>
  <c r="I5712" i="159"/>
  <c r="J5712" i="159"/>
  <c r="D5713" i="159"/>
  <c r="D5714" i="159" s="1"/>
  <c r="D5715" i="159" s="1"/>
  <c r="D5716" i="159" s="1"/>
  <c r="D5717" i="159" s="1"/>
  <c r="E5713" i="159"/>
  <c r="K5713" i="159"/>
  <c r="L5713" i="159"/>
  <c r="M5713" i="159"/>
  <c r="O5713" i="159"/>
  <c r="P5713" i="159" s="1"/>
  <c r="K5714" i="159"/>
  <c r="L5714" i="159"/>
  <c r="K5715" i="159"/>
  <c r="L5715" i="159"/>
  <c r="K5716" i="159"/>
  <c r="L5716" i="159"/>
  <c r="K5717" i="159"/>
  <c r="L5717" i="159"/>
  <c r="F5719" i="159"/>
  <c r="G5719" i="159"/>
  <c r="H5719" i="159"/>
  <c r="I5719" i="159"/>
  <c r="J5719" i="159"/>
  <c r="D5720" i="159"/>
  <c r="D5721" i="159" s="1"/>
  <c r="D5722" i="159" s="1"/>
  <c r="D5723" i="159" s="1"/>
  <c r="D5724" i="159" s="1"/>
  <c r="E5720" i="159"/>
  <c r="K5720" i="159"/>
  <c r="L5720" i="159"/>
  <c r="M5720" i="159"/>
  <c r="P5720" i="159"/>
  <c r="K5721" i="159"/>
  <c r="L5721" i="159"/>
  <c r="K5722" i="159"/>
  <c r="L5722" i="159"/>
  <c r="K5723" i="159"/>
  <c r="L5723" i="159"/>
  <c r="K5724" i="159"/>
  <c r="L5724" i="159"/>
  <c r="M18" i="387"/>
  <c r="M23" i="387"/>
  <c r="B28" i="387"/>
  <c r="B27" i="387"/>
  <c r="B26" i="387"/>
  <c r="B25" i="387"/>
  <c r="B24" i="387"/>
  <c r="B23" i="387"/>
  <c r="B22" i="387"/>
  <c r="B21" i="387"/>
  <c r="B20" i="387"/>
  <c r="B19" i="387"/>
  <c r="B18" i="387"/>
  <c r="B17" i="387"/>
  <c r="B16" i="387"/>
  <c r="B15" i="387"/>
  <c r="B14" i="387"/>
  <c r="B13" i="387"/>
  <c r="B12" i="387"/>
  <c r="B28" i="386"/>
  <c r="B41" i="386"/>
  <c r="B40" i="386"/>
  <c r="B39" i="386"/>
  <c r="B38" i="386"/>
  <c r="B37" i="386"/>
  <c r="B36" i="386"/>
  <c r="B35" i="386"/>
  <c r="B34" i="386"/>
  <c r="B33" i="386"/>
  <c r="B32" i="386"/>
  <c r="B31" i="386"/>
  <c r="B30" i="386"/>
  <c r="B29" i="386"/>
  <c r="B27" i="386"/>
  <c r="B26" i="386"/>
  <c r="B25" i="386"/>
  <c r="B24" i="386"/>
  <c r="B23" i="386"/>
  <c r="R22" i="386"/>
  <c r="B22" i="386"/>
  <c r="R21" i="386"/>
  <c r="B21" i="386"/>
  <c r="B20" i="386"/>
  <c r="R19" i="386"/>
  <c r="B19" i="386"/>
  <c r="B18" i="386"/>
  <c r="B17" i="386"/>
  <c r="B16" i="386"/>
  <c r="B15" i="386"/>
  <c r="B14" i="386"/>
  <c r="B13" i="386"/>
  <c r="B12" i="386"/>
  <c r="M23" i="385"/>
  <c r="M30" i="385"/>
  <c r="B30" i="385"/>
  <c r="B17" i="385"/>
  <c r="B28" i="385"/>
  <c r="B26" i="385"/>
  <c r="B25" i="385"/>
  <c r="B24" i="385"/>
  <c r="B23" i="385"/>
  <c r="B22" i="385"/>
  <c r="B20" i="385"/>
  <c r="B19" i="385"/>
  <c r="B18" i="385"/>
  <c r="B16" i="385"/>
  <c r="B15" i="385"/>
  <c r="B14" i="385"/>
  <c r="B13" i="385"/>
  <c r="B12" i="385"/>
  <c r="B24" i="68"/>
  <c r="B68" i="68"/>
  <c r="B105" i="68"/>
  <c r="B107" i="68"/>
  <c r="B185" i="68"/>
  <c r="B187" i="68"/>
  <c r="B158" i="68"/>
  <c r="B173" i="68"/>
  <c r="B181" i="68"/>
  <c r="B188" i="68"/>
  <c r="B190" i="68"/>
  <c r="B189" i="68"/>
  <c r="B184" i="68"/>
  <c r="B183" i="68"/>
  <c r="B179" i="68"/>
  <c r="B175" i="68"/>
  <c r="B172" i="68"/>
  <c r="B171" i="68"/>
  <c r="B170" i="68"/>
  <c r="B169" i="68"/>
  <c r="B168" i="68"/>
  <c r="B166" i="68"/>
  <c r="B165" i="68"/>
  <c r="B164" i="68"/>
  <c r="B163" i="68"/>
  <c r="B161" i="68"/>
  <c r="B160" i="68"/>
  <c r="B159" i="68"/>
  <c r="B157" i="68"/>
  <c r="B156" i="68"/>
  <c r="B155" i="68"/>
  <c r="B153" i="68"/>
  <c r="B151" i="68"/>
  <c r="B150" i="68"/>
  <c r="B149" i="68"/>
  <c r="B148" i="68"/>
  <c r="B147" i="68"/>
  <c r="B146" i="68"/>
  <c r="B145" i="68"/>
  <c r="B144" i="68"/>
  <c r="B143" i="68"/>
  <c r="B142" i="68"/>
  <c r="B141" i="68"/>
  <c r="B139" i="68"/>
  <c r="B138" i="68"/>
  <c r="B137" i="68"/>
  <c r="B136" i="68"/>
  <c r="B135" i="68"/>
  <c r="B133" i="68"/>
  <c r="B132" i="68"/>
  <c r="B131" i="68"/>
  <c r="B130" i="68"/>
  <c r="B129" i="68"/>
  <c r="B128" i="68"/>
  <c r="B127" i="68"/>
  <c r="B126" i="68"/>
  <c r="B125" i="68"/>
  <c r="B124" i="68"/>
  <c r="B123" i="68"/>
  <c r="B121" i="68"/>
  <c r="B120" i="68"/>
  <c r="B119" i="68"/>
  <c r="B118" i="68"/>
  <c r="B117" i="68"/>
  <c r="B115" i="68"/>
  <c r="B113" i="68"/>
  <c r="B112" i="68"/>
  <c r="B111" i="68"/>
  <c r="B110" i="68"/>
  <c r="B109" i="68"/>
  <c r="B108" i="68"/>
  <c r="B106" i="68"/>
  <c r="B104" i="68"/>
  <c r="B103" i="68"/>
  <c r="B102" i="68"/>
  <c r="B101" i="68"/>
  <c r="B99" i="68"/>
  <c r="B98" i="68"/>
  <c r="B97" i="68"/>
  <c r="B96" i="68"/>
  <c r="B95" i="68"/>
  <c r="B93" i="68"/>
  <c r="B92" i="68"/>
  <c r="B91" i="68"/>
  <c r="B90" i="68"/>
  <c r="B89" i="68"/>
  <c r="B88" i="68"/>
  <c r="B87" i="68"/>
  <c r="B86" i="68"/>
  <c r="B85" i="68"/>
  <c r="B84" i="68"/>
  <c r="B83" i="68"/>
  <c r="B82" i="68"/>
  <c r="B81" i="68"/>
  <c r="B80" i="68"/>
  <c r="B79" i="68"/>
  <c r="B78" i="68"/>
  <c r="B77" i="68"/>
  <c r="B76" i="68"/>
  <c r="B75" i="68"/>
  <c r="B74" i="68"/>
  <c r="B73" i="68"/>
  <c r="B72" i="68"/>
  <c r="B71" i="68"/>
  <c r="B70" i="68"/>
  <c r="B69" i="68"/>
  <c r="B67" i="68"/>
  <c r="B66" i="68"/>
  <c r="B65" i="68"/>
  <c r="B64" i="68"/>
  <c r="B63" i="68"/>
  <c r="B62" i="68"/>
  <c r="B61" i="68"/>
  <c r="B60" i="68"/>
  <c r="B59" i="68"/>
  <c r="B58" i="68"/>
  <c r="B57" i="68"/>
  <c r="B56" i="68"/>
  <c r="B55" i="68"/>
  <c r="B54" i="68"/>
  <c r="B53" i="68"/>
  <c r="B52" i="68"/>
  <c r="B51" i="68"/>
  <c r="B50" i="68"/>
  <c r="B49" i="68"/>
  <c r="B48" i="68"/>
  <c r="B47" i="68"/>
  <c r="B46" i="68"/>
  <c r="B45" i="68"/>
  <c r="B44" i="68"/>
  <c r="B43" i="68"/>
  <c r="B42" i="68"/>
  <c r="B41" i="68"/>
  <c r="B40" i="68"/>
  <c r="B39" i="68"/>
  <c r="B38" i="68"/>
  <c r="B37" i="68"/>
  <c r="B36" i="68"/>
  <c r="B35" i="68"/>
  <c r="B34" i="68"/>
  <c r="B33" i="68"/>
  <c r="B32" i="68"/>
  <c r="B31" i="68"/>
  <c r="B30" i="68"/>
  <c r="B29" i="68"/>
  <c r="B28" i="68"/>
  <c r="B27" i="68"/>
  <c r="B26" i="68"/>
  <c r="B25" i="68"/>
  <c r="B23" i="68"/>
  <c r="B22" i="68"/>
  <c r="B21" i="68"/>
  <c r="B20" i="68"/>
  <c r="B19" i="68"/>
  <c r="B18" i="68"/>
  <c r="B17" i="68"/>
  <c r="B16" i="68"/>
  <c r="B15" i="68"/>
  <c r="B14" i="68"/>
  <c r="B13" i="68"/>
  <c r="B12" i="68"/>
  <c r="R11" i="386"/>
  <c r="G4" i="387"/>
  <c r="R28" i="387" s="1"/>
  <c r="I31" i="387"/>
  <c r="B4" i="387"/>
  <c r="B7" i="387" s="1"/>
  <c r="B8" i="387" s="1"/>
  <c r="F8" i="387" s="1"/>
  <c r="G4" i="386"/>
  <c r="R32" i="386" s="1"/>
  <c r="I43" i="386"/>
  <c r="B4" i="386"/>
  <c r="B7" i="386" s="1"/>
  <c r="B8" i="386" s="1"/>
  <c r="F8" i="386" s="1"/>
  <c r="G4" i="385"/>
  <c r="I32" i="385"/>
  <c r="B4" i="385"/>
  <c r="B7" i="385" s="1"/>
  <c r="B8" i="385" s="1"/>
  <c r="F8" i="385" s="1"/>
  <c r="R15" i="68"/>
  <c r="I193" i="68"/>
  <c r="B4" i="68"/>
  <c r="B7" i="68" s="1"/>
  <c r="B8" i="68" s="1"/>
  <c r="F8" i="68" s="1"/>
  <c r="L5" i="159"/>
  <c r="B4" i="159"/>
  <c r="B6" i="159" s="1"/>
  <c r="B7" i="159" s="1"/>
  <c r="J7" i="159" s="1"/>
  <c r="M29" i="387" l="1"/>
  <c r="Q29" i="387" s="1"/>
  <c r="M28" i="387"/>
  <c r="Q28" i="387" s="1"/>
  <c r="M27" i="387"/>
  <c r="Q27" i="387" s="1"/>
  <c r="M12" i="387"/>
  <c r="Q12" i="387" s="1"/>
  <c r="M26" i="387"/>
  <c r="Q23" i="387"/>
  <c r="N23" i="387"/>
  <c r="Q18" i="387"/>
  <c r="N18" i="387"/>
  <c r="M17" i="387"/>
  <c r="M15" i="387"/>
  <c r="M24" i="387"/>
  <c r="M13" i="387"/>
  <c r="M16" i="387"/>
  <c r="M19" i="387"/>
  <c r="R11" i="387"/>
  <c r="M14" i="387"/>
  <c r="R29" i="387"/>
  <c r="B11" i="387"/>
  <c r="R12" i="387"/>
  <c r="R13" i="387"/>
  <c r="B29" i="387"/>
  <c r="R14" i="387"/>
  <c r="R15" i="387"/>
  <c r="M20" i="387"/>
  <c r="R16" i="387"/>
  <c r="M21" i="387"/>
  <c r="R17" i="387"/>
  <c r="M22" i="387"/>
  <c r="R18" i="387"/>
  <c r="R19" i="387"/>
  <c r="R20" i="387"/>
  <c r="M25" i="387"/>
  <c r="R21" i="387"/>
  <c r="R22" i="387"/>
  <c r="R23" i="387"/>
  <c r="R24" i="387"/>
  <c r="R25" i="387"/>
  <c r="R26" i="387"/>
  <c r="R27" i="387"/>
  <c r="R13" i="386"/>
  <c r="R33" i="386"/>
  <c r="R14" i="386"/>
  <c r="R34" i="386"/>
  <c r="R15" i="386"/>
  <c r="R35" i="386"/>
  <c r="R16" i="386"/>
  <c r="R36" i="386"/>
  <c r="R17" i="386"/>
  <c r="R37" i="386"/>
  <c r="R18" i="386"/>
  <c r="R38" i="386"/>
  <c r="R39" i="386"/>
  <c r="R20" i="386"/>
  <c r="R40" i="386"/>
  <c r="R41" i="386"/>
  <c r="R23" i="386"/>
  <c r="R24" i="386"/>
  <c r="R25" i="386"/>
  <c r="R26" i="386"/>
  <c r="R27" i="386"/>
  <c r="R28" i="386"/>
  <c r="R29" i="386"/>
  <c r="R30" i="386"/>
  <c r="R31" i="386"/>
  <c r="R12" i="386"/>
  <c r="Q30" i="385"/>
  <c r="N30" i="385"/>
  <c r="R30" i="385"/>
  <c r="B21" i="385"/>
  <c r="M28" i="385"/>
  <c r="Q28" i="385" s="1"/>
  <c r="M29" i="385"/>
  <c r="Q29" i="385" s="1"/>
  <c r="M20" i="385"/>
  <c r="Q20" i="385" s="1"/>
  <c r="M22" i="385"/>
  <c r="Q22" i="385" s="1"/>
  <c r="M27" i="385"/>
  <c r="Q27" i="385" s="1"/>
  <c r="B27" i="385"/>
  <c r="M25" i="385"/>
  <c r="M12" i="385"/>
  <c r="M26" i="385"/>
  <c r="M15" i="385"/>
  <c r="Q23" i="385"/>
  <c r="N23" i="385"/>
  <c r="M13" i="385"/>
  <c r="M18" i="385"/>
  <c r="M21" i="385"/>
  <c r="M24" i="385"/>
  <c r="M16" i="385"/>
  <c r="M19" i="385"/>
  <c r="M14" i="385"/>
  <c r="R29" i="385"/>
  <c r="R12" i="385"/>
  <c r="M17" i="385"/>
  <c r="R13" i="385"/>
  <c r="B29" i="385"/>
  <c r="R14" i="385"/>
  <c r="R15" i="385"/>
  <c r="R16" i="385"/>
  <c r="R17" i="385"/>
  <c r="R18" i="385"/>
  <c r="R19" i="385"/>
  <c r="R20" i="385"/>
  <c r="R11" i="385"/>
  <c r="R21" i="385"/>
  <c r="R22" i="385"/>
  <c r="R23" i="385"/>
  <c r="R24" i="385"/>
  <c r="R25" i="385"/>
  <c r="R26" i="385"/>
  <c r="R27" i="385"/>
  <c r="R28" i="385"/>
  <c r="B152" i="68"/>
  <c r="B182" i="68"/>
  <c r="B162" i="68"/>
  <c r="B100" i="68"/>
  <c r="B122" i="68"/>
  <c r="B176" i="68"/>
  <c r="B116" i="68"/>
  <c r="R68" i="68"/>
  <c r="B180" i="68"/>
  <c r="B140" i="68"/>
  <c r="B154" i="68"/>
  <c r="R107" i="68"/>
  <c r="B94" i="68"/>
  <c r="B167" i="68"/>
  <c r="B177" i="68"/>
  <c r="B186" i="68"/>
  <c r="R187" i="68"/>
  <c r="B134" i="68"/>
  <c r="B174" i="68"/>
  <c r="R105" i="68"/>
  <c r="R24" i="68"/>
  <c r="B114" i="68"/>
  <c r="R185" i="68"/>
  <c r="B178" i="68"/>
  <c r="R11" i="68"/>
  <c r="R36" i="68"/>
  <c r="R184" i="68"/>
  <c r="R164" i="68"/>
  <c r="R144" i="68"/>
  <c r="R124" i="68"/>
  <c r="R183" i="68"/>
  <c r="R163" i="68"/>
  <c r="R143" i="68"/>
  <c r="R123" i="68"/>
  <c r="R101" i="68"/>
  <c r="R182" i="68"/>
  <c r="R162" i="68"/>
  <c r="R142" i="68"/>
  <c r="R181" i="68"/>
  <c r="R161" i="68"/>
  <c r="R141" i="68"/>
  <c r="R121" i="68"/>
  <c r="R180" i="68"/>
  <c r="R160" i="68"/>
  <c r="R140" i="68"/>
  <c r="R179" i="68"/>
  <c r="R159" i="68"/>
  <c r="R139" i="68"/>
  <c r="R178" i="68"/>
  <c r="R158" i="68"/>
  <c r="R138" i="68"/>
  <c r="R118" i="68"/>
  <c r="R96" i="68"/>
  <c r="R177" i="68"/>
  <c r="R157" i="68"/>
  <c r="R137" i="68"/>
  <c r="R176" i="68"/>
  <c r="R156" i="68"/>
  <c r="R136" i="68"/>
  <c r="R175" i="68"/>
  <c r="R155" i="68"/>
  <c r="R135" i="68"/>
  <c r="R174" i="68"/>
  <c r="R154" i="68"/>
  <c r="R134" i="68"/>
  <c r="R114" i="68"/>
  <c r="R173" i="68"/>
  <c r="R153" i="68"/>
  <c r="R133" i="68"/>
  <c r="R113" i="68"/>
  <c r="R172" i="68"/>
  <c r="R152" i="68"/>
  <c r="R132" i="68"/>
  <c r="R171" i="68"/>
  <c r="R151" i="68"/>
  <c r="R131" i="68"/>
  <c r="R111" i="68"/>
  <c r="R170" i="68"/>
  <c r="R150" i="68"/>
  <c r="R130" i="68"/>
  <c r="R110" i="68"/>
  <c r="R88" i="68"/>
  <c r="R191" i="68"/>
  <c r="R169" i="68"/>
  <c r="R149" i="68"/>
  <c r="R129" i="68"/>
  <c r="R109" i="68"/>
  <c r="R190" i="68"/>
  <c r="R168" i="68"/>
  <c r="R148" i="68"/>
  <c r="R128" i="68"/>
  <c r="R189" i="68"/>
  <c r="R167" i="68"/>
  <c r="R147" i="68"/>
  <c r="R188" i="68"/>
  <c r="R166" i="68"/>
  <c r="R146" i="68"/>
  <c r="R186" i="68"/>
  <c r="R165" i="68"/>
  <c r="R145" i="68"/>
  <c r="R125" i="68"/>
  <c r="R103" i="68"/>
  <c r="R104" i="68"/>
  <c r="R95" i="68"/>
  <c r="R85" i="68"/>
  <c r="R64" i="68"/>
  <c r="R44" i="68"/>
  <c r="R23" i="68"/>
  <c r="R120" i="68"/>
  <c r="R84" i="68"/>
  <c r="R63" i="68"/>
  <c r="R43" i="68"/>
  <c r="R22" i="68"/>
  <c r="R117" i="68"/>
  <c r="R83" i="68"/>
  <c r="R62" i="68"/>
  <c r="R42" i="68"/>
  <c r="R21" i="68"/>
  <c r="R97" i="68"/>
  <c r="R82" i="68"/>
  <c r="R61" i="68"/>
  <c r="R41" i="68"/>
  <c r="R20" i="68"/>
  <c r="R106" i="68"/>
  <c r="R98" i="68"/>
  <c r="R81" i="68"/>
  <c r="R60" i="68"/>
  <c r="R40" i="68"/>
  <c r="R19" i="68"/>
  <c r="R99" i="68"/>
  <c r="R80" i="68"/>
  <c r="R59" i="68"/>
  <c r="R39" i="68"/>
  <c r="R18" i="68"/>
  <c r="R127" i="68"/>
  <c r="R108" i="68"/>
  <c r="R100" i="68"/>
  <c r="R79" i="68"/>
  <c r="R58" i="68"/>
  <c r="R38" i="68"/>
  <c r="R17" i="68"/>
  <c r="R78" i="68"/>
  <c r="R57" i="68"/>
  <c r="R37" i="68"/>
  <c r="R16" i="68"/>
  <c r="R77" i="68"/>
  <c r="R56" i="68"/>
  <c r="R76" i="68"/>
  <c r="R55" i="68"/>
  <c r="R35" i="68"/>
  <c r="R14" i="68"/>
  <c r="R115" i="68"/>
  <c r="R112" i="68"/>
  <c r="R75" i="68"/>
  <c r="R54" i="68"/>
  <c r="R34" i="68"/>
  <c r="R13" i="68"/>
  <c r="R74" i="68"/>
  <c r="R53" i="68"/>
  <c r="R33" i="68"/>
  <c r="R12" i="68"/>
  <c r="R122" i="68"/>
  <c r="R102" i="68"/>
  <c r="R73" i="68"/>
  <c r="R52" i="68"/>
  <c r="R32" i="68"/>
  <c r="R72" i="68"/>
  <c r="R51" i="68"/>
  <c r="R31" i="68"/>
  <c r="R71" i="68"/>
  <c r="R119" i="68"/>
  <c r="R70" i="68"/>
  <c r="R49" i="68"/>
  <c r="R29" i="68"/>
  <c r="R69" i="68"/>
  <c r="R48" i="68"/>
  <c r="R28" i="68"/>
  <c r="R116" i="68"/>
  <c r="R67" i="68"/>
  <c r="R47" i="68"/>
  <c r="R27" i="68"/>
  <c r="R87" i="68"/>
  <c r="R66" i="68"/>
  <c r="R46" i="68"/>
  <c r="R26" i="68"/>
  <c r="R126" i="68"/>
  <c r="R94" i="68"/>
  <c r="R93" i="68"/>
  <c r="R92" i="68"/>
  <c r="R91" i="68"/>
  <c r="R90" i="68"/>
  <c r="R89" i="68"/>
  <c r="R86" i="68"/>
  <c r="R65" i="68"/>
  <c r="R45" i="68"/>
  <c r="R25" i="68"/>
  <c r="R50" i="68"/>
  <c r="R30" i="68"/>
  <c r="B45" i="159"/>
  <c r="B87" i="159"/>
  <c r="B191" i="68"/>
  <c r="B52" i="159"/>
  <c r="B5491" i="159"/>
  <c r="B5708" i="159"/>
  <c r="B5645" i="159"/>
  <c r="B5237" i="159"/>
  <c r="B5533" i="159"/>
  <c r="B5321" i="159"/>
  <c r="B3289" i="159"/>
  <c r="B2467" i="159"/>
  <c r="B454" i="159"/>
  <c r="B4388" i="159"/>
  <c r="B237" i="159"/>
  <c r="B328" i="159"/>
  <c r="B2806" i="159"/>
  <c r="B2763" i="159"/>
  <c r="B522" i="159"/>
  <c r="B2031" i="159"/>
  <c r="B5214" i="159"/>
  <c r="B5474" i="159"/>
  <c r="B2761" i="159"/>
  <c r="B734" i="159"/>
  <c r="B17" i="159"/>
  <c r="B151" i="159"/>
  <c r="B207" i="159"/>
  <c r="B368" i="159"/>
  <c r="B389" i="159"/>
  <c r="B424" i="159"/>
  <c r="B116" i="159"/>
  <c r="B186" i="159"/>
  <c r="B256" i="159"/>
  <c r="B326" i="159"/>
  <c r="B382" i="159"/>
  <c r="B291" i="159"/>
  <c r="B375" i="159"/>
  <c r="B31" i="159"/>
  <c r="B66" i="159"/>
  <c r="B102" i="159"/>
  <c r="B137" i="159"/>
  <c r="B172" i="159"/>
  <c r="B235" i="159"/>
  <c r="B5671" i="159"/>
  <c r="B5650" i="159"/>
  <c r="B5664" i="159"/>
  <c r="B5678" i="159"/>
  <c r="B5692" i="159"/>
  <c r="B5545" i="159"/>
  <c r="B5622" i="159"/>
  <c r="B5587" i="159"/>
  <c r="B5623" i="159"/>
  <c r="B5627" i="159" s="1"/>
  <c r="B5628" i="159" s="1"/>
  <c r="B5580" i="159"/>
  <c r="B5629" i="159"/>
  <c r="B5538" i="159"/>
  <c r="B5573" i="159"/>
  <c r="B5531" i="159"/>
  <c r="B5636" i="159"/>
  <c r="B5566" i="159"/>
  <c r="B5503" i="159"/>
  <c r="B5466" i="159"/>
  <c r="B5524" i="159"/>
  <c r="B5643" i="159"/>
  <c r="B5559" i="159"/>
  <c r="B5481" i="159"/>
  <c r="B5609" i="159"/>
  <c r="B5613" i="159" s="1"/>
  <c r="B5614" i="159" s="1"/>
  <c r="B5601" i="159"/>
  <c r="B5615" i="159"/>
  <c r="B5608" i="159"/>
  <c r="B5354" i="159"/>
  <c r="B5452" i="159"/>
  <c r="B5256" i="159"/>
  <c r="B5347" i="159"/>
  <c r="B5496" i="159"/>
  <c r="B5438" i="159"/>
  <c r="B5488" i="159"/>
  <c r="B5403" i="159"/>
  <c r="B5340" i="159"/>
  <c r="B5410" i="159"/>
  <c r="B5284" i="159"/>
  <c r="B5459" i="159"/>
  <c r="B5396" i="159"/>
  <c r="B5389" i="159"/>
  <c r="B5417" i="159"/>
  <c r="B5510" i="159"/>
  <c r="B5368" i="159"/>
  <c r="B5362" i="159"/>
  <c r="B5366" i="159" s="1"/>
  <c r="B5367" i="159" s="1"/>
  <c r="B5473" i="159"/>
  <c r="B5424" i="159"/>
  <c r="B5361" i="159"/>
  <c r="B5312" i="159"/>
  <c r="B5178" i="159"/>
  <c r="B5199" i="159"/>
  <c r="B5375" i="159"/>
  <c r="B5221" i="159"/>
  <c r="B5171" i="159"/>
  <c r="B5263" i="159"/>
  <c r="B5192" i="159"/>
  <c r="B5150" i="159"/>
  <c r="B5213" i="159"/>
  <c r="B5270" i="159"/>
  <c r="B5242" i="159"/>
  <c r="B5185" i="159"/>
  <c r="B5235" i="159"/>
  <c r="B5206" i="159"/>
  <c r="B5143" i="159"/>
  <c r="B5292" i="159"/>
  <c r="B5296" i="159" s="1"/>
  <c r="B5297" i="159" s="1"/>
  <c r="B5277" i="159"/>
  <c r="B5228" i="159"/>
  <c r="B5129" i="159"/>
  <c r="B5017" i="159"/>
  <c r="B5108" i="159"/>
  <c r="B5010" i="159"/>
  <c r="B5115" i="159"/>
  <c r="B5136" i="159"/>
  <c r="B5003" i="159"/>
  <c r="B5052" i="159"/>
  <c r="B5045" i="159"/>
  <c r="B5066" i="159"/>
  <c r="B5059" i="159"/>
  <c r="B5122" i="159"/>
  <c r="B5087" i="159"/>
  <c r="B5080" i="159"/>
  <c r="B5094" i="159"/>
  <c r="B5164" i="159"/>
  <c r="B5101" i="159"/>
  <c r="B5024" i="159"/>
  <c r="B4835" i="159"/>
  <c r="B4996" i="159"/>
  <c r="B4947" i="159"/>
  <c r="B4968" i="159"/>
  <c r="B4940" i="159"/>
  <c r="B4933" i="159"/>
  <c r="B4877" i="159"/>
  <c r="B4926" i="159"/>
  <c r="B4898" i="159"/>
  <c r="B4989" i="159"/>
  <c r="B4919" i="159"/>
  <c r="B4870" i="159"/>
  <c r="B4975" i="159"/>
  <c r="B4891" i="159"/>
  <c r="B4912" i="159"/>
  <c r="B5038" i="159"/>
  <c r="B5031" i="159"/>
  <c r="B4884" i="159"/>
  <c r="B4954" i="159"/>
  <c r="B4779" i="159"/>
  <c r="B4730" i="159"/>
  <c r="B4667" i="159"/>
  <c r="B4856" i="159"/>
  <c r="B4751" i="159"/>
  <c r="B4702" i="159"/>
  <c r="B4772" i="159"/>
  <c r="B4646" i="159"/>
  <c r="B4723" i="159"/>
  <c r="B4849" i="159"/>
  <c r="B4744" i="159"/>
  <c r="B4807" i="159"/>
  <c r="B4765" i="159"/>
  <c r="B4716" i="159"/>
  <c r="B4821" i="159"/>
  <c r="B4800" i="159"/>
  <c r="B4737" i="159"/>
  <c r="B4828" i="159"/>
  <c r="B4786" i="159"/>
  <c r="B4863" i="159"/>
  <c r="B4688" i="159"/>
  <c r="B4547" i="159"/>
  <c r="B4526" i="159"/>
  <c r="B4491" i="159"/>
  <c r="B4758" i="159"/>
  <c r="B4582" i="159"/>
  <c r="B4709" i="159"/>
  <c r="B4505" i="159"/>
  <c r="B4470" i="159"/>
  <c r="B4653" i="159"/>
  <c r="B4575" i="159"/>
  <c r="B4610" i="159"/>
  <c r="B4632" i="159"/>
  <c r="B4568" i="159"/>
  <c r="B4603" i="159"/>
  <c r="B4561" i="159"/>
  <c r="B4533" i="159"/>
  <c r="B4498" i="159"/>
  <c r="B4596" i="159"/>
  <c r="B4695" i="159"/>
  <c r="B4554" i="159"/>
  <c r="B4589" i="159"/>
  <c r="B4519" i="159"/>
  <c r="B4442" i="159"/>
  <c r="B4414" i="159"/>
  <c r="B4337" i="159"/>
  <c r="B4379" i="159"/>
  <c r="B4309" i="159"/>
  <c r="B4386" i="159"/>
  <c r="B4330" i="159"/>
  <c r="B4281" i="159"/>
  <c r="B4421" i="159"/>
  <c r="B4365" i="159"/>
  <c r="B4463" i="159"/>
  <c r="B4449" i="159"/>
  <c r="B4422" i="159"/>
  <c r="B4426" i="159" s="1"/>
  <c r="B4427" i="159" s="1"/>
  <c r="B4393" i="159"/>
  <c r="B4260" i="159"/>
  <c r="B4358" i="159"/>
  <c r="B4323" i="159"/>
  <c r="B4428" i="159"/>
  <c r="B4274" i="159"/>
  <c r="B4239" i="159"/>
  <c r="B4204" i="159"/>
  <c r="B4351" i="159"/>
  <c r="B4295" i="159"/>
  <c r="B4253" i="159"/>
  <c r="B4218" i="159"/>
  <c r="B4183" i="159"/>
  <c r="B4148" i="159"/>
  <c r="B4456" i="159"/>
  <c r="B4435" i="159"/>
  <c r="B4316" i="159"/>
  <c r="B4407" i="159"/>
  <c r="B4344" i="159"/>
  <c r="B4512" i="159"/>
  <c r="B4477" i="159"/>
  <c r="B4288" i="159"/>
  <c r="B4064" i="159"/>
  <c r="B4015" i="159"/>
  <c r="B4085" i="159"/>
  <c r="B4246" i="159"/>
  <c r="B4190" i="159"/>
  <c r="B4232" i="159"/>
  <c r="B4176" i="159"/>
  <c r="B4169" i="159"/>
  <c r="B4057" i="159"/>
  <c r="B4267" i="159"/>
  <c r="B4162" i="159"/>
  <c r="B4127" i="159"/>
  <c r="B4211" i="159"/>
  <c r="B4155" i="159"/>
  <c r="B4120" i="159"/>
  <c r="B4071" i="159"/>
  <c r="B4225" i="159"/>
  <c r="B4268" i="159"/>
  <c r="B4272" i="159" s="1"/>
  <c r="B4273" i="159" s="1"/>
  <c r="B4092" i="159"/>
  <c r="B4043" i="159"/>
  <c r="B4141" i="159"/>
  <c r="B4113" i="159"/>
  <c r="B4050" i="159"/>
  <c r="B3952" i="159"/>
  <c r="B3903" i="159"/>
  <c r="B3868" i="159"/>
  <c r="B3833" i="159"/>
  <c r="B4008" i="159"/>
  <c r="B3945" i="159"/>
  <c r="B3917" i="159"/>
  <c r="B3882" i="159"/>
  <c r="B4022" i="159"/>
  <c r="B3994" i="159"/>
  <c r="B4029" i="159"/>
  <c r="B4106" i="159"/>
  <c r="B4036" i="159"/>
  <c r="B3987" i="159"/>
  <c r="B3938" i="159"/>
  <c r="B3896" i="159"/>
  <c r="B4037" i="159"/>
  <c r="B4041" i="159" s="1"/>
  <c r="B4042" i="159" s="1"/>
  <c r="B3980" i="159"/>
  <c r="B4149" i="159"/>
  <c r="B4153" i="159" s="1"/>
  <c r="B4154" i="159" s="1"/>
  <c r="B3973" i="159"/>
  <c r="B3966" i="159"/>
  <c r="B3931" i="159"/>
  <c r="B3910" i="159"/>
  <c r="B3875" i="159"/>
  <c r="B4099" i="159"/>
  <c r="B3959" i="159"/>
  <c r="B3924" i="159"/>
  <c r="B3889" i="159"/>
  <c r="B3854" i="159"/>
  <c r="B3826" i="159"/>
  <c r="B3777" i="159"/>
  <c r="B3539" i="159"/>
  <c r="B3623" i="159"/>
  <c r="B3560" i="159"/>
  <c r="B3476" i="159"/>
  <c r="B3840" i="159"/>
  <c r="B3658" i="159"/>
  <c r="B3511" i="159"/>
  <c r="B3861" i="159"/>
  <c r="B3812" i="159"/>
  <c r="B3693" i="159"/>
  <c r="B3616" i="159"/>
  <c r="B3581" i="159"/>
  <c r="B3532" i="159"/>
  <c r="B3490" i="159"/>
  <c r="B3651" i="159"/>
  <c r="B3609" i="159"/>
  <c r="B3686" i="159"/>
  <c r="B3791" i="159"/>
  <c r="B3644" i="159"/>
  <c r="B3819" i="159"/>
  <c r="B3721" i="159"/>
  <c r="B3602" i="159"/>
  <c r="B3574" i="159"/>
  <c r="B3679" i="159"/>
  <c r="B3637" i="159"/>
  <c r="B3714" i="159"/>
  <c r="B3546" i="159"/>
  <c r="B3483" i="159"/>
  <c r="B3798" i="159"/>
  <c r="B3770" i="159"/>
  <c r="B3756" i="159"/>
  <c r="B3672" i="159"/>
  <c r="B3749" i="159"/>
  <c r="B3707" i="159"/>
  <c r="B3805" i="159"/>
  <c r="B3742" i="159"/>
  <c r="B3665" i="159"/>
  <c r="B3588" i="159"/>
  <c r="B3399" i="159"/>
  <c r="B3392" i="159"/>
  <c r="B3329" i="159"/>
  <c r="B3567" i="159"/>
  <c r="B3385" i="159"/>
  <c r="B3518" i="159"/>
  <c r="B3504" i="159"/>
  <c r="B3294" i="159"/>
  <c r="B3322" i="159"/>
  <c r="B3455" i="159"/>
  <c r="B3371" i="159"/>
  <c r="B3462" i="159"/>
  <c r="B3364" i="159"/>
  <c r="B3630" i="159"/>
  <c r="B3553" i="159"/>
  <c r="B3448" i="159"/>
  <c r="B3315" i="159"/>
  <c r="B3441" i="159"/>
  <c r="B3287" i="159"/>
  <c r="B3469" i="159"/>
  <c r="B3434" i="159"/>
  <c r="B3427" i="159"/>
  <c r="B3497" i="159"/>
  <c r="B3420" i="159"/>
  <c r="B3343" i="159"/>
  <c r="B3525" i="159"/>
  <c r="B3413" i="159"/>
  <c r="B3126" i="159"/>
  <c r="B3280" i="159"/>
  <c r="B3147" i="159"/>
  <c r="B3168" i="159"/>
  <c r="B3119" i="159"/>
  <c r="B3252" i="159"/>
  <c r="B3245" i="159"/>
  <c r="B3238" i="159"/>
  <c r="B3259" i="159"/>
  <c r="B3224" i="159"/>
  <c r="B3217" i="159"/>
  <c r="B3393" i="159"/>
  <c r="B3397" i="159" s="1"/>
  <c r="B3398" i="159" s="1"/>
  <c r="B3266" i="159"/>
  <c r="B3133" i="159"/>
  <c r="B3273" i="159"/>
  <c r="B3154" i="159"/>
  <c r="B3357" i="159"/>
  <c r="B3091" i="159"/>
  <c r="B3007" i="159"/>
  <c r="B3231" i="159"/>
  <c r="B3098" i="159"/>
  <c r="B2986" i="159"/>
  <c r="B2951" i="159"/>
  <c r="B2916" i="159"/>
  <c r="B3161" i="159"/>
  <c r="B3140" i="159"/>
  <c r="B3105" i="159"/>
  <c r="B3182" i="159"/>
  <c r="B3035" i="159"/>
  <c r="B2979" i="159"/>
  <c r="B2944" i="159"/>
  <c r="B3049" i="159"/>
  <c r="B3042" i="159"/>
  <c r="B3028" i="159"/>
  <c r="B3175" i="159"/>
  <c r="B3063" i="159"/>
  <c r="B3056" i="159"/>
  <c r="B3070" i="159"/>
  <c r="B3084" i="159"/>
  <c r="B3077" i="159"/>
  <c r="B3014" i="159"/>
  <c r="B3112" i="159"/>
  <c r="B2972" i="159"/>
  <c r="B2888" i="159"/>
  <c r="B3021" i="159"/>
  <c r="B3000" i="159"/>
  <c r="B2923" i="159"/>
  <c r="B2846" i="159"/>
  <c r="B2811" i="159"/>
  <c r="B2958" i="159"/>
  <c r="B2874" i="159"/>
  <c r="B2930" i="159"/>
  <c r="B2965" i="159"/>
  <c r="B2937" i="159"/>
  <c r="B2860" i="159"/>
  <c r="B2839" i="159"/>
  <c r="B2803" i="159"/>
  <c r="B2993" i="159"/>
  <c r="B2903" i="159"/>
  <c r="B2907" i="159" s="1"/>
  <c r="B2908" i="159" s="1"/>
  <c r="B2902" i="159"/>
  <c r="B2895" i="159"/>
  <c r="B2853" i="159"/>
  <c r="B2832" i="159"/>
  <c r="B2753" i="159"/>
  <c r="B2703" i="159"/>
  <c r="B2682" i="159"/>
  <c r="B2647" i="159"/>
  <c r="B2612" i="159"/>
  <c r="B2577" i="159"/>
  <c r="B2854" i="159"/>
  <c r="B2858" i="159" s="1"/>
  <c r="B2859" i="159" s="1"/>
  <c r="B2724" i="159"/>
  <c r="B2867" i="159"/>
  <c r="B2746" i="159"/>
  <c r="B2661" i="159"/>
  <c r="B2626" i="159"/>
  <c r="B2775" i="159"/>
  <c r="B2782" i="159"/>
  <c r="B2717" i="159"/>
  <c r="B2675" i="159"/>
  <c r="B2909" i="159"/>
  <c r="B2796" i="159"/>
  <c r="B2789" i="159"/>
  <c r="B2738" i="159"/>
  <c r="B2881" i="159"/>
  <c r="B2825" i="159"/>
  <c r="B2768" i="159"/>
  <c r="B2689" i="159"/>
  <c r="B2654" i="159"/>
  <c r="B2619" i="159"/>
  <c r="B2710" i="159"/>
  <c r="B2760" i="159"/>
  <c r="B2731" i="159"/>
  <c r="B2696" i="159"/>
  <c r="B2556" i="159"/>
  <c r="B2521" i="159"/>
  <c r="B2444" i="159"/>
  <c r="B2367" i="159"/>
  <c r="B2283" i="159"/>
  <c r="B2479" i="159"/>
  <c r="B2402" i="159"/>
  <c r="B2325" i="159"/>
  <c r="B2563" i="159"/>
  <c r="B2437" i="159"/>
  <c r="B2360" i="159"/>
  <c r="B2591" i="159"/>
  <c r="B2297" i="159"/>
  <c r="B2570" i="159"/>
  <c r="B2395" i="159"/>
  <c r="B2353" i="159"/>
  <c r="B2318" i="159"/>
  <c r="B2507" i="159"/>
  <c r="B2430" i="159"/>
  <c r="B2347" i="159"/>
  <c r="B2351" i="159" s="1"/>
  <c r="B2352" i="159" s="1"/>
  <c r="B2465" i="159"/>
  <c r="B2346" i="159"/>
  <c r="B2423" i="159"/>
  <c r="B2640" i="159"/>
  <c r="B2605" i="159"/>
  <c r="B2500" i="159"/>
  <c r="B2381" i="159"/>
  <c r="B2633" i="159"/>
  <c r="B2458" i="159"/>
  <c r="B2584" i="159"/>
  <c r="B2416" i="159"/>
  <c r="B2493" i="159"/>
  <c r="B2451" i="159"/>
  <c r="B2374" i="159"/>
  <c r="B2598" i="159"/>
  <c r="B2549" i="159"/>
  <c r="B2542" i="159"/>
  <c r="B2535" i="159"/>
  <c r="B2528" i="159"/>
  <c r="B2486" i="159"/>
  <c r="B2256" i="159"/>
  <c r="B2260" i="159" s="1"/>
  <c r="B2261" i="159" s="1"/>
  <c r="B2220" i="159"/>
  <c r="B2213" i="159"/>
  <c r="B2164" i="159"/>
  <c r="B2262" i="159"/>
  <c r="B2409" i="159"/>
  <c r="B2388" i="159"/>
  <c r="B2206" i="159"/>
  <c r="B2136" i="159"/>
  <c r="B2101" i="159"/>
  <c r="B2066" i="159"/>
  <c r="B2311" i="159"/>
  <c r="B2269" i="159"/>
  <c r="B2199" i="159"/>
  <c r="B2192" i="159"/>
  <c r="B2157" i="159"/>
  <c r="B2185" i="159"/>
  <c r="B2290" i="159"/>
  <c r="B2150" i="159"/>
  <c r="B2129" i="159"/>
  <c r="B2094" i="159"/>
  <c r="B2059" i="159"/>
  <c r="B2023" i="159"/>
  <c r="B2178" i="159"/>
  <c r="B2276" i="159"/>
  <c r="B2304" i="159"/>
  <c r="B2248" i="159"/>
  <c r="B2241" i="159"/>
  <c r="B2171" i="159"/>
  <c r="B2339" i="159"/>
  <c r="B2143" i="159"/>
  <c r="B2255" i="159"/>
  <c r="B2227" i="159"/>
  <c r="B1974" i="159"/>
  <c r="B1932" i="159"/>
  <c r="B1883" i="159"/>
  <c r="B2108" i="159"/>
  <c r="B2052" i="159"/>
  <c r="B1925" i="159"/>
  <c r="B1792" i="159"/>
  <c r="B2045" i="159"/>
  <c r="B1988" i="159"/>
  <c r="B1918" i="159"/>
  <c r="B1912" i="159"/>
  <c r="B1916" i="159" s="1"/>
  <c r="B1917" i="159" s="1"/>
  <c r="B1813" i="159"/>
  <c r="B1876" i="159"/>
  <c r="B1764" i="159"/>
  <c r="B2115" i="159"/>
  <c r="B2038" i="159"/>
  <c r="B1807" i="159"/>
  <c r="B1811" i="159" s="1"/>
  <c r="B1812" i="159" s="1"/>
  <c r="B1911" i="159"/>
  <c r="B1834" i="159"/>
  <c r="B2073" i="159"/>
  <c r="B2030" i="159"/>
  <c r="B2002" i="159"/>
  <c r="B1785" i="159"/>
  <c r="B2080" i="159"/>
  <c r="B1869" i="159"/>
  <c r="B2122" i="159"/>
  <c r="B1904" i="159"/>
  <c r="B1687" i="159"/>
  <c r="B1652" i="159"/>
  <c r="B1981" i="159"/>
  <c r="B1995" i="159"/>
  <c r="B1967" i="159"/>
  <c r="B1862" i="159"/>
  <c r="B1827" i="159"/>
  <c r="B1778" i="159"/>
  <c r="B1897" i="159"/>
  <c r="B1736" i="159"/>
  <c r="B1701" i="159"/>
  <c r="B1666" i="159"/>
  <c r="B1631" i="159"/>
  <c r="B1855" i="159"/>
  <c r="B1799" i="159"/>
  <c r="B2016" i="159"/>
  <c r="B1890" i="159"/>
  <c r="B1953" i="159"/>
  <c r="B1848" i="159"/>
  <c r="B1820" i="159"/>
  <c r="B1561" i="159"/>
  <c r="B1505" i="159"/>
  <c r="B1414" i="159"/>
  <c r="B1379" i="159"/>
  <c r="B1344" i="159"/>
  <c r="B1771" i="159"/>
  <c r="B1645" i="159"/>
  <c r="B1694" i="159"/>
  <c r="B1596" i="159"/>
  <c r="B1708" i="159"/>
  <c r="B1526" i="159"/>
  <c r="B1750" i="159"/>
  <c r="B1554" i="159"/>
  <c r="B1477" i="159"/>
  <c r="B1428" i="159"/>
  <c r="B1680" i="159"/>
  <c r="B1589" i="159"/>
  <c r="B1498" i="159"/>
  <c r="B1449" i="159"/>
  <c r="B1547" i="159"/>
  <c r="B1407" i="159"/>
  <c r="B1372" i="159"/>
  <c r="B1519" i="159"/>
  <c r="B1470" i="159"/>
  <c r="B1582" i="159"/>
  <c r="B1729" i="159"/>
  <c r="B1540" i="159"/>
  <c r="B1491" i="159"/>
  <c r="B1421" i="159"/>
  <c r="B1442" i="159"/>
  <c r="B1624" i="159"/>
  <c r="B1512" i="159"/>
  <c r="B1463" i="159"/>
  <c r="B1617" i="159"/>
  <c r="B1400" i="159"/>
  <c r="B1365" i="159"/>
  <c r="B1330" i="159"/>
  <c r="B1659" i="159"/>
  <c r="B1638" i="159"/>
  <c r="B1610" i="159"/>
  <c r="B1568" i="159"/>
  <c r="B1533" i="159"/>
  <c r="B1484" i="159"/>
  <c r="B1715" i="159"/>
  <c r="B1603" i="159"/>
  <c r="B1358" i="159"/>
  <c r="B1456" i="159"/>
  <c r="B1267" i="159"/>
  <c r="B1295" i="159"/>
  <c r="B1218" i="159"/>
  <c r="B1393" i="159"/>
  <c r="B1323" i="159"/>
  <c r="B1239" i="159"/>
  <c r="B1190" i="159"/>
  <c r="B1288" i="159"/>
  <c r="B1141" i="159"/>
  <c r="B1092" i="159"/>
  <c r="B1260" i="159"/>
  <c r="B1211" i="159"/>
  <c r="B1162" i="159"/>
  <c r="B1281" i="159"/>
  <c r="B1232" i="159"/>
  <c r="B1351" i="159"/>
  <c r="B1337" i="159"/>
  <c r="B1183" i="159"/>
  <c r="B1275" i="159"/>
  <c r="B1279" i="159" s="1"/>
  <c r="B1280" i="159" s="1"/>
  <c r="B1253" i="159"/>
  <c r="B1085" i="159"/>
  <c r="B1050" i="159"/>
  <c r="B1015" i="159"/>
  <c r="B980" i="159"/>
  <c r="B1204" i="159"/>
  <c r="B1155" i="159"/>
  <c r="B1106" i="159"/>
  <c r="B1274" i="159"/>
  <c r="B1176" i="159"/>
  <c r="B1127" i="159"/>
  <c r="B1064" i="159"/>
  <c r="B1029" i="159"/>
  <c r="B1302" i="159"/>
  <c r="B1316" i="159"/>
  <c r="B1309" i="159"/>
  <c r="B1246" i="159"/>
  <c r="B1197" i="159"/>
  <c r="B1099" i="159"/>
  <c r="B1120" i="159"/>
  <c r="B1036" i="159"/>
  <c r="B881" i="159"/>
  <c r="B1071" i="159"/>
  <c r="B938" i="159"/>
  <c r="B973" i="159"/>
  <c r="B1113" i="159"/>
  <c r="B1043" i="159"/>
  <c r="B895" i="159"/>
  <c r="B860" i="159"/>
  <c r="B1169" i="159"/>
  <c r="B931" i="159"/>
  <c r="B966" i="159"/>
  <c r="B874" i="159"/>
  <c r="B839" i="159"/>
  <c r="B804" i="159"/>
  <c r="B769" i="159"/>
  <c r="B924" i="159"/>
  <c r="B1148" i="159"/>
  <c r="B1078" i="159"/>
  <c r="B1057" i="159"/>
  <c r="B959" i="159"/>
  <c r="B1022" i="159"/>
  <c r="B1008" i="159"/>
  <c r="B1134" i="159"/>
  <c r="B916" i="159"/>
  <c r="B888" i="159"/>
  <c r="B1001" i="159"/>
  <c r="B952" i="159"/>
  <c r="B994" i="159"/>
  <c r="B987" i="159"/>
  <c r="B867" i="159"/>
  <c r="B832" i="159"/>
  <c r="B628" i="159"/>
  <c r="B550" i="159"/>
  <c r="B776" i="159"/>
  <c r="B663" i="159"/>
  <c r="B585" i="159"/>
  <c r="B755" i="159"/>
  <c r="B543" i="159"/>
  <c r="B480" i="159"/>
  <c r="B445" i="159"/>
  <c r="B410" i="159"/>
  <c r="B620" i="159"/>
  <c r="B578" i="159"/>
  <c r="B515" i="159"/>
  <c r="B853" i="159"/>
  <c r="B656" i="159"/>
  <c r="B797" i="159"/>
  <c r="B613" i="159"/>
  <c r="B536" i="159"/>
  <c r="B494" i="159"/>
  <c r="B811" i="159"/>
  <c r="B762" i="159"/>
  <c r="B783" i="159"/>
  <c r="B649" i="159"/>
  <c r="B571" i="159"/>
  <c r="B825" i="159"/>
  <c r="B606" i="159"/>
  <c r="B508" i="159"/>
  <c r="B473" i="159"/>
  <c r="B438" i="159"/>
  <c r="B403" i="159"/>
  <c r="B706" i="159"/>
  <c r="B710" i="159" s="1"/>
  <c r="B711" i="159" s="1"/>
  <c r="B698" i="159"/>
  <c r="B691" i="159"/>
  <c r="B712" i="159"/>
  <c r="B705" i="159"/>
  <c r="B684" i="159"/>
  <c r="B642" i="159"/>
  <c r="B564" i="159"/>
  <c r="B529" i="159"/>
  <c r="B719" i="159"/>
  <c r="B733" i="159"/>
  <c r="B726" i="159"/>
  <c r="B677" i="159"/>
  <c r="B599" i="159"/>
  <c r="B741" i="159"/>
  <c r="B557" i="159"/>
  <c r="B635" i="159"/>
  <c r="B818" i="159"/>
  <c r="B790" i="159"/>
  <c r="B748" i="159"/>
  <c r="B592" i="159"/>
  <c r="B670" i="159"/>
  <c r="B80" i="159"/>
  <c r="B333" i="159"/>
  <c r="B214" i="159"/>
  <c r="B298" i="159"/>
  <c r="B263" i="159"/>
  <c r="B417" i="159"/>
  <c r="B123" i="159"/>
  <c r="B158" i="159"/>
  <c r="B193" i="159"/>
  <c r="B466" i="159"/>
  <c r="B487" i="159"/>
  <c r="B242" i="159"/>
  <c r="B340" i="159"/>
  <c r="B305" i="159"/>
  <c r="B452" i="159"/>
  <c r="B270" i="159"/>
  <c r="B38" i="159"/>
  <c r="B144" i="159"/>
  <c r="B221" i="159"/>
  <c r="B347" i="159"/>
  <c r="B73" i="159"/>
  <c r="B109" i="159"/>
  <c r="B179" i="159"/>
  <c r="B312" i="159"/>
  <c r="B277" i="159"/>
  <c r="B431" i="159"/>
  <c r="B200" i="159"/>
  <c r="B249" i="159"/>
  <c r="B59" i="159"/>
  <c r="B130" i="159"/>
  <c r="B165" i="159"/>
  <c r="B354" i="159"/>
  <c r="B24" i="159"/>
  <c r="B94" i="159"/>
  <c r="B319" i="159"/>
  <c r="B228" i="159"/>
  <c r="B284" i="159"/>
  <c r="B361" i="159"/>
  <c r="B396" i="159"/>
  <c r="B501" i="159"/>
  <c r="B459" i="159"/>
  <c r="B784" i="159"/>
  <c r="B788" i="159" s="1"/>
  <c r="B789" i="159" s="1"/>
  <c r="B909" i="159"/>
  <c r="B846" i="159"/>
  <c r="B902" i="159"/>
  <c r="B945" i="159"/>
  <c r="B1435" i="159"/>
  <c r="B1386" i="159"/>
  <c r="B1225" i="159"/>
  <c r="B1331" i="159"/>
  <c r="B1335" i="159" s="1"/>
  <c r="B1336" i="159" s="1"/>
  <c r="B1575" i="159"/>
  <c r="B1673" i="159"/>
  <c r="B1841" i="159"/>
  <c r="B2009" i="159"/>
  <c r="B1722" i="159"/>
  <c r="B1806" i="159"/>
  <c r="B1849" i="159"/>
  <c r="B1853" i="159" s="1"/>
  <c r="B1854" i="159" s="1"/>
  <c r="B1946" i="159"/>
  <c r="B1743" i="159"/>
  <c r="B1757" i="159"/>
  <c r="B1939" i="159"/>
  <c r="B1960" i="159"/>
  <c r="B2234" i="159"/>
  <c r="B2087" i="159"/>
  <c r="B2472" i="159"/>
  <c r="B2332" i="159"/>
  <c r="B2514" i="159"/>
  <c r="B2818" i="159"/>
  <c r="B2668" i="159"/>
  <c r="B3141" i="159"/>
  <c r="B3145" i="159" s="1"/>
  <c r="B3146" i="159" s="1"/>
  <c r="B3189" i="159"/>
  <c r="B3350" i="159"/>
  <c r="B3203" i="159"/>
  <c r="B3210" i="159"/>
  <c r="B3196" i="159"/>
  <c r="B3336" i="159"/>
  <c r="B3406" i="159"/>
  <c r="B3301" i="159"/>
  <c r="B3378" i="159"/>
  <c r="B3316" i="159"/>
  <c r="B3320" i="159" s="1"/>
  <c r="B3321" i="159" s="1"/>
  <c r="B3308" i="159"/>
  <c r="B3763" i="159"/>
  <c r="B3784" i="159"/>
  <c r="B3735" i="159"/>
  <c r="B3847" i="159"/>
  <c r="B3595" i="159"/>
  <c r="B3700" i="159"/>
  <c r="B3728" i="159"/>
  <c r="B4078" i="159"/>
  <c r="B4001" i="159"/>
  <c r="B4134" i="159"/>
  <c r="B4177" i="159"/>
  <c r="B4181" i="159" s="1"/>
  <c r="B4182" i="159" s="1"/>
  <c r="B4197" i="159"/>
  <c r="B4302" i="159"/>
  <c r="B4372" i="159"/>
  <c r="B4400" i="159"/>
  <c r="B4170" i="159"/>
  <c r="B4174" i="159" s="1"/>
  <c r="B4175" i="159" s="1"/>
  <c r="B4484" i="159"/>
  <c r="B4625" i="159"/>
  <c r="B4639" i="159"/>
  <c r="B4540" i="159"/>
  <c r="B4618" i="159"/>
  <c r="B4660" i="159"/>
  <c r="B4681" i="159"/>
  <c r="B4674" i="159"/>
  <c r="B4814" i="159"/>
  <c r="B4793" i="159"/>
  <c r="B4738" i="159"/>
  <c r="B4742" i="159" s="1"/>
  <c r="B4743" i="159" s="1"/>
  <c r="B4905" i="159"/>
  <c r="B4842" i="159"/>
  <c r="B4815" i="159"/>
  <c r="B4819" i="159" s="1"/>
  <c r="B4820" i="159" s="1"/>
  <c r="B4961" i="159"/>
  <c r="B5073" i="159"/>
  <c r="B5109" i="159"/>
  <c r="B5113" i="159" s="1"/>
  <c r="B5114" i="159" s="1"/>
  <c r="B4982" i="159"/>
  <c r="B5157" i="159"/>
  <c r="B5249" i="159"/>
  <c r="B5298" i="159"/>
  <c r="B5291" i="159"/>
  <c r="B5517" i="159"/>
  <c r="B5445" i="159"/>
  <c r="B5326" i="159"/>
  <c r="B5305" i="159"/>
  <c r="B5333" i="159"/>
  <c r="B5382" i="159"/>
  <c r="B5431" i="159"/>
  <c r="B5319" i="159"/>
  <c r="B5539" i="159"/>
  <c r="B5543" i="159" s="1"/>
  <c r="B5544" i="159" s="1"/>
  <c r="B5532" i="159"/>
  <c r="B5536" i="159" s="1"/>
  <c r="B5537" i="159" s="1"/>
  <c r="B5504" i="159"/>
  <c r="B5508" i="159" s="1"/>
  <c r="B5509" i="159" s="1"/>
  <c r="B5594" i="159"/>
  <c r="B5657" i="159"/>
  <c r="B5685" i="159"/>
  <c r="B5706" i="159"/>
  <c r="B5713" i="159"/>
  <c r="B11" i="68"/>
  <c r="B11" i="386"/>
  <c r="B11" i="385"/>
  <c r="M11" i="385"/>
  <c r="S30" i="385"/>
  <c r="N22" i="385" l="1"/>
  <c r="N20" i="385"/>
  <c r="N28" i="385"/>
  <c r="B3303" i="159"/>
  <c r="B5117" i="159"/>
  <c r="N29" i="387"/>
  <c r="N28" i="387"/>
  <c r="N12" i="387"/>
  <c r="N27" i="387"/>
  <c r="B911" i="159"/>
  <c r="Q13" i="387"/>
  <c r="N13" i="387"/>
  <c r="Q21" i="387"/>
  <c r="N21" i="387"/>
  <c r="Q24" i="387"/>
  <c r="N24" i="387"/>
  <c r="Q15" i="387"/>
  <c r="N15" i="387"/>
  <c r="Q17" i="387"/>
  <c r="N17" i="387"/>
  <c r="S27" i="387"/>
  <c r="S26" i="387"/>
  <c r="S25" i="387"/>
  <c r="S24" i="387"/>
  <c r="S23" i="387"/>
  <c r="S22" i="387"/>
  <c r="S21" i="387"/>
  <c r="S20" i="387"/>
  <c r="S19" i="387"/>
  <c r="S18" i="387"/>
  <c r="S17" i="387"/>
  <c r="S16" i="387"/>
  <c r="S15" i="387"/>
  <c r="S14" i="387"/>
  <c r="S13" i="387"/>
  <c r="S12" i="387"/>
  <c r="S11" i="387"/>
  <c r="S29" i="387"/>
  <c r="S28" i="387"/>
  <c r="B5505" i="159"/>
  <c r="Q14" i="387"/>
  <c r="N14" i="387"/>
  <c r="Q22" i="387"/>
  <c r="N22" i="387"/>
  <c r="Q25" i="387"/>
  <c r="N25" i="387"/>
  <c r="B876" i="159"/>
  <c r="B3779" i="159"/>
  <c r="B904" i="159"/>
  <c r="B3835" i="159"/>
  <c r="B5040" i="159"/>
  <c r="B2614" i="159"/>
  <c r="Q19" i="387"/>
  <c r="N19" i="387"/>
  <c r="Q26" i="387"/>
  <c r="N26" i="387"/>
  <c r="Q16" i="387"/>
  <c r="N16" i="387"/>
  <c r="Q20" i="387"/>
  <c r="N20" i="387"/>
  <c r="B1710" i="159"/>
  <c r="M40" i="386"/>
  <c r="M31" i="386"/>
  <c r="M39" i="386"/>
  <c r="B736" i="159"/>
  <c r="M35" i="386"/>
  <c r="M15" i="386"/>
  <c r="M20" i="386"/>
  <c r="B4655" i="159"/>
  <c r="M41" i="386"/>
  <c r="M36" i="386"/>
  <c r="M32" i="386"/>
  <c r="M28" i="386"/>
  <c r="M37" i="386"/>
  <c r="M27" i="386"/>
  <c r="M29" i="386"/>
  <c r="M34" i="386"/>
  <c r="M14" i="386"/>
  <c r="M33" i="386"/>
  <c r="M13" i="386"/>
  <c r="M26" i="386"/>
  <c r="M25" i="386"/>
  <c r="M24" i="386"/>
  <c r="M16" i="386"/>
  <c r="B4886" i="159"/>
  <c r="M19" i="386"/>
  <c r="M22" i="386"/>
  <c r="M23" i="386"/>
  <c r="S31" i="386"/>
  <c r="S30" i="386"/>
  <c r="S29" i="386"/>
  <c r="S28" i="386"/>
  <c r="S27" i="386"/>
  <c r="S26" i="386"/>
  <c r="S11" i="386"/>
  <c r="S25" i="386"/>
  <c r="S24" i="386"/>
  <c r="S23" i="386"/>
  <c r="S22" i="386"/>
  <c r="S21" i="386"/>
  <c r="S41" i="386"/>
  <c r="S40" i="386"/>
  <c r="S20" i="386"/>
  <c r="S39" i="386"/>
  <c r="S19" i="386"/>
  <c r="S18" i="386"/>
  <c r="S38" i="386"/>
  <c r="S37" i="386"/>
  <c r="S17" i="386"/>
  <c r="S36" i="386"/>
  <c r="S16" i="386"/>
  <c r="S35" i="386"/>
  <c r="S15" i="386"/>
  <c r="S34" i="386"/>
  <c r="S14" i="386"/>
  <c r="S33" i="386"/>
  <c r="S13" i="386"/>
  <c r="S32" i="386"/>
  <c r="S12" i="386"/>
  <c r="B3198" i="159"/>
  <c r="B3009" i="159"/>
  <c r="B4269" i="159"/>
  <c r="M38" i="386"/>
  <c r="M17" i="386"/>
  <c r="M21" i="386"/>
  <c r="M30" i="386"/>
  <c r="M18" i="386"/>
  <c r="M12" i="386"/>
  <c r="B5026" i="159"/>
  <c r="B3968" i="159"/>
  <c r="B2804" i="159"/>
  <c r="B377" i="159"/>
  <c r="B3961" i="159"/>
  <c r="B5272" i="159"/>
  <c r="N27" i="385"/>
  <c r="B1269" i="159"/>
  <c r="N29" i="385"/>
  <c r="B2173" i="159"/>
  <c r="B5552" i="159"/>
  <c r="Q14" i="385"/>
  <c r="N14" i="385"/>
  <c r="B933" i="159"/>
  <c r="B1808" i="159"/>
  <c r="B2460" i="159"/>
  <c r="B4423" i="159"/>
  <c r="B5019" i="159"/>
  <c r="B5631" i="159"/>
  <c r="Q18" i="385"/>
  <c r="N18" i="385"/>
  <c r="Q17" i="385"/>
  <c r="N17" i="385"/>
  <c r="Q13" i="385"/>
  <c r="N13" i="385"/>
  <c r="B1381" i="159"/>
  <c r="B5589" i="159"/>
  <c r="Q15" i="385"/>
  <c r="N15" i="385"/>
  <c r="Q19" i="385"/>
  <c r="N19" i="385"/>
  <c r="Q26" i="385"/>
  <c r="N26" i="385"/>
  <c r="B2855" i="159"/>
  <c r="N12" i="385"/>
  <c r="Q12" i="385"/>
  <c r="B3485" i="159"/>
  <c r="B5722" i="159"/>
  <c r="Q16" i="385"/>
  <c r="N16" i="385"/>
  <c r="B2034" i="159"/>
  <c r="S27" i="385"/>
  <c r="S26" i="385"/>
  <c r="S25" i="385"/>
  <c r="S24" i="385"/>
  <c r="S23" i="385"/>
  <c r="S22" i="385"/>
  <c r="S21" i="385"/>
  <c r="S20" i="385"/>
  <c r="S19" i="385"/>
  <c r="S11" i="385"/>
  <c r="S18" i="385"/>
  <c r="S17" i="385"/>
  <c r="S16" i="385"/>
  <c r="S15" i="385"/>
  <c r="S14" i="385"/>
  <c r="S13" i="385"/>
  <c r="S12" i="385"/>
  <c r="S29" i="385"/>
  <c r="S28" i="385"/>
  <c r="Q24" i="385"/>
  <c r="N24" i="385"/>
  <c r="Q25" i="385"/>
  <c r="N25" i="385"/>
  <c r="Q21" i="385"/>
  <c r="N21" i="385"/>
  <c r="B4094" i="159"/>
  <c r="B5512" i="159"/>
  <c r="B1178" i="159"/>
  <c r="B4325" i="159"/>
  <c r="M187" i="68"/>
  <c r="S185" i="68"/>
  <c r="S24" i="68"/>
  <c r="S105" i="68"/>
  <c r="S187" i="68"/>
  <c r="S107" i="68"/>
  <c r="S68" i="68"/>
  <c r="B1815" i="159"/>
  <c r="B4816" i="159"/>
  <c r="B2446" i="159"/>
  <c r="B5447" i="159"/>
  <c r="B1528" i="159"/>
  <c r="B623" i="159"/>
  <c r="B1388" i="159"/>
  <c r="B3100" i="159"/>
  <c r="B721" i="159"/>
  <c r="B3926" i="159"/>
  <c r="B4528" i="159"/>
  <c r="B40" i="159"/>
  <c r="B5265" i="159"/>
  <c r="B1885" i="159"/>
  <c r="B19" i="159"/>
  <c r="B2911" i="159"/>
  <c r="B4178" i="159"/>
  <c r="B1059" i="159"/>
  <c r="B5363" i="159"/>
  <c r="B223" i="159"/>
  <c r="B2397" i="159"/>
  <c r="B1780" i="159"/>
  <c r="B778" i="159"/>
  <c r="M185" i="68"/>
  <c r="M24" i="68"/>
  <c r="M107" i="68"/>
  <c r="M68" i="68"/>
  <c r="M105" i="68"/>
  <c r="M190" i="68"/>
  <c r="Q190" i="68" s="1"/>
  <c r="S183" i="68"/>
  <c r="S163" i="68"/>
  <c r="S143" i="68"/>
  <c r="S123" i="68"/>
  <c r="S182" i="68"/>
  <c r="S162" i="68"/>
  <c r="S142" i="68"/>
  <c r="S122" i="68"/>
  <c r="S100" i="68"/>
  <c r="S181" i="68"/>
  <c r="S161" i="68"/>
  <c r="S141" i="68"/>
  <c r="S180" i="68"/>
  <c r="S160" i="68"/>
  <c r="S140" i="68"/>
  <c r="S120" i="68"/>
  <c r="S179" i="68"/>
  <c r="S159" i="68"/>
  <c r="S139" i="68"/>
  <c r="S178" i="68"/>
  <c r="S158" i="68"/>
  <c r="S138" i="68"/>
  <c r="S177" i="68"/>
  <c r="S157" i="68"/>
  <c r="S137" i="68"/>
  <c r="S117" i="68"/>
  <c r="S95" i="68"/>
  <c r="S176" i="68"/>
  <c r="S156" i="68"/>
  <c r="S136" i="68"/>
  <c r="S175" i="68"/>
  <c r="S155" i="68"/>
  <c r="S135" i="68"/>
  <c r="S174" i="68"/>
  <c r="S154" i="68"/>
  <c r="S134" i="68"/>
  <c r="S173" i="68"/>
  <c r="S153" i="68"/>
  <c r="S133" i="68"/>
  <c r="S113" i="68"/>
  <c r="S172" i="68"/>
  <c r="S152" i="68"/>
  <c r="S132" i="68"/>
  <c r="S112" i="68"/>
  <c r="S171" i="68"/>
  <c r="S151" i="68"/>
  <c r="S131" i="68"/>
  <c r="S170" i="68"/>
  <c r="S150" i="68"/>
  <c r="S130" i="68"/>
  <c r="S110" i="68"/>
  <c r="S191" i="68"/>
  <c r="S169" i="68"/>
  <c r="S149" i="68"/>
  <c r="S129" i="68"/>
  <c r="S109" i="68"/>
  <c r="S87" i="68"/>
  <c r="S190" i="68"/>
  <c r="S168" i="68"/>
  <c r="S148" i="68"/>
  <c r="S128" i="68"/>
  <c r="S108" i="68"/>
  <c r="S189" i="68"/>
  <c r="S167" i="68"/>
  <c r="S147" i="68"/>
  <c r="S127" i="68"/>
  <c r="S188" i="68"/>
  <c r="S166" i="68"/>
  <c r="S146" i="68"/>
  <c r="S186" i="68"/>
  <c r="S165" i="68"/>
  <c r="S145" i="68"/>
  <c r="S184" i="68"/>
  <c r="S164" i="68"/>
  <c r="S144" i="68"/>
  <c r="S124" i="68"/>
  <c r="S102" i="68"/>
  <c r="S84" i="68"/>
  <c r="S63" i="68"/>
  <c r="S43" i="68"/>
  <c r="S22" i="68"/>
  <c r="S96" i="68"/>
  <c r="S83" i="68"/>
  <c r="S62" i="68"/>
  <c r="S42" i="68"/>
  <c r="S21" i="68"/>
  <c r="S97" i="68"/>
  <c r="S82" i="68"/>
  <c r="S61" i="68"/>
  <c r="S41" i="68"/>
  <c r="S20" i="68"/>
  <c r="S111" i="68"/>
  <c r="S106" i="68"/>
  <c r="S98" i="68"/>
  <c r="S81" i="68"/>
  <c r="S60" i="68"/>
  <c r="S40" i="68"/>
  <c r="S19" i="68"/>
  <c r="S114" i="68"/>
  <c r="S99" i="68"/>
  <c r="S80" i="68"/>
  <c r="S59" i="68"/>
  <c r="S39" i="68"/>
  <c r="S18" i="68"/>
  <c r="S121" i="68"/>
  <c r="S79" i="68"/>
  <c r="S58" i="68"/>
  <c r="S38" i="68"/>
  <c r="S17" i="68"/>
  <c r="S78" i="68"/>
  <c r="S57" i="68"/>
  <c r="S37" i="68"/>
  <c r="S16" i="68"/>
  <c r="S77" i="68"/>
  <c r="S56" i="68"/>
  <c r="S36" i="68"/>
  <c r="S15" i="68"/>
  <c r="S101" i="68"/>
  <c r="S76" i="68"/>
  <c r="S55" i="68"/>
  <c r="S115" i="68"/>
  <c r="S75" i="68"/>
  <c r="S54" i="68"/>
  <c r="S34" i="68"/>
  <c r="S13" i="68"/>
  <c r="S118" i="68"/>
  <c r="S74" i="68"/>
  <c r="S53" i="68"/>
  <c r="S33" i="68"/>
  <c r="S12" i="68"/>
  <c r="S73" i="68"/>
  <c r="S52" i="68"/>
  <c r="S32" i="68"/>
  <c r="S125" i="68"/>
  <c r="S72" i="68"/>
  <c r="S51" i="68"/>
  <c r="S31" i="68"/>
  <c r="S71" i="68"/>
  <c r="S50" i="68"/>
  <c r="S30" i="68"/>
  <c r="S119" i="68"/>
  <c r="S70" i="68"/>
  <c r="S69" i="68"/>
  <c r="S48" i="68"/>
  <c r="S28" i="68"/>
  <c r="S116" i="68"/>
  <c r="S103" i="68"/>
  <c r="S67" i="68"/>
  <c r="S47" i="68"/>
  <c r="S27" i="68"/>
  <c r="S66" i="68"/>
  <c r="S46" i="68"/>
  <c r="S26" i="68"/>
  <c r="S126" i="68"/>
  <c r="S94" i="68"/>
  <c r="S93" i="68"/>
  <c r="S92" i="68"/>
  <c r="S91" i="68"/>
  <c r="S90" i="68"/>
  <c r="S89" i="68"/>
  <c r="S88" i="68"/>
  <c r="S86" i="68"/>
  <c r="S65" i="68"/>
  <c r="S45" i="68"/>
  <c r="S25" i="68"/>
  <c r="S104" i="68"/>
  <c r="S85" i="68"/>
  <c r="S64" i="68"/>
  <c r="S44" i="68"/>
  <c r="S23" i="68"/>
  <c r="S35" i="68"/>
  <c r="S14" i="68"/>
  <c r="S29" i="68"/>
  <c r="S49" i="68"/>
  <c r="S11" i="68"/>
  <c r="B3646" i="159"/>
  <c r="B2925" i="159"/>
  <c r="B2278" i="159"/>
  <c r="B1458" i="159"/>
  <c r="M171" i="68"/>
  <c r="M123" i="68"/>
  <c r="M145" i="68"/>
  <c r="M42" i="68"/>
  <c r="M30" i="68"/>
  <c r="M88" i="68"/>
  <c r="B195" i="159"/>
  <c r="B2348" i="159"/>
  <c r="B4220" i="159"/>
  <c r="B125" i="159"/>
  <c r="B4823" i="159"/>
  <c r="B2257" i="159"/>
  <c r="B3212" i="159"/>
  <c r="B5131" i="159"/>
  <c r="M180" i="68"/>
  <c r="M163" i="68"/>
  <c r="M72" i="68"/>
  <c r="M34" i="68"/>
  <c r="M117" i="68"/>
  <c r="M103" i="68"/>
  <c r="M83" i="68"/>
  <c r="M150" i="68"/>
  <c r="M146" i="68"/>
  <c r="M140" i="68"/>
  <c r="M51" i="68"/>
  <c r="M21" i="68"/>
  <c r="M77" i="68"/>
  <c r="M97" i="68"/>
  <c r="M100" i="68"/>
  <c r="M73" i="68"/>
  <c r="B3947" i="159"/>
  <c r="B1003" i="159"/>
  <c r="B1675" i="159"/>
  <c r="B2742" i="159"/>
  <c r="M153" i="68"/>
  <c r="M155" i="68"/>
  <c r="M143" i="68"/>
  <c r="M31" i="68"/>
  <c r="M53" i="68"/>
  <c r="M92" i="68"/>
  <c r="M71" i="68"/>
  <c r="M67" i="68"/>
  <c r="B3211" i="159"/>
  <c r="B3215" i="159" s="1"/>
  <c r="B3216" i="159" s="1"/>
  <c r="B2229" i="159"/>
  <c r="B5610" i="159"/>
  <c r="B5426" i="159"/>
  <c r="M115" i="68"/>
  <c r="M47" i="68"/>
  <c r="M114" i="68"/>
  <c r="M74" i="68"/>
  <c r="M144" i="68"/>
  <c r="M149" i="68"/>
  <c r="M133" i="68"/>
  <c r="M177" i="68"/>
  <c r="M38" i="68"/>
  <c r="M43" i="68"/>
  <c r="M45" i="68"/>
  <c r="B4255" i="159"/>
  <c r="B2733" i="159"/>
  <c r="B4276" i="159"/>
  <c r="B3464" i="159"/>
  <c r="M118" i="68"/>
  <c r="M129" i="68"/>
  <c r="M93" i="68"/>
  <c r="M56" i="68"/>
  <c r="M95" i="68"/>
  <c r="M33" i="68"/>
  <c r="M28" i="68"/>
  <c r="M39" i="68"/>
  <c r="M32" i="68"/>
  <c r="B750" i="159"/>
  <c r="M183" i="68"/>
  <c r="M119" i="68"/>
  <c r="M16" i="68"/>
  <c r="M81" i="68"/>
  <c r="B5208" i="159"/>
  <c r="M182" i="68"/>
  <c r="M170" i="68"/>
  <c r="M161" i="68"/>
  <c r="M40" i="68"/>
  <c r="M80" i="68"/>
  <c r="M18" i="68"/>
  <c r="B3653" i="159"/>
  <c r="B5342" i="159"/>
  <c r="B4963" i="159"/>
  <c r="B1143" i="159"/>
  <c r="M166" i="68"/>
  <c r="M147" i="68"/>
  <c r="M188" i="68"/>
  <c r="M156" i="68"/>
  <c r="M19" i="68"/>
  <c r="M29" i="68"/>
  <c r="M49" i="68"/>
  <c r="M124" i="68"/>
  <c r="M110" i="68"/>
  <c r="M76" i="68"/>
  <c r="B2033" i="159"/>
  <c r="B4003" i="159"/>
  <c r="B3324" i="159"/>
  <c r="B4185" i="159"/>
  <c r="M136" i="68"/>
  <c r="M168" i="68"/>
  <c r="M159" i="68"/>
  <c r="M148" i="68"/>
  <c r="M23" i="68"/>
  <c r="M89" i="68"/>
  <c r="M94" i="68"/>
  <c r="M50" i="68"/>
  <c r="M70" i="68"/>
  <c r="B1577" i="159"/>
  <c r="B3268" i="159"/>
  <c r="B2040" i="159"/>
  <c r="B4017" i="159"/>
  <c r="B251" i="159"/>
  <c r="B869" i="159"/>
  <c r="M158" i="68"/>
  <c r="M131" i="68"/>
  <c r="M116" i="68"/>
  <c r="M165" i="68"/>
  <c r="M154" i="68"/>
  <c r="M26" i="68"/>
  <c r="M79" i="68"/>
  <c r="B1479" i="159"/>
  <c r="B4500" i="159"/>
  <c r="B5617" i="159"/>
  <c r="B4353" i="159"/>
  <c r="B4956" i="159"/>
  <c r="M139" i="68"/>
  <c r="M104" i="68"/>
  <c r="M111" i="68"/>
  <c r="M191" i="68"/>
  <c r="M184" i="68"/>
  <c r="M15" i="68"/>
  <c r="M84" i="68"/>
  <c r="M59" i="68"/>
  <c r="M134" i="68"/>
  <c r="M101" i="68"/>
  <c r="M96" i="68"/>
  <c r="M157" i="68"/>
  <c r="M172" i="68"/>
  <c r="M85" i="68"/>
  <c r="M122" i="68"/>
  <c r="M69" i="68"/>
  <c r="M65" i="68"/>
  <c r="M48" i="68"/>
  <c r="M25" i="68"/>
  <c r="M52" i="68"/>
  <c r="B3807" i="159"/>
  <c r="B3002" i="159"/>
  <c r="B4101" i="159"/>
  <c r="B244" i="159"/>
  <c r="B2250" i="159"/>
  <c r="B4059" i="159"/>
  <c r="M130" i="68"/>
  <c r="M186" i="68"/>
  <c r="M98" i="68"/>
  <c r="B5279" i="159"/>
  <c r="B5307" i="159"/>
  <c r="B3394" i="159"/>
  <c r="M108" i="68"/>
  <c r="M160" i="68"/>
  <c r="M138" i="68"/>
  <c r="M135" i="68"/>
  <c r="M78" i="68"/>
  <c r="M90" i="68"/>
  <c r="M63" i="68"/>
  <c r="M60" i="68"/>
  <c r="M22" i="68"/>
  <c r="M91" i="68"/>
  <c r="B1527" i="159"/>
  <c r="B1531" i="159" s="1"/>
  <c r="B1532" i="159" s="1"/>
  <c r="B54" i="159"/>
  <c r="B95" i="159"/>
  <c r="B2159" i="159"/>
  <c r="B4739" i="159"/>
  <c r="B785" i="159"/>
  <c r="M128" i="68"/>
  <c r="M173" i="68"/>
  <c r="M175" i="68"/>
  <c r="M137" i="68"/>
  <c r="M66" i="68"/>
  <c r="M87" i="68"/>
  <c r="M86" i="68"/>
  <c r="M27" i="68"/>
  <c r="B1009" i="159"/>
  <c r="B1013" i="159" s="1"/>
  <c r="B1014" i="159" s="1"/>
  <c r="M189" i="68"/>
  <c r="M178" i="68"/>
  <c r="M46" i="68"/>
  <c r="M37" i="68"/>
  <c r="M62" i="68"/>
  <c r="M112" i="68"/>
  <c r="M17" i="68"/>
  <c r="B1696" i="159"/>
  <c r="B4521" i="159"/>
  <c r="B5611" i="159"/>
  <c r="M167" i="68"/>
  <c r="M169" i="68"/>
  <c r="M54" i="68"/>
  <c r="M75" i="68"/>
  <c r="M12" i="68"/>
  <c r="M164" i="68"/>
  <c r="M162" i="68"/>
  <c r="M142" i="68"/>
  <c r="M141" i="68"/>
  <c r="M179" i="68"/>
  <c r="M176" i="68"/>
  <c r="M152" i="68"/>
  <c r="M120" i="68"/>
  <c r="M64" i="68"/>
  <c r="M44" i="68"/>
  <c r="M106" i="68"/>
  <c r="M127" i="68"/>
  <c r="M82" i="68"/>
  <c r="M61" i="68"/>
  <c r="M121" i="68"/>
  <c r="M99" i="68"/>
  <c r="M58" i="68"/>
  <c r="M132" i="68"/>
  <c r="M125" i="68"/>
  <c r="M109" i="68"/>
  <c r="M20" i="68"/>
  <c r="M35" i="68"/>
  <c r="M55" i="68"/>
  <c r="M41" i="68"/>
  <c r="M13" i="68"/>
  <c r="M14" i="68"/>
  <c r="B4038" i="159"/>
  <c r="B1437" i="159"/>
  <c r="B300" i="159"/>
  <c r="B2946" i="159"/>
  <c r="B5075" i="159"/>
  <c r="M174" i="68"/>
  <c r="M181" i="68"/>
  <c r="M126" i="68"/>
  <c r="M151" i="68"/>
  <c r="M36" i="68"/>
  <c r="M113" i="68"/>
  <c r="M57" i="68"/>
  <c r="M102" i="68"/>
  <c r="B2284" i="159"/>
  <c r="B2288" i="159" s="1"/>
  <c r="B2289" i="159" s="1"/>
  <c r="B5707" i="159"/>
  <c r="B5711" i="159" s="1"/>
  <c r="B5712" i="159" s="1"/>
  <c r="B1779" i="159"/>
  <c r="B1783" i="159" s="1"/>
  <c r="B1784" i="159" s="1"/>
  <c r="B3288" i="159"/>
  <c r="B3292" i="159" s="1"/>
  <c r="B3293" i="159" s="1"/>
  <c r="B4184" i="159"/>
  <c r="B4188" i="159" s="1"/>
  <c r="B4189" i="159" s="1"/>
  <c r="B4429" i="159"/>
  <c r="B4433" i="159" s="1"/>
  <c r="B4434" i="159" s="1"/>
  <c r="B896" i="159"/>
  <c r="B900" i="159" s="1"/>
  <c r="B901" i="159" s="1"/>
  <c r="B1464" i="159"/>
  <c r="B1468" i="159" s="1"/>
  <c r="B1469" i="159" s="1"/>
  <c r="B1457" i="159"/>
  <c r="B1461" i="159" s="1"/>
  <c r="B1462" i="159" s="1"/>
  <c r="B1513" i="159"/>
  <c r="B1517" i="159" s="1"/>
  <c r="B1518" i="159" s="1"/>
  <c r="B2889" i="159"/>
  <c r="B2893" i="159" s="1"/>
  <c r="B2894" i="159" s="1"/>
  <c r="B5699" i="159"/>
  <c r="B3645" i="159"/>
  <c r="B3649" i="159" s="1"/>
  <c r="B3650" i="159" s="1"/>
  <c r="B243" i="159"/>
  <c r="B247" i="159" s="1"/>
  <c r="B248" i="159" s="1"/>
  <c r="B2221" i="159"/>
  <c r="B2225" i="159" s="1"/>
  <c r="B2226" i="159" s="1"/>
  <c r="B3715" i="159"/>
  <c r="B3719" i="159" s="1"/>
  <c r="B3720" i="159" s="1"/>
  <c r="B882" i="159"/>
  <c r="B886" i="159" s="1"/>
  <c r="B887" i="159" s="1"/>
  <c r="B1898" i="159"/>
  <c r="B1902" i="159" s="1"/>
  <c r="B1903" i="159" s="1"/>
  <c r="B74" i="159"/>
  <c r="B78" i="159" s="1"/>
  <c r="B79" i="159" s="1"/>
  <c r="B5278" i="159"/>
  <c r="B5282" i="159" s="1"/>
  <c r="B5283" i="159" s="1"/>
  <c r="B2291" i="159"/>
  <c r="B2295" i="159" s="1"/>
  <c r="B2296" i="159" s="1"/>
  <c r="B4654" i="159"/>
  <c r="B4658" i="159" s="1"/>
  <c r="B4659" i="159" s="1"/>
  <c r="B5369" i="159"/>
  <c r="B5373" i="159" s="1"/>
  <c r="B5374" i="159" s="1"/>
  <c r="B404" i="159"/>
  <c r="B408" i="159" s="1"/>
  <c r="B409" i="159" s="1"/>
  <c r="B2487" i="159"/>
  <c r="B2491" i="159" s="1"/>
  <c r="B2492" i="159" s="1"/>
  <c r="B2987" i="159"/>
  <c r="B2991" i="159" s="1"/>
  <c r="B2992" i="159" s="1"/>
  <c r="B1856" i="159"/>
  <c r="B1860" i="159" s="1"/>
  <c r="B1861" i="159" s="1"/>
  <c r="B5574" i="159"/>
  <c r="B5578" i="159" s="1"/>
  <c r="B5579" i="159" s="1"/>
  <c r="B2740" i="159"/>
  <c r="B2744" i="159" s="1"/>
  <c r="B2745" i="159" s="1"/>
  <c r="B1191" i="159"/>
  <c r="B1195" i="159" s="1"/>
  <c r="B1196" i="159" s="1"/>
  <c r="B551" i="159"/>
  <c r="B555" i="159" s="1"/>
  <c r="B556" i="159" s="1"/>
  <c r="B474" i="159"/>
  <c r="B478" i="159" s="1"/>
  <c r="B479" i="159" s="1"/>
  <c r="B3358" i="159"/>
  <c r="B3362" i="159" s="1"/>
  <c r="B3363" i="159" s="1"/>
  <c r="B2095" i="159"/>
  <c r="B2099" i="159" s="1"/>
  <c r="B2100" i="159" s="1"/>
  <c r="B530" i="159"/>
  <c r="B534" i="159" s="1"/>
  <c r="B535" i="159" s="1"/>
  <c r="B5567" i="159"/>
  <c r="B5571" i="159" s="1"/>
  <c r="B5572" i="159" s="1"/>
  <c r="B117" i="159"/>
  <c r="B121" i="159" s="1"/>
  <c r="B122" i="159" s="1"/>
  <c r="B1296" i="159"/>
  <c r="B1300" i="159" s="1"/>
  <c r="B1301" i="159" s="1"/>
  <c r="B3022" i="159"/>
  <c r="B3026" i="159" s="1"/>
  <c r="B3027" i="159" s="1"/>
  <c r="B1268" i="159"/>
  <c r="B1272" i="159" s="1"/>
  <c r="B1273" i="159" s="1"/>
  <c r="B2599" i="159"/>
  <c r="B2603" i="159" s="1"/>
  <c r="B2604" i="159" s="1"/>
  <c r="B5489" i="159"/>
  <c r="B2501" i="159"/>
  <c r="B2505" i="159" s="1"/>
  <c r="B2506" i="159" s="1"/>
  <c r="B3561" i="159"/>
  <c r="B3565" i="159" s="1"/>
  <c r="B3566" i="159" s="1"/>
  <c r="B2606" i="159"/>
  <c r="B2610" i="159" s="1"/>
  <c r="B2611" i="159" s="1"/>
  <c r="B5327" i="159"/>
  <c r="B5331" i="159" s="1"/>
  <c r="B5332" i="159" s="1"/>
  <c r="B579" i="159"/>
  <c r="B583" i="159" s="1"/>
  <c r="B584" i="159" s="1"/>
  <c r="B88" i="159"/>
  <c r="B92" i="159" s="1"/>
  <c r="B93" i="159" s="1"/>
  <c r="B3722" i="159"/>
  <c r="B3726" i="159" s="1"/>
  <c r="B3727" i="159" s="1"/>
  <c r="B32" i="159"/>
  <c r="B36" i="159" s="1"/>
  <c r="B37" i="159" s="1"/>
  <c r="B4633" i="159"/>
  <c r="B4637" i="159" s="1"/>
  <c r="B4638" i="159" s="1"/>
  <c r="B4647" i="159"/>
  <c r="B4651" i="159" s="1"/>
  <c r="B4652" i="159" s="1"/>
  <c r="B3526" i="159"/>
  <c r="B3530" i="159" s="1"/>
  <c r="B3531" i="159" s="1"/>
  <c r="B3281" i="159"/>
  <c r="B3285" i="159" s="1"/>
  <c r="B3286" i="159" s="1"/>
  <c r="B3827" i="159"/>
  <c r="B3831" i="159" s="1"/>
  <c r="B3832" i="159" s="1"/>
  <c r="B1597" i="159"/>
  <c r="B1601" i="159" s="1"/>
  <c r="B1602" i="159" s="1"/>
  <c r="B743" i="159"/>
  <c r="B868" i="159"/>
  <c r="B872" i="159" s="1"/>
  <c r="B873" i="159" s="1"/>
  <c r="B1436" i="159"/>
  <c r="B1440" i="159" s="1"/>
  <c r="B1441" i="159" s="1"/>
  <c r="B2536" i="159"/>
  <c r="B2540" i="159" s="1"/>
  <c r="B2541" i="159" s="1"/>
  <c r="B2417" i="159"/>
  <c r="B2421" i="159" s="1"/>
  <c r="B2422" i="159" s="1"/>
  <c r="B5299" i="159"/>
  <c r="B5303" i="159" s="1"/>
  <c r="B5304" i="159" s="1"/>
  <c r="B439" i="159"/>
  <c r="B443" i="159" s="1"/>
  <c r="B444" i="159" s="1"/>
  <c r="B215" i="159"/>
  <c r="B219" i="159" s="1"/>
  <c r="B220" i="159" s="1"/>
  <c r="B4492" i="159"/>
  <c r="B4496" i="159" s="1"/>
  <c r="B4497" i="159" s="1"/>
  <c r="B3624" i="159"/>
  <c r="B3628" i="159" s="1"/>
  <c r="B3629" i="159" s="1"/>
  <c r="B4710" i="159"/>
  <c r="B4714" i="159" s="1"/>
  <c r="B4715" i="159" s="1"/>
  <c r="B2263" i="159"/>
  <c r="B2267" i="159" s="1"/>
  <c r="B2268" i="159" s="1"/>
  <c r="B2662" i="159"/>
  <c r="B2666" i="159" s="1"/>
  <c r="B2667" i="159" s="1"/>
  <c r="B919" i="159"/>
  <c r="B2508" i="159"/>
  <c r="B2512" i="159" s="1"/>
  <c r="B2513" i="159" s="1"/>
  <c r="B3743" i="159"/>
  <c r="B3747" i="159" s="1"/>
  <c r="B3748" i="159" s="1"/>
  <c r="B180" i="159"/>
  <c r="B184" i="159" s="1"/>
  <c r="B185" i="159" s="1"/>
  <c r="B1591" i="159"/>
  <c r="B4613" i="159"/>
  <c r="B862" i="159"/>
  <c r="B5229" i="159"/>
  <c r="B5233" i="159" s="1"/>
  <c r="B5234" i="159" s="1"/>
  <c r="B97" i="159"/>
  <c r="B820" i="159"/>
  <c r="B737" i="159"/>
  <c r="B104" i="159"/>
  <c r="B4072" i="159"/>
  <c r="B4076" i="159" s="1"/>
  <c r="B4077" i="159" s="1"/>
  <c r="B4212" i="159"/>
  <c r="B4216" i="159" s="1"/>
  <c r="B4217" i="159" s="1"/>
  <c r="B1548" i="159"/>
  <c r="B1552" i="159" s="1"/>
  <c r="B1553" i="159" s="1"/>
  <c r="B1870" i="159"/>
  <c r="B1874" i="159" s="1"/>
  <c r="B1875" i="159" s="1"/>
  <c r="B391" i="159"/>
  <c r="B4598" i="159"/>
  <c r="B3814" i="159"/>
  <c r="B4907" i="159"/>
  <c r="B1493" i="159"/>
  <c r="B4416" i="159"/>
  <c r="B5217" i="159"/>
  <c r="B3842" i="159"/>
  <c r="B2068" i="159"/>
  <c r="B5370" i="159"/>
  <c r="B3695" i="159"/>
  <c r="B4045" i="159"/>
  <c r="B2741" i="159"/>
  <c r="B3870" i="159"/>
  <c r="B4297" i="159"/>
  <c r="B4690" i="159"/>
  <c r="B3891" i="159"/>
  <c r="B4311" i="159"/>
  <c r="B3387" i="159"/>
  <c r="B132" i="159"/>
  <c r="B1318" i="159"/>
  <c r="B1213" i="159"/>
  <c r="B5047" i="159"/>
  <c r="B3149" i="159"/>
  <c r="B4577" i="159"/>
  <c r="B5666" i="159"/>
  <c r="B4697" i="159"/>
  <c r="B4542" i="159"/>
  <c r="B3219" i="159"/>
  <c r="B4346" i="159"/>
  <c r="B4150" i="159"/>
  <c r="B3555" i="159"/>
  <c r="B1332" i="159"/>
  <c r="B1787" i="159"/>
  <c r="B4514" i="159"/>
  <c r="B1185" i="159"/>
  <c r="B4332" i="159"/>
  <c r="B5244" i="159"/>
  <c r="B3688" i="159"/>
  <c r="B2869" i="159"/>
  <c r="B342" i="159"/>
  <c r="B4704" i="159"/>
  <c r="B4614" i="159"/>
  <c r="B5201" i="159"/>
  <c r="B2890" i="159"/>
  <c r="B4010" i="159"/>
  <c r="B4914" i="159"/>
  <c r="B3205" i="159"/>
  <c r="B1297" i="159"/>
  <c r="B3114" i="159"/>
  <c r="B5652" i="159"/>
  <c r="B3772" i="159"/>
  <c r="B4879" i="159"/>
  <c r="B1570" i="159"/>
  <c r="B5694" i="159"/>
  <c r="B1164" i="159"/>
  <c r="B1703" i="159"/>
  <c r="B524" i="159"/>
  <c r="B2018" i="159"/>
  <c r="B3905" i="159"/>
  <c r="B2481" i="159"/>
  <c r="B3310" i="159"/>
  <c r="B4024" i="159"/>
  <c r="B615" i="159"/>
  <c r="B3317" i="159"/>
  <c r="B4549" i="159"/>
  <c r="B1423" i="159"/>
  <c r="B3541" i="159"/>
  <c r="B4774" i="159"/>
  <c r="B1241" i="159"/>
  <c r="B5377" i="159"/>
  <c r="B1171" i="159"/>
  <c r="B1920" i="159"/>
  <c r="B5293" i="159"/>
  <c r="B707" i="159"/>
  <c r="B5540" i="159"/>
  <c r="B4171" i="159"/>
  <c r="B4620" i="159"/>
  <c r="B4535" i="159"/>
  <c r="B5673" i="159"/>
  <c r="B1990" i="159"/>
  <c r="B5582" i="159"/>
  <c r="B2208" i="159"/>
  <c r="B4395" i="159"/>
  <c r="B4802" i="159"/>
  <c r="B5110" i="159"/>
  <c r="B3744" i="159"/>
  <c r="B1647" i="159"/>
  <c r="B3240" i="159"/>
  <c r="B559" i="159"/>
  <c r="B1465" i="159"/>
  <c r="B5096" i="159"/>
  <c r="B3898" i="159"/>
  <c r="B5194" i="159"/>
  <c r="B2243" i="159"/>
  <c r="B2904" i="159"/>
  <c r="B4865" i="159"/>
  <c r="B2848" i="159"/>
  <c r="B3380" i="159"/>
  <c r="B2138" i="159"/>
  <c r="B5412" i="159"/>
  <c r="B1409" i="159"/>
  <c r="B2075" i="159"/>
  <c r="B5082" i="159"/>
  <c r="B4486" i="159"/>
  <c r="B1276" i="159"/>
  <c r="B1283" i="159"/>
  <c r="B3415" i="159"/>
  <c r="B1850" i="159"/>
  <c r="B1983" i="159"/>
  <c r="B552" i="159"/>
  <c r="B1913" i="159"/>
  <c r="B4605" i="159"/>
  <c r="B2764" i="159"/>
  <c r="B2236" i="159"/>
  <c r="B5519" i="159"/>
  <c r="B2047" i="159"/>
  <c r="B5433" i="159"/>
  <c r="B398" i="159"/>
  <c r="B4367" i="159"/>
  <c r="B1668" i="159"/>
  <c r="B2306" i="159"/>
  <c r="B1500" i="159"/>
  <c r="B3177" i="159"/>
  <c r="B5286" i="159"/>
  <c r="B2578" i="159"/>
  <c r="B2582" i="159" s="1"/>
  <c r="B2583" i="159" s="1"/>
  <c r="B5454" i="159"/>
  <c r="B996" i="159"/>
  <c r="B2621" i="159"/>
  <c r="B4683" i="159"/>
  <c r="B5659" i="159"/>
  <c r="B1632" i="159"/>
  <c r="B1636" i="159" s="1"/>
  <c r="B1637" i="159" s="1"/>
  <c r="B3519" i="159"/>
  <c r="B3523" i="159" s="1"/>
  <c r="B3524" i="159" s="1"/>
  <c r="B4927" i="159"/>
  <c r="B4931" i="159" s="1"/>
  <c r="B4932" i="159" s="1"/>
  <c r="B4282" i="159"/>
  <c r="B4286" i="159" s="1"/>
  <c r="B4287" i="159" s="1"/>
  <c r="B5130" i="159"/>
  <c r="B5134" i="159" s="1"/>
  <c r="B5135" i="159" s="1"/>
  <c r="B4338" i="159"/>
  <c r="B4342" i="159" s="1"/>
  <c r="B4343" i="159" s="1"/>
  <c r="B4009" i="159"/>
  <c r="B4013" i="159" s="1"/>
  <c r="B4014" i="159" s="1"/>
  <c r="B861" i="159"/>
  <c r="B865" i="159" s="1"/>
  <c r="B866" i="159" s="1"/>
  <c r="B46" i="159"/>
  <c r="B50" i="159" s="1"/>
  <c r="B51" i="159" s="1"/>
  <c r="B1107" i="159"/>
  <c r="B1111" i="159" s="1"/>
  <c r="B1112" i="159" s="1"/>
  <c r="B4590" i="159"/>
  <c r="B4594" i="159" s="1"/>
  <c r="B4595" i="159" s="1"/>
  <c r="B917" i="159"/>
  <c r="B621" i="159"/>
  <c r="R2739" i="159"/>
  <c r="S2739" i="159" s="1"/>
  <c r="R31" i="159"/>
  <c r="S31" i="159" s="1"/>
  <c r="R95" i="159"/>
  <c r="S95" i="159" s="1"/>
  <c r="R2761" i="159"/>
  <c r="S2761" i="159" s="1"/>
  <c r="B1002" i="159"/>
  <c r="B1006" i="159" s="1"/>
  <c r="B1007" i="159" s="1"/>
  <c r="R2804" i="159"/>
  <c r="S2804" i="159" s="1"/>
  <c r="R5510" i="159"/>
  <c r="S5510" i="159" s="1"/>
  <c r="B2739" i="159"/>
  <c r="R5650" i="159"/>
  <c r="S5650" i="159" s="1"/>
  <c r="R5431" i="159"/>
  <c r="S5431" i="159" s="1"/>
  <c r="B4604" i="159"/>
  <c r="B4608" i="159" s="1"/>
  <c r="B4609" i="159" s="1"/>
  <c r="B4345" i="159"/>
  <c r="B4349" i="159" s="1"/>
  <c r="B4350" i="159" s="1"/>
  <c r="B3806" i="159"/>
  <c r="B3810" i="159" s="1"/>
  <c r="B3811" i="159" s="1"/>
  <c r="B3155" i="159"/>
  <c r="B3159" i="159" s="1"/>
  <c r="B3160" i="159" s="1"/>
  <c r="B4611" i="159"/>
  <c r="R5066" i="159"/>
  <c r="S5066" i="159" s="1"/>
  <c r="R5657" i="159"/>
  <c r="S5657" i="159" s="1"/>
  <c r="R5664" i="159"/>
  <c r="S5664" i="159" s="1"/>
  <c r="R5713" i="159"/>
  <c r="S5713" i="159" s="1"/>
  <c r="R5629" i="159"/>
  <c r="S5629" i="159" s="1"/>
  <c r="B5081" i="159"/>
  <c r="B5085" i="159" s="1"/>
  <c r="B5086" i="159" s="1"/>
  <c r="B4843" i="159"/>
  <c r="B4847" i="159" s="1"/>
  <c r="B4848" i="159" s="1"/>
  <c r="B2249" i="159"/>
  <c r="B2253" i="159" s="1"/>
  <c r="B2254" i="159" s="1"/>
  <c r="R734" i="159"/>
  <c r="S734" i="159" s="1"/>
  <c r="R917" i="159"/>
  <c r="S917" i="159" s="1"/>
  <c r="R621" i="159"/>
  <c r="S621" i="159" s="1"/>
  <c r="R5214" i="159"/>
  <c r="S5214" i="159" s="1"/>
  <c r="R5489" i="159"/>
  <c r="S5489" i="159" s="1"/>
  <c r="B5046" i="159"/>
  <c r="B5050" i="159" s="1"/>
  <c r="B5051" i="159" s="1"/>
  <c r="B685" i="159"/>
  <c r="B689" i="159" s="1"/>
  <c r="B690" i="159" s="1"/>
  <c r="R5474" i="159"/>
  <c r="S5474" i="159" s="1"/>
  <c r="B208" i="159"/>
  <c r="B212" i="159" s="1"/>
  <c r="B213" i="159" s="1"/>
  <c r="R5573" i="159"/>
  <c r="S5573" i="159" s="1"/>
  <c r="B4731" i="159"/>
  <c r="B4735" i="159" s="1"/>
  <c r="B4736" i="159" s="1"/>
  <c r="R5552" i="159"/>
  <c r="S5552" i="159" s="1"/>
  <c r="R5488" i="159"/>
  <c r="S5488" i="159" s="1"/>
  <c r="B4661" i="159"/>
  <c r="B4665" i="159" s="1"/>
  <c r="B4666" i="159" s="1"/>
  <c r="R2031" i="159"/>
  <c r="S2031" i="159" s="1"/>
  <c r="R5559" i="159"/>
  <c r="S5559" i="159" s="1"/>
  <c r="R4989" i="159"/>
  <c r="S4989" i="159" s="1"/>
  <c r="R4611" i="159"/>
  <c r="S4611" i="159" s="1"/>
  <c r="B3015" i="159"/>
  <c r="B3019" i="159" s="1"/>
  <c r="B3020" i="159" s="1"/>
  <c r="B4745" i="159"/>
  <c r="B4749" i="159" s="1"/>
  <c r="B4750" i="159" s="1"/>
  <c r="B2776" i="159"/>
  <c r="B2780" i="159" s="1"/>
  <c r="B2781" i="159" s="1"/>
  <c r="B5348" i="159"/>
  <c r="B5352" i="159" s="1"/>
  <c r="B5353" i="159" s="1"/>
  <c r="B5039" i="159"/>
  <c r="B5043" i="159" s="1"/>
  <c r="B5044" i="159" s="1"/>
  <c r="B4696" i="159"/>
  <c r="B4700" i="159" s="1"/>
  <c r="B4701" i="159" s="1"/>
  <c r="B5215" i="159"/>
  <c r="B5219" i="159" s="1"/>
  <c r="B5220" i="159" s="1"/>
  <c r="B453" i="159"/>
  <c r="B457" i="159" s="1"/>
  <c r="B458" i="159" s="1"/>
  <c r="B3589" i="159"/>
  <c r="B3593" i="159" s="1"/>
  <c r="B3594" i="159" s="1"/>
  <c r="B5207" i="159"/>
  <c r="B5211" i="159" s="1"/>
  <c r="B5212" i="159" s="1"/>
  <c r="R5171" i="159"/>
  <c r="S5171" i="159" s="1"/>
  <c r="R5045" i="159"/>
  <c r="S5045" i="159" s="1"/>
  <c r="B4920" i="159"/>
  <c r="B4924" i="159" s="1"/>
  <c r="B4925" i="159" s="1"/>
  <c r="B5011" i="159"/>
  <c r="B5015" i="159" s="1"/>
  <c r="B5016" i="159" s="1"/>
  <c r="B4780" i="159"/>
  <c r="B4784" i="159" s="1"/>
  <c r="B4785" i="159" s="1"/>
  <c r="R4702" i="159"/>
  <c r="S4702" i="159" s="1"/>
  <c r="B4626" i="159"/>
  <c r="B4630" i="159" s="1"/>
  <c r="B4631" i="159" s="1"/>
  <c r="B4612" i="159"/>
  <c r="B4616" i="159" s="1"/>
  <c r="B4617" i="159" s="1"/>
  <c r="B4513" i="159"/>
  <c r="B4517" i="159" s="1"/>
  <c r="B4518" i="159" s="1"/>
  <c r="B4359" i="159"/>
  <c r="B4363" i="159" s="1"/>
  <c r="B4364" i="159" s="1"/>
  <c r="R4526" i="159"/>
  <c r="S4526" i="159" s="1"/>
  <c r="R4372" i="159"/>
  <c r="S4372" i="159" s="1"/>
  <c r="R4379" i="159"/>
  <c r="S4379" i="159" s="1"/>
  <c r="R4456" i="159"/>
  <c r="S4456" i="159" s="1"/>
  <c r="B4079" i="159"/>
  <c r="B4083" i="159" s="1"/>
  <c r="B4084" i="159" s="1"/>
  <c r="R4274" i="159"/>
  <c r="S4274" i="159" s="1"/>
  <c r="R4225" i="159"/>
  <c r="S4225" i="159" s="1"/>
  <c r="R4106" i="159"/>
  <c r="S4106" i="159" s="1"/>
  <c r="R3945" i="159"/>
  <c r="S3945" i="159" s="1"/>
  <c r="B4100" i="159"/>
  <c r="B4104" i="159" s="1"/>
  <c r="B4105" i="159" s="1"/>
  <c r="R3616" i="159"/>
  <c r="S3616" i="159" s="1"/>
  <c r="R3693" i="159"/>
  <c r="S3693" i="159" s="1"/>
  <c r="B3148" i="159"/>
  <c r="B3152" i="159" s="1"/>
  <c r="B3153" i="159" s="1"/>
  <c r="R3133" i="159"/>
  <c r="S3133" i="159" s="1"/>
  <c r="R2923" i="159"/>
  <c r="S2923" i="159" s="1"/>
  <c r="R2916" i="159"/>
  <c r="S2916" i="159" s="1"/>
  <c r="R2888" i="159"/>
  <c r="S2888" i="159" s="1"/>
  <c r="B2522" i="159"/>
  <c r="B2526" i="159" s="1"/>
  <c r="B2527" i="159" s="1"/>
  <c r="R2402" i="159"/>
  <c r="S2402" i="159" s="1"/>
  <c r="R1974" i="159"/>
  <c r="S1974" i="159" s="1"/>
  <c r="R2002" i="159"/>
  <c r="S2002" i="159" s="1"/>
  <c r="B1772" i="159"/>
  <c r="B1776" i="159" s="1"/>
  <c r="B1777" i="159" s="1"/>
  <c r="B1261" i="159"/>
  <c r="B1265" i="159" s="1"/>
  <c r="B1266" i="159" s="1"/>
  <c r="B1625" i="159"/>
  <c r="B1629" i="159" s="1"/>
  <c r="B1630" i="159" s="1"/>
  <c r="R1540" i="159"/>
  <c r="S1540" i="159" s="1"/>
  <c r="B1611" i="159"/>
  <c r="B1615" i="159" s="1"/>
  <c r="B1616" i="159" s="1"/>
  <c r="B1247" i="159"/>
  <c r="B1251" i="159" s="1"/>
  <c r="B1252" i="159" s="1"/>
  <c r="R783" i="159"/>
  <c r="S783" i="159" s="1"/>
  <c r="R994" i="159"/>
  <c r="S994" i="159" s="1"/>
  <c r="B735" i="159"/>
  <c r="B739" i="159" s="1"/>
  <c r="B740" i="159" s="1"/>
  <c r="R733" i="159"/>
  <c r="S733" i="159" s="1"/>
  <c r="B292" i="159"/>
  <c r="B296" i="159" s="1"/>
  <c r="B297" i="159" s="1"/>
  <c r="B124" i="159"/>
  <c r="B128" i="159" s="1"/>
  <c r="B129" i="159" s="1"/>
  <c r="B341" i="159"/>
  <c r="B345" i="159" s="1"/>
  <c r="B346" i="159" s="1"/>
  <c r="B446" i="159"/>
  <c r="B450" i="159" s="1"/>
  <c r="B451" i="159" s="1"/>
  <c r="B5651" i="159"/>
  <c r="B5655" i="159" s="1"/>
  <c r="B5656" i="159" s="1"/>
  <c r="R5566" i="159"/>
  <c r="S5566" i="159" s="1"/>
  <c r="R5417" i="159"/>
  <c r="S5417" i="159" s="1"/>
  <c r="R5192" i="159"/>
  <c r="S5192" i="159" s="1"/>
  <c r="R5291" i="159"/>
  <c r="S5291" i="159" s="1"/>
  <c r="R5270" i="159"/>
  <c r="S5270" i="159" s="1"/>
  <c r="R5010" i="159"/>
  <c r="S5010" i="159" s="1"/>
  <c r="B4885" i="159"/>
  <c r="B4889" i="159" s="1"/>
  <c r="B4890" i="159" s="1"/>
  <c r="R4653" i="159"/>
  <c r="S4653" i="159" s="1"/>
  <c r="R4618" i="159"/>
  <c r="S4618" i="159" s="1"/>
  <c r="R4575" i="159"/>
  <c r="S4575" i="159" s="1"/>
  <c r="B4254" i="159"/>
  <c r="B4258" i="159" s="1"/>
  <c r="B4259" i="159" s="1"/>
  <c r="B4219" i="159"/>
  <c r="B4223" i="159" s="1"/>
  <c r="B4224" i="159" s="1"/>
  <c r="B4310" i="159"/>
  <c r="B4314" i="159" s="1"/>
  <c r="B4315" i="159" s="1"/>
  <c r="R4211" i="159"/>
  <c r="S4211" i="159" s="1"/>
  <c r="R4435" i="159"/>
  <c r="S4435" i="159" s="1"/>
  <c r="R4134" i="159"/>
  <c r="S4134" i="159" s="1"/>
  <c r="B3701" i="159"/>
  <c r="B3705" i="159" s="1"/>
  <c r="B3706" i="159" s="1"/>
  <c r="R3889" i="159"/>
  <c r="S3889" i="159" s="1"/>
  <c r="R3896" i="159"/>
  <c r="S3896" i="159" s="1"/>
  <c r="B3883" i="159"/>
  <c r="B3887" i="159" s="1"/>
  <c r="B3888" i="159" s="1"/>
  <c r="R3826" i="159"/>
  <c r="S3826" i="159" s="1"/>
  <c r="B3995" i="159"/>
  <c r="B3999" i="159" s="1"/>
  <c r="B4000" i="159" s="1"/>
  <c r="B3946" i="159"/>
  <c r="B3950" i="159" s="1"/>
  <c r="B3951" i="159" s="1"/>
  <c r="B3918" i="159"/>
  <c r="B3922" i="159" s="1"/>
  <c r="B3923" i="159" s="1"/>
  <c r="B3869" i="159"/>
  <c r="B3873" i="159" s="1"/>
  <c r="B3874" i="159" s="1"/>
  <c r="B3771" i="159"/>
  <c r="B3775" i="159" s="1"/>
  <c r="B3776" i="159" s="1"/>
  <c r="B3554" i="159"/>
  <c r="B3558" i="159" s="1"/>
  <c r="B3559" i="159" s="1"/>
  <c r="B3344" i="159"/>
  <c r="B3348" i="159" s="1"/>
  <c r="B3349" i="159" s="1"/>
  <c r="B3484" i="159"/>
  <c r="B3488" i="159" s="1"/>
  <c r="B3489" i="159" s="1"/>
  <c r="R3406" i="159"/>
  <c r="S3406" i="159" s="1"/>
  <c r="R3553" i="159"/>
  <c r="S3553" i="159" s="1"/>
  <c r="R3175" i="159"/>
  <c r="S3175" i="159" s="1"/>
  <c r="R3056" i="159"/>
  <c r="S3056" i="159" s="1"/>
  <c r="R2993" i="159"/>
  <c r="S2993" i="159" s="1"/>
  <c r="R3028" i="159"/>
  <c r="S3028" i="159" s="1"/>
  <c r="R2811" i="159"/>
  <c r="S2811" i="159" s="1"/>
  <c r="B2480" i="159"/>
  <c r="B2484" i="159" s="1"/>
  <c r="B2485" i="159" s="1"/>
  <c r="B2812" i="159"/>
  <c r="B2816" i="159" s="1"/>
  <c r="B2817" i="159" s="1"/>
  <c r="R2746" i="159"/>
  <c r="S2746" i="159" s="1"/>
  <c r="B2473" i="159"/>
  <c r="B2477" i="159" s="1"/>
  <c r="B2478" i="159" s="1"/>
  <c r="B2305" i="159"/>
  <c r="B2309" i="159" s="1"/>
  <c r="B2310" i="159" s="1"/>
  <c r="B2431" i="159"/>
  <c r="B2435" i="159" s="1"/>
  <c r="B2436" i="159" s="1"/>
  <c r="R2591" i="159"/>
  <c r="S2591" i="159" s="1"/>
  <c r="R2374" i="159"/>
  <c r="S2374" i="159" s="1"/>
  <c r="B2403" i="159"/>
  <c r="B2407" i="159" s="1"/>
  <c r="B2408" i="159" s="1"/>
  <c r="B2354" i="159"/>
  <c r="B2358" i="159" s="1"/>
  <c r="B2359" i="159" s="1"/>
  <c r="B1877" i="159"/>
  <c r="B1881" i="159" s="1"/>
  <c r="B1882" i="159" s="1"/>
  <c r="R2143" i="159"/>
  <c r="S2143" i="159" s="1"/>
  <c r="R2073" i="159"/>
  <c r="S2073" i="159" s="1"/>
  <c r="B1982" i="159"/>
  <c r="B1986" i="159" s="1"/>
  <c r="B1987" i="159" s="1"/>
  <c r="B1919" i="159"/>
  <c r="B1923" i="159" s="1"/>
  <c r="B1924" i="159" s="1"/>
  <c r="R1897" i="159"/>
  <c r="S1897" i="159" s="1"/>
  <c r="R1827" i="159"/>
  <c r="S1827" i="159" s="1"/>
  <c r="B1569" i="159"/>
  <c r="B1573" i="159" s="1"/>
  <c r="B1574" i="159" s="1"/>
  <c r="R1645" i="159"/>
  <c r="S1645" i="159" s="1"/>
  <c r="B1590" i="159"/>
  <c r="B1594" i="159" s="1"/>
  <c r="B1595" i="159" s="1"/>
  <c r="R1225" i="159"/>
  <c r="S1225" i="159" s="1"/>
  <c r="R1393" i="159"/>
  <c r="S1393" i="159" s="1"/>
  <c r="R1386" i="159"/>
  <c r="S1386" i="159" s="1"/>
  <c r="B1303" i="159"/>
  <c r="B1307" i="159" s="1"/>
  <c r="B1308" i="159" s="1"/>
  <c r="R1043" i="159"/>
  <c r="S1043" i="159" s="1"/>
  <c r="R705" i="159"/>
  <c r="S705" i="159" s="1"/>
  <c r="R860" i="159"/>
  <c r="S860" i="159" s="1"/>
  <c r="R1085" i="159"/>
  <c r="S1085" i="159" s="1"/>
  <c r="R748" i="159"/>
  <c r="S748" i="159" s="1"/>
  <c r="B742" i="159"/>
  <c r="B746" i="159" s="1"/>
  <c r="B747" i="159" s="1"/>
  <c r="R578" i="159"/>
  <c r="S578" i="159" s="1"/>
  <c r="R389" i="159"/>
  <c r="S389" i="159" s="1"/>
  <c r="R73" i="159"/>
  <c r="S73" i="159" s="1"/>
  <c r="R361" i="159"/>
  <c r="S361" i="159" s="1"/>
  <c r="R66" i="159"/>
  <c r="S66" i="159" s="1"/>
  <c r="B4864" i="159"/>
  <c r="B4868" i="159" s="1"/>
  <c r="B4869" i="159" s="1"/>
  <c r="B4808" i="159"/>
  <c r="B4812" i="159" s="1"/>
  <c r="B4813" i="159" s="1"/>
  <c r="R4730" i="159"/>
  <c r="S4730" i="159" s="1"/>
  <c r="R4737" i="159"/>
  <c r="S4737" i="159" s="1"/>
  <c r="R4632" i="159"/>
  <c r="S4632" i="159" s="1"/>
  <c r="R4589" i="159"/>
  <c r="S4589" i="159" s="1"/>
  <c r="R4470" i="159"/>
  <c r="S4470" i="159" s="1"/>
  <c r="R4302" i="159"/>
  <c r="S4302" i="159" s="1"/>
  <c r="B4352" i="159"/>
  <c r="B4356" i="159" s="1"/>
  <c r="B4357" i="159" s="1"/>
  <c r="B4198" i="159"/>
  <c r="B4202" i="159" s="1"/>
  <c r="B4203" i="159" s="1"/>
  <c r="R4414" i="159"/>
  <c r="S4414" i="159" s="1"/>
  <c r="B4142" i="159"/>
  <c r="B4146" i="159" s="1"/>
  <c r="B4147" i="159" s="1"/>
  <c r="B3897" i="159"/>
  <c r="B3901" i="159" s="1"/>
  <c r="B3902" i="159" s="1"/>
  <c r="R4029" i="159"/>
  <c r="S4029" i="159" s="1"/>
  <c r="B4107" i="159"/>
  <c r="B4111" i="159" s="1"/>
  <c r="B4112" i="159" s="1"/>
  <c r="R3973" i="159"/>
  <c r="S3973" i="159" s="1"/>
  <c r="B3582" i="159"/>
  <c r="B3586" i="159" s="1"/>
  <c r="B3587" i="159" s="1"/>
  <c r="R3462" i="159"/>
  <c r="S3462" i="159" s="1"/>
  <c r="R3434" i="159"/>
  <c r="S3434" i="159" s="1"/>
  <c r="B3407" i="159"/>
  <c r="B3411" i="159" s="1"/>
  <c r="B3412" i="159" s="1"/>
  <c r="R3399" i="159"/>
  <c r="S3399" i="159" s="1"/>
  <c r="R3329" i="159"/>
  <c r="S3329" i="159" s="1"/>
  <c r="B3197" i="159"/>
  <c r="B3201" i="159" s="1"/>
  <c r="B3202" i="159" s="1"/>
  <c r="R2867" i="159"/>
  <c r="S2867" i="159" s="1"/>
  <c r="B2732" i="159"/>
  <c r="B2736" i="159" s="1"/>
  <c r="B2737" i="159" s="1"/>
  <c r="B2592" i="159"/>
  <c r="B2596" i="159" s="1"/>
  <c r="B2597" i="159" s="1"/>
  <c r="B2819" i="159"/>
  <c r="B2823" i="159" s="1"/>
  <c r="B2824" i="159" s="1"/>
  <c r="B2298" i="159"/>
  <c r="B2302" i="159" s="1"/>
  <c r="B2303" i="159" s="1"/>
  <c r="B1884" i="159"/>
  <c r="B1888" i="159" s="1"/>
  <c r="B1889" i="159" s="1"/>
  <c r="R1771" i="159"/>
  <c r="S1771" i="159" s="1"/>
  <c r="B2053" i="159"/>
  <c r="B2057" i="159" s="1"/>
  <c r="B2058" i="159" s="1"/>
  <c r="B2024" i="159"/>
  <c r="B2028" i="159" s="1"/>
  <c r="B2029" i="159" s="1"/>
  <c r="R1904" i="159"/>
  <c r="S1904" i="159" s="1"/>
  <c r="R1841" i="159"/>
  <c r="S1841" i="159" s="1"/>
  <c r="B1751" i="159"/>
  <c r="B1755" i="159" s="1"/>
  <c r="B1756" i="159" s="1"/>
  <c r="R1988" i="159"/>
  <c r="S1988" i="159" s="1"/>
  <c r="R1547" i="159"/>
  <c r="S1547" i="159" s="1"/>
  <c r="B1408" i="159"/>
  <c r="B1412" i="159" s="1"/>
  <c r="B1413" i="159" s="1"/>
  <c r="R1477" i="159"/>
  <c r="S1477" i="159" s="1"/>
  <c r="B1394" i="159"/>
  <c r="B1398" i="159" s="1"/>
  <c r="B1399" i="159" s="1"/>
  <c r="B1135" i="159"/>
  <c r="B1139" i="159" s="1"/>
  <c r="B1140" i="159" s="1"/>
  <c r="R1316" i="159"/>
  <c r="S1316" i="159" s="1"/>
  <c r="R1274" i="159"/>
  <c r="S1274" i="159" s="1"/>
  <c r="B910" i="159"/>
  <c r="B914" i="159" s="1"/>
  <c r="B915" i="159" s="1"/>
  <c r="R924" i="159"/>
  <c r="S924" i="159" s="1"/>
  <c r="R1078" i="159"/>
  <c r="S1078" i="159" s="1"/>
  <c r="R613" i="159"/>
  <c r="S613" i="159" s="1"/>
  <c r="B537" i="159"/>
  <c r="B541" i="159" s="1"/>
  <c r="B542" i="159" s="1"/>
  <c r="R698" i="159"/>
  <c r="S698" i="159" s="1"/>
  <c r="R564" i="159"/>
  <c r="S564" i="159" s="1"/>
  <c r="B250" i="159"/>
  <c r="B254" i="159" s="1"/>
  <c r="B255" i="159" s="1"/>
  <c r="B278" i="159"/>
  <c r="B282" i="159" s="1"/>
  <c r="B283" i="159" s="1"/>
  <c r="B418" i="159"/>
  <c r="B422" i="159" s="1"/>
  <c r="B423" i="159" s="1"/>
  <c r="B25" i="159"/>
  <c r="B29" i="159" s="1"/>
  <c r="B30" i="159" s="1"/>
  <c r="B18" i="159"/>
  <c r="B22" i="159" s="1"/>
  <c r="B23" i="159" s="1"/>
  <c r="B5490" i="159"/>
  <c r="B5494" i="159" s="1"/>
  <c r="B5495" i="159" s="1"/>
  <c r="B5439" i="159"/>
  <c r="B5443" i="159" s="1"/>
  <c r="B5444" i="159" s="1"/>
  <c r="R5545" i="159"/>
  <c r="S5545" i="159" s="1"/>
  <c r="R5438" i="159"/>
  <c r="S5438" i="159" s="1"/>
  <c r="R5228" i="159"/>
  <c r="S5228" i="159" s="1"/>
  <c r="B5243" i="159"/>
  <c r="B5247" i="159" s="1"/>
  <c r="B5248" i="159" s="1"/>
  <c r="B5200" i="159"/>
  <c r="B5204" i="159" s="1"/>
  <c r="B5205" i="159" s="1"/>
  <c r="R4975" i="159"/>
  <c r="S4975" i="159" s="1"/>
  <c r="R5024" i="159"/>
  <c r="S5024" i="159" s="1"/>
  <c r="R4933" i="159"/>
  <c r="S4933" i="159" s="1"/>
  <c r="B4913" i="159"/>
  <c r="B4917" i="159" s="1"/>
  <c r="B4918" i="159" s="1"/>
  <c r="B4689" i="159"/>
  <c r="B4693" i="159" s="1"/>
  <c r="B4694" i="159" s="1"/>
  <c r="R4793" i="159"/>
  <c r="S4793" i="159" s="1"/>
  <c r="R4484" i="159"/>
  <c r="S4484" i="159" s="1"/>
  <c r="B4247" i="159"/>
  <c r="B4251" i="159" s="1"/>
  <c r="B4252" i="159" s="1"/>
  <c r="B3862" i="159"/>
  <c r="B3866" i="159" s="1"/>
  <c r="B3867" i="159" s="1"/>
  <c r="R4197" i="159"/>
  <c r="S4197" i="159" s="1"/>
  <c r="B3932" i="159"/>
  <c r="B3936" i="159" s="1"/>
  <c r="B3937" i="159" s="1"/>
  <c r="R3749" i="159"/>
  <c r="S3749" i="159" s="1"/>
  <c r="R3756" i="159"/>
  <c r="S3756" i="159" s="1"/>
  <c r="B3421" i="159"/>
  <c r="B3425" i="159" s="1"/>
  <c r="B3426" i="159" s="1"/>
  <c r="B3575" i="159"/>
  <c r="B3579" i="159" s="1"/>
  <c r="B3580" i="159" s="1"/>
  <c r="R3364" i="159"/>
  <c r="S3364" i="159" s="1"/>
  <c r="B3225" i="159"/>
  <c r="B3229" i="159" s="1"/>
  <c r="B3230" i="159" s="1"/>
  <c r="B3491" i="159"/>
  <c r="B3495" i="159" s="1"/>
  <c r="B3496" i="159" s="1"/>
  <c r="B3106" i="159"/>
  <c r="B3110" i="159" s="1"/>
  <c r="B3111" i="159" s="1"/>
  <c r="R3105" i="159"/>
  <c r="S3105" i="159" s="1"/>
  <c r="R3021" i="159"/>
  <c r="S3021" i="159" s="1"/>
  <c r="B3029" i="159"/>
  <c r="B3033" i="159" s="1"/>
  <c r="B3034" i="159" s="1"/>
  <c r="R2818" i="159"/>
  <c r="S2818" i="159" s="1"/>
  <c r="R2598" i="159"/>
  <c r="S2598" i="159" s="1"/>
  <c r="B2620" i="159"/>
  <c r="B2624" i="159" s="1"/>
  <c r="B2625" i="159" s="1"/>
  <c r="R2710" i="159"/>
  <c r="S2710" i="159" s="1"/>
  <c r="B2655" i="159"/>
  <c r="B2659" i="159" s="1"/>
  <c r="B2660" i="159" s="1"/>
  <c r="R2437" i="159"/>
  <c r="S2437" i="159" s="1"/>
  <c r="R2318" i="159"/>
  <c r="S2318" i="159" s="1"/>
  <c r="R2549" i="159"/>
  <c r="S2549" i="159" s="1"/>
  <c r="R2472" i="159"/>
  <c r="S2472" i="159" s="1"/>
  <c r="R2360" i="159"/>
  <c r="S2360" i="159" s="1"/>
  <c r="B2088" i="159"/>
  <c r="B2092" i="159" s="1"/>
  <c r="B2093" i="159" s="1"/>
  <c r="B2074" i="159"/>
  <c r="B2078" i="159" s="1"/>
  <c r="B2079" i="159" s="1"/>
  <c r="R1806" i="159"/>
  <c r="S1806" i="159" s="1"/>
  <c r="R1533" i="159"/>
  <c r="S1533" i="159" s="1"/>
  <c r="B1709" i="159"/>
  <c r="B1713" i="159" s="1"/>
  <c r="B1714" i="159" s="1"/>
  <c r="R1582" i="159"/>
  <c r="S1582" i="159" s="1"/>
  <c r="R1519" i="159"/>
  <c r="S1519" i="159" s="1"/>
  <c r="B1450" i="159"/>
  <c r="B1454" i="159" s="1"/>
  <c r="B1455" i="159" s="1"/>
  <c r="R1218" i="159"/>
  <c r="S1218" i="159" s="1"/>
  <c r="R1197" i="159"/>
  <c r="S1197" i="159" s="1"/>
  <c r="B699" i="159"/>
  <c r="B703" i="159" s="1"/>
  <c r="B704" i="159" s="1"/>
  <c r="R677" i="159"/>
  <c r="S677" i="159" s="1"/>
  <c r="R628" i="159"/>
  <c r="S628" i="159" s="1"/>
  <c r="R228" i="159"/>
  <c r="S228" i="159" s="1"/>
  <c r="B495" i="159"/>
  <c r="B499" i="159" s="1"/>
  <c r="B500" i="159" s="1"/>
  <c r="B285" i="159"/>
  <c r="B289" i="159" s="1"/>
  <c r="B290" i="159" s="1"/>
  <c r="B257" i="159"/>
  <c r="B261" i="159" s="1"/>
  <c r="B262" i="159" s="1"/>
  <c r="R557" i="159"/>
  <c r="S557" i="159" s="1"/>
  <c r="R284" i="159"/>
  <c r="S284" i="159" s="1"/>
  <c r="B362" i="159"/>
  <c r="B366" i="159" s="1"/>
  <c r="B367" i="159" s="1"/>
  <c r="R326" i="159"/>
  <c r="S326" i="159" s="1"/>
  <c r="B5467" i="159"/>
  <c r="B5471" i="159" s="1"/>
  <c r="B5472" i="159" s="1"/>
  <c r="R5481" i="159"/>
  <c r="S5481" i="159" s="1"/>
  <c r="R5326" i="159"/>
  <c r="S5326" i="159" s="1"/>
  <c r="B5446" i="159"/>
  <c r="B5450" i="159" s="1"/>
  <c r="B5451" i="159" s="1"/>
  <c r="R5503" i="159"/>
  <c r="S5503" i="159" s="1"/>
  <c r="R5150" i="159"/>
  <c r="S5150" i="159" s="1"/>
  <c r="B5053" i="159"/>
  <c r="B5057" i="159" s="1"/>
  <c r="B5058" i="159" s="1"/>
  <c r="B4969" i="159"/>
  <c r="B4973" i="159" s="1"/>
  <c r="B4974" i="159" s="1"/>
  <c r="B4724" i="159"/>
  <c r="B4728" i="159" s="1"/>
  <c r="B4729" i="159" s="1"/>
  <c r="R4772" i="159"/>
  <c r="S4772" i="159" s="1"/>
  <c r="R4681" i="159"/>
  <c r="S4681" i="159" s="1"/>
  <c r="B4506" i="159"/>
  <c r="B4510" i="159" s="1"/>
  <c r="B4511" i="159" s="1"/>
  <c r="B4464" i="159"/>
  <c r="B4468" i="159" s="1"/>
  <c r="B4469" i="159" s="1"/>
  <c r="B4436" i="159"/>
  <c r="B4440" i="159" s="1"/>
  <c r="B4441" i="159" s="1"/>
  <c r="B4205" i="159"/>
  <c r="B4209" i="159" s="1"/>
  <c r="B4210" i="159" s="1"/>
  <c r="R4036" i="159"/>
  <c r="S4036" i="159" s="1"/>
  <c r="R3875" i="159"/>
  <c r="S3875" i="159" s="1"/>
  <c r="R3819" i="159"/>
  <c r="S3819" i="159" s="1"/>
  <c r="R4015" i="159"/>
  <c r="S4015" i="159" s="1"/>
  <c r="R3812" i="159"/>
  <c r="S3812" i="159" s="1"/>
  <c r="R3672" i="159"/>
  <c r="S3672" i="159" s="1"/>
  <c r="R3798" i="159"/>
  <c r="S3798" i="159" s="1"/>
  <c r="B3841" i="159"/>
  <c r="B3845" i="159" s="1"/>
  <c r="B3846" i="159" s="1"/>
  <c r="R3742" i="159"/>
  <c r="S3742" i="159" s="1"/>
  <c r="B3323" i="159"/>
  <c r="B3327" i="159" s="1"/>
  <c r="B3328" i="159" s="1"/>
  <c r="R3455" i="159"/>
  <c r="S3455" i="159" s="1"/>
  <c r="R3203" i="159"/>
  <c r="S3203" i="159" s="1"/>
  <c r="B3260" i="159"/>
  <c r="B3264" i="159" s="1"/>
  <c r="B3265" i="159" s="1"/>
  <c r="B3036" i="159"/>
  <c r="B3040" i="159" s="1"/>
  <c r="B3041" i="159" s="1"/>
  <c r="B3085" i="159"/>
  <c r="B3089" i="159" s="1"/>
  <c r="B3090" i="159" s="1"/>
  <c r="B2966" i="159"/>
  <c r="B2970" i="159" s="1"/>
  <c r="B2971" i="159" s="1"/>
  <c r="B2861" i="159"/>
  <c r="B2865" i="159" s="1"/>
  <c r="B2866" i="159" s="1"/>
  <c r="R2753" i="159"/>
  <c r="S2753" i="159" s="1"/>
  <c r="B2790" i="159"/>
  <c r="B2794" i="159" s="1"/>
  <c r="B2795" i="159" s="1"/>
  <c r="B2690" i="159"/>
  <c r="B2694" i="159" s="1"/>
  <c r="B2695" i="159" s="1"/>
  <c r="B2333" i="159"/>
  <c r="B2337" i="159" s="1"/>
  <c r="B2338" i="159" s="1"/>
  <c r="R2416" i="159"/>
  <c r="S2416" i="159" s="1"/>
  <c r="R2353" i="159"/>
  <c r="S2353" i="159" s="1"/>
  <c r="B1814" i="159"/>
  <c r="B1818" i="159" s="1"/>
  <c r="B1819" i="159" s="1"/>
  <c r="R2262" i="159"/>
  <c r="S2262" i="159" s="1"/>
  <c r="R2241" i="159"/>
  <c r="S2241" i="159" s="1"/>
  <c r="R1820" i="159"/>
  <c r="S1820" i="159" s="1"/>
  <c r="R1960" i="159"/>
  <c r="S1960" i="159" s="1"/>
  <c r="R1785" i="159"/>
  <c r="S1785" i="159" s="1"/>
  <c r="B1583" i="159"/>
  <c r="B1587" i="159" s="1"/>
  <c r="B1588" i="159" s="1"/>
  <c r="R1484" i="159"/>
  <c r="S1484" i="159" s="1"/>
  <c r="B1492" i="159"/>
  <c r="B1496" i="159" s="1"/>
  <c r="B1497" i="159" s="1"/>
  <c r="R1204" i="159"/>
  <c r="S1204" i="159" s="1"/>
  <c r="B932" i="159"/>
  <c r="B936" i="159" s="1"/>
  <c r="B937" i="159" s="1"/>
  <c r="R846" i="159"/>
  <c r="S846" i="159" s="1"/>
  <c r="R888" i="159"/>
  <c r="S888" i="159" s="1"/>
  <c r="R790" i="159"/>
  <c r="S790" i="159" s="1"/>
  <c r="R712" i="159"/>
  <c r="S712" i="159" s="1"/>
  <c r="R585" i="159"/>
  <c r="S585" i="159" s="1"/>
  <c r="B713" i="159"/>
  <c r="B717" i="159" s="1"/>
  <c r="B718" i="159" s="1"/>
  <c r="R818" i="159"/>
  <c r="S818" i="159" s="1"/>
  <c r="B2340" i="159"/>
  <c r="B2344" i="159" s="1"/>
  <c r="B2345" i="159" s="1"/>
  <c r="B544" i="159"/>
  <c r="B548" i="159" s="1"/>
  <c r="B549" i="159" s="1"/>
  <c r="B432" i="159"/>
  <c r="B436" i="159" s="1"/>
  <c r="B437" i="159" s="1"/>
  <c r="R473" i="159"/>
  <c r="S473" i="159" s="1"/>
  <c r="R319" i="159"/>
  <c r="S319" i="159" s="1"/>
  <c r="B327" i="159"/>
  <c r="B331" i="159" s="1"/>
  <c r="B332" i="159" s="1"/>
  <c r="R45" i="159"/>
  <c r="S45" i="159" s="1"/>
  <c r="B5637" i="159"/>
  <c r="B5641" i="159" s="1"/>
  <c r="B5642" i="159" s="1"/>
  <c r="R5361" i="159"/>
  <c r="S5361" i="159" s="1"/>
  <c r="R5375" i="159"/>
  <c r="S5375" i="159" s="1"/>
  <c r="B5432" i="159"/>
  <c r="B5436" i="159" s="1"/>
  <c r="B5437" i="159" s="1"/>
  <c r="R5305" i="159"/>
  <c r="S5305" i="159" s="1"/>
  <c r="R5059" i="159"/>
  <c r="S5059" i="159" s="1"/>
  <c r="B5102" i="159"/>
  <c r="B5106" i="159" s="1"/>
  <c r="B5107" i="159" s="1"/>
  <c r="R5038" i="159"/>
  <c r="S5038" i="159" s="1"/>
  <c r="R4891" i="159"/>
  <c r="S4891" i="159" s="1"/>
  <c r="R4674" i="159"/>
  <c r="S4674" i="159" s="1"/>
  <c r="R4723" i="159"/>
  <c r="S4723" i="159" s="1"/>
  <c r="B4520" i="159"/>
  <c r="B4524" i="159" s="1"/>
  <c r="B4525" i="159" s="1"/>
  <c r="R4582" i="159"/>
  <c r="S4582" i="159" s="1"/>
  <c r="R4295" i="159"/>
  <c r="S4295" i="159" s="1"/>
  <c r="B4065" i="159"/>
  <c r="B4069" i="159" s="1"/>
  <c r="B4070" i="159" s="1"/>
  <c r="R3854" i="159"/>
  <c r="S3854" i="159" s="1"/>
  <c r="B3505" i="159"/>
  <c r="B3509" i="159" s="1"/>
  <c r="B3510" i="159" s="1"/>
  <c r="R3917" i="159"/>
  <c r="S3917" i="159" s="1"/>
  <c r="R4008" i="159"/>
  <c r="S4008" i="159" s="1"/>
  <c r="R3644" i="159"/>
  <c r="S3644" i="159" s="1"/>
  <c r="B3456" i="159"/>
  <c r="B3460" i="159" s="1"/>
  <c r="B3461" i="159" s="1"/>
  <c r="R3784" i="159"/>
  <c r="S3784" i="159" s="1"/>
  <c r="B3757" i="159"/>
  <c r="B3761" i="159" s="1"/>
  <c r="B3762" i="159" s="1"/>
  <c r="R3392" i="159"/>
  <c r="S3392" i="159" s="1"/>
  <c r="B3470" i="159"/>
  <c r="B3474" i="159" s="1"/>
  <c r="B3475" i="159" s="1"/>
  <c r="R3154" i="159"/>
  <c r="S3154" i="159" s="1"/>
  <c r="R3266" i="159"/>
  <c r="S3266" i="159" s="1"/>
  <c r="B2868" i="159"/>
  <c r="B2872" i="159" s="1"/>
  <c r="B2873" i="159" s="1"/>
  <c r="B2945" i="159"/>
  <c r="B2949" i="159" s="1"/>
  <c r="B2950" i="159" s="1"/>
  <c r="R2909" i="159"/>
  <c r="S2909" i="159" s="1"/>
  <c r="R2689" i="159"/>
  <c r="S2689" i="159" s="1"/>
  <c r="B2137" i="159"/>
  <c r="B2141" i="159" s="1"/>
  <c r="B2142" i="159" s="1"/>
  <c r="R2381" i="159"/>
  <c r="S2381" i="159" s="1"/>
  <c r="R2311" i="159"/>
  <c r="S2311" i="159" s="1"/>
  <c r="B2613" i="159"/>
  <c r="B2617" i="159" s="1"/>
  <c r="B2618" i="159" s="1"/>
  <c r="R2479" i="159"/>
  <c r="S2479" i="159" s="1"/>
  <c r="B2039" i="159"/>
  <c r="B2043" i="159" s="1"/>
  <c r="B2044" i="159" s="1"/>
  <c r="B2242" i="159"/>
  <c r="B2246" i="159" s="1"/>
  <c r="B2247" i="159" s="1"/>
  <c r="R2009" i="159"/>
  <c r="S2009" i="159" s="1"/>
  <c r="R1764" i="159"/>
  <c r="S1764" i="159" s="1"/>
  <c r="B1905" i="159"/>
  <c r="B1909" i="159" s="1"/>
  <c r="B1910" i="159" s="1"/>
  <c r="R1512" i="159"/>
  <c r="S1512" i="159" s="1"/>
  <c r="R1491" i="159"/>
  <c r="S1491" i="159" s="1"/>
  <c r="B1401" i="159"/>
  <c r="B1405" i="159" s="1"/>
  <c r="B1406" i="159" s="1"/>
  <c r="B1233" i="159"/>
  <c r="B1237" i="159" s="1"/>
  <c r="B1238" i="159" s="1"/>
  <c r="B1702" i="159"/>
  <c r="B1706" i="159" s="1"/>
  <c r="B1707" i="159" s="1"/>
  <c r="R1715" i="159"/>
  <c r="S1715" i="159" s="1"/>
  <c r="B1128" i="159"/>
  <c r="B1132" i="159" s="1"/>
  <c r="B1133" i="159" s="1"/>
  <c r="B1100" i="159"/>
  <c r="B1104" i="159" s="1"/>
  <c r="B1105" i="159" s="1"/>
  <c r="B1114" i="159"/>
  <c r="B1118" i="159" s="1"/>
  <c r="B1119" i="159" s="1"/>
  <c r="R1162" i="159"/>
  <c r="S1162" i="159" s="1"/>
  <c r="B1093" i="159"/>
  <c r="B1097" i="159" s="1"/>
  <c r="B1098" i="159" s="1"/>
  <c r="R931" i="159"/>
  <c r="S931" i="159" s="1"/>
  <c r="R938" i="159"/>
  <c r="S938" i="159" s="1"/>
  <c r="B777" i="159"/>
  <c r="B781" i="159" s="1"/>
  <c r="B782" i="159" s="1"/>
  <c r="R256" i="159"/>
  <c r="S256" i="159" s="1"/>
  <c r="B103" i="159"/>
  <c r="B107" i="159" s="1"/>
  <c r="B108" i="159" s="1"/>
  <c r="B467" i="159"/>
  <c r="B471" i="159" s="1"/>
  <c r="B472" i="159" s="1"/>
  <c r="B425" i="159"/>
  <c r="B429" i="159" s="1"/>
  <c r="B430" i="159" s="1"/>
  <c r="R207" i="159"/>
  <c r="S207" i="159" s="1"/>
  <c r="B5511" i="159"/>
  <c r="B5515" i="159" s="1"/>
  <c r="B5516" i="159" s="1"/>
  <c r="R5636" i="159"/>
  <c r="S5636" i="159" s="1"/>
  <c r="B5460" i="159"/>
  <c r="B5464" i="159" s="1"/>
  <c r="B5465" i="159" s="1"/>
  <c r="R5312" i="159"/>
  <c r="S5312" i="159" s="1"/>
  <c r="B5482" i="159"/>
  <c r="B5486" i="159" s="1"/>
  <c r="B5487" i="159" s="1"/>
  <c r="B5264" i="159"/>
  <c r="B5268" i="159" s="1"/>
  <c r="B5269" i="159" s="1"/>
  <c r="R5206" i="159"/>
  <c r="S5206" i="159" s="1"/>
  <c r="R5157" i="159"/>
  <c r="S5157" i="159" s="1"/>
  <c r="R5136" i="159"/>
  <c r="S5136" i="159" s="1"/>
  <c r="R5094" i="159"/>
  <c r="S5094" i="159" s="1"/>
  <c r="R4961" i="159"/>
  <c r="S4961" i="159" s="1"/>
  <c r="R4751" i="159"/>
  <c r="S4751" i="159" s="1"/>
  <c r="B4668" i="159"/>
  <c r="B4672" i="159" s="1"/>
  <c r="B4673" i="159" s="1"/>
  <c r="R4716" i="159"/>
  <c r="S4716" i="159" s="1"/>
  <c r="B4555" i="159"/>
  <c r="B4559" i="159" s="1"/>
  <c r="B4560" i="159" s="1"/>
  <c r="B4471" i="159"/>
  <c r="B4475" i="159" s="1"/>
  <c r="B4476" i="159" s="1"/>
  <c r="R4491" i="159"/>
  <c r="S4491" i="159" s="1"/>
  <c r="R4260" i="159"/>
  <c r="S4260" i="159" s="1"/>
  <c r="R4169" i="159"/>
  <c r="S4169" i="159" s="1"/>
  <c r="R4190" i="159"/>
  <c r="S4190" i="159" s="1"/>
  <c r="R4113" i="159"/>
  <c r="S4113" i="159" s="1"/>
  <c r="B3736" i="159"/>
  <c r="B3740" i="159" s="1"/>
  <c r="B3741" i="159" s="1"/>
  <c r="R4092" i="159"/>
  <c r="S4092" i="159" s="1"/>
  <c r="B3638" i="159"/>
  <c r="B3642" i="159" s="1"/>
  <c r="B3643" i="159" s="1"/>
  <c r="R3560" i="159"/>
  <c r="S3560" i="159" s="1"/>
  <c r="R3581" i="159"/>
  <c r="S3581" i="159" s="1"/>
  <c r="R3714" i="159"/>
  <c r="S3714" i="159" s="1"/>
  <c r="B3351" i="159"/>
  <c r="B3355" i="159" s="1"/>
  <c r="B3356" i="159" s="1"/>
  <c r="B3400" i="159"/>
  <c r="B3404" i="159" s="1"/>
  <c r="B3405" i="159" s="1"/>
  <c r="R3161" i="159"/>
  <c r="S3161" i="159" s="1"/>
  <c r="R3308" i="159"/>
  <c r="S3308" i="159" s="1"/>
  <c r="R3231" i="159"/>
  <c r="S3231" i="159" s="1"/>
  <c r="R3189" i="159"/>
  <c r="S3189" i="159" s="1"/>
  <c r="B2959" i="159"/>
  <c r="B2963" i="159" s="1"/>
  <c r="B2964" i="159" s="1"/>
  <c r="R2979" i="159"/>
  <c r="S2979" i="159" s="1"/>
  <c r="R2902" i="159"/>
  <c r="S2902" i="159" s="1"/>
  <c r="B2669" i="159"/>
  <c r="B2673" i="159" s="1"/>
  <c r="B2674" i="159" s="1"/>
  <c r="B2648" i="159"/>
  <c r="B2652" i="159" s="1"/>
  <c r="B2653" i="159" s="1"/>
  <c r="R2675" i="159"/>
  <c r="S2675" i="159" s="1"/>
  <c r="R2556" i="159"/>
  <c r="S2556" i="159" s="1"/>
  <c r="B2081" i="159"/>
  <c r="B2085" i="159" s="1"/>
  <c r="B2086" i="159" s="1"/>
  <c r="B2228" i="159"/>
  <c r="B2232" i="159" s="1"/>
  <c r="B2233" i="159" s="1"/>
  <c r="R2220" i="159"/>
  <c r="S2220" i="159" s="1"/>
  <c r="B2102" i="159"/>
  <c r="B2106" i="159" s="1"/>
  <c r="B2107" i="159" s="1"/>
  <c r="R2185" i="159"/>
  <c r="S2185" i="159" s="1"/>
  <c r="R2388" i="159"/>
  <c r="S2388" i="159" s="1"/>
  <c r="R1953" i="159"/>
  <c r="S1953" i="159" s="1"/>
  <c r="R1694" i="159"/>
  <c r="S1694" i="159" s="1"/>
  <c r="R1778" i="159"/>
  <c r="S1778" i="159" s="1"/>
  <c r="R1883" i="159"/>
  <c r="S1883" i="159" s="1"/>
  <c r="R1701" i="159"/>
  <c r="S1701" i="159" s="1"/>
  <c r="B1373" i="159"/>
  <c r="B1377" i="159" s="1"/>
  <c r="B1378" i="159" s="1"/>
  <c r="B1254" i="159"/>
  <c r="B1258" i="159" s="1"/>
  <c r="B1259" i="159" s="1"/>
  <c r="R916" i="159"/>
  <c r="S916" i="159" s="1"/>
  <c r="B939" i="159"/>
  <c r="B943" i="159" s="1"/>
  <c r="B944" i="159" s="1"/>
  <c r="R811" i="159"/>
  <c r="S811" i="159" s="1"/>
  <c r="B572" i="159"/>
  <c r="B576" i="159" s="1"/>
  <c r="B577" i="159" s="1"/>
  <c r="R529" i="159"/>
  <c r="S529" i="159" s="1"/>
  <c r="B516" i="159"/>
  <c r="B520" i="159" s="1"/>
  <c r="B521" i="159" s="1"/>
  <c r="R494" i="159"/>
  <c r="S494" i="159" s="1"/>
  <c r="B1604" i="159"/>
  <c r="B1608" i="159" s="1"/>
  <c r="B1609" i="159" s="1"/>
  <c r="R487" i="159"/>
  <c r="S487" i="159" s="1"/>
  <c r="B798" i="159"/>
  <c r="B802" i="159" s="1"/>
  <c r="B803" i="159" s="1"/>
  <c r="B383" i="159"/>
  <c r="B387" i="159" s="1"/>
  <c r="B388" i="159" s="1"/>
  <c r="R130" i="159"/>
  <c r="S130" i="159" s="1"/>
  <c r="R403" i="159"/>
  <c r="S403" i="159" s="1"/>
  <c r="R59" i="159"/>
  <c r="S59" i="159" s="1"/>
  <c r="B5672" i="159"/>
  <c r="B5676" i="159" s="1"/>
  <c r="B5677" i="159" s="1"/>
  <c r="R5720" i="159"/>
  <c r="S5720" i="159" s="1"/>
  <c r="R5692" i="159"/>
  <c r="S5692" i="159" s="1"/>
  <c r="B5341" i="159"/>
  <c r="B5345" i="159" s="1"/>
  <c r="B5346" i="159" s="1"/>
  <c r="B5518" i="159"/>
  <c r="B5522" i="159" s="1"/>
  <c r="B5523" i="159" s="1"/>
  <c r="R5284" i="159"/>
  <c r="S5284" i="159" s="1"/>
  <c r="B5165" i="159"/>
  <c r="B5169" i="159" s="1"/>
  <c r="B5170" i="159" s="1"/>
  <c r="B5123" i="159"/>
  <c r="B5127" i="159" s="1"/>
  <c r="B5128" i="159" s="1"/>
  <c r="B5018" i="159"/>
  <c r="B5022" i="159" s="1"/>
  <c r="B5023" i="159" s="1"/>
  <c r="B4899" i="159"/>
  <c r="B4903" i="159" s="1"/>
  <c r="B4904" i="159" s="1"/>
  <c r="R4898" i="159"/>
  <c r="S4898" i="159" s="1"/>
  <c r="R4828" i="159"/>
  <c r="S4828" i="159" s="1"/>
  <c r="R4505" i="159"/>
  <c r="S4505" i="159" s="1"/>
  <c r="B4534" i="159"/>
  <c r="B4538" i="159" s="1"/>
  <c r="B4539" i="159" s="1"/>
  <c r="B4394" i="159"/>
  <c r="B4398" i="159" s="1"/>
  <c r="B4399" i="159" s="1"/>
  <c r="B4548" i="159"/>
  <c r="B4552" i="159" s="1"/>
  <c r="B4553" i="159" s="1"/>
  <c r="B4275" i="159"/>
  <c r="B4279" i="159" s="1"/>
  <c r="B4280" i="159" s="1"/>
  <c r="B4128" i="159"/>
  <c r="B4132" i="159" s="1"/>
  <c r="B4133" i="159" s="1"/>
  <c r="R4148" i="159"/>
  <c r="S4148" i="159" s="1"/>
  <c r="R4064" i="159"/>
  <c r="S4064" i="159" s="1"/>
  <c r="B4044" i="159"/>
  <c r="B4048" i="159" s="1"/>
  <c r="B4049" i="159" s="1"/>
  <c r="B3813" i="159"/>
  <c r="B3817" i="159" s="1"/>
  <c r="B3818" i="159" s="1"/>
  <c r="R3910" i="159"/>
  <c r="S3910" i="159" s="1"/>
  <c r="R3861" i="159"/>
  <c r="S3861" i="159" s="1"/>
  <c r="B3911" i="159"/>
  <c r="B3915" i="159" s="1"/>
  <c r="B3916" i="159" s="1"/>
  <c r="B3610" i="159"/>
  <c r="B3614" i="159" s="1"/>
  <c r="B3615" i="159" s="1"/>
  <c r="R3567" i="159"/>
  <c r="S3567" i="159" s="1"/>
  <c r="B3540" i="159"/>
  <c r="B3544" i="159" s="1"/>
  <c r="B3545" i="159" s="1"/>
  <c r="R3763" i="159"/>
  <c r="S3763" i="159" s="1"/>
  <c r="R3315" i="159"/>
  <c r="S3315" i="159" s="1"/>
  <c r="R3343" i="159"/>
  <c r="S3343" i="159" s="1"/>
  <c r="R3539" i="159"/>
  <c r="S3539" i="159" s="1"/>
  <c r="R3420" i="159"/>
  <c r="S3420" i="159" s="1"/>
  <c r="R3273" i="159"/>
  <c r="S3273" i="159" s="1"/>
  <c r="R3049" i="159"/>
  <c r="S3049" i="159" s="1"/>
  <c r="B3057" i="159"/>
  <c r="B3061" i="159" s="1"/>
  <c r="B3062" i="159" s="1"/>
  <c r="B2938" i="159"/>
  <c r="B2942" i="159" s="1"/>
  <c r="B2943" i="159" s="1"/>
  <c r="B2847" i="159"/>
  <c r="B2851" i="159" s="1"/>
  <c r="B2852" i="159" s="1"/>
  <c r="R2796" i="159"/>
  <c r="S2796" i="159" s="1"/>
  <c r="R2682" i="159"/>
  <c r="S2682" i="159" s="1"/>
  <c r="B2676" i="159"/>
  <c r="B2680" i="159" s="1"/>
  <c r="B2681" i="159" s="1"/>
  <c r="R2563" i="159"/>
  <c r="S2563" i="159" s="1"/>
  <c r="R2493" i="159"/>
  <c r="S2493" i="159" s="1"/>
  <c r="R2367" i="159"/>
  <c r="S2367" i="159" s="1"/>
  <c r="R2136" i="159"/>
  <c r="S2136" i="159" s="1"/>
  <c r="R2248" i="159"/>
  <c r="S2248" i="159" s="1"/>
  <c r="R2150" i="159"/>
  <c r="S2150" i="159" s="1"/>
  <c r="B1996" i="159"/>
  <c r="B2000" i="159" s="1"/>
  <c r="B2001" i="159" s="1"/>
  <c r="R1673" i="159"/>
  <c r="S1673" i="159" s="1"/>
  <c r="R2052" i="159"/>
  <c r="S2052" i="159" s="1"/>
  <c r="R1589" i="159"/>
  <c r="S1589" i="159" s="1"/>
  <c r="R1568" i="159"/>
  <c r="S1568" i="159" s="1"/>
  <c r="R1456" i="159"/>
  <c r="S1456" i="159" s="1"/>
  <c r="B1184" i="159"/>
  <c r="B1188" i="159" s="1"/>
  <c r="B1189" i="159" s="1"/>
  <c r="B1471" i="159"/>
  <c r="B1475" i="159" s="1"/>
  <c r="B1476" i="159" s="1"/>
  <c r="R1617" i="159"/>
  <c r="S1617" i="159" s="1"/>
  <c r="B1086" i="159"/>
  <c r="B1090" i="159" s="1"/>
  <c r="B1091" i="159" s="1"/>
  <c r="R1113" i="159"/>
  <c r="S1113" i="159" s="1"/>
  <c r="B826" i="159"/>
  <c r="B830" i="159" s="1"/>
  <c r="B831" i="159" s="1"/>
  <c r="B1037" i="159"/>
  <c r="B1041" i="159" s="1"/>
  <c r="B1042" i="159" s="1"/>
  <c r="R853" i="159"/>
  <c r="S853" i="159" s="1"/>
  <c r="R515" i="159"/>
  <c r="S515" i="159" s="1"/>
  <c r="R684" i="159"/>
  <c r="S684" i="159" s="1"/>
  <c r="B833" i="159"/>
  <c r="B837" i="159" s="1"/>
  <c r="B838" i="159" s="1"/>
  <c r="B334" i="159"/>
  <c r="B338" i="159" s="1"/>
  <c r="B339" i="159" s="1"/>
  <c r="B236" i="159"/>
  <c r="B240" i="159" s="1"/>
  <c r="B241" i="159" s="1"/>
  <c r="B664" i="159"/>
  <c r="B668" i="159" s="1"/>
  <c r="B669" i="159" s="1"/>
  <c r="B720" i="159"/>
  <c r="B724" i="159" s="1"/>
  <c r="B725" i="159" s="1"/>
  <c r="B152" i="159"/>
  <c r="B156" i="159" s="1"/>
  <c r="B157" i="159" s="1"/>
  <c r="R762" i="159"/>
  <c r="S762" i="159" s="1"/>
  <c r="R368" i="159"/>
  <c r="S368" i="159" s="1"/>
  <c r="R396" i="159"/>
  <c r="S396" i="159" s="1"/>
  <c r="R5242" i="159"/>
  <c r="S5242" i="159" s="1"/>
  <c r="R5249" i="159"/>
  <c r="S5249" i="159" s="1"/>
  <c r="B5179" i="159"/>
  <c r="B5183" i="159" s="1"/>
  <c r="B5184" i="159" s="1"/>
  <c r="B5158" i="159"/>
  <c r="B5162" i="159" s="1"/>
  <c r="B5163" i="159" s="1"/>
  <c r="R5073" i="159"/>
  <c r="S5073" i="159" s="1"/>
  <c r="B4976" i="159"/>
  <c r="B4980" i="159" s="1"/>
  <c r="B4981" i="159" s="1"/>
  <c r="R4919" i="159"/>
  <c r="S4919" i="159" s="1"/>
  <c r="B4850" i="159"/>
  <c r="B4854" i="159" s="1"/>
  <c r="B4855" i="159" s="1"/>
  <c r="B4829" i="159"/>
  <c r="B4833" i="159" s="1"/>
  <c r="B4834" i="159" s="1"/>
  <c r="R4842" i="159"/>
  <c r="S4842" i="159" s="1"/>
  <c r="B4682" i="159"/>
  <c r="B4686" i="159" s="1"/>
  <c r="B4687" i="159" s="1"/>
  <c r="R4610" i="159"/>
  <c r="S4610" i="159" s="1"/>
  <c r="B4387" i="159"/>
  <c r="B4391" i="159" s="1"/>
  <c r="B4392" i="159" s="1"/>
  <c r="B4401" i="159"/>
  <c r="B4405" i="159" s="1"/>
  <c r="B4406" i="159" s="1"/>
  <c r="R4744" i="159"/>
  <c r="S4744" i="159" s="1"/>
  <c r="B4296" i="159"/>
  <c r="B4300" i="159" s="1"/>
  <c r="B4301" i="159" s="1"/>
  <c r="R4246" i="159"/>
  <c r="S4246" i="159" s="1"/>
  <c r="B4051" i="159"/>
  <c r="B4055" i="159" s="1"/>
  <c r="B4056" i="159" s="1"/>
  <c r="R4001" i="159"/>
  <c r="S4001" i="159" s="1"/>
  <c r="B4023" i="159"/>
  <c r="B4027" i="159" s="1"/>
  <c r="B4028" i="159" s="1"/>
  <c r="B4058" i="159"/>
  <c r="B4062" i="159" s="1"/>
  <c r="B4063" i="159" s="1"/>
  <c r="R3686" i="159"/>
  <c r="S3686" i="159" s="1"/>
  <c r="R3931" i="159"/>
  <c r="S3931" i="159" s="1"/>
  <c r="R3623" i="159"/>
  <c r="S3623" i="159" s="1"/>
  <c r="R3518" i="159"/>
  <c r="S3518" i="159" s="1"/>
  <c r="R3371" i="159"/>
  <c r="S3371" i="159" s="1"/>
  <c r="B3435" i="159"/>
  <c r="B3439" i="159" s="1"/>
  <c r="B3440" i="159" s="1"/>
  <c r="R3182" i="159"/>
  <c r="S3182" i="159" s="1"/>
  <c r="R3301" i="159"/>
  <c r="S3301" i="159" s="1"/>
  <c r="B2896" i="159"/>
  <c r="B2900" i="159" s="1"/>
  <c r="B2901" i="159" s="1"/>
  <c r="R2965" i="159"/>
  <c r="S2965" i="159" s="1"/>
  <c r="R2895" i="159"/>
  <c r="S2895" i="159" s="1"/>
  <c r="B2833" i="159"/>
  <c r="B2837" i="159" s="1"/>
  <c r="B2838" i="159" s="1"/>
  <c r="B2683" i="159"/>
  <c r="B2687" i="159" s="1"/>
  <c r="B2688" i="159" s="1"/>
  <c r="R2395" i="159"/>
  <c r="S2395" i="159" s="1"/>
  <c r="R2332" i="159"/>
  <c r="S2332" i="159" s="1"/>
  <c r="R2640" i="159"/>
  <c r="S2640" i="159" s="1"/>
  <c r="B2529" i="159"/>
  <c r="B2533" i="159" s="1"/>
  <c r="B2534" i="159" s="1"/>
  <c r="B2326" i="159"/>
  <c r="B2330" i="159" s="1"/>
  <c r="B2331" i="159" s="1"/>
  <c r="R2458" i="159"/>
  <c r="S2458" i="159" s="1"/>
  <c r="R2030" i="159"/>
  <c r="S2030" i="159" s="1"/>
  <c r="B2109" i="159"/>
  <c r="B2113" i="159" s="1"/>
  <c r="B2114" i="159" s="1"/>
  <c r="B1954" i="159"/>
  <c r="B1958" i="159" s="1"/>
  <c r="B1959" i="159" s="1"/>
  <c r="B1499" i="159"/>
  <c r="B1503" i="159" s="1"/>
  <c r="B1504" i="159" s="1"/>
  <c r="B1681" i="159"/>
  <c r="B1685" i="159" s="1"/>
  <c r="B1686" i="159" s="1"/>
  <c r="R1743" i="159"/>
  <c r="S1743" i="159" s="1"/>
  <c r="B1744" i="159"/>
  <c r="B1748" i="159" s="1"/>
  <c r="B1749" i="159" s="1"/>
  <c r="R1449" i="159"/>
  <c r="S1449" i="159" s="1"/>
  <c r="R1400" i="159"/>
  <c r="S1400" i="159" s="1"/>
  <c r="R1631" i="159"/>
  <c r="S1631" i="159" s="1"/>
  <c r="R1267" i="159"/>
  <c r="S1267" i="159" s="1"/>
  <c r="B1079" i="159"/>
  <c r="B1083" i="159" s="1"/>
  <c r="B1084" i="159" s="1"/>
  <c r="B749" i="159"/>
  <c r="B753" i="159" s="1"/>
  <c r="B754" i="159" s="1"/>
  <c r="B622" i="159"/>
  <c r="B626" i="159" s="1"/>
  <c r="B627" i="159" s="1"/>
  <c r="B614" i="159"/>
  <c r="B618" i="159" s="1"/>
  <c r="B619" i="159" s="1"/>
  <c r="R1001" i="159"/>
  <c r="S1001" i="159" s="1"/>
  <c r="R656" i="159"/>
  <c r="S656" i="159" s="1"/>
  <c r="B629" i="159"/>
  <c r="B633" i="159" s="1"/>
  <c r="B634" i="159" s="1"/>
  <c r="B812" i="159"/>
  <c r="B816" i="159" s="1"/>
  <c r="B817" i="159" s="1"/>
  <c r="B5025" i="159"/>
  <c r="B5029" i="159" s="1"/>
  <c r="B5030" i="159" s="1"/>
  <c r="B369" i="159"/>
  <c r="B373" i="159" s="1"/>
  <c r="B374" i="159" s="1"/>
  <c r="B145" i="159"/>
  <c r="B149" i="159" s="1"/>
  <c r="B150" i="159" s="1"/>
  <c r="R109" i="159"/>
  <c r="S109" i="159" s="1"/>
  <c r="R24" i="159"/>
  <c r="S24" i="159" s="1"/>
  <c r="R354" i="159"/>
  <c r="S354" i="159" s="1"/>
  <c r="R144" i="159"/>
  <c r="S144" i="159" s="1"/>
  <c r="R17" i="159"/>
  <c r="S17" i="159" s="1"/>
  <c r="B5285" i="159"/>
  <c r="B5289" i="159" s="1"/>
  <c r="B5290" i="159" s="1"/>
  <c r="B5411" i="159"/>
  <c r="B5415" i="159" s="1"/>
  <c r="B5416" i="159" s="1"/>
  <c r="B4962" i="159"/>
  <c r="B4966" i="159" s="1"/>
  <c r="B4967" i="159" s="1"/>
  <c r="R4877" i="159"/>
  <c r="S4877" i="159" s="1"/>
  <c r="B4948" i="159"/>
  <c r="B4952" i="159" s="1"/>
  <c r="B4953" i="159" s="1"/>
  <c r="B4703" i="159"/>
  <c r="B4707" i="159" s="1"/>
  <c r="B4708" i="159" s="1"/>
  <c r="R4905" i="159"/>
  <c r="S4905" i="159" s="1"/>
  <c r="R4498" i="159"/>
  <c r="S4498" i="159" s="1"/>
  <c r="R4519" i="159"/>
  <c r="S4519" i="159" s="1"/>
  <c r="B4499" i="159"/>
  <c r="B4503" i="159" s="1"/>
  <c r="B4504" i="159" s="1"/>
  <c r="R4667" i="159"/>
  <c r="S4667" i="159" s="1"/>
  <c r="B4527" i="159"/>
  <c r="B4531" i="159" s="1"/>
  <c r="B4532" i="159" s="1"/>
  <c r="R4330" i="159"/>
  <c r="S4330" i="159" s="1"/>
  <c r="R4218" i="159"/>
  <c r="S4218" i="159" s="1"/>
  <c r="B4331" i="159"/>
  <c r="B4335" i="159" s="1"/>
  <c r="B4336" i="159" s="1"/>
  <c r="B4373" i="159"/>
  <c r="B4377" i="159" s="1"/>
  <c r="B4378" i="159" s="1"/>
  <c r="R4365" i="159"/>
  <c r="S4365" i="159" s="1"/>
  <c r="B3988" i="159"/>
  <c r="B3992" i="159" s="1"/>
  <c r="B3993" i="159" s="1"/>
  <c r="R4120" i="159"/>
  <c r="S4120" i="159" s="1"/>
  <c r="B3848" i="159"/>
  <c r="B3852" i="159" s="1"/>
  <c r="B3853" i="159" s="1"/>
  <c r="B3904" i="159"/>
  <c r="B3908" i="159" s="1"/>
  <c r="B3909" i="159" s="1"/>
  <c r="R3980" i="159"/>
  <c r="S3980" i="159" s="1"/>
  <c r="B3694" i="159"/>
  <c r="B3698" i="159" s="1"/>
  <c r="B3699" i="159" s="1"/>
  <c r="B3442" i="159"/>
  <c r="B3446" i="159" s="1"/>
  <c r="B3447" i="159" s="1"/>
  <c r="B3729" i="159"/>
  <c r="B3733" i="159" s="1"/>
  <c r="B3734" i="159" s="1"/>
  <c r="R3294" i="159"/>
  <c r="S3294" i="159" s="1"/>
  <c r="B3533" i="159"/>
  <c r="B3537" i="159" s="1"/>
  <c r="B3538" i="159" s="1"/>
  <c r="B3379" i="159"/>
  <c r="B3383" i="159" s="1"/>
  <c r="B3384" i="159" s="1"/>
  <c r="B3120" i="159"/>
  <c r="B3124" i="159" s="1"/>
  <c r="B3125" i="159" s="1"/>
  <c r="R3245" i="159"/>
  <c r="S3245" i="159" s="1"/>
  <c r="R3210" i="159"/>
  <c r="S3210" i="159" s="1"/>
  <c r="R3098" i="159"/>
  <c r="S3098" i="159" s="1"/>
  <c r="B2797" i="159"/>
  <c r="B2801" i="159" s="1"/>
  <c r="B2802" i="159" s="1"/>
  <c r="B2319" i="159"/>
  <c r="B2323" i="159" s="1"/>
  <c r="B2324" i="159" s="1"/>
  <c r="R2825" i="159"/>
  <c r="S2825" i="159" s="1"/>
  <c r="R2542" i="159"/>
  <c r="S2542" i="159" s="1"/>
  <c r="R2570" i="159"/>
  <c r="S2570" i="159" s="1"/>
  <c r="R2269" i="159"/>
  <c r="S2269" i="159" s="1"/>
  <c r="B2277" i="159"/>
  <c r="B2281" i="159" s="1"/>
  <c r="B2282" i="159" s="1"/>
  <c r="R1890" i="159"/>
  <c r="S1890" i="159" s="1"/>
  <c r="R1869" i="159"/>
  <c r="S1869" i="159" s="1"/>
  <c r="R1463" i="159"/>
  <c r="S1463" i="159" s="1"/>
  <c r="R1932" i="159"/>
  <c r="S1932" i="159" s="1"/>
  <c r="B1576" i="159"/>
  <c r="B1580" i="159" s="1"/>
  <c r="B1581" i="159" s="1"/>
  <c r="B1534" i="159"/>
  <c r="B1538" i="159" s="1"/>
  <c r="B1539" i="159" s="1"/>
  <c r="B1730" i="159"/>
  <c r="B1734" i="159" s="1"/>
  <c r="B1735" i="159" s="1"/>
  <c r="B1443" i="159"/>
  <c r="B1447" i="159" s="1"/>
  <c r="B1448" i="159" s="1"/>
  <c r="R1239" i="159"/>
  <c r="S1239" i="159" s="1"/>
  <c r="R1022" i="159"/>
  <c r="S1022" i="159" s="1"/>
  <c r="B1177" i="159"/>
  <c r="B1181" i="159" s="1"/>
  <c r="B1182" i="159" s="1"/>
  <c r="B1366" i="159"/>
  <c r="B1370" i="159" s="1"/>
  <c r="B1371" i="159" s="1"/>
  <c r="R1071" i="159"/>
  <c r="S1071" i="159" s="1"/>
  <c r="R445" i="159"/>
  <c r="S445" i="159" s="1"/>
  <c r="R663" i="159"/>
  <c r="S663" i="159" s="1"/>
  <c r="R410" i="159"/>
  <c r="S410" i="159" s="1"/>
  <c r="B173" i="159"/>
  <c r="B177" i="159" s="1"/>
  <c r="B178" i="159" s="1"/>
  <c r="B131" i="159"/>
  <c r="B135" i="159" s="1"/>
  <c r="B136" i="159" s="1"/>
  <c r="B5453" i="159"/>
  <c r="B5457" i="159" s="1"/>
  <c r="B5458" i="159" s="1"/>
  <c r="B5693" i="159"/>
  <c r="B5697" i="159" s="1"/>
  <c r="B5698" i="159" s="1"/>
  <c r="R4912" i="159"/>
  <c r="S4912" i="159" s="1"/>
  <c r="R4863" i="159"/>
  <c r="S4863" i="159" s="1"/>
  <c r="B4878" i="159"/>
  <c r="B4882" i="159" s="1"/>
  <c r="B4883" i="159" s="1"/>
  <c r="B4794" i="159"/>
  <c r="B4798" i="159" s="1"/>
  <c r="B4799" i="159" s="1"/>
  <c r="R4821" i="159"/>
  <c r="S4821" i="159" s="1"/>
  <c r="R4540" i="159"/>
  <c r="S4540" i="159" s="1"/>
  <c r="B4408" i="159"/>
  <c r="B4412" i="159" s="1"/>
  <c r="B4413" i="159" s="1"/>
  <c r="B4576" i="159"/>
  <c r="B4580" i="159" s="1"/>
  <c r="B4581" i="159" s="1"/>
  <c r="R4239" i="159"/>
  <c r="S4239" i="159" s="1"/>
  <c r="R3938" i="159"/>
  <c r="S3938" i="159" s="1"/>
  <c r="R3840" i="159"/>
  <c r="S3840" i="159" s="1"/>
  <c r="B4016" i="159"/>
  <c r="B4020" i="159" s="1"/>
  <c r="B4021" i="159" s="1"/>
  <c r="R3959" i="159"/>
  <c r="S3959" i="159" s="1"/>
  <c r="B3659" i="159"/>
  <c r="B3663" i="159" s="1"/>
  <c r="B3664" i="159" s="1"/>
  <c r="R3588" i="159"/>
  <c r="S3588" i="159" s="1"/>
  <c r="R3847" i="159"/>
  <c r="S3847" i="159" s="1"/>
  <c r="B3687" i="159"/>
  <c r="B3691" i="159" s="1"/>
  <c r="B3692" i="159" s="1"/>
  <c r="R3112" i="159"/>
  <c r="S3112" i="159" s="1"/>
  <c r="B3071" i="159"/>
  <c r="B3075" i="159" s="1"/>
  <c r="B3076" i="159" s="1"/>
  <c r="R3140" i="159"/>
  <c r="S3140" i="159" s="1"/>
  <c r="B3008" i="159"/>
  <c r="B3012" i="159" s="1"/>
  <c r="B3013" i="159" s="1"/>
  <c r="B3050" i="159"/>
  <c r="B3054" i="159" s="1"/>
  <c r="B3055" i="159" s="1"/>
  <c r="R2846" i="159"/>
  <c r="S2846" i="159" s="1"/>
  <c r="R2775" i="159"/>
  <c r="S2775" i="159" s="1"/>
  <c r="R2647" i="159"/>
  <c r="S2647" i="159" s="1"/>
  <c r="B2459" i="159"/>
  <c r="B2463" i="159" s="1"/>
  <c r="B2464" i="159" s="1"/>
  <c r="B2186" i="159"/>
  <c r="B2190" i="159" s="1"/>
  <c r="B2191" i="159" s="1"/>
  <c r="R2325" i="159"/>
  <c r="S2325" i="159" s="1"/>
  <c r="R2297" i="159"/>
  <c r="S2297" i="159" s="1"/>
  <c r="B1989" i="159"/>
  <c r="B1993" i="159" s="1"/>
  <c r="B1994" i="159" s="1"/>
  <c r="R2276" i="159"/>
  <c r="S2276" i="159" s="1"/>
  <c r="B1891" i="159"/>
  <c r="B1895" i="159" s="1"/>
  <c r="B1896" i="159" s="1"/>
  <c r="R1855" i="159"/>
  <c r="S1855" i="159" s="1"/>
  <c r="B1821" i="159"/>
  <c r="B1825" i="159" s="1"/>
  <c r="B1826" i="159" s="1"/>
  <c r="R1498" i="159"/>
  <c r="S1498" i="159" s="1"/>
  <c r="R1505" i="159"/>
  <c r="S1505" i="159" s="1"/>
  <c r="B1429" i="159"/>
  <c r="B1433" i="159" s="1"/>
  <c r="B1434" i="159" s="1"/>
  <c r="B1541" i="159"/>
  <c r="B1545" i="159" s="1"/>
  <c r="B1546" i="159" s="1"/>
  <c r="B1352" i="159"/>
  <c r="B1356" i="159" s="1"/>
  <c r="B1357" i="159" s="1"/>
  <c r="B1317" i="159"/>
  <c r="B1321" i="159" s="1"/>
  <c r="B1322" i="159" s="1"/>
  <c r="R1323" i="159"/>
  <c r="S1323" i="159" s="1"/>
  <c r="R1253" i="159"/>
  <c r="S1253" i="159" s="1"/>
  <c r="R1330" i="159"/>
  <c r="S1330" i="159" s="1"/>
  <c r="R1092" i="159"/>
  <c r="S1092" i="159" s="1"/>
  <c r="R902" i="159"/>
  <c r="S902" i="159" s="1"/>
  <c r="B967" i="159"/>
  <c r="B971" i="159" s="1"/>
  <c r="B972" i="159" s="1"/>
  <c r="B558" i="159"/>
  <c r="B562" i="159" s="1"/>
  <c r="B563" i="159" s="1"/>
  <c r="R1064" i="159"/>
  <c r="S1064" i="159" s="1"/>
  <c r="B805" i="159"/>
  <c r="B809" i="159" s="1"/>
  <c r="B810" i="159" s="1"/>
  <c r="R480" i="159"/>
  <c r="S480" i="159" s="1"/>
  <c r="B460" i="159"/>
  <c r="B464" i="159" s="1"/>
  <c r="B465" i="159" s="1"/>
  <c r="B376" i="159"/>
  <c r="B380" i="159" s="1"/>
  <c r="B381" i="159" s="1"/>
  <c r="B727" i="159"/>
  <c r="B731" i="159" s="1"/>
  <c r="B732" i="159" s="1"/>
  <c r="R235" i="159"/>
  <c r="S235" i="159" s="1"/>
  <c r="R263" i="159"/>
  <c r="S263" i="159" s="1"/>
  <c r="R137" i="159"/>
  <c r="S137" i="159" s="1"/>
  <c r="R270" i="159"/>
  <c r="S270" i="159" s="1"/>
  <c r="R172" i="159"/>
  <c r="S172" i="159" s="1"/>
  <c r="R277" i="159"/>
  <c r="S277" i="159" s="1"/>
  <c r="R116" i="159"/>
  <c r="S116" i="159" s="1"/>
  <c r="B5616" i="159"/>
  <c r="B5620" i="159" s="1"/>
  <c r="B5621" i="159" s="1"/>
  <c r="R5517" i="159"/>
  <c r="S5517" i="159" s="1"/>
  <c r="B5376" i="159"/>
  <c r="B5380" i="159" s="1"/>
  <c r="B5381" i="159" s="1"/>
  <c r="R5017" i="159"/>
  <c r="S5017" i="159" s="1"/>
  <c r="B5602" i="159"/>
  <c r="B5606" i="159" s="1"/>
  <c r="B5607" i="159" s="1"/>
  <c r="R5643" i="159"/>
  <c r="S5643" i="159" s="1"/>
  <c r="R5368" i="159"/>
  <c r="S5368" i="159" s="1"/>
  <c r="B5186" i="159"/>
  <c r="B5190" i="159" s="1"/>
  <c r="B5191" i="159" s="1"/>
  <c r="B4906" i="159"/>
  <c r="B4910" i="159" s="1"/>
  <c r="B4911" i="159" s="1"/>
  <c r="B4955" i="159"/>
  <c r="B4959" i="159" s="1"/>
  <c r="B4960" i="159" s="1"/>
  <c r="R4800" i="159"/>
  <c r="S4800" i="159" s="1"/>
  <c r="B4822" i="159"/>
  <c r="B4826" i="159" s="1"/>
  <c r="B4827" i="159" s="1"/>
  <c r="B4450" i="159"/>
  <c r="B4454" i="159" s="1"/>
  <c r="B4455" i="159" s="1"/>
  <c r="R4442" i="159"/>
  <c r="S4442" i="159" s="1"/>
  <c r="R4344" i="159"/>
  <c r="S4344" i="159" s="1"/>
  <c r="R4267" i="159"/>
  <c r="S4267" i="159" s="1"/>
  <c r="R4204" i="159"/>
  <c r="S4204" i="159" s="1"/>
  <c r="R4127" i="159"/>
  <c r="S4127" i="159" s="1"/>
  <c r="B4226" i="159"/>
  <c r="B4230" i="159" s="1"/>
  <c r="B4231" i="159" s="1"/>
  <c r="R3882" i="159"/>
  <c r="S3882" i="159" s="1"/>
  <c r="R3532" i="159"/>
  <c r="S3532" i="159" s="1"/>
  <c r="B3386" i="159"/>
  <c r="B3390" i="159" s="1"/>
  <c r="B3391" i="159" s="1"/>
  <c r="B3512" i="159"/>
  <c r="B3516" i="159" s="1"/>
  <c r="B3517" i="159" s="1"/>
  <c r="R3378" i="159"/>
  <c r="S3378" i="159" s="1"/>
  <c r="B3372" i="159"/>
  <c r="B3376" i="159" s="1"/>
  <c r="B3377" i="159" s="1"/>
  <c r="R3217" i="159"/>
  <c r="S3217" i="159" s="1"/>
  <c r="B2924" i="159"/>
  <c r="B2928" i="159" s="1"/>
  <c r="B2929" i="159" s="1"/>
  <c r="R3168" i="159"/>
  <c r="S3168" i="159" s="1"/>
  <c r="R3077" i="159"/>
  <c r="S3077" i="159" s="1"/>
  <c r="B2910" i="159"/>
  <c r="B2914" i="159" s="1"/>
  <c r="B2915" i="159" s="1"/>
  <c r="B2747" i="159"/>
  <c r="B2751" i="159" s="1"/>
  <c r="B2752" i="159" s="1"/>
  <c r="B2515" i="159"/>
  <c r="B2519" i="159" s="1"/>
  <c r="B2520" i="159" s="1"/>
  <c r="B2627" i="159"/>
  <c r="B2631" i="159" s="1"/>
  <c r="B2632" i="159" s="1"/>
  <c r="R2724" i="159"/>
  <c r="S2724" i="159" s="1"/>
  <c r="R2803" i="159"/>
  <c r="S2803" i="159" s="1"/>
  <c r="B2754" i="159"/>
  <c r="B2758" i="159" s="1"/>
  <c r="B2759" i="159" s="1"/>
  <c r="B2697" i="159"/>
  <c r="B2701" i="159" s="1"/>
  <c r="B2702" i="159" s="1"/>
  <c r="R2768" i="159"/>
  <c r="S2768" i="159" s="1"/>
  <c r="B2585" i="159"/>
  <c r="B2589" i="159" s="1"/>
  <c r="B2590" i="159" s="1"/>
  <c r="R2528" i="159"/>
  <c r="S2528" i="159" s="1"/>
  <c r="R2514" i="159"/>
  <c r="S2514" i="159" s="1"/>
  <c r="R2234" i="159"/>
  <c r="S2234" i="159" s="1"/>
  <c r="B2172" i="159"/>
  <c r="B2176" i="159" s="1"/>
  <c r="B2177" i="159" s="1"/>
  <c r="B2046" i="159"/>
  <c r="B2050" i="159" s="1"/>
  <c r="B2051" i="159" s="1"/>
  <c r="B2193" i="159"/>
  <c r="B2197" i="159" s="1"/>
  <c r="B2198" i="159" s="1"/>
  <c r="R1813" i="159"/>
  <c r="S1813" i="159" s="1"/>
  <c r="R1848" i="159"/>
  <c r="S1848" i="159" s="1"/>
  <c r="R1428" i="159"/>
  <c r="S1428" i="159" s="1"/>
  <c r="B1667" i="159"/>
  <c r="B1671" i="159" s="1"/>
  <c r="B1672" i="159" s="1"/>
  <c r="B1422" i="159"/>
  <c r="B1426" i="159" s="1"/>
  <c r="B1427" i="159" s="1"/>
  <c r="R1211" i="159"/>
  <c r="S1211" i="159" s="1"/>
  <c r="B903" i="159"/>
  <c r="B907" i="159" s="1"/>
  <c r="B908" i="159" s="1"/>
  <c r="R1127" i="159"/>
  <c r="S1127" i="159" s="1"/>
  <c r="R1309" i="159"/>
  <c r="S1309" i="159" s="1"/>
  <c r="R1232" i="159"/>
  <c r="S1232" i="159" s="1"/>
  <c r="B946" i="159"/>
  <c r="B950" i="159" s="1"/>
  <c r="B951" i="159" s="1"/>
  <c r="R966" i="159"/>
  <c r="S966" i="159" s="1"/>
  <c r="B1149" i="159"/>
  <c r="B1153" i="159" s="1"/>
  <c r="B1154" i="159" s="1"/>
  <c r="R959" i="159"/>
  <c r="S959" i="159" s="1"/>
  <c r="R522" i="159"/>
  <c r="S522" i="159" s="1"/>
  <c r="R375" i="159"/>
  <c r="S375" i="159" s="1"/>
  <c r="R536" i="159"/>
  <c r="S536" i="159" s="1"/>
  <c r="B299" i="159"/>
  <c r="B303" i="159" s="1"/>
  <c r="B304" i="159" s="1"/>
  <c r="R305" i="159"/>
  <c r="S305" i="159" s="1"/>
  <c r="R571" i="159"/>
  <c r="S571" i="159" s="1"/>
  <c r="R151" i="159"/>
  <c r="S151" i="159" s="1"/>
  <c r="R249" i="159"/>
  <c r="S249" i="159" s="1"/>
  <c r="B166" i="159"/>
  <c r="B170" i="159" s="1"/>
  <c r="B171" i="159" s="1"/>
  <c r="B5271" i="159"/>
  <c r="B5275" i="159" s="1"/>
  <c r="B5276" i="159" s="1"/>
  <c r="R5594" i="159"/>
  <c r="S5594" i="159" s="1"/>
  <c r="R5403" i="159"/>
  <c r="S5403" i="159" s="1"/>
  <c r="R5164" i="159"/>
  <c r="S5164" i="159" s="1"/>
  <c r="B5644" i="159"/>
  <c r="B5648" i="159" s="1"/>
  <c r="B5649" i="159" s="1"/>
  <c r="R5473" i="159"/>
  <c r="S5473" i="159" s="1"/>
  <c r="B5250" i="159"/>
  <c r="B5254" i="159" s="1"/>
  <c r="B5255" i="159" s="1"/>
  <c r="B5137" i="159"/>
  <c r="B5141" i="159" s="1"/>
  <c r="B5142" i="159" s="1"/>
  <c r="R4779" i="159"/>
  <c r="S4779" i="159" s="1"/>
  <c r="R4856" i="159"/>
  <c r="S4856" i="159" s="1"/>
  <c r="B4597" i="159"/>
  <c r="B4601" i="159" s="1"/>
  <c r="B4602" i="159" s="1"/>
  <c r="R4477" i="159"/>
  <c r="S4477" i="159" s="1"/>
  <c r="B4478" i="159"/>
  <c r="B4482" i="159" s="1"/>
  <c r="B4483" i="159" s="1"/>
  <c r="R4688" i="159"/>
  <c r="S4688" i="159" s="1"/>
  <c r="R4323" i="159"/>
  <c r="S4323" i="159" s="1"/>
  <c r="B4086" i="159"/>
  <c r="B4090" i="159" s="1"/>
  <c r="B4091" i="159" s="1"/>
  <c r="B4002" i="159"/>
  <c r="B4006" i="159" s="1"/>
  <c r="B4007" i="159" s="1"/>
  <c r="R3791" i="159"/>
  <c r="S3791" i="159" s="1"/>
  <c r="R3497" i="159"/>
  <c r="S3497" i="159" s="1"/>
  <c r="R3665" i="159"/>
  <c r="S3665" i="159" s="1"/>
  <c r="R3357" i="159"/>
  <c r="S3357" i="159" s="1"/>
  <c r="B3309" i="159"/>
  <c r="B3313" i="159" s="1"/>
  <c r="B3314" i="159" s="1"/>
  <c r="R3336" i="159"/>
  <c r="S3336" i="159" s="1"/>
  <c r="B3078" i="159"/>
  <c r="B3082" i="159" s="1"/>
  <c r="B3083" i="159" s="1"/>
  <c r="R3014" i="159"/>
  <c r="S3014" i="159" s="1"/>
  <c r="R2986" i="159"/>
  <c r="S2986" i="159" s="1"/>
  <c r="B2980" i="159"/>
  <c r="B2984" i="159" s="1"/>
  <c r="B2985" i="159" s="1"/>
  <c r="R2874" i="159"/>
  <c r="S2874" i="159" s="1"/>
  <c r="B2783" i="159"/>
  <c r="B2787" i="159" s="1"/>
  <c r="B2788" i="159" s="1"/>
  <c r="R2717" i="159"/>
  <c r="S2717" i="159" s="1"/>
  <c r="B2634" i="159"/>
  <c r="B2638" i="159" s="1"/>
  <c r="B2639" i="159" s="1"/>
  <c r="R2633" i="159"/>
  <c r="S2633" i="159" s="1"/>
  <c r="R2860" i="159"/>
  <c r="S2860" i="159" s="1"/>
  <c r="R2486" i="159"/>
  <c r="S2486" i="159" s="1"/>
  <c r="B2179" i="159"/>
  <c r="B2183" i="159" s="1"/>
  <c r="B2184" i="159" s="1"/>
  <c r="R2290" i="159"/>
  <c r="S2290" i="159" s="1"/>
  <c r="R2213" i="159"/>
  <c r="S2213" i="159" s="1"/>
  <c r="B2207" i="159"/>
  <c r="B2211" i="159" s="1"/>
  <c r="B2212" i="159" s="1"/>
  <c r="B2003" i="159"/>
  <c r="B2007" i="159" s="1"/>
  <c r="B2008" i="159" s="1"/>
  <c r="R1925" i="159"/>
  <c r="S1925" i="159" s="1"/>
  <c r="R2038" i="159"/>
  <c r="S2038" i="159" s="1"/>
  <c r="R2059" i="159"/>
  <c r="S2059" i="159" s="1"/>
  <c r="R1379" i="159"/>
  <c r="S1379" i="159" s="1"/>
  <c r="R1652" i="159"/>
  <c r="S1652" i="159" s="1"/>
  <c r="B1163" i="159"/>
  <c r="B1167" i="159" s="1"/>
  <c r="B1168" i="159" s="1"/>
  <c r="B1387" i="159"/>
  <c r="B1391" i="159" s="1"/>
  <c r="B1392" i="159" s="1"/>
  <c r="B1653" i="159"/>
  <c r="B1657" i="159" s="1"/>
  <c r="B1658" i="159" s="1"/>
  <c r="B1240" i="159"/>
  <c r="B1244" i="159" s="1"/>
  <c r="B1245" i="159" s="1"/>
  <c r="B953" i="159"/>
  <c r="B957" i="159" s="1"/>
  <c r="B958" i="159" s="1"/>
  <c r="B1023" i="159"/>
  <c r="B1027" i="159" s="1"/>
  <c r="B1028" i="159" s="1"/>
  <c r="B313" i="159"/>
  <c r="B317" i="159" s="1"/>
  <c r="B318" i="159" s="1"/>
  <c r="R635" i="159"/>
  <c r="S635" i="159" s="1"/>
  <c r="R599" i="159"/>
  <c r="S599" i="159" s="1"/>
  <c r="B692" i="159"/>
  <c r="B696" i="159" s="1"/>
  <c r="B697" i="159" s="1"/>
  <c r="B355" i="159"/>
  <c r="B359" i="159" s="1"/>
  <c r="B360" i="159" s="1"/>
  <c r="B60" i="159"/>
  <c r="B64" i="159" s="1"/>
  <c r="B65" i="159" s="1"/>
  <c r="B229" i="159"/>
  <c r="B233" i="159" s="1"/>
  <c r="B234" i="159" s="1"/>
  <c r="R200" i="159"/>
  <c r="S200" i="159" s="1"/>
  <c r="B39" i="159"/>
  <c r="B43" i="159" s="1"/>
  <c r="B44" i="159" s="1"/>
  <c r="R94" i="159"/>
  <c r="S94" i="159" s="1"/>
  <c r="B481" i="159"/>
  <c r="B485" i="159" s="1"/>
  <c r="B486" i="159" s="1"/>
  <c r="B5588" i="159"/>
  <c r="B5592" i="159" s="1"/>
  <c r="B5593" i="159" s="1"/>
  <c r="B10" i="159"/>
  <c r="R5580" i="159"/>
  <c r="S5580" i="159" s="1"/>
  <c r="R5382" i="159"/>
  <c r="S5382" i="159" s="1"/>
  <c r="R5143" i="159"/>
  <c r="S5143" i="159" s="1"/>
  <c r="B5067" i="159"/>
  <c r="B5071" i="159" s="1"/>
  <c r="B5072" i="159" s="1"/>
  <c r="R5080" i="159"/>
  <c r="S5080" i="159" s="1"/>
  <c r="B4836" i="159"/>
  <c r="B4840" i="159" s="1"/>
  <c r="B4841" i="159" s="1"/>
  <c r="R4926" i="159"/>
  <c r="S4926" i="159" s="1"/>
  <c r="R4646" i="159"/>
  <c r="S4646" i="159" s="1"/>
  <c r="R4814" i="159"/>
  <c r="S4814" i="159" s="1"/>
  <c r="R4561" i="159"/>
  <c r="S4561" i="159" s="1"/>
  <c r="R4639" i="159"/>
  <c r="S4639" i="159" s="1"/>
  <c r="R4533" i="159"/>
  <c r="S4533" i="159" s="1"/>
  <c r="B4135" i="159"/>
  <c r="B4139" i="159" s="1"/>
  <c r="B4140" i="159" s="1"/>
  <c r="R4316" i="159"/>
  <c r="S4316" i="159" s="1"/>
  <c r="B4163" i="159"/>
  <c r="B4167" i="159" s="1"/>
  <c r="B4168" i="159" s="1"/>
  <c r="R3903" i="159"/>
  <c r="S3903" i="159" s="1"/>
  <c r="R3546" i="159"/>
  <c r="S3546" i="159" s="1"/>
  <c r="R3777" i="159"/>
  <c r="S3777" i="159" s="1"/>
  <c r="R3679" i="159"/>
  <c r="S3679" i="159" s="1"/>
  <c r="R3483" i="159"/>
  <c r="S3483" i="159" s="1"/>
  <c r="R3707" i="159"/>
  <c r="S3707" i="159" s="1"/>
  <c r="R3805" i="159"/>
  <c r="S3805" i="159" s="1"/>
  <c r="B3463" i="159"/>
  <c r="B3467" i="159" s="1"/>
  <c r="B3468" i="159" s="1"/>
  <c r="B3302" i="159"/>
  <c r="B3306" i="159" s="1"/>
  <c r="B3307" i="159" s="1"/>
  <c r="B3267" i="159"/>
  <c r="B3271" i="159" s="1"/>
  <c r="B3272" i="159" s="1"/>
  <c r="R3063" i="159"/>
  <c r="S3063" i="159" s="1"/>
  <c r="B2917" i="159"/>
  <c r="B2921" i="159" s="1"/>
  <c r="B2922" i="159" s="1"/>
  <c r="B2769" i="159"/>
  <c r="B2773" i="159" s="1"/>
  <c r="B2774" i="159" s="1"/>
  <c r="R2619" i="159"/>
  <c r="S2619" i="159" s="1"/>
  <c r="R2760" i="159"/>
  <c r="S2760" i="159" s="1"/>
  <c r="B2466" i="159"/>
  <c r="B2470" i="159" s="1"/>
  <c r="B2471" i="159" s="1"/>
  <c r="R2500" i="159"/>
  <c r="S2500" i="159" s="1"/>
  <c r="R2192" i="159"/>
  <c r="S2192" i="159" s="1"/>
  <c r="B2067" i="159"/>
  <c r="B2071" i="159" s="1"/>
  <c r="B2072" i="159" s="1"/>
  <c r="R2171" i="159"/>
  <c r="S2171" i="159" s="1"/>
  <c r="R1736" i="159"/>
  <c r="S1736" i="159" s="1"/>
  <c r="R1967" i="159"/>
  <c r="S1967" i="159" s="1"/>
  <c r="B1828" i="159"/>
  <c r="B1832" i="159" s="1"/>
  <c r="B1833" i="159" s="1"/>
  <c r="R1596" i="159"/>
  <c r="S1596" i="159" s="1"/>
  <c r="B1282" i="159"/>
  <c r="B1286" i="159" s="1"/>
  <c r="B1287" i="159" s="1"/>
  <c r="R1421" i="159"/>
  <c r="S1421" i="159" s="1"/>
  <c r="R1603" i="159"/>
  <c r="S1603" i="159" s="1"/>
  <c r="R1372" i="159"/>
  <c r="S1372" i="159" s="1"/>
  <c r="B1170" i="159"/>
  <c r="B1174" i="159" s="1"/>
  <c r="B1175" i="159" s="1"/>
  <c r="R1246" i="159"/>
  <c r="S1246" i="159" s="1"/>
  <c r="B1289" i="159"/>
  <c r="B1293" i="159" s="1"/>
  <c r="B1294" i="159" s="1"/>
  <c r="R1302" i="159"/>
  <c r="S1302" i="159" s="1"/>
  <c r="R1120" i="159"/>
  <c r="S1120" i="159" s="1"/>
  <c r="R867" i="159"/>
  <c r="S867" i="159" s="1"/>
  <c r="R1029" i="159"/>
  <c r="S1029" i="159" s="1"/>
  <c r="R1036" i="159"/>
  <c r="S1036" i="159" s="1"/>
  <c r="R333" i="159"/>
  <c r="S333" i="159" s="1"/>
  <c r="B306" i="159"/>
  <c r="B310" i="159" s="1"/>
  <c r="B311" i="159" s="1"/>
  <c r="B264" i="159"/>
  <c r="B268" i="159" s="1"/>
  <c r="B269" i="159" s="1"/>
  <c r="B194" i="159"/>
  <c r="B198" i="159" s="1"/>
  <c r="B199" i="159" s="1"/>
  <c r="R340" i="159"/>
  <c r="S340" i="159" s="1"/>
  <c r="B5475" i="159"/>
  <c r="B5479" i="159" s="1"/>
  <c r="B5480" i="159" s="1"/>
  <c r="B5560" i="159"/>
  <c r="B5564" i="159" s="1"/>
  <c r="B5565" i="159" s="1"/>
  <c r="R5706" i="159"/>
  <c r="S5706" i="159" s="1"/>
  <c r="R5531" i="159"/>
  <c r="S5531" i="159" s="1"/>
  <c r="B5418" i="159"/>
  <c r="B5422" i="159" s="1"/>
  <c r="B5423" i="159" s="1"/>
  <c r="B5355" i="159"/>
  <c r="B5359" i="159" s="1"/>
  <c r="B5360" i="159" s="1"/>
  <c r="R5298" i="159"/>
  <c r="S5298" i="159" s="1"/>
  <c r="B5116" i="159"/>
  <c r="B5120" i="159" s="1"/>
  <c r="B5121" i="159" s="1"/>
  <c r="B5088" i="159"/>
  <c r="B5092" i="159" s="1"/>
  <c r="B5093" i="159" s="1"/>
  <c r="R5199" i="159"/>
  <c r="S5199" i="159" s="1"/>
  <c r="B5172" i="159"/>
  <c r="B5176" i="159" s="1"/>
  <c r="B5177" i="159" s="1"/>
  <c r="B5095" i="159"/>
  <c r="B5099" i="159" s="1"/>
  <c r="B5100" i="159" s="1"/>
  <c r="B4773" i="159"/>
  <c r="B4777" i="159" s="1"/>
  <c r="B4778" i="159" s="1"/>
  <c r="R4554" i="159"/>
  <c r="S4554" i="159" s="1"/>
  <c r="R4849" i="159"/>
  <c r="S4849" i="159" s="1"/>
  <c r="B4324" i="159"/>
  <c r="B4328" i="159" s="1"/>
  <c r="B4329" i="159" s="1"/>
  <c r="B4541" i="159"/>
  <c r="B4545" i="159" s="1"/>
  <c r="B4546" i="159" s="1"/>
  <c r="B4366" i="159"/>
  <c r="B4370" i="159" s="1"/>
  <c r="B4371" i="159" s="1"/>
  <c r="R4309" i="159"/>
  <c r="S4309" i="159" s="1"/>
  <c r="B4261" i="159"/>
  <c r="B4265" i="159" s="1"/>
  <c r="B4266" i="159" s="1"/>
  <c r="B4114" i="159"/>
  <c r="B4118" i="159" s="1"/>
  <c r="B4119" i="159" s="1"/>
  <c r="R4071" i="159"/>
  <c r="S4071" i="159" s="1"/>
  <c r="R4057" i="159"/>
  <c r="S4057" i="159" s="1"/>
  <c r="B4156" i="159"/>
  <c r="B4160" i="159" s="1"/>
  <c r="B4161" i="159" s="1"/>
  <c r="R3525" i="159"/>
  <c r="S3525" i="159" s="1"/>
  <c r="R3735" i="159"/>
  <c r="S3735" i="159" s="1"/>
  <c r="B3204" i="159"/>
  <c r="B3208" i="159" s="1"/>
  <c r="B3209" i="159" s="1"/>
  <c r="B3218" i="159"/>
  <c r="B3222" i="159" s="1"/>
  <c r="B3223" i="159" s="1"/>
  <c r="R2951" i="159"/>
  <c r="S2951" i="159" s="1"/>
  <c r="B3099" i="159"/>
  <c r="B3103" i="159" s="1"/>
  <c r="B3104" i="159" s="1"/>
  <c r="R2958" i="159"/>
  <c r="S2958" i="159" s="1"/>
  <c r="B2882" i="159"/>
  <c r="B2886" i="159" s="1"/>
  <c r="B2887" i="159" s="1"/>
  <c r="B2711" i="159"/>
  <c r="B2715" i="159" s="1"/>
  <c r="B2716" i="159" s="1"/>
  <c r="R2731" i="159"/>
  <c r="S2731" i="159" s="1"/>
  <c r="R2654" i="159"/>
  <c r="S2654" i="159" s="1"/>
  <c r="R2661" i="159"/>
  <c r="S2661" i="159" s="1"/>
  <c r="R2789" i="159"/>
  <c r="S2789" i="159" s="1"/>
  <c r="B2424" i="159"/>
  <c r="B2428" i="159" s="1"/>
  <c r="B2429" i="159" s="1"/>
  <c r="R2304" i="159"/>
  <c r="S2304" i="159" s="1"/>
  <c r="R2339" i="159"/>
  <c r="S2339" i="159" s="1"/>
  <c r="B2543" i="159"/>
  <c r="B2547" i="159" s="1"/>
  <c r="B2548" i="159" s="1"/>
  <c r="R2409" i="159"/>
  <c r="S2409" i="159" s="1"/>
  <c r="R2535" i="159"/>
  <c r="S2535" i="159" s="1"/>
  <c r="B2445" i="159"/>
  <c r="B2449" i="159" s="1"/>
  <c r="B2450" i="159" s="1"/>
  <c r="R2255" i="159"/>
  <c r="S2255" i="159" s="1"/>
  <c r="B2017" i="159"/>
  <c r="B2021" i="159" s="1"/>
  <c r="B2022" i="159" s="1"/>
  <c r="B2200" i="159"/>
  <c r="B2204" i="159" s="1"/>
  <c r="B2205" i="159" s="1"/>
  <c r="B2032" i="159"/>
  <c r="B2036" i="159" s="1"/>
  <c r="B2037" i="159" s="1"/>
  <c r="B2270" i="159"/>
  <c r="B2274" i="159" s="1"/>
  <c r="B2275" i="159" s="1"/>
  <c r="B1716" i="159"/>
  <c r="B1720" i="159" s="1"/>
  <c r="B1721" i="159" s="1"/>
  <c r="R1939" i="159"/>
  <c r="S1939" i="159" s="1"/>
  <c r="B1975" i="159"/>
  <c r="B1979" i="159" s="1"/>
  <c r="B1980" i="159" s="1"/>
  <c r="R1918" i="159"/>
  <c r="S1918" i="159" s="1"/>
  <c r="R1834" i="159"/>
  <c r="S1834" i="159" s="1"/>
  <c r="R1435" i="159"/>
  <c r="S1435" i="159" s="1"/>
  <c r="B1338" i="159"/>
  <c r="B1342" i="159" s="1"/>
  <c r="B1343" i="159" s="1"/>
  <c r="B1380" i="159"/>
  <c r="B1384" i="159" s="1"/>
  <c r="B1385" i="159" s="1"/>
  <c r="R1169" i="159"/>
  <c r="S1169" i="159" s="1"/>
  <c r="R1281" i="159"/>
  <c r="S1281" i="159" s="1"/>
  <c r="R895" i="159"/>
  <c r="S895" i="159" s="1"/>
  <c r="R945" i="159"/>
  <c r="S945" i="159" s="1"/>
  <c r="B1142" i="159"/>
  <c r="B1146" i="159" s="1"/>
  <c r="B1147" i="159" s="1"/>
  <c r="B397" i="159"/>
  <c r="B401" i="159" s="1"/>
  <c r="B402" i="159" s="1"/>
  <c r="B607" i="159"/>
  <c r="B611" i="159" s="1"/>
  <c r="B612" i="159" s="1"/>
  <c r="B770" i="159"/>
  <c r="B774" i="159" s="1"/>
  <c r="B775" i="159" s="1"/>
  <c r="R620" i="159"/>
  <c r="S620" i="159" s="1"/>
  <c r="B320" i="159"/>
  <c r="B324" i="159" s="1"/>
  <c r="B325" i="159" s="1"/>
  <c r="R87" i="159"/>
  <c r="S87" i="159" s="1"/>
  <c r="R193" i="159"/>
  <c r="S193" i="159" s="1"/>
  <c r="B81" i="159"/>
  <c r="B85" i="159" s="1"/>
  <c r="B86" i="159" s="1"/>
  <c r="R158" i="159"/>
  <c r="S158" i="159" s="1"/>
  <c r="R165" i="159"/>
  <c r="S165" i="159" s="1"/>
  <c r="R242" i="159"/>
  <c r="S242" i="159" s="1"/>
  <c r="B138" i="159"/>
  <c r="B142" i="159" s="1"/>
  <c r="B143" i="159" s="1"/>
  <c r="B5679" i="159"/>
  <c r="B5683" i="159" s="1"/>
  <c r="B5684" i="159" s="1"/>
  <c r="R5452" i="159"/>
  <c r="S5452" i="159" s="1"/>
  <c r="R5347" i="159"/>
  <c r="S5347" i="159" s="1"/>
  <c r="B5004" i="159"/>
  <c r="B5008" i="159" s="1"/>
  <c r="B5009" i="159" s="1"/>
  <c r="R5087" i="159"/>
  <c r="S5087" i="159" s="1"/>
  <c r="R4940" i="159"/>
  <c r="S4940" i="159" s="1"/>
  <c r="B4801" i="159"/>
  <c r="B4805" i="159" s="1"/>
  <c r="B4806" i="159" s="1"/>
  <c r="B4787" i="159"/>
  <c r="B4791" i="159" s="1"/>
  <c r="B4792" i="159" s="1"/>
  <c r="R4512" i="159"/>
  <c r="S4512" i="159" s="1"/>
  <c r="B4583" i="159"/>
  <c r="B4587" i="159" s="1"/>
  <c r="B4588" i="159" s="1"/>
  <c r="R4288" i="159"/>
  <c r="S4288" i="159" s="1"/>
  <c r="R4568" i="159"/>
  <c r="S4568" i="159" s="1"/>
  <c r="B4619" i="159"/>
  <c r="B4623" i="159" s="1"/>
  <c r="B4624" i="159" s="1"/>
  <c r="B4415" i="159"/>
  <c r="B4419" i="159" s="1"/>
  <c r="B4420" i="159" s="1"/>
  <c r="R4386" i="159"/>
  <c r="S4386" i="159" s="1"/>
  <c r="R4176" i="159"/>
  <c r="S4176" i="159" s="1"/>
  <c r="R4078" i="159"/>
  <c r="S4078" i="159" s="1"/>
  <c r="R3987" i="159"/>
  <c r="S3987" i="159" s="1"/>
  <c r="R4085" i="159"/>
  <c r="S4085" i="159" s="1"/>
  <c r="B3967" i="159"/>
  <c r="B3971" i="159" s="1"/>
  <c r="B3972" i="159" s="1"/>
  <c r="R3728" i="159"/>
  <c r="S3728" i="159" s="1"/>
  <c r="B3680" i="159"/>
  <c r="B3684" i="159" s="1"/>
  <c r="B3685" i="159" s="1"/>
  <c r="R3427" i="159"/>
  <c r="S3427" i="159" s="1"/>
  <c r="B3239" i="159"/>
  <c r="B3243" i="159" s="1"/>
  <c r="B3244" i="159" s="1"/>
  <c r="R3126" i="159"/>
  <c r="S3126" i="159" s="1"/>
  <c r="R3084" i="159"/>
  <c r="S3084" i="159" s="1"/>
  <c r="R3042" i="159"/>
  <c r="S3042" i="159" s="1"/>
  <c r="R2738" i="159"/>
  <c r="S2738" i="159" s="1"/>
  <c r="B2452" i="159"/>
  <c r="B2456" i="159" s="1"/>
  <c r="B2457" i="159" s="1"/>
  <c r="B2438" i="159"/>
  <c r="B2442" i="159" s="1"/>
  <c r="B2443" i="159" s="1"/>
  <c r="R2451" i="159"/>
  <c r="S2451" i="159" s="1"/>
  <c r="R2605" i="159"/>
  <c r="S2605" i="159" s="1"/>
  <c r="R2206" i="159"/>
  <c r="S2206" i="159" s="1"/>
  <c r="R2178" i="159"/>
  <c r="S2178" i="159" s="1"/>
  <c r="B1947" i="159"/>
  <c r="B1951" i="159" s="1"/>
  <c r="B1952" i="159" s="1"/>
  <c r="R1659" i="159"/>
  <c r="S1659" i="159" s="1"/>
  <c r="B1926" i="159"/>
  <c r="B1930" i="159" s="1"/>
  <c r="B1931" i="159" s="1"/>
  <c r="R1911" i="159"/>
  <c r="S1911" i="159" s="1"/>
  <c r="R1414" i="159"/>
  <c r="S1414" i="159" s="1"/>
  <c r="R1526" i="159"/>
  <c r="S1526" i="159" s="1"/>
  <c r="R1141" i="159"/>
  <c r="S1141" i="159" s="1"/>
  <c r="R874" i="159"/>
  <c r="S874" i="159" s="1"/>
  <c r="R987" i="159"/>
  <c r="S987" i="159" s="1"/>
  <c r="R973" i="159"/>
  <c r="S973" i="159" s="1"/>
  <c r="B671" i="159"/>
  <c r="B675" i="159" s="1"/>
  <c r="B676" i="159" s="1"/>
  <c r="R298" i="159"/>
  <c r="S298" i="159" s="1"/>
  <c r="B523" i="159"/>
  <c r="B527" i="159" s="1"/>
  <c r="B528" i="159" s="1"/>
  <c r="B791" i="159"/>
  <c r="B795" i="159" s="1"/>
  <c r="B796" i="159" s="1"/>
  <c r="R466" i="159"/>
  <c r="S466" i="159" s="1"/>
  <c r="R102" i="159"/>
  <c r="S102" i="159" s="1"/>
  <c r="R5608" i="159"/>
  <c r="S5608" i="159" s="1"/>
  <c r="R5410" i="159"/>
  <c r="S5410" i="159" s="1"/>
  <c r="R5466" i="159"/>
  <c r="S5466" i="159" s="1"/>
  <c r="R5496" i="159"/>
  <c r="S5496" i="159" s="1"/>
  <c r="R5277" i="159"/>
  <c r="S5277" i="159" s="1"/>
  <c r="R5101" i="159"/>
  <c r="S5101" i="159" s="1"/>
  <c r="R5115" i="159"/>
  <c r="S5115" i="159" s="1"/>
  <c r="R4954" i="159"/>
  <c r="S4954" i="159" s="1"/>
  <c r="R4996" i="159"/>
  <c r="S4996" i="159" s="1"/>
  <c r="R5052" i="159"/>
  <c r="S5052" i="159" s="1"/>
  <c r="R4765" i="159"/>
  <c r="S4765" i="159" s="1"/>
  <c r="R4835" i="159"/>
  <c r="S4835" i="159" s="1"/>
  <c r="R4660" i="159"/>
  <c r="S4660" i="159" s="1"/>
  <c r="R4695" i="159"/>
  <c r="S4695" i="159" s="1"/>
  <c r="R4625" i="159"/>
  <c r="S4625" i="159" s="1"/>
  <c r="R4400" i="159"/>
  <c r="S4400" i="159" s="1"/>
  <c r="R4421" i="159"/>
  <c r="S4421" i="159" s="1"/>
  <c r="R4393" i="159"/>
  <c r="S4393" i="159" s="1"/>
  <c r="R4253" i="159"/>
  <c r="S4253" i="159" s="1"/>
  <c r="R4183" i="159"/>
  <c r="S4183" i="159" s="1"/>
  <c r="R4162" i="159"/>
  <c r="S4162" i="159" s="1"/>
  <c r="R3952" i="159"/>
  <c r="S3952" i="159" s="1"/>
  <c r="R3994" i="159"/>
  <c r="S3994" i="159" s="1"/>
  <c r="R3770" i="159"/>
  <c r="S3770" i="159" s="1"/>
  <c r="R3413" i="159"/>
  <c r="S3413" i="159" s="1"/>
  <c r="R3504" i="159"/>
  <c r="S3504" i="159" s="1"/>
  <c r="R3448" i="159"/>
  <c r="S3448" i="159" s="1"/>
  <c r="R3441" i="159"/>
  <c r="S3441" i="159" s="1"/>
  <c r="R3350" i="159"/>
  <c r="S3350" i="159" s="1"/>
  <c r="R3259" i="159"/>
  <c r="S3259" i="159" s="1"/>
  <c r="R3224" i="159"/>
  <c r="S3224" i="159" s="1"/>
  <c r="R3091" i="159"/>
  <c r="S3091" i="159" s="1"/>
  <c r="R3147" i="159"/>
  <c r="S3147" i="159" s="1"/>
  <c r="R3035" i="159"/>
  <c r="S3035" i="159" s="1"/>
  <c r="R3007" i="159"/>
  <c r="S3007" i="159" s="1"/>
  <c r="R2972" i="159"/>
  <c r="S2972" i="159" s="1"/>
  <c r="R2944" i="159"/>
  <c r="S2944" i="159" s="1"/>
  <c r="R2832" i="159"/>
  <c r="S2832" i="159" s="1"/>
  <c r="R2612" i="159"/>
  <c r="S2612" i="159" s="1"/>
  <c r="R2066" i="159"/>
  <c r="S2066" i="159" s="1"/>
  <c r="R2115" i="159"/>
  <c r="S2115" i="159" s="1"/>
  <c r="R2023" i="159"/>
  <c r="S2023" i="159" s="1"/>
  <c r="R1981" i="159"/>
  <c r="S1981" i="159" s="1"/>
  <c r="R2122" i="159"/>
  <c r="S2122" i="159" s="1"/>
  <c r="R2087" i="159"/>
  <c r="S2087" i="159" s="1"/>
  <c r="R1946" i="159"/>
  <c r="S1946" i="159" s="1"/>
  <c r="R2016" i="159"/>
  <c r="S2016" i="159" s="1"/>
  <c r="R2129" i="159"/>
  <c r="S2129" i="159" s="1"/>
  <c r="R2094" i="159"/>
  <c r="S2094" i="159" s="1"/>
  <c r="R2045" i="159"/>
  <c r="S2045" i="159" s="1"/>
  <c r="R1792" i="159"/>
  <c r="S1792" i="159" s="1"/>
  <c r="R1687" i="159"/>
  <c r="S1687" i="159" s="1"/>
  <c r="R1624" i="159"/>
  <c r="S1624" i="159" s="1"/>
  <c r="R1722" i="159"/>
  <c r="S1722" i="159" s="1"/>
  <c r="R1757" i="159"/>
  <c r="S1757" i="159" s="1"/>
  <c r="R1680" i="159"/>
  <c r="S1680" i="159" s="1"/>
  <c r="R1750" i="159"/>
  <c r="S1750" i="159" s="1"/>
  <c r="R1666" i="159"/>
  <c r="S1666" i="159" s="1"/>
  <c r="R1176" i="159"/>
  <c r="S1176" i="159" s="1"/>
  <c r="R1442" i="159"/>
  <c r="S1442" i="159" s="1"/>
  <c r="R1358" i="159"/>
  <c r="S1358" i="159" s="1"/>
  <c r="R1344" i="159"/>
  <c r="S1344" i="159" s="1"/>
  <c r="R1015" i="159"/>
  <c r="S1015" i="159" s="1"/>
  <c r="R1106" i="159"/>
  <c r="S1106" i="159" s="1"/>
  <c r="R909" i="159"/>
  <c r="S909" i="159" s="1"/>
  <c r="R980" i="159"/>
  <c r="S980" i="159" s="1"/>
  <c r="R1099" i="159"/>
  <c r="S1099" i="159" s="1"/>
  <c r="R825" i="159"/>
  <c r="S825" i="159" s="1"/>
  <c r="R769" i="159"/>
  <c r="S769" i="159" s="1"/>
  <c r="R741" i="159"/>
  <c r="S741" i="159" s="1"/>
  <c r="R726" i="159"/>
  <c r="S726" i="159" s="1"/>
  <c r="R804" i="159"/>
  <c r="S804" i="159" s="1"/>
  <c r="R797" i="159"/>
  <c r="S797" i="159" s="1"/>
  <c r="R214" i="159"/>
  <c r="S214" i="159" s="1"/>
  <c r="R382" i="159"/>
  <c r="S382" i="159" s="1"/>
  <c r="R347" i="159"/>
  <c r="S347" i="159" s="1"/>
  <c r="R508" i="159"/>
  <c r="S508" i="159" s="1"/>
  <c r="R431" i="159"/>
  <c r="S431" i="159" s="1"/>
  <c r="R5396" i="159"/>
  <c r="S5396" i="159" s="1"/>
  <c r="B5720" i="159"/>
  <c r="B5665" i="159"/>
  <c r="B5669" i="159" s="1"/>
  <c r="B5670" i="159" s="1"/>
  <c r="R5699" i="159"/>
  <c r="S5699" i="159" s="1"/>
  <c r="R5601" i="159"/>
  <c r="S5601" i="159" s="1"/>
  <c r="B5553" i="159"/>
  <c r="B5557" i="159" s="1"/>
  <c r="B5558" i="159" s="1"/>
  <c r="R5354" i="159"/>
  <c r="S5354" i="159" s="1"/>
  <c r="R5389" i="159"/>
  <c r="S5389" i="159" s="1"/>
  <c r="B5320" i="159"/>
  <c r="B5324" i="159" s="1"/>
  <c r="B5325" i="159" s="1"/>
  <c r="B5236" i="159"/>
  <c r="B5240" i="159" s="1"/>
  <c r="B5241" i="159" s="1"/>
  <c r="R5213" i="159"/>
  <c r="S5213" i="159" s="1"/>
  <c r="R5178" i="159"/>
  <c r="S5178" i="159" s="1"/>
  <c r="R5256" i="159"/>
  <c r="S5256" i="159" s="1"/>
  <c r="B5032" i="159"/>
  <c r="B5036" i="159" s="1"/>
  <c r="B5037" i="159" s="1"/>
  <c r="R5031" i="159"/>
  <c r="S5031" i="159" s="1"/>
  <c r="R4968" i="159"/>
  <c r="S4968" i="159" s="1"/>
  <c r="B4752" i="159"/>
  <c r="B4756" i="159" s="1"/>
  <c r="B4757" i="159" s="1"/>
  <c r="B4766" i="159"/>
  <c r="B4770" i="159" s="1"/>
  <c r="B4771" i="159" s="1"/>
  <c r="R4281" i="159"/>
  <c r="S4281" i="159" s="1"/>
  <c r="R3966" i="159"/>
  <c r="S3966" i="159" s="1"/>
  <c r="B3925" i="159"/>
  <c r="B3929" i="159" s="1"/>
  <c r="B3930" i="159" s="1"/>
  <c r="B3778" i="159"/>
  <c r="B3782" i="159" s="1"/>
  <c r="B3783" i="159" s="1"/>
  <c r="B3785" i="159"/>
  <c r="B3789" i="159" s="1"/>
  <c r="B3790" i="159" s="1"/>
  <c r="R3511" i="159"/>
  <c r="S3511" i="159" s="1"/>
  <c r="R3700" i="159"/>
  <c r="S3700" i="159" s="1"/>
  <c r="R3637" i="159"/>
  <c r="S3637" i="159" s="1"/>
  <c r="R3280" i="159"/>
  <c r="S3280" i="159" s="1"/>
  <c r="R3238" i="159"/>
  <c r="S3238" i="159" s="1"/>
  <c r="R3287" i="159"/>
  <c r="S3287" i="159" s="1"/>
  <c r="R3119" i="159"/>
  <c r="S3119" i="159" s="1"/>
  <c r="B2564" i="159"/>
  <c r="B2568" i="159" s="1"/>
  <c r="B2569" i="159" s="1"/>
  <c r="B2641" i="159"/>
  <c r="B2645" i="159" s="1"/>
  <c r="B2646" i="159" s="1"/>
  <c r="R2465" i="159"/>
  <c r="S2465" i="159" s="1"/>
  <c r="R2507" i="159"/>
  <c r="S2507" i="159" s="1"/>
  <c r="R2444" i="159"/>
  <c r="S2444" i="159" s="1"/>
  <c r="B2368" i="159"/>
  <c r="B2372" i="159" s="1"/>
  <c r="B2373" i="159" s="1"/>
  <c r="B2165" i="159"/>
  <c r="B2169" i="159" s="1"/>
  <c r="B2170" i="159" s="1"/>
  <c r="R2157" i="159"/>
  <c r="S2157" i="159" s="1"/>
  <c r="B2158" i="159"/>
  <c r="B2162" i="159" s="1"/>
  <c r="B2163" i="159" s="1"/>
  <c r="B1968" i="159"/>
  <c r="B1972" i="159" s="1"/>
  <c r="B1973" i="159" s="1"/>
  <c r="B1646" i="159"/>
  <c r="B1650" i="159" s="1"/>
  <c r="B1651" i="159" s="1"/>
  <c r="B1863" i="159"/>
  <c r="B1867" i="159" s="1"/>
  <c r="B1868" i="159" s="1"/>
  <c r="B2010" i="159"/>
  <c r="B2014" i="159" s="1"/>
  <c r="B2015" i="159" s="1"/>
  <c r="B1786" i="159"/>
  <c r="B1790" i="159" s="1"/>
  <c r="B1791" i="159" s="1"/>
  <c r="R1729" i="159"/>
  <c r="S1729" i="159" s="1"/>
  <c r="R1407" i="159"/>
  <c r="S1407" i="159" s="1"/>
  <c r="B1618" i="159"/>
  <c r="B1622" i="159" s="1"/>
  <c r="B1623" i="159" s="1"/>
  <c r="R1190" i="159"/>
  <c r="S1190" i="159" s="1"/>
  <c r="R1057" i="159"/>
  <c r="S1057" i="159" s="1"/>
  <c r="B1345" i="159"/>
  <c r="B1349" i="159" s="1"/>
  <c r="B1350" i="159" s="1"/>
  <c r="B1198" i="159"/>
  <c r="B1202" i="159" s="1"/>
  <c r="B1203" i="159" s="1"/>
  <c r="B974" i="159"/>
  <c r="B978" i="159" s="1"/>
  <c r="B979" i="159" s="1"/>
  <c r="R832" i="159"/>
  <c r="S832" i="159" s="1"/>
  <c r="B889" i="159"/>
  <c r="B893" i="159" s="1"/>
  <c r="B894" i="159" s="1"/>
  <c r="R881" i="159"/>
  <c r="S881" i="159" s="1"/>
  <c r="R952" i="159"/>
  <c r="S952" i="159" s="1"/>
  <c r="B847" i="159"/>
  <c r="B851" i="159" s="1"/>
  <c r="B852" i="159" s="1"/>
  <c r="B854" i="159"/>
  <c r="B858" i="159" s="1"/>
  <c r="B859" i="159" s="1"/>
  <c r="R649" i="159"/>
  <c r="S649" i="159" s="1"/>
  <c r="R606" i="159"/>
  <c r="S606" i="159" s="1"/>
  <c r="R755" i="159"/>
  <c r="S755" i="159" s="1"/>
  <c r="R670" i="159"/>
  <c r="S670" i="159" s="1"/>
  <c r="R550" i="159"/>
  <c r="S550" i="159" s="1"/>
  <c r="B593" i="159"/>
  <c r="B597" i="159" s="1"/>
  <c r="B598" i="159" s="1"/>
  <c r="R417" i="159"/>
  <c r="S417" i="159" s="1"/>
  <c r="B411" i="159"/>
  <c r="B415" i="159" s="1"/>
  <c r="B416" i="159" s="1"/>
  <c r="B390" i="159"/>
  <c r="B394" i="159" s="1"/>
  <c r="B395" i="159" s="1"/>
  <c r="B53" i="159"/>
  <c r="B57" i="159" s="1"/>
  <c r="B58" i="159" s="1"/>
  <c r="R80" i="159"/>
  <c r="S80" i="159" s="1"/>
  <c r="R123" i="159"/>
  <c r="S123" i="159" s="1"/>
  <c r="R221" i="159"/>
  <c r="S221" i="159" s="1"/>
  <c r="B67" i="159"/>
  <c r="B71" i="159" s="1"/>
  <c r="B72" i="159" s="1"/>
  <c r="B5151" i="159"/>
  <c r="B5155" i="159" s="1"/>
  <c r="B5156" i="159" s="1"/>
  <c r="B5630" i="159"/>
  <c r="B5634" i="159" s="1"/>
  <c r="B5635" i="159" s="1"/>
  <c r="R5587" i="159"/>
  <c r="S5587" i="159" s="1"/>
  <c r="R5622" i="159"/>
  <c r="S5622" i="159" s="1"/>
  <c r="B5721" i="159"/>
  <c r="B5725" i="159" s="1"/>
  <c r="B5726" i="159" s="1"/>
  <c r="R5524" i="159"/>
  <c r="S5524" i="159" s="1"/>
  <c r="B5546" i="159"/>
  <c r="B5550" i="159" s="1"/>
  <c r="B5551" i="159" s="1"/>
  <c r="B5306" i="159"/>
  <c r="B5310" i="159" s="1"/>
  <c r="B5311" i="159" s="1"/>
  <c r="R5340" i="159"/>
  <c r="S5340" i="159" s="1"/>
  <c r="R5108" i="159"/>
  <c r="S5108" i="159" s="1"/>
  <c r="B4997" i="159"/>
  <c r="B5001" i="159" s="1"/>
  <c r="B5002" i="159" s="1"/>
  <c r="B4934" i="159"/>
  <c r="B4938" i="159" s="1"/>
  <c r="B4939" i="159" s="1"/>
  <c r="R4884" i="159"/>
  <c r="S4884" i="159" s="1"/>
  <c r="R4807" i="159"/>
  <c r="S4807" i="159" s="1"/>
  <c r="B4759" i="159"/>
  <c r="B4763" i="159" s="1"/>
  <c r="B4764" i="159" s="1"/>
  <c r="B4443" i="159"/>
  <c r="B4447" i="159" s="1"/>
  <c r="B4448" i="159" s="1"/>
  <c r="B4191" i="159"/>
  <c r="B4195" i="159" s="1"/>
  <c r="B4196" i="159" s="1"/>
  <c r="R4358" i="159"/>
  <c r="S4358" i="159" s="1"/>
  <c r="B4303" i="159"/>
  <c r="B4307" i="159" s="1"/>
  <c r="B4308" i="159" s="1"/>
  <c r="R4351" i="159"/>
  <c r="S4351" i="159" s="1"/>
  <c r="B4240" i="159"/>
  <c r="B4244" i="159" s="1"/>
  <c r="B4245" i="159" s="1"/>
  <c r="R4099" i="159"/>
  <c r="S4099" i="159" s="1"/>
  <c r="B4030" i="159"/>
  <c r="B4034" i="159" s="1"/>
  <c r="B4035" i="159" s="1"/>
  <c r="R4232" i="159"/>
  <c r="S4232" i="159" s="1"/>
  <c r="B3792" i="159"/>
  <c r="B3796" i="159" s="1"/>
  <c r="B3797" i="159" s="1"/>
  <c r="R3924" i="159"/>
  <c r="S3924" i="159" s="1"/>
  <c r="R3721" i="159"/>
  <c r="S3721" i="159" s="1"/>
  <c r="R3658" i="159"/>
  <c r="S3658" i="159" s="1"/>
  <c r="R3833" i="159"/>
  <c r="S3833" i="159" s="1"/>
  <c r="R3490" i="159"/>
  <c r="S3490" i="159" s="1"/>
  <c r="B3568" i="159"/>
  <c r="B3572" i="159" s="1"/>
  <c r="B3573" i="159" s="1"/>
  <c r="R3469" i="159"/>
  <c r="S3469" i="159" s="1"/>
  <c r="R3322" i="159"/>
  <c r="S3322" i="159" s="1"/>
  <c r="R3476" i="159"/>
  <c r="S3476" i="159" s="1"/>
  <c r="R3252" i="159"/>
  <c r="S3252" i="159" s="1"/>
  <c r="B2994" i="159"/>
  <c r="B2998" i="159" s="1"/>
  <c r="B2999" i="159" s="1"/>
  <c r="R2930" i="159"/>
  <c r="S2930" i="159" s="1"/>
  <c r="B3001" i="159"/>
  <c r="B3005" i="159" s="1"/>
  <c r="B3006" i="159" s="1"/>
  <c r="B2718" i="159"/>
  <c r="B2722" i="159" s="1"/>
  <c r="B2723" i="159" s="1"/>
  <c r="B2762" i="159"/>
  <c r="B2766" i="159" s="1"/>
  <c r="B2767" i="159" s="1"/>
  <c r="R2430" i="159"/>
  <c r="S2430" i="159" s="1"/>
  <c r="R2283" i="159"/>
  <c r="S2283" i="159" s="1"/>
  <c r="B2130" i="159"/>
  <c r="B2134" i="159" s="1"/>
  <c r="B2135" i="159" s="1"/>
  <c r="B2235" i="159"/>
  <c r="B2239" i="159" s="1"/>
  <c r="B2240" i="159" s="1"/>
  <c r="R2199" i="159"/>
  <c r="S2199" i="159" s="1"/>
  <c r="B2060" i="159"/>
  <c r="B2064" i="159" s="1"/>
  <c r="B2065" i="159" s="1"/>
  <c r="R2227" i="159"/>
  <c r="S2227" i="159" s="1"/>
  <c r="B2116" i="159"/>
  <c r="B2120" i="159" s="1"/>
  <c r="B2121" i="159" s="1"/>
  <c r="B1758" i="159"/>
  <c r="B1762" i="159" s="1"/>
  <c r="B1763" i="159" s="1"/>
  <c r="R1708" i="159"/>
  <c r="S1708" i="159" s="1"/>
  <c r="B1688" i="159"/>
  <c r="B1692" i="159" s="1"/>
  <c r="B1693" i="159" s="1"/>
  <c r="B1639" i="159"/>
  <c r="B1643" i="159" s="1"/>
  <c r="B1644" i="159" s="1"/>
  <c r="B1485" i="159"/>
  <c r="B1489" i="159" s="1"/>
  <c r="B1490" i="159" s="1"/>
  <c r="B1520" i="159"/>
  <c r="B1524" i="159" s="1"/>
  <c r="B1525" i="159" s="1"/>
  <c r="R1575" i="159"/>
  <c r="S1575" i="159" s="1"/>
  <c r="R1337" i="159"/>
  <c r="S1337" i="159" s="1"/>
  <c r="R1050" i="159"/>
  <c r="S1050" i="159" s="1"/>
  <c r="R1365" i="159"/>
  <c r="S1365" i="159" s="1"/>
  <c r="B1212" i="159"/>
  <c r="B1216" i="159" s="1"/>
  <c r="B1217" i="159" s="1"/>
  <c r="B1058" i="159"/>
  <c r="B1062" i="159" s="1"/>
  <c r="B1063" i="159" s="1"/>
  <c r="B988" i="159"/>
  <c r="B992" i="159" s="1"/>
  <c r="B993" i="159" s="1"/>
  <c r="B819" i="159"/>
  <c r="B823" i="159" s="1"/>
  <c r="B824" i="159" s="1"/>
  <c r="B875" i="159"/>
  <c r="B879" i="159" s="1"/>
  <c r="B880" i="159" s="1"/>
  <c r="B201" i="159"/>
  <c r="B205" i="159" s="1"/>
  <c r="B206" i="159" s="1"/>
  <c r="R501" i="159"/>
  <c r="S501" i="159" s="1"/>
  <c r="B586" i="159"/>
  <c r="B590" i="159" s="1"/>
  <c r="B591" i="159" s="1"/>
  <c r="R452" i="159"/>
  <c r="S452" i="159" s="1"/>
  <c r="R38" i="159"/>
  <c r="S38" i="159" s="1"/>
  <c r="B5658" i="159"/>
  <c r="B5662" i="159" s="1"/>
  <c r="B5663" i="159" s="1"/>
  <c r="R5459" i="159"/>
  <c r="S5459" i="159" s="1"/>
  <c r="B5334" i="159"/>
  <c r="B5338" i="159" s="1"/>
  <c r="B5339" i="159" s="1"/>
  <c r="B5581" i="159"/>
  <c r="B5585" i="159" s="1"/>
  <c r="B5586" i="159" s="1"/>
  <c r="R5678" i="159"/>
  <c r="S5678" i="159" s="1"/>
  <c r="B5700" i="159"/>
  <c r="B5704" i="159" s="1"/>
  <c r="B5705" i="159" s="1"/>
  <c r="R5615" i="159"/>
  <c r="S5615" i="159" s="1"/>
  <c r="B5425" i="159"/>
  <c r="B5429" i="159" s="1"/>
  <c r="B5430" i="159" s="1"/>
  <c r="R5445" i="159"/>
  <c r="S5445" i="159" s="1"/>
  <c r="B5383" i="159"/>
  <c r="B5387" i="159" s="1"/>
  <c r="B5388" i="159" s="1"/>
  <c r="R5319" i="159"/>
  <c r="S5319" i="159" s="1"/>
  <c r="B5257" i="159"/>
  <c r="B5261" i="159" s="1"/>
  <c r="B5262" i="159" s="1"/>
  <c r="R5235" i="159"/>
  <c r="S5235" i="159" s="1"/>
  <c r="B5074" i="159"/>
  <c r="B5078" i="159" s="1"/>
  <c r="B5079" i="159" s="1"/>
  <c r="R4982" i="159"/>
  <c r="S4982" i="159" s="1"/>
  <c r="R4870" i="159"/>
  <c r="S4870" i="159" s="1"/>
  <c r="R4947" i="159"/>
  <c r="S4947" i="159" s="1"/>
  <c r="R5003" i="159"/>
  <c r="S5003" i="159" s="1"/>
  <c r="B4857" i="159"/>
  <c r="B4861" i="159" s="1"/>
  <c r="B4862" i="159" s="1"/>
  <c r="R4786" i="159"/>
  <c r="S4786" i="159" s="1"/>
  <c r="R4428" i="159"/>
  <c r="S4428" i="159" s="1"/>
  <c r="R4547" i="159"/>
  <c r="S4547" i="159" s="1"/>
  <c r="B4562" i="159"/>
  <c r="B4566" i="159" s="1"/>
  <c r="B4567" i="159" s="1"/>
  <c r="R4463" i="159"/>
  <c r="S4463" i="159" s="1"/>
  <c r="R4337" i="159"/>
  <c r="S4337" i="159" s="1"/>
  <c r="B4457" i="159"/>
  <c r="B4461" i="159" s="1"/>
  <c r="B4462" i="159" s="1"/>
  <c r="R4449" i="159"/>
  <c r="S4449" i="159" s="1"/>
  <c r="B4093" i="159"/>
  <c r="B4097" i="159" s="1"/>
  <c r="B4098" i="159" s="1"/>
  <c r="B3834" i="159"/>
  <c r="B3838" i="159" s="1"/>
  <c r="B3839" i="159" s="1"/>
  <c r="R3868" i="159"/>
  <c r="S3868" i="159" s="1"/>
  <c r="B3960" i="159"/>
  <c r="B3964" i="159" s="1"/>
  <c r="B3965" i="159" s="1"/>
  <c r="R4022" i="159"/>
  <c r="S4022" i="159" s="1"/>
  <c r="R3574" i="159"/>
  <c r="S3574" i="159" s="1"/>
  <c r="B3547" i="159"/>
  <c r="B3551" i="159" s="1"/>
  <c r="B3552" i="159" s="1"/>
  <c r="R3651" i="159"/>
  <c r="S3651" i="159" s="1"/>
  <c r="B3617" i="159"/>
  <c r="B3621" i="159" s="1"/>
  <c r="B3622" i="159" s="1"/>
  <c r="R3595" i="159"/>
  <c r="S3595" i="159" s="1"/>
  <c r="R3630" i="159"/>
  <c r="S3630" i="159" s="1"/>
  <c r="B3337" i="159"/>
  <c r="B3341" i="159" s="1"/>
  <c r="B3342" i="159" s="1"/>
  <c r="R3385" i="159"/>
  <c r="S3385" i="159" s="1"/>
  <c r="B3190" i="159"/>
  <c r="B3194" i="159" s="1"/>
  <c r="B3195" i="159" s="1"/>
  <c r="B3169" i="159"/>
  <c r="B3173" i="159" s="1"/>
  <c r="B3174" i="159" s="1"/>
  <c r="B3127" i="159"/>
  <c r="B3131" i="159" s="1"/>
  <c r="B3132" i="159" s="1"/>
  <c r="B3232" i="159"/>
  <c r="B3236" i="159" s="1"/>
  <c r="B3237" i="159" s="1"/>
  <c r="B2931" i="159"/>
  <c r="B2935" i="159" s="1"/>
  <c r="B2936" i="159" s="1"/>
  <c r="B2952" i="159"/>
  <c r="B2956" i="159" s="1"/>
  <c r="B2957" i="159" s="1"/>
  <c r="R3000" i="159"/>
  <c r="S3000" i="159" s="1"/>
  <c r="R2703" i="159"/>
  <c r="S2703" i="159" s="1"/>
  <c r="R2937" i="159"/>
  <c r="S2937" i="159" s="1"/>
  <c r="R2577" i="159"/>
  <c r="S2577" i="159" s="1"/>
  <c r="B2550" i="159"/>
  <c r="B2554" i="159" s="1"/>
  <c r="B2555" i="159" s="1"/>
  <c r="R2584" i="159"/>
  <c r="S2584" i="159" s="1"/>
  <c r="R2626" i="159"/>
  <c r="S2626" i="159" s="1"/>
  <c r="R2839" i="159"/>
  <c r="S2839" i="159" s="1"/>
  <c r="R2696" i="159"/>
  <c r="S2696" i="159" s="1"/>
  <c r="R2782" i="159"/>
  <c r="S2782" i="159" s="1"/>
  <c r="R2881" i="159"/>
  <c r="S2881" i="159" s="1"/>
  <c r="B2396" i="159"/>
  <c r="B2400" i="159" s="1"/>
  <c r="B2401" i="159" s="1"/>
  <c r="R2423" i="159"/>
  <c r="S2423" i="159" s="1"/>
  <c r="R2521" i="159"/>
  <c r="S2521" i="159" s="1"/>
  <c r="B2123" i="159"/>
  <c r="B2127" i="159" s="1"/>
  <c r="B2128" i="159" s="1"/>
  <c r="R2101" i="159"/>
  <c r="S2101" i="159" s="1"/>
  <c r="B1961" i="159"/>
  <c r="B1965" i="159" s="1"/>
  <c r="B1966" i="159" s="1"/>
  <c r="R2108" i="159"/>
  <c r="S2108" i="159" s="1"/>
  <c r="R1638" i="159"/>
  <c r="S1638" i="159" s="1"/>
  <c r="B1478" i="159"/>
  <c r="B1482" i="159" s="1"/>
  <c r="B1483" i="159" s="1"/>
  <c r="R1554" i="159"/>
  <c r="S1554" i="159" s="1"/>
  <c r="B1674" i="159"/>
  <c r="B1678" i="159" s="1"/>
  <c r="B1679" i="159" s="1"/>
  <c r="R1561" i="159"/>
  <c r="S1561" i="159" s="1"/>
  <c r="R1148" i="159"/>
  <c r="S1148" i="159" s="1"/>
  <c r="R1183" i="159"/>
  <c r="S1183" i="159" s="1"/>
  <c r="R1288" i="159"/>
  <c r="S1288" i="159" s="1"/>
  <c r="R776" i="159"/>
  <c r="S776" i="159" s="1"/>
  <c r="R839" i="159"/>
  <c r="S839" i="159" s="1"/>
  <c r="B840" i="159"/>
  <c r="B844" i="159" s="1"/>
  <c r="B845" i="159" s="1"/>
  <c r="B925" i="159"/>
  <c r="B929" i="159" s="1"/>
  <c r="B930" i="159" s="1"/>
  <c r="R1008" i="159"/>
  <c r="S1008" i="159" s="1"/>
  <c r="R543" i="159"/>
  <c r="S543" i="159" s="1"/>
  <c r="R719" i="159"/>
  <c r="S719" i="159" s="1"/>
  <c r="R691" i="159"/>
  <c r="S691" i="159" s="1"/>
  <c r="B650" i="159"/>
  <c r="B654" i="159" s="1"/>
  <c r="B655" i="159" s="1"/>
  <c r="R312" i="159"/>
  <c r="S312" i="159" s="1"/>
  <c r="R291" i="159"/>
  <c r="S291" i="159" s="1"/>
  <c r="B222" i="159"/>
  <c r="B226" i="159" s="1"/>
  <c r="B227" i="159" s="1"/>
  <c r="R52" i="159"/>
  <c r="S52" i="159" s="1"/>
  <c r="R179" i="159"/>
  <c r="S179" i="159" s="1"/>
  <c r="B5497" i="159"/>
  <c r="B5501" i="159" s="1"/>
  <c r="B5502" i="159" s="1"/>
  <c r="R5185" i="159"/>
  <c r="S5185" i="159" s="1"/>
  <c r="B5193" i="159"/>
  <c r="B5197" i="159" s="1"/>
  <c r="B5198" i="159" s="1"/>
  <c r="R5685" i="159"/>
  <c r="S5685" i="159" s="1"/>
  <c r="R5671" i="159"/>
  <c r="S5671" i="159" s="1"/>
  <c r="R5538" i="159"/>
  <c r="S5538" i="159" s="1"/>
  <c r="R5424" i="159"/>
  <c r="S5424" i="159" s="1"/>
  <c r="B5390" i="159"/>
  <c r="B5394" i="159" s="1"/>
  <c r="B5395" i="159" s="1"/>
  <c r="R5263" i="159"/>
  <c r="S5263" i="159" s="1"/>
  <c r="R5333" i="159"/>
  <c r="S5333" i="159" s="1"/>
  <c r="R5221" i="159"/>
  <c r="S5221" i="159" s="1"/>
  <c r="R5129" i="159"/>
  <c r="S5129" i="159" s="1"/>
  <c r="R5122" i="159"/>
  <c r="S5122" i="159" s="1"/>
  <c r="B4941" i="159"/>
  <c r="B4945" i="159" s="1"/>
  <c r="B4946" i="159" s="1"/>
  <c r="R4758" i="159"/>
  <c r="S4758" i="159" s="1"/>
  <c r="R4709" i="159"/>
  <c r="S4709" i="159" s="1"/>
  <c r="B4485" i="159"/>
  <c r="B4489" i="159" s="1"/>
  <c r="B4490" i="159" s="1"/>
  <c r="R4596" i="159"/>
  <c r="S4596" i="159" s="1"/>
  <c r="R4603" i="159"/>
  <c r="S4603" i="159" s="1"/>
  <c r="R4407" i="159"/>
  <c r="S4407" i="159" s="1"/>
  <c r="R4155" i="159"/>
  <c r="S4155" i="159" s="1"/>
  <c r="R4043" i="159"/>
  <c r="S4043" i="159" s="1"/>
  <c r="R4050" i="159"/>
  <c r="S4050" i="159" s="1"/>
  <c r="R4141" i="159"/>
  <c r="S4141" i="159" s="1"/>
  <c r="B3890" i="159"/>
  <c r="B3894" i="159" s="1"/>
  <c r="B3895" i="159" s="1"/>
  <c r="R3609" i="159"/>
  <c r="S3609" i="159" s="1"/>
  <c r="B3750" i="159"/>
  <c r="B3754" i="159" s="1"/>
  <c r="B3755" i="159" s="1"/>
  <c r="B3652" i="159"/>
  <c r="B3656" i="159" s="1"/>
  <c r="B3657" i="159" s="1"/>
  <c r="R3602" i="159"/>
  <c r="S3602" i="159" s="1"/>
  <c r="B3330" i="159"/>
  <c r="B3334" i="159" s="1"/>
  <c r="B3335" i="159" s="1"/>
  <c r="B3414" i="159"/>
  <c r="B3418" i="159" s="1"/>
  <c r="B3419" i="159" s="1"/>
  <c r="R3196" i="159"/>
  <c r="S3196" i="159" s="1"/>
  <c r="B3113" i="159"/>
  <c r="B3117" i="159" s="1"/>
  <c r="B3118" i="159" s="1"/>
  <c r="R3070" i="159"/>
  <c r="S3070" i="159" s="1"/>
  <c r="B2704" i="159"/>
  <c r="B2708" i="159" s="1"/>
  <c r="B2709" i="159" s="1"/>
  <c r="R2853" i="159"/>
  <c r="S2853" i="159" s="1"/>
  <c r="R2668" i="159"/>
  <c r="S2668" i="159" s="1"/>
  <c r="R2346" i="159"/>
  <c r="S2346" i="159" s="1"/>
  <c r="B2361" i="159"/>
  <c r="B2365" i="159" s="1"/>
  <c r="B2366" i="159" s="1"/>
  <c r="R2080" i="159"/>
  <c r="S2080" i="159" s="1"/>
  <c r="R2164" i="159"/>
  <c r="S2164" i="159" s="1"/>
  <c r="B1800" i="159"/>
  <c r="B1804" i="159" s="1"/>
  <c r="B1805" i="159" s="1"/>
  <c r="R1995" i="159"/>
  <c r="S1995" i="159" s="1"/>
  <c r="B1835" i="159"/>
  <c r="B1839" i="159" s="1"/>
  <c r="B1840" i="159" s="1"/>
  <c r="B1695" i="159"/>
  <c r="B1699" i="159" s="1"/>
  <c r="B1700" i="159" s="1"/>
  <c r="R1876" i="159"/>
  <c r="S1876" i="159" s="1"/>
  <c r="R1862" i="159"/>
  <c r="S1862" i="159" s="1"/>
  <c r="R1799" i="159"/>
  <c r="S1799" i="159" s="1"/>
  <c r="B1562" i="159"/>
  <c r="B1566" i="159" s="1"/>
  <c r="B1567" i="159" s="1"/>
  <c r="R1610" i="159"/>
  <c r="S1610" i="159" s="1"/>
  <c r="R1470" i="159"/>
  <c r="S1470" i="159" s="1"/>
  <c r="R1260" i="159"/>
  <c r="S1260" i="159" s="1"/>
  <c r="R1155" i="159"/>
  <c r="S1155" i="159" s="1"/>
  <c r="B918" i="159"/>
  <c r="B922" i="159" s="1"/>
  <c r="B923" i="159" s="1"/>
  <c r="R1351" i="159"/>
  <c r="S1351" i="159" s="1"/>
  <c r="R1295" i="159"/>
  <c r="S1295" i="159" s="1"/>
  <c r="B960" i="159"/>
  <c r="B964" i="159" s="1"/>
  <c r="B965" i="159" s="1"/>
  <c r="R1134" i="159"/>
  <c r="S1134" i="159" s="1"/>
  <c r="B995" i="159"/>
  <c r="B999" i="159" s="1"/>
  <c r="B1000" i="159" s="1"/>
  <c r="R592" i="159"/>
  <c r="S592" i="159" s="1"/>
  <c r="R642" i="159"/>
  <c r="S642" i="159" s="1"/>
  <c r="R186" i="159"/>
  <c r="S186" i="159" s="1"/>
  <c r="R424" i="159"/>
  <c r="S424" i="159" s="1"/>
  <c r="R459" i="159"/>
  <c r="S459" i="159" s="1"/>
  <c r="R438" i="159"/>
  <c r="S438" i="159" s="1"/>
  <c r="N11" i="385"/>
  <c r="Q11" i="385"/>
  <c r="M11" i="387"/>
  <c r="M11" i="386"/>
  <c r="M11" i="68"/>
  <c r="R10" i="159"/>
  <c r="S10" i="159" s="1"/>
  <c r="B3899" i="159" l="1"/>
  <c r="B2131" i="159"/>
  <c r="B616" i="159"/>
  <c r="B3815" i="159"/>
  <c r="B3590" i="159"/>
  <c r="B4234" i="159"/>
  <c r="Q36" i="386"/>
  <c r="N36" i="386"/>
  <c r="B5027" i="159"/>
  <c r="B2926" i="159"/>
  <c r="B5238" i="159"/>
  <c r="N24" i="386"/>
  <c r="Q24" i="386"/>
  <c r="B2557" i="159"/>
  <c r="B2561" i="159" s="1"/>
  <c r="B2562" i="159" s="1"/>
  <c r="B4312" i="159"/>
  <c r="B3737" i="159"/>
  <c r="B3780" i="159"/>
  <c r="B1654" i="159"/>
  <c r="B3906" i="159"/>
  <c r="B1529" i="159"/>
  <c r="B3492" i="159"/>
  <c r="Q25" i="386"/>
  <c r="N25" i="386"/>
  <c r="Q16" i="386"/>
  <c r="N16" i="386"/>
  <c r="B1940" i="159"/>
  <c r="B1944" i="159" s="1"/>
  <c r="B1945" i="159" s="1"/>
  <c r="B4389" i="159"/>
  <c r="B5680" i="159"/>
  <c r="Q26" i="386"/>
  <c r="N26" i="386"/>
  <c r="Q41" i="386"/>
  <c r="N41" i="386"/>
  <c r="B545" i="159"/>
  <c r="Q12" i="386"/>
  <c r="N12" i="386"/>
  <c r="Q18" i="386"/>
  <c r="N18" i="386"/>
  <c r="Q30" i="386"/>
  <c r="N30" i="386"/>
  <c r="Q13" i="386"/>
  <c r="N13" i="386"/>
  <c r="Q20" i="386"/>
  <c r="N20" i="386"/>
  <c r="Q33" i="386"/>
  <c r="N33" i="386"/>
  <c r="Q23" i="386"/>
  <c r="N23" i="386"/>
  <c r="N14" i="386"/>
  <c r="Q14" i="386"/>
  <c r="Q15" i="386"/>
  <c r="N15" i="386"/>
  <c r="N34" i="386"/>
  <c r="Q34" i="386"/>
  <c r="Q35" i="386"/>
  <c r="N35" i="386"/>
  <c r="Q17" i="386"/>
  <c r="N17" i="386"/>
  <c r="Q19" i="386"/>
  <c r="N19" i="386"/>
  <c r="Q38" i="386"/>
  <c r="N38" i="386"/>
  <c r="B4569" i="159"/>
  <c r="B4573" i="159" s="1"/>
  <c r="B4574" i="159" s="1"/>
  <c r="Q21" i="386"/>
  <c r="N21" i="386"/>
  <c r="Q29" i="386"/>
  <c r="N29" i="386"/>
  <c r="Q27" i="386"/>
  <c r="N27" i="386"/>
  <c r="Q39" i="386"/>
  <c r="N39" i="386"/>
  <c r="B1389" i="159"/>
  <c r="Q37" i="386"/>
  <c r="N37" i="386"/>
  <c r="Q31" i="386"/>
  <c r="N31" i="386"/>
  <c r="Q22" i="386"/>
  <c r="N22" i="386"/>
  <c r="Q40" i="386"/>
  <c r="N40" i="386"/>
  <c r="Q28" i="386"/>
  <c r="N28" i="386"/>
  <c r="Q32" i="386"/>
  <c r="N32" i="386"/>
  <c r="B4241" i="159"/>
  <c r="B252" i="159"/>
  <c r="B5061" i="159"/>
  <c r="B4066" i="159"/>
  <c r="B625" i="159"/>
  <c r="B877" i="159"/>
  <c r="B2849" i="159"/>
  <c r="B2174" i="159"/>
  <c r="B5103" i="159"/>
  <c r="B3003" i="159"/>
  <c r="B3450" i="159"/>
  <c r="B5258" i="159"/>
  <c r="B4046" i="159"/>
  <c r="B26" i="159"/>
  <c r="B5322" i="159"/>
  <c r="B3325" i="159"/>
  <c r="B2019" i="159"/>
  <c r="B2327" i="159"/>
  <c r="B4753" i="159"/>
  <c r="B4866" i="159"/>
  <c r="B5723" i="159"/>
  <c r="B4788" i="159"/>
  <c r="B1752" i="159"/>
  <c r="Q68" i="68"/>
  <c r="N68" i="68"/>
  <c r="Q107" i="68"/>
  <c r="N107" i="68"/>
  <c r="B4031" i="159"/>
  <c r="Q24" i="68"/>
  <c r="N24" i="68"/>
  <c r="B5209" i="159"/>
  <c r="Q185" i="68"/>
  <c r="N185" i="68"/>
  <c r="B3696" i="159"/>
  <c r="B4396" i="159"/>
  <c r="B3969" i="159"/>
  <c r="B4326" i="159"/>
  <c r="B2565" i="159"/>
  <c r="B5638" i="159"/>
  <c r="B3016" i="159"/>
  <c r="B2705" i="159"/>
  <c r="B2974" i="159"/>
  <c r="B5476" i="159"/>
  <c r="B1410" i="159"/>
  <c r="B5461" i="159"/>
  <c r="B5245" i="159"/>
  <c r="B3478" i="159"/>
  <c r="B3556" i="159"/>
  <c r="N190" i="68"/>
  <c r="B1227" i="159"/>
  <c r="B4536" i="159"/>
  <c r="B1172" i="159"/>
  <c r="B4522" i="159"/>
  <c r="B4915" i="159"/>
  <c r="B392" i="159"/>
  <c r="B4157" i="159"/>
  <c r="B5020" i="159"/>
  <c r="B5455" i="159"/>
  <c r="Q105" i="68"/>
  <c r="N105" i="68"/>
  <c r="Q187" i="68"/>
  <c r="N187" i="68"/>
  <c r="B4248" i="159"/>
  <c r="B5180" i="159"/>
  <c r="B5287" i="159"/>
  <c r="B2622" i="159"/>
  <c r="B5695" i="159"/>
  <c r="B4775" i="159"/>
  <c r="B5632" i="159"/>
  <c r="B3689" i="159"/>
  <c r="B3884" i="159"/>
  <c r="B2670" i="159"/>
  <c r="B3093" i="159"/>
  <c r="B2194" i="159"/>
  <c r="Q174" i="68"/>
  <c r="N174" i="68"/>
  <c r="Q152" i="68"/>
  <c r="N152" i="68"/>
  <c r="Q173" i="68"/>
  <c r="N173" i="68"/>
  <c r="Q59" i="68"/>
  <c r="N59" i="68"/>
  <c r="Q79" i="68"/>
  <c r="N79" i="68"/>
  <c r="Q28" i="68"/>
  <c r="N28" i="68"/>
  <c r="Q155" i="68"/>
  <c r="N155" i="68"/>
  <c r="Q150" i="68"/>
  <c r="N150" i="68"/>
  <c r="B517" i="159"/>
  <c r="B4563" i="159"/>
  <c r="B3366" i="159"/>
  <c r="B4298" i="159"/>
  <c r="Q160" i="68"/>
  <c r="N160" i="68"/>
  <c r="Q23" i="68"/>
  <c r="N23" i="68"/>
  <c r="Q33" i="68"/>
  <c r="N33" i="68"/>
  <c r="B2110" i="159"/>
  <c r="Q99" i="68"/>
  <c r="N99" i="68"/>
  <c r="Q12" i="68"/>
  <c r="N12" i="68"/>
  <c r="Q128" i="68"/>
  <c r="N128" i="68"/>
  <c r="Q108" i="68"/>
  <c r="N108" i="68"/>
  <c r="N26" i="68"/>
  <c r="Q26" i="68"/>
  <c r="Q148" i="68"/>
  <c r="N148" i="68"/>
  <c r="N188" i="68"/>
  <c r="Q188" i="68"/>
  <c r="Q182" i="68"/>
  <c r="N182" i="68"/>
  <c r="Q95" i="68"/>
  <c r="N95" i="68"/>
  <c r="Q38" i="68"/>
  <c r="N38" i="68"/>
  <c r="Q115" i="68"/>
  <c r="N115" i="68"/>
  <c r="Q153" i="68"/>
  <c r="N153" i="68"/>
  <c r="B2807" i="159"/>
  <c r="Q121" i="68"/>
  <c r="N121" i="68"/>
  <c r="Q75" i="68"/>
  <c r="N75" i="68"/>
  <c r="Q84" i="68"/>
  <c r="N84" i="68"/>
  <c r="Q159" i="68"/>
  <c r="N159" i="68"/>
  <c r="Q147" i="68"/>
  <c r="N147" i="68"/>
  <c r="Q56" i="68"/>
  <c r="N56" i="68"/>
  <c r="Q177" i="68"/>
  <c r="N177" i="68"/>
  <c r="Q83" i="68"/>
  <c r="N83" i="68"/>
  <c r="B4360" i="159"/>
  <c r="B2684" i="159"/>
  <c r="B4676" i="159"/>
  <c r="B2502" i="159"/>
  <c r="B5687" i="159"/>
  <c r="Q61" i="68"/>
  <c r="N61" i="68"/>
  <c r="Q54" i="68"/>
  <c r="N54" i="68"/>
  <c r="N166" i="68"/>
  <c r="Q166" i="68"/>
  <c r="B4354" i="159"/>
  <c r="B3618" i="159"/>
  <c r="B4087" i="159"/>
  <c r="B5590" i="159"/>
  <c r="B2953" i="159"/>
  <c r="B5701" i="159"/>
  <c r="B4304" i="159"/>
  <c r="Q176" i="68"/>
  <c r="N176" i="68"/>
  <c r="Q169" i="68"/>
  <c r="N169" i="68"/>
  <c r="Q154" i="68"/>
  <c r="N154" i="68"/>
  <c r="Q168" i="68"/>
  <c r="N168" i="68"/>
  <c r="Q81" i="68"/>
  <c r="N81" i="68"/>
  <c r="Q93" i="68"/>
  <c r="N93" i="68"/>
  <c r="Q133" i="68"/>
  <c r="N133" i="68"/>
  <c r="N88" i="68"/>
  <c r="Q88" i="68"/>
  <c r="B4529" i="159"/>
  <c r="B3758" i="159"/>
  <c r="Q109" i="68"/>
  <c r="N109" i="68"/>
  <c r="Q82" i="68"/>
  <c r="N82" i="68"/>
  <c r="Q167" i="68"/>
  <c r="N167" i="68"/>
  <c r="Q52" i="68"/>
  <c r="N52" i="68"/>
  <c r="Q15" i="68"/>
  <c r="N15" i="68"/>
  <c r="Q165" i="68"/>
  <c r="N165" i="68"/>
  <c r="Q136" i="68"/>
  <c r="N136" i="68"/>
  <c r="N16" i="68"/>
  <c r="Q16" i="68"/>
  <c r="Q129" i="68"/>
  <c r="N129" i="68"/>
  <c r="Q149" i="68"/>
  <c r="N149" i="68"/>
  <c r="Q30" i="68"/>
  <c r="N30" i="68"/>
  <c r="B1298" i="159"/>
  <c r="B3927" i="159"/>
  <c r="B20" i="159"/>
  <c r="B1346" i="159"/>
  <c r="B1304" i="159"/>
  <c r="B827" i="159"/>
  <c r="Q14" i="68"/>
  <c r="N14" i="68"/>
  <c r="Q178" i="68"/>
  <c r="N178" i="68"/>
  <c r="Q25" i="68"/>
  <c r="N25" i="68"/>
  <c r="Q184" i="68"/>
  <c r="N184" i="68"/>
  <c r="N116" i="68"/>
  <c r="Q116" i="68"/>
  <c r="Q144" i="68"/>
  <c r="N144" i="68"/>
  <c r="N103" i="68"/>
  <c r="Q103" i="68"/>
  <c r="B3674" i="159"/>
  <c r="Q125" i="68"/>
  <c r="N125" i="68"/>
  <c r="N127" i="68"/>
  <c r="Q127" i="68"/>
  <c r="Q48" i="68"/>
  <c r="N48" i="68"/>
  <c r="Q191" i="68"/>
  <c r="N191" i="68"/>
  <c r="Q131" i="68"/>
  <c r="N131" i="68"/>
  <c r="Q73" i="68"/>
  <c r="N73" i="68"/>
  <c r="Q117" i="68"/>
  <c r="N117" i="68"/>
  <c r="B5513" i="159"/>
  <c r="B4374" i="159"/>
  <c r="B3304" i="159"/>
  <c r="B3199" i="159"/>
  <c r="B2041" i="159"/>
  <c r="B2069" i="159"/>
  <c r="B4501" i="159"/>
  <c r="B5660" i="159"/>
  <c r="B3436" i="159"/>
  <c r="B1270" i="159"/>
  <c r="Q102" i="68"/>
  <c r="N102" i="68"/>
  <c r="N106" i="68"/>
  <c r="Q106" i="68"/>
  <c r="Q189" i="68"/>
  <c r="N189" i="68"/>
  <c r="Q65" i="68"/>
  <c r="N65" i="68"/>
  <c r="Q158" i="68"/>
  <c r="N158" i="68"/>
  <c r="Q34" i="68"/>
  <c r="N34" i="68"/>
  <c r="B2230" i="159"/>
  <c r="B378" i="159"/>
  <c r="B146" i="159"/>
  <c r="B5715" i="159"/>
  <c r="Q57" i="68"/>
  <c r="N57" i="68"/>
  <c r="Q13" i="68"/>
  <c r="N13" i="68"/>
  <c r="Q69" i="68"/>
  <c r="N69" i="68"/>
  <c r="Q111" i="68"/>
  <c r="N111" i="68"/>
  <c r="Q118" i="68"/>
  <c r="N118" i="68"/>
  <c r="Q67" i="68"/>
  <c r="N67" i="68"/>
  <c r="Q100" i="68"/>
  <c r="N100" i="68"/>
  <c r="Q72" i="68"/>
  <c r="N72" i="68"/>
  <c r="Q42" i="68"/>
  <c r="N42" i="68"/>
  <c r="B384" i="159"/>
  <c r="B5493" i="159"/>
  <c r="B5356" i="159"/>
  <c r="B5667" i="159"/>
  <c r="B3296" i="159"/>
  <c r="B2355" i="159"/>
  <c r="B321" i="159"/>
  <c r="N113" i="68"/>
  <c r="Q113" i="68"/>
  <c r="Q132" i="68"/>
  <c r="N132" i="68"/>
  <c r="Q179" i="68"/>
  <c r="N179" i="68"/>
  <c r="Q27" i="68"/>
  <c r="N27" i="68"/>
  <c r="Q91" i="68"/>
  <c r="N91" i="68"/>
  <c r="N98" i="68"/>
  <c r="Q98" i="68"/>
  <c r="Q122" i="68"/>
  <c r="N122" i="68"/>
  <c r="Q104" i="68"/>
  <c r="N104" i="68"/>
  <c r="Q71" i="68"/>
  <c r="N71" i="68"/>
  <c r="Q97" i="68"/>
  <c r="N97" i="68"/>
  <c r="B2124" i="159"/>
  <c r="B3065" i="159"/>
  <c r="Q44" i="68"/>
  <c r="N44" i="68"/>
  <c r="Q22" i="68"/>
  <c r="N22" i="68"/>
  <c r="Q85" i="68"/>
  <c r="N85" i="68"/>
  <c r="Q139" i="68"/>
  <c r="N139" i="68"/>
  <c r="Q18" i="68"/>
  <c r="N18" i="68"/>
  <c r="Q119" i="68"/>
  <c r="N119" i="68"/>
  <c r="Q92" i="68"/>
  <c r="N92" i="68"/>
  <c r="Q77" i="68"/>
  <c r="N77" i="68"/>
  <c r="Q145" i="68"/>
  <c r="N145" i="68"/>
  <c r="B5273" i="159"/>
  <c r="B1382" i="159"/>
  <c r="B105" i="159"/>
  <c r="B5674" i="159"/>
  <c r="B870" i="159"/>
  <c r="B2743" i="159"/>
  <c r="B3388" i="159"/>
  <c r="B5048" i="159"/>
  <c r="B3836" i="159"/>
  <c r="Q64" i="68"/>
  <c r="N64" i="68"/>
  <c r="Q141" i="68"/>
  <c r="N141" i="68"/>
  <c r="Q86" i="68"/>
  <c r="N86" i="68"/>
  <c r="Q60" i="68"/>
  <c r="N60" i="68"/>
  <c r="Q172" i="68"/>
  <c r="N172" i="68"/>
  <c r="Q76" i="68"/>
  <c r="N76" i="68"/>
  <c r="Q80" i="68"/>
  <c r="N80" i="68"/>
  <c r="Q53" i="68"/>
  <c r="N53" i="68"/>
  <c r="B3401" i="159"/>
  <c r="B5076" i="159"/>
  <c r="B4227" i="159"/>
  <c r="B2870" i="159"/>
  <c r="B5618" i="159"/>
  <c r="B2215" i="159"/>
  <c r="B4669" i="159"/>
  <c r="Q36" i="68"/>
  <c r="N36" i="68"/>
  <c r="Q41" i="68"/>
  <c r="N41" i="68"/>
  <c r="Q58" i="68"/>
  <c r="N58" i="68"/>
  <c r="N120" i="68"/>
  <c r="Q120" i="68"/>
  <c r="Q63" i="68"/>
  <c r="N63" i="68"/>
  <c r="Q186" i="68"/>
  <c r="N186" i="68"/>
  <c r="Q110" i="68"/>
  <c r="N110" i="68"/>
  <c r="Q40" i="68"/>
  <c r="N40" i="68"/>
  <c r="Q183" i="68"/>
  <c r="N183" i="68"/>
  <c r="Q74" i="68"/>
  <c r="N74" i="68"/>
  <c r="Q21" i="68"/>
  <c r="N21" i="68"/>
  <c r="N123" i="68"/>
  <c r="Q123" i="68"/>
  <c r="B3654" i="159"/>
  <c r="B3010" i="159"/>
  <c r="B1122" i="159"/>
  <c r="B2362" i="159"/>
  <c r="Q55" i="68"/>
  <c r="N55" i="68"/>
  <c r="Q142" i="68"/>
  <c r="N142" i="68"/>
  <c r="Q17" i="68"/>
  <c r="N17" i="68"/>
  <c r="N90" i="68"/>
  <c r="Q90" i="68"/>
  <c r="Q157" i="68"/>
  <c r="N157" i="68"/>
  <c r="Q124" i="68"/>
  <c r="N124" i="68"/>
  <c r="Q114" i="68"/>
  <c r="N114" i="68"/>
  <c r="N51" i="68"/>
  <c r="Q51" i="68"/>
  <c r="Q163" i="68"/>
  <c r="N163" i="68"/>
  <c r="Q151" i="68"/>
  <c r="N151" i="68"/>
  <c r="Q35" i="68"/>
  <c r="N35" i="68"/>
  <c r="Q162" i="68"/>
  <c r="N162" i="68"/>
  <c r="Q112" i="68"/>
  <c r="N112" i="68"/>
  <c r="N87" i="68"/>
  <c r="Q87" i="68"/>
  <c r="Q78" i="68"/>
  <c r="N78" i="68"/>
  <c r="Q96" i="68"/>
  <c r="N96" i="68"/>
  <c r="Q70" i="68"/>
  <c r="N70" i="68"/>
  <c r="Q49" i="68"/>
  <c r="N49" i="68"/>
  <c r="Q161" i="68"/>
  <c r="N161" i="68"/>
  <c r="Q45" i="68"/>
  <c r="N45" i="68"/>
  <c r="Q47" i="68"/>
  <c r="N47" i="68"/>
  <c r="N31" i="68"/>
  <c r="Q31" i="68"/>
  <c r="Q140" i="68"/>
  <c r="N140" i="68"/>
  <c r="Q180" i="68"/>
  <c r="N180" i="68"/>
  <c r="Q171" i="68"/>
  <c r="N171" i="68"/>
  <c r="N126" i="68"/>
  <c r="Q126" i="68"/>
  <c r="Q20" i="68"/>
  <c r="N20" i="68"/>
  <c r="Q164" i="68"/>
  <c r="N164" i="68"/>
  <c r="Q62" i="68"/>
  <c r="N62" i="68"/>
  <c r="N66" i="68"/>
  <c r="Q66" i="68"/>
  <c r="Q101" i="68"/>
  <c r="N101" i="68"/>
  <c r="Q50" i="68"/>
  <c r="N50" i="68"/>
  <c r="Q29" i="68"/>
  <c r="N29" i="68"/>
  <c r="Q170" i="68"/>
  <c r="N170" i="68"/>
  <c r="Q32" i="68"/>
  <c r="N32" i="68"/>
  <c r="Q43" i="68"/>
  <c r="N43" i="68"/>
  <c r="N146" i="68"/>
  <c r="Q146" i="68"/>
  <c r="B3660" i="159"/>
  <c r="B1717" i="159"/>
  <c r="B3163" i="159"/>
  <c r="N37" i="68"/>
  <c r="Q37" i="68"/>
  <c r="Q137" i="68"/>
  <c r="N137" i="68"/>
  <c r="Q135" i="68"/>
  <c r="N135" i="68"/>
  <c r="Q130" i="68"/>
  <c r="N130" i="68"/>
  <c r="Q134" i="68"/>
  <c r="N134" i="68"/>
  <c r="Q94" i="68"/>
  <c r="N94" i="68"/>
  <c r="Q19" i="68"/>
  <c r="N19" i="68"/>
  <c r="Q143" i="68"/>
  <c r="N143" i="68"/>
  <c r="B5506" i="159"/>
  <c r="B4691" i="159"/>
  <c r="B1563" i="159"/>
  <c r="B2320" i="159"/>
  <c r="Q181" i="68"/>
  <c r="N181" i="68"/>
  <c r="N46" i="68"/>
  <c r="Q46" i="68"/>
  <c r="Q175" i="68"/>
  <c r="N175" i="68"/>
  <c r="Q138" i="68"/>
  <c r="N138" i="68"/>
  <c r="Q89" i="68"/>
  <c r="N89" i="68"/>
  <c r="Q156" i="68"/>
  <c r="N156" i="68"/>
  <c r="Q39" i="68"/>
  <c r="N39" i="68"/>
  <c r="B110" i="159"/>
  <c r="B114" i="159" s="1"/>
  <c r="B115" i="159" s="1"/>
  <c r="B1793" i="159"/>
  <c r="B1797" i="159" s="1"/>
  <c r="B1798" i="159" s="1"/>
  <c r="B643" i="159"/>
  <c r="B647" i="159" s="1"/>
  <c r="B648" i="159" s="1"/>
  <c r="B1765" i="159"/>
  <c r="B1769" i="159" s="1"/>
  <c r="B1770" i="159" s="1"/>
  <c r="B3939" i="159"/>
  <c r="B3943" i="159" s="1"/>
  <c r="B3944" i="159" s="1"/>
  <c r="B5266" i="159"/>
  <c r="B399" i="159"/>
  <c r="B348" i="159"/>
  <c r="B352" i="159" s="1"/>
  <c r="B353" i="159" s="1"/>
  <c r="B5384" i="159"/>
  <c r="B5313" i="159"/>
  <c r="B5317" i="159" s="1"/>
  <c r="B5318" i="159" s="1"/>
  <c r="B5364" i="159"/>
  <c r="B728" i="159"/>
  <c r="B779" i="159"/>
  <c r="B3799" i="159"/>
  <c r="B3803" i="159" s="1"/>
  <c r="B3804" i="159" s="1"/>
  <c r="B3365" i="159"/>
  <c r="B3369" i="159" s="1"/>
  <c r="B3370" i="159" s="1"/>
  <c r="B187" i="159"/>
  <c r="B191" i="159" s="1"/>
  <c r="B192" i="159" s="1"/>
  <c r="B2875" i="159"/>
  <c r="B2879" i="159" s="1"/>
  <c r="B2880" i="159" s="1"/>
  <c r="B1205" i="159"/>
  <c r="B1209" i="159" s="1"/>
  <c r="B1210" i="159" s="1"/>
  <c r="B2201" i="159"/>
  <c r="B5646" i="159"/>
  <c r="B4615" i="159"/>
  <c r="B1737" i="159"/>
  <c r="B1741" i="159" s="1"/>
  <c r="B1742" i="159" s="1"/>
  <c r="B1555" i="159"/>
  <c r="B1559" i="159" s="1"/>
  <c r="B1560" i="159" s="1"/>
  <c r="B3220" i="159"/>
  <c r="B2447" i="159"/>
  <c r="B4039" i="159"/>
  <c r="B96" i="159"/>
  <c r="B100" i="159" s="1"/>
  <c r="B101" i="159" s="1"/>
  <c r="B1121" i="159"/>
  <c r="B1125" i="159" s="1"/>
  <c r="B1126" i="159" s="1"/>
  <c r="B1072" i="159"/>
  <c r="B1076" i="159" s="1"/>
  <c r="B1077" i="159" s="1"/>
  <c r="B3043" i="159"/>
  <c r="B3047" i="159" s="1"/>
  <c r="B3048" i="159" s="1"/>
  <c r="B5547" i="159"/>
  <c r="B2048" i="159"/>
  <c r="B41" i="159"/>
  <c r="B301" i="159"/>
  <c r="B1466" i="159"/>
  <c r="B4424" i="159"/>
  <c r="B3907" i="159"/>
  <c r="B238" i="159"/>
  <c r="B4186" i="159"/>
  <c r="B1984" i="159"/>
  <c r="B651" i="159"/>
  <c r="B2649" i="159"/>
  <c r="B3359" i="159"/>
  <c r="B4964" i="159"/>
  <c r="B1459" i="159"/>
  <c r="B1842" i="159"/>
  <c r="B1846" i="159" s="1"/>
  <c r="B1847" i="159" s="1"/>
  <c r="B5398" i="159"/>
  <c r="B2061" i="159"/>
  <c r="B4949" i="159"/>
  <c r="B3948" i="159"/>
  <c r="B4262" i="159"/>
  <c r="B4621" i="159"/>
  <c r="B1060" i="159"/>
  <c r="B126" i="159"/>
  <c r="B4179" i="159"/>
  <c r="B4767" i="159"/>
  <c r="B3381" i="159"/>
  <c r="B1914" i="159"/>
  <c r="B5041" i="159"/>
  <c r="B2461" i="159"/>
  <c r="B5343" i="159"/>
  <c r="B3542" i="159"/>
  <c r="B4339" i="159"/>
  <c r="B553" i="159"/>
  <c r="B3395" i="159"/>
  <c r="B4803" i="159"/>
  <c r="B4270" i="159"/>
  <c r="B4417" i="159"/>
  <c r="B2905" i="159"/>
  <c r="B1179" i="159"/>
  <c r="B4060" i="159"/>
  <c r="B3416" i="159"/>
  <c r="B3269" i="159"/>
  <c r="B5132" i="159"/>
  <c r="B5525" i="159"/>
  <c r="B5529" i="159" s="1"/>
  <c r="B5530" i="159" s="1"/>
  <c r="B455" i="159"/>
  <c r="B1711" i="159"/>
  <c r="B1851" i="159"/>
  <c r="B2468" i="159"/>
  <c r="B224" i="159"/>
  <c r="B3213" i="159"/>
  <c r="B1486" i="159"/>
  <c r="B1669" i="159"/>
  <c r="B5083" i="159"/>
  <c r="B5118" i="159"/>
  <c r="B5448" i="159"/>
  <c r="B5404" i="159"/>
  <c r="B5408" i="159" s="1"/>
  <c r="B5409" i="159" s="1"/>
  <c r="B1324" i="159"/>
  <c r="B1328" i="159" s="1"/>
  <c r="B1329" i="159" s="1"/>
  <c r="B3745" i="159"/>
  <c r="B2307" i="159"/>
  <c r="B3534" i="159"/>
  <c r="B2160" i="159"/>
  <c r="B1242" i="159"/>
  <c r="B4487" i="159"/>
  <c r="B4550" i="159"/>
  <c r="B1991" i="159"/>
  <c r="B3318" i="159"/>
  <c r="B863" i="159"/>
  <c r="B5097" i="159"/>
  <c r="B3261" i="159"/>
  <c r="B1578" i="159"/>
  <c r="B4858" i="159"/>
  <c r="B3290" i="159"/>
  <c r="B2076" i="159"/>
  <c r="B1648" i="159"/>
  <c r="B2734" i="159"/>
  <c r="B4011" i="159"/>
  <c r="B5434" i="159"/>
  <c r="B2237" i="159"/>
  <c r="B4908" i="159"/>
  <c r="B1284" i="159"/>
  <c r="B5583" i="159"/>
  <c r="B3876" i="159"/>
  <c r="B3880" i="159" s="1"/>
  <c r="B3881" i="159" s="1"/>
  <c r="B4451" i="159"/>
  <c r="B5612" i="159"/>
  <c r="B2404" i="159"/>
  <c r="B3647" i="159"/>
  <c r="B1424" i="159"/>
  <c r="B722" i="159"/>
  <c r="B4368" i="159"/>
  <c r="B5709" i="159"/>
  <c r="B2862" i="159"/>
  <c r="B2166" i="159"/>
  <c r="B3849" i="159"/>
  <c r="B2139" i="159"/>
  <c r="B4052" i="159"/>
  <c r="B4172" i="159"/>
  <c r="B3115" i="159"/>
  <c r="B4095" i="159"/>
  <c r="B4725" i="159"/>
  <c r="B2279" i="159"/>
  <c r="B286" i="159"/>
  <c r="B3121" i="159"/>
  <c r="B4004" i="159"/>
  <c r="B5541" i="159"/>
  <c r="B5111" i="159"/>
  <c r="B5195" i="159"/>
  <c r="B3773" i="159"/>
  <c r="B3596" i="159"/>
  <c r="B3600" i="159" s="1"/>
  <c r="B3601" i="159" s="1"/>
  <c r="B4507" i="159"/>
  <c r="B2656" i="159"/>
  <c r="B61" i="159"/>
  <c r="B4698" i="159"/>
  <c r="B3465" i="159"/>
  <c r="B2719" i="159"/>
  <c r="B3183" i="159"/>
  <c r="B3187" i="159" s="1"/>
  <c r="B3188" i="159" s="1"/>
  <c r="B744" i="159"/>
  <c r="B756" i="159"/>
  <c r="B760" i="159" s="1"/>
  <c r="B761" i="159" s="1"/>
  <c r="B12" i="159"/>
  <c r="B2251" i="159"/>
  <c r="B5413" i="159"/>
  <c r="B3311" i="159"/>
  <c r="B1886" i="159"/>
  <c r="B5653" i="159"/>
  <c r="B1921" i="159"/>
  <c r="B4887" i="159"/>
  <c r="B4333" i="159"/>
  <c r="B2530" i="159"/>
  <c r="B2586" i="159"/>
  <c r="B2383" i="159"/>
  <c r="B2509" i="159"/>
  <c r="B738" i="159"/>
  <c r="B4192" i="159"/>
  <c r="B3843" i="159"/>
  <c r="B4290" i="159"/>
  <c r="B2748" i="159"/>
  <c r="B1277" i="159"/>
  <c r="B1108" i="159"/>
  <c r="B1024" i="159"/>
  <c r="B1094" i="159"/>
  <c r="B5216" i="159"/>
  <c r="B4018" i="159"/>
  <c r="B4025" i="159"/>
  <c r="B3871" i="159"/>
  <c r="B2891" i="159"/>
  <c r="B4957" i="159"/>
  <c r="B2398" i="159"/>
  <c r="B3079" i="159"/>
  <c r="B3150" i="159"/>
  <c r="B5124" i="159"/>
  <c r="B1788" i="159"/>
  <c r="B1144" i="159"/>
  <c r="B4277" i="159"/>
  <c r="B1319" i="159"/>
  <c r="B1816" i="159"/>
  <c r="B1612" i="159"/>
  <c r="B2439" i="159"/>
  <c r="B2432" i="159"/>
  <c r="B3134" i="159"/>
  <c r="B3138" i="159" s="1"/>
  <c r="B3139" i="159" s="1"/>
  <c r="B1704" i="159"/>
  <c r="B3253" i="159"/>
  <c r="B3257" i="159" s="1"/>
  <c r="B3258" i="159" s="1"/>
  <c r="B4606" i="159"/>
  <c r="B4472" i="159"/>
  <c r="B2375" i="159"/>
  <c r="B2379" i="159" s="1"/>
  <c r="B2380" i="159" s="1"/>
  <c r="B2691" i="159"/>
  <c r="B4102" i="159"/>
  <c r="B3808" i="159"/>
  <c r="B5068" i="159"/>
  <c r="B560" i="159"/>
  <c r="B1731" i="159"/>
  <c r="B624" i="159"/>
  <c r="B329" i="159"/>
  <c r="B4444" i="159"/>
  <c r="B1219" i="159"/>
  <c r="B1223" i="159" s="1"/>
  <c r="B1224" i="159" s="1"/>
  <c r="B2349" i="159"/>
  <c r="B4824" i="159"/>
  <c r="B3338" i="159"/>
  <c r="B5596" i="159"/>
  <c r="B658" i="159"/>
  <c r="B1759" i="159"/>
  <c r="B806" i="159"/>
  <c r="B343" i="159"/>
  <c r="B3486" i="159"/>
  <c r="B5520" i="159"/>
  <c r="B1480" i="159"/>
  <c r="B997" i="159"/>
  <c r="B4221" i="159"/>
  <c r="B525" i="159"/>
  <c r="B1165" i="159"/>
  <c r="B3666" i="159"/>
  <c r="B3670" i="159" s="1"/>
  <c r="B3671" i="159" s="1"/>
  <c r="B4935" i="159"/>
  <c r="B5378" i="159"/>
  <c r="B2856" i="159"/>
  <c r="B786" i="159"/>
  <c r="B5371" i="159"/>
  <c r="B679" i="159"/>
  <c r="B1864" i="159"/>
  <c r="B1535" i="159"/>
  <c r="B196" i="159"/>
  <c r="B4256" i="159"/>
  <c r="B2209" i="159"/>
  <c r="B4656" i="159"/>
  <c r="B3962" i="159"/>
  <c r="B245" i="159"/>
  <c r="B4705" i="159"/>
  <c r="B1333" i="159"/>
  <c r="B771" i="159"/>
  <c r="B2615" i="159"/>
  <c r="B1186" i="159"/>
  <c r="B181" i="159"/>
  <c r="B3800" i="159"/>
  <c r="B3297" i="159"/>
  <c r="B3101" i="159"/>
  <c r="B4942" i="159"/>
  <c r="B821" i="159"/>
  <c r="B1927" i="159"/>
  <c r="B1472" i="159"/>
  <c r="B3855" i="159"/>
  <c r="B3859" i="159" s="1"/>
  <c r="B3860" i="159" s="1"/>
  <c r="B3953" i="159"/>
  <c r="B3957" i="159" s="1"/>
  <c r="B3958" i="159" s="1"/>
  <c r="B1809" i="159"/>
  <c r="B3206" i="159"/>
  <c r="B905" i="159"/>
  <c r="B2425" i="159"/>
  <c r="B751" i="159"/>
  <c r="B160" i="159"/>
  <c r="B363" i="159"/>
  <c r="B1262" i="159"/>
  <c r="B133" i="159"/>
  <c r="B2947" i="159"/>
  <c r="B1214" i="159"/>
  <c r="B5534" i="159"/>
  <c r="B4347" i="159"/>
  <c r="B4584" i="159"/>
  <c r="B4684" i="159"/>
  <c r="B4740" i="159"/>
  <c r="B921" i="159"/>
  <c r="B55" i="159"/>
  <c r="B2808" i="159"/>
  <c r="B708" i="159"/>
  <c r="B4380" i="159"/>
  <c r="B4384" i="159" s="1"/>
  <c r="B4385" i="159" s="1"/>
  <c r="B5144" i="159"/>
  <c r="B5148" i="159" s="1"/>
  <c r="B5149" i="159" s="1"/>
  <c r="B3919" i="159"/>
  <c r="B2244" i="159"/>
  <c r="B3708" i="159"/>
  <c r="B3712" i="159" s="1"/>
  <c r="B3713" i="159" s="1"/>
  <c r="B2258" i="159"/>
  <c r="B1781" i="159"/>
  <c r="B2912" i="159"/>
  <c r="B1494" i="159"/>
  <c r="B5202" i="159"/>
  <c r="B5624" i="159"/>
  <c r="B4543" i="159"/>
  <c r="B4817" i="159"/>
  <c r="B5314" i="159"/>
  <c r="B2820" i="159"/>
  <c r="B4599" i="159"/>
  <c r="B1955" i="159"/>
  <c r="B4479" i="159"/>
  <c r="B912" i="159"/>
  <c r="B426" i="159"/>
  <c r="B4991" i="159"/>
  <c r="H5726" i="159"/>
  <c r="G5726" i="159"/>
  <c r="F5726" i="159"/>
  <c r="J5726" i="159"/>
  <c r="B1676" i="159"/>
  <c r="B5280" i="159"/>
  <c r="B1592" i="159"/>
  <c r="B4871" i="159"/>
  <c r="B4875" i="159" s="1"/>
  <c r="B4876" i="159" s="1"/>
  <c r="B4990" i="159"/>
  <c r="B4994" i="159" s="1"/>
  <c r="B4995" i="159" s="1"/>
  <c r="B3940" i="159"/>
  <c r="B2765" i="159"/>
  <c r="B5294" i="159"/>
  <c r="B3681" i="159"/>
  <c r="B5477" i="159"/>
  <c r="B2482" i="159"/>
  <c r="B3709" i="159"/>
  <c r="B3241" i="159"/>
  <c r="B4515" i="159"/>
  <c r="B3892" i="159"/>
  <c r="B1438" i="159"/>
  <c r="B1697" i="159"/>
  <c r="B5230" i="159"/>
  <c r="B1031" i="159"/>
  <c r="B1619" i="159"/>
  <c r="B2035" i="159"/>
  <c r="B1359" i="159"/>
  <c r="B1363" i="159" s="1"/>
  <c r="B1364" i="159" s="1"/>
  <c r="B934" i="159"/>
  <c r="B5688" i="159"/>
  <c r="B4164" i="159"/>
  <c r="B1004" i="159"/>
  <c r="B1571" i="159"/>
  <c r="B5575" i="159"/>
  <c r="B4151" i="159"/>
  <c r="B4880" i="159"/>
  <c r="B594" i="159"/>
  <c r="B4578" i="159"/>
  <c r="B1395" i="159"/>
  <c r="B4892" i="159"/>
  <c r="B4896" i="159" s="1"/>
  <c r="B4897" i="159" s="1"/>
  <c r="B5427" i="159"/>
  <c r="B4640" i="159"/>
  <c r="B4644" i="159" s="1"/>
  <c r="B4645" i="159" s="1"/>
  <c r="B5308" i="159"/>
  <c r="B3086" i="159"/>
  <c r="B3498" i="159"/>
  <c r="B3502" i="159" s="1"/>
  <c r="B3503" i="159" s="1"/>
  <c r="B99" i="159"/>
  <c r="B4746" i="159"/>
  <c r="B1353" i="159"/>
  <c r="B3246" i="159"/>
  <c r="B3250" i="159" s="1"/>
  <c r="B3251" i="159" s="1"/>
  <c r="B1506" i="159"/>
  <c r="B1510" i="159" s="1"/>
  <c r="B1511" i="159" s="1"/>
  <c r="B271" i="159"/>
  <c r="B275" i="159" s="1"/>
  <c r="B276" i="159" s="1"/>
  <c r="B5222" i="159"/>
  <c r="B5226" i="159" s="1"/>
  <c r="B5227" i="159" s="1"/>
  <c r="B2214" i="159"/>
  <c r="B2218" i="159" s="1"/>
  <c r="B2219" i="159" s="1"/>
  <c r="B3092" i="159"/>
  <c r="B3096" i="159" s="1"/>
  <c r="B3097" i="159" s="1"/>
  <c r="B636" i="159"/>
  <c r="B640" i="159" s="1"/>
  <c r="B641" i="159" s="1"/>
  <c r="B159" i="159"/>
  <c r="B163" i="159" s="1"/>
  <c r="B164" i="159" s="1"/>
  <c r="B3981" i="159"/>
  <c r="B3985" i="159" s="1"/>
  <c r="B3986" i="159" s="1"/>
  <c r="B1051" i="159"/>
  <c r="B1055" i="159" s="1"/>
  <c r="B1056" i="159" s="1"/>
  <c r="B502" i="159"/>
  <c r="B506" i="159" s="1"/>
  <c r="B507" i="159" s="1"/>
  <c r="B763" i="159"/>
  <c r="B767" i="159" s="1"/>
  <c r="B768" i="159" s="1"/>
  <c r="B2725" i="159"/>
  <c r="B2729" i="159" s="1"/>
  <c r="B2730" i="159" s="1"/>
  <c r="B2571" i="159"/>
  <c r="B2575" i="159" s="1"/>
  <c r="B2576" i="159" s="1"/>
  <c r="B4317" i="159"/>
  <c r="B4321" i="159" s="1"/>
  <c r="B4322" i="159" s="1"/>
  <c r="B5397" i="159"/>
  <c r="B5401" i="159" s="1"/>
  <c r="B5402" i="159" s="1"/>
  <c r="B4983" i="159"/>
  <c r="B4987" i="159" s="1"/>
  <c r="B4988" i="159" s="1"/>
  <c r="B3477" i="159"/>
  <c r="B3481" i="159" s="1"/>
  <c r="B3482" i="159" s="1"/>
  <c r="B3295" i="159"/>
  <c r="B3299" i="159" s="1"/>
  <c r="B3300" i="159" s="1"/>
  <c r="B3064" i="159"/>
  <c r="B3068" i="159" s="1"/>
  <c r="B3069" i="159" s="1"/>
  <c r="B1044" i="159"/>
  <c r="B1048" i="159" s="1"/>
  <c r="B1049" i="159" s="1"/>
  <c r="B981" i="159"/>
  <c r="B985" i="159" s="1"/>
  <c r="B986" i="159" s="1"/>
  <c r="B4233" i="159"/>
  <c r="B4237" i="159" s="1"/>
  <c r="B4238" i="159" s="1"/>
  <c r="B3673" i="159"/>
  <c r="B3677" i="159" s="1"/>
  <c r="B3678" i="159" s="1"/>
  <c r="B3274" i="159"/>
  <c r="B3278" i="159" s="1"/>
  <c r="B3279" i="159" s="1"/>
  <c r="B3974" i="159"/>
  <c r="B3978" i="159" s="1"/>
  <c r="B3979" i="159" s="1"/>
  <c r="B3603" i="159"/>
  <c r="B3607" i="159" s="1"/>
  <c r="B3608" i="159" s="1"/>
  <c r="B2312" i="159"/>
  <c r="B2316" i="159" s="1"/>
  <c r="B2317" i="159" s="1"/>
  <c r="B488" i="159"/>
  <c r="B492" i="159" s="1"/>
  <c r="B493" i="159" s="1"/>
  <c r="B1226" i="159"/>
  <c r="B1230" i="159" s="1"/>
  <c r="B1231" i="159" s="1"/>
  <c r="B1030" i="159"/>
  <c r="B1034" i="159" s="1"/>
  <c r="B1035" i="159" s="1"/>
  <c r="B5060" i="159"/>
  <c r="B5064" i="159" s="1"/>
  <c r="B5065" i="159" s="1"/>
  <c r="B2144" i="159"/>
  <c r="B2148" i="159" s="1"/>
  <c r="B2149" i="159" s="1"/>
  <c r="B1156" i="159"/>
  <c r="B1160" i="159" s="1"/>
  <c r="B1161" i="159" s="1"/>
  <c r="B4675" i="159"/>
  <c r="B4679" i="159" s="1"/>
  <c r="B4680" i="159" s="1"/>
  <c r="B1723" i="159"/>
  <c r="B1727" i="159" s="1"/>
  <c r="B1728" i="159" s="1"/>
  <c r="B600" i="159"/>
  <c r="B604" i="159" s="1"/>
  <c r="B605" i="159" s="1"/>
  <c r="B2410" i="159"/>
  <c r="B2414" i="159" s="1"/>
  <c r="B2415" i="159" s="1"/>
  <c r="B3449" i="159"/>
  <c r="B3453" i="159" s="1"/>
  <c r="B3454" i="159" s="1"/>
  <c r="B3820" i="159"/>
  <c r="B3824" i="159" s="1"/>
  <c r="B3825" i="159" s="1"/>
  <c r="B2826" i="159"/>
  <c r="B2830" i="159" s="1"/>
  <c r="B2831" i="159" s="1"/>
  <c r="B2805" i="159"/>
  <c r="B2809" i="159" s="1"/>
  <c r="B2810" i="159" s="1"/>
  <c r="B4121" i="159"/>
  <c r="B4125" i="159" s="1"/>
  <c r="B4126" i="159" s="1"/>
  <c r="B3176" i="159"/>
  <c r="B3180" i="159" s="1"/>
  <c r="B3181" i="159" s="1"/>
  <c r="B3631" i="159"/>
  <c r="B3635" i="159" s="1"/>
  <c r="B3636" i="159" s="1"/>
  <c r="B3162" i="159"/>
  <c r="B3166" i="159" s="1"/>
  <c r="B3167" i="159" s="1"/>
  <c r="B4289" i="159"/>
  <c r="B4293" i="159" s="1"/>
  <c r="B4294" i="159" s="1"/>
  <c r="B2389" i="159"/>
  <c r="B2393" i="159" s="1"/>
  <c r="B2394" i="159" s="1"/>
  <c r="B657" i="159"/>
  <c r="B661" i="159" s="1"/>
  <c r="B662" i="159" s="1"/>
  <c r="B565" i="159"/>
  <c r="B569" i="159" s="1"/>
  <c r="B570" i="159" s="1"/>
  <c r="B2973" i="159"/>
  <c r="B2977" i="159" s="1"/>
  <c r="B2978" i="159" s="1"/>
  <c r="B1310" i="159"/>
  <c r="B1314" i="159" s="1"/>
  <c r="B1315" i="159" s="1"/>
  <c r="B4717" i="159"/>
  <c r="B4721" i="159" s="1"/>
  <c r="B4722" i="159" s="1"/>
  <c r="B509" i="159"/>
  <c r="B513" i="159" s="1"/>
  <c r="B514" i="159" s="1"/>
  <c r="B1065" i="159"/>
  <c r="B1069" i="159" s="1"/>
  <c r="B1070" i="159" s="1"/>
  <c r="B3428" i="159"/>
  <c r="B3432" i="159" s="1"/>
  <c r="B3433" i="159" s="1"/>
  <c r="B2151" i="159"/>
  <c r="B2155" i="159" s="1"/>
  <c r="B2156" i="159" s="1"/>
  <c r="B678" i="159"/>
  <c r="B682" i="159" s="1"/>
  <c r="B683" i="159" s="1"/>
  <c r="B1933" i="159"/>
  <c r="B1937" i="159" s="1"/>
  <c r="B1938" i="159" s="1"/>
  <c r="B3764" i="159"/>
  <c r="B3768" i="159" s="1"/>
  <c r="B3769" i="159" s="1"/>
  <c r="B1660" i="159"/>
  <c r="B1664" i="159" s="1"/>
  <c r="B1665" i="159" s="1"/>
  <c r="B5595" i="159"/>
  <c r="B5599" i="159" s="1"/>
  <c r="B5600" i="159" s="1"/>
  <c r="B1016" i="159"/>
  <c r="B1020" i="159" s="1"/>
  <c r="B1021" i="159" s="1"/>
  <c r="B1415" i="159"/>
  <c r="B1419" i="159" s="1"/>
  <c r="B1420" i="159" s="1"/>
  <c r="B2494" i="159"/>
  <c r="B2498" i="159" s="1"/>
  <c r="B2499" i="159" s="1"/>
  <c r="B2382" i="159"/>
  <c r="B2386" i="159" s="1"/>
  <c r="B2387" i="159" s="1"/>
  <c r="B2840" i="159"/>
  <c r="B2844" i="159" s="1"/>
  <c r="B2845" i="159" s="1"/>
  <c r="B5686" i="159"/>
  <c r="B5690" i="159" s="1"/>
  <c r="B5691" i="159" s="1"/>
  <c r="B5714" i="159"/>
  <c r="B5718" i="159" s="1"/>
  <c r="B5719" i="159" s="1"/>
  <c r="Q11" i="68"/>
  <c r="N11" i="68"/>
  <c r="Q11" i="386"/>
  <c r="N11" i="386"/>
  <c r="N11" i="387"/>
  <c r="Q11" i="387"/>
  <c r="B11" i="159"/>
  <c r="B15" i="159" s="1"/>
  <c r="B16" i="159" s="1"/>
  <c r="B982" i="159" l="1"/>
  <c r="B4381" i="159"/>
  <c r="B2777" i="159"/>
  <c r="B3191" i="159"/>
  <c r="B714" i="159"/>
  <c r="B2857" i="159"/>
  <c r="B5521" i="159"/>
  <c r="B644" i="159"/>
  <c r="B2474" i="159"/>
  <c r="B757" i="159"/>
  <c r="B1934" i="159"/>
  <c r="B1271" i="159"/>
  <c r="B3429" i="159"/>
  <c r="B4152" i="159"/>
  <c r="B2948" i="159"/>
  <c r="B1150" i="159"/>
  <c r="B5267" i="159"/>
  <c r="B1220" i="159"/>
  <c r="B5710" i="159"/>
  <c r="B5133" i="159"/>
  <c r="B265" i="159"/>
  <c r="B4173" i="159"/>
  <c r="B1605" i="159"/>
  <c r="B3214" i="159"/>
  <c r="B3094" i="159"/>
  <c r="B2152" i="159"/>
  <c r="B3975" i="159"/>
  <c r="B3877" i="159"/>
  <c r="B4804" i="159"/>
  <c r="B3044" i="159"/>
  <c r="B3648" i="159"/>
  <c r="B1109" i="159"/>
  <c r="B3066" i="159"/>
  <c r="B573" i="159"/>
  <c r="B1467" i="159"/>
  <c r="B3254" i="159"/>
  <c r="B3597" i="159"/>
  <c r="B864" i="159"/>
  <c r="B2271" i="159"/>
  <c r="B197" i="159"/>
  <c r="B3156" i="159"/>
  <c r="B3367" i="159"/>
  <c r="B4699" i="159"/>
  <c r="B1836" i="159"/>
  <c r="B4657" i="159"/>
  <c r="B5187" i="159"/>
  <c r="B1852" i="159"/>
  <c r="B4103" i="159"/>
  <c r="B1766" i="159"/>
  <c r="B1325" i="159"/>
  <c r="B1915" i="159"/>
  <c r="B4418" i="159"/>
  <c r="B4844" i="159"/>
  <c r="B787" i="159"/>
  <c r="B2892" i="159"/>
  <c r="B3360" i="159"/>
  <c r="B799" i="159"/>
  <c r="B5281" i="159"/>
  <c r="B1732" i="159"/>
  <c r="B1199" i="159"/>
  <c r="B2390" i="159"/>
  <c r="B3479" i="159"/>
  <c r="B1677" i="159"/>
  <c r="B5535" i="159"/>
  <c r="B3051" i="159"/>
  <c r="B216" i="159"/>
  <c r="B2210" i="159"/>
  <c r="B5098" i="159"/>
  <c r="B456" i="159"/>
  <c r="B2906" i="159"/>
  <c r="B3242" i="159"/>
  <c r="B2677" i="159"/>
  <c r="B3675" i="159"/>
  <c r="B4340" i="159"/>
  <c r="B3164" i="159"/>
  <c r="B2685" i="159"/>
  <c r="B1579" i="159"/>
  <c r="B2469" i="159"/>
  <c r="B5507" i="159"/>
  <c r="B834" i="159"/>
  <c r="B4718" i="159"/>
  <c r="B4291" i="159"/>
  <c r="B4768" i="159"/>
  <c r="B1460" i="159"/>
  <c r="B1180" i="159"/>
  <c r="B5295" i="159"/>
  <c r="B1487" i="159"/>
  <c r="B2341" i="159"/>
  <c r="B1360" i="159"/>
  <c r="B3471" i="159"/>
  <c r="B167" i="159"/>
  <c r="B503" i="159"/>
  <c r="B659" i="159"/>
  <c r="B4943" i="159"/>
  <c r="B3765" i="159"/>
  <c r="B4641" i="159"/>
  <c r="B225" i="159"/>
  <c r="B554" i="159"/>
  <c r="B400" i="159"/>
  <c r="B897" i="159"/>
  <c r="B2642" i="159"/>
  <c r="B2011" i="159"/>
  <c r="B1556" i="159"/>
  <c r="B1906" i="159"/>
  <c r="B5223" i="159"/>
  <c r="B489" i="159"/>
  <c r="B3569" i="159"/>
  <c r="B209" i="159"/>
  <c r="B4825" i="159"/>
  <c r="B4206" i="159"/>
  <c r="B246" i="159"/>
  <c r="B2572" i="159"/>
  <c r="B4235" i="159"/>
  <c r="B2238" i="159"/>
  <c r="B1593" i="159"/>
  <c r="B1817" i="159"/>
  <c r="B745" i="159"/>
  <c r="B1066" i="159"/>
  <c r="B1032" i="159"/>
  <c r="B2813" i="159"/>
  <c r="B566" i="159"/>
  <c r="B3856" i="159"/>
  <c r="B680" i="159"/>
  <c r="B1278" i="159"/>
  <c r="B2384" i="159"/>
  <c r="B4977" i="159"/>
  <c r="B3319" i="159"/>
  <c r="B4893" i="159"/>
  <c r="B5349" i="159"/>
  <c r="B4984" i="159"/>
  <c r="B4781" i="159"/>
  <c r="B3080" i="159"/>
  <c r="B3291" i="159"/>
  <c r="B5042" i="159"/>
  <c r="B2579" i="159"/>
  <c r="B5419" i="159"/>
  <c r="B468" i="159"/>
  <c r="B111" i="159"/>
  <c r="B3786" i="159"/>
  <c r="B630" i="159"/>
  <c r="B5435" i="159"/>
  <c r="B1892" i="159"/>
  <c r="B393" i="159"/>
  <c r="B4508" i="159"/>
  <c r="B1640" i="159"/>
  <c r="B2720" i="159"/>
  <c r="B1080" i="159"/>
  <c r="B531" i="159"/>
  <c r="B2334" i="159"/>
  <c r="B3457" i="159"/>
  <c r="B1187" i="159"/>
  <c r="B5028" i="159"/>
  <c r="B518" i="159"/>
  <c r="B202" i="159"/>
  <c r="B4088" i="159"/>
  <c r="B913" i="159"/>
  <c r="B3102" i="159"/>
  <c r="B4921" i="159"/>
  <c r="B3893" i="159"/>
  <c r="B1871" i="159"/>
  <c r="B1941" i="159"/>
  <c r="B4818" i="159"/>
  <c r="B1290" i="159"/>
  <c r="B5145" i="159"/>
  <c r="B2313" i="159"/>
  <c r="B2259" i="159"/>
  <c r="B5259" i="159"/>
  <c r="B608" i="159"/>
  <c r="B5391" i="159"/>
  <c r="B2981" i="159"/>
  <c r="B2871" i="159"/>
  <c r="B686" i="159"/>
  <c r="B2222" i="159"/>
  <c r="B1123" i="159"/>
  <c r="B1948" i="159"/>
  <c r="B5675" i="159"/>
  <c r="B4585" i="159"/>
  <c r="B1810" i="159"/>
  <c r="B1969" i="159"/>
  <c r="B370" i="159"/>
  <c r="B4711" i="159"/>
  <c r="B1473" i="159"/>
  <c r="B3941" i="159"/>
  <c r="B665" i="159"/>
  <c r="B5392" i="159"/>
  <c r="B510" i="159"/>
  <c r="B3821" i="159"/>
  <c r="B5328" i="159"/>
  <c r="B2145" i="159"/>
  <c r="B5625" i="159"/>
  <c r="B1572" i="159"/>
  <c r="B2706" i="159"/>
  <c r="B2216" i="159"/>
  <c r="B4579" i="159"/>
  <c r="B47" i="159"/>
  <c r="B2356" i="159"/>
  <c r="B1263" i="159"/>
  <c r="B3499" i="159"/>
  <c r="B813" i="159"/>
  <c r="B2726" i="159"/>
  <c r="B2245" i="159"/>
  <c r="B2954" i="159"/>
  <c r="B5203" i="159"/>
  <c r="B2827" i="159"/>
  <c r="B595" i="159"/>
  <c r="B1507" i="159"/>
  <c r="B526" i="159"/>
  <c r="B1865" i="159"/>
  <c r="B3451" i="159"/>
  <c r="B587" i="159"/>
  <c r="B379" i="159"/>
  <c r="B2180" i="159"/>
  <c r="B1773" i="159"/>
  <c r="B2103" i="159"/>
  <c r="B3037" i="159"/>
  <c r="B5724" i="159"/>
  <c r="I5726" i="159"/>
  <c r="B1305" i="159"/>
  <c r="B3326" i="159"/>
  <c r="B2593" i="159"/>
  <c r="B5591" i="159"/>
  <c r="B1857" i="159"/>
  <c r="B1724" i="159"/>
  <c r="B3437" i="159"/>
  <c r="B89" i="159"/>
  <c r="B2712" i="159"/>
  <c r="B1045" i="159"/>
  <c r="B3493" i="159"/>
  <c r="B5483" i="159"/>
  <c r="B1234" i="159"/>
  <c r="B2834" i="159"/>
  <c r="B4143" i="159"/>
  <c r="B3030" i="159"/>
  <c r="B935" i="159"/>
  <c r="B427" i="159"/>
  <c r="B1311" i="159"/>
  <c r="B5456" i="159"/>
  <c r="B4073" i="159"/>
  <c r="B989" i="159"/>
  <c r="B5379" i="159"/>
  <c r="B3793" i="159"/>
  <c r="B1887" i="159"/>
  <c r="B1620" i="159"/>
  <c r="B2927" i="159"/>
  <c r="B700" i="159"/>
  <c r="B3466" i="159"/>
  <c r="B1157" i="159"/>
  <c r="B2070" i="159"/>
  <c r="B2523" i="159"/>
  <c r="B3116" i="159"/>
  <c r="B2292" i="159"/>
  <c r="B2187" i="159"/>
  <c r="B4193" i="159"/>
  <c r="B1101" i="159"/>
  <c r="B1374" i="159"/>
  <c r="B1396" i="159"/>
  <c r="B1017" i="159"/>
  <c r="B1878" i="159"/>
  <c r="B3963" i="159"/>
  <c r="B848" i="159"/>
  <c r="B5077" i="159"/>
  <c r="B2988" i="159"/>
  <c r="B2657" i="159"/>
  <c r="B4165" i="159"/>
  <c r="B1073" i="159"/>
  <c r="B5231" i="159"/>
  <c r="B5315" i="159"/>
  <c r="B3801" i="159"/>
  <c r="B3604" i="159"/>
  <c r="B3928" i="159"/>
  <c r="B4809" i="159"/>
  <c r="B3331" i="159"/>
  <c r="B3107" i="159"/>
  <c r="B1495" i="159"/>
  <c r="B5428" i="159"/>
  <c r="B3527" i="159"/>
  <c r="B822" i="159"/>
  <c r="B3548" i="159"/>
  <c r="B5554" i="159"/>
  <c r="B440" i="159"/>
  <c r="B4888" i="159"/>
  <c r="B4900" i="159"/>
  <c r="B1956" i="159"/>
  <c r="B2698" i="159"/>
  <c r="B1530" i="159"/>
  <c r="B2054" i="159"/>
  <c r="B828" i="159"/>
  <c r="B1439" i="159"/>
  <c r="B920" i="159"/>
  <c r="B3520" i="159"/>
  <c r="B764" i="159"/>
  <c r="B2285" i="159"/>
  <c r="B5173" i="159"/>
  <c r="B2635" i="159"/>
  <c r="B4677" i="159"/>
  <c r="B3226" i="159"/>
  <c r="B3058" i="159"/>
  <c r="B1255" i="159"/>
  <c r="B21" i="159"/>
  <c r="B4872" i="159"/>
  <c r="B2558" i="159"/>
  <c r="B3506" i="159"/>
  <c r="B2328" i="159"/>
  <c r="B871" i="159"/>
  <c r="B3774" i="159"/>
  <c r="B2426" i="159"/>
  <c r="B4600" i="159"/>
  <c r="B134" i="159"/>
  <c r="B2876" i="159"/>
  <c r="B5668" i="159"/>
  <c r="B883" i="159"/>
  <c r="B3373" i="159"/>
  <c r="B356" i="159"/>
  <c r="B4544" i="159"/>
  <c r="B672" i="159"/>
  <c r="B4430" i="159"/>
  <c r="B2770" i="159"/>
  <c r="B447" i="159"/>
  <c r="B461" i="159"/>
  <c r="B1626" i="159"/>
  <c r="B1248" i="159"/>
  <c r="B3200" i="159"/>
  <c r="B4480" i="159"/>
  <c r="B2042" i="159"/>
  <c r="B2483" i="159"/>
  <c r="B3017" i="159"/>
  <c r="B3982" i="159"/>
  <c r="B307" i="159"/>
  <c r="B5716" i="159"/>
  <c r="B4516" i="159"/>
  <c r="B4402" i="159"/>
  <c r="B2821" i="159"/>
  <c r="B3632" i="159"/>
  <c r="B3816" i="159"/>
  <c r="B709" i="159"/>
  <c r="B349" i="159"/>
  <c r="B2020" i="159"/>
  <c r="B2418" i="159"/>
  <c r="B1822" i="159"/>
  <c r="B5702" i="159"/>
  <c r="B1052" i="159"/>
  <c r="B4830" i="159"/>
  <c r="B161" i="159"/>
  <c r="B3591" i="159"/>
  <c r="B5597" i="159"/>
  <c r="B5159" i="159"/>
  <c r="B5069" i="159"/>
  <c r="B4570" i="159"/>
  <c r="B2995" i="159"/>
  <c r="B2897" i="159"/>
  <c r="B4334" i="159"/>
  <c r="B5300" i="159"/>
  <c r="B1613" i="159"/>
  <c r="B287" i="159"/>
  <c r="B3781" i="159"/>
  <c r="B4053" i="159"/>
  <c r="B1444" i="159"/>
  <c r="B4754" i="159"/>
  <c r="B2462" i="159"/>
  <c r="B546" i="159"/>
  <c r="B2495" i="159"/>
  <c r="B998" i="159"/>
  <c r="B1215" i="159"/>
  <c r="B314" i="159"/>
  <c r="B3142" i="159"/>
  <c r="B1299" i="159"/>
  <c r="B1584" i="159"/>
  <c r="B4213" i="159"/>
  <c r="B4026" i="159"/>
  <c r="B4019" i="159"/>
  <c r="B855" i="159"/>
  <c r="B1025" i="159"/>
  <c r="B3135" i="159"/>
  <c r="B3443" i="159"/>
  <c r="B68" i="159"/>
  <c r="B1718" i="159"/>
  <c r="B4299" i="159"/>
  <c r="B3184" i="159"/>
  <c r="B1899" i="159"/>
  <c r="B3389" i="159"/>
  <c r="B3247" i="159"/>
  <c r="B2231" i="159"/>
  <c r="B4867" i="159"/>
  <c r="B4909" i="159"/>
  <c r="B4859" i="159"/>
  <c r="B4662" i="159"/>
  <c r="B2544" i="159"/>
  <c r="B3312" i="159"/>
  <c r="B5639" i="159"/>
  <c r="B4375" i="159"/>
  <c r="B4458" i="159"/>
  <c r="B4249" i="159"/>
  <c r="B4313" i="159"/>
  <c r="B2537" i="159"/>
  <c r="B940" i="159"/>
  <c r="B1928" i="159"/>
  <c r="B230" i="159"/>
  <c r="B82" i="159"/>
  <c r="B1542" i="159"/>
  <c r="B2918" i="159"/>
  <c r="B1136" i="159"/>
  <c r="B3151" i="159"/>
  <c r="B2488" i="159"/>
  <c r="B5568" i="159"/>
  <c r="B5089" i="159"/>
  <c r="B2967" i="159"/>
  <c r="B3850" i="159"/>
  <c r="B3270" i="159"/>
  <c r="B5084" i="159"/>
  <c r="B5344" i="159"/>
  <c r="B3933" i="159"/>
  <c r="B3655" i="159"/>
  <c r="B4369" i="159"/>
  <c r="B3396" i="159"/>
  <c r="B4950" i="159"/>
  <c r="B2202" i="159"/>
  <c r="B1843" i="159"/>
  <c r="B3885" i="159"/>
  <c r="B1564" i="159"/>
  <c r="B2376" i="159"/>
  <c r="B772" i="159"/>
  <c r="B1145" i="159"/>
  <c r="B1166" i="159"/>
  <c r="B1095" i="159"/>
  <c r="B3872" i="159"/>
  <c r="B1192" i="159"/>
  <c r="B1320" i="159"/>
  <c r="B4409" i="159"/>
  <c r="B3730" i="159"/>
  <c r="B2510" i="159"/>
  <c r="B385" i="159"/>
  <c r="B1655" i="159"/>
  <c r="B4795" i="159"/>
  <c r="B4488" i="159"/>
  <c r="B4537" i="159"/>
  <c r="B5449" i="159"/>
  <c r="B3402" i="159"/>
  <c r="B4726" i="159"/>
  <c r="B4180" i="159"/>
  <c r="B182" i="159"/>
  <c r="B890" i="159"/>
  <c r="B3282" i="159"/>
  <c r="B1010" i="159"/>
  <c r="B2096" i="159"/>
  <c r="B5498" i="159"/>
  <c r="B4776" i="159"/>
  <c r="B4425" i="159"/>
  <c r="B5696" i="159"/>
  <c r="B4263" i="159"/>
  <c r="B5399" i="159"/>
  <c r="B878" i="159"/>
  <c r="B5196" i="159"/>
  <c r="B2600" i="159"/>
  <c r="B2791" i="159"/>
  <c r="B4390" i="159"/>
  <c r="B4445" i="159"/>
  <c r="B62" i="159"/>
  <c r="B1712" i="159"/>
  <c r="B2784" i="159"/>
  <c r="B4327" i="159"/>
  <c r="B5033" i="159"/>
  <c r="B253" i="159"/>
  <c r="B1514" i="159"/>
  <c r="B2077" i="159"/>
  <c r="B5584" i="159"/>
  <c r="B1061" i="159"/>
  <c r="B302" i="159"/>
  <c r="B780" i="159"/>
  <c r="B729" i="159"/>
  <c r="B5514" i="159"/>
  <c r="B1367" i="159"/>
  <c r="B538" i="159"/>
  <c r="B2671" i="159"/>
  <c r="B4080" i="159"/>
  <c r="B3275" i="159"/>
  <c r="B2195" i="159"/>
  <c r="B561" i="159"/>
  <c r="B153" i="159"/>
  <c r="B3128" i="159"/>
  <c r="B2749" i="159"/>
  <c r="B5619" i="159"/>
  <c r="B4242" i="159"/>
  <c r="B3661" i="159"/>
  <c r="B1922" i="159"/>
  <c r="B2841" i="159"/>
  <c r="B4465" i="159"/>
  <c r="B3837" i="159"/>
  <c r="B118" i="159"/>
  <c r="B4958" i="159"/>
  <c r="B5138" i="159"/>
  <c r="B3262" i="159"/>
  <c r="B106" i="159"/>
  <c r="B3122" i="159"/>
  <c r="B1738" i="159"/>
  <c r="B3639" i="159"/>
  <c r="B3828" i="159"/>
  <c r="B4685" i="159"/>
  <c r="B2663" i="159"/>
  <c r="B4627" i="159"/>
  <c r="B1430" i="159"/>
  <c r="B5462" i="159"/>
  <c r="B293" i="159"/>
  <c r="B4591" i="159"/>
  <c r="B4634" i="159"/>
  <c r="B2433" i="159"/>
  <c r="B3087" i="159"/>
  <c r="B405" i="159"/>
  <c r="B975" i="159"/>
  <c r="B2399" i="159"/>
  <c r="B3233" i="159"/>
  <c r="B4228" i="159"/>
  <c r="B239" i="159"/>
  <c r="B5542" i="159"/>
  <c r="B3970" i="159"/>
  <c r="B3583" i="159"/>
  <c r="B2252" i="159"/>
  <c r="B1243" i="159"/>
  <c r="B693" i="159"/>
  <c r="B5603" i="159"/>
  <c r="B4551" i="159"/>
  <c r="B4129" i="159"/>
  <c r="B4916" i="159"/>
  <c r="B4305" i="159"/>
  <c r="B2111" i="159"/>
  <c r="B5005" i="159"/>
  <c r="B27" i="159"/>
  <c r="B3996" i="159"/>
  <c r="B1753" i="159"/>
  <c r="B2503" i="159"/>
  <c r="B1598" i="159"/>
  <c r="B5251" i="159"/>
  <c r="B4692" i="159"/>
  <c r="B5049" i="159"/>
  <c r="B1451" i="159"/>
  <c r="B1682" i="159"/>
  <c r="B5468" i="159"/>
  <c r="B1087" i="159"/>
  <c r="B2551" i="159"/>
  <c r="B279" i="159"/>
  <c r="B4257" i="159"/>
  <c r="B3535" i="159"/>
  <c r="B2735" i="159"/>
  <c r="B1411" i="159"/>
  <c r="B5405" i="159"/>
  <c r="B3417" i="159"/>
  <c r="B5119" i="159"/>
  <c r="B3352" i="159"/>
  <c r="B3989" i="159"/>
  <c r="B4928" i="159"/>
  <c r="B2607" i="159"/>
  <c r="B5152" i="159"/>
  <c r="B2913" i="159"/>
  <c r="B4348" i="159"/>
  <c r="B5021" i="159"/>
  <c r="B75" i="159"/>
  <c r="B1705" i="159"/>
  <c r="B2321" i="159"/>
  <c r="B1038" i="159"/>
  <c r="B330" i="159"/>
  <c r="B1481" i="159"/>
  <c r="B3809" i="159"/>
  <c r="B4970" i="159"/>
  <c r="B1549" i="159"/>
  <c r="B2125" i="159"/>
  <c r="B4747" i="159"/>
  <c r="B3170" i="159"/>
  <c r="B5210" i="159"/>
  <c r="B5681" i="159"/>
  <c r="B1985" i="159"/>
  <c r="B5548" i="159"/>
  <c r="B3023" i="159"/>
  <c r="B968" i="159"/>
  <c r="B1745" i="159"/>
  <c r="B5385" i="159"/>
  <c r="B364" i="159"/>
  <c r="B139" i="159"/>
  <c r="B5335" i="159"/>
  <c r="B188" i="159"/>
  <c r="B4998" i="159"/>
  <c r="B2440" i="159"/>
  <c r="B5633" i="159"/>
  <c r="B3408" i="159"/>
  <c r="B1997" i="159"/>
  <c r="B617" i="159"/>
  <c r="B3759" i="159"/>
  <c r="B4530" i="159"/>
  <c r="B4040" i="159"/>
  <c r="B2062" i="159"/>
  <c r="B4965" i="159"/>
  <c r="B3723" i="159"/>
  <c r="B3954" i="159"/>
  <c r="B4115" i="159"/>
  <c r="B3340" i="159"/>
  <c r="B1206" i="159"/>
  <c r="B961" i="159"/>
  <c r="B1789" i="159"/>
  <c r="B5012" i="159"/>
  <c r="B4047" i="159"/>
  <c r="B3487" i="159"/>
  <c r="B5125" i="159"/>
  <c r="B5357" i="159"/>
  <c r="B1129" i="159"/>
  <c r="B335" i="159"/>
  <c r="B4397" i="159"/>
  <c r="B1390" i="159"/>
  <c r="B5365" i="159"/>
  <c r="B4361" i="159"/>
  <c r="B3543" i="159"/>
  <c r="B5288" i="159"/>
  <c r="B2975" i="159"/>
  <c r="B3178" i="159"/>
  <c r="B4108" i="159"/>
  <c r="B3339" i="159"/>
  <c r="B2089" i="159"/>
  <c r="B3004" i="159"/>
  <c r="B56" i="159"/>
  <c r="B5246" i="159"/>
  <c r="B2960" i="159"/>
  <c r="B3716" i="159"/>
  <c r="B3625" i="159"/>
  <c r="B496" i="159"/>
  <c r="B5309" i="159"/>
  <c r="B5440" i="159"/>
  <c r="B2168" i="159"/>
  <c r="B3863" i="159"/>
  <c r="B1649" i="159"/>
  <c r="B1992" i="159"/>
  <c r="B5181" i="159"/>
  <c r="B127" i="159"/>
  <c r="B258" i="159"/>
  <c r="B2939" i="159"/>
  <c r="B3221" i="159"/>
  <c r="B2883" i="159"/>
  <c r="B1536" i="159"/>
  <c r="B5104" i="159"/>
  <c r="B3611" i="159"/>
  <c r="B1521" i="159"/>
  <c r="B412" i="159"/>
  <c r="B1698" i="159"/>
  <c r="B1782" i="159"/>
  <c r="B2411" i="159"/>
  <c r="B5372" i="159"/>
  <c r="B3557" i="159"/>
  <c r="B3920" i="159"/>
  <c r="B4318" i="159"/>
  <c r="B4493" i="159"/>
  <c r="B13" i="159"/>
  <c r="B3562" i="159"/>
  <c r="B1354" i="159"/>
  <c r="B98" i="159"/>
  <c r="B2531" i="159"/>
  <c r="B2264" i="159"/>
  <c r="B4502" i="159"/>
  <c r="B4670" i="159"/>
  <c r="B5576" i="159"/>
  <c r="B2049" i="159"/>
  <c r="B2167" i="159"/>
  <c r="B3746" i="159"/>
  <c r="B1670" i="159"/>
  <c r="B1173" i="159"/>
  <c r="B2623" i="159"/>
  <c r="B2628" i="159"/>
  <c r="B4271" i="159"/>
  <c r="B1976" i="159"/>
  <c r="B1383" i="159"/>
  <c r="B2650" i="159"/>
  <c r="B3697" i="159"/>
  <c r="B4452" i="159"/>
  <c r="B4032" i="159"/>
  <c r="B3072" i="159"/>
  <c r="B906" i="159"/>
  <c r="B4706" i="159"/>
  <c r="B3513" i="159"/>
  <c r="B419" i="159"/>
  <c r="B1402" i="159"/>
  <c r="B1760" i="159"/>
  <c r="B4760" i="159"/>
  <c r="B4851" i="159"/>
  <c r="B482" i="159"/>
  <c r="B5239" i="159"/>
  <c r="B3690" i="159"/>
  <c r="B5218" i="159"/>
  <c r="B3751" i="159"/>
  <c r="B3382" i="159"/>
  <c r="B3305" i="159"/>
  <c r="B652" i="159"/>
  <c r="B3682" i="159"/>
  <c r="B1285" i="159"/>
  <c r="B947" i="159"/>
  <c r="B4067" i="159"/>
  <c r="B954" i="159"/>
  <c r="B2363" i="159"/>
  <c r="B147" i="159"/>
  <c r="B1347" i="159"/>
  <c r="B3165" i="159"/>
  <c r="B3912" i="159"/>
  <c r="B2692" i="159"/>
  <c r="B2616" i="159"/>
  <c r="B2175" i="159"/>
  <c r="B4283" i="159"/>
  <c r="B4607" i="159"/>
  <c r="B1416" i="159"/>
  <c r="B5492" i="159"/>
  <c r="B433" i="159"/>
  <c r="B4473" i="159"/>
  <c r="B2798" i="159"/>
  <c r="B1115" i="159"/>
  <c r="B601" i="159"/>
  <c r="B4732" i="159"/>
  <c r="B475" i="159"/>
  <c r="B3345" i="159"/>
  <c r="B174" i="159"/>
  <c r="B3844" i="159"/>
  <c r="B4187" i="159"/>
  <c r="B2405" i="159"/>
  <c r="B3619" i="159"/>
  <c r="B3738" i="159"/>
  <c r="B3900" i="159"/>
  <c r="B1228" i="159"/>
  <c r="B3949" i="159"/>
  <c r="B2082" i="159"/>
  <c r="B841" i="159"/>
  <c r="B1801" i="159"/>
  <c r="B4122" i="159"/>
  <c r="B2299" i="159"/>
  <c r="B1689" i="159"/>
  <c r="B5561" i="159"/>
  <c r="B4278" i="159"/>
  <c r="B4936" i="159"/>
  <c r="B2117" i="159"/>
  <c r="B5054" i="159"/>
  <c r="B4158" i="159"/>
  <c r="B33" i="159"/>
  <c r="B2140" i="159"/>
  <c r="B2566" i="159"/>
  <c r="B2850" i="159"/>
  <c r="B4622" i="159"/>
  <c r="B2516" i="159"/>
  <c r="B5647" i="159"/>
  <c r="B2308" i="159"/>
  <c r="B2453" i="159"/>
  <c r="B3207" i="159"/>
  <c r="B3011" i="159"/>
  <c r="B3667" i="159"/>
  <c r="B2004" i="159"/>
  <c r="B2350" i="159"/>
  <c r="B4222" i="159"/>
  <c r="B322" i="159"/>
  <c r="B792" i="159"/>
  <c r="B5661" i="159"/>
  <c r="B5166" i="159"/>
  <c r="B3422" i="159"/>
  <c r="B4199" i="159"/>
  <c r="B723" i="159"/>
  <c r="B5112" i="159"/>
  <c r="B1962" i="159"/>
  <c r="B2132" i="159"/>
  <c r="B4061" i="159"/>
  <c r="B5274" i="159"/>
  <c r="B42" i="159"/>
  <c r="B2025" i="159"/>
  <c r="B1339" i="159"/>
  <c r="B4837" i="159"/>
  <c r="B580" i="159"/>
  <c r="B2369" i="159"/>
  <c r="B4648" i="159"/>
  <c r="B4564" i="159"/>
  <c r="B344" i="159"/>
  <c r="B2587" i="159"/>
  <c r="B4437" i="159"/>
  <c r="B1829" i="159"/>
  <c r="B4881" i="159"/>
  <c r="B4005" i="159"/>
  <c r="B1425" i="159"/>
  <c r="B5478" i="159"/>
  <c r="B4355" i="159"/>
  <c r="B1501" i="159"/>
  <c r="B2448" i="159"/>
  <c r="B1334" i="159"/>
  <c r="B4789" i="159"/>
  <c r="B2932" i="159"/>
  <c r="B752" i="159"/>
  <c r="B4741" i="159"/>
  <c r="B807" i="159"/>
  <c r="B2755" i="159"/>
  <c r="B1794" i="159"/>
  <c r="B272" i="159"/>
  <c r="B3702" i="159"/>
  <c r="B926" i="159"/>
  <c r="B4136" i="159"/>
  <c r="B5062" i="159"/>
  <c r="B4556" i="159"/>
  <c r="B1661" i="159"/>
  <c r="B5654" i="159"/>
  <c r="B1633" i="159"/>
  <c r="B637" i="159"/>
  <c r="B4523" i="159"/>
  <c r="B3576" i="159"/>
  <c r="B1005" i="159"/>
  <c r="B4096" i="159"/>
  <c r="B2863" i="159"/>
  <c r="B4012" i="159"/>
  <c r="B5414" i="159"/>
  <c r="B5323" i="159"/>
  <c r="B5526" i="159"/>
  <c r="B2280" i="159"/>
  <c r="B2161" i="159"/>
  <c r="B5386" i="159" l="1"/>
  <c r="B4755" i="159"/>
  <c r="B2629" i="159"/>
  <c r="B5055" i="159"/>
  <c r="B681" i="159"/>
  <c r="B1963" i="159"/>
  <c r="B4306" i="159"/>
  <c r="B3536" i="159"/>
  <c r="B4769" i="159"/>
  <c r="B4951" i="159"/>
  <c r="B3521" i="159"/>
  <c r="B3514" i="159"/>
  <c r="B5640" i="159"/>
  <c r="B3662" i="159"/>
  <c r="B2707" i="159"/>
  <c r="B596" i="159"/>
  <c r="B5316" i="159"/>
  <c r="B1018" i="159"/>
  <c r="B1375" i="159"/>
  <c r="B3123" i="159"/>
  <c r="B2919" i="159"/>
  <c r="B3368" i="159"/>
  <c r="B386" i="159"/>
  <c r="B2756" i="159"/>
  <c r="B5167" i="159"/>
  <c r="B4446" i="159"/>
  <c r="B2504" i="159"/>
  <c r="B3255" i="159"/>
  <c r="B2933" i="159"/>
  <c r="B3374" i="159"/>
  <c r="B5126" i="159"/>
  <c r="B5139" i="159"/>
  <c r="B1998" i="159"/>
  <c r="B1137" i="159"/>
  <c r="B2651" i="159"/>
  <c r="B183" i="159"/>
  <c r="B2181" i="159"/>
  <c r="B69" i="159"/>
  <c r="B4727" i="159"/>
  <c r="B3605" i="159"/>
  <c r="B5527" i="159"/>
  <c r="B5153" i="159"/>
  <c r="B3108" i="159"/>
  <c r="B1977" i="159"/>
  <c r="B2133" i="159"/>
  <c r="B3171" i="159"/>
  <c r="B3717" i="159"/>
  <c r="B2771" i="159"/>
  <c r="B3472" i="159"/>
  <c r="B5626" i="159"/>
  <c r="B2955" i="159"/>
  <c r="B3592" i="159"/>
  <c r="B4116" i="159"/>
  <c r="B5105" i="159"/>
  <c r="B2063" i="159"/>
  <c r="B1767" i="159"/>
  <c r="B3626" i="159"/>
  <c r="B315" i="159"/>
  <c r="B4074" i="159"/>
  <c r="B483" i="159"/>
  <c r="B2532" i="159"/>
  <c r="B4474" i="159"/>
  <c r="B4054" i="159"/>
  <c r="B90" i="159"/>
  <c r="B701" i="159"/>
  <c r="B2026" i="159"/>
  <c r="B1837" i="159"/>
  <c r="B3802" i="159"/>
  <c r="B4978" i="159"/>
  <c r="B2664" i="159"/>
  <c r="B1746" i="159"/>
  <c r="B4137" i="159"/>
  <c r="B5232" i="159"/>
  <c r="B849" i="159"/>
  <c r="B5070" i="159"/>
  <c r="B4985" i="159"/>
  <c r="B4922" i="159"/>
  <c r="B3438" i="159"/>
  <c r="B4712" i="159"/>
  <c r="B2573" i="159"/>
  <c r="B189" i="159"/>
  <c r="B1754" i="159"/>
  <c r="B3018" i="159"/>
  <c r="B3283" i="159"/>
  <c r="B1452" i="159"/>
  <c r="B4403" i="159"/>
  <c r="B1537" i="159"/>
  <c r="B4166" i="159"/>
  <c r="B3480" i="159"/>
  <c r="B5577" i="159"/>
  <c r="B5549" i="159"/>
  <c r="B1621" i="159"/>
  <c r="B2996" i="159"/>
  <c r="B4194" i="159"/>
  <c r="B4790" i="159"/>
  <c r="B3913" i="159"/>
  <c r="B2322" i="159"/>
  <c r="B280" i="159"/>
  <c r="B462" i="159"/>
  <c r="B3990" i="159"/>
  <c r="B4592" i="159"/>
  <c r="B4229" i="159"/>
  <c r="B4376" i="159"/>
  <c r="B2643" i="159"/>
  <c r="B1557" i="159"/>
  <c r="B4557" i="159"/>
  <c r="B5182" i="159"/>
  <c r="B4937" i="159"/>
  <c r="B4929" i="159"/>
  <c r="B119" i="159"/>
  <c r="B2601" i="159"/>
  <c r="B83" i="159"/>
  <c r="B288" i="159"/>
  <c r="B2727" i="159"/>
  <c r="B1970" i="159"/>
  <c r="B3731" i="159"/>
  <c r="B1866" i="159"/>
  <c r="B1599" i="159"/>
  <c r="B4796" i="159"/>
  <c r="B357" i="159"/>
  <c r="B2083" i="159"/>
  <c r="B2357" i="159"/>
  <c r="B1656" i="159"/>
  <c r="B3921" i="159"/>
  <c r="B3423" i="159"/>
  <c r="B2524" i="159"/>
  <c r="B4382" i="159"/>
  <c r="B3710" i="159"/>
  <c r="B2538" i="159"/>
  <c r="B2785" i="159"/>
  <c r="B63" i="159"/>
  <c r="B5703" i="159"/>
  <c r="B210" i="159"/>
  <c r="B2265" i="159"/>
  <c r="B4081" i="159"/>
  <c r="B2104" i="159"/>
  <c r="B4243" i="159"/>
  <c r="B294" i="159"/>
  <c r="B941" i="159"/>
  <c r="B2188" i="159"/>
  <c r="B48" i="159"/>
  <c r="B1026" i="159"/>
  <c r="B2300" i="159"/>
  <c r="B259" i="159"/>
  <c r="B645" i="159"/>
  <c r="B1683" i="159"/>
  <c r="B638" i="159"/>
  <c r="B2511" i="159"/>
  <c r="B1110" i="159"/>
  <c r="B4852" i="159"/>
  <c r="B2005" i="159"/>
  <c r="B2580" i="159"/>
  <c r="B2961" i="159"/>
  <c r="B2112" i="159"/>
  <c r="B76" i="159"/>
  <c r="B28" i="159"/>
  <c r="B4292" i="159"/>
  <c r="B1614" i="159"/>
  <c r="B2055" i="159"/>
  <c r="B4509" i="159"/>
  <c r="B1403" i="159"/>
  <c r="B266" i="159"/>
  <c r="B5188" i="159"/>
  <c r="B5499" i="159"/>
  <c r="B1326" i="159"/>
  <c r="B3528" i="159"/>
  <c r="B1074" i="159"/>
  <c r="B4845" i="159"/>
  <c r="B2721" i="159"/>
  <c r="B2370" i="159"/>
  <c r="B1690" i="159"/>
  <c r="B1733" i="159"/>
  <c r="B808" i="159"/>
  <c r="B3612" i="159"/>
  <c r="B3878" i="159"/>
  <c r="B1761" i="159"/>
  <c r="B2434" i="159"/>
  <c r="B1543" i="159"/>
  <c r="B3332" i="159"/>
  <c r="B1893" i="159"/>
  <c r="B4810" i="159"/>
  <c r="B2293" i="159"/>
  <c r="B1858" i="159"/>
  <c r="B5441" i="159"/>
  <c r="B5260" i="159"/>
  <c r="B1445" i="159"/>
  <c r="B1249" i="159"/>
  <c r="B175" i="159"/>
  <c r="B3703" i="159"/>
  <c r="B2335" i="159"/>
  <c r="B3059" i="159"/>
  <c r="B2517" i="159"/>
  <c r="B2391" i="159"/>
  <c r="B3031" i="159"/>
  <c r="B148" i="159"/>
  <c r="B653" i="159"/>
  <c r="B3024" i="159"/>
  <c r="B231" i="159"/>
  <c r="B3760" i="159"/>
  <c r="B1515" i="159"/>
  <c r="B1585" i="159"/>
  <c r="B5420" i="159"/>
  <c r="B1634" i="159"/>
  <c r="B2814" i="159"/>
  <c r="B4999" i="159"/>
  <c r="B2427" i="159"/>
  <c r="B476" i="159"/>
  <c r="B1067" i="159"/>
  <c r="B3997" i="159"/>
  <c r="B891" i="159"/>
  <c r="B365" i="159"/>
  <c r="B140" i="159"/>
  <c r="B5160" i="159"/>
  <c r="B3088" i="159"/>
  <c r="B469" i="159"/>
  <c r="B2658" i="159"/>
  <c r="B1235" i="159"/>
  <c r="B588" i="159"/>
  <c r="B441" i="159"/>
  <c r="B1124" i="159"/>
  <c r="B14" i="159"/>
  <c r="B2778" i="159"/>
  <c r="B5063" i="159"/>
  <c r="B1361" i="159"/>
  <c r="B5224" i="159"/>
  <c r="B511" i="159"/>
  <c r="B1935" i="159"/>
  <c r="B3724" i="159"/>
  <c r="B1942" i="159"/>
  <c r="B1474" i="159"/>
  <c r="B2314" i="159"/>
  <c r="B4663" i="159"/>
  <c r="B217" i="159"/>
  <c r="B4671" i="159"/>
  <c r="B3668" i="159"/>
  <c r="B1130" i="159"/>
  <c r="B2364" i="159"/>
  <c r="B948" i="159"/>
  <c r="B962" i="159"/>
  <c r="B420" i="159"/>
  <c r="B260" i="159"/>
  <c r="B3829" i="159"/>
  <c r="B730" i="159"/>
  <c r="B1900" i="159"/>
  <c r="B5598" i="159"/>
  <c r="B3787" i="159"/>
  <c r="B2489" i="159"/>
  <c r="B5006" i="159"/>
  <c r="B5555" i="159"/>
  <c r="B1957" i="159"/>
  <c r="B3276" i="159"/>
  <c r="B4144" i="159"/>
  <c r="B2217" i="159"/>
  <c r="B2118" i="159"/>
  <c r="B3185" i="159"/>
  <c r="B1348" i="159"/>
  <c r="B273" i="159"/>
  <c r="B1502" i="159"/>
  <c r="B2475" i="159"/>
  <c r="B3683" i="159"/>
  <c r="B1193" i="159"/>
  <c r="B1431" i="159"/>
  <c r="B4860" i="159"/>
  <c r="B3794" i="159"/>
  <c r="B547" i="159"/>
  <c r="B3955" i="159"/>
  <c r="B4586" i="159"/>
  <c r="B308" i="159"/>
  <c r="B3507" i="159"/>
  <c r="B519" i="159"/>
  <c r="B5174" i="159"/>
  <c r="B4481" i="159"/>
  <c r="B2989" i="159"/>
  <c r="B3227" i="159"/>
  <c r="B203" i="159"/>
  <c r="B350" i="159"/>
  <c r="B4214" i="159"/>
  <c r="B758" i="159"/>
  <c r="B3073" i="159"/>
  <c r="B2567" i="159"/>
  <c r="B2799" i="159"/>
  <c r="B3620" i="159"/>
  <c r="B2441" i="159"/>
  <c r="B1355" i="159"/>
  <c r="B4284" i="159"/>
  <c r="B2608" i="159"/>
  <c r="B5013" i="159"/>
  <c r="B2196" i="159"/>
  <c r="B773" i="159"/>
  <c r="B1929" i="159"/>
  <c r="B1264" i="159"/>
  <c r="B1256" i="159"/>
  <c r="B2835" i="159"/>
  <c r="B3458" i="159"/>
  <c r="B434" i="159"/>
  <c r="B4733" i="159"/>
  <c r="B5682" i="159"/>
  <c r="B112" i="159"/>
  <c r="B1207" i="159"/>
  <c r="B3045" i="159"/>
  <c r="B4944" i="159"/>
  <c r="B5400" i="159"/>
  <c r="B983" i="159"/>
  <c r="B3403" i="159"/>
  <c r="B2588" i="159"/>
  <c r="B5146" i="159"/>
  <c r="B2286" i="159"/>
  <c r="B162" i="159"/>
  <c r="B2884" i="159"/>
  <c r="B428" i="159"/>
  <c r="B4782" i="159"/>
  <c r="B1823" i="159"/>
  <c r="B1221" i="159"/>
  <c r="B3934" i="159"/>
  <c r="B1795" i="159"/>
  <c r="B5350" i="159"/>
  <c r="B4453" i="159"/>
  <c r="B3640" i="159"/>
  <c r="B4719" i="159"/>
  <c r="B1739" i="159"/>
  <c r="B4971" i="159"/>
  <c r="B4894" i="159"/>
  <c r="B814" i="159"/>
  <c r="B2877" i="159"/>
  <c r="B2828" i="159"/>
  <c r="B3444" i="159"/>
  <c r="B5562" i="159"/>
  <c r="B3192" i="159"/>
  <c r="B497" i="159"/>
  <c r="B5252" i="159"/>
  <c r="B1488" i="159"/>
  <c r="B5090" i="159"/>
  <c r="B1830" i="159"/>
  <c r="B899" i="159"/>
  <c r="B1312" i="159"/>
  <c r="B1291" i="159"/>
  <c r="B1641" i="159"/>
  <c r="B4130" i="159"/>
  <c r="B4068" i="159"/>
  <c r="B2419" i="159"/>
  <c r="B1417" i="159"/>
  <c r="B4159" i="159"/>
  <c r="B2940" i="159"/>
  <c r="B4438" i="159"/>
  <c r="B4089" i="159"/>
  <c r="B34" i="159"/>
  <c r="B1039" i="159"/>
  <c r="B4207" i="159"/>
  <c r="B3409" i="159"/>
  <c r="B4109" i="159"/>
  <c r="B406" i="159"/>
  <c r="B4264" i="159"/>
  <c r="B976" i="159"/>
  <c r="B1096" i="159"/>
  <c r="B5604" i="159"/>
  <c r="B5689" i="159"/>
  <c r="B3983" i="159"/>
  <c r="B898" i="159"/>
  <c r="B4992" i="159"/>
  <c r="B1508" i="159"/>
  <c r="B4200" i="159"/>
  <c r="B1719" i="159"/>
  <c r="B3676" i="159"/>
  <c r="B3864" i="159"/>
  <c r="B4362" i="159"/>
  <c r="B2090" i="159"/>
  <c r="B3353" i="159"/>
  <c r="B2552" i="159"/>
  <c r="B4642" i="159"/>
  <c r="B4635" i="159"/>
  <c r="B2126" i="159"/>
  <c r="B3129" i="159"/>
  <c r="B3263" i="159"/>
  <c r="B1907" i="159"/>
  <c r="B856" i="159"/>
  <c r="B2792" i="159"/>
  <c r="B1844" i="159"/>
  <c r="B829" i="159"/>
  <c r="B4431" i="159"/>
  <c r="B3942" i="159"/>
  <c r="B3346" i="159"/>
  <c r="B1229" i="159"/>
  <c r="B1606" i="159"/>
  <c r="B3570" i="159"/>
  <c r="B504" i="159"/>
  <c r="B539" i="159"/>
  <c r="B4236" i="159"/>
  <c r="B1033" i="159"/>
  <c r="B3095" i="159"/>
  <c r="B3500" i="159"/>
  <c r="B2223" i="159"/>
  <c r="B532" i="159"/>
  <c r="B687" i="159"/>
  <c r="B2545" i="159"/>
  <c r="B4565" i="159"/>
  <c r="B2406" i="159"/>
  <c r="B1116" i="159"/>
  <c r="B2864" i="159"/>
  <c r="B1550" i="159"/>
  <c r="B5336" i="159"/>
  <c r="B5463" i="159"/>
  <c r="B4748" i="159"/>
  <c r="B2968" i="159"/>
  <c r="B1011" i="159"/>
  <c r="B4410" i="159"/>
  <c r="B3851" i="159"/>
  <c r="B2097" i="159"/>
  <c r="B2822" i="159"/>
  <c r="B3158" i="159"/>
  <c r="B2637" i="159"/>
  <c r="B4678" i="159"/>
  <c r="B2644" i="159"/>
  <c r="B2496" i="159"/>
  <c r="B1872" i="159"/>
  <c r="B2594" i="159"/>
  <c r="B3052" i="159"/>
  <c r="B4831" i="159"/>
  <c r="B3067" i="159"/>
  <c r="B3081" i="159"/>
  <c r="B2412" i="159"/>
  <c r="B2976" i="159"/>
  <c r="B574" i="159"/>
  <c r="B3431" i="159"/>
  <c r="B5301" i="159"/>
  <c r="B3633" i="159"/>
  <c r="B2636" i="159"/>
  <c r="B884" i="159"/>
  <c r="B4873" i="159"/>
  <c r="B1158" i="159"/>
  <c r="B3452" i="159"/>
  <c r="B4838" i="159"/>
  <c r="B715" i="159"/>
  <c r="B4761" i="159"/>
  <c r="B4649" i="159"/>
  <c r="B4319" i="159"/>
  <c r="B336" i="159"/>
  <c r="B4494" i="159"/>
  <c r="B2750" i="159"/>
  <c r="B660" i="159"/>
  <c r="B3430" i="159"/>
  <c r="B1565" i="159"/>
  <c r="B3143" i="159"/>
  <c r="B4250" i="159"/>
  <c r="B3577" i="159"/>
  <c r="B3549" i="159"/>
  <c r="B2329" i="159"/>
  <c r="B1725" i="159"/>
  <c r="B990" i="159"/>
  <c r="B1046" i="159"/>
  <c r="B1306" i="159"/>
  <c r="B5717" i="159"/>
  <c r="B2693" i="159"/>
  <c r="B1340" i="159"/>
  <c r="B3179" i="159"/>
  <c r="B3766" i="159"/>
  <c r="B2012" i="159"/>
  <c r="B2377" i="159"/>
  <c r="B927" i="159"/>
  <c r="B2272" i="159"/>
  <c r="B1879" i="159"/>
  <c r="B1774" i="159"/>
  <c r="B1397" i="159"/>
  <c r="B5329" i="159"/>
  <c r="B2713" i="159"/>
  <c r="B168" i="159"/>
  <c r="B1522" i="159"/>
  <c r="B602" i="159"/>
  <c r="B4123" i="159"/>
  <c r="B413" i="159"/>
  <c r="B1368" i="159"/>
  <c r="B4459" i="159"/>
  <c r="B3598" i="159"/>
  <c r="B694" i="159"/>
  <c r="B3136" i="159"/>
  <c r="B4341" i="159"/>
  <c r="B631" i="159"/>
  <c r="B5484" i="159"/>
  <c r="B3822" i="159"/>
  <c r="B842" i="159"/>
  <c r="B793" i="159"/>
  <c r="B1200" i="159"/>
  <c r="B2454" i="159"/>
  <c r="B2678" i="159"/>
  <c r="B4466" i="159"/>
  <c r="B3298" i="159"/>
  <c r="B154" i="159"/>
  <c r="B2842" i="159"/>
  <c r="B3976" i="159"/>
  <c r="B5034" i="159"/>
  <c r="B5569" i="159"/>
  <c r="B1662" i="159"/>
  <c r="B609" i="159"/>
  <c r="B3157" i="159"/>
  <c r="B1627" i="159"/>
  <c r="B666" i="159"/>
  <c r="B4901" i="159"/>
  <c r="B3038" i="159"/>
  <c r="B2146" i="159"/>
  <c r="B371" i="159"/>
  <c r="B490" i="159"/>
  <c r="B2982" i="159"/>
  <c r="B1081" i="159"/>
  <c r="B3248" i="159"/>
  <c r="B3361" i="159"/>
  <c r="B2898" i="159"/>
  <c r="B955" i="159"/>
  <c r="B4033" i="159"/>
  <c r="B3563" i="159"/>
  <c r="B323" i="159"/>
  <c r="B1802" i="159"/>
  <c r="B3739" i="159"/>
  <c r="B5469" i="159"/>
  <c r="B3752" i="159"/>
  <c r="B5406" i="159"/>
  <c r="B1088" i="159"/>
  <c r="B3584" i="159"/>
  <c r="B5358" i="159"/>
  <c r="B2686" i="159"/>
  <c r="B3886" i="159"/>
  <c r="B2672" i="159"/>
  <c r="B3234" i="159"/>
  <c r="B2203" i="159"/>
  <c r="B2699" i="159"/>
  <c r="B2559" i="159"/>
  <c r="B800" i="159"/>
  <c r="B3823" i="159"/>
  <c r="B1102" i="159"/>
  <c r="B3494" i="159"/>
  <c r="B1053" i="159"/>
  <c r="B581" i="159"/>
  <c r="B3857" i="159"/>
  <c r="B969" i="159"/>
  <c r="B448" i="159"/>
  <c r="B84" i="159"/>
  <c r="B2385" i="159"/>
  <c r="B4571" i="159"/>
  <c r="B2342" i="159"/>
  <c r="B765" i="159"/>
  <c r="B673" i="159"/>
  <c r="B1151" i="159"/>
  <c r="B1949" i="159"/>
  <c r="B2153" i="159"/>
  <c r="B835" i="159"/>
  <c r="B567" i="159"/>
  <c r="B4628" i="159"/>
  <c r="B3956" i="159" l="1"/>
  <c r="B4895" i="159"/>
  <c r="B169" i="159"/>
  <c r="B5500" i="159"/>
  <c r="B1194" i="159"/>
  <c r="B1663" i="159"/>
  <c r="B3550" i="159"/>
  <c r="B5189" i="159"/>
  <c r="B4215" i="159"/>
  <c r="B3445" i="159"/>
  <c r="B5563" i="159"/>
  <c r="B4629" i="159"/>
  <c r="B3606" i="159"/>
  <c r="B2371" i="159"/>
  <c r="B337" i="159"/>
  <c r="B1159" i="159"/>
  <c r="B1369" i="159"/>
  <c r="B295" i="159"/>
  <c r="B5407" i="159"/>
  <c r="B2336" i="159"/>
  <c r="B646" i="159"/>
  <c r="B120" i="159"/>
  <c r="B4201" i="159"/>
  <c r="B4643" i="159"/>
  <c r="B942" i="159"/>
  <c r="B2553" i="159"/>
  <c r="B5147" i="159"/>
  <c r="B1453" i="159"/>
  <c r="B1628" i="159"/>
  <c r="B5154" i="159"/>
  <c r="B4404" i="159"/>
  <c r="B1432" i="159"/>
  <c r="B211" i="159"/>
  <c r="B267" i="159"/>
  <c r="B70" i="159"/>
  <c r="B155" i="159"/>
  <c r="B2056" i="159"/>
  <c r="B4460" i="159"/>
  <c r="B3459" i="159"/>
  <c r="B766" i="159"/>
  <c r="B4636" i="159"/>
  <c r="B491" i="159"/>
  <c r="B3172" i="159"/>
  <c r="B4713" i="159"/>
  <c r="B3529" i="159"/>
  <c r="B5470" i="159"/>
  <c r="B2266" i="159"/>
  <c r="B5225" i="159"/>
  <c r="B2315" i="159"/>
  <c r="B4720" i="159"/>
  <c r="B639" i="159"/>
  <c r="B281" i="159"/>
  <c r="B674" i="159"/>
  <c r="B610" i="159"/>
  <c r="B1894" i="159"/>
  <c r="B2147" i="159"/>
  <c r="B3354" i="159"/>
  <c r="B1208" i="159"/>
  <c r="B5351" i="159"/>
  <c r="B2105" i="159"/>
  <c r="B1558" i="159"/>
  <c r="B1971" i="159"/>
  <c r="B512" i="159"/>
  <c r="B1068" i="159"/>
  <c r="B5140" i="159"/>
  <c r="B3830" i="159"/>
  <c r="B4923" i="159"/>
  <c r="B1446" i="159"/>
  <c r="B3046" i="159"/>
  <c r="B3998" i="159"/>
  <c r="B2119" i="159"/>
  <c r="B2609" i="159"/>
  <c r="B695" i="159"/>
  <c r="B1936" i="159"/>
  <c r="B505" i="159"/>
  <c r="B2602" i="159"/>
  <c r="B5056" i="159"/>
  <c r="B3053" i="159"/>
  <c r="B956" i="159"/>
  <c r="B3571" i="159"/>
  <c r="B667" i="159"/>
  <c r="B5168" i="159"/>
  <c r="B2273" i="159"/>
  <c r="B1040" i="159"/>
  <c r="B435" i="159"/>
  <c r="B1691" i="159"/>
  <c r="B3977" i="159"/>
  <c r="B1509" i="159"/>
  <c r="B3193" i="159"/>
  <c r="B3508" i="159"/>
  <c r="B3277" i="159"/>
  <c r="B3669" i="159"/>
  <c r="B1117" i="159"/>
  <c r="B4986" i="159"/>
  <c r="B3991" i="159"/>
  <c r="B3564" i="159"/>
  <c r="B3984" i="159"/>
  <c r="B4797" i="159"/>
  <c r="B3074" i="159"/>
  <c r="B4853" i="159"/>
  <c r="B2392" i="159"/>
  <c r="B1362" i="159"/>
  <c r="B3473" i="159"/>
  <c r="B2969" i="159"/>
  <c r="B1418" i="159"/>
  <c r="B477" i="159"/>
  <c r="B582" i="159"/>
  <c r="B204" i="159"/>
  <c r="B2779" i="159"/>
  <c r="B2728" i="159"/>
  <c r="B3599" i="159"/>
  <c r="B3718" i="159"/>
  <c r="B885" i="159"/>
  <c r="B77" i="159"/>
  <c r="B2006" i="159"/>
  <c r="B568" i="159"/>
  <c r="B141" i="159"/>
  <c r="B1138" i="159"/>
  <c r="B5485" i="159"/>
  <c r="B991" i="159"/>
  <c r="B575" i="159"/>
  <c r="B3858" i="159"/>
  <c r="B928" i="159"/>
  <c r="B3032" i="159"/>
  <c r="B1978" i="159"/>
  <c r="B1845" i="159"/>
  <c r="B1404" i="159"/>
  <c r="B4811" i="159"/>
  <c r="B3641" i="159"/>
  <c r="B1642" i="159"/>
  <c r="B2420" i="159"/>
  <c r="B3711" i="159"/>
  <c r="B5528" i="159"/>
  <c r="B2990" i="159"/>
  <c r="B3613" i="159"/>
  <c r="B3144" i="159"/>
  <c r="B2595" i="159"/>
  <c r="B1544" i="159"/>
  <c r="B4138" i="159"/>
  <c r="B3935" i="159"/>
  <c r="B232" i="159"/>
  <c r="B3039" i="159"/>
  <c r="B470" i="159"/>
  <c r="B5442" i="159"/>
  <c r="B4124" i="159"/>
  <c r="B3249" i="159"/>
  <c r="B2546" i="159"/>
  <c r="B5330" i="159"/>
  <c r="B2518" i="159"/>
  <c r="B1831" i="159"/>
  <c r="B5253" i="159"/>
  <c r="B1908" i="159"/>
  <c r="B984" i="159"/>
  <c r="B3788" i="159"/>
  <c r="B5556" i="159"/>
  <c r="B3627" i="159"/>
  <c r="B2878" i="159"/>
  <c r="B2098" i="159"/>
  <c r="B4495" i="159"/>
  <c r="B2793" i="159"/>
  <c r="B4832" i="159"/>
  <c r="B2497" i="159"/>
  <c r="B4783" i="159"/>
  <c r="B4110" i="159"/>
  <c r="B4593" i="159"/>
  <c r="B1257" i="159"/>
  <c r="B4972" i="159"/>
  <c r="B5007" i="159"/>
  <c r="B2455" i="159"/>
  <c r="B2013" i="159"/>
  <c r="B1523" i="159"/>
  <c r="B2983" i="159"/>
  <c r="B3284" i="159"/>
  <c r="B3725" i="159"/>
  <c r="B1859" i="159"/>
  <c r="B2343" i="159"/>
  <c r="B2899" i="159"/>
  <c r="B5302" i="159"/>
  <c r="B5035" i="159"/>
  <c r="B2843" i="159"/>
  <c r="B3578" i="159"/>
  <c r="B2679" i="159"/>
  <c r="B4320" i="159"/>
  <c r="B407" i="159"/>
  <c r="B4762" i="159"/>
  <c r="B3347" i="159"/>
  <c r="B218" i="159"/>
  <c r="B5091" i="159"/>
  <c r="B1131" i="159"/>
  <c r="B4664" i="159"/>
  <c r="B2815" i="159"/>
  <c r="B2574" i="159"/>
  <c r="B5337" i="159"/>
  <c r="B1607" i="159"/>
  <c r="B540" i="159"/>
  <c r="B5605" i="159"/>
  <c r="B1551" i="159"/>
  <c r="B3424" i="159"/>
  <c r="B3865" i="159"/>
  <c r="B4285" i="159"/>
  <c r="B3228" i="159"/>
  <c r="B794" i="159"/>
  <c r="B1250" i="159"/>
  <c r="B1775" i="159"/>
  <c r="B1103" i="159"/>
  <c r="B4075" i="159"/>
  <c r="B533" i="159"/>
  <c r="B49" i="159"/>
  <c r="B632" i="159"/>
  <c r="B3333" i="159"/>
  <c r="B91" i="159"/>
  <c r="B815" i="159"/>
  <c r="B2772" i="159"/>
  <c r="B2962" i="159"/>
  <c r="B2885" i="159"/>
  <c r="B1600" i="159"/>
  <c r="B1152" i="159"/>
  <c r="B1950" i="159"/>
  <c r="B3025" i="159"/>
  <c r="B358" i="159"/>
  <c r="B4558" i="159"/>
  <c r="B2027" i="159"/>
  <c r="B4846" i="159"/>
  <c r="B892" i="159"/>
  <c r="B1341" i="159"/>
  <c r="B1880" i="159"/>
  <c r="B4902" i="159"/>
  <c r="B4650" i="159"/>
  <c r="B3375" i="159"/>
  <c r="B2997" i="159"/>
  <c r="B2378" i="159"/>
  <c r="B1740" i="159"/>
  <c r="B1824" i="159"/>
  <c r="B1635" i="159"/>
  <c r="B3410" i="159"/>
  <c r="B1838" i="159"/>
  <c r="B2084" i="159"/>
  <c r="B1019" i="159"/>
  <c r="B3109" i="159"/>
  <c r="B963" i="159"/>
  <c r="B589" i="159"/>
  <c r="B1726" i="159"/>
  <c r="B449" i="159"/>
  <c r="B1012" i="159"/>
  <c r="B4439" i="159"/>
  <c r="B463" i="159"/>
  <c r="B1082" i="159"/>
  <c r="B1873" i="159"/>
  <c r="B4082" i="159"/>
  <c r="B3130" i="159"/>
  <c r="B5014" i="159"/>
  <c r="B970" i="159"/>
  <c r="B1054" i="159"/>
  <c r="B414" i="159"/>
  <c r="B3753" i="159"/>
  <c r="B977" i="159"/>
  <c r="B2800" i="159"/>
  <c r="B1327" i="159"/>
  <c r="B3235" i="159"/>
  <c r="B1803" i="159"/>
  <c r="B843" i="159"/>
  <c r="B5000" i="159"/>
  <c r="B4411" i="159"/>
  <c r="B1292" i="159"/>
  <c r="B176" i="159"/>
  <c r="B3732" i="159"/>
  <c r="B2189" i="159"/>
  <c r="B3522" i="159"/>
  <c r="B4734" i="159"/>
  <c r="B3515" i="159"/>
  <c r="B1943" i="159"/>
  <c r="B190" i="159"/>
  <c r="B5570" i="159"/>
  <c r="B5161" i="159"/>
  <c r="B4839" i="159"/>
  <c r="B35" i="159"/>
  <c r="B688" i="159"/>
  <c r="B4874" i="159"/>
  <c r="B2294" i="159"/>
  <c r="B1586" i="159"/>
  <c r="B3256" i="159"/>
  <c r="B442" i="159"/>
  <c r="B5421" i="159"/>
  <c r="B3914" i="159"/>
  <c r="B2539" i="159"/>
  <c r="B2560" i="159"/>
  <c r="B2182" i="159"/>
  <c r="B857" i="159"/>
  <c r="B4993" i="159"/>
  <c r="B2920" i="159"/>
  <c r="B1684" i="159"/>
  <c r="B2490" i="159"/>
  <c r="B1516" i="159"/>
  <c r="B1901" i="159"/>
  <c r="B309" i="159"/>
  <c r="B372" i="159"/>
  <c r="B603" i="159"/>
  <c r="B4383" i="159"/>
  <c r="B3634" i="159"/>
  <c r="B2581" i="159"/>
  <c r="B850" i="159"/>
  <c r="B2476" i="159"/>
  <c r="B421" i="159"/>
  <c r="B1089" i="159"/>
  <c r="B2630" i="159"/>
  <c r="B1236" i="159"/>
  <c r="B1201" i="159"/>
  <c r="B2700" i="159"/>
  <c r="B716" i="159"/>
  <c r="B3585" i="159"/>
  <c r="B3137" i="159"/>
  <c r="B3879" i="159"/>
  <c r="B1075" i="159"/>
  <c r="B2301" i="159"/>
  <c r="B2829" i="159"/>
  <c r="B2413" i="159"/>
  <c r="B2665" i="159"/>
  <c r="B1376" i="159"/>
  <c r="B759" i="159"/>
  <c r="B2287" i="159"/>
  <c r="B4572" i="159"/>
  <c r="B4117" i="159"/>
  <c r="B5175" i="159"/>
  <c r="B1747" i="159"/>
  <c r="B484" i="159"/>
  <c r="B2154" i="159"/>
  <c r="B1222" i="159"/>
  <c r="B2714" i="159"/>
  <c r="B3767" i="159"/>
  <c r="B4930" i="159"/>
  <c r="B702" i="159"/>
  <c r="B2091" i="159"/>
  <c r="B4208" i="159"/>
  <c r="B3501" i="159"/>
  <c r="B316" i="159"/>
  <c r="B1964" i="159"/>
  <c r="B2224" i="159"/>
  <c r="B3186" i="159"/>
  <c r="B1313" i="159"/>
  <c r="B2757" i="159"/>
  <c r="B2941" i="159"/>
  <c r="B3060" i="159"/>
  <c r="B113" i="159"/>
  <c r="B1999" i="159"/>
  <c r="B351" i="159"/>
  <c r="B1768" i="159"/>
  <c r="B4432" i="159"/>
  <c r="B2836" i="159"/>
  <c r="B3795" i="159"/>
  <c r="B4979" i="159"/>
  <c r="B4145" i="159"/>
  <c r="B4467" i="159"/>
  <c r="B1047" i="159"/>
  <c r="B801" i="159"/>
  <c r="B2786" i="159"/>
  <c r="B836" i="159"/>
  <c r="B4131" i="159"/>
  <c r="B2934" i="159"/>
  <c r="B498" i="159"/>
  <c r="B1796" i="159"/>
  <c r="B274" i="159"/>
  <c r="B5393" i="159"/>
  <c r="B2525" i="159"/>
  <c r="B3704" i="159"/>
  <c r="B949" i="159"/>
</calcChain>
</file>

<file path=xl/sharedStrings.xml><?xml version="1.0" encoding="utf-8"?>
<sst xmlns="http://schemas.openxmlformats.org/spreadsheetml/2006/main" count="67188" uniqueCount="48038">
  <si>
    <t>No.</t>
  </si>
  <si>
    <t>Description</t>
  </si>
  <si>
    <t>Description 2</t>
  </si>
  <si>
    <t>table:</t>
  </si>
  <si>
    <t>TOTALS:</t>
  </si>
  <si>
    <t>hide</t>
  </si>
  <si>
    <t>Auto+Hide+Values</t>
  </si>
  <si>
    <t>Dimension</t>
  </si>
  <si>
    <t>Active Version PKG BOM</t>
  </si>
  <si>
    <t>Hide+?</t>
  </si>
  <si>
    <t>Fixed</t>
  </si>
  <si>
    <t>Prod. BOM Equipment:</t>
  </si>
  <si>
    <t>Variable **</t>
  </si>
  <si>
    <t>Cases Per Hour</t>
  </si>
  <si>
    <t>*</t>
  </si>
  <si>
    <t>Equipment Code</t>
  </si>
  <si>
    <t>Capacity UOM</t>
  </si>
  <si>
    <t>Location Code</t>
  </si>
  <si>
    <t>Units Per Hour</t>
  </si>
  <si>
    <t>Units Per Case</t>
  </si>
  <si>
    <t>=NL("Sheets","Resource","No.","No.",eqp_code,"location code",location_code,"Capacity UOM","CASE")</t>
  </si>
  <si>
    <t>=NL("rows","Production BOM Version","Version Code","Production BOM No.",D10,"status","certified")</t>
  </si>
  <si>
    <t>=NL(1,"item","Units Per Parcel","no.",$D10)</t>
  </si>
  <si>
    <t>Auto</t>
  </si>
  <si>
    <t>=NL("rows","Production BOM Version","Version Code","Production BOM No.",D11,"status","certified")</t>
  </si>
  <si>
    <t>=NL(1,"item","Units Per Parcel","no.",$D11)</t>
  </si>
  <si>
    <t>=NL("rows","Production BOM Version","Version Code","Production BOM No.",D12,"status","certified")</t>
  </si>
  <si>
    <t>=NL(1,"item","Units Per Parcel","no.",$D12)</t>
  </si>
  <si>
    <t>=NL("rows","Production BOM Version","Version Code","Production BOM No.",D13,"status","certified")</t>
  </si>
  <si>
    <t>=NL(1,"item","Units Per Parcel","no.",$D13)</t>
  </si>
  <si>
    <t>=NL("rows","Production BOM Version","Version Code","Production BOM No.",D14,"status","certified")</t>
  </si>
  <si>
    <t>=NL(1,"item","Units Per Parcel","no.",$D14)</t>
  </si>
  <si>
    <t>=NL("rows","Production BOM Version","Version Code","Production BOM No.",D15,"status","certified")</t>
  </si>
  <si>
    <t>=NL(1,"item","Units Per Parcel","no.",$D15)</t>
  </si>
  <si>
    <t>=NL("rows","Production BOM Version","Version Code","Production BOM No.",D16,"status","certified")</t>
  </si>
  <si>
    <t>=NL(1,"item","Units Per Parcel","no.",$D16)</t>
  </si>
  <si>
    <t>="02075"</t>
  </si>
  <si>
    <t>=NL("rows","Production BOM Version","Version Code","Production BOM No.",D17,"status","certified")</t>
  </si>
  <si>
    <t>=NL(1,"item","Units Per Parcel","no.",$D17)</t>
  </si>
  <si>
    <t>="02101"</t>
  </si>
  <si>
    <t>=NL("rows","Production BOM Version","Version Code","Production BOM No.",D18,"status","certified")</t>
  </si>
  <si>
    <t>=NL(1,"item","Units Per Parcel","no.",$D18)</t>
  </si>
  <si>
    <t>="02103"</t>
  </si>
  <si>
    <t>=NL("rows","Production BOM Version","Version Code","Production BOM No.",D19,"status","certified")</t>
  </si>
  <si>
    <t>=NL(1,"item","Units Per Parcel","no.",$D19)</t>
  </si>
  <si>
    <t>="02105"</t>
  </si>
  <si>
    <t>=NL("rows","Production BOM Version","Version Code","Production BOM No.",D20,"status","certified")</t>
  </si>
  <si>
    <t>=NL(1,"item","Units Per Parcel","no.",$D20)</t>
  </si>
  <si>
    <t>=NL("rows","Production BOM Version","Version Code","Production BOM No.",D21,"status","certified")</t>
  </si>
  <si>
    <t>=NL(1,"item","Units Per Parcel","no.",$D21)</t>
  </si>
  <si>
    <t>=NL("rows","Production BOM Version","Version Code","Production BOM No.",D22,"status","certified")</t>
  </si>
  <si>
    <t>=NL(1,"item","Units Per Parcel","no.",$D22)</t>
  </si>
  <si>
    <t>=NL("rows","Production BOM Version","Version Code","Production BOM No.",D23,"status","certified")</t>
  </si>
  <si>
    <t>=NL(1,"item","Units Per Parcel","no.",$D23)</t>
  </si>
  <si>
    <t>=NL("rows","Production BOM Version","Version Code","Production BOM No.",D24,"status","certified")</t>
  </si>
  <si>
    <t>=NL(1,"item","Units Per Parcel","no.",$D24)</t>
  </si>
  <si>
    <t>=NL("rows","Production BOM Version","Version Code","Production BOM No.",D25,"status","certified")</t>
  </si>
  <si>
    <t>=NL(1,"item","Units Per Parcel","no.",$D25)</t>
  </si>
  <si>
    <t>=NL("rows","Production BOM Version","Version Code","Production BOM No.",D26,"status","certified")</t>
  </si>
  <si>
    <t>=NL(1,"item","Units Per Parcel","no.",$D26)</t>
  </si>
  <si>
    <t>="02151"</t>
  </si>
  <si>
    <t>=NL("rows","Production BOM Version","Version Code","Production BOM No.",D27,"status","certified")</t>
  </si>
  <si>
    <t>=NL(1,"item","Units Per Parcel","no.",$D27)</t>
  </si>
  <si>
    <t>=NL("rows","Production BOM Version","Version Code","Production BOM No.",D28,"status","certified")</t>
  </si>
  <si>
    <t>=NL(1,"item","Units Per Parcel","no.",$D28)</t>
  </si>
  <si>
    <t>=NL("rows","Production BOM Version","Version Code","Production BOM No.",D29,"status","certified")</t>
  </si>
  <si>
    <t>=NL(1,"item","Units Per Parcel","no.",$D29)</t>
  </si>
  <si>
    <t>=NL("rows","Production BOM Version","Version Code","Production BOM No.",D30,"status","certified")</t>
  </si>
  <si>
    <t>=NL(1,"item","Units Per Parcel","no.",$D30)</t>
  </si>
  <si>
    <t>=NL("rows","Production BOM Version","Version Code","Production BOM No.",D31,"status","certified")</t>
  </si>
  <si>
    <t>=NL(1,"item","Units Per Parcel","no.",$D31)</t>
  </si>
  <si>
    <t>="02612"</t>
  </si>
  <si>
    <t>=NL("rows","Production BOM Version","Version Code","Production BOM No.",D32,"status","certified")</t>
  </si>
  <si>
    <t>=NL(1,"item","Units Per Parcel","no.",$D32)</t>
  </si>
  <si>
    <t>="02661"</t>
  </si>
  <si>
    <t>=NL("rows","Production BOM Version","Version Code","Production BOM No.",D33,"status","certified")</t>
  </si>
  <si>
    <t>=NL(1,"item","Units Per Parcel","no.",$D33)</t>
  </si>
  <si>
    <t>="02663"</t>
  </si>
  <si>
    <t>=NL("rows","Production BOM Version","Version Code","Production BOM No.",D34,"status","certified")</t>
  </si>
  <si>
    <t>=NL(1,"item","Units Per Parcel","no.",$D34)</t>
  </si>
  <si>
    <t>="02665"</t>
  </si>
  <si>
    <t>=NL("rows","Production BOM Version","Version Code","Production BOM No.",D35,"status","certified")</t>
  </si>
  <si>
    <t>=NL(1,"item","Units Per Parcel","no.",$D35)</t>
  </si>
  <si>
    <t>="02666"</t>
  </si>
  <si>
    <t>=NL("rows","Production BOM Version","Version Code","Production BOM No.",D36,"status","certified")</t>
  </si>
  <si>
    <t>=NL(1,"item","Units Per Parcel","no.",$D36)</t>
  </si>
  <si>
    <t>=NL("rows","Production BOM Version","Version Code","Production BOM No.",D37,"status","certified")</t>
  </si>
  <si>
    <t>=NL(1,"item","Units Per Parcel","no.",$D37)</t>
  </si>
  <si>
    <t>="02670"</t>
  </si>
  <si>
    <t>=NL("rows","Production BOM Version","Version Code","Production BOM No.",D38,"status","certified")</t>
  </si>
  <si>
    <t>=NL(1,"item","Units Per Parcel","no.",$D38)</t>
  </si>
  <si>
    <t>="02673"</t>
  </si>
  <si>
    <t>=NL("rows","Production BOM Version","Version Code","Production BOM No.",D39,"status","certified")</t>
  </si>
  <si>
    <t>=NL(1,"item","Units Per Parcel","no.",$D39)</t>
  </si>
  <si>
    <t>="02675"</t>
  </si>
  <si>
    <t>=NL("rows","Production BOM Version","Version Code","Production BOM No.",D40,"status","certified")</t>
  </si>
  <si>
    <t>=NL(1,"item","Units Per Parcel","no.",$D40)</t>
  </si>
  <si>
    <t>=NL("rows","Production BOM Version","Version Code","Production BOM No.",D41,"status","certified")</t>
  </si>
  <si>
    <t>=NL(1,"item","Units Per Parcel","no.",$D41)</t>
  </si>
  <si>
    <t>=NL("rows","Production BOM Version","Version Code","Production BOM No.",D42,"status","certified")</t>
  </si>
  <si>
    <t>=NL(1,"item","Units Per Parcel","no.",$D42)</t>
  </si>
  <si>
    <t>=NL("rows","Production BOM Version","Version Code","Production BOM No.",D43,"status","certified")</t>
  </si>
  <si>
    <t>=NL(1,"item","Units Per Parcel","no.",$D43)</t>
  </si>
  <si>
    <t>=NL("rows","Production BOM Version","Version Code","Production BOM No.",D44,"status","certified")</t>
  </si>
  <si>
    <t>=NL(1,"item","Units Per Parcel","no.",$D44)</t>
  </si>
  <si>
    <t>=NL("rows","Production BOM Version","Version Code","Production BOM No.",D45,"status","certified")</t>
  </si>
  <si>
    <t>=NL(1,"item","Units Per Parcel","no.",$D45)</t>
  </si>
  <si>
    <t>="02901"</t>
  </si>
  <si>
    <t>=NL("rows","Production BOM Version","Version Code","Production BOM No.",D46,"status","certified")</t>
  </si>
  <si>
    <t>=NL(1,"item","Units Per Parcel","no.",$D46)</t>
  </si>
  <si>
    <t>="02906"</t>
  </si>
  <si>
    <t>=NL("rows","Production BOM Version","Version Code","Production BOM No.",D47,"status","certified")</t>
  </si>
  <si>
    <t>=NL(1,"item","Units Per Parcel","no.",$D47)</t>
  </si>
  <si>
    <t>="02910"</t>
  </si>
  <si>
    <t>=NL("rows","Production BOM Version","Version Code","Production BOM No.",D48,"status","certified")</t>
  </si>
  <si>
    <t>=NL(1,"item","Units Per Parcel","no.",$D48)</t>
  </si>
  <si>
    <t>="02912"</t>
  </si>
  <si>
    <t>=NL("rows","Production BOM Version","Version Code","Production BOM No.",D49,"status","certified")</t>
  </si>
  <si>
    <t>=NL(1,"item","Units Per Parcel","no.",$D49)</t>
  </si>
  <si>
    <t>=NL("rows","Production BOM Version","Version Code","Production BOM No.",D50,"status","certified")</t>
  </si>
  <si>
    <t>=NL(1,"item","Units Per Parcel","no.",$D50)</t>
  </si>
  <si>
    <t>="02921"</t>
  </si>
  <si>
    <t>=NL("rows","Production BOM Version","Version Code","Production BOM No.",D51,"status","certified")</t>
  </si>
  <si>
    <t>=NL(1,"item","Units Per Parcel","no.",$D51)</t>
  </si>
  <si>
    <t>="02926"</t>
  </si>
  <si>
    <t>=NL("rows","Production BOM Version","Version Code","Production BOM No.",D52,"status","certified")</t>
  </si>
  <si>
    <t>=NL(1,"item","Units Per Parcel","no.",$D52)</t>
  </si>
  <si>
    <t>="02940"</t>
  </si>
  <si>
    <t>=NL("rows","Production BOM Version","Version Code","Production BOM No.",D53,"status","certified")</t>
  </si>
  <si>
    <t>=NL(1,"item","Units Per Parcel","no.",$D53)</t>
  </si>
  <si>
    <t>="02941"</t>
  </si>
  <si>
    <t>=NL("rows","Production BOM Version","Version Code","Production BOM No.",D54,"status","certified")</t>
  </si>
  <si>
    <t>=NL(1,"item","Units Per Parcel","no.",$D54)</t>
  </si>
  <si>
    <t>="02946"</t>
  </si>
  <si>
    <t>=NL("rows","Production BOM Version","Version Code","Production BOM No.",D55,"status","certified")</t>
  </si>
  <si>
    <t>=NL(1,"item","Units Per Parcel","no.",$D55)</t>
  </si>
  <si>
    <t>="02949"</t>
  </si>
  <si>
    <t>=NL("rows","Production BOM Version","Version Code","Production BOM No.",D56,"status","certified")</t>
  </si>
  <si>
    <t>=NL(1,"item","Units Per Parcel","no.",$D56)</t>
  </si>
  <si>
    <t>=NL("rows","Production BOM Version","Version Code","Production BOM No.",D57,"status","certified")</t>
  </si>
  <si>
    <t>=NL(1,"item","Units Per Parcel","no.",$D57)</t>
  </si>
  <si>
    <t>=NL("rows","Production BOM Version","Version Code","Production BOM No.",D58,"status","certified")</t>
  </si>
  <si>
    <t>=NL(1,"item","Units Per Parcel","no.",$D58)</t>
  </si>
  <si>
    <t>=NL("rows","Production BOM Version","Version Code","Production BOM No.",D59,"status","certified")</t>
  </si>
  <si>
    <t>=NL(1,"item","Units Per Parcel","no.",$D59)</t>
  </si>
  <si>
    <t>="02975"</t>
  </si>
  <si>
    <t>=NL("rows","Production BOM Version","Version Code","Production BOM No.",D60,"status","certified")</t>
  </si>
  <si>
    <t>=NL(1,"item","Units Per Parcel","no.",$D60)</t>
  </si>
  <si>
    <t>="02991"</t>
  </si>
  <si>
    <t>=NL("rows","Production BOM Version","Version Code","Production BOM No.",D61,"status","certified")</t>
  </si>
  <si>
    <t>=NL(1,"item","Units Per Parcel","no.",$D61)</t>
  </si>
  <si>
    <t>="02993"</t>
  </si>
  <si>
    <t>=NL("rows","Production BOM Version","Version Code","Production BOM No.",D62,"status","certified")</t>
  </si>
  <si>
    <t>=NL(1,"item","Units Per Parcel","no.",$D62)</t>
  </si>
  <si>
    <t>="02998"</t>
  </si>
  <si>
    <t>=NL("rows","Production BOM Version","Version Code","Production BOM No.",D63,"status","certified")</t>
  </si>
  <si>
    <t>=NL(1,"item","Units Per Parcel","no.",$D63)</t>
  </si>
  <si>
    <t>="03501"</t>
  </si>
  <si>
    <t>=NL("rows","Production BOM Version","Version Code","Production BOM No.",D64,"status","certified")</t>
  </si>
  <si>
    <t>=NL(1,"item","Units Per Parcel","no.",$D64)</t>
  </si>
  <si>
    <t>=NL("rows","Production BOM Version","Version Code","Production BOM No.",D65,"status","certified")</t>
  </si>
  <si>
    <t>=NL(1,"item","Units Per Parcel","no.",$D65)</t>
  </si>
  <si>
    <t>=NL(1,"item","Units Per Parcel","no.",$D66)</t>
  </si>
  <si>
    <t>=NL(1,"item","Units Per Parcel","no.",$D67)</t>
  </si>
  <si>
    <t>=NL(1,"item","Units Per Parcel","no.",$D68)</t>
  </si>
  <si>
    <t>=NL("rows","Production BOM Version","Version Code","Production BOM No.",D69,"status","certified")</t>
  </si>
  <si>
    <t>=NL(1,"item","Units Per Parcel","no.",$D69)</t>
  </si>
  <si>
    <t>=NL("rows","Production BOM Version","Version Code","Production BOM No.",D70,"status","certified")</t>
  </si>
  <si>
    <t>=NL(1,"item","Units Per Parcel","no.",$D70)</t>
  </si>
  <si>
    <t>=NL("rows","Production BOM Version","Version Code","Production BOM No.",D71,"status","certified")</t>
  </si>
  <si>
    <t>=NL(1,"item","Units Per Parcel","no.",$D71)</t>
  </si>
  <si>
    <t>=NL("rows","Production BOM Version","Version Code","Production BOM No.",D72,"status","certified")</t>
  </si>
  <si>
    <t>=NL(1,"item","Units Per Parcel","no.",$D72)</t>
  </si>
  <si>
    <t>=NL("rows","Production BOM Version","Version Code","Production BOM No.",D73,"status","certified")</t>
  </si>
  <si>
    <t>=NL(1,"item","Units Per Parcel","no.",$D73)</t>
  </si>
  <si>
    <t>=NL("rows","Production BOM Version","Version Code","Production BOM No.",D74,"status","certified")</t>
  </si>
  <si>
    <t>=NL(1,"item","Units Per Parcel","no.",$D74)</t>
  </si>
  <si>
    <t>="2"</t>
  </si>
  <si>
    <t>=NL(1,"item","Units Per Parcel","no.",$D75)</t>
  </si>
  <si>
    <t>=NL("rows","Production BOM Version","Version Code","Production BOM No.",D76,"status","certified")</t>
  </si>
  <si>
    <t>=NL(1,"item","Units Per Parcel","no.",$D76)</t>
  </si>
  <si>
    <t>=NL("rows","Production BOM Version","Version Code","Production BOM No.",D77,"status","certified")</t>
  </si>
  <si>
    <t>=NL(1,"item","Units Per Parcel","no.",$D77)</t>
  </si>
  <si>
    <t>=NL("rows","Production BOM Version","Version Code","Production BOM No.",D78,"status","certified")</t>
  </si>
  <si>
    <t>=NL(1,"item","Units Per Parcel","no.",$D78)</t>
  </si>
  <si>
    <t>=NL("rows","Production BOM Version","Version Code","Production BOM No.",D79,"status","certified")</t>
  </si>
  <si>
    <t>=NL(1,"item","Units Per Parcel","no.",$D79)</t>
  </si>
  <si>
    <t>=NL("rows","Production BOM Version","Version Code","Production BOM No.",D80,"status","certified")</t>
  </si>
  <si>
    <t>=NL(1,"item","Units Per Parcel","no.",$D80)</t>
  </si>
  <si>
    <t>="06070"</t>
  </si>
  <si>
    <t>=NL("rows","Production BOM Version","Version Code","Production BOM No.",D81,"status","certified")</t>
  </si>
  <si>
    <t>=NL(1,"item","Units Per Parcel","no.",$D81)</t>
  </si>
  <si>
    <t>=NL("rows","Production BOM Version","Version Code","Production BOM No.",D82,"status","certified")</t>
  </si>
  <si>
    <t>=NL(1,"item","Units Per Parcel","no.",$D82)</t>
  </si>
  <si>
    <t>=NL("rows","Production BOM Version","Version Code","Production BOM No.",D83,"status","certified")</t>
  </si>
  <si>
    <t>=NL(1,"item","Units Per Parcel","no.",$D83)</t>
  </si>
  <si>
    <t>=NL("rows","Production BOM Version","Version Code","Production BOM No.",D84,"status","certified")</t>
  </si>
  <si>
    <t>=NL(1,"item","Units Per Parcel","no.",$D84)</t>
  </si>
  <si>
    <t>=NL("rows","Production BOM Version","Version Code","Production BOM No.",D85,"status","certified")</t>
  </si>
  <si>
    <t>=NL(1,"item","Units Per Parcel","no.",$D85)</t>
  </si>
  <si>
    <t>=NL("rows","Production BOM Version","Version Code","Production BOM No.",D86,"status","certified")</t>
  </si>
  <si>
    <t>=NL(1,"item","Units Per Parcel","no.",$D86)</t>
  </si>
  <si>
    <t>="5"</t>
  </si>
  <si>
    <t>=NL(1,"item","Units Per Parcel","no.",$D87)</t>
  </si>
  <si>
    <t>=NL("rows","Production BOM Version","Version Code","Production BOM No.",D88,"status","certified")</t>
  </si>
  <si>
    <t>=NL(1,"item","Units Per Parcel","no.",$D88)</t>
  </si>
  <si>
    <t>=NL("rows","Production BOM Version","Version Code","Production BOM No.",D89,"status","certified")</t>
  </si>
  <si>
    <t>=NL(1,"item","Units Per Parcel","no.",$D89)</t>
  </si>
  <si>
    <t>=NL("rows","Production BOM Version","Version Code","Production BOM No.",D90,"status","certified")</t>
  </si>
  <si>
    <t>=NL(1,"item","Units Per Parcel","no.",$D90)</t>
  </si>
  <si>
    <t>=NL("rows","Production BOM Version","Version Code","Production BOM No.",D91,"status","certified")</t>
  </si>
  <si>
    <t>=NL(1,"item","Units Per Parcel","no.",$D91)</t>
  </si>
  <si>
    <t>=NL("rows","Production BOM Version","Version Code","Production BOM No.",D92,"status","certified")</t>
  </si>
  <si>
    <t>=NL(1,"item","Units Per Parcel","no.",$D92)</t>
  </si>
  <si>
    <t>="06630"</t>
  </si>
  <si>
    <t>=NL("rows","Production BOM Version","Version Code","Production BOM No.",D93,"status","certified")</t>
  </si>
  <si>
    <t>=NL(1,"item","Units Per Parcel","no.",$D93)</t>
  </si>
  <si>
    <t>="06661"</t>
  </si>
  <si>
    <t>=NL("rows","Production BOM Version","Version Code","Production BOM No.",D94,"status","certified")</t>
  </si>
  <si>
    <t>=NL(1,"item","Units Per Parcel","no.",$D94)</t>
  </si>
  <si>
    <t>="06663"</t>
  </si>
  <si>
    <t>=NL("rows","Production BOM Version","Version Code","Production BOM No.",D95,"status","certified")</t>
  </si>
  <si>
    <t>=NL(1,"item","Units Per Parcel","no.",$D95)</t>
  </si>
  <si>
    <t>="06666"</t>
  </si>
  <si>
    <t>=NL("rows","Production BOM Version","Version Code","Production BOM No.",D96,"status","certified")</t>
  </si>
  <si>
    <t>=NL(1,"item","Units Per Parcel","no.",$D96)</t>
  </si>
  <si>
    <t>="06670"</t>
  </si>
  <si>
    <t>=NL("rows","Production BOM Version","Version Code","Production BOM No.",D97,"status","certified")</t>
  </si>
  <si>
    <t>=NL(1,"item","Units Per Parcel","no.",$D97)</t>
  </si>
  <si>
    <t>="06675"</t>
  </si>
  <si>
    <t>=NL("rows","Production BOM Version","Version Code","Production BOM No.",D98,"status","certified")</t>
  </si>
  <si>
    <t>=NL(1,"item","Units Per Parcel","no.",$D98)</t>
  </si>
  <si>
    <t>="06901"</t>
  </si>
  <si>
    <t>=NL("rows","Production BOM Version","Version Code","Production BOM No.",D99,"status","certified")</t>
  </si>
  <si>
    <t>=NL(1,"item","Units Per Parcel","no.",$D99)</t>
  </si>
  <si>
    <t>=NL("rows","Production BOM Version","Version Code","Production BOM No.",D100,"status","certified")</t>
  </si>
  <si>
    <t>=NL(1,"item","Units Per Parcel","no.",$D100)</t>
  </si>
  <si>
    <t>=NL("rows","Production BOM Version","Version Code","Production BOM No.",D101,"status","certified")</t>
  </si>
  <si>
    <t>=NL(1,"item","Units Per Parcel","no.",$D101)</t>
  </si>
  <si>
    <t>=NL("rows","Production BOM Version","Version Code","Production BOM No.",D102,"status","certified")</t>
  </si>
  <si>
    <t>=NL(1,"item","Units Per Parcel","no.",$D102)</t>
  </si>
  <si>
    <t>="06941"</t>
  </si>
  <si>
    <t>=NL("rows","Production BOM Version","Version Code","Production BOM No.",D103,"status","certified")</t>
  </si>
  <si>
    <t>=NL(1,"item","Units Per Parcel","no.",$D103)</t>
  </si>
  <si>
    <t>=NL("rows","Production BOM Version","Version Code","Production BOM No.",D104,"status","certified")</t>
  </si>
  <si>
    <t>=NL(1,"item","Units Per Parcel","no.",$D104)</t>
  </si>
  <si>
    <t>=NL(1,"item","Units Per Parcel","no.",$D105)</t>
  </si>
  <si>
    <t>=NL("rows","Production BOM Version","Version Code","Production BOM No.",D106,"status","certified")</t>
  </si>
  <si>
    <t>=NL(1,"item","Units Per Parcel","no.",$D106)</t>
  </si>
  <si>
    <t>=NL(1,"item","Units Per Parcel","no.",$D107)</t>
  </si>
  <si>
    <t>="07661"</t>
  </si>
  <si>
    <t>=NL("rows","Production BOM Version","Version Code","Production BOM No.",D108,"status","certified")</t>
  </si>
  <si>
    <t>=NL(1,"item","Units Per Parcel","no.",$D108)</t>
  </si>
  <si>
    <t>="07666"</t>
  </si>
  <si>
    <t>=NL("rows","Production BOM Version","Version Code","Production BOM No.",D109,"status","certified")</t>
  </si>
  <si>
    <t>=NL(1,"item","Units Per Parcel","no.",$D109)</t>
  </si>
  <si>
    <t>="07670"</t>
  </si>
  <si>
    <t>=NL(1,"item","Units Per Parcel","no.",$D110)</t>
  </si>
  <si>
    <t>=NL(1,"item","Units Per Parcel","no.",$D111)</t>
  </si>
  <si>
    <t>="07675"</t>
  </si>
  <si>
    <t>=NL(1,"item","Units Per Parcel","no.",$D112)</t>
  </si>
  <si>
    <t>="07921"</t>
  </si>
  <si>
    <t>=NL("rows","Production BOM Version","Version Code","Production BOM No.",D113,"status","certified")</t>
  </si>
  <si>
    <t>=NL(1,"item","Units Per Parcel","no.",$D113)</t>
  </si>
  <si>
    <t>="07940"</t>
  </si>
  <si>
    <t>=NL("rows","Production BOM Version","Version Code","Production BOM No.",D114,"status","certified")</t>
  </si>
  <si>
    <t>=NL(1,"item","Units Per Parcel","no.",$D114)</t>
  </si>
  <si>
    <t>="07941"</t>
  </si>
  <si>
    <t>=NL("rows","Production BOM Version","Version Code","Production BOM No.",D115,"status","certified")</t>
  </si>
  <si>
    <t>=NL(1,"item","Units Per Parcel","no.",$D115)</t>
  </si>
  <si>
    <t>="07946"</t>
  </si>
  <si>
    <t>=NL("rows","Production BOM Version","Version Code","Production BOM No.",D116,"status","certified")</t>
  </si>
  <si>
    <t>=NL(1,"item","Units Per Parcel","no.",$D116)</t>
  </si>
  <si>
    <t>="07949"</t>
  </si>
  <si>
    <t>=NL("rows","Production BOM Version","Version Code","Production BOM No.",D117,"status","certified")</t>
  </si>
  <si>
    <t>=NL(1,"item","Units Per Parcel","no.",$D117)</t>
  </si>
  <si>
    <t>="07991"</t>
  </si>
  <si>
    <t>=NL("rows","Production BOM Version","Version Code","Production BOM No.",D118,"status","certified")</t>
  </si>
  <si>
    <t>=NL(1,"item","Units Per Parcel","no.",$D118)</t>
  </si>
  <si>
    <t>=NL("rows","Production BOM Version","Version Code","Production BOM No.",D119,"status","certified")</t>
  </si>
  <si>
    <t>=NL(1,"item","Units Per Parcel","no.",$D119)</t>
  </si>
  <si>
    <t>=NL("rows","Production BOM Version","Version Code","Production BOM No.",D120,"status","certified")</t>
  </si>
  <si>
    <t>=NL(1,"item","Units Per Parcel","no.",$D120)</t>
  </si>
  <si>
    <t>=NL("rows","Production BOM Version","Version Code","Production BOM No.",D121,"status","certified")</t>
  </si>
  <si>
    <t>=NL(1,"item","Units Per Parcel","no.",$D121)</t>
  </si>
  <si>
    <t>=NL("rows","Production BOM Version","Version Code","Production BOM No.",D122,"status","certified")</t>
  </si>
  <si>
    <t>=NL(1,"item","Units Per Parcel","no.",$D122)</t>
  </si>
  <si>
    <t>=NL("rows","Production BOM Version","Version Code","Production BOM No.",D123,"status","certified")</t>
  </si>
  <si>
    <t>=NL(1,"item","Units Per Parcel","no.",$D123)</t>
  </si>
  <si>
    <t>=NL("rows","Production BOM Version","Version Code","Production BOM No.",D124,"status","certified")</t>
  </si>
  <si>
    <t>=NL(1,"item","Units Per Parcel","no.",$D124)</t>
  </si>
  <si>
    <t>=NL("rows","Production BOM Version","Version Code","Production BOM No.",D125,"status","certified")</t>
  </si>
  <si>
    <t>=NL(1,"item","Units Per Parcel","no.",$D125)</t>
  </si>
  <si>
    <t>=NL("rows","Production BOM Version","Version Code","Production BOM No.",D126,"status","certified")</t>
  </si>
  <si>
    <t>=NL(1,"item","Units Per Parcel","no.",$D126)</t>
  </si>
  <si>
    <t>=NL("rows","Production BOM Version","Version Code","Production BOM No.",D127,"status","certified")</t>
  </si>
  <si>
    <t>=NL(1,"item","Units Per Parcel","no.",$D127)</t>
  </si>
  <si>
    <t>=NL("rows","Production BOM Version","Version Code","Production BOM No.",D128,"status","certified")</t>
  </si>
  <si>
    <t>=NL(1,"item","Units Per Parcel","no.",$D128)</t>
  </si>
  <si>
    <t>=NL("rows","Production BOM Version","Version Code","Production BOM No.",D129,"status","certified")</t>
  </si>
  <si>
    <t>=NL(1,"item","Units Per Parcel","no.",$D129)</t>
  </si>
  <si>
    <t>=NL("rows","Production BOM Version","Version Code","Production BOM No.",D130,"status","certified")</t>
  </si>
  <si>
    <t>=NL(1,"item","Units Per Parcel","no.",$D130)</t>
  </si>
  <si>
    <t>=NL("rows","Production BOM Version","Version Code","Production BOM No.",D131,"status","certified")</t>
  </si>
  <si>
    <t>=NL(1,"item","Units Per Parcel","no.",$D131)</t>
  </si>
  <si>
    <t>=NL("rows","Production BOM Version","Version Code","Production BOM No.",D132,"status","certified")</t>
  </si>
  <si>
    <t>=NL(1,"item","Units Per Parcel","no.",$D132)</t>
  </si>
  <si>
    <t>=NL("rows","Production BOM Version","Version Code","Production BOM No.",D133,"status","certified")</t>
  </si>
  <si>
    <t>=NL(1,"item","Units Per Parcel","no.",$D133)</t>
  </si>
  <si>
    <t>=NL("rows","Production BOM Version","Version Code","Production BOM No.",D134,"status","certified")</t>
  </si>
  <si>
    <t>=NL(1,"item","Units Per Parcel","no.",$D134)</t>
  </si>
  <si>
    <t>=NL("rows","Production BOM Version","Version Code","Production BOM No.",D135,"status","certified")</t>
  </si>
  <si>
    <t>=NL(1,"item","Units Per Parcel","no.",$D135)</t>
  </si>
  <si>
    <t>=NL("rows","Production BOM Version","Version Code","Production BOM No.",D136,"status","certified")</t>
  </si>
  <si>
    <t>=NL(1,"item","Units Per Parcel","no.",$D136)</t>
  </si>
  <si>
    <t>=NL("rows","Production BOM Version","Version Code","Production BOM No.",D137,"status","certified")</t>
  </si>
  <si>
    <t>=NL(1,"item","Units Per Parcel","no.",$D137)</t>
  </si>
  <si>
    <t>=NL("rows","Production BOM Version","Version Code","Production BOM No.",D138,"status","certified")</t>
  </si>
  <si>
    <t>=NL(1,"item","Units Per Parcel","no.",$D138)</t>
  </si>
  <si>
    <t>=NL("rows","Production BOM Version","Version Code","Production BOM No.",D139,"status","certified")</t>
  </si>
  <si>
    <t>=NL(1,"item","Units Per Parcel","no.",$D139)</t>
  </si>
  <si>
    <t>=NL("rows","Production BOM Version","Version Code","Production BOM No.",D140,"status","certified")</t>
  </si>
  <si>
    <t>=NL(1,"item","Units Per Parcel","no.",$D140)</t>
  </si>
  <si>
    <t>=NL("rows","Production BOM Version","Version Code","Production BOM No.",D141,"status","certified")</t>
  </si>
  <si>
    <t>=NL(1,"item","Units Per Parcel","no.",$D141)</t>
  </si>
  <si>
    <t>=NL("rows","Production BOM Version","Version Code","Production BOM No.",D142,"status","certified")</t>
  </si>
  <si>
    <t>=NL(1,"item","Units Per Parcel","no.",$D142)</t>
  </si>
  <si>
    <t>=NL("rows","Production BOM Version","Version Code","Production BOM No.",D143,"status","certified")</t>
  </si>
  <si>
    <t>=NL(1,"item","Units Per Parcel","no.",$D143)</t>
  </si>
  <si>
    <t>=NL("rows","Production BOM Version","Version Code","Production BOM No.",D144,"status","certified")</t>
  </si>
  <si>
    <t>=NL(1,"item","Units Per Parcel","no.",$D144)</t>
  </si>
  <si>
    <t>=NL("rows","Production BOM Version","Version Code","Production BOM No.",D145,"status","certified")</t>
  </si>
  <si>
    <t>=NL(1,"item","Units Per Parcel","no.",$D145)</t>
  </si>
  <si>
    <t>=NL("rows","Production BOM Version","Version Code","Production BOM No.",D146,"status","certified")</t>
  </si>
  <si>
    <t>=NL(1,"item","Units Per Parcel","no.",$D146)</t>
  </si>
  <si>
    <t>=NL("rows","Production BOM Version","Version Code","Production BOM No.",D147,"status","certified")</t>
  </si>
  <si>
    <t>=NL(1,"item","Units Per Parcel","no.",$D147)</t>
  </si>
  <si>
    <t>=NL("rows","Production BOM Version","Version Code","Production BOM No.",D148,"status","certified")</t>
  </si>
  <si>
    <t>=NL(1,"item","Units Per Parcel","no.",$D148)</t>
  </si>
  <si>
    <t>=NL("rows","Production BOM Version","Version Code","Production BOM No.",D149,"status","certified")</t>
  </si>
  <si>
    <t>=NL(1,"item","Units Per Parcel","no.",$D149)</t>
  </si>
  <si>
    <t>=NL("rows","Production BOM Version","Version Code","Production BOM No.",D150,"status","certified")</t>
  </si>
  <si>
    <t>=NL(1,"item","Units Per Parcel","no.",$D150)</t>
  </si>
  <si>
    <t>=NL("rows","Production BOM Version","Version Code","Production BOM No.",D151,"status","certified")</t>
  </si>
  <si>
    <t>=NL(1,"item","Units Per Parcel","no.",$D151)</t>
  </si>
  <si>
    <t>=NL("rows","Production BOM Version","Version Code","Production BOM No.",D152,"status","certified")</t>
  </si>
  <si>
    <t>=NL(1,"item","Units Per Parcel","no.",$D152)</t>
  </si>
  <si>
    <t>=NL("rows","Production BOM Version","Version Code","Production BOM No.",D153,"status","certified")</t>
  </si>
  <si>
    <t>=NL(1,"item","Units Per Parcel","no.",$D153)</t>
  </si>
  <si>
    <t>=NL("rows","Production BOM Version","Version Code","Production BOM No.",D154,"status","certified")</t>
  </si>
  <si>
    <t>=NL(1,"item","Units Per Parcel","no.",$D154)</t>
  </si>
  <si>
    <t>=NL("rows","Production BOM Version","Version Code","Production BOM No.",D155,"status","certified")</t>
  </si>
  <si>
    <t>=NL(1,"item","Units Per Parcel","no.",$D155)</t>
  </si>
  <si>
    <t>=NL("rows","Production BOM Version","Version Code","Production BOM No.",D156,"status","certified")</t>
  </si>
  <si>
    <t>=NL(1,"item","Units Per Parcel","no.",$D156)</t>
  </si>
  <si>
    <t>=NL("rows","Production BOM Version","Version Code","Production BOM No.",D157,"status","certified")</t>
  </si>
  <si>
    <t>=NL(1,"item","Units Per Parcel","no.",$D157)</t>
  </si>
  <si>
    <t>=NL("rows","Production BOM Version","Version Code","Production BOM No.",D158,"status","certified")</t>
  </si>
  <si>
    <t>=NL(1,"item","Units Per Parcel","no.",$D158)</t>
  </si>
  <si>
    <t>=NL("rows","Production BOM Version","Version Code","Production BOM No.",D159,"status","certified")</t>
  </si>
  <si>
    <t>=NL(1,"item","Units Per Parcel","no.",$D159)</t>
  </si>
  <si>
    <t>=NL("rows","Production BOM Version","Version Code","Production BOM No.",D160,"status","certified")</t>
  </si>
  <si>
    <t>=NL(1,"item","Units Per Parcel","no.",$D160)</t>
  </si>
  <si>
    <t>=NL("rows","Production BOM Version","Version Code","Production BOM No.",D161,"status","certified")</t>
  </si>
  <si>
    <t>=NL(1,"item","Units Per Parcel","no.",$D161)</t>
  </si>
  <si>
    <t>=NL("rows","Production BOM Version","Version Code","Production BOM No.",D162,"status","certified")</t>
  </si>
  <si>
    <t>=NL(1,"item","Units Per Parcel","no.",$D162)</t>
  </si>
  <si>
    <t>=NL("rows","Production BOM Version","Version Code","Production BOM No.",D163,"status","certified")</t>
  </si>
  <si>
    <t>=NL(1,"item","Units Per Parcel","no.",$D163)</t>
  </si>
  <si>
    <t>=NL("rows","Production BOM Version","Version Code","Production BOM No.",D164,"status","certified")</t>
  </si>
  <si>
    <t>=NL(1,"item","Units Per Parcel","no.",$D164)</t>
  </si>
  <si>
    <t>=NL("rows","Production BOM Version","Version Code","Production BOM No.",D165,"status","certified")</t>
  </si>
  <si>
    <t>=NL(1,"item","Units Per Parcel","no.",$D165)</t>
  </si>
  <si>
    <t>=NL("rows","Production BOM Version","Version Code","Production BOM No.",D166,"status","certified")</t>
  </si>
  <si>
    <t>=NL(1,"item","Units Per Parcel","no.",$D166)</t>
  </si>
  <si>
    <t>=NL("rows","Production BOM Version","Version Code","Production BOM No.",D167,"status","certified")</t>
  </si>
  <si>
    <t>=NL(1,"item","Units Per Parcel","no.",$D167)</t>
  </si>
  <si>
    <t>=NL("rows","Production BOM Version","Version Code","Production BOM No.",D168,"status","certified")</t>
  </si>
  <si>
    <t>=NL(1,"item","Units Per Parcel","no.",$D168)</t>
  </si>
  <si>
    <t>=NL("rows","Production BOM Version","Version Code","Production BOM No.",D169,"status","certified")</t>
  </si>
  <si>
    <t>=NL(1,"item","Units Per Parcel","no.",$D169)</t>
  </si>
  <si>
    <t>=NL("rows","Production BOM Version","Version Code","Production BOM No.",D170,"status","certified")</t>
  </si>
  <si>
    <t>=NL(1,"item","Units Per Parcel","no.",$D170)</t>
  </si>
  <si>
    <t>=NL("rows","Production BOM Version","Version Code","Production BOM No.",D171,"status","certified")</t>
  </si>
  <si>
    <t>=NL(1,"item","Units Per Parcel","no.",$D171)</t>
  </si>
  <si>
    <t>=NL("rows","Production BOM Version","Version Code","Production BOM No.",D172,"status","certified")</t>
  </si>
  <si>
    <t>=NL(1,"item","Units Per Parcel","no.",$D172)</t>
  </si>
  <si>
    <t>="17701"</t>
  </si>
  <si>
    <t>=NL("rows","Production BOM Version","Version Code","Production BOM No.",D173,"status","certified")</t>
  </si>
  <si>
    <t>=NL(1,"item","Units Per Parcel","no.",$D173)</t>
  </si>
  <si>
    <t>=NL("rows","Production BOM Version","Version Code","Production BOM No.",D174,"status","certified")</t>
  </si>
  <si>
    <t>=NL(1,"item","Units Per Parcel","no.",$D174)</t>
  </si>
  <si>
    <t>=NL("rows","Production BOM Version","Version Code","Production BOM No.",D175,"status","certified")</t>
  </si>
  <si>
    <t>=NL(1,"item","Units Per Parcel","no.",$D175)</t>
  </si>
  <si>
    <t>=NL("rows","Production BOM Version","Version Code","Production BOM No.",D176,"status","certified")</t>
  </si>
  <si>
    <t>=NL(1,"item","Units Per Parcel","no.",$D176)</t>
  </si>
  <si>
    <t>=NL("rows","Production BOM Version","Version Code","Production BOM No.",D177,"status","certified")</t>
  </si>
  <si>
    <t>=NL(1,"item","Units Per Parcel","no.",$D177)</t>
  </si>
  <si>
    <t>=NL("rows","Production BOM Version","Version Code","Production BOM No.",D178,"status","certified")</t>
  </si>
  <si>
    <t>=NL(1,"item","Units Per Parcel","no.",$D178)</t>
  </si>
  <si>
    <t>=NL("rows","Production BOM Version","Version Code","Production BOM No.",D179,"status","certified")</t>
  </si>
  <si>
    <t>=NL(1,"item","Units Per Parcel","no.",$D179)</t>
  </si>
  <si>
    <t>=NL("rows","Production BOM Version","Version Code","Production BOM No.",D180,"status","certified")</t>
  </si>
  <si>
    <t>=NL(1,"item","Units Per Parcel","no.",$D180)</t>
  </si>
  <si>
    <t>=NL("rows","Production BOM Version","Version Code","Production BOM No.",D181,"status","certified")</t>
  </si>
  <si>
    <t>=NL(1,"item","Units Per Parcel","no.",$D181)</t>
  </si>
  <si>
    <t>=NL("rows","Production BOM Version","Version Code","Production BOM No.",D182,"status","certified")</t>
  </si>
  <si>
    <t>=NL(1,"item","Units Per Parcel","no.",$D182)</t>
  </si>
  <si>
    <t>="20101"</t>
  </si>
  <si>
    <t>=NL("rows","Production BOM Version","Version Code","Production BOM No.",D183,"status","certified")</t>
  </si>
  <si>
    <t>=NL(1,"item","Units Per Parcel","no.",$D183)</t>
  </si>
  <si>
    <t>=NL("rows","Production BOM Version","Version Code","Production BOM No.",D184,"status","certified")</t>
  </si>
  <si>
    <t>=NL(1,"item","Units Per Parcel","no.",$D184)</t>
  </si>
  <si>
    <t>=NL(1,"item","Units Per Parcel","no.",$D185)</t>
  </si>
  <si>
    <t>="20105"</t>
  </si>
  <si>
    <t>=NL("rows","Production BOM Version","Version Code","Production BOM No.",D186,"status","certified")</t>
  </si>
  <si>
    <t>=NL(1,"item","Units Per Parcel","no.",$D186)</t>
  </si>
  <si>
    <t>="20106"</t>
  </si>
  <si>
    <t>=NL(1,"item","Units Per Parcel","no.",$D187)</t>
  </si>
  <si>
    <t>="20110"</t>
  </si>
  <si>
    <t>=NL(1,"item","Units Per Parcel","no.",$D188)</t>
  </si>
  <si>
    <t>=NL("rows","Production BOM Version","Version Code","Production BOM No.",D189,"status","certified")</t>
  </si>
  <si>
    <t>=NL(1,"item","Units Per Parcel","no.",$D189)</t>
  </si>
  <si>
    <t>=NL(1,"item","Units Per Parcel","no.",$D190)</t>
  </si>
  <si>
    <t>=NL("rows","Production BOM Version","Version Code","Production BOM No.",D191,"status","certified")</t>
  </si>
  <si>
    <t>=NL(1,"item","Units Per Parcel","no.",$D191)</t>
  </si>
  <si>
    <t>="20661"</t>
  </si>
  <si>
    <t>="23206"</t>
  </si>
  <si>
    <t>="23905"</t>
  </si>
  <si>
    <t>="24661"</t>
  </si>
  <si>
    <t>="24666"</t>
  </si>
  <si>
    <t>="24670"</t>
  </si>
  <si>
    <t>="24675"</t>
  </si>
  <si>
    <t>="24766"</t>
  </si>
  <si>
    <t>="24966"</t>
  </si>
  <si>
    <t>="24975"</t>
  </si>
  <si>
    <t>="27405"</t>
  </si>
  <si>
    <t>="27425"</t>
  </si>
  <si>
    <t>="27705"</t>
  </si>
  <si>
    <t>="27805"</t>
  </si>
  <si>
    <t>="27825"</t>
  </si>
  <si>
    <t>="27836"</t>
  </si>
  <si>
    <t>="31505"</t>
  </si>
  <si>
    <t>="31536"</t>
  </si>
  <si>
    <t>="31610"</t>
  </si>
  <si>
    <t>="31801"</t>
  </si>
  <si>
    <t>="31805"</t>
  </si>
  <si>
    <t>="31810"</t>
  </si>
  <si>
    <t>="31836"</t>
  </si>
  <si>
    <t>="33405"</t>
  </si>
  <si>
    <t>="37401"</t>
  </si>
  <si>
    <t>="37405"</t>
  </si>
  <si>
    <t>="37410"</t>
  </si>
  <si>
    <t>="3"</t>
  </si>
  <si>
    <t>="39610"</t>
  </si>
  <si>
    <t>="43160"</t>
  </si>
  <si>
    <t>="43163"</t>
  </si>
  <si>
    <t>="51005"</t>
  </si>
  <si>
    <t>="51119"</t>
  </si>
  <si>
    <t>="51151"</t>
  </si>
  <si>
    <t>="51401"</t>
  </si>
  <si>
    <t>="51402"</t>
  </si>
  <si>
    <t>="51405"</t>
  </si>
  <si>
    <t>="51406"</t>
  </si>
  <si>
    <t>="51408"</t>
  </si>
  <si>
    <t>="51410"</t>
  </si>
  <si>
    <t>="51451"</t>
  </si>
  <si>
    <t>="51605"</t>
  </si>
  <si>
    <t>="51625"</t>
  </si>
  <si>
    <t>="51661"</t>
  </si>
  <si>
    <t>="51666"</t>
  </si>
  <si>
    <t>="51670"</t>
  </si>
  <si>
    <t>="51675"</t>
  </si>
  <si>
    <t>="51805"</t>
  </si>
  <si>
    <t>="51901"</t>
  </si>
  <si>
    <t>="51905"</t>
  </si>
  <si>
    <t>="51906"</t>
  </si>
  <si>
    <t>="51941"</t>
  </si>
  <si>
    <t>="51951"</t>
  </si>
  <si>
    <t>="51965"</t>
  </si>
  <si>
    <t>="51985"</t>
  </si>
  <si>
    <t>="51991"</t>
  </si>
  <si>
    <t>="51993"</t>
  </si>
  <si>
    <t>="51996"</t>
  </si>
  <si>
    <t>="57134"</t>
  </si>
  <si>
    <t>="57174"</t>
  </si>
  <si>
    <t>="57194"</t>
  </si>
  <si>
    <t>="57197"</t>
  </si>
  <si>
    <t>="57199"</t>
  </si>
  <si>
    <t>="57253"</t>
  </si>
  <si>
    <t>="57360"</t>
  </si>
  <si>
    <t>="57633"</t>
  </si>
  <si>
    <t>="57661"</t>
  </si>
  <si>
    <t>="57666"</t>
  </si>
  <si>
    <t>="57670"</t>
  </si>
  <si>
    <t>="57675"</t>
  </si>
  <si>
    <t>="59605"</t>
  </si>
  <si>
    <t>="64701"</t>
  </si>
  <si>
    <t>="66308"</t>
  </si>
  <si>
    <t>="751701"</t>
  </si>
  <si>
    <t>="751710"</t>
  </si>
  <si>
    <t>="751736"</t>
  </si>
  <si>
    <t>="81905"</t>
  </si>
  <si>
    <t>="87174"</t>
  </si>
  <si>
    <t>="87194"</t>
  </si>
  <si>
    <t>="87199"</t>
  </si>
  <si>
    <t>="87253"</t>
  </si>
  <si>
    <t>="96605"</t>
  </si>
  <si>
    <t>="96905"</t>
  </si>
  <si>
    <t>="PD-BOM00019"</t>
  </si>
  <si>
    <t>="PD-BOM00024"</t>
  </si>
  <si>
    <t>="01055"</t>
  </si>
  <si>
    <t>="01056"</t>
  </si>
  <si>
    <t>="01057"</t>
  </si>
  <si>
    <t>="01154"</t>
  </si>
  <si>
    <t>="01155"</t>
  </si>
  <si>
    <t>="01157"</t>
  </si>
  <si>
    <t>="06061"</t>
  </si>
  <si>
    <t>="07993"</t>
  </si>
  <si>
    <t>=NL("rows","Production BOM Version","Version Code","Production BOM No.",D75,"status","certified")</t>
  </si>
  <si>
    <t>="24961"</t>
  </si>
  <si>
    <t>="24970"</t>
  </si>
  <si>
    <t>=NL("rows","Production BOM Version","Version Code","Production BOM No.",D87,"status","certified")</t>
  </si>
  <si>
    <t>="80641"</t>
  </si>
  <si>
    <t>="80642"</t>
  </si>
  <si>
    <t>="80643"</t>
  </si>
  <si>
    <t>="80644"</t>
  </si>
  <si>
    <t>="80645"</t>
  </si>
  <si>
    <t>="80646"</t>
  </si>
  <si>
    <t>="80647"</t>
  </si>
  <si>
    <t>="80648"</t>
  </si>
  <si>
    <t>="87124"</t>
  </si>
  <si>
    <t>="87197"</t>
  </si>
  <si>
    <t>="06870"</t>
  </si>
  <si>
    <t>="41401"</t>
  </si>
  <si>
    <t>="12258"</t>
  </si>
  <si>
    <t>="12828"</t>
  </si>
  <si>
    <t>="12858"</t>
  </si>
  <si>
    <t>="14228"</t>
  </si>
  <si>
    <t>="14258"</t>
  </si>
  <si>
    <t>="14828"</t>
  </si>
  <si>
    <t>="14858"</t>
  </si>
  <si>
    <t>="15228"</t>
  </si>
  <si>
    <t>="21828"</t>
  </si>
  <si>
    <t>="21858"</t>
  </si>
  <si>
    <t>="25000"</t>
  </si>
  <si>
    <t>="25100"</t>
  </si>
  <si>
    <t>="25400"</t>
  </si>
  <si>
    <t>="25500"</t>
  </si>
  <si>
    <t>LAWRENCE</t>
  </si>
  <si>
    <t>="07910"</t>
  </si>
  <si>
    <t>="24861"</t>
  </si>
  <si>
    <t>="24869"</t>
  </si>
  <si>
    <t>="24870"</t>
  </si>
  <si>
    <t>="31701"</t>
  </si>
  <si>
    <t>="31705"</t>
  </si>
  <si>
    <t>="31710"</t>
  </si>
  <si>
    <t>="31736"</t>
  </si>
  <si>
    <t>="31751"</t>
  </si>
  <si>
    <t>="12328"</t>
  </si>
  <si>
    <t>Avg Monthly SOLD 2019</t>
  </si>
  <si>
    <t>Avg Monthly SOLD 2020</t>
  </si>
  <si>
    <t>Avg Monthly SOLD 2021</t>
  </si>
  <si>
    <t>Avg Monthly SOLD 2022</t>
  </si>
  <si>
    <t>Avg Monthly SOLD 2023</t>
  </si>
  <si>
    <t>=TODAY()</t>
  </si>
  <si>
    <t>44927</t>
  </si>
  <si>
    <t>=B5-B4</t>
  </si>
  <si>
    <t>=B6/28.3</t>
  </si>
  <si>
    <t>=B7</t>
  </si>
  <si>
    <t>=NL("sum","Item Ledger Entry","Quantity","Item No.",$D10,"Entry Type","Sale|Consumption","posting date","01/01/19..12/31/19")/-12</t>
  </si>
  <si>
    <t>=NL("sum","Item Ledger Entry","Quantity","Item No.",$D10,"Entry Type","Sale|Consumption","posting date","01/01/20..12/31/20")/-12</t>
  </si>
  <si>
    <t>=NL("sum","Item Ledger Entry","Quantity","Item No.",$D10,"Entry Type","Sale|Consumption","posting date","01/01/21..12/31/21")/-12</t>
  </si>
  <si>
    <t>=NL("sum","Item Ledger Entry","Quantity","Item No.",$D10,"Entry Type","Sale|Consumption","posting date","01/01/22..12/31/22")/-12</t>
  </si>
  <si>
    <t>=NL("sum","Item Ledger Entry","Quantity","Item No.",$D11,"Entry Type","Sale|Consumption","posting date","01/01/23..12/31/23")/-12</t>
  </si>
  <si>
    <t>=NL("sum","Item Ledger Entry","Quantity","Item No.",$D12,"Entry Type","Sale|Consumption","posting date","01/01/23..12/31/23")/-12</t>
  </si>
  <si>
    <t>=NL("sum","Item Ledger Entry","Quantity","Item No.",$D13,"Entry Type","Sale|Consumption","posting date","01/01/23..12/31/23")/-12</t>
  </si>
  <si>
    <t>=NL("sum","Item Ledger Entry","Quantity","Item No.",$D14,"Entry Type","Sale|Consumption","posting date","01/01/23..12/31/23")/-12</t>
  </si>
  <si>
    <t>=NL("sum","Item Ledger Entry","Quantity","Item No.",$D15,"Entry Type","Sale|Consumption","posting date","01/01/23..12/31/23")/-12</t>
  </si>
  <si>
    <t>=NL("sum","Item Ledger Entry","Quantity","Item No.",$D16,"Entry Type","Sale|Consumption","posting date","01/01/23..12/31/23")/-12</t>
  </si>
  <si>
    <t>=NL("sum","Item Ledger Entry","Quantity","Item No.",$D17,"Entry Type","Sale|Consumption","posting date","01/01/19..12/31/19")/-12</t>
  </si>
  <si>
    <t>=NL("sum","Item Ledger Entry","Quantity","Item No.",$D17,"Entry Type","Sale|Consumption","posting date","01/01/20..12/31/20")/-12</t>
  </si>
  <si>
    <t>=NL("sum","Item Ledger Entry","Quantity","Item No.",$D17,"Entry Type","Sale|Consumption","posting date","01/01/21..12/31/21")/-12</t>
  </si>
  <si>
    <t>=NL("sum","Item Ledger Entry","Quantity","Item No.",$D17,"Entry Type","Sale|Consumption","posting date","01/01/22..12/31/22")/-12</t>
  </si>
  <si>
    <t>=NL("sum","Item Ledger Entry","Quantity","Item No.",$D17,"Entry Type","Sale|Consumption","posting date","01/01/23..12/31/23")/-12</t>
  </si>
  <si>
    <t>=NL("sum","Item Ledger Entry","Quantity","Item No.",$D18,"Entry Type","Sale|Consumption","posting date","01/01/23..12/31/23")/-12</t>
  </si>
  <si>
    <t>=NL("sum","Item Ledger Entry","Quantity","Item No.",$D19,"Entry Type","Sale|Consumption","posting date","01/01/23..12/31/23")/-12</t>
  </si>
  <si>
    <t>=NL("sum","Item Ledger Entry","Quantity","Item No.",$D20,"Entry Type","Sale|Consumption","posting date","01/01/23..12/31/23")/-12</t>
  </si>
  <si>
    <t>=NL("sum","Item Ledger Entry","Quantity","Item No.",$D21,"Entry Type","Sale|Consumption","posting date","01/01/23..12/31/23")/-12</t>
  </si>
  <si>
    <t>=NL("sum","Item Ledger Entry","Quantity","Item No.",$D22,"Entry Type","Sale|Consumption","posting date","01/01/23..12/31/23")/-12</t>
  </si>
  <si>
    <t>=NL("sum","Item Ledger Entry","Quantity","Item No.",$D23,"Entry Type","Sale|Consumption","posting date","01/01/23..12/31/23")/-12</t>
  </si>
  <si>
    <t>=NL("sum","Item Ledger Entry","Quantity","Item No.",$D24,"Entry Type","Sale|Consumption","posting date","01/01/19..12/31/19")/-12</t>
  </si>
  <si>
    <t>=NL("sum","Item Ledger Entry","Quantity","Item No.",$D24,"Entry Type","Sale|Consumption","posting date","01/01/20..12/31/20")/-12</t>
  </si>
  <si>
    <t>=NL("sum","Item Ledger Entry","Quantity","Item No.",$D24,"Entry Type","Sale|Consumption","posting date","01/01/21..12/31/21")/-12</t>
  </si>
  <si>
    <t>=NL("sum","Item Ledger Entry","Quantity","Item No.",$D24,"Entry Type","Sale|Consumption","posting date","01/01/22..12/31/22")/-12</t>
  </si>
  <si>
    <t>=NL("sum","Item Ledger Entry","Quantity","Item No.",$D24,"Entry Type","Sale|Consumption","posting date","01/01/23..12/31/23")/-12</t>
  </si>
  <si>
    <t>=NL("sum","Item Ledger Entry","Quantity","Item No.",$D25,"Entry Type","Sale|Consumption","posting date","01/01/23..12/31/23")/-12</t>
  </si>
  <si>
    <t>=NL("sum","Item Ledger Entry","Quantity","Item No.",$D26,"Entry Type","Sale|Consumption","posting date","01/01/23..12/31/23")/-12</t>
  </si>
  <si>
    <t>=NL("sum","Item Ledger Entry","Quantity","Item No.",$D27,"Entry Type","Sale|Consumption","posting date","01/01/23..12/31/23")/-12</t>
  </si>
  <si>
    <t>=NL("sum","Item Ledger Entry","Quantity","Item No.",$D28,"Entry Type","Sale|Consumption","posting date","01/01/23..12/31/23")/-12</t>
  </si>
  <si>
    <t>=NL("sum","Item Ledger Entry","Quantity","Item No.",$D29,"Entry Type","Sale|Consumption","posting date","01/01/23..12/31/23")/-12</t>
  </si>
  <si>
    <t>=NL("sum","Item Ledger Entry","Quantity","Item No.",$D30,"Entry Type","Sale|Consumption","posting date","01/01/23..12/31/23")/-12</t>
  </si>
  <si>
    <t>=NL("sum","Item Ledger Entry","Quantity","Item No.",$D31,"Entry Type","Sale|Consumption","posting date","01/01/19..12/31/19")/-12</t>
  </si>
  <si>
    <t>=NL("sum","Item Ledger Entry","Quantity","Item No.",$D31,"Entry Type","Sale|Consumption","posting date","01/01/20..12/31/20")/-12</t>
  </si>
  <si>
    <t>=NL("sum","Item Ledger Entry","Quantity","Item No.",$D31,"Entry Type","Sale|Consumption","posting date","01/01/21..12/31/21")/-12</t>
  </si>
  <si>
    <t>=NL("sum","Item Ledger Entry","Quantity","Item No.",$D31,"Entry Type","Sale|Consumption","posting date","01/01/22..12/31/22")/-12</t>
  </si>
  <si>
    <t>=NL("sum","Item Ledger Entry","Quantity","Item No.",$D31,"Entry Type","Sale|Consumption","posting date","01/01/23..12/31/23")/-12</t>
  </si>
  <si>
    <t>=NL("sum","Item Ledger Entry","Quantity","Item No.",$D32,"Entry Type","Sale|Consumption","posting date","01/01/23..12/31/23")/-12</t>
  </si>
  <si>
    <t>=NL("sum","Item Ledger Entry","Quantity","Item No.",$D33,"Entry Type","Sale|Consumption","posting date","01/01/23..12/31/23")/-12</t>
  </si>
  <si>
    <t>=NL("sum","Item Ledger Entry","Quantity","Item No.",$D34,"Entry Type","Sale|Consumption","posting date","01/01/23..12/31/23")/-12</t>
  </si>
  <si>
    <t>=NL("sum","Item Ledger Entry","Quantity","Item No.",$D35,"Entry Type","Sale|Consumption","posting date","01/01/23..12/31/23")/-12</t>
  </si>
  <si>
    <t>=NL("sum","Item Ledger Entry","Quantity","Item No.",$D36,"Entry Type","Sale|Consumption","posting date","01/01/23..12/31/23")/-12</t>
  </si>
  <si>
    <t>=NL("sum","Item Ledger Entry","Quantity","Item No.",$D37,"Entry Type","Sale|Consumption","posting date","01/01/23..12/31/23")/-12</t>
  </si>
  <si>
    <t>=NL("sum","Item Ledger Entry","Quantity","Item No.",$D38,"Entry Type","Sale|Consumption","posting date","01/01/19..12/31/19")/-12</t>
  </si>
  <si>
    <t>=NL("sum","Item Ledger Entry","Quantity","Item No.",$D38,"Entry Type","Sale|Consumption","posting date","01/01/20..12/31/20")/-12</t>
  </si>
  <si>
    <t>=NL("sum","Item Ledger Entry","Quantity","Item No.",$D38,"Entry Type","Sale|Consumption","posting date","01/01/21..12/31/21")/-12</t>
  </si>
  <si>
    <t>=NL("sum","Item Ledger Entry","Quantity","Item No.",$D38,"Entry Type","Sale|Consumption","posting date","01/01/22..12/31/22")/-12</t>
  </si>
  <si>
    <t>=NL("sum","Item Ledger Entry","Quantity","Item No.",$D38,"Entry Type","Sale|Consumption","posting date","01/01/23..12/31/23")/-12</t>
  </si>
  <si>
    <t>=NL("sum","Item Ledger Entry","Quantity","Item No.",$D39,"Entry Type","Sale|Consumption","posting date","01/01/23..12/31/23")/-12</t>
  </si>
  <si>
    <t>=NL("sum","Item Ledger Entry","Quantity","Item No.",$D40,"Entry Type","Sale|Consumption","posting date","01/01/23..12/31/23")/-12</t>
  </si>
  <si>
    <t>=NL("sum","Item Ledger Entry","Quantity","Item No.",$D41,"Entry Type","Sale|Consumption","posting date","01/01/23..12/31/23")/-12</t>
  </si>
  <si>
    <t>=NL("sum","Item Ledger Entry","Quantity","Item No.",$D42,"Entry Type","Sale|Consumption","posting date","01/01/23..12/31/23")/-12</t>
  </si>
  <si>
    <t>=NL("sum","Item Ledger Entry","Quantity","Item No.",$D43,"Entry Type","Sale|Consumption","posting date","01/01/23..12/31/23")/-12</t>
  </si>
  <si>
    <t>=NL("sum","Item Ledger Entry","Quantity","Item No.",$D44,"Entry Type","Sale|Consumption","posting date","01/01/23..12/31/23")/-12</t>
  </si>
  <si>
    <t>=NL("sum","Item Ledger Entry","Quantity","Item No.",$D45,"Entry Type","Sale|Consumption","posting date","01/01/19..12/31/19")/-12</t>
  </si>
  <si>
    <t>=NL("sum","Item Ledger Entry","Quantity","Item No.",$D45,"Entry Type","Sale|Consumption","posting date","01/01/20..12/31/20")/-12</t>
  </si>
  <si>
    <t>=NL("sum","Item Ledger Entry","Quantity","Item No.",$D45,"Entry Type","Sale|Consumption","posting date","01/01/21..12/31/21")/-12</t>
  </si>
  <si>
    <t>=NL("sum","Item Ledger Entry","Quantity","Item No.",$D45,"Entry Type","Sale|Consumption","posting date","01/01/22..12/31/22")/-12</t>
  </si>
  <si>
    <t>=NL("sum","Item Ledger Entry","Quantity","Item No.",$D45,"Entry Type","Sale|Consumption","posting date","01/01/23..12/31/23")/-12</t>
  </si>
  <si>
    <t>=NL("sum","Item Ledger Entry","Quantity","Item No.",$D46,"Entry Type","Sale|Consumption","posting date","01/01/23..12/31/23")/-12</t>
  </si>
  <si>
    <t>=NL("sum","Item Ledger Entry","Quantity","Item No.",$D47,"Entry Type","Sale|Consumption","posting date","01/01/23..12/31/23")/-12</t>
  </si>
  <si>
    <t>=NL("sum","Item Ledger Entry","Quantity","Item No.",$D48,"Entry Type","Sale|Consumption","posting date","01/01/23..12/31/23")/-12</t>
  </si>
  <si>
    <t>=NL("sum","Item Ledger Entry","Quantity","Item No.",$D49,"Entry Type","Sale|Consumption","posting date","01/01/23..12/31/23")/-12</t>
  </si>
  <si>
    <t>=NL("sum","Item Ledger Entry","Quantity","Item No.",$D50,"Entry Type","Sale|Consumption","posting date","01/01/23..12/31/23")/-12</t>
  </si>
  <si>
    <t>=NL("sum","Item Ledger Entry","Quantity","Item No.",$D51,"Entry Type","Sale|Consumption","posting date","01/01/23..12/31/23")/-12</t>
  </si>
  <si>
    <t>=NL("sum","Item Ledger Entry","Quantity","Item No.",$D52,"Entry Type","Sale|Consumption","posting date","01/01/19..12/31/19")/-12</t>
  </si>
  <si>
    <t>=NL("sum","Item Ledger Entry","Quantity","Item No.",$D52,"Entry Type","Sale|Consumption","posting date","01/01/20..12/31/20")/-12</t>
  </si>
  <si>
    <t>=NL("sum","Item Ledger Entry","Quantity","Item No.",$D52,"Entry Type","Sale|Consumption","posting date","01/01/21..12/31/21")/-12</t>
  </si>
  <si>
    <t>=NL("sum","Item Ledger Entry","Quantity","Item No.",$D52,"Entry Type","Sale|Consumption","posting date","01/01/22..12/31/22")/-12</t>
  </si>
  <si>
    <t>=NL("sum","Item Ledger Entry","Quantity","Item No.",$D52,"Entry Type","Sale|Consumption","posting date","01/01/23..12/31/23")/-12</t>
  </si>
  <si>
    <t>=NL("sum","Item Ledger Entry","Quantity","Item No.",$D53,"Entry Type","Sale|Consumption","posting date","01/01/23..12/31/23")/-12</t>
  </si>
  <si>
    <t>=NL("sum","Item Ledger Entry","Quantity","Item No.",$D54,"Entry Type","Sale|Consumption","posting date","01/01/23..12/31/23")/-12</t>
  </si>
  <si>
    <t>=NL("sum","Item Ledger Entry","Quantity","Item No.",$D55,"Entry Type","Sale|Consumption","posting date","01/01/23..12/31/23")/-12</t>
  </si>
  <si>
    <t>=NL("sum","Item Ledger Entry","Quantity","Item No.",$D56,"Entry Type","Sale|Consumption","posting date","01/01/23..12/31/23")/-12</t>
  </si>
  <si>
    <t>=NL("sum","Item Ledger Entry","Quantity","Item No.",$D57,"Entry Type","Sale|Consumption","posting date","01/01/23..12/31/23")/-12</t>
  </si>
  <si>
    <t>=NL("sum","Item Ledger Entry","Quantity","Item No.",$D58,"Entry Type","Sale|Consumption","posting date","01/01/23..12/31/23")/-12</t>
  </si>
  <si>
    <t>=NL("sum","Item Ledger Entry","Quantity","Item No.",$D59,"Entry Type","Sale|Consumption","posting date","01/01/19..12/31/19")/-12</t>
  </si>
  <si>
    <t>=NL("sum","Item Ledger Entry","Quantity","Item No.",$D59,"Entry Type","Sale|Consumption","posting date","01/01/20..12/31/20")/-12</t>
  </si>
  <si>
    <t>=NL("sum","Item Ledger Entry","Quantity","Item No.",$D59,"Entry Type","Sale|Consumption","posting date","01/01/21..12/31/21")/-12</t>
  </si>
  <si>
    <t>=NL("sum","Item Ledger Entry","Quantity","Item No.",$D59,"Entry Type","Sale|Consumption","posting date","01/01/22..12/31/22")/-12</t>
  </si>
  <si>
    <t>=NL("sum","Item Ledger Entry","Quantity","Item No.",$D59,"Entry Type","Sale|Consumption","posting date","01/01/23..12/31/23")/-12</t>
  </si>
  <si>
    <t>=NL("sum","Item Ledger Entry","Quantity","Item No.",$D60,"Entry Type","Sale|Consumption","posting date","01/01/23..12/31/23")/-12</t>
  </si>
  <si>
    <t>=NL("sum","Item Ledger Entry","Quantity","Item No.",$D61,"Entry Type","Sale|Consumption","posting date","01/01/23..12/31/23")/-12</t>
  </si>
  <si>
    <t>=NL("sum","Item Ledger Entry","Quantity","Item No.",$D62,"Entry Type","Sale|Consumption","posting date","01/01/23..12/31/23")/-12</t>
  </si>
  <si>
    <t>=NL("sum","Item Ledger Entry","Quantity","Item No.",$D63,"Entry Type","Sale|Consumption","posting date","01/01/23..12/31/23")/-12</t>
  </si>
  <si>
    <t>=NL("sum","Item Ledger Entry","Quantity","Item No.",$D64,"Entry Type","Sale|Consumption","posting date","01/01/23..12/31/23")/-12</t>
  </si>
  <si>
    <t>=NL("sum","Item Ledger Entry","Quantity","Item No.",$D65,"Entry Type","Sale|Consumption","posting date","01/01/23..12/31/23")/-12</t>
  </si>
  <si>
    <t>=NL("sum","Item Ledger Entry","Quantity","Item No.",$D66,"Entry Type","Sale|Consumption","posting date","01/01/19..12/31/19")/-12</t>
  </si>
  <si>
    <t>=NL("sum","Item Ledger Entry","Quantity","Item No.",$D66,"Entry Type","Sale|Consumption","posting date","01/01/20..12/31/20")/-12</t>
  </si>
  <si>
    <t>=NL("sum","Item Ledger Entry","Quantity","Item No.",$D66,"Entry Type","Sale|Consumption","posting date","01/01/21..12/31/21")/-12</t>
  </si>
  <si>
    <t>=NL("sum","Item Ledger Entry","Quantity","Item No.",$D66,"Entry Type","Sale|Consumption","posting date","01/01/22..12/31/22")/-12</t>
  </si>
  <si>
    <t>=NL("sum","Item Ledger Entry","Quantity","Item No.",$D66,"Entry Type","Sale|Consumption","posting date","01/01/23..12/31/23")/-12</t>
  </si>
  <si>
    <t>=NL("sum","Item Ledger Entry","Quantity","Item No.",$D67,"Entry Type","Sale|Consumption","posting date","01/01/23..12/31/23")/-12</t>
  </si>
  <si>
    <t>=NL("sum","Item Ledger Entry","Quantity","Item No.",$D68,"Entry Type","Sale|Consumption","posting date","01/01/23..12/31/23")/-12</t>
  </si>
  <si>
    <t>=NL("sum","Item Ledger Entry","Quantity","Item No.",$D69,"Entry Type","Sale|Consumption","posting date","01/01/23..12/31/23")/-12</t>
  </si>
  <si>
    <t>=NL("sum","Item Ledger Entry","Quantity","Item No.",$D70,"Entry Type","Sale|Consumption","posting date","01/01/23..12/31/23")/-12</t>
  </si>
  <si>
    <t>=NL("sum","Item Ledger Entry","Quantity","Item No.",$D71,"Entry Type","Sale|Consumption","posting date","01/01/23..12/31/23")/-12</t>
  </si>
  <si>
    <t>=NL("sum","Item Ledger Entry","Quantity","Item No.",$D72,"Entry Type","Sale|Consumption","posting date","01/01/23..12/31/23")/-12</t>
  </si>
  <si>
    <t>=NL("sum","Item Ledger Entry","Quantity","Item No.",$D73,"Entry Type","Sale|Consumption","posting date","01/01/19..12/31/19")/-12</t>
  </si>
  <si>
    <t>=NL("sum","Item Ledger Entry","Quantity","Item No.",$D73,"Entry Type","Sale|Consumption","posting date","01/01/20..12/31/20")/-12</t>
  </si>
  <si>
    <t>=NL("sum","Item Ledger Entry","Quantity","Item No.",$D73,"Entry Type","Sale|Consumption","posting date","01/01/21..12/31/21")/-12</t>
  </si>
  <si>
    <t>=NL("sum","Item Ledger Entry","Quantity","Item No.",$D73,"Entry Type","Sale|Consumption","posting date","01/01/22..12/31/22")/-12</t>
  </si>
  <si>
    <t>=NL("sum","Item Ledger Entry","Quantity","Item No.",$D73,"Entry Type","Sale|Consumption","posting date","01/01/23..12/31/23")/-12</t>
  </si>
  <si>
    <t>=NL("sum","Item Ledger Entry","Quantity","Item No.",$D74,"Entry Type","Sale|Consumption","posting date","01/01/23..12/31/23")/-12</t>
  </si>
  <si>
    <t>=NL("sum","Item Ledger Entry","Quantity","Item No.",$D75,"Entry Type","Sale|Consumption","posting date","01/01/23..12/31/23")/-12</t>
  </si>
  <si>
    <t>=NL("sum","Item Ledger Entry","Quantity","Item No.",$D76,"Entry Type","Sale|Consumption","posting date","01/01/23..12/31/23")/-12</t>
  </si>
  <si>
    <t>=NL("sum","Item Ledger Entry","Quantity","Item No.",$D77,"Entry Type","Sale|Consumption","posting date","01/01/23..12/31/23")/-12</t>
  </si>
  <si>
    <t>=NL("sum","Item Ledger Entry","Quantity","Item No.",$D78,"Entry Type","Sale|Consumption","posting date","01/01/23..12/31/23")/-12</t>
  </si>
  <si>
    <t>=NL("sum","Item Ledger Entry","Quantity","Item No.",$D79,"Entry Type","Sale|Consumption","posting date","01/01/23..12/31/23")/-12</t>
  </si>
  <si>
    <t>=NL("sum","Item Ledger Entry","Quantity","Item No.",$D80,"Entry Type","Sale|Consumption","posting date","01/01/19..12/31/19")/-12</t>
  </si>
  <si>
    <t>=NL("sum","Item Ledger Entry","Quantity","Item No.",$D80,"Entry Type","Sale|Consumption","posting date","01/01/20..12/31/20")/-12</t>
  </si>
  <si>
    <t>=NL("sum","Item Ledger Entry","Quantity","Item No.",$D80,"Entry Type","Sale|Consumption","posting date","01/01/21..12/31/21")/-12</t>
  </si>
  <si>
    <t>=NL("sum","Item Ledger Entry","Quantity","Item No.",$D80,"Entry Type","Sale|Consumption","posting date","01/01/22..12/31/22")/-12</t>
  </si>
  <si>
    <t>=NL("sum","Item Ledger Entry","Quantity","Item No.",$D80,"Entry Type","Sale|Consumption","posting date","01/01/23..12/31/23")/-12</t>
  </si>
  <si>
    <t>=NL("sum","Item Ledger Entry","Quantity","Item No.",$D81,"Entry Type","Sale|Consumption","posting date","01/01/23..12/31/23")/-12</t>
  </si>
  <si>
    <t>=NL("sum","Item Ledger Entry","Quantity","Item No.",$D82,"Entry Type","Sale|Consumption","posting date","01/01/23..12/31/23")/-12</t>
  </si>
  <si>
    <t>=NL("sum","Item Ledger Entry","Quantity","Item No.",$D83,"Entry Type","Sale|Consumption","posting date","01/01/23..12/31/23")/-12</t>
  </si>
  <si>
    <t>=NL("sum","Item Ledger Entry","Quantity","Item No.",$D84,"Entry Type","Sale|Consumption","posting date","01/01/23..12/31/23")/-12</t>
  </si>
  <si>
    <t>=NL("sum","Item Ledger Entry","Quantity","Item No.",$D85,"Entry Type","Sale|Consumption","posting date","01/01/23..12/31/23")/-12</t>
  </si>
  <si>
    <t>="04804"</t>
  </si>
  <si>
    <t>=NL("sum","Item Ledger Entry","Quantity","Item No.",$D86,"Entry Type","Sale|Consumption","posting date","01/01/23..12/31/23")/-12</t>
  </si>
  <si>
    <t>=NL("sum","Item Ledger Entry","Quantity","Item No.",$D87,"Entry Type","Sale|Consumption","posting date","01/01/19..12/31/19")/-12</t>
  </si>
  <si>
    <t>=NL("sum","Item Ledger Entry","Quantity","Item No.",$D87,"Entry Type","Sale|Consumption","posting date","01/01/20..12/31/20")/-12</t>
  </si>
  <si>
    <t>=NL("sum","Item Ledger Entry","Quantity","Item No.",$D87,"Entry Type","Sale|Consumption","posting date","01/01/21..12/31/21")/-12</t>
  </si>
  <si>
    <t>=NL("sum","Item Ledger Entry","Quantity","Item No.",$D87,"Entry Type","Sale|Consumption","posting date","01/01/22..12/31/22")/-12</t>
  </si>
  <si>
    <t>=NL("sum","Item Ledger Entry","Quantity","Item No.",$D87,"Entry Type","Sale|Consumption","posting date","01/01/23..12/31/23")/-12</t>
  </si>
  <si>
    <t>=NL("sum","Item Ledger Entry","Quantity","Item No.",$D88,"Entry Type","Sale|Consumption","posting date","01/01/23..12/31/23")/-12</t>
  </si>
  <si>
    <t>=NL("sum","Item Ledger Entry","Quantity","Item No.",$D89,"Entry Type","Sale|Consumption","posting date","01/01/23..12/31/23")/-12</t>
  </si>
  <si>
    <t>=NL("sum","Item Ledger Entry","Quantity","Item No.",$D90,"Entry Type","Sale|Consumption","posting date","01/01/23..12/31/23")/-12</t>
  </si>
  <si>
    <t>=NL("sum","Item Ledger Entry","Quantity","Item No.",$D91,"Entry Type","Sale|Consumption","posting date","01/01/23..12/31/23")/-12</t>
  </si>
  <si>
    <t>=NL("sum","Item Ledger Entry","Quantity","Item No.",$D92,"Entry Type","Sale|Consumption","posting date","01/01/23..12/31/23")/-12</t>
  </si>
  <si>
    <t>=NL("sum","Item Ledger Entry","Quantity","Item No.",$D93,"Entry Type","Sale|Consumption","posting date","01/01/23..12/31/23")/-12</t>
  </si>
  <si>
    <t>=NL("sum","Item Ledger Entry","Quantity","Item No.",$D94,"Entry Type","Sale|Consumption","posting date","01/01/19..12/31/19")/-12</t>
  </si>
  <si>
    <t>=NL("sum","Item Ledger Entry","Quantity","Item No.",$D94,"Entry Type","Sale|Consumption","posting date","01/01/20..12/31/20")/-12</t>
  </si>
  <si>
    <t>=NL("sum","Item Ledger Entry","Quantity","Item No.",$D94,"Entry Type","Sale|Consumption","posting date","01/01/21..12/31/21")/-12</t>
  </si>
  <si>
    <t>=NL("sum","Item Ledger Entry","Quantity","Item No.",$D94,"Entry Type","Sale|Consumption","posting date","01/01/22..12/31/22")/-12</t>
  </si>
  <si>
    <t>=NL("sum","Item Ledger Entry","Quantity","Item No.",$D94,"Entry Type","Sale|Consumption","posting date","01/01/23..12/31/23")/-12</t>
  </si>
  <si>
    <t>=NL("sum","Item Ledger Entry","Quantity","Item No.",$D95,"Entry Type","Sale|Consumption","posting date","01/01/19..12/31/19")/-12</t>
  </si>
  <si>
    <t>=NL("sum","Item Ledger Entry","Quantity","Item No.",$D95,"Entry Type","Sale|Consumption","posting date","01/01/20..12/31/20")/-12</t>
  </si>
  <si>
    <t>=NL("sum","Item Ledger Entry","Quantity","Item No.",$D95,"Entry Type","Sale|Consumption","posting date","01/01/21..12/31/21")/-12</t>
  </si>
  <si>
    <t>=NL("sum","Item Ledger Entry","Quantity","Item No.",$D95,"Entry Type","Sale|Consumption","posting date","01/01/22..12/31/22")/-12</t>
  </si>
  <si>
    <t>=NL("sum","Item Ledger Entry","Quantity","Item No.",$D95,"Entry Type","Sale|Consumption","posting date","01/01/23..12/31/23")/-12</t>
  </si>
  <si>
    <t>=NL("sum","Item Ledger Entry","Quantity","Item No.",$D96,"Entry Type","Sale|Consumption","posting date","01/01/23..12/31/23")/-12</t>
  </si>
  <si>
    <t>=NL("sum","Item Ledger Entry","Quantity","Item No.",$D97,"Entry Type","Sale|Consumption","posting date","01/01/23..12/31/23")/-12</t>
  </si>
  <si>
    <t>=NL("sum","Item Ledger Entry","Quantity","Item No.",$D98,"Entry Type","Sale|Consumption","posting date","01/01/23..12/31/23")/-12</t>
  </si>
  <si>
    <t>=NL("sum","Item Ledger Entry","Quantity","Item No.",$D99,"Entry Type","Sale|Consumption","posting date","01/01/23..12/31/23")/-12</t>
  </si>
  <si>
    <t>=NL("sum","Item Ledger Entry","Quantity","Item No.",$D100,"Entry Type","Sale|Consumption","posting date","01/01/23..12/31/23")/-12</t>
  </si>
  <si>
    <t>=NL("sum","Item Ledger Entry","Quantity","Item No.",$D101,"Entry Type","Sale|Consumption","posting date","01/01/23..12/31/23")/-12</t>
  </si>
  <si>
    <t>=NL("sum","Item Ledger Entry","Quantity","Item No.",$D102,"Entry Type","Sale|Consumption","posting date","01/01/19..12/31/19")/-12</t>
  </si>
  <si>
    <t>=NL("sum","Item Ledger Entry","Quantity","Item No.",$D102,"Entry Type","Sale|Consumption","posting date","01/01/20..12/31/20")/-12</t>
  </si>
  <si>
    <t>=NL("sum","Item Ledger Entry","Quantity","Item No.",$D102,"Entry Type","Sale|Consumption","posting date","01/01/21..12/31/21")/-12</t>
  </si>
  <si>
    <t>=NL("sum","Item Ledger Entry","Quantity","Item No.",$D102,"Entry Type","Sale|Consumption","posting date","01/01/22..12/31/22")/-12</t>
  </si>
  <si>
    <t>=NL("sum","Item Ledger Entry","Quantity","Item No.",$D102,"Entry Type","Sale|Consumption","posting date","01/01/23..12/31/23")/-12</t>
  </si>
  <si>
    <t>=NL("sum","Item Ledger Entry","Quantity","Item No.",$D103,"Entry Type","Sale|Consumption","posting date","01/01/23..12/31/23")/-12</t>
  </si>
  <si>
    <t>=NL("sum","Item Ledger Entry","Quantity","Item No.",$D104,"Entry Type","Sale|Consumption","posting date","01/01/23..12/31/23")/-12</t>
  </si>
  <si>
    <t>=NL("sum","Item Ledger Entry","Quantity","Item No.",$D105,"Entry Type","Sale|Consumption","posting date","01/01/23..12/31/23")/-12</t>
  </si>
  <si>
    <t>=NL("sum","Item Ledger Entry","Quantity","Item No.",$D106,"Entry Type","Sale|Consumption","posting date","01/01/23..12/31/23")/-12</t>
  </si>
  <si>
    <t>=NL("sum","Item Ledger Entry","Quantity","Item No.",$D107,"Entry Type","Sale|Consumption","posting date","01/01/23..12/31/23")/-12</t>
  </si>
  <si>
    <t>=NL("sum","Item Ledger Entry","Quantity","Item No.",$D108,"Entry Type","Sale|Consumption","posting date","01/01/23..12/31/23")/-12</t>
  </si>
  <si>
    <t>=NL("sum","Item Ledger Entry","Quantity","Item No.",$D109,"Entry Type","Sale|Consumption","posting date","01/01/19..12/31/19")/-12</t>
  </si>
  <si>
    <t>=NL("sum","Item Ledger Entry","Quantity","Item No.",$D109,"Entry Type","Sale|Consumption","posting date","01/01/20..12/31/20")/-12</t>
  </si>
  <si>
    <t>=NL("sum","Item Ledger Entry","Quantity","Item No.",$D109,"Entry Type","Sale|Consumption","posting date","01/01/21..12/31/21")/-12</t>
  </si>
  <si>
    <t>=NL("sum","Item Ledger Entry","Quantity","Item No.",$D109,"Entry Type","Sale|Consumption","posting date","01/01/22..12/31/22")/-12</t>
  </si>
  <si>
    <t>=NL("sum","Item Ledger Entry","Quantity","Item No.",$D109,"Entry Type","Sale|Consumption","posting date","01/01/23..12/31/23")/-12</t>
  </si>
  <si>
    <t>=NL("sum","Item Ledger Entry","Quantity","Item No.",$D110,"Entry Type","Sale|Consumption","posting date","01/01/23..12/31/23")/-12</t>
  </si>
  <si>
    <t>=NL("sum","Item Ledger Entry","Quantity","Item No.",$D111,"Entry Type","Sale|Consumption","posting date","01/01/23..12/31/23")/-12</t>
  </si>
  <si>
    <t>=NL("sum","Item Ledger Entry","Quantity","Item No.",$D112,"Entry Type","Sale|Consumption","posting date","01/01/23..12/31/23")/-12</t>
  </si>
  <si>
    <t>=NL("sum","Item Ledger Entry","Quantity","Item No.",$D113,"Entry Type","Sale|Consumption","posting date","01/01/23..12/31/23")/-12</t>
  </si>
  <si>
    <t>=NL("sum","Item Ledger Entry","Quantity","Item No.",$D114,"Entry Type","Sale|Consumption","posting date","01/01/23..12/31/23")/-12</t>
  </si>
  <si>
    <t>=NL("sum","Item Ledger Entry","Quantity","Item No.",$D115,"Entry Type","Sale|Consumption","posting date","01/01/23..12/31/23")/-12</t>
  </si>
  <si>
    <t>=NL("sum","Item Ledger Entry","Quantity","Item No.",$D116,"Entry Type","Sale|Consumption","posting date","01/01/19..12/31/19")/-12</t>
  </si>
  <si>
    <t>=NL("sum","Item Ledger Entry","Quantity","Item No.",$D116,"Entry Type","Sale|Consumption","posting date","01/01/20..12/31/20")/-12</t>
  </si>
  <si>
    <t>=NL("sum","Item Ledger Entry","Quantity","Item No.",$D116,"Entry Type","Sale|Consumption","posting date","01/01/21..12/31/21")/-12</t>
  </si>
  <si>
    <t>=NL("sum","Item Ledger Entry","Quantity","Item No.",$D116,"Entry Type","Sale|Consumption","posting date","01/01/22..12/31/22")/-12</t>
  </si>
  <si>
    <t>=NL("sum","Item Ledger Entry","Quantity","Item No.",$D116,"Entry Type","Sale|Consumption","posting date","01/01/23..12/31/23")/-12</t>
  </si>
  <si>
    <t>=NL("sum","Item Ledger Entry","Quantity","Item No.",$D117,"Entry Type","Sale|Consumption","posting date","01/01/23..12/31/23")/-12</t>
  </si>
  <si>
    <t>=NL("sum","Item Ledger Entry","Quantity","Item No.",$D118,"Entry Type","Sale|Consumption","posting date","01/01/23..12/31/23")/-12</t>
  </si>
  <si>
    <t>=NL("sum","Item Ledger Entry","Quantity","Item No.",$D119,"Entry Type","Sale|Consumption","posting date","01/01/23..12/31/23")/-12</t>
  </si>
  <si>
    <t>=NL("sum","Item Ledger Entry","Quantity","Item No.",$D120,"Entry Type","Sale|Consumption","posting date","01/01/23..12/31/23")/-12</t>
  </si>
  <si>
    <t>=NL("sum","Item Ledger Entry","Quantity","Item No.",$D121,"Entry Type","Sale|Consumption","posting date","01/01/23..12/31/23")/-12</t>
  </si>
  <si>
    <t>=NL("sum","Item Ledger Entry","Quantity","Item No.",$D122,"Entry Type","Sale|Consumption","posting date","01/01/23..12/31/23")/-12</t>
  </si>
  <si>
    <t>=NL("sum","Item Ledger Entry","Quantity","Item No.",$D123,"Entry Type","Sale|Consumption","posting date","01/01/19..12/31/19")/-12</t>
  </si>
  <si>
    <t>=NL("sum","Item Ledger Entry","Quantity","Item No.",$D123,"Entry Type","Sale|Consumption","posting date","01/01/20..12/31/20")/-12</t>
  </si>
  <si>
    <t>=NL("sum","Item Ledger Entry","Quantity","Item No.",$D123,"Entry Type","Sale|Consumption","posting date","01/01/21..12/31/21")/-12</t>
  </si>
  <si>
    <t>=NL("sum","Item Ledger Entry","Quantity","Item No.",$D123,"Entry Type","Sale|Consumption","posting date","01/01/22..12/31/22")/-12</t>
  </si>
  <si>
    <t>=NL("sum","Item Ledger Entry","Quantity","Item No.",$D123,"Entry Type","Sale|Consumption","posting date","01/01/23..12/31/23")/-12</t>
  </si>
  <si>
    <t>=NL("sum","Item Ledger Entry","Quantity","Item No.",$D124,"Entry Type","Sale|Consumption","posting date","01/01/23..12/31/23")/-12</t>
  </si>
  <si>
    <t>=NL("sum","Item Ledger Entry","Quantity","Item No.",$D125,"Entry Type","Sale|Consumption","posting date","01/01/23..12/31/23")/-12</t>
  </si>
  <si>
    <t>=NL("sum","Item Ledger Entry","Quantity","Item No.",$D126,"Entry Type","Sale|Consumption","posting date","01/01/23..12/31/23")/-12</t>
  </si>
  <si>
    <t>=NL("sum","Item Ledger Entry","Quantity","Item No.",$D127,"Entry Type","Sale|Consumption","posting date","01/01/23..12/31/23")/-12</t>
  </si>
  <si>
    <t>=NL("sum","Item Ledger Entry","Quantity","Item No.",$D128,"Entry Type","Sale|Consumption","posting date","01/01/23..12/31/23")/-12</t>
  </si>
  <si>
    <t>=NL("sum","Item Ledger Entry","Quantity","Item No.",$D129,"Entry Type","Sale|Consumption","posting date","01/01/23..12/31/23")/-12</t>
  </si>
  <si>
    <t>=NL("sum","Item Ledger Entry","Quantity","Item No.",$D130,"Entry Type","Sale|Consumption","posting date","01/01/19..12/31/19")/-12</t>
  </si>
  <si>
    <t>=NL("sum","Item Ledger Entry","Quantity","Item No.",$D130,"Entry Type","Sale|Consumption","posting date","01/01/20..12/31/20")/-12</t>
  </si>
  <si>
    <t>=NL("sum","Item Ledger Entry","Quantity","Item No.",$D130,"Entry Type","Sale|Consumption","posting date","01/01/21..12/31/21")/-12</t>
  </si>
  <si>
    <t>=NL("sum","Item Ledger Entry","Quantity","Item No.",$D130,"Entry Type","Sale|Consumption","posting date","01/01/22..12/31/22")/-12</t>
  </si>
  <si>
    <t>=NL("sum","Item Ledger Entry","Quantity","Item No.",$D130,"Entry Type","Sale|Consumption","posting date","01/01/23..12/31/23")/-12</t>
  </si>
  <si>
    <t>=NL("sum","Item Ledger Entry","Quantity","Item No.",$D131,"Entry Type","Sale|Consumption","posting date","01/01/23..12/31/23")/-12</t>
  </si>
  <si>
    <t>=NL("sum","Item Ledger Entry","Quantity","Item No.",$D132,"Entry Type","Sale|Consumption","posting date","01/01/23..12/31/23")/-12</t>
  </si>
  <si>
    <t>=NL("sum","Item Ledger Entry","Quantity","Item No.",$D133,"Entry Type","Sale|Consumption","posting date","01/01/23..12/31/23")/-12</t>
  </si>
  <si>
    <t>=NL("sum","Item Ledger Entry","Quantity","Item No.",$D134,"Entry Type","Sale|Consumption","posting date","01/01/23..12/31/23")/-12</t>
  </si>
  <si>
    <t>=NL("sum","Item Ledger Entry","Quantity","Item No.",$D135,"Entry Type","Sale|Consumption","posting date","01/01/23..12/31/23")/-12</t>
  </si>
  <si>
    <t>=NL("sum","Item Ledger Entry","Quantity","Item No.",$D136,"Entry Type","Sale|Consumption","posting date","01/01/23..12/31/23")/-12</t>
  </si>
  <si>
    <t>=NL("sum","Item Ledger Entry","Quantity","Item No.",$D137,"Entry Type","Sale|Consumption","posting date","01/01/19..12/31/19")/-12</t>
  </si>
  <si>
    <t>=NL("sum","Item Ledger Entry","Quantity","Item No.",$D137,"Entry Type","Sale|Consumption","posting date","01/01/20..12/31/20")/-12</t>
  </si>
  <si>
    <t>=NL("sum","Item Ledger Entry","Quantity","Item No.",$D137,"Entry Type","Sale|Consumption","posting date","01/01/21..12/31/21")/-12</t>
  </si>
  <si>
    <t>=NL("sum","Item Ledger Entry","Quantity","Item No.",$D137,"Entry Type","Sale|Consumption","posting date","01/01/22..12/31/22")/-12</t>
  </si>
  <si>
    <t>=NL("sum","Item Ledger Entry","Quantity","Item No.",$D137,"Entry Type","Sale|Consumption","posting date","01/01/23..12/31/23")/-12</t>
  </si>
  <si>
    <t>=NL("sum","Item Ledger Entry","Quantity","Item No.",$D138,"Entry Type","Sale|Consumption","posting date","01/01/23..12/31/23")/-12</t>
  </si>
  <si>
    <t>=NL("sum","Item Ledger Entry","Quantity","Item No.",$D139,"Entry Type","Sale|Consumption","posting date","01/01/23..12/31/23")/-12</t>
  </si>
  <si>
    <t>=NL("sum","Item Ledger Entry","Quantity","Item No.",$D140,"Entry Type","Sale|Consumption","posting date","01/01/23..12/31/23")/-12</t>
  </si>
  <si>
    <t>=NL("sum","Item Ledger Entry","Quantity","Item No.",$D141,"Entry Type","Sale|Consumption","posting date","01/01/23..12/31/23")/-12</t>
  </si>
  <si>
    <t>=NL("sum","Item Ledger Entry","Quantity","Item No.",$D142,"Entry Type","Sale|Consumption","posting date","01/01/23..12/31/23")/-12</t>
  </si>
  <si>
    <t>=NL("sum","Item Ledger Entry","Quantity","Item No.",$D143,"Entry Type","Sale|Consumption","posting date","01/01/23..12/31/23")/-12</t>
  </si>
  <si>
    <t>=NL("sum","Item Ledger Entry","Quantity","Item No.",$D144,"Entry Type","Sale|Consumption","posting date","01/01/19..12/31/19")/-12</t>
  </si>
  <si>
    <t>=NL("sum","Item Ledger Entry","Quantity","Item No.",$D144,"Entry Type","Sale|Consumption","posting date","01/01/20..12/31/20")/-12</t>
  </si>
  <si>
    <t>=NL("sum","Item Ledger Entry","Quantity","Item No.",$D144,"Entry Type","Sale|Consumption","posting date","01/01/21..12/31/21")/-12</t>
  </si>
  <si>
    <t>=NL("sum","Item Ledger Entry","Quantity","Item No.",$D144,"Entry Type","Sale|Consumption","posting date","01/01/22..12/31/22")/-12</t>
  </si>
  <si>
    <t>=NL("sum","Item Ledger Entry","Quantity","Item No.",$D144,"Entry Type","Sale|Consumption","posting date","01/01/23..12/31/23")/-12</t>
  </si>
  <si>
    <t>=NL("sum","Item Ledger Entry","Quantity","Item No.",$D145,"Entry Type","Sale|Consumption","posting date","01/01/23..12/31/23")/-12</t>
  </si>
  <si>
    <t>=NL("sum","Item Ledger Entry","Quantity","Item No.",$D146,"Entry Type","Sale|Consumption","posting date","01/01/23..12/31/23")/-12</t>
  </si>
  <si>
    <t>=NL("sum","Item Ledger Entry","Quantity","Item No.",$D147,"Entry Type","Sale|Consumption","posting date","01/01/23..12/31/23")/-12</t>
  </si>
  <si>
    <t>=NL("sum","Item Ledger Entry","Quantity","Item No.",$D148,"Entry Type","Sale|Consumption","posting date","01/01/23..12/31/23")/-12</t>
  </si>
  <si>
    <t>=NL("sum","Item Ledger Entry","Quantity","Item No.",$D149,"Entry Type","Sale|Consumption","posting date","01/01/23..12/31/23")/-12</t>
  </si>
  <si>
    <t>=NL("sum","Item Ledger Entry","Quantity","Item No.",$D150,"Entry Type","Sale|Consumption","posting date","01/01/23..12/31/23")/-12</t>
  </si>
  <si>
    <t>=NL("sum","Item Ledger Entry","Quantity","Item No.",$D151,"Entry Type","Sale|Consumption","posting date","01/01/19..12/31/19")/-12</t>
  </si>
  <si>
    <t>=NL("sum","Item Ledger Entry","Quantity","Item No.",$D151,"Entry Type","Sale|Consumption","posting date","01/01/20..12/31/20")/-12</t>
  </si>
  <si>
    <t>=NL("sum","Item Ledger Entry","Quantity","Item No.",$D151,"Entry Type","Sale|Consumption","posting date","01/01/21..12/31/21")/-12</t>
  </si>
  <si>
    <t>=NL("sum","Item Ledger Entry","Quantity","Item No.",$D151,"Entry Type","Sale|Consumption","posting date","01/01/22..12/31/22")/-12</t>
  </si>
  <si>
    <t>=NL("sum","Item Ledger Entry","Quantity","Item No.",$D151,"Entry Type","Sale|Consumption","posting date","01/01/23..12/31/23")/-12</t>
  </si>
  <si>
    <t>=NL("sum","Item Ledger Entry","Quantity","Item No.",$D152,"Entry Type","Sale|Consumption","posting date","01/01/23..12/31/23")/-12</t>
  </si>
  <si>
    <t>=NL("sum","Item Ledger Entry","Quantity","Item No.",$D153,"Entry Type","Sale|Consumption","posting date","01/01/23..12/31/23")/-12</t>
  </si>
  <si>
    <t>=NL("sum","Item Ledger Entry","Quantity","Item No.",$D154,"Entry Type","Sale|Consumption","posting date","01/01/23..12/31/23")/-12</t>
  </si>
  <si>
    <t>=NL("sum","Item Ledger Entry","Quantity","Item No.",$D155,"Entry Type","Sale|Consumption","posting date","01/01/23..12/31/23")/-12</t>
  </si>
  <si>
    <t>=NL("sum","Item Ledger Entry","Quantity","Item No.",$D156,"Entry Type","Sale|Consumption","posting date","01/01/23..12/31/23")/-12</t>
  </si>
  <si>
    <t>=NL("sum","Item Ledger Entry","Quantity","Item No.",$D157,"Entry Type","Sale|Consumption","posting date","01/01/23..12/31/23")/-12</t>
  </si>
  <si>
    <t>=NL("sum","Item Ledger Entry","Quantity","Item No.",$D158,"Entry Type","Sale|Consumption","posting date","01/01/19..12/31/19")/-12</t>
  </si>
  <si>
    <t>=NL("sum","Item Ledger Entry","Quantity","Item No.",$D158,"Entry Type","Sale|Consumption","posting date","01/01/20..12/31/20")/-12</t>
  </si>
  <si>
    <t>=NL("sum","Item Ledger Entry","Quantity","Item No.",$D158,"Entry Type","Sale|Consumption","posting date","01/01/21..12/31/21")/-12</t>
  </si>
  <si>
    <t>=NL("sum","Item Ledger Entry","Quantity","Item No.",$D158,"Entry Type","Sale|Consumption","posting date","01/01/22..12/31/22")/-12</t>
  </si>
  <si>
    <t>=NL("sum","Item Ledger Entry","Quantity","Item No.",$D158,"Entry Type","Sale|Consumption","posting date","01/01/23..12/31/23")/-12</t>
  </si>
  <si>
    <t>=NL("sum","Item Ledger Entry","Quantity","Item No.",$D159,"Entry Type","Sale|Consumption","posting date","01/01/23..12/31/23")/-12</t>
  </si>
  <si>
    <t>=NL("sum","Item Ledger Entry","Quantity","Item No.",$D160,"Entry Type","Sale|Consumption","posting date","01/01/23..12/31/23")/-12</t>
  </si>
  <si>
    <t>=NL("sum","Item Ledger Entry","Quantity","Item No.",$D161,"Entry Type","Sale|Consumption","posting date","01/01/23..12/31/23")/-12</t>
  </si>
  <si>
    <t>=NL("sum","Item Ledger Entry","Quantity","Item No.",$D162,"Entry Type","Sale|Consumption","posting date","01/01/23..12/31/23")/-12</t>
  </si>
  <si>
    <t>=NL("sum","Item Ledger Entry","Quantity","Item No.",$D163,"Entry Type","Sale|Consumption","posting date","01/01/23..12/31/23")/-12</t>
  </si>
  <si>
    <t>=NL("sum","Item Ledger Entry","Quantity","Item No.",$D164,"Entry Type","Sale|Consumption","posting date","01/01/23..12/31/23")/-12</t>
  </si>
  <si>
    <t>=NL("sum","Item Ledger Entry","Quantity","Item No.",$D165,"Entry Type","Sale|Consumption","posting date","01/01/19..12/31/19")/-12</t>
  </si>
  <si>
    <t>=NL("sum","Item Ledger Entry","Quantity","Item No.",$D165,"Entry Type","Sale|Consumption","posting date","01/01/20..12/31/20")/-12</t>
  </si>
  <si>
    <t>=NL("sum","Item Ledger Entry","Quantity","Item No.",$D165,"Entry Type","Sale|Consumption","posting date","01/01/21..12/31/21")/-12</t>
  </si>
  <si>
    <t>=NL("sum","Item Ledger Entry","Quantity","Item No.",$D165,"Entry Type","Sale|Consumption","posting date","01/01/22..12/31/22")/-12</t>
  </si>
  <si>
    <t>=NL("sum","Item Ledger Entry","Quantity","Item No.",$D165,"Entry Type","Sale|Consumption","posting date","01/01/23..12/31/23")/-12</t>
  </si>
  <si>
    <t>=NL("sum","Item Ledger Entry","Quantity","Item No.",$D166,"Entry Type","Sale|Consumption","posting date","01/01/23..12/31/23")/-12</t>
  </si>
  <si>
    <t>=NL("sum","Item Ledger Entry","Quantity","Item No.",$D167,"Entry Type","Sale|Consumption","posting date","01/01/23..12/31/23")/-12</t>
  </si>
  <si>
    <t>=NL("sum","Item Ledger Entry","Quantity","Item No.",$D168,"Entry Type","Sale|Consumption","posting date","01/01/23..12/31/23")/-12</t>
  </si>
  <si>
    <t>=NL("sum","Item Ledger Entry","Quantity","Item No.",$D169,"Entry Type","Sale|Consumption","posting date","01/01/23..12/31/23")/-12</t>
  </si>
  <si>
    <t>=NL("sum","Item Ledger Entry","Quantity","Item No.",$D170,"Entry Type","Sale|Consumption","posting date","01/01/23..12/31/23")/-12</t>
  </si>
  <si>
    <t>=NL("sum","Item Ledger Entry","Quantity","Item No.",$D171,"Entry Type","Sale|Consumption","posting date","01/01/23..12/31/23")/-12</t>
  </si>
  <si>
    <t>=NL("sum","Item Ledger Entry","Quantity","Item No.",$D172,"Entry Type","Sale|Consumption","posting date","01/01/19..12/31/19")/-12</t>
  </si>
  <si>
    <t>=NL("sum","Item Ledger Entry","Quantity","Item No.",$D172,"Entry Type","Sale|Consumption","posting date","01/01/20..12/31/20")/-12</t>
  </si>
  <si>
    <t>=NL("sum","Item Ledger Entry","Quantity","Item No.",$D172,"Entry Type","Sale|Consumption","posting date","01/01/21..12/31/21")/-12</t>
  </si>
  <si>
    <t>=NL("sum","Item Ledger Entry","Quantity","Item No.",$D172,"Entry Type","Sale|Consumption","posting date","01/01/22..12/31/22")/-12</t>
  </si>
  <si>
    <t>=NL("sum","Item Ledger Entry","Quantity","Item No.",$D172,"Entry Type","Sale|Consumption","posting date","01/01/23..12/31/23")/-12</t>
  </si>
  <si>
    <t>=NL("sum","Item Ledger Entry","Quantity","Item No.",$D173,"Entry Type","Sale|Consumption","posting date","01/01/23..12/31/23")/-12</t>
  </si>
  <si>
    <t>=NL("sum","Item Ledger Entry","Quantity","Item No.",$D174,"Entry Type","Sale|Consumption","posting date","01/01/23..12/31/23")/-12</t>
  </si>
  <si>
    <t>=NL("sum","Item Ledger Entry","Quantity","Item No.",$D175,"Entry Type","Sale|Consumption","posting date","01/01/23..12/31/23")/-12</t>
  </si>
  <si>
    <t>=NL("sum","Item Ledger Entry","Quantity","Item No.",$D176,"Entry Type","Sale|Consumption","posting date","01/01/23..12/31/23")/-12</t>
  </si>
  <si>
    <t>=NL("sum","Item Ledger Entry","Quantity","Item No.",$D177,"Entry Type","Sale|Consumption","posting date","01/01/23..12/31/23")/-12</t>
  </si>
  <si>
    <t>=NL("sum","Item Ledger Entry","Quantity","Item No.",$D178,"Entry Type","Sale|Consumption","posting date","01/01/23..12/31/23")/-12</t>
  </si>
  <si>
    <t>=NL("sum","Item Ledger Entry","Quantity","Item No.",$D179,"Entry Type","Sale|Consumption","posting date","01/01/19..12/31/19")/-12</t>
  </si>
  <si>
    <t>=NL("sum","Item Ledger Entry","Quantity","Item No.",$D179,"Entry Type","Sale|Consumption","posting date","01/01/20..12/31/20")/-12</t>
  </si>
  <si>
    <t>=NL("sum","Item Ledger Entry","Quantity","Item No.",$D179,"Entry Type","Sale|Consumption","posting date","01/01/21..12/31/21")/-12</t>
  </si>
  <si>
    <t>=NL("sum","Item Ledger Entry","Quantity","Item No.",$D179,"Entry Type","Sale|Consumption","posting date","01/01/22..12/31/22")/-12</t>
  </si>
  <si>
    <t>=NL("sum","Item Ledger Entry","Quantity","Item No.",$D179,"Entry Type","Sale|Consumption","posting date","01/01/23..12/31/23")/-12</t>
  </si>
  <si>
    <t>=NL("sum","Item Ledger Entry","Quantity","Item No.",$D180,"Entry Type","Sale|Consumption","posting date","01/01/23..12/31/23")/-12</t>
  </si>
  <si>
    <t>=NL("sum","Item Ledger Entry","Quantity","Item No.",$D181,"Entry Type","Sale|Consumption","posting date","01/01/23..12/31/23")/-12</t>
  </si>
  <si>
    <t>=NL("sum","Item Ledger Entry","Quantity","Item No.",$D182,"Entry Type","Sale|Consumption","posting date","01/01/23..12/31/23")/-12</t>
  </si>
  <si>
    <t>=NL("sum","Item Ledger Entry","Quantity","Item No.",$D183,"Entry Type","Sale|Consumption","posting date","01/01/23..12/31/23")/-12</t>
  </si>
  <si>
    <t>=NL("sum","Item Ledger Entry","Quantity","Item No.",$D184,"Entry Type","Sale|Consumption","posting date","01/01/23..12/31/23")/-12</t>
  </si>
  <si>
    <t>=NL("sum","Item Ledger Entry","Quantity","Item No.",$D185,"Entry Type","Sale|Consumption","posting date","01/01/23..12/31/23")/-12</t>
  </si>
  <si>
    <t>=NL("sum","Item Ledger Entry","Quantity","Item No.",$D186,"Entry Type","Sale|Consumption","posting date","01/01/19..12/31/19")/-12</t>
  </si>
  <si>
    <t>=NL("sum","Item Ledger Entry","Quantity","Item No.",$D186,"Entry Type","Sale|Consumption","posting date","01/01/20..12/31/20")/-12</t>
  </si>
  <si>
    <t>=NL("sum","Item Ledger Entry","Quantity","Item No.",$D186,"Entry Type","Sale|Consumption","posting date","01/01/21..12/31/21")/-12</t>
  </si>
  <si>
    <t>=NL("sum","Item Ledger Entry","Quantity","Item No.",$D186,"Entry Type","Sale|Consumption","posting date","01/01/22..12/31/22")/-12</t>
  </si>
  <si>
    <t>=NL("sum","Item Ledger Entry","Quantity","Item No.",$D186,"Entry Type","Sale|Consumption","posting date","01/01/23..12/31/23")/-12</t>
  </si>
  <si>
    <t>=NL("sum","Item Ledger Entry","Quantity","Item No.",$D187,"Entry Type","Sale|Consumption","posting date","01/01/23..12/31/23")/-12</t>
  </si>
  <si>
    <t>=NL("sum","Item Ledger Entry","Quantity","Item No.",$D188,"Entry Type","Sale|Consumption","posting date","01/01/23..12/31/23")/-12</t>
  </si>
  <si>
    <t>=NL("sum","Item Ledger Entry","Quantity","Item No.",$D189,"Entry Type","Sale|Consumption","posting date","01/01/23..12/31/23")/-12</t>
  </si>
  <si>
    <t>=NL("sum","Item Ledger Entry","Quantity","Item No.",$D190,"Entry Type","Sale|Consumption","posting date","01/01/23..12/31/23")/-12</t>
  </si>
  <si>
    <t>=NL("sum","Item Ledger Entry","Quantity","Item No.",$D191,"Entry Type","Sale|Consumption","posting date","01/01/23..12/31/23")/-12</t>
  </si>
  <si>
    <t>="27205"</t>
  </si>
  <si>
    <t>="27305"</t>
  </si>
  <si>
    <t>="27905"</t>
  </si>
  <si>
    <t>="13"</t>
  </si>
  <si>
    <t>="7"</t>
  </si>
  <si>
    <t>="57961"</t>
  </si>
  <si>
    <t>="57970"</t>
  </si>
  <si>
    <t>="MTCHCH260"</t>
  </si>
  <si>
    <t>="WMCHCH248"</t>
  </si>
  <si>
    <t>="WMDC248"</t>
  </si>
  <si>
    <t>="01064"</t>
  </si>
  <si>
    <t>="01065"</t>
  </si>
  <si>
    <t>="01067"</t>
  </si>
  <si>
    <t>="01164"</t>
  </si>
  <si>
    <t>="01165"</t>
  </si>
  <si>
    <t>="01167"</t>
  </si>
  <si>
    <t>="61103"</t>
  </si>
  <si>
    <t>="61114"</t>
  </si>
  <si>
    <t>="61152"</t>
  </si>
  <si>
    <t>="61153"</t>
  </si>
  <si>
    <t>="61949"</t>
  </si>
  <si>
    <t>="12228"</t>
  </si>
  <si>
    <t>="12230"</t>
  </si>
  <si>
    <t>="12530"</t>
  </si>
  <si>
    <t>="13228"</t>
  </si>
  <si>
    <t>="13258"</t>
  </si>
  <si>
    <t>="SBGS248"</t>
  </si>
  <si>
    <t>EQUIPMENTS by FG Pkg BOM Listing -w Cycle Times per CASE</t>
  </si>
  <si>
    <t>&lt;&gt;EQP-3PACK&amp;&lt;&gt;EQP-RHEON-PACK&amp;&lt;&gt;MEAL-KIT LINE</t>
  </si>
  <si>
    <t>01-01-2019..12-31-2019</t>
  </si>
  <si>
    <t>=D10</t>
  </si>
  <si>
    <t>=NL("Rows","Resource","No.","No.",eqp_code,"location code",location_code,"Capacity UOM","CASE")</t>
  </si>
  <si>
    <t>=B11</t>
  </si>
  <si>
    <t>=B12</t>
  </si>
  <si>
    <t>=SUM(F11:F12)</t>
  </si>
  <si>
    <t>=SUM(G11:G12)</t>
  </si>
  <si>
    <t>=SUM(H11:H12)</t>
  </si>
  <si>
    <t>=SUM(I11:I12)</t>
  </si>
  <si>
    <t>=SUM(J11:J12)</t>
  </si>
  <si>
    <t>Auto+Hide</t>
  </si>
  <si>
    <t>=D11</t>
  </si>
  <si>
    <t>01-01-2023..12-31-2023</t>
  </si>
  <si>
    <t>01-01-2022..12-31-2022</t>
  </si>
  <si>
    <t>01-01-2021..12-31-2021</t>
  </si>
  <si>
    <t>01-01-2020..12-31-2020</t>
  </si>
  <si>
    <t>YTD Months</t>
  </si>
  <si>
    <t>=NL("sum","Item Ledger Entry","Quantity","Item No.",$D10,"Entry Type","Sale|Consumption","posting date","01/01/23..12/31/23")/$J$7</t>
  </si>
  <si>
    <t>Summary_Items</t>
  </si>
  <si>
    <t>hide+Auto</t>
  </si>
  <si>
    <t>=B18</t>
  </si>
  <si>
    <t>=D20</t>
  </si>
  <si>
    <t>=D26</t>
  </si>
  <si>
    <t>=B36</t>
  </si>
  <si>
    <t>=B43</t>
  </si>
  <si>
    <t>=D45</t>
  </si>
  <si>
    <t>=B53</t>
  </si>
  <si>
    <t>=D60</t>
  </si>
  <si>
    <t>=D61</t>
  </si>
  <si>
    <t>=D66</t>
  </si>
  <si>
    <t>=B71</t>
  </si>
  <si>
    <t>Items</t>
  </si>
  <si>
    <t>=Summary_Items</t>
  </si>
  <si>
    <t>=NL("rows=4","Prod. BOM Equipment","Production Bom No.","Resource No.",eqp_code,"Unit of Measure","CASE","Production Bom No.",Summary_Items)</t>
  </si>
  <si>
    <t>=D25</t>
  </si>
  <si>
    <t>=D31</t>
  </si>
  <si>
    <t>=D40</t>
  </si>
  <si>
    <t>=D41</t>
  </si>
  <si>
    <t>=NL("sum","Item Ledger Entry","Quantity","Item No.",$D45,"Entry Type","Sale|Consumption","posting date","01/01/23..12/31/23")/$J$7</t>
  </si>
  <si>
    <t>=B46</t>
  </si>
  <si>
    <t>=D46</t>
  </si>
  <si>
    <t>=D55</t>
  </si>
  <si>
    <t>Avg last 2 years</t>
  </si>
  <si>
    <t>=NL("1","Resource","Capacity UOM","No.",$L$11)</t>
  </si>
  <si>
    <t>=NL("1","Resource","Equipment Capacity","No.",$L$11)</t>
  </si>
  <si>
    <t>=$L$11</t>
  </si>
  <si>
    <t>=IF(K10=0,"hide","")</t>
  </si>
  <si>
    <t>=AVERAGE(I10:J10)</t>
  </si>
  <si>
    <t>=NL(1,"item",L$9,"no.",D10)</t>
  </si>
  <si>
    <t>=NL(1,"item",M$9,"no.",$D10)</t>
  </si>
  <si>
    <t>=NL(1,"Prod. BOM Equipment","Fixed Prod. Time (Hours)","Production BOM No.",$D10,"version code",$E10,"Resource No.",O$9)</t>
  </si>
  <si>
    <t>=1/O10</t>
  </si>
  <si>
    <t>=IF(NL(1,"Prod. BOM Equipment","Variable Prod. Time (Hours)","Production BOM No.",$D10,"version code",$E10,"Resource No.",$O$9)="",1,NL(1,"Prod. BOM Equipment","Variable Prod. Time (Hours)","Production BOM No.",$D10,"version code",$E10,"Resource No.",$O$9))</t>
  </si>
  <si>
    <t>=1/Q10</t>
  </si>
  <si>
    <t>=R10*N10</t>
  </si>
  <si>
    <t>=IF(K11=0,"hide","")</t>
  </si>
  <si>
    <t>=NL("sum","Production Order","Quantity","Source No.",$D11,"Equipment Code",$L11,"due date",F$8)/-12</t>
  </si>
  <si>
    <t>=NL("sum","Production Order","Quantity","Source No.",$D11,"Equipment Code",$L11,"due date",G$8)/-12</t>
  </si>
  <si>
    <t>=NL("sum","Production Order","Quantity","Source No.",$D11,"Equipment Code",$L11,"due date",H$8)/-12</t>
  </si>
  <si>
    <t>=NL("sum","Production Order","Quantity","Source No.",$D11,"Equipment Code",$L11,"due date",I$8)/-12</t>
  </si>
  <si>
    <t>=NL("sum","Production Order","Quantity","Source No.",$D11,"Equipment Code",$L11,"due date",J$8)/$J$7</t>
  </si>
  <si>
    <t>=AVERAGE(I11:J11)</t>
  </si>
  <si>
    <t>=IF(K12=0,"hide","")</t>
  </si>
  <si>
    <t>=NL("sum","Production Order","Quantity","Source No.",$D12,"Equipment Code",$L12,"due date",F$8)/-12</t>
  </si>
  <si>
    <t>=NL("sum","Production Order","Quantity","Source No.",$D12,"Equipment Code",$L12,"due date",G$8)/-12</t>
  </si>
  <si>
    <t>=NL("sum","Production Order","Quantity","Source No.",$D12,"Equipment Code",$L12,"due date",H$8)/-12</t>
  </si>
  <si>
    <t>=NL("sum","Production Order","Quantity","Source No.",$D12,"Equipment Code",$L12,"due date",I$8)/-12</t>
  </si>
  <si>
    <t>=NL("sum","Production Order","Quantity","Source No.",$D12,"Equipment Code",$L12,"due date",J$8)/$J$7</t>
  </si>
  <si>
    <t>=AVERAGE(I12:J12)</t>
  </si>
  <si>
    <t>=IF(K17=0,"hide","")</t>
  </si>
  <si>
    <t>=AVERAGE(I17:J17)</t>
  </si>
  <si>
    <t>=IF(K20=0,"hide","")</t>
  </si>
  <si>
    <t>=AVERAGE(I20:J20)</t>
  </si>
  <si>
    <t>=IF(K21=0,"hide","")</t>
  </si>
  <si>
    <t>=NL("sum","Production Order","Quantity","Source No.",$D21,"Equipment Code",$L21,"due date",F$8)/-12</t>
  </si>
  <si>
    <t>=NL("sum","Production Order","Quantity","Source No.",$D21,"Equipment Code",$L21,"due date",G$8)/-12</t>
  </si>
  <si>
    <t>=NL("sum","Production Order","Quantity","Source No.",$D21,"Equipment Code",$L21,"due date",H$8)/-12</t>
  </si>
  <si>
    <t>=NL("sum","Production Order","Quantity","Source No.",$D21,"Equipment Code",$L21,"due date",I$8)/-12</t>
  </si>
  <si>
    <t>=NL("sum","Production Order","Quantity","Source No.",$D21,"Equipment Code",$L21,"due date",J$8)/$J$7</t>
  </si>
  <si>
    <t>=AVERAGE(I21:J21)</t>
  </si>
  <si>
    <t>=IF(K25=0,"hide","")</t>
  </si>
  <si>
    <t>=AVERAGE(I25:J25)</t>
  </si>
  <si>
    <t>=IF(K26=0,"hide","")</t>
  </si>
  <si>
    <t>=NL("sum","Production Order","Quantity","Source No.",$D26,"Equipment Code",$L26,"due date",F$8)/-12</t>
  </si>
  <si>
    <t>=NL("sum","Production Order","Quantity","Source No.",$D26,"Equipment Code",$L26,"due date",G$8)/-12</t>
  </si>
  <si>
    <t>=NL("sum","Production Order","Quantity","Source No.",$D26,"Equipment Code",$L26,"due date",H$8)/-12</t>
  </si>
  <si>
    <t>=NL("sum","Production Order","Quantity","Source No.",$D26,"Equipment Code",$L26,"due date",I$8)/-12</t>
  </si>
  <si>
    <t>=NL("sum","Production Order","Quantity","Source No.",$D26,"Equipment Code",$L26,"due date",J$8)/$J$7</t>
  </si>
  <si>
    <t>=AVERAGE(I26:J26)</t>
  </si>
  <si>
    <t>=IF(K27=0,"hide","")</t>
  </si>
  <si>
    <t>=NL("sum","Production Order","Quantity","Source No.",$D27,"Equipment Code",$L27,"due date",F$8)/-12</t>
  </si>
  <si>
    <t>=NL("sum","Production Order","Quantity","Source No.",$D27,"Equipment Code",$L27,"due date",G$8)/-12</t>
  </si>
  <si>
    <t>=NL("sum","Production Order","Quantity","Source No.",$D27,"Equipment Code",$L27,"due date",H$8)/-12</t>
  </si>
  <si>
    <t>=NL("sum","Production Order","Quantity","Source No.",$D27,"Equipment Code",$L27,"due date",I$8)/-12</t>
  </si>
  <si>
    <t>=NL("sum","Production Order","Quantity","Source No.",$D27,"Equipment Code",$L27,"due date",J$8)/$J$7</t>
  </si>
  <si>
    <t>=AVERAGE(I27:J27)</t>
  </si>
  <si>
    <t>=IF(K31=0,"hide","")</t>
  </si>
  <si>
    <t>=AVERAGE(I31:J31)</t>
  </si>
  <si>
    <t>=IF(K32=0,"hide","")</t>
  </si>
  <si>
    <t>=NL("sum","Production Order","Quantity","Source No.",$D32,"Equipment Code",$L32,"due date",F$8)/-12</t>
  </si>
  <si>
    <t>=NL("sum","Production Order","Quantity","Source No.",$D32,"Equipment Code",$L32,"due date",G$8)/-12</t>
  </si>
  <si>
    <t>=NL("sum","Production Order","Quantity","Source No.",$D32,"Equipment Code",$L32,"due date",H$8)/-12</t>
  </si>
  <si>
    <t>=NL("sum","Production Order","Quantity","Source No.",$D32,"Equipment Code",$L32,"due date",I$8)/-12</t>
  </si>
  <si>
    <t>=NL("sum","Production Order","Quantity","Source No.",$D32,"Equipment Code",$L32,"due date",J$8)/$J$7</t>
  </si>
  <si>
    <t>=AVERAGE(I32:J32)</t>
  </si>
  <si>
    <t>=IF(K35=0,"hide","")</t>
  </si>
  <si>
    <t>=AVERAGE(I35:J35)</t>
  </si>
  <si>
    <t>=IF(K40=0,"hide","")</t>
  </si>
  <si>
    <t>=AVERAGE(I40:J40)</t>
  </si>
  <si>
    <t>=IF(K41=0,"hide","")</t>
  </si>
  <si>
    <t>=NL("sum","Production Order","Quantity","Source No.",$D41,"Equipment Code",$L41,"due date",F$8)/-12</t>
  </si>
  <si>
    <t>=NL("sum","Production Order","Quantity","Source No.",$D41,"Equipment Code",$L41,"due date",G$8)/-12</t>
  </si>
  <si>
    <t>=NL("sum","Production Order","Quantity","Source No.",$D41,"Equipment Code",$L41,"due date",H$8)/-12</t>
  </si>
  <si>
    <t>=NL("sum","Production Order","Quantity","Source No.",$D41,"Equipment Code",$L41,"due date",I$8)/-12</t>
  </si>
  <si>
    <t>=NL("sum","Production Order","Quantity","Source No.",$D41,"Equipment Code",$L41,"due date",J$8)/$J$7</t>
  </si>
  <si>
    <t>=AVERAGE(I41:J41)</t>
  </si>
  <si>
    <t>=IF(K42=0,"hide","")</t>
  </si>
  <si>
    <t>=NL("sum","Production Order","Quantity","Source No.",$D42,"Equipment Code",$L42,"due date",F$8)/-12</t>
  </si>
  <si>
    <t>=NL("sum","Production Order","Quantity","Source No.",$D42,"Equipment Code",$L42,"due date",G$8)/-12</t>
  </si>
  <si>
    <t>=NL("sum","Production Order","Quantity","Source No.",$D42,"Equipment Code",$L42,"due date",H$8)/-12</t>
  </si>
  <si>
    <t>=NL("sum","Production Order","Quantity","Source No.",$D42,"Equipment Code",$L42,"due date",I$8)/-12</t>
  </si>
  <si>
    <t>=NL("sum","Production Order","Quantity","Source No.",$D42,"Equipment Code",$L42,"due date",J$8)/$J$7</t>
  </si>
  <si>
    <t>=AVERAGE(I42:J42)</t>
  </si>
  <si>
    <t>=IF(K45=0,"hide","")</t>
  </si>
  <si>
    <t>=AVERAGE(I45:J45)</t>
  </si>
  <si>
    <t>=NL(1,"item",L$9,"no.",D45)</t>
  </si>
  <si>
    <t>=NL(1,"item",M$9,"no.",$D45)</t>
  </si>
  <si>
    <t>=NL(1,"Prod. BOM Equipment","Fixed Prod. Time (Hours)","Production BOM No.",$D45,"version code",$E45,"Resource No.",O$9)</t>
  </si>
  <si>
    <t>=1/O45</t>
  </si>
  <si>
    <t>=IF(NL(1,"Prod. BOM Equipment","Variable Prod. Time (Hours)","Production BOM No.",$D45,"version code",$E45,"Resource No.",$O$9)="",1,NL(1,"Prod. BOM Equipment","Variable Prod. Time (Hours)","Production BOM No.",$D45,"version code",$E45,"Resource No.",$O$9))</t>
  </si>
  <si>
    <t>=1/Q45</t>
  </si>
  <si>
    <t>=R45*N45</t>
  </si>
  <si>
    <t>=IF(K46=0,"hide","")</t>
  </si>
  <si>
    <t>=NL("sum","Production Order","Quantity","Source No.",$D46,"Equipment Code",$L46,"due date",F$8)/-12</t>
  </si>
  <si>
    <t>=NL("sum","Production Order","Quantity","Source No.",$D46,"Equipment Code",$L46,"due date",G$8)/-12</t>
  </si>
  <si>
    <t>=NL("sum","Production Order","Quantity","Source No.",$D46,"Equipment Code",$L46,"due date",H$8)/-12</t>
  </si>
  <si>
    <t>=NL("sum","Production Order","Quantity","Source No.",$D46,"Equipment Code",$L46,"due date",I$8)/-12</t>
  </si>
  <si>
    <t>=NL("sum","Production Order","Quantity","Source No.",$D46,"Equipment Code",$L46,"due date",J$8)/$J$7</t>
  </si>
  <si>
    <t>=AVERAGE(I46:J46)</t>
  </si>
  <si>
    <t>=IF(K47=0,"hide","")</t>
  </si>
  <si>
    <t>=NL("sum","Production Order","Quantity","Source No.",$D47,"Equipment Code",$L47,"due date",F$8)/-12</t>
  </si>
  <si>
    <t>=NL("sum","Production Order","Quantity","Source No.",$D47,"Equipment Code",$L47,"due date",G$8)/-12</t>
  </si>
  <si>
    <t>=NL("sum","Production Order","Quantity","Source No.",$D47,"Equipment Code",$L47,"due date",H$8)/-12</t>
  </si>
  <si>
    <t>=NL("sum","Production Order","Quantity","Source No.",$D47,"Equipment Code",$L47,"due date",I$8)/-12</t>
  </si>
  <si>
    <t>=NL("sum","Production Order","Quantity","Source No.",$D47,"Equipment Code",$L47,"due date",J$8)/$J$7</t>
  </si>
  <si>
    <t>=AVERAGE(I47:J47)</t>
  </si>
  <si>
    <t>=IF(K52=0,"hide","")</t>
  </si>
  <si>
    <t>=AVERAGE(I52:J52)</t>
  </si>
  <si>
    <t>=IF(K55=0,"hide","")</t>
  </si>
  <si>
    <t>=AVERAGE(I55:J55)</t>
  </si>
  <si>
    <t>=IF(K56=0,"hide","")</t>
  </si>
  <si>
    <t>=NL("sum","Production Order","Quantity","Source No.",$D56,"Equipment Code",$L56,"due date",F$8)/-12</t>
  </si>
  <si>
    <t>=NL("sum","Production Order","Quantity","Source No.",$D56,"Equipment Code",$L56,"due date",G$8)/-12</t>
  </si>
  <si>
    <t>=NL("sum","Production Order","Quantity","Source No.",$D56,"Equipment Code",$L56,"due date",H$8)/-12</t>
  </si>
  <si>
    <t>=NL("sum","Production Order","Quantity","Source No.",$D56,"Equipment Code",$L56,"due date",I$8)/-12</t>
  </si>
  <si>
    <t>=NL("sum","Production Order","Quantity","Source No.",$D56,"Equipment Code",$L56,"due date",J$8)/$J$7</t>
  </si>
  <si>
    <t>=AVERAGE(I56:J56)</t>
  </si>
  <si>
    <t>=IF(K60=0,"hide","")</t>
  </si>
  <si>
    <t>=AVERAGE(I60:J60)</t>
  </si>
  <si>
    <t>=IF(K61=0,"hide","")</t>
  </si>
  <si>
    <t>=NL("sum","Production Order","Quantity","Source No.",$D61,"Equipment Code",$L61,"due date",F$8)/-12</t>
  </si>
  <si>
    <t>=NL("sum","Production Order","Quantity","Source No.",$D61,"Equipment Code",$L61,"due date",G$8)/-12</t>
  </si>
  <si>
    <t>=NL("sum","Production Order","Quantity","Source No.",$D61,"Equipment Code",$L61,"due date",H$8)/-12</t>
  </si>
  <si>
    <t>=NL("sum","Production Order","Quantity","Source No.",$D61,"Equipment Code",$L61,"due date",I$8)/-12</t>
  </si>
  <si>
    <t>=NL("sum","Production Order","Quantity","Source No.",$D61,"Equipment Code",$L61,"due date",J$8)/$J$7</t>
  </si>
  <si>
    <t>=AVERAGE(I61:J61)</t>
  </si>
  <si>
    <t>=IF(K62=0,"hide","")</t>
  </si>
  <si>
    <t>=NL("sum","Production Order","Quantity","Source No.",$D62,"Equipment Code",$L62,"due date",F$8)/-12</t>
  </si>
  <si>
    <t>=NL("sum","Production Order","Quantity","Source No.",$D62,"Equipment Code",$L62,"due date",G$8)/-12</t>
  </si>
  <si>
    <t>=NL("sum","Production Order","Quantity","Source No.",$D62,"Equipment Code",$L62,"due date",H$8)/-12</t>
  </si>
  <si>
    <t>=NL("sum","Production Order","Quantity","Source No.",$D62,"Equipment Code",$L62,"due date",I$8)/-12</t>
  </si>
  <si>
    <t>=NL("sum","Production Order","Quantity","Source No.",$D62,"Equipment Code",$L62,"due date",J$8)/$J$7</t>
  </si>
  <si>
    <t>=AVERAGE(I62:J62)</t>
  </si>
  <si>
    <t>=IF(K66=0,"hide","")</t>
  </si>
  <si>
    <t>=AVERAGE(I66:J66)</t>
  </si>
  <si>
    <t>=IF(K67=0,"hide","")</t>
  </si>
  <si>
    <t>=NL("sum","Production Order","Quantity","Source No.",$D67,"Equipment Code",$L67,"due date",F$8)/-12</t>
  </si>
  <si>
    <t>=NL("sum","Production Order","Quantity","Source No.",$D67,"Equipment Code",$L67,"due date",G$8)/-12</t>
  </si>
  <si>
    <t>=NL("sum","Production Order","Quantity","Source No.",$D67,"Equipment Code",$L67,"due date",H$8)/-12</t>
  </si>
  <si>
    <t>=NL("sum","Production Order","Quantity","Source No.",$D67,"Equipment Code",$L67,"due date",I$8)/-12</t>
  </si>
  <si>
    <t>=NL("sum","Production Order","Quantity","Source No.",$D67,"Equipment Code",$L67,"due date",J$8)/$J$7</t>
  </si>
  <si>
    <t>=AVERAGE(I67:J67)</t>
  </si>
  <si>
    <t>=IF(K70=0,"hide","")</t>
  </si>
  <si>
    <t>=AVERAGE(I70:J70)</t>
  </si>
  <si>
    <t>If Batch Size Less Than</t>
  </si>
  <si>
    <t>-100</t>
  </si>
  <si>
    <t>Filter info Options</t>
  </si>
  <si>
    <t>="EQP-LAWPACK2"</t>
  </si>
  <si>
    <t>=IF(K13=0,"hide","")</t>
  </si>
  <si>
    <t>=D12</t>
  </si>
  <si>
    <t>=NL("sum","Production Order","Quantity","Source No.",$D13,"Equipment Code",$L13,"due date",F$8)/-12</t>
  </si>
  <si>
    <t>=NL("sum","Production Order","Quantity","Source No.",$D13,"Equipment Code",$L13,"due date",G$8)/-12</t>
  </si>
  <si>
    <t>=NL("sum","Production Order","Quantity","Source No.",$D13,"Equipment Code",$L13,"due date",H$8)/-12</t>
  </si>
  <si>
    <t>=NL("sum","Production Order","Quantity","Source No.",$D13,"Equipment Code",$L13,"due date",I$8)/-12</t>
  </si>
  <si>
    <t>=NL("sum","Production Order","Quantity","Source No.",$D13,"Equipment Code",$L13,"due date",J$8)/$J$7</t>
  </si>
  <si>
    <t>=AVERAGE(I13:J13)</t>
  </si>
  <si>
    <t>="SW-COMAS-PACKL"</t>
  </si>
  <si>
    <t>=IF(K14=0,"hide","")</t>
  </si>
  <si>
    <t>=D13</t>
  </si>
  <si>
    <t>=NL("sum","Production Order","Quantity","Source No.",$D14,"Equipment Code",$L14,"due date",F$8)/-12</t>
  </si>
  <si>
    <t>=NL("sum","Production Order","Quantity","Source No.",$D14,"Equipment Code",$L14,"due date",G$8)/-12</t>
  </si>
  <si>
    <t>=NL("sum","Production Order","Quantity","Source No.",$D14,"Equipment Code",$L14,"due date",H$8)/-12</t>
  </si>
  <si>
    <t>=NL("sum","Production Order","Quantity","Source No.",$D14,"Equipment Code",$L14,"due date",I$8)/-12</t>
  </si>
  <si>
    <t>=NL("sum","Production Order","Quantity","Source No.",$D14,"Equipment Code",$L14,"due date",J$8)/$J$7</t>
  </si>
  <si>
    <t>=AVERAGE(I14:J14)</t>
  </si>
  <si>
    <t>="SW-RISER-PACK"</t>
  </si>
  <si>
    <t>=B15</t>
  </si>
  <si>
    <t>=SUM(F11:F15)</t>
  </si>
  <si>
    <t>=SUM(G11:G15)</t>
  </si>
  <si>
    <t>=SUM(H11:H15)</t>
  </si>
  <si>
    <t>=SUM(I11:I15)</t>
  </si>
  <si>
    <t>=SUM(J11:J15)</t>
  </si>
  <si>
    <t>=NL("sum","Item Ledger Entry","Quantity","Item No.",$D17,"Entry Type","Sale|Consumption","posting date","01/01/23..12/31/23")/$J$7</t>
  </si>
  <si>
    <t>=NL(1,"item",L$9,"no.",D17)</t>
  </si>
  <si>
    <t>=NL(1,"item",M$9,"no.",$D17)</t>
  </si>
  <si>
    <t>=NL(1,"Prod. BOM Equipment","Fixed Prod. Time (Hours)","Production BOM No.",$D17,"version code",$E17,"Resource No.",O$9)</t>
  </si>
  <si>
    <t>=1/O17</t>
  </si>
  <si>
    <t>=IF(NL(1,"Prod. BOM Equipment","Variable Prod. Time (Hours)","Production BOM No.",$D17,"version code",$E17,"Resource No.",$O$9)="",1,NL(1,"Prod. BOM Equipment","Variable Prod. Time (Hours)","Production BOM No.",$D17,"version code",$E17,"Resource No.",$O$9))</t>
  </si>
  <si>
    <t>=1/Q17</t>
  </si>
  <si>
    <t>=R17*N17</t>
  </si>
  <si>
    <t>=IF(K18=0,"hide","")</t>
  </si>
  <si>
    <t>=D17</t>
  </si>
  <si>
    <t>=NL("sum","Production Order","Quantity","Source No.",$D18,"Equipment Code",$L18,"due date",F$8)/-12</t>
  </si>
  <si>
    <t>=NL("sum","Production Order","Quantity","Source No.",$D18,"Equipment Code",$L18,"due date",G$8)/-12</t>
  </si>
  <si>
    <t>=NL("sum","Production Order","Quantity","Source No.",$D18,"Equipment Code",$L18,"due date",H$8)/-12</t>
  </si>
  <si>
    <t>=NL("sum","Production Order","Quantity","Source No.",$D18,"Equipment Code",$L18,"due date",I$8)/-12</t>
  </si>
  <si>
    <t>=NL("sum","Production Order","Quantity","Source No.",$D18,"Equipment Code",$L18,"due date",J$8)/$J$7</t>
  </si>
  <si>
    <t>=AVERAGE(I18:J18)</t>
  </si>
  <si>
    <t>=IF(K19=0,"hide","")</t>
  </si>
  <si>
    <t>=D18</t>
  </si>
  <si>
    <t>=NL("sum","Production Order","Quantity","Source No.",$D19,"Equipment Code",$L19,"due date",F$8)/-12</t>
  </si>
  <si>
    <t>=NL("sum","Production Order","Quantity","Source No.",$D19,"Equipment Code",$L19,"due date",G$8)/-12</t>
  </si>
  <si>
    <t>=NL("sum","Production Order","Quantity","Source No.",$D19,"Equipment Code",$L19,"due date",H$8)/-12</t>
  </si>
  <si>
    <t>=NL("sum","Production Order","Quantity","Source No.",$D19,"Equipment Code",$L19,"due date",I$8)/-12</t>
  </si>
  <si>
    <t>=NL("sum","Production Order","Quantity","Source No.",$D19,"Equipment Code",$L19,"due date",J$8)/$J$7</t>
  </si>
  <si>
    <t>=AVERAGE(I19:J19)</t>
  </si>
  <si>
    <t>=D19</t>
  </si>
  <si>
    <t>=NL("sum","Production Order","Quantity","Source No.",$D20,"Equipment Code",$L20,"due date",F$8)/-12</t>
  </si>
  <si>
    <t>=NL("sum","Production Order","Quantity","Source No.",$D20,"Equipment Code",$L20,"due date",G$8)/-12</t>
  </si>
  <si>
    <t>=NL("sum","Production Order","Quantity","Source No.",$D20,"Equipment Code",$L20,"due date",H$8)/-12</t>
  </si>
  <si>
    <t>=NL("sum","Production Order","Quantity","Source No.",$D20,"Equipment Code",$L20,"due date",I$8)/-12</t>
  </si>
  <si>
    <t>=NL("sum","Production Order","Quantity","Source No.",$D20,"Equipment Code",$L20,"due date",J$8)/$J$7</t>
  </si>
  <si>
    <t>=B22</t>
  </si>
  <si>
    <t>=SUM(F18:F22)</t>
  </si>
  <si>
    <t>=SUM(G18:G22)</t>
  </si>
  <si>
    <t>=SUM(H18:H22)</t>
  </si>
  <si>
    <t>=SUM(I18:I22)</t>
  </si>
  <si>
    <t>=SUM(J18:J22)</t>
  </si>
  <si>
    <t>=IF(K24=0,"hide","")</t>
  </si>
  <si>
    <t>=NL("sum","Item Ledger Entry","Quantity","Item No.",$D24,"Entry Type","Sale|Consumption","posting date","01/01/23..12/31/23")/$J$7</t>
  </si>
  <si>
    <t>=AVERAGE(I24:J24)</t>
  </si>
  <si>
    <t>=NL(1,"item",L$9,"no.",D24)</t>
  </si>
  <si>
    <t>=NL(1,"item",M$9,"no.",$D24)</t>
  </si>
  <si>
    <t>=NL(1,"Prod. BOM Equipment","Fixed Prod. Time (Hours)","Production BOM No.",$D24,"version code",$E24,"Resource No.",O$9)</t>
  </si>
  <si>
    <t>=1/O24</t>
  </si>
  <si>
    <t>=IF(NL(1,"Prod. BOM Equipment","Variable Prod. Time (Hours)","Production BOM No.",$D24,"version code",$E24,"Resource No.",$O$9)="",1,NL(1,"Prod. BOM Equipment","Variable Prod. Time (Hours)","Production BOM No.",$D24,"version code",$E24,"Resource No.",$O$9))</t>
  </si>
  <si>
    <t>=1/Q24</t>
  </si>
  <si>
    <t>=R24*N24</t>
  </si>
  <si>
    <t>=D24</t>
  </si>
  <si>
    <t>=NL("sum","Production Order","Quantity","Source No.",$D25,"Equipment Code",$L25,"due date",F$8)/-12</t>
  </si>
  <si>
    <t>=NL("sum","Production Order","Quantity","Source No.",$D25,"Equipment Code",$L25,"due date",G$8)/-12</t>
  </si>
  <si>
    <t>=NL("sum","Production Order","Quantity","Source No.",$D25,"Equipment Code",$L25,"due date",H$8)/-12</t>
  </si>
  <si>
    <t>=NL("sum","Production Order","Quantity","Source No.",$D25,"Equipment Code",$L25,"due date",I$8)/-12</t>
  </si>
  <si>
    <t>=NL("sum","Production Order","Quantity","Source No.",$D25,"Equipment Code",$L25,"due date",J$8)/$J$7</t>
  </si>
  <si>
    <t>=IF(K28=0,"hide","")</t>
  </si>
  <si>
    <t>=D27</t>
  </si>
  <si>
    <t>=NL("sum","Production Order","Quantity","Source No.",$D28,"Equipment Code",$L28,"due date",F$8)/-12</t>
  </si>
  <si>
    <t>=NL("sum","Production Order","Quantity","Source No.",$D28,"Equipment Code",$L28,"due date",G$8)/-12</t>
  </si>
  <si>
    <t>=NL("sum","Production Order","Quantity","Source No.",$D28,"Equipment Code",$L28,"due date",H$8)/-12</t>
  </si>
  <si>
    <t>=NL("sum","Production Order","Quantity","Source No.",$D28,"Equipment Code",$L28,"due date",I$8)/-12</t>
  </si>
  <si>
    <t>=NL("sum","Production Order","Quantity","Source No.",$D28,"Equipment Code",$L28,"due date",J$8)/$J$7</t>
  </si>
  <si>
    <t>=AVERAGE(I28:J28)</t>
  </si>
  <si>
    <t>=B25</t>
  </si>
  <si>
    <t>=B29</t>
  </si>
  <si>
    <t>=SUM(F25:F29)</t>
  </si>
  <si>
    <t>=SUM(G25:G29)</t>
  </si>
  <si>
    <t>=SUM(H25:H29)</t>
  </si>
  <si>
    <t>=SUM(I25:I29)</t>
  </si>
  <si>
    <t>=SUM(J25:J29)</t>
  </si>
  <si>
    <t>=NL("sum","Item Ledger Entry","Quantity","Item No.",$D31,"Entry Type","Sale|Consumption","posting date","01/01/23..12/31/23")/$J$7</t>
  </si>
  <si>
    <t>=NL(1,"item",L$9,"no.",D31)</t>
  </si>
  <si>
    <t>=NL(1,"item",M$9,"no.",$D31)</t>
  </si>
  <si>
    <t>=NL(1,"Prod. BOM Equipment","Fixed Prod. Time (Hours)","Production BOM No.",$D31,"version code",$E31,"Resource No.",O$9)</t>
  </si>
  <si>
    <t>=1/O31</t>
  </si>
  <si>
    <t>=IF(NL(1,"Prod. BOM Equipment","Variable Prod. Time (Hours)","Production BOM No.",$D31,"version code",$E31,"Resource No.",$O$9)="",1,NL(1,"Prod. BOM Equipment","Variable Prod. Time (Hours)","Production BOM No.",$D31,"version code",$E31,"Resource No.",$O$9))</t>
  </si>
  <si>
    <t>=1/Q31</t>
  </si>
  <si>
    <t>=R31*N31</t>
  </si>
  <si>
    <t>=IF(K33=0,"hide","")</t>
  </si>
  <si>
    <t>=D32</t>
  </si>
  <si>
    <t>=NL("sum","Production Order","Quantity","Source No.",$D33,"Equipment Code",$L33,"due date",F$8)/-12</t>
  </si>
  <si>
    <t>=NL("sum","Production Order","Quantity","Source No.",$D33,"Equipment Code",$L33,"due date",G$8)/-12</t>
  </si>
  <si>
    <t>=NL("sum","Production Order","Quantity","Source No.",$D33,"Equipment Code",$L33,"due date",H$8)/-12</t>
  </si>
  <si>
    <t>=NL("sum","Production Order","Quantity","Source No.",$D33,"Equipment Code",$L33,"due date",I$8)/-12</t>
  </si>
  <si>
    <t>=NL("sum","Production Order","Quantity","Source No.",$D33,"Equipment Code",$L33,"due date",J$8)/$J$7</t>
  </si>
  <si>
    <t>=AVERAGE(I33:J33)</t>
  </si>
  <si>
    <t>=IF(K34=0,"hide","")</t>
  </si>
  <si>
    <t>=D33</t>
  </si>
  <si>
    <t>=NL("sum","Production Order","Quantity","Source No.",$D34,"Equipment Code",$L34,"due date",F$8)/-12</t>
  </si>
  <si>
    <t>=NL("sum","Production Order","Quantity","Source No.",$D34,"Equipment Code",$L34,"due date",G$8)/-12</t>
  </si>
  <si>
    <t>=NL("sum","Production Order","Quantity","Source No.",$D34,"Equipment Code",$L34,"due date",H$8)/-12</t>
  </si>
  <si>
    <t>=NL("sum","Production Order","Quantity","Source No.",$D34,"Equipment Code",$L34,"due date",I$8)/-12</t>
  </si>
  <si>
    <t>=NL("sum","Production Order","Quantity","Source No.",$D34,"Equipment Code",$L34,"due date",J$8)/$J$7</t>
  </si>
  <si>
    <t>=AVERAGE(I34:J34)</t>
  </si>
  <si>
    <t>=D34</t>
  </si>
  <si>
    <t>=NL("sum","Production Order","Quantity","Source No.",$D35,"Equipment Code",$L35,"due date",F$8)/-12</t>
  </si>
  <si>
    <t>=NL("sum","Production Order","Quantity","Source No.",$D35,"Equipment Code",$L35,"due date",G$8)/-12</t>
  </si>
  <si>
    <t>=NL("sum","Production Order","Quantity","Source No.",$D35,"Equipment Code",$L35,"due date",H$8)/-12</t>
  </si>
  <si>
    <t>=NL("sum","Production Order","Quantity","Source No.",$D35,"Equipment Code",$L35,"due date",I$8)/-12</t>
  </si>
  <si>
    <t>=NL("sum","Production Order","Quantity","Source No.",$D35,"Equipment Code",$L35,"due date",J$8)/$J$7</t>
  </si>
  <si>
    <t>=B32</t>
  </si>
  <si>
    <t>=SUM(F32:F36)</t>
  </si>
  <si>
    <t>=SUM(G32:G36)</t>
  </si>
  <si>
    <t>=SUM(H32:H36)</t>
  </si>
  <si>
    <t>=SUM(I32:I36)</t>
  </si>
  <si>
    <t>=SUM(J32:J36)</t>
  </si>
  <si>
    <t>=IF(K38=0,"hide","")</t>
  </si>
  <si>
    <t>=NL("sum","Item Ledger Entry","Quantity","Item No.",$D38,"Entry Type","Sale|Consumption","posting date","01/01/23..12/31/23")/$J$7</t>
  </si>
  <si>
    <t>=AVERAGE(I38:J38)</t>
  </si>
  <si>
    <t>=NL(1,"item",L$9,"no.",D38)</t>
  </si>
  <si>
    <t>=NL(1,"item",M$9,"no.",$D38)</t>
  </si>
  <si>
    <t>=NL(1,"Prod. BOM Equipment","Fixed Prod. Time (Hours)","Production BOM No.",$D38,"version code",$E38,"Resource No.",O$9)</t>
  </si>
  <si>
    <t>=1/O38</t>
  </si>
  <si>
    <t>=IF(NL(1,"Prod. BOM Equipment","Variable Prod. Time (Hours)","Production BOM No.",$D38,"version code",$E38,"Resource No.",$O$9)="",1,NL(1,"Prod. BOM Equipment","Variable Prod. Time (Hours)","Production BOM No.",$D38,"version code",$E38,"Resource No.",$O$9))</t>
  </si>
  <si>
    <t>=1/Q38</t>
  </si>
  <si>
    <t>=R38*N38</t>
  </si>
  <si>
    <t>=IF(K39=0,"hide","")</t>
  </si>
  <si>
    <t>=D38</t>
  </si>
  <si>
    <t>=NL("sum","Production Order","Quantity","Source No.",$D39,"Equipment Code",$L39,"due date",F$8)/-12</t>
  </si>
  <si>
    <t>=NL("sum","Production Order","Quantity","Source No.",$D39,"Equipment Code",$L39,"due date",G$8)/-12</t>
  </si>
  <si>
    <t>=NL("sum","Production Order","Quantity","Source No.",$D39,"Equipment Code",$L39,"due date",H$8)/-12</t>
  </si>
  <si>
    <t>=NL("sum","Production Order","Quantity","Source No.",$D39,"Equipment Code",$L39,"due date",I$8)/-12</t>
  </si>
  <si>
    <t>=NL("sum","Production Order","Quantity","Source No.",$D39,"Equipment Code",$L39,"due date",J$8)/$J$7</t>
  </si>
  <si>
    <t>=AVERAGE(I39:J39)</t>
  </si>
  <si>
    <t>=D39</t>
  </si>
  <si>
    <t>=NL("sum","Production Order","Quantity","Source No.",$D40,"Equipment Code",$L40,"due date",F$8)/-12</t>
  </si>
  <si>
    <t>=NL("sum","Production Order","Quantity","Source No.",$D40,"Equipment Code",$L40,"due date",G$8)/-12</t>
  </si>
  <si>
    <t>=NL("sum","Production Order","Quantity","Source No.",$D40,"Equipment Code",$L40,"due date",H$8)/-12</t>
  </si>
  <si>
    <t>=NL("sum","Production Order","Quantity","Source No.",$D40,"Equipment Code",$L40,"due date",I$8)/-12</t>
  </si>
  <si>
    <t>=NL("sum","Production Order","Quantity","Source No.",$D40,"Equipment Code",$L40,"due date",J$8)/$J$7</t>
  </si>
  <si>
    <t>=B39</t>
  </si>
  <si>
    <t>=SUM(F39:F43)</t>
  </si>
  <si>
    <t>=SUM(G39:G43)</t>
  </si>
  <si>
    <t>=SUM(H39:H43)</t>
  </si>
  <si>
    <t>=SUM(I39:I43)</t>
  </si>
  <si>
    <t>=SUM(J39:J43)</t>
  </si>
  <si>
    <t>=IF(K48=0,"hide","")</t>
  </si>
  <si>
    <t>=D47</t>
  </si>
  <si>
    <t>=NL("sum","Production Order","Quantity","Source No.",$D48,"Equipment Code",$L48,"due date",F$8)/-12</t>
  </si>
  <si>
    <t>=NL("sum","Production Order","Quantity","Source No.",$D48,"Equipment Code",$L48,"due date",G$8)/-12</t>
  </si>
  <si>
    <t>=NL("sum","Production Order","Quantity","Source No.",$D48,"Equipment Code",$L48,"due date",H$8)/-12</t>
  </si>
  <si>
    <t>=NL("sum","Production Order","Quantity","Source No.",$D48,"Equipment Code",$L48,"due date",I$8)/-12</t>
  </si>
  <si>
    <t>=NL("sum","Production Order","Quantity","Source No.",$D48,"Equipment Code",$L48,"due date",J$8)/$J$7</t>
  </si>
  <si>
    <t>=AVERAGE(I48:J48)</t>
  </si>
  <si>
    <t>=IF(K49=0,"hide","")</t>
  </si>
  <si>
    <t>=D48</t>
  </si>
  <si>
    <t>=NL("sum","Production Order","Quantity","Source No.",$D49,"Equipment Code",$L49,"due date",F$8)/-12</t>
  </si>
  <si>
    <t>=NL("sum","Production Order","Quantity","Source No.",$D49,"Equipment Code",$L49,"due date",G$8)/-12</t>
  </si>
  <si>
    <t>=NL("sum","Production Order","Quantity","Source No.",$D49,"Equipment Code",$L49,"due date",H$8)/-12</t>
  </si>
  <si>
    <t>=NL("sum","Production Order","Quantity","Source No.",$D49,"Equipment Code",$L49,"due date",I$8)/-12</t>
  </si>
  <si>
    <t>=NL("sum","Production Order","Quantity","Source No.",$D49,"Equipment Code",$L49,"due date",J$8)/$J$7</t>
  </si>
  <si>
    <t>=AVERAGE(I49:J49)</t>
  </si>
  <si>
    <t>=B50</t>
  </si>
  <si>
    <t>=SUM(F46:F50)</t>
  </si>
  <si>
    <t>=SUM(G46:G50)</t>
  </si>
  <si>
    <t>=SUM(H46:H50)</t>
  </si>
  <si>
    <t>=SUM(I46:I50)</t>
  </si>
  <si>
    <t>=SUM(J46:J50)</t>
  </si>
  <si>
    <t>=NL("sum","Item Ledger Entry","Quantity","Item No.",$D52,"Entry Type","Sale|Consumption","posting date","01/01/23..12/31/23")/$J$7</t>
  </si>
  <si>
    <t>=NL(1,"item",L$9,"no.",D52)</t>
  </si>
  <si>
    <t>=NL(1,"item",M$9,"no.",$D52)</t>
  </si>
  <si>
    <t>=NL(1,"Prod. BOM Equipment","Fixed Prod. Time (Hours)","Production BOM No.",$D52,"version code",$E52,"Resource No.",O$9)</t>
  </si>
  <si>
    <t>=1/O52</t>
  </si>
  <si>
    <t>=IF(NL(1,"Prod. BOM Equipment","Variable Prod. Time (Hours)","Production BOM No.",$D52,"version code",$E52,"Resource No.",$O$9)="",1,NL(1,"Prod. BOM Equipment","Variable Prod. Time (Hours)","Production BOM No.",$D52,"version code",$E52,"Resource No.",$O$9))</t>
  </si>
  <si>
    <t>=1/Q52</t>
  </si>
  <si>
    <t>=R52*N52</t>
  </si>
  <si>
    <t>=IF(K53=0,"hide","")</t>
  </si>
  <si>
    <t>=D52</t>
  </si>
  <si>
    <t>=NL("sum","Production Order","Quantity","Source No.",$D53,"Equipment Code",$L53,"due date",F$8)/-12</t>
  </si>
  <si>
    <t>=NL("sum","Production Order","Quantity","Source No.",$D53,"Equipment Code",$L53,"due date",G$8)/-12</t>
  </si>
  <si>
    <t>=NL("sum","Production Order","Quantity","Source No.",$D53,"Equipment Code",$L53,"due date",H$8)/-12</t>
  </si>
  <si>
    <t>=NL("sum","Production Order","Quantity","Source No.",$D53,"Equipment Code",$L53,"due date",I$8)/-12</t>
  </si>
  <si>
    <t>=NL("sum","Production Order","Quantity","Source No.",$D53,"Equipment Code",$L53,"due date",J$8)/$J$7</t>
  </si>
  <si>
    <t>=AVERAGE(I53:J53)</t>
  </si>
  <si>
    <t>=IF(K54=0,"hide","")</t>
  </si>
  <si>
    <t>=D53</t>
  </si>
  <si>
    <t>=NL("sum","Production Order","Quantity","Source No.",$D54,"Equipment Code",$L54,"due date",F$8)/-12</t>
  </si>
  <si>
    <t>=NL("sum","Production Order","Quantity","Source No.",$D54,"Equipment Code",$L54,"due date",G$8)/-12</t>
  </si>
  <si>
    <t>=NL("sum","Production Order","Quantity","Source No.",$D54,"Equipment Code",$L54,"due date",H$8)/-12</t>
  </si>
  <si>
    <t>=NL("sum","Production Order","Quantity","Source No.",$D54,"Equipment Code",$L54,"due date",I$8)/-12</t>
  </si>
  <si>
    <t>=NL("sum","Production Order","Quantity","Source No.",$D54,"Equipment Code",$L54,"due date",J$8)/$J$7</t>
  </si>
  <si>
    <t>=AVERAGE(I54:J54)</t>
  </si>
  <si>
    <t>=D54</t>
  </si>
  <si>
    <t>=NL("sum","Production Order","Quantity","Source No.",$D55,"Equipment Code",$L55,"due date",F$8)/-12</t>
  </si>
  <si>
    <t>=NL("sum","Production Order","Quantity","Source No.",$D55,"Equipment Code",$L55,"due date",G$8)/-12</t>
  </si>
  <si>
    <t>=NL("sum","Production Order","Quantity","Source No.",$D55,"Equipment Code",$L55,"due date",H$8)/-12</t>
  </si>
  <si>
    <t>=NL("sum","Production Order","Quantity","Source No.",$D55,"Equipment Code",$L55,"due date",I$8)/-12</t>
  </si>
  <si>
    <t>=NL("sum","Production Order","Quantity","Source No.",$D55,"Equipment Code",$L55,"due date",J$8)/$J$7</t>
  </si>
  <si>
    <t>=B57</t>
  </si>
  <si>
    <t>=SUM(F53:F57)</t>
  </si>
  <si>
    <t>=SUM(G53:G57)</t>
  </si>
  <si>
    <t>=SUM(H53:H57)</t>
  </si>
  <si>
    <t>=SUM(I53:I57)</t>
  </si>
  <si>
    <t>=SUM(J53:J57)</t>
  </si>
  <si>
    <t>=IF(K59=0,"hide","")</t>
  </si>
  <si>
    <t>=NL("sum","Item Ledger Entry","Quantity","Item No.",$D59,"Entry Type","Sale|Consumption","posting date","01/01/23..12/31/23")/$J$7</t>
  </si>
  <si>
    <t>=AVERAGE(I59:J59)</t>
  </si>
  <si>
    <t>=NL(1,"item",L$9,"no.",D59)</t>
  </si>
  <si>
    <t>=NL(1,"item",M$9,"no.",$D59)</t>
  </si>
  <si>
    <t>=NL(1,"Prod. BOM Equipment","Fixed Prod. Time (Hours)","Production BOM No.",$D59,"version code",$E59,"Resource No.",O$9)</t>
  </si>
  <si>
    <t>=1/O59</t>
  </si>
  <si>
    <t>=IF(NL(1,"Prod. BOM Equipment","Variable Prod. Time (Hours)","Production BOM No.",$D59,"version code",$E59,"Resource No.",$O$9)="",1,NL(1,"Prod. BOM Equipment","Variable Prod. Time (Hours)","Production BOM No.",$D59,"version code",$E59,"Resource No.",$O$9))</t>
  </si>
  <si>
    <t>=1/Q59</t>
  </si>
  <si>
    <t>=R59*N59</t>
  </si>
  <si>
    <t>=D59</t>
  </si>
  <si>
    <t>=NL("sum","Production Order","Quantity","Source No.",$D60,"Equipment Code",$L60,"due date",F$8)/-12</t>
  </si>
  <si>
    <t>=NL("sum","Production Order","Quantity","Source No.",$D60,"Equipment Code",$L60,"due date",G$8)/-12</t>
  </si>
  <si>
    <t>=NL("sum","Production Order","Quantity","Source No.",$D60,"Equipment Code",$L60,"due date",H$8)/-12</t>
  </si>
  <si>
    <t>=NL("sum","Production Order","Quantity","Source No.",$D60,"Equipment Code",$L60,"due date",I$8)/-12</t>
  </si>
  <si>
    <t>=NL("sum","Production Order","Quantity","Source No.",$D60,"Equipment Code",$L60,"due date",J$8)/$J$7</t>
  </si>
  <si>
    <t>=IF(K63=0,"hide","")</t>
  </si>
  <si>
    <t>=D62</t>
  </si>
  <si>
    <t>=NL("sum","Production Order","Quantity","Source No.",$D63,"Equipment Code",$L63,"due date",F$8)/-12</t>
  </si>
  <si>
    <t>=NL("sum","Production Order","Quantity","Source No.",$D63,"Equipment Code",$L63,"due date",G$8)/-12</t>
  </si>
  <si>
    <t>=NL("sum","Production Order","Quantity","Source No.",$D63,"Equipment Code",$L63,"due date",H$8)/-12</t>
  </si>
  <si>
    <t>=NL("sum","Production Order","Quantity","Source No.",$D63,"Equipment Code",$L63,"due date",I$8)/-12</t>
  </si>
  <si>
    <t>=NL("sum","Production Order","Quantity","Source No.",$D63,"Equipment Code",$L63,"due date",J$8)/$J$7</t>
  </si>
  <si>
    <t>=AVERAGE(I63:J63)</t>
  </si>
  <si>
    <t>=B60</t>
  </si>
  <si>
    <t>=B64</t>
  </si>
  <si>
    <t>=SUM(F60:F64)</t>
  </si>
  <si>
    <t>=SUM(G60:G64)</t>
  </si>
  <si>
    <t>=SUM(H60:H64)</t>
  </si>
  <si>
    <t>=SUM(I60:I64)</t>
  </si>
  <si>
    <t>=SUM(J60:J64)</t>
  </si>
  <si>
    <t>=NL("rows","Production BOM Version","Version Code","Production BOM No.",D66,"status","certified")</t>
  </si>
  <si>
    <t>=NL("sum","Item Ledger Entry","Quantity","Item No.",$D66,"Entry Type","Sale|Consumption","posting date","01/01/23..12/31/23")/$J$7</t>
  </si>
  <si>
    <t>=NL(1,"item",L$9,"no.",D66)</t>
  </si>
  <si>
    <t>=NL(1,"item",M$9,"no.",$D66)</t>
  </si>
  <si>
    <t>=NL(1,"Prod. BOM Equipment","Fixed Prod. Time (Hours)","Production BOM No.",$D66,"version code",$E66,"Resource No.",O$9)</t>
  </si>
  <si>
    <t>=1/O66</t>
  </si>
  <si>
    <t>=IF(NL(1,"Prod. BOM Equipment","Variable Prod. Time (Hours)","Production BOM No.",$D66,"version code",$E66,"Resource No.",$O$9)="",1,NL(1,"Prod. BOM Equipment","Variable Prod. Time (Hours)","Production BOM No.",$D66,"version code",$E66,"Resource No.",$O$9))</t>
  </si>
  <si>
    <t>=1/Q66</t>
  </si>
  <si>
    <t>=R66*N66</t>
  </si>
  <si>
    <t>=IF(K68=0,"hide","")</t>
  </si>
  <si>
    <t>=D67</t>
  </si>
  <si>
    <t>=NL("sum","Production Order","Quantity","Source No.",$D68,"Equipment Code",$L68,"due date",F$8)/-12</t>
  </si>
  <si>
    <t>=NL("sum","Production Order","Quantity","Source No.",$D68,"Equipment Code",$L68,"due date",G$8)/-12</t>
  </si>
  <si>
    <t>=NL("sum","Production Order","Quantity","Source No.",$D68,"Equipment Code",$L68,"due date",H$8)/-12</t>
  </si>
  <si>
    <t>=NL("sum","Production Order","Quantity","Source No.",$D68,"Equipment Code",$L68,"due date",I$8)/-12</t>
  </si>
  <si>
    <t>=NL("sum","Production Order","Quantity","Source No.",$D68,"Equipment Code",$L68,"due date",J$8)/$J$7</t>
  </si>
  <si>
    <t>=AVERAGE(I68:J68)</t>
  </si>
  <si>
    <t>=IF(K69=0,"hide","")</t>
  </si>
  <si>
    <t>=D68</t>
  </si>
  <si>
    <t>=NL("sum","Production Order","Quantity","Source No.",$D69,"Equipment Code",$L69,"due date",F$8)/-12</t>
  </si>
  <si>
    <t>=NL("sum","Production Order","Quantity","Source No.",$D69,"Equipment Code",$L69,"due date",G$8)/-12</t>
  </si>
  <si>
    <t>=NL("sum","Production Order","Quantity","Source No.",$D69,"Equipment Code",$L69,"due date",H$8)/-12</t>
  </si>
  <si>
    <t>=NL("sum","Production Order","Quantity","Source No.",$D69,"Equipment Code",$L69,"due date",I$8)/-12</t>
  </si>
  <si>
    <t>=NL("sum","Production Order","Quantity","Source No.",$D69,"Equipment Code",$L69,"due date",J$8)/$J$7</t>
  </si>
  <si>
    <t>=AVERAGE(I69:J69)</t>
  </si>
  <si>
    <t>=D69</t>
  </si>
  <si>
    <t>=NL("sum","Production Order","Quantity","Source No.",$D70,"Equipment Code",$L70,"due date",F$8)/-12</t>
  </si>
  <si>
    <t>=NL("sum","Production Order","Quantity","Source No.",$D70,"Equipment Code",$L70,"due date",G$8)/-12</t>
  </si>
  <si>
    <t>=NL("sum","Production Order","Quantity","Source No.",$D70,"Equipment Code",$L70,"due date",H$8)/-12</t>
  </si>
  <si>
    <t>=NL("sum","Production Order","Quantity","Source No.",$D70,"Equipment Code",$L70,"due date",I$8)/-12</t>
  </si>
  <si>
    <t>=NL("sum","Production Order","Quantity","Source No.",$D70,"Equipment Code",$L70,"due date",J$8)/$J$7</t>
  </si>
  <si>
    <t>=B67</t>
  </si>
  <si>
    <t>=SUM(F67:F71)</t>
  </si>
  <si>
    <t>=SUM(G67:G71)</t>
  </si>
  <si>
    <t>=SUM(H67:H71)</t>
  </si>
  <si>
    <t>=SUM(I67:I71)</t>
  </si>
  <si>
    <t>=SUM(J67:J71)</t>
  </si>
  <si>
    <t>=IF(K73=0,"hide","")</t>
  </si>
  <si>
    <t>=NL("sum","Item Ledger Entry","Quantity","Item No.",$D73,"Entry Type","Sale|Consumption","posting date","01/01/23..12/31/23")/$J$7</t>
  </si>
  <si>
    <t>=AVERAGE(I73:J73)</t>
  </si>
  <si>
    <t>=NL(1,"item",L$9,"no.",D73)</t>
  </si>
  <si>
    <t>=NL(1,"item",M$9,"no.",$D73)</t>
  </si>
  <si>
    <t>=NL(1,"Prod. BOM Equipment","Fixed Prod. Time (Hours)","Production BOM No.",$D73,"version code",$E73,"Resource No.",O$9)</t>
  </si>
  <si>
    <t>=1/O73</t>
  </si>
  <si>
    <t>=IF(NL(1,"Prod. BOM Equipment","Variable Prod. Time (Hours)","Production BOM No.",$D73,"version code",$E73,"Resource No.",$O$9)="",1,NL(1,"Prod. BOM Equipment","Variable Prod. Time (Hours)","Production BOM No.",$D73,"version code",$E73,"Resource No.",$O$9))</t>
  </si>
  <si>
    <t>=1/Q73</t>
  </si>
  <si>
    <t>=R73*N73</t>
  </si>
  <si>
    <t>=IF(K74=0,"hide","")</t>
  </si>
  <si>
    <t>=D73</t>
  </si>
  <si>
    <t>=NL("sum","Production Order","Quantity","Source No.",$D74,"Equipment Code",$L74,"due date",F$8)/-12</t>
  </si>
  <si>
    <t>=NL("sum","Production Order","Quantity","Source No.",$D74,"Equipment Code",$L74,"due date",G$8)/-12</t>
  </si>
  <si>
    <t>=NL("sum","Production Order","Quantity","Source No.",$D74,"Equipment Code",$L74,"due date",H$8)/-12</t>
  </si>
  <si>
    <t>=NL("sum","Production Order","Quantity","Source No.",$D74,"Equipment Code",$L74,"due date",I$8)/-12</t>
  </si>
  <si>
    <t>=NL("sum","Production Order","Quantity","Source No.",$D74,"Equipment Code",$L74,"due date",J$8)/$J$7</t>
  </si>
  <si>
    <t>=AVERAGE(I74:J74)</t>
  </si>
  <si>
    <t>=IF(K75=0,"hide","")</t>
  </si>
  <si>
    <t>=D74</t>
  </si>
  <si>
    <t>=NL("sum","Production Order","Quantity","Source No.",$D75,"Equipment Code",$L75,"due date",F$8)/-12</t>
  </si>
  <si>
    <t>=NL("sum","Production Order","Quantity","Source No.",$D75,"Equipment Code",$L75,"due date",G$8)/-12</t>
  </si>
  <si>
    <t>=NL("sum","Production Order","Quantity","Source No.",$D75,"Equipment Code",$L75,"due date",H$8)/-12</t>
  </si>
  <si>
    <t>=NL("sum","Production Order","Quantity","Source No.",$D75,"Equipment Code",$L75,"due date",I$8)/-12</t>
  </si>
  <si>
    <t>=NL("sum","Production Order","Quantity","Source No.",$D75,"Equipment Code",$L75,"due date",J$8)/$J$7</t>
  </si>
  <si>
    <t>=AVERAGE(I75:J75)</t>
  </si>
  <si>
    <t>=IF(K76=0,"hide","")</t>
  </si>
  <si>
    <t>=D75</t>
  </si>
  <si>
    <t>=NL("sum","Production Order","Quantity","Source No.",$D76,"Equipment Code",$L76,"due date",F$8)/-12</t>
  </si>
  <si>
    <t>=NL("sum","Production Order","Quantity","Source No.",$D76,"Equipment Code",$L76,"due date",G$8)/-12</t>
  </si>
  <si>
    <t>=NL("sum","Production Order","Quantity","Source No.",$D76,"Equipment Code",$L76,"due date",H$8)/-12</t>
  </si>
  <si>
    <t>=NL("sum","Production Order","Quantity","Source No.",$D76,"Equipment Code",$L76,"due date",I$8)/-12</t>
  </si>
  <si>
    <t>=NL("sum","Production Order","Quantity","Source No.",$D76,"Equipment Code",$L76,"due date",J$8)/$J$7</t>
  </si>
  <si>
    <t>=AVERAGE(I76:J76)</t>
  </si>
  <si>
    <t>=IF(K77=0,"hide","")</t>
  </si>
  <si>
    <t>=D76</t>
  </si>
  <si>
    <t>=NL("sum","Production Order","Quantity","Source No.",$D77,"Equipment Code",$L77,"due date",F$8)/-12</t>
  </si>
  <si>
    <t>=NL("sum","Production Order","Quantity","Source No.",$D77,"Equipment Code",$L77,"due date",G$8)/-12</t>
  </si>
  <si>
    <t>=NL("sum","Production Order","Quantity","Source No.",$D77,"Equipment Code",$L77,"due date",H$8)/-12</t>
  </si>
  <si>
    <t>=NL("sum","Production Order","Quantity","Source No.",$D77,"Equipment Code",$L77,"due date",I$8)/-12</t>
  </si>
  <si>
    <t>=NL("sum","Production Order","Quantity","Source No.",$D77,"Equipment Code",$L77,"due date",J$8)/$J$7</t>
  </si>
  <si>
    <t>=AVERAGE(I77:J77)</t>
  </si>
  <si>
    <t>=B74</t>
  </si>
  <si>
    <t>=B78</t>
  </si>
  <si>
    <t>=SUM(F74:F78)</t>
  </si>
  <si>
    <t>=SUM(G74:G78)</t>
  </si>
  <si>
    <t>=SUM(H74:H78)</t>
  </si>
  <si>
    <t>=SUM(I74:I78)</t>
  </si>
  <si>
    <t>=SUM(J74:J78)</t>
  </si>
  <si>
    <t>=IF(K80=0,"hide","")</t>
  </si>
  <si>
    <t>=NL("sum","Item Ledger Entry","Quantity","Item No.",$D80,"Entry Type","Sale|Consumption","posting date","01/01/23..12/31/23")/$J$7</t>
  </si>
  <si>
    <t>=AVERAGE(I80:J80)</t>
  </si>
  <si>
    <t>=NL(1,"item",L$9,"no.",D80)</t>
  </si>
  <si>
    <t>=NL(1,"item",M$9,"no.",$D80)</t>
  </si>
  <si>
    <t>=NL(1,"Prod. BOM Equipment","Fixed Prod. Time (Hours)","Production BOM No.",$D80,"version code",$E80,"Resource No.",O$9)</t>
  </si>
  <si>
    <t>=1/O80</t>
  </si>
  <si>
    <t>=IF(NL(1,"Prod. BOM Equipment","Variable Prod. Time (Hours)","Production BOM No.",$D80,"version code",$E80,"Resource No.",$O$9)="",1,NL(1,"Prod. BOM Equipment","Variable Prod. Time (Hours)","Production BOM No.",$D80,"version code",$E80,"Resource No.",$O$9))</t>
  </si>
  <si>
    <t>=1/Q80</t>
  </si>
  <si>
    <t>=R80*N80</t>
  </si>
  <si>
    <t>=IF(K81=0,"hide","")</t>
  </si>
  <si>
    <t>=D80</t>
  </si>
  <si>
    <t>=NL("sum","Production Order","Quantity","Source No.",$D81,"Equipment Code",$L81,"due date",F$8)/-12</t>
  </si>
  <si>
    <t>=NL("sum","Production Order","Quantity","Source No.",$D81,"Equipment Code",$L81,"due date",G$8)/-12</t>
  </si>
  <si>
    <t>=NL("sum","Production Order","Quantity","Source No.",$D81,"Equipment Code",$L81,"due date",H$8)/-12</t>
  </si>
  <si>
    <t>=NL("sum","Production Order","Quantity","Source No.",$D81,"Equipment Code",$L81,"due date",I$8)/-12</t>
  </si>
  <si>
    <t>=NL("sum","Production Order","Quantity","Source No.",$D81,"Equipment Code",$L81,"due date",J$8)/$J$7</t>
  </si>
  <si>
    <t>=AVERAGE(I81:J81)</t>
  </si>
  <si>
    <t>=IF(K82=0,"hide","")</t>
  </si>
  <si>
    <t>=D81</t>
  </si>
  <si>
    <t>=NL("sum","Production Order","Quantity","Source No.",$D82,"Equipment Code",$L82,"due date",F$8)/-12</t>
  </si>
  <si>
    <t>=NL("sum","Production Order","Quantity","Source No.",$D82,"Equipment Code",$L82,"due date",G$8)/-12</t>
  </si>
  <si>
    <t>=NL("sum","Production Order","Quantity","Source No.",$D82,"Equipment Code",$L82,"due date",H$8)/-12</t>
  </si>
  <si>
    <t>=NL("sum","Production Order","Quantity","Source No.",$D82,"Equipment Code",$L82,"due date",I$8)/-12</t>
  </si>
  <si>
    <t>=NL("sum","Production Order","Quantity","Source No.",$D82,"Equipment Code",$L82,"due date",J$8)/$J$7</t>
  </si>
  <si>
    <t>=AVERAGE(I82:J82)</t>
  </si>
  <si>
    <t>=IF(K83=0,"hide","")</t>
  </si>
  <si>
    <t>=D82</t>
  </si>
  <si>
    <t>=NL("sum","Production Order","Quantity","Source No.",$D83,"Equipment Code",$L83,"due date",F$8)/-12</t>
  </si>
  <si>
    <t>=NL("sum","Production Order","Quantity","Source No.",$D83,"Equipment Code",$L83,"due date",G$8)/-12</t>
  </si>
  <si>
    <t>=NL("sum","Production Order","Quantity","Source No.",$D83,"Equipment Code",$L83,"due date",H$8)/-12</t>
  </si>
  <si>
    <t>=NL("sum","Production Order","Quantity","Source No.",$D83,"Equipment Code",$L83,"due date",I$8)/-12</t>
  </si>
  <si>
    <t>=NL("sum","Production Order","Quantity","Source No.",$D83,"Equipment Code",$L83,"due date",J$8)/$J$7</t>
  </si>
  <si>
    <t>=AVERAGE(I83:J83)</t>
  </si>
  <si>
    <t>=IF(K84=0,"hide","")</t>
  </si>
  <si>
    <t>=D83</t>
  </si>
  <si>
    <t>=NL("sum","Production Order","Quantity","Source No.",$D84,"Equipment Code",$L84,"due date",F$8)/-12</t>
  </si>
  <si>
    <t>=NL("sum","Production Order","Quantity","Source No.",$D84,"Equipment Code",$L84,"due date",G$8)/-12</t>
  </si>
  <si>
    <t>=NL("sum","Production Order","Quantity","Source No.",$D84,"Equipment Code",$L84,"due date",H$8)/-12</t>
  </si>
  <si>
    <t>=NL("sum","Production Order","Quantity","Source No.",$D84,"Equipment Code",$L84,"due date",I$8)/-12</t>
  </si>
  <si>
    <t>=NL("sum","Production Order","Quantity","Source No.",$D84,"Equipment Code",$L84,"due date",J$8)/$J$7</t>
  </si>
  <si>
    <t>=AVERAGE(I84:J84)</t>
  </si>
  <si>
    <t>=B81</t>
  </si>
  <si>
    <t>=B85</t>
  </si>
  <si>
    <t>=SUM(F81:F85)</t>
  </si>
  <si>
    <t>=SUM(G81:G85)</t>
  </si>
  <si>
    <t>=SUM(H81:H85)</t>
  </si>
  <si>
    <t>=SUM(I81:I85)</t>
  </si>
  <si>
    <t>=SUM(J81:J85)</t>
  </si>
  <si>
    <t>=IF(K87=0,"hide","")</t>
  </si>
  <si>
    <t>=NL("sum","Item Ledger Entry","Quantity","Item No.",$D87,"Entry Type","Sale|Consumption","posting date","01/01/23..12/31/23")/$J$7</t>
  </si>
  <si>
    <t>=AVERAGE(I87:J87)</t>
  </si>
  <si>
    <t>=NL(1,"item",L$9,"no.",D87)</t>
  </si>
  <si>
    <t>=NL(1,"item",M$9,"no.",$D87)</t>
  </si>
  <si>
    <t>=NL(1,"Prod. BOM Equipment","Fixed Prod. Time (Hours)","Production BOM No.",$D87,"version code",$E87,"Resource No.",O$9)</t>
  </si>
  <si>
    <t>=1/O87</t>
  </si>
  <si>
    <t>=IF(NL(1,"Prod. BOM Equipment","Variable Prod. Time (Hours)","Production BOM No.",$D87,"version code",$E87,"Resource No.",$O$9)="",1,NL(1,"Prod. BOM Equipment","Variable Prod. Time (Hours)","Production BOM No.",$D87,"version code",$E87,"Resource No.",$O$9))</t>
  </si>
  <si>
    <t>=1/Q87</t>
  </si>
  <si>
    <t>=R87*N87</t>
  </si>
  <si>
    <t>=IF(K88=0,"hide","")</t>
  </si>
  <si>
    <t>=D87</t>
  </si>
  <si>
    <t>=NL("sum","Production Order","Quantity","Source No.",$D88,"Equipment Code",$L88,"due date",F$8)/-12</t>
  </si>
  <si>
    <t>=NL("sum","Production Order","Quantity","Source No.",$D88,"Equipment Code",$L88,"due date",G$8)/-12</t>
  </si>
  <si>
    <t>=NL("sum","Production Order","Quantity","Source No.",$D88,"Equipment Code",$L88,"due date",H$8)/-12</t>
  </si>
  <si>
    <t>=NL("sum","Production Order","Quantity","Source No.",$D88,"Equipment Code",$L88,"due date",I$8)/-12</t>
  </si>
  <si>
    <t>=NL("sum","Production Order","Quantity","Source No.",$D88,"Equipment Code",$L88,"due date",J$8)/$J$7</t>
  </si>
  <si>
    <t>=AVERAGE(I88:J88)</t>
  </si>
  <si>
    <t>=IF(K89=0,"hide","")</t>
  </si>
  <si>
    <t>=D88</t>
  </si>
  <si>
    <t>=NL("sum","Production Order","Quantity","Source No.",$D89,"Equipment Code",$L89,"due date",F$8)/-12</t>
  </si>
  <si>
    <t>=NL("sum","Production Order","Quantity","Source No.",$D89,"Equipment Code",$L89,"due date",G$8)/-12</t>
  </si>
  <si>
    <t>=NL("sum","Production Order","Quantity","Source No.",$D89,"Equipment Code",$L89,"due date",H$8)/-12</t>
  </si>
  <si>
    <t>=NL("sum","Production Order","Quantity","Source No.",$D89,"Equipment Code",$L89,"due date",I$8)/-12</t>
  </si>
  <si>
    <t>=NL("sum","Production Order","Quantity","Source No.",$D89,"Equipment Code",$L89,"due date",J$8)/$J$7</t>
  </si>
  <si>
    <t>=AVERAGE(I89:J89)</t>
  </si>
  <si>
    <t>=IF(K90=0,"hide","")</t>
  </si>
  <si>
    <t>=D89</t>
  </si>
  <si>
    <t>=NL("sum","Production Order","Quantity","Source No.",$D90,"Equipment Code",$L90,"due date",F$8)/-12</t>
  </si>
  <si>
    <t>=NL("sum","Production Order","Quantity","Source No.",$D90,"Equipment Code",$L90,"due date",G$8)/-12</t>
  </si>
  <si>
    <t>=NL("sum","Production Order","Quantity","Source No.",$D90,"Equipment Code",$L90,"due date",H$8)/-12</t>
  </si>
  <si>
    <t>=NL("sum","Production Order","Quantity","Source No.",$D90,"Equipment Code",$L90,"due date",I$8)/-12</t>
  </si>
  <si>
    <t>=NL("sum","Production Order","Quantity","Source No.",$D90,"Equipment Code",$L90,"due date",J$8)/$J$7</t>
  </si>
  <si>
    <t>=AVERAGE(I90:J90)</t>
  </si>
  <si>
    <t>=IF(K91=0,"hide","")</t>
  </si>
  <si>
    <t>=D90</t>
  </si>
  <si>
    <t>=NL("sum","Production Order","Quantity","Source No.",$D91,"Equipment Code",$L91,"due date",F$8)/-12</t>
  </si>
  <si>
    <t>=NL("sum","Production Order","Quantity","Source No.",$D91,"Equipment Code",$L91,"due date",G$8)/-12</t>
  </si>
  <si>
    <t>=NL("sum","Production Order","Quantity","Source No.",$D91,"Equipment Code",$L91,"due date",H$8)/-12</t>
  </si>
  <si>
    <t>=NL("sum","Production Order","Quantity","Source No.",$D91,"Equipment Code",$L91,"due date",I$8)/-12</t>
  </si>
  <si>
    <t>=NL("sum","Production Order","Quantity","Source No.",$D91,"Equipment Code",$L91,"due date",J$8)/$J$7</t>
  </si>
  <si>
    <t>=AVERAGE(I91:J91)</t>
  </si>
  <si>
    <t>=B88</t>
  </si>
  <si>
    <t>=B92</t>
  </si>
  <si>
    <t>=SUM(F88:F92)</t>
  </si>
  <si>
    <t>=SUM(G88:G92)</t>
  </si>
  <si>
    <t>=SUM(H88:H92)</t>
  </si>
  <si>
    <t>=SUM(I88:I92)</t>
  </si>
  <si>
    <t>=SUM(J88:J92)</t>
  </si>
  <si>
    <t>=IF(K94=0,"hide","")</t>
  </si>
  <si>
    <t>=NL("sum","Item Ledger Entry","Quantity","Item No.",$D94,"Entry Type","Sale|Consumption","posting date","01/01/23..12/31/23")/$J$7</t>
  </si>
  <si>
    <t>=AVERAGE(I94:J94)</t>
  </si>
  <si>
    <t>=NL(1,"item",L$9,"no.",D94)</t>
  </si>
  <si>
    <t>=NL(1,"item",M$9,"no.",$D94)</t>
  </si>
  <si>
    <t>=NL(1,"Prod. BOM Equipment","Fixed Prod. Time (Hours)","Production BOM No.",$D94,"version code",$E94,"Resource No.",O$9)</t>
  </si>
  <si>
    <t>=1/O94</t>
  </si>
  <si>
    <t>=IF(NL(1,"Prod. BOM Equipment","Variable Prod. Time (Hours)","Production BOM No.",$D94,"version code",$E94,"Resource No.",$O$9)="",1,NL(1,"Prod. BOM Equipment","Variable Prod. Time (Hours)","Production BOM No.",$D94,"version code",$E94,"Resource No.",$O$9))</t>
  </si>
  <si>
    <t>=1/Q94</t>
  </si>
  <si>
    <t>=R94*N94</t>
  </si>
  <si>
    <t>=IF(K95=0,"hide","")</t>
  </si>
  <si>
    <t>="4"</t>
  </si>
  <si>
    <t>=NL("sum","Item Ledger Entry","Quantity","Item No.",$D95,"Entry Type","Sale|Consumption","posting date","01/01/23..12/31/23")/$J$7</t>
  </si>
  <si>
    <t>=AVERAGE(I95:J95)</t>
  </si>
  <si>
    <t>=NL(1,"item",L$9,"no.",D95)</t>
  </si>
  <si>
    <t>=NL(1,"item",M$9,"no.",$D95)</t>
  </si>
  <si>
    <t>=NL(1,"Prod. BOM Equipment","Fixed Prod. Time (Hours)","Production BOM No.",$D95,"version code",$E95,"Resource No.",O$9)</t>
  </si>
  <si>
    <t>=1/O95</t>
  </si>
  <si>
    <t>=IF(NL(1,"Prod. BOM Equipment","Variable Prod. Time (Hours)","Production BOM No.",$D95,"version code",$E95,"Resource No.",$O$9)="",1,NL(1,"Prod. BOM Equipment","Variable Prod. Time (Hours)","Production BOM No.",$D95,"version code",$E95,"Resource No.",$O$9))</t>
  </si>
  <si>
    <t>=1/Q95</t>
  </si>
  <si>
    <t>=R95*N95</t>
  </si>
  <si>
    <t>=IF(K96=0,"hide","")</t>
  </si>
  <si>
    <t>=D94</t>
  </si>
  <si>
    <t>=NL("sum","Production Order","Quantity","Source No.",$D96,"Equipment Code",$L96,"due date",F$8)/-12</t>
  </si>
  <si>
    <t>=NL("sum","Production Order","Quantity","Source No.",$D96,"Equipment Code",$L96,"due date",G$8)/-12</t>
  </si>
  <si>
    <t>=NL("sum","Production Order","Quantity","Source No.",$D96,"Equipment Code",$L96,"due date",H$8)/-12</t>
  </si>
  <si>
    <t>=NL("sum","Production Order","Quantity","Source No.",$D96,"Equipment Code",$L96,"due date",I$8)/-12</t>
  </si>
  <si>
    <t>=NL("sum","Production Order","Quantity","Source No.",$D96,"Equipment Code",$L96,"due date",J$8)/$J$7</t>
  </si>
  <si>
    <t>=AVERAGE(I96:J96)</t>
  </si>
  <si>
    <t>=IF(K97=0,"hide","")</t>
  </si>
  <si>
    <t>=D95</t>
  </si>
  <si>
    <t>=NL("sum","Production Order","Quantity","Source No.",$D97,"Equipment Code",$L97,"due date",F$8)/-12</t>
  </si>
  <si>
    <t>=NL("sum","Production Order","Quantity","Source No.",$D97,"Equipment Code",$L97,"due date",G$8)/-12</t>
  </si>
  <si>
    <t>=NL("sum","Production Order","Quantity","Source No.",$D97,"Equipment Code",$L97,"due date",H$8)/-12</t>
  </si>
  <si>
    <t>=NL("sum","Production Order","Quantity","Source No.",$D97,"Equipment Code",$L97,"due date",I$8)/-12</t>
  </si>
  <si>
    <t>=NL("sum","Production Order","Quantity","Source No.",$D97,"Equipment Code",$L97,"due date",J$8)/$J$7</t>
  </si>
  <si>
    <t>=AVERAGE(I97:J97)</t>
  </si>
  <si>
    <t>=IF(K98=0,"hide","")</t>
  </si>
  <si>
    <t>=D96</t>
  </si>
  <si>
    <t>=NL("sum","Production Order","Quantity","Source No.",$D98,"Equipment Code",$L98,"due date",F$8)/-12</t>
  </si>
  <si>
    <t>=NL("sum","Production Order","Quantity","Source No.",$D98,"Equipment Code",$L98,"due date",G$8)/-12</t>
  </si>
  <si>
    <t>=NL("sum","Production Order","Quantity","Source No.",$D98,"Equipment Code",$L98,"due date",H$8)/-12</t>
  </si>
  <si>
    <t>=NL("sum","Production Order","Quantity","Source No.",$D98,"Equipment Code",$L98,"due date",I$8)/-12</t>
  </si>
  <si>
    <t>=NL("sum","Production Order","Quantity","Source No.",$D98,"Equipment Code",$L98,"due date",J$8)/$J$7</t>
  </si>
  <si>
    <t>=AVERAGE(I98:J98)</t>
  </si>
  <si>
    <t>=IF(K99=0,"hide","")</t>
  </si>
  <si>
    <t>=D97</t>
  </si>
  <si>
    <t>=NL("sum","Production Order","Quantity","Source No.",$D99,"Equipment Code",$L99,"due date",F$8)/-12</t>
  </si>
  <si>
    <t>=NL("sum","Production Order","Quantity","Source No.",$D99,"Equipment Code",$L99,"due date",G$8)/-12</t>
  </si>
  <si>
    <t>=NL("sum","Production Order","Quantity","Source No.",$D99,"Equipment Code",$L99,"due date",H$8)/-12</t>
  </si>
  <si>
    <t>=NL("sum","Production Order","Quantity","Source No.",$D99,"Equipment Code",$L99,"due date",I$8)/-12</t>
  </si>
  <si>
    <t>=NL("sum","Production Order","Quantity","Source No.",$D99,"Equipment Code",$L99,"due date",J$8)/$J$7</t>
  </si>
  <si>
    <t>=AVERAGE(I99:J99)</t>
  </si>
  <si>
    <t>=B96</t>
  </si>
  <si>
    <t>=B100</t>
  </si>
  <si>
    <t>=SUM(F96:F100)</t>
  </si>
  <si>
    <t>=SUM(G96:G100)</t>
  </si>
  <si>
    <t>=SUM(H96:H100)</t>
  </si>
  <si>
    <t>=SUM(I96:I100)</t>
  </si>
  <si>
    <t>=SUM(J96:J100)</t>
  </si>
  <si>
    <t>=IF(K102=0,"hide","")</t>
  </si>
  <si>
    <t>="01618"</t>
  </si>
  <si>
    <t>=NL("sum","Item Ledger Entry","Quantity","Item No.",$D102,"Entry Type","Sale|Consumption","posting date","01/01/23..12/31/23")/$J$7</t>
  </si>
  <si>
    <t>=AVERAGE(I102:J102)</t>
  </si>
  <si>
    <t>=NL(1,"item",L$9,"no.",D102)</t>
  </si>
  <si>
    <t>=NL(1,"item",M$9,"no.",$D102)</t>
  </si>
  <si>
    <t>=NL(1,"Prod. BOM Equipment","Fixed Prod. Time (Hours)","Production BOM No.",$D102,"version code",$E102,"Resource No.",O$9)</t>
  </si>
  <si>
    <t>=1/O102</t>
  </si>
  <si>
    <t>=IF(NL(1,"Prod. BOM Equipment","Variable Prod. Time (Hours)","Production BOM No.",$D102,"version code",$E102,"Resource No.",$O$9)="",1,NL(1,"Prod. BOM Equipment","Variable Prod. Time (Hours)","Production BOM No.",$D102,"version code",$E102,"Resource No.",$O$9))</t>
  </si>
  <si>
    <t>=1/Q102</t>
  </si>
  <si>
    <t>=R102*N102</t>
  </si>
  <si>
    <t>=IF(K103=0,"hide","")</t>
  </si>
  <si>
    <t>=D102</t>
  </si>
  <si>
    <t>=NL("sum","Production Order","Quantity","Source No.",$D103,"Equipment Code",$L103,"due date",F$8)/-12</t>
  </si>
  <si>
    <t>=NL("sum","Production Order","Quantity","Source No.",$D103,"Equipment Code",$L103,"due date",G$8)/-12</t>
  </si>
  <si>
    <t>=NL("sum","Production Order","Quantity","Source No.",$D103,"Equipment Code",$L103,"due date",H$8)/-12</t>
  </si>
  <si>
    <t>=NL("sum","Production Order","Quantity","Source No.",$D103,"Equipment Code",$L103,"due date",I$8)/-12</t>
  </si>
  <si>
    <t>=NL("sum","Production Order","Quantity","Source No.",$D103,"Equipment Code",$L103,"due date",J$8)/$J$7</t>
  </si>
  <si>
    <t>=AVERAGE(I103:J103)</t>
  </si>
  <si>
    <t>=IF(K104=0,"hide","")</t>
  </si>
  <si>
    <t>=D103</t>
  </si>
  <si>
    <t>=NL("sum","Production Order","Quantity","Source No.",$D104,"Equipment Code",$L104,"due date",F$8)/-12</t>
  </si>
  <si>
    <t>=NL("sum","Production Order","Quantity","Source No.",$D104,"Equipment Code",$L104,"due date",G$8)/-12</t>
  </si>
  <si>
    <t>=NL("sum","Production Order","Quantity","Source No.",$D104,"Equipment Code",$L104,"due date",H$8)/-12</t>
  </si>
  <si>
    <t>=NL("sum","Production Order","Quantity","Source No.",$D104,"Equipment Code",$L104,"due date",I$8)/-12</t>
  </si>
  <si>
    <t>=NL("sum","Production Order","Quantity","Source No.",$D104,"Equipment Code",$L104,"due date",J$8)/$J$7</t>
  </si>
  <si>
    <t>=AVERAGE(I104:J104)</t>
  </si>
  <si>
    <t>=IF(K105=0,"hide","")</t>
  </si>
  <si>
    <t>=D104</t>
  </si>
  <si>
    <t>=NL("sum","Production Order","Quantity","Source No.",$D105,"Equipment Code",$L105,"due date",F$8)/-12</t>
  </si>
  <si>
    <t>=NL("sum","Production Order","Quantity","Source No.",$D105,"Equipment Code",$L105,"due date",G$8)/-12</t>
  </si>
  <si>
    <t>=NL("sum","Production Order","Quantity","Source No.",$D105,"Equipment Code",$L105,"due date",H$8)/-12</t>
  </si>
  <si>
    <t>=NL("sum","Production Order","Quantity","Source No.",$D105,"Equipment Code",$L105,"due date",I$8)/-12</t>
  </si>
  <si>
    <t>=NL("sum","Production Order","Quantity","Source No.",$D105,"Equipment Code",$L105,"due date",J$8)/$J$7</t>
  </si>
  <si>
    <t>=AVERAGE(I105:J105)</t>
  </si>
  <si>
    <t>=IF(K106=0,"hide","")</t>
  </si>
  <si>
    <t>=D105</t>
  </si>
  <si>
    <t>=NL("sum","Production Order","Quantity","Source No.",$D106,"Equipment Code",$L106,"due date",F$8)/-12</t>
  </si>
  <si>
    <t>=NL("sum","Production Order","Quantity","Source No.",$D106,"Equipment Code",$L106,"due date",G$8)/-12</t>
  </si>
  <si>
    <t>=NL("sum","Production Order","Quantity","Source No.",$D106,"Equipment Code",$L106,"due date",H$8)/-12</t>
  </si>
  <si>
    <t>=NL("sum","Production Order","Quantity","Source No.",$D106,"Equipment Code",$L106,"due date",I$8)/-12</t>
  </si>
  <si>
    <t>=NL("sum","Production Order","Quantity","Source No.",$D106,"Equipment Code",$L106,"due date",J$8)/$J$7</t>
  </si>
  <si>
    <t>=AVERAGE(I106:J106)</t>
  </si>
  <si>
    <t>=B103</t>
  </si>
  <si>
    <t>=B107</t>
  </si>
  <si>
    <t>=SUM(F103:F107)</t>
  </si>
  <si>
    <t>=SUM(G103:G107)</t>
  </si>
  <si>
    <t>=SUM(H103:H107)</t>
  </si>
  <si>
    <t>=SUM(I103:I107)</t>
  </si>
  <si>
    <t>=SUM(J103:J107)</t>
  </si>
  <si>
    <t>=IF(K109=0,"hide","")</t>
  </si>
  <si>
    <t>="01661"</t>
  </si>
  <si>
    <t>=NL("sum","Item Ledger Entry","Quantity","Item No.",$D109,"Entry Type","Sale|Consumption","posting date","01/01/23..12/31/23")/$J$7</t>
  </si>
  <si>
    <t>=AVERAGE(I109:J109)</t>
  </si>
  <si>
    <t>=NL(1,"item",L$9,"no.",D109)</t>
  </si>
  <si>
    <t>=NL(1,"item",M$9,"no.",$D109)</t>
  </si>
  <si>
    <t>=NL(1,"Prod. BOM Equipment","Fixed Prod. Time (Hours)","Production BOM No.",$D109,"version code",$E109,"Resource No.",O$9)</t>
  </si>
  <si>
    <t>=1/O109</t>
  </si>
  <si>
    <t>=IF(NL(1,"Prod. BOM Equipment","Variable Prod. Time (Hours)","Production BOM No.",$D109,"version code",$E109,"Resource No.",$O$9)="",1,NL(1,"Prod. BOM Equipment","Variable Prod. Time (Hours)","Production BOM No.",$D109,"version code",$E109,"Resource No.",$O$9))</t>
  </si>
  <si>
    <t>=1/Q109</t>
  </si>
  <si>
    <t>=R109*N109</t>
  </si>
  <si>
    <t>=IF(K110=0,"hide","")</t>
  </si>
  <si>
    <t>=D109</t>
  </si>
  <si>
    <t>=NL("sum","Production Order","Quantity","Source No.",$D110,"Equipment Code",$L110,"due date",F$8)/-12</t>
  </si>
  <si>
    <t>=NL("sum","Production Order","Quantity","Source No.",$D110,"Equipment Code",$L110,"due date",G$8)/-12</t>
  </si>
  <si>
    <t>=NL("sum","Production Order","Quantity","Source No.",$D110,"Equipment Code",$L110,"due date",H$8)/-12</t>
  </si>
  <si>
    <t>=NL("sum","Production Order","Quantity","Source No.",$D110,"Equipment Code",$L110,"due date",I$8)/-12</t>
  </si>
  <si>
    <t>=NL("sum","Production Order","Quantity","Source No.",$D110,"Equipment Code",$L110,"due date",J$8)/$J$7</t>
  </si>
  <si>
    <t>=AVERAGE(I110:J110)</t>
  </si>
  <si>
    <t>=IF(K111=0,"hide","")</t>
  </si>
  <si>
    <t>=D110</t>
  </si>
  <si>
    <t>=NL("sum","Production Order","Quantity","Source No.",$D111,"Equipment Code",$L111,"due date",F$8)/-12</t>
  </si>
  <si>
    <t>=NL("sum","Production Order","Quantity","Source No.",$D111,"Equipment Code",$L111,"due date",G$8)/-12</t>
  </si>
  <si>
    <t>=NL("sum","Production Order","Quantity","Source No.",$D111,"Equipment Code",$L111,"due date",H$8)/-12</t>
  </si>
  <si>
    <t>=NL("sum","Production Order","Quantity","Source No.",$D111,"Equipment Code",$L111,"due date",I$8)/-12</t>
  </si>
  <si>
    <t>=NL("sum","Production Order","Quantity","Source No.",$D111,"Equipment Code",$L111,"due date",J$8)/$J$7</t>
  </si>
  <si>
    <t>=AVERAGE(I111:J111)</t>
  </si>
  <si>
    <t>=IF(K112=0,"hide","")</t>
  </si>
  <si>
    <t>=D111</t>
  </si>
  <si>
    <t>=NL("sum","Production Order","Quantity","Source No.",$D112,"Equipment Code",$L112,"due date",F$8)/-12</t>
  </si>
  <si>
    <t>=NL("sum","Production Order","Quantity","Source No.",$D112,"Equipment Code",$L112,"due date",G$8)/-12</t>
  </si>
  <si>
    <t>=NL("sum","Production Order","Quantity","Source No.",$D112,"Equipment Code",$L112,"due date",H$8)/-12</t>
  </si>
  <si>
    <t>=NL("sum","Production Order","Quantity","Source No.",$D112,"Equipment Code",$L112,"due date",I$8)/-12</t>
  </si>
  <si>
    <t>=NL("sum","Production Order","Quantity","Source No.",$D112,"Equipment Code",$L112,"due date",J$8)/$J$7</t>
  </si>
  <si>
    <t>=AVERAGE(I112:J112)</t>
  </si>
  <si>
    <t>=IF(K113=0,"hide","")</t>
  </si>
  <si>
    <t>=D112</t>
  </si>
  <si>
    <t>=NL("sum","Production Order","Quantity","Source No.",$D113,"Equipment Code",$L113,"due date",F$8)/-12</t>
  </si>
  <si>
    <t>=NL("sum","Production Order","Quantity","Source No.",$D113,"Equipment Code",$L113,"due date",G$8)/-12</t>
  </si>
  <si>
    <t>=NL("sum","Production Order","Quantity","Source No.",$D113,"Equipment Code",$L113,"due date",H$8)/-12</t>
  </si>
  <si>
    <t>=NL("sum","Production Order","Quantity","Source No.",$D113,"Equipment Code",$L113,"due date",I$8)/-12</t>
  </si>
  <si>
    <t>=NL("sum","Production Order","Quantity","Source No.",$D113,"Equipment Code",$L113,"due date",J$8)/$J$7</t>
  </si>
  <si>
    <t>=AVERAGE(I113:J113)</t>
  </si>
  <si>
    <t>=B110</t>
  </si>
  <si>
    <t>=B114</t>
  </si>
  <si>
    <t>=SUM(F110:F114)</t>
  </si>
  <si>
    <t>=SUM(G110:G114)</t>
  </si>
  <si>
    <t>=SUM(H110:H114)</t>
  </si>
  <si>
    <t>=SUM(I110:I114)</t>
  </si>
  <si>
    <t>=SUM(J110:J114)</t>
  </si>
  <si>
    <t>=IF(K116=0,"hide","")</t>
  </si>
  <si>
    <t>="01666"</t>
  </si>
  <si>
    <t>=NL("sum","Item Ledger Entry","Quantity","Item No.",$D116,"Entry Type","Sale|Consumption","posting date","01/01/23..12/31/23")/$J$7</t>
  </si>
  <si>
    <t>=AVERAGE(I116:J116)</t>
  </si>
  <si>
    <t>=NL(1,"item",L$9,"no.",D116)</t>
  </si>
  <si>
    <t>=NL(1,"item",M$9,"no.",$D116)</t>
  </si>
  <si>
    <t>=NL(1,"Prod. BOM Equipment","Fixed Prod. Time (Hours)","Production BOM No.",$D116,"version code",$E116,"Resource No.",O$9)</t>
  </si>
  <si>
    <t>=1/O116</t>
  </si>
  <si>
    <t>=IF(NL(1,"Prod. BOM Equipment","Variable Prod. Time (Hours)","Production BOM No.",$D116,"version code",$E116,"Resource No.",$O$9)="",1,NL(1,"Prod. BOM Equipment","Variable Prod. Time (Hours)","Production BOM No.",$D116,"version code",$E116,"Resource No.",$O$9))</t>
  </si>
  <si>
    <t>=1/Q116</t>
  </si>
  <si>
    <t>=R116*N116</t>
  </si>
  <si>
    <t>=IF(K117=0,"hide","")</t>
  </si>
  <si>
    <t>=D116</t>
  </si>
  <si>
    <t>=NL("sum","Production Order","Quantity","Source No.",$D117,"Equipment Code",$L117,"due date",F$8)/-12</t>
  </si>
  <si>
    <t>=NL("sum","Production Order","Quantity","Source No.",$D117,"Equipment Code",$L117,"due date",G$8)/-12</t>
  </si>
  <si>
    <t>=NL("sum","Production Order","Quantity","Source No.",$D117,"Equipment Code",$L117,"due date",H$8)/-12</t>
  </si>
  <si>
    <t>=NL("sum","Production Order","Quantity","Source No.",$D117,"Equipment Code",$L117,"due date",I$8)/-12</t>
  </si>
  <si>
    <t>=NL("sum","Production Order","Quantity","Source No.",$D117,"Equipment Code",$L117,"due date",J$8)/$J$7</t>
  </si>
  <si>
    <t>=AVERAGE(I117:J117)</t>
  </si>
  <si>
    <t>=IF(K118=0,"hide","")</t>
  </si>
  <si>
    <t>=D117</t>
  </si>
  <si>
    <t>=NL("sum","Production Order","Quantity","Source No.",$D118,"Equipment Code",$L118,"due date",F$8)/-12</t>
  </si>
  <si>
    <t>=NL("sum","Production Order","Quantity","Source No.",$D118,"Equipment Code",$L118,"due date",G$8)/-12</t>
  </si>
  <si>
    <t>=NL("sum","Production Order","Quantity","Source No.",$D118,"Equipment Code",$L118,"due date",H$8)/-12</t>
  </si>
  <si>
    <t>=NL("sum","Production Order","Quantity","Source No.",$D118,"Equipment Code",$L118,"due date",I$8)/-12</t>
  </si>
  <si>
    <t>=NL("sum","Production Order","Quantity","Source No.",$D118,"Equipment Code",$L118,"due date",J$8)/$J$7</t>
  </si>
  <si>
    <t>=AVERAGE(I118:J118)</t>
  </si>
  <si>
    <t>=IF(K119=0,"hide","")</t>
  </si>
  <si>
    <t>=D118</t>
  </si>
  <si>
    <t>=NL("sum","Production Order","Quantity","Source No.",$D119,"Equipment Code",$L119,"due date",F$8)/-12</t>
  </si>
  <si>
    <t>=NL("sum","Production Order","Quantity","Source No.",$D119,"Equipment Code",$L119,"due date",G$8)/-12</t>
  </si>
  <si>
    <t>=NL("sum","Production Order","Quantity","Source No.",$D119,"Equipment Code",$L119,"due date",H$8)/-12</t>
  </si>
  <si>
    <t>=NL("sum","Production Order","Quantity","Source No.",$D119,"Equipment Code",$L119,"due date",I$8)/-12</t>
  </si>
  <si>
    <t>=NL("sum","Production Order","Quantity","Source No.",$D119,"Equipment Code",$L119,"due date",J$8)/$J$7</t>
  </si>
  <si>
    <t>=AVERAGE(I119:J119)</t>
  </si>
  <si>
    <t>=IF(K120=0,"hide","")</t>
  </si>
  <si>
    <t>=D119</t>
  </si>
  <si>
    <t>=NL("sum","Production Order","Quantity","Source No.",$D120,"Equipment Code",$L120,"due date",F$8)/-12</t>
  </si>
  <si>
    <t>=NL("sum","Production Order","Quantity","Source No.",$D120,"Equipment Code",$L120,"due date",G$8)/-12</t>
  </si>
  <si>
    <t>=NL("sum","Production Order","Quantity","Source No.",$D120,"Equipment Code",$L120,"due date",H$8)/-12</t>
  </si>
  <si>
    <t>=NL("sum","Production Order","Quantity","Source No.",$D120,"Equipment Code",$L120,"due date",I$8)/-12</t>
  </si>
  <si>
    <t>=NL("sum","Production Order","Quantity","Source No.",$D120,"Equipment Code",$L120,"due date",J$8)/$J$7</t>
  </si>
  <si>
    <t>=AVERAGE(I120:J120)</t>
  </si>
  <si>
    <t>=B117</t>
  </si>
  <si>
    <t>=B121</t>
  </si>
  <si>
    <t>=SUM(F117:F121)</t>
  </si>
  <si>
    <t>=SUM(G117:G121)</t>
  </si>
  <si>
    <t>=SUM(H117:H121)</t>
  </si>
  <si>
    <t>=SUM(I117:I121)</t>
  </si>
  <si>
    <t>=SUM(J117:J121)</t>
  </si>
  <si>
    <t>=IF(K123=0,"hide","")</t>
  </si>
  <si>
    <t>="01670"</t>
  </si>
  <si>
    <t>=NL("sum","Item Ledger Entry","Quantity","Item No.",$D123,"Entry Type","Sale|Consumption","posting date","01/01/23..12/31/23")/$J$7</t>
  </si>
  <si>
    <t>=AVERAGE(I123:J123)</t>
  </si>
  <si>
    <t>=NL(1,"item",L$9,"no.",D123)</t>
  </si>
  <si>
    <t>=NL(1,"item",M$9,"no.",$D123)</t>
  </si>
  <si>
    <t>=NL(1,"Prod. BOM Equipment","Fixed Prod. Time (Hours)","Production BOM No.",$D123,"version code",$E123,"Resource No.",O$9)</t>
  </si>
  <si>
    <t>=1/O123</t>
  </si>
  <si>
    <t>=IF(NL(1,"Prod. BOM Equipment","Variable Prod. Time (Hours)","Production BOM No.",$D123,"version code",$E123,"Resource No.",$O$9)="",1,NL(1,"Prod. BOM Equipment","Variable Prod. Time (Hours)","Production BOM No.",$D123,"version code",$E123,"Resource No.",$O$9))</t>
  </si>
  <si>
    <t>=1/Q123</t>
  </si>
  <si>
    <t>=R123*N123</t>
  </si>
  <si>
    <t>=IF(K124=0,"hide","")</t>
  </si>
  <si>
    <t>=D123</t>
  </si>
  <si>
    <t>=NL("sum","Production Order","Quantity","Source No.",$D124,"Equipment Code",$L124,"due date",F$8)/-12</t>
  </si>
  <si>
    <t>=NL("sum","Production Order","Quantity","Source No.",$D124,"Equipment Code",$L124,"due date",G$8)/-12</t>
  </si>
  <si>
    <t>=NL("sum","Production Order","Quantity","Source No.",$D124,"Equipment Code",$L124,"due date",H$8)/-12</t>
  </si>
  <si>
    <t>=NL("sum","Production Order","Quantity","Source No.",$D124,"Equipment Code",$L124,"due date",I$8)/-12</t>
  </si>
  <si>
    <t>=NL("sum","Production Order","Quantity","Source No.",$D124,"Equipment Code",$L124,"due date",J$8)/$J$7</t>
  </si>
  <si>
    <t>=AVERAGE(I124:J124)</t>
  </si>
  <si>
    <t>=IF(K125=0,"hide","")</t>
  </si>
  <si>
    <t>=D124</t>
  </si>
  <si>
    <t>=NL("sum","Production Order","Quantity","Source No.",$D125,"Equipment Code",$L125,"due date",F$8)/-12</t>
  </si>
  <si>
    <t>=NL("sum","Production Order","Quantity","Source No.",$D125,"Equipment Code",$L125,"due date",G$8)/-12</t>
  </si>
  <si>
    <t>=NL("sum","Production Order","Quantity","Source No.",$D125,"Equipment Code",$L125,"due date",H$8)/-12</t>
  </si>
  <si>
    <t>=NL("sum","Production Order","Quantity","Source No.",$D125,"Equipment Code",$L125,"due date",I$8)/-12</t>
  </si>
  <si>
    <t>=NL("sum","Production Order","Quantity","Source No.",$D125,"Equipment Code",$L125,"due date",J$8)/$J$7</t>
  </si>
  <si>
    <t>=AVERAGE(I125:J125)</t>
  </si>
  <si>
    <t>=IF(K126=0,"hide","")</t>
  </si>
  <si>
    <t>=D125</t>
  </si>
  <si>
    <t>=NL("sum","Production Order","Quantity","Source No.",$D126,"Equipment Code",$L126,"due date",F$8)/-12</t>
  </si>
  <si>
    <t>=NL("sum","Production Order","Quantity","Source No.",$D126,"Equipment Code",$L126,"due date",G$8)/-12</t>
  </si>
  <si>
    <t>=NL("sum","Production Order","Quantity","Source No.",$D126,"Equipment Code",$L126,"due date",H$8)/-12</t>
  </si>
  <si>
    <t>=NL("sum","Production Order","Quantity","Source No.",$D126,"Equipment Code",$L126,"due date",I$8)/-12</t>
  </si>
  <si>
    <t>=NL("sum","Production Order","Quantity","Source No.",$D126,"Equipment Code",$L126,"due date",J$8)/$J$7</t>
  </si>
  <si>
    <t>=AVERAGE(I126:J126)</t>
  </si>
  <si>
    <t>=IF(K127=0,"hide","")</t>
  </si>
  <si>
    <t>=D126</t>
  </si>
  <si>
    <t>=NL("sum","Production Order","Quantity","Source No.",$D127,"Equipment Code",$L127,"due date",F$8)/-12</t>
  </si>
  <si>
    <t>=NL("sum","Production Order","Quantity","Source No.",$D127,"Equipment Code",$L127,"due date",G$8)/-12</t>
  </si>
  <si>
    <t>=NL("sum","Production Order","Quantity","Source No.",$D127,"Equipment Code",$L127,"due date",H$8)/-12</t>
  </si>
  <si>
    <t>=NL("sum","Production Order","Quantity","Source No.",$D127,"Equipment Code",$L127,"due date",I$8)/-12</t>
  </si>
  <si>
    <t>=NL("sum","Production Order","Quantity","Source No.",$D127,"Equipment Code",$L127,"due date",J$8)/$J$7</t>
  </si>
  <si>
    <t>=AVERAGE(I127:J127)</t>
  </si>
  <si>
    <t>=B124</t>
  </si>
  <si>
    <t>=B128</t>
  </si>
  <si>
    <t>=SUM(F124:F128)</t>
  </si>
  <si>
    <t>=SUM(G124:G128)</t>
  </si>
  <si>
    <t>=SUM(H124:H128)</t>
  </si>
  <si>
    <t>=SUM(I124:I128)</t>
  </si>
  <si>
    <t>=SUM(J124:J128)</t>
  </si>
  <si>
    <t>=IF(K130=0,"hide","")</t>
  </si>
  <si>
    <t>="01673"</t>
  </si>
  <si>
    <t>=NL("sum","Item Ledger Entry","Quantity","Item No.",$D130,"Entry Type","Sale|Consumption","posting date","01/01/23..12/31/23")/$J$7</t>
  </si>
  <si>
    <t>=AVERAGE(I130:J130)</t>
  </si>
  <si>
    <t>=NL(1,"item",L$9,"no.",D130)</t>
  </si>
  <si>
    <t>=NL(1,"item",M$9,"no.",$D130)</t>
  </si>
  <si>
    <t>=NL(1,"Prod. BOM Equipment","Fixed Prod. Time (Hours)","Production BOM No.",$D130,"version code",$E130,"Resource No.",O$9)</t>
  </si>
  <si>
    <t>=1/O130</t>
  </si>
  <si>
    <t>=IF(NL(1,"Prod. BOM Equipment","Variable Prod. Time (Hours)","Production BOM No.",$D130,"version code",$E130,"Resource No.",$O$9)="",1,NL(1,"Prod. BOM Equipment","Variable Prod. Time (Hours)","Production BOM No.",$D130,"version code",$E130,"Resource No.",$O$9))</t>
  </si>
  <si>
    <t>=1/Q130</t>
  </si>
  <si>
    <t>=R130*N130</t>
  </si>
  <si>
    <t>=IF(K131=0,"hide","")</t>
  </si>
  <si>
    <t>=D130</t>
  </si>
  <si>
    <t>=NL("sum","Production Order","Quantity","Source No.",$D131,"Equipment Code",$L131,"due date",F$8)/-12</t>
  </si>
  <si>
    <t>=NL("sum","Production Order","Quantity","Source No.",$D131,"Equipment Code",$L131,"due date",G$8)/-12</t>
  </si>
  <si>
    <t>=NL("sum","Production Order","Quantity","Source No.",$D131,"Equipment Code",$L131,"due date",H$8)/-12</t>
  </si>
  <si>
    <t>=NL("sum","Production Order","Quantity","Source No.",$D131,"Equipment Code",$L131,"due date",I$8)/-12</t>
  </si>
  <si>
    <t>=NL("sum","Production Order","Quantity","Source No.",$D131,"Equipment Code",$L131,"due date",J$8)/$J$7</t>
  </si>
  <si>
    <t>=AVERAGE(I131:J131)</t>
  </si>
  <si>
    <t>=IF(K132=0,"hide","")</t>
  </si>
  <si>
    <t>=D131</t>
  </si>
  <si>
    <t>=NL("sum","Production Order","Quantity","Source No.",$D132,"Equipment Code",$L132,"due date",F$8)/-12</t>
  </si>
  <si>
    <t>=NL("sum","Production Order","Quantity","Source No.",$D132,"Equipment Code",$L132,"due date",G$8)/-12</t>
  </si>
  <si>
    <t>=NL("sum","Production Order","Quantity","Source No.",$D132,"Equipment Code",$L132,"due date",H$8)/-12</t>
  </si>
  <si>
    <t>=NL("sum","Production Order","Quantity","Source No.",$D132,"Equipment Code",$L132,"due date",I$8)/-12</t>
  </si>
  <si>
    <t>=NL("sum","Production Order","Quantity","Source No.",$D132,"Equipment Code",$L132,"due date",J$8)/$J$7</t>
  </si>
  <si>
    <t>=AVERAGE(I132:J132)</t>
  </si>
  <si>
    <t>=IF(K133=0,"hide","")</t>
  </si>
  <si>
    <t>=D132</t>
  </si>
  <si>
    <t>=NL("sum","Production Order","Quantity","Source No.",$D133,"Equipment Code",$L133,"due date",F$8)/-12</t>
  </si>
  <si>
    <t>=NL("sum","Production Order","Quantity","Source No.",$D133,"Equipment Code",$L133,"due date",G$8)/-12</t>
  </si>
  <si>
    <t>=NL("sum","Production Order","Quantity","Source No.",$D133,"Equipment Code",$L133,"due date",H$8)/-12</t>
  </si>
  <si>
    <t>=NL("sum","Production Order","Quantity","Source No.",$D133,"Equipment Code",$L133,"due date",I$8)/-12</t>
  </si>
  <si>
    <t>=NL("sum","Production Order","Quantity","Source No.",$D133,"Equipment Code",$L133,"due date",J$8)/$J$7</t>
  </si>
  <si>
    <t>=AVERAGE(I133:J133)</t>
  </si>
  <si>
    <t>=IF(K134=0,"hide","")</t>
  </si>
  <si>
    <t>=D133</t>
  </si>
  <si>
    <t>=NL("sum","Production Order","Quantity","Source No.",$D134,"Equipment Code",$L134,"due date",F$8)/-12</t>
  </si>
  <si>
    <t>=NL("sum","Production Order","Quantity","Source No.",$D134,"Equipment Code",$L134,"due date",G$8)/-12</t>
  </si>
  <si>
    <t>=NL("sum","Production Order","Quantity","Source No.",$D134,"Equipment Code",$L134,"due date",H$8)/-12</t>
  </si>
  <si>
    <t>=NL("sum","Production Order","Quantity","Source No.",$D134,"Equipment Code",$L134,"due date",I$8)/-12</t>
  </si>
  <si>
    <t>=NL("sum","Production Order","Quantity","Source No.",$D134,"Equipment Code",$L134,"due date",J$8)/$J$7</t>
  </si>
  <si>
    <t>=AVERAGE(I134:J134)</t>
  </si>
  <si>
    <t>=B131</t>
  </si>
  <si>
    <t>=B135</t>
  </si>
  <si>
    <t>=SUM(F131:F135)</t>
  </si>
  <si>
    <t>=SUM(G131:G135)</t>
  </si>
  <si>
    <t>=SUM(H131:H135)</t>
  </si>
  <si>
    <t>=SUM(I131:I135)</t>
  </si>
  <si>
    <t>=SUM(J131:J135)</t>
  </si>
  <si>
    <t>=IF(K137=0,"hide","")</t>
  </si>
  <si>
    <t>="01818"</t>
  </si>
  <si>
    <t>=NL("sum","Item Ledger Entry","Quantity","Item No.",$D137,"Entry Type","Sale|Consumption","posting date","01/01/23..12/31/23")/$J$7</t>
  </si>
  <si>
    <t>=AVERAGE(I137:J137)</t>
  </si>
  <si>
    <t>=NL(1,"item",L$9,"no.",D137)</t>
  </si>
  <si>
    <t>=NL(1,"item",M$9,"no.",$D137)</t>
  </si>
  <si>
    <t>=NL(1,"Prod. BOM Equipment","Fixed Prod. Time (Hours)","Production BOM No.",$D137,"version code",$E137,"Resource No.",O$9)</t>
  </si>
  <si>
    <t>=1/O137</t>
  </si>
  <si>
    <t>=IF(NL(1,"Prod. BOM Equipment","Variable Prod. Time (Hours)","Production BOM No.",$D137,"version code",$E137,"Resource No.",$O$9)="",1,NL(1,"Prod. BOM Equipment","Variable Prod. Time (Hours)","Production BOM No.",$D137,"version code",$E137,"Resource No.",$O$9))</t>
  </si>
  <si>
    <t>=1/Q137</t>
  </si>
  <si>
    <t>=R137*N137</t>
  </si>
  <si>
    <t>=IF(K138=0,"hide","")</t>
  </si>
  <si>
    <t>=D137</t>
  </si>
  <si>
    <t>=NL("sum","Production Order","Quantity","Source No.",$D138,"Equipment Code",$L138,"due date",F$8)/-12</t>
  </si>
  <si>
    <t>=NL("sum","Production Order","Quantity","Source No.",$D138,"Equipment Code",$L138,"due date",G$8)/-12</t>
  </si>
  <si>
    <t>=NL("sum","Production Order","Quantity","Source No.",$D138,"Equipment Code",$L138,"due date",H$8)/-12</t>
  </si>
  <si>
    <t>=NL("sum","Production Order","Quantity","Source No.",$D138,"Equipment Code",$L138,"due date",I$8)/-12</t>
  </si>
  <si>
    <t>=NL("sum","Production Order","Quantity","Source No.",$D138,"Equipment Code",$L138,"due date",J$8)/$J$7</t>
  </si>
  <si>
    <t>=AVERAGE(I138:J138)</t>
  </si>
  <si>
    <t>=IF(K139=0,"hide","")</t>
  </si>
  <si>
    <t>=D138</t>
  </si>
  <si>
    <t>=NL("sum","Production Order","Quantity","Source No.",$D139,"Equipment Code",$L139,"due date",F$8)/-12</t>
  </si>
  <si>
    <t>=NL("sum","Production Order","Quantity","Source No.",$D139,"Equipment Code",$L139,"due date",G$8)/-12</t>
  </si>
  <si>
    <t>=NL("sum","Production Order","Quantity","Source No.",$D139,"Equipment Code",$L139,"due date",H$8)/-12</t>
  </si>
  <si>
    <t>=NL("sum","Production Order","Quantity","Source No.",$D139,"Equipment Code",$L139,"due date",I$8)/-12</t>
  </si>
  <si>
    <t>=NL("sum","Production Order","Quantity","Source No.",$D139,"Equipment Code",$L139,"due date",J$8)/$J$7</t>
  </si>
  <si>
    <t>=AVERAGE(I139:J139)</t>
  </si>
  <si>
    <t>=IF(K140=0,"hide","")</t>
  </si>
  <si>
    <t>=D139</t>
  </si>
  <si>
    <t>=NL("sum","Production Order","Quantity","Source No.",$D140,"Equipment Code",$L140,"due date",F$8)/-12</t>
  </si>
  <si>
    <t>=NL("sum","Production Order","Quantity","Source No.",$D140,"Equipment Code",$L140,"due date",G$8)/-12</t>
  </si>
  <si>
    <t>=NL("sum","Production Order","Quantity","Source No.",$D140,"Equipment Code",$L140,"due date",H$8)/-12</t>
  </si>
  <si>
    <t>=NL("sum","Production Order","Quantity","Source No.",$D140,"Equipment Code",$L140,"due date",I$8)/-12</t>
  </si>
  <si>
    <t>=NL("sum","Production Order","Quantity","Source No.",$D140,"Equipment Code",$L140,"due date",J$8)/$J$7</t>
  </si>
  <si>
    <t>=AVERAGE(I140:J140)</t>
  </si>
  <si>
    <t>=IF(K141=0,"hide","")</t>
  </si>
  <si>
    <t>=D140</t>
  </si>
  <si>
    <t>=NL("sum","Production Order","Quantity","Source No.",$D141,"Equipment Code",$L141,"due date",F$8)/-12</t>
  </si>
  <si>
    <t>=NL("sum","Production Order","Quantity","Source No.",$D141,"Equipment Code",$L141,"due date",G$8)/-12</t>
  </si>
  <si>
    <t>=NL("sum","Production Order","Quantity","Source No.",$D141,"Equipment Code",$L141,"due date",H$8)/-12</t>
  </si>
  <si>
    <t>=NL("sum","Production Order","Quantity","Source No.",$D141,"Equipment Code",$L141,"due date",I$8)/-12</t>
  </si>
  <si>
    <t>=NL("sum","Production Order","Quantity","Source No.",$D141,"Equipment Code",$L141,"due date",J$8)/$J$7</t>
  </si>
  <si>
    <t>=AVERAGE(I141:J141)</t>
  </si>
  <si>
    <t>=B138</t>
  </si>
  <si>
    <t>=B142</t>
  </si>
  <si>
    <t>=SUM(F138:F142)</t>
  </si>
  <si>
    <t>=SUM(G138:G142)</t>
  </si>
  <si>
    <t>=SUM(H138:H142)</t>
  </si>
  <si>
    <t>=SUM(I138:I142)</t>
  </si>
  <si>
    <t>=SUM(J138:J142)</t>
  </si>
  <si>
    <t>=IF(K144=0,"hide","")</t>
  </si>
  <si>
    <t>="01870"</t>
  </si>
  <si>
    <t>=NL("sum","Item Ledger Entry","Quantity","Item No.",$D144,"Entry Type","Sale|Consumption","posting date","01/01/23..12/31/23")/$J$7</t>
  </si>
  <si>
    <t>=AVERAGE(I144:J144)</t>
  </si>
  <si>
    <t>=NL(1,"item",L$9,"no.",D144)</t>
  </si>
  <si>
    <t>=NL(1,"item",M$9,"no.",$D144)</t>
  </si>
  <si>
    <t>=NL(1,"Prod. BOM Equipment","Fixed Prod. Time (Hours)","Production BOM No.",$D144,"version code",$E144,"Resource No.",O$9)</t>
  </si>
  <si>
    <t>=1/O144</t>
  </si>
  <si>
    <t>=IF(NL(1,"Prod. BOM Equipment","Variable Prod. Time (Hours)","Production BOM No.",$D144,"version code",$E144,"Resource No.",$O$9)="",1,NL(1,"Prod. BOM Equipment","Variable Prod. Time (Hours)","Production BOM No.",$D144,"version code",$E144,"Resource No.",$O$9))</t>
  </si>
  <si>
    <t>=1/Q144</t>
  </si>
  <si>
    <t>=R144*N144</t>
  </si>
  <si>
    <t>=IF(K145=0,"hide","")</t>
  </si>
  <si>
    <t>=D144</t>
  </si>
  <si>
    <t>=NL("sum","Production Order","Quantity","Source No.",$D145,"Equipment Code",$L145,"due date",F$8)/-12</t>
  </si>
  <si>
    <t>=NL("sum","Production Order","Quantity","Source No.",$D145,"Equipment Code",$L145,"due date",G$8)/-12</t>
  </si>
  <si>
    <t>=NL("sum","Production Order","Quantity","Source No.",$D145,"Equipment Code",$L145,"due date",H$8)/-12</t>
  </si>
  <si>
    <t>=NL("sum","Production Order","Quantity","Source No.",$D145,"Equipment Code",$L145,"due date",I$8)/-12</t>
  </si>
  <si>
    <t>=NL("sum","Production Order","Quantity","Source No.",$D145,"Equipment Code",$L145,"due date",J$8)/$J$7</t>
  </si>
  <si>
    <t>=AVERAGE(I145:J145)</t>
  </si>
  <si>
    <t>=IF(K146=0,"hide","")</t>
  </si>
  <si>
    <t>=D145</t>
  </si>
  <si>
    <t>=NL("sum","Production Order","Quantity","Source No.",$D146,"Equipment Code",$L146,"due date",F$8)/-12</t>
  </si>
  <si>
    <t>=NL("sum","Production Order","Quantity","Source No.",$D146,"Equipment Code",$L146,"due date",G$8)/-12</t>
  </si>
  <si>
    <t>=NL("sum","Production Order","Quantity","Source No.",$D146,"Equipment Code",$L146,"due date",H$8)/-12</t>
  </si>
  <si>
    <t>=NL("sum","Production Order","Quantity","Source No.",$D146,"Equipment Code",$L146,"due date",I$8)/-12</t>
  </si>
  <si>
    <t>=NL("sum","Production Order","Quantity","Source No.",$D146,"Equipment Code",$L146,"due date",J$8)/$J$7</t>
  </si>
  <si>
    <t>=AVERAGE(I146:J146)</t>
  </si>
  <si>
    <t>=IF(K147=0,"hide","")</t>
  </si>
  <si>
    <t>=D146</t>
  </si>
  <si>
    <t>=NL("sum","Production Order","Quantity","Source No.",$D147,"Equipment Code",$L147,"due date",F$8)/-12</t>
  </si>
  <si>
    <t>=NL("sum","Production Order","Quantity","Source No.",$D147,"Equipment Code",$L147,"due date",G$8)/-12</t>
  </si>
  <si>
    <t>=NL("sum","Production Order","Quantity","Source No.",$D147,"Equipment Code",$L147,"due date",H$8)/-12</t>
  </si>
  <si>
    <t>=NL("sum","Production Order","Quantity","Source No.",$D147,"Equipment Code",$L147,"due date",I$8)/-12</t>
  </si>
  <si>
    <t>=NL("sum","Production Order","Quantity","Source No.",$D147,"Equipment Code",$L147,"due date",J$8)/$J$7</t>
  </si>
  <si>
    <t>=AVERAGE(I147:J147)</t>
  </si>
  <si>
    <t>=IF(K148=0,"hide","")</t>
  </si>
  <si>
    <t>=D147</t>
  </si>
  <si>
    <t>=NL("sum","Production Order","Quantity","Source No.",$D148,"Equipment Code",$L148,"due date",F$8)/-12</t>
  </si>
  <si>
    <t>=NL("sum","Production Order","Quantity","Source No.",$D148,"Equipment Code",$L148,"due date",G$8)/-12</t>
  </si>
  <si>
    <t>=NL("sum","Production Order","Quantity","Source No.",$D148,"Equipment Code",$L148,"due date",H$8)/-12</t>
  </si>
  <si>
    <t>=NL("sum","Production Order","Quantity","Source No.",$D148,"Equipment Code",$L148,"due date",I$8)/-12</t>
  </si>
  <si>
    <t>=NL("sum","Production Order","Quantity","Source No.",$D148,"Equipment Code",$L148,"due date",J$8)/$J$7</t>
  </si>
  <si>
    <t>=AVERAGE(I148:J148)</t>
  </si>
  <si>
    <t>=B145</t>
  </si>
  <si>
    <t>=B149</t>
  </si>
  <si>
    <t>=SUM(F145:F149)</t>
  </si>
  <si>
    <t>=SUM(G145:G149)</t>
  </si>
  <si>
    <t>=SUM(H145:H149)</t>
  </si>
  <si>
    <t>=SUM(I145:I149)</t>
  </si>
  <si>
    <t>=SUM(J145:J149)</t>
  </si>
  <si>
    <t>=IF(K151=0,"hide","")</t>
  </si>
  <si>
    <t>="02065"</t>
  </si>
  <si>
    <t>=NL("sum","Item Ledger Entry","Quantity","Item No.",$D151,"Entry Type","Sale|Consumption","posting date","01/01/23..12/31/23")/$J$7</t>
  </si>
  <si>
    <t>=AVERAGE(I151:J151)</t>
  </si>
  <si>
    <t>=NL(1,"item",L$9,"no.",D151)</t>
  </si>
  <si>
    <t>=NL(1,"item",M$9,"no.",$D151)</t>
  </si>
  <si>
    <t>=NL(1,"Prod. BOM Equipment","Fixed Prod. Time (Hours)","Production BOM No.",$D151,"version code",$E151,"Resource No.",O$9)</t>
  </si>
  <si>
    <t>=1/O151</t>
  </si>
  <si>
    <t>=IF(NL(1,"Prod. BOM Equipment","Variable Prod. Time (Hours)","Production BOM No.",$D151,"version code",$E151,"Resource No.",$O$9)="",1,NL(1,"Prod. BOM Equipment","Variable Prod. Time (Hours)","Production BOM No.",$D151,"version code",$E151,"Resource No.",$O$9))</t>
  </si>
  <si>
    <t>=1/Q151</t>
  </si>
  <si>
    <t>=R151*N151</t>
  </si>
  <si>
    <t>=IF(K152=0,"hide","")</t>
  </si>
  <si>
    <t>=D151</t>
  </si>
  <si>
    <t>=NL("sum","Production Order","Quantity","Source No.",$D152,"Equipment Code",$L152,"due date",F$8)/-12</t>
  </si>
  <si>
    <t>=NL("sum","Production Order","Quantity","Source No.",$D152,"Equipment Code",$L152,"due date",G$8)/-12</t>
  </si>
  <si>
    <t>=NL("sum","Production Order","Quantity","Source No.",$D152,"Equipment Code",$L152,"due date",H$8)/-12</t>
  </si>
  <si>
    <t>=NL("sum","Production Order","Quantity","Source No.",$D152,"Equipment Code",$L152,"due date",I$8)/-12</t>
  </si>
  <si>
    <t>=NL("sum","Production Order","Quantity","Source No.",$D152,"Equipment Code",$L152,"due date",J$8)/$J$7</t>
  </si>
  <si>
    <t>=AVERAGE(I152:J152)</t>
  </si>
  <si>
    <t>=IF(K153=0,"hide","")</t>
  </si>
  <si>
    <t>=D152</t>
  </si>
  <si>
    <t>=NL("sum","Production Order","Quantity","Source No.",$D153,"Equipment Code",$L153,"due date",F$8)/-12</t>
  </si>
  <si>
    <t>=NL("sum","Production Order","Quantity","Source No.",$D153,"Equipment Code",$L153,"due date",G$8)/-12</t>
  </si>
  <si>
    <t>=NL("sum","Production Order","Quantity","Source No.",$D153,"Equipment Code",$L153,"due date",H$8)/-12</t>
  </si>
  <si>
    <t>=NL("sum","Production Order","Quantity","Source No.",$D153,"Equipment Code",$L153,"due date",I$8)/-12</t>
  </si>
  <si>
    <t>=NL("sum","Production Order","Quantity","Source No.",$D153,"Equipment Code",$L153,"due date",J$8)/$J$7</t>
  </si>
  <si>
    <t>=AVERAGE(I153:J153)</t>
  </si>
  <si>
    <t>=IF(K154=0,"hide","")</t>
  </si>
  <si>
    <t>=D153</t>
  </si>
  <si>
    <t>=NL("sum","Production Order","Quantity","Source No.",$D154,"Equipment Code",$L154,"due date",F$8)/-12</t>
  </si>
  <si>
    <t>=NL("sum","Production Order","Quantity","Source No.",$D154,"Equipment Code",$L154,"due date",G$8)/-12</t>
  </si>
  <si>
    <t>=NL("sum","Production Order","Quantity","Source No.",$D154,"Equipment Code",$L154,"due date",H$8)/-12</t>
  </si>
  <si>
    <t>=NL("sum","Production Order","Quantity","Source No.",$D154,"Equipment Code",$L154,"due date",I$8)/-12</t>
  </si>
  <si>
    <t>=NL("sum","Production Order","Quantity","Source No.",$D154,"Equipment Code",$L154,"due date",J$8)/$J$7</t>
  </si>
  <si>
    <t>=AVERAGE(I154:J154)</t>
  </si>
  <si>
    <t>=IF(K155=0,"hide","")</t>
  </si>
  <si>
    <t>=D154</t>
  </si>
  <si>
    <t>=NL("sum","Production Order","Quantity","Source No.",$D155,"Equipment Code",$L155,"due date",F$8)/-12</t>
  </si>
  <si>
    <t>=NL("sum","Production Order","Quantity","Source No.",$D155,"Equipment Code",$L155,"due date",G$8)/-12</t>
  </si>
  <si>
    <t>=NL("sum","Production Order","Quantity","Source No.",$D155,"Equipment Code",$L155,"due date",H$8)/-12</t>
  </si>
  <si>
    <t>=NL("sum","Production Order","Quantity","Source No.",$D155,"Equipment Code",$L155,"due date",I$8)/-12</t>
  </si>
  <si>
    <t>=NL("sum","Production Order","Quantity","Source No.",$D155,"Equipment Code",$L155,"due date",J$8)/$J$7</t>
  </si>
  <si>
    <t>=AVERAGE(I155:J155)</t>
  </si>
  <si>
    <t>=B152</t>
  </si>
  <si>
    <t>=B156</t>
  </si>
  <si>
    <t>=SUM(F152:F156)</t>
  </si>
  <si>
    <t>=SUM(G152:G156)</t>
  </si>
  <si>
    <t>=SUM(H152:H156)</t>
  </si>
  <si>
    <t>=SUM(I152:I156)</t>
  </si>
  <si>
    <t>=SUM(J152:J156)</t>
  </si>
  <si>
    <t>=IF(K158=0,"hide","")</t>
  </si>
  <si>
    <t>=NL("sum","Item Ledger Entry","Quantity","Item No.",$D158,"Entry Type","Sale|Consumption","posting date","01/01/23..12/31/23")/$J$7</t>
  </si>
  <si>
    <t>=AVERAGE(I158:J158)</t>
  </si>
  <si>
    <t>=NL(1,"item",L$9,"no.",D158)</t>
  </si>
  <si>
    <t>=NL(1,"item",M$9,"no.",$D158)</t>
  </si>
  <si>
    <t>=NL(1,"Prod. BOM Equipment","Fixed Prod. Time (Hours)","Production BOM No.",$D158,"version code",$E158,"Resource No.",O$9)</t>
  </si>
  <si>
    <t>=1/O158</t>
  </si>
  <si>
    <t>=IF(NL(1,"Prod. BOM Equipment","Variable Prod. Time (Hours)","Production BOM No.",$D158,"version code",$E158,"Resource No.",$O$9)="",1,NL(1,"Prod. BOM Equipment","Variable Prod. Time (Hours)","Production BOM No.",$D158,"version code",$E158,"Resource No.",$O$9))</t>
  </si>
  <si>
    <t>=1/Q158</t>
  </si>
  <si>
    <t>=R158*N158</t>
  </si>
  <si>
    <t>=IF(K159=0,"hide","")</t>
  </si>
  <si>
    <t>=D158</t>
  </si>
  <si>
    <t>=NL("sum","Production Order","Quantity","Source No.",$D159,"Equipment Code",$L159,"due date",F$8)/-12</t>
  </si>
  <si>
    <t>=NL("sum","Production Order","Quantity","Source No.",$D159,"Equipment Code",$L159,"due date",G$8)/-12</t>
  </si>
  <si>
    <t>=NL("sum","Production Order","Quantity","Source No.",$D159,"Equipment Code",$L159,"due date",H$8)/-12</t>
  </si>
  <si>
    <t>=NL("sum","Production Order","Quantity","Source No.",$D159,"Equipment Code",$L159,"due date",I$8)/-12</t>
  </si>
  <si>
    <t>=NL("sum","Production Order","Quantity","Source No.",$D159,"Equipment Code",$L159,"due date",J$8)/$J$7</t>
  </si>
  <si>
    <t>=AVERAGE(I159:J159)</t>
  </si>
  <si>
    <t>=IF(K160=0,"hide","")</t>
  </si>
  <si>
    <t>=D159</t>
  </si>
  <si>
    <t>=NL("sum","Production Order","Quantity","Source No.",$D160,"Equipment Code",$L160,"due date",F$8)/-12</t>
  </si>
  <si>
    <t>=NL("sum","Production Order","Quantity","Source No.",$D160,"Equipment Code",$L160,"due date",G$8)/-12</t>
  </si>
  <si>
    <t>=NL("sum","Production Order","Quantity","Source No.",$D160,"Equipment Code",$L160,"due date",H$8)/-12</t>
  </si>
  <si>
    <t>=NL("sum","Production Order","Quantity","Source No.",$D160,"Equipment Code",$L160,"due date",I$8)/-12</t>
  </si>
  <si>
    <t>=NL("sum","Production Order","Quantity","Source No.",$D160,"Equipment Code",$L160,"due date",J$8)/$J$7</t>
  </si>
  <si>
    <t>=AVERAGE(I160:J160)</t>
  </si>
  <si>
    <t>=IF(K161=0,"hide","")</t>
  </si>
  <si>
    <t>=D160</t>
  </si>
  <si>
    <t>=NL("sum","Production Order","Quantity","Source No.",$D161,"Equipment Code",$L161,"due date",F$8)/-12</t>
  </si>
  <si>
    <t>=NL("sum","Production Order","Quantity","Source No.",$D161,"Equipment Code",$L161,"due date",G$8)/-12</t>
  </si>
  <si>
    <t>=NL("sum","Production Order","Quantity","Source No.",$D161,"Equipment Code",$L161,"due date",H$8)/-12</t>
  </si>
  <si>
    <t>=NL("sum","Production Order","Quantity","Source No.",$D161,"Equipment Code",$L161,"due date",I$8)/-12</t>
  </si>
  <si>
    <t>=NL("sum","Production Order","Quantity","Source No.",$D161,"Equipment Code",$L161,"due date",J$8)/$J$7</t>
  </si>
  <si>
    <t>=AVERAGE(I161:J161)</t>
  </si>
  <si>
    <t>=IF(K162=0,"hide","")</t>
  </si>
  <si>
    <t>=D161</t>
  </si>
  <si>
    <t>=NL("sum","Production Order","Quantity","Source No.",$D162,"Equipment Code",$L162,"due date",F$8)/-12</t>
  </si>
  <si>
    <t>=NL("sum","Production Order","Quantity","Source No.",$D162,"Equipment Code",$L162,"due date",G$8)/-12</t>
  </si>
  <si>
    <t>=NL("sum","Production Order","Quantity","Source No.",$D162,"Equipment Code",$L162,"due date",H$8)/-12</t>
  </si>
  <si>
    <t>=NL("sum","Production Order","Quantity","Source No.",$D162,"Equipment Code",$L162,"due date",I$8)/-12</t>
  </si>
  <si>
    <t>=NL("sum","Production Order","Quantity","Source No.",$D162,"Equipment Code",$L162,"due date",J$8)/$J$7</t>
  </si>
  <si>
    <t>=AVERAGE(I162:J162)</t>
  </si>
  <si>
    <t>=B159</t>
  </si>
  <si>
    <t>=B163</t>
  </si>
  <si>
    <t>=SUM(F159:F163)</t>
  </si>
  <si>
    <t>=SUM(G159:G163)</t>
  </si>
  <si>
    <t>=SUM(H159:H163)</t>
  </si>
  <si>
    <t>=SUM(I159:I163)</t>
  </si>
  <si>
    <t>=SUM(J159:J163)</t>
  </si>
  <si>
    <t>=IF(K165=0,"hide","")</t>
  </si>
  <si>
    <t>=NL("sum","Item Ledger Entry","Quantity","Item No.",$D165,"Entry Type","Sale|Consumption","posting date","01/01/23..12/31/23")/$J$7</t>
  </si>
  <si>
    <t>=AVERAGE(I165:J165)</t>
  </si>
  <si>
    <t>=NL(1,"item",L$9,"no.",D165)</t>
  </si>
  <si>
    <t>=NL(1,"item",M$9,"no.",$D165)</t>
  </si>
  <si>
    <t>=NL(1,"Prod. BOM Equipment","Fixed Prod. Time (Hours)","Production BOM No.",$D165,"version code",$E165,"Resource No.",O$9)</t>
  </si>
  <si>
    <t>=1/O165</t>
  </si>
  <si>
    <t>=IF(NL(1,"Prod. BOM Equipment","Variable Prod. Time (Hours)","Production BOM No.",$D165,"version code",$E165,"Resource No.",$O$9)="",1,NL(1,"Prod. BOM Equipment","Variable Prod. Time (Hours)","Production BOM No.",$D165,"version code",$E165,"Resource No.",$O$9))</t>
  </si>
  <si>
    <t>=1/Q165</t>
  </si>
  <si>
    <t>=R165*N165</t>
  </si>
  <si>
    <t>=IF(K166=0,"hide","")</t>
  </si>
  <si>
    <t>=D165</t>
  </si>
  <si>
    <t>=NL("sum","Production Order","Quantity","Source No.",$D166,"Equipment Code",$L166,"due date",F$8)/-12</t>
  </si>
  <si>
    <t>=NL("sum","Production Order","Quantity","Source No.",$D166,"Equipment Code",$L166,"due date",G$8)/-12</t>
  </si>
  <si>
    <t>=NL("sum","Production Order","Quantity","Source No.",$D166,"Equipment Code",$L166,"due date",H$8)/-12</t>
  </si>
  <si>
    <t>=NL("sum","Production Order","Quantity","Source No.",$D166,"Equipment Code",$L166,"due date",I$8)/-12</t>
  </si>
  <si>
    <t>=NL("sum","Production Order","Quantity","Source No.",$D166,"Equipment Code",$L166,"due date",J$8)/$J$7</t>
  </si>
  <si>
    <t>=AVERAGE(I166:J166)</t>
  </si>
  <si>
    <t>=IF(K167=0,"hide","")</t>
  </si>
  <si>
    <t>=D166</t>
  </si>
  <si>
    <t>=NL("sum","Production Order","Quantity","Source No.",$D167,"Equipment Code",$L167,"due date",F$8)/-12</t>
  </si>
  <si>
    <t>=NL("sum","Production Order","Quantity","Source No.",$D167,"Equipment Code",$L167,"due date",G$8)/-12</t>
  </si>
  <si>
    <t>=NL("sum","Production Order","Quantity","Source No.",$D167,"Equipment Code",$L167,"due date",H$8)/-12</t>
  </si>
  <si>
    <t>=NL("sum","Production Order","Quantity","Source No.",$D167,"Equipment Code",$L167,"due date",I$8)/-12</t>
  </si>
  <si>
    <t>=NL("sum","Production Order","Quantity","Source No.",$D167,"Equipment Code",$L167,"due date",J$8)/$J$7</t>
  </si>
  <si>
    <t>=AVERAGE(I167:J167)</t>
  </si>
  <si>
    <t>=IF(K168=0,"hide","")</t>
  </si>
  <si>
    <t>=D167</t>
  </si>
  <si>
    <t>=NL("sum","Production Order","Quantity","Source No.",$D168,"Equipment Code",$L168,"due date",F$8)/-12</t>
  </si>
  <si>
    <t>=NL("sum","Production Order","Quantity","Source No.",$D168,"Equipment Code",$L168,"due date",G$8)/-12</t>
  </si>
  <si>
    <t>=NL("sum","Production Order","Quantity","Source No.",$D168,"Equipment Code",$L168,"due date",H$8)/-12</t>
  </si>
  <si>
    <t>=NL("sum","Production Order","Quantity","Source No.",$D168,"Equipment Code",$L168,"due date",I$8)/-12</t>
  </si>
  <si>
    <t>=NL("sum","Production Order","Quantity","Source No.",$D168,"Equipment Code",$L168,"due date",J$8)/$J$7</t>
  </si>
  <si>
    <t>=AVERAGE(I168:J168)</t>
  </si>
  <si>
    <t>=IF(K169=0,"hide","")</t>
  </si>
  <si>
    <t>=D168</t>
  </si>
  <si>
    <t>=NL("sum","Production Order","Quantity","Source No.",$D169,"Equipment Code",$L169,"due date",F$8)/-12</t>
  </si>
  <si>
    <t>=NL("sum","Production Order","Quantity","Source No.",$D169,"Equipment Code",$L169,"due date",G$8)/-12</t>
  </si>
  <si>
    <t>=NL("sum","Production Order","Quantity","Source No.",$D169,"Equipment Code",$L169,"due date",H$8)/-12</t>
  </si>
  <si>
    <t>=NL("sum","Production Order","Quantity","Source No.",$D169,"Equipment Code",$L169,"due date",I$8)/-12</t>
  </si>
  <si>
    <t>=NL("sum","Production Order","Quantity","Source No.",$D169,"Equipment Code",$L169,"due date",J$8)/$J$7</t>
  </si>
  <si>
    <t>=AVERAGE(I169:J169)</t>
  </si>
  <si>
    <t>=B166</t>
  </si>
  <si>
    <t>=B170</t>
  </si>
  <si>
    <t>=SUM(F166:F170)</t>
  </si>
  <si>
    <t>=SUM(G166:G170)</t>
  </si>
  <si>
    <t>=SUM(H166:H170)</t>
  </si>
  <si>
    <t>=SUM(I166:I170)</t>
  </si>
  <si>
    <t>=SUM(J166:J170)</t>
  </si>
  <si>
    <t>=IF(K172=0,"hide","")</t>
  </si>
  <si>
    <t>=NL("sum","Item Ledger Entry","Quantity","Item No.",$D172,"Entry Type","Sale|Consumption","posting date","01/01/23..12/31/23")/$J$7</t>
  </si>
  <si>
    <t>=AVERAGE(I172:J172)</t>
  </si>
  <si>
    <t>=NL(1,"item",L$9,"no.",D172)</t>
  </si>
  <si>
    <t>=NL(1,"item",M$9,"no.",$D172)</t>
  </si>
  <si>
    <t>=NL(1,"Prod. BOM Equipment","Fixed Prod. Time (Hours)","Production BOM No.",$D172,"version code",$E172,"Resource No.",O$9)</t>
  </si>
  <si>
    <t>=1/O172</t>
  </si>
  <si>
    <t>=IF(NL(1,"Prod. BOM Equipment","Variable Prod. Time (Hours)","Production BOM No.",$D172,"version code",$E172,"Resource No.",$O$9)="",1,NL(1,"Prod. BOM Equipment","Variable Prod. Time (Hours)","Production BOM No.",$D172,"version code",$E172,"Resource No.",$O$9))</t>
  </si>
  <si>
    <t>=1/Q172</t>
  </si>
  <si>
    <t>=R172*N172</t>
  </si>
  <si>
    <t>=IF(K173=0,"hide","")</t>
  </si>
  <si>
    <t>=D172</t>
  </si>
  <si>
    <t>=NL("sum","Production Order","Quantity","Source No.",$D173,"Equipment Code",$L173,"due date",F$8)/-12</t>
  </si>
  <si>
    <t>=NL("sum","Production Order","Quantity","Source No.",$D173,"Equipment Code",$L173,"due date",G$8)/-12</t>
  </si>
  <si>
    <t>=NL("sum","Production Order","Quantity","Source No.",$D173,"Equipment Code",$L173,"due date",H$8)/-12</t>
  </si>
  <si>
    <t>=NL("sum","Production Order","Quantity","Source No.",$D173,"Equipment Code",$L173,"due date",I$8)/-12</t>
  </si>
  <si>
    <t>=NL("sum","Production Order","Quantity","Source No.",$D173,"Equipment Code",$L173,"due date",J$8)/$J$7</t>
  </si>
  <si>
    <t>=AVERAGE(I173:J173)</t>
  </si>
  <si>
    <t>=IF(K174=0,"hide","")</t>
  </si>
  <si>
    <t>=D173</t>
  </si>
  <si>
    <t>=NL("sum","Production Order","Quantity","Source No.",$D174,"Equipment Code",$L174,"due date",F$8)/-12</t>
  </si>
  <si>
    <t>=NL("sum","Production Order","Quantity","Source No.",$D174,"Equipment Code",$L174,"due date",G$8)/-12</t>
  </si>
  <si>
    <t>=NL("sum","Production Order","Quantity","Source No.",$D174,"Equipment Code",$L174,"due date",H$8)/-12</t>
  </si>
  <si>
    <t>=NL("sum","Production Order","Quantity","Source No.",$D174,"Equipment Code",$L174,"due date",I$8)/-12</t>
  </si>
  <si>
    <t>=NL("sum","Production Order","Quantity","Source No.",$D174,"Equipment Code",$L174,"due date",J$8)/$J$7</t>
  </si>
  <si>
    <t>=AVERAGE(I174:J174)</t>
  </si>
  <si>
    <t>=IF(K175=0,"hide","")</t>
  </si>
  <si>
    <t>=D174</t>
  </si>
  <si>
    <t>=NL("sum","Production Order","Quantity","Source No.",$D175,"Equipment Code",$L175,"due date",F$8)/-12</t>
  </si>
  <si>
    <t>=NL("sum","Production Order","Quantity","Source No.",$D175,"Equipment Code",$L175,"due date",G$8)/-12</t>
  </si>
  <si>
    <t>=NL("sum","Production Order","Quantity","Source No.",$D175,"Equipment Code",$L175,"due date",H$8)/-12</t>
  </si>
  <si>
    <t>=NL("sum","Production Order","Quantity","Source No.",$D175,"Equipment Code",$L175,"due date",I$8)/-12</t>
  </si>
  <si>
    <t>=NL("sum","Production Order","Quantity","Source No.",$D175,"Equipment Code",$L175,"due date",J$8)/$J$7</t>
  </si>
  <si>
    <t>=AVERAGE(I175:J175)</t>
  </si>
  <si>
    <t>=IF(K176=0,"hide","")</t>
  </si>
  <si>
    <t>=D175</t>
  </si>
  <si>
    <t>=NL("sum","Production Order","Quantity","Source No.",$D176,"Equipment Code",$L176,"due date",F$8)/-12</t>
  </si>
  <si>
    <t>=NL("sum","Production Order","Quantity","Source No.",$D176,"Equipment Code",$L176,"due date",G$8)/-12</t>
  </si>
  <si>
    <t>=NL("sum","Production Order","Quantity","Source No.",$D176,"Equipment Code",$L176,"due date",H$8)/-12</t>
  </si>
  <si>
    <t>=NL("sum","Production Order","Quantity","Source No.",$D176,"Equipment Code",$L176,"due date",I$8)/-12</t>
  </si>
  <si>
    <t>=NL("sum","Production Order","Quantity","Source No.",$D176,"Equipment Code",$L176,"due date",J$8)/$J$7</t>
  </si>
  <si>
    <t>=AVERAGE(I176:J176)</t>
  </si>
  <si>
    <t>=B173</t>
  </si>
  <si>
    <t>=B177</t>
  </si>
  <si>
    <t>=SUM(F173:F177)</t>
  </si>
  <si>
    <t>=SUM(G173:G177)</t>
  </si>
  <si>
    <t>=SUM(H173:H177)</t>
  </si>
  <si>
    <t>=SUM(I173:I177)</t>
  </si>
  <si>
    <t>=SUM(J173:J177)</t>
  </si>
  <si>
    <t>=IF(K179=0,"hide","")</t>
  </si>
  <si>
    <t>=NL("sum","Item Ledger Entry","Quantity","Item No.",$D179,"Entry Type","Sale|Consumption","posting date","01/01/23..12/31/23")/$J$7</t>
  </si>
  <si>
    <t>=AVERAGE(I179:J179)</t>
  </si>
  <si>
    <t>=NL(1,"item",L$9,"no.",D179)</t>
  </si>
  <si>
    <t>=NL(1,"item",M$9,"no.",$D179)</t>
  </si>
  <si>
    <t>=NL(1,"Prod. BOM Equipment","Fixed Prod. Time (Hours)","Production BOM No.",$D179,"version code",$E179,"Resource No.",O$9)</t>
  </si>
  <si>
    <t>=1/O179</t>
  </si>
  <si>
    <t>=IF(NL(1,"Prod. BOM Equipment","Variable Prod. Time (Hours)","Production BOM No.",$D179,"version code",$E179,"Resource No.",$O$9)="",1,NL(1,"Prod. BOM Equipment","Variable Prod. Time (Hours)","Production BOM No.",$D179,"version code",$E179,"Resource No.",$O$9))</t>
  </si>
  <si>
    <t>=1/Q179</t>
  </si>
  <si>
    <t>=R179*N179</t>
  </si>
  <si>
    <t>=IF(K180=0,"hide","")</t>
  </si>
  <si>
    <t>=D179</t>
  </si>
  <si>
    <t>=NL("sum","Production Order","Quantity","Source No.",$D180,"Equipment Code",$L180,"due date",F$8)/-12</t>
  </si>
  <si>
    <t>=NL("sum","Production Order","Quantity","Source No.",$D180,"Equipment Code",$L180,"due date",G$8)/-12</t>
  </si>
  <si>
    <t>=NL("sum","Production Order","Quantity","Source No.",$D180,"Equipment Code",$L180,"due date",H$8)/-12</t>
  </si>
  <si>
    <t>=NL("sum","Production Order","Quantity","Source No.",$D180,"Equipment Code",$L180,"due date",I$8)/-12</t>
  </si>
  <si>
    <t>=NL("sum","Production Order","Quantity","Source No.",$D180,"Equipment Code",$L180,"due date",J$8)/$J$7</t>
  </si>
  <si>
    <t>=AVERAGE(I180:J180)</t>
  </si>
  <si>
    <t>=IF(K181=0,"hide","")</t>
  </si>
  <si>
    <t>=D180</t>
  </si>
  <si>
    <t>=NL("sum","Production Order","Quantity","Source No.",$D181,"Equipment Code",$L181,"due date",F$8)/-12</t>
  </si>
  <si>
    <t>=NL("sum","Production Order","Quantity","Source No.",$D181,"Equipment Code",$L181,"due date",G$8)/-12</t>
  </si>
  <si>
    <t>=NL("sum","Production Order","Quantity","Source No.",$D181,"Equipment Code",$L181,"due date",H$8)/-12</t>
  </si>
  <si>
    <t>=NL("sum","Production Order","Quantity","Source No.",$D181,"Equipment Code",$L181,"due date",I$8)/-12</t>
  </si>
  <si>
    <t>=NL("sum","Production Order","Quantity","Source No.",$D181,"Equipment Code",$L181,"due date",J$8)/$J$7</t>
  </si>
  <si>
    <t>=AVERAGE(I181:J181)</t>
  </si>
  <si>
    <t>=IF(K182=0,"hide","")</t>
  </si>
  <si>
    <t>=D181</t>
  </si>
  <si>
    <t>=NL("sum","Production Order","Quantity","Source No.",$D182,"Equipment Code",$L182,"due date",F$8)/-12</t>
  </si>
  <si>
    <t>=NL("sum","Production Order","Quantity","Source No.",$D182,"Equipment Code",$L182,"due date",G$8)/-12</t>
  </si>
  <si>
    <t>=NL("sum","Production Order","Quantity","Source No.",$D182,"Equipment Code",$L182,"due date",H$8)/-12</t>
  </si>
  <si>
    <t>=NL("sum","Production Order","Quantity","Source No.",$D182,"Equipment Code",$L182,"due date",I$8)/-12</t>
  </si>
  <si>
    <t>=NL("sum","Production Order","Quantity","Source No.",$D182,"Equipment Code",$L182,"due date",J$8)/$J$7</t>
  </si>
  <si>
    <t>=AVERAGE(I182:J182)</t>
  </si>
  <si>
    <t>=IF(K183=0,"hide","")</t>
  </si>
  <si>
    <t>=D182</t>
  </si>
  <si>
    <t>=NL("sum","Production Order","Quantity","Source No.",$D183,"Equipment Code",$L183,"due date",F$8)/-12</t>
  </si>
  <si>
    <t>=NL("sum","Production Order","Quantity","Source No.",$D183,"Equipment Code",$L183,"due date",G$8)/-12</t>
  </si>
  <si>
    <t>=NL("sum","Production Order","Quantity","Source No.",$D183,"Equipment Code",$L183,"due date",H$8)/-12</t>
  </si>
  <si>
    <t>=NL("sum","Production Order","Quantity","Source No.",$D183,"Equipment Code",$L183,"due date",I$8)/-12</t>
  </si>
  <si>
    <t>=NL("sum","Production Order","Quantity","Source No.",$D183,"Equipment Code",$L183,"due date",J$8)/$J$7</t>
  </si>
  <si>
    <t>=AVERAGE(I183:J183)</t>
  </si>
  <si>
    <t>=B180</t>
  </si>
  <si>
    <t>=B184</t>
  </si>
  <si>
    <t>=SUM(F180:F184)</t>
  </si>
  <si>
    <t>=SUM(G180:G184)</t>
  </si>
  <si>
    <t>=SUM(H180:H184)</t>
  </si>
  <si>
    <t>=SUM(I180:I184)</t>
  </si>
  <si>
    <t>=SUM(J180:J184)</t>
  </si>
  <si>
    <t>=IF(K186=0,"hide","")</t>
  </si>
  <si>
    <t>="02106"</t>
  </si>
  <si>
    <t>=NL("sum","Item Ledger Entry","Quantity","Item No.",$D186,"Entry Type","Sale|Consumption","posting date","01/01/23..12/31/23")/$J$7</t>
  </si>
  <si>
    <t>=AVERAGE(I186:J186)</t>
  </si>
  <si>
    <t>=NL(1,"item",L$9,"no.",D186)</t>
  </si>
  <si>
    <t>=NL(1,"item",M$9,"no.",$D186)</t>
  </si>
  <si>
    <t>=NL(1,"Prod. BOM Equipment","Fixed Prod. Time (Hours)","Production BOM No.",$D186,"version code",$E186,"Resource No.",O$9)</t>
  </si>
  <si>
    <t>=1/O186</t>
  </si>
  <si>
    <t>=IF(NL(1,"Prod. BOM Equipment","Variable Prod. Time (Hours)","Production BOM No.",$D186,"version code",$E186,"Resource No.",$O$9)="",1,NL(1,"Prod. BOM Equipment","Variable Prod. Time (Hours)","Production BOM No.",$D186,"version code",$E186,"Resource No.",$O$9))</t>
  </si>
  <si>
    <t>=1/Q186</t>
  </si>
  <si>
    <t>=R186*N186</t>
  </si>
  <si>
    <t>=IF(K187=0,"hide","")</t>
  </si>
  <si>
    <t>=D186</t>
  </si>
  <si>
    <t>=NL("sum","Production Order","Quantity","Source No.",$D187,"Equipment Code",$L187,"due date",F$8)/-12</t>
  </si>
  <si>
    <t>=NL("sum","Production Order","Quantity","Source No.",$D187,"Equipment Code",$L187,"due date",G$8)/-12</t>
  </si>
  <si>
    <t>=NL("sum","Production Order","Quantity","Source No.",$D187,"Equipment Code",$L187,"due date",H$8)/-12</t>
  </si>
  <si>
    <t>=NL("sum","Production Order","Quantity","Source No.",$D187,"Equipment Code",$L187,"due date",I$8)/-12</t>
  </si>
  <si>
    <t>=NL("sum","Production Order","Quantity","Source No.",$D187,"Equipment Code",$L187,"due date",J$8)/$J$7</t>
  </si>
  <si>
    <t>=AVERAGE(I187:J187)</t>
  </si>
  <si>
    <t>=IF(K188=0,"hide","")</t>
  </si>
  <si>
    <t>=D187</t>
  </si>
  <si>
    <t>=NL("sum","Production Order","Quantity","Source No.",$D188,"Equipment Code",$L188,"due date",F$8)/-12</t>
  </si>
  <si>
    <t>=NL("sum","Production Order","Quantity","Source No.",$D188,"Equipment Code",$L188,"due date",G$8)/-12</t>
  </si>
  <si>
    <t>=NL("sum","Production Order","Quantity","Source No.",$D188,"Equipment Code",$L188,"due date",H$8)/-12</t>
  </si>
  <si>
    <t>=NL("sum","Production Order","Quantity","Source No.",$D188,"Equipment Code",$L188,"due date",I$8)/-12</t>
  </si>
  <si>
    <t>=NL("sum","Production Order","Quantity","Source No.",$D188,"Equipment Code",$L188,"due date",J$8)/$J$7</t>
  </si>
  <si>
    <t>=AVERAGE(I188:J188)</t>
  </si>
  <si>
    <t>=IF(K189=0,"hide","")</t>
  </si>
  <si>
    <t>=D188</t>
  </si>
  <si>
    <t>=NL("sum","Production Order","Quantity","Source No.",$D189,"Equipment Code",$L189,"due date",F$8)/-12</t>
  </si>
  <si>
    <t>=NL("sum","Production Order","Quantity","Source No.",$D189,"Equipment Code",$L189,"due date",G$8)/-12</t>
  </si>
  <si>
    <t>=NL("sum","Production Order","Quantity","Source No.",$D189,"Equipment Code",$L189,"due date",H$8)/-12</t>
  </si>
  <si>
    <t>=NL("sum","Production Order","Quantity","Source No.",$D189,"Equipment Code",$L189,"due date",I$8)/-12</t>
  </si>
  <si>
    <t>=NL("sum","Production Order","Quantity","Source No.",$D189,"Equipment Code",$L189,"due date",J$8)/$J$7</t>
  </si>
  <si>
    <t>=AVERAGE(I189:J189)</t>
  </si>
  <si>
    <t>=IF(K190=0,"hide","")</t>
  </si>
  <si>
    <t>=D189</t>
  </si>
  <si>
    <t>=NL("sum","Production Order","Quantity","Source No.",$D190,"Equipment Code",$L190,"due date",F$8)/-12</t>
  </si>
  <si>
    <t>=NL("sum","Production Order","Quantity","Source No.",$D190,"Equipment Code",$L190,"due date",G$8)/-12</t>
  </si>
  <si>
    <t>=NL("sum","Production Order","Quantity","Source No.",$D190,"Equipment Code",$L190,"due date",H$8)/-12</t>
  </si>
  <si>
    <t>=NL("sum","Production Order","Quantity","Source No.",$D190,"Equipment Code",$L190,"due date",I$8)/-12</t>
  </si>
  <si>
    <t>=NL("sum","Production Order","Quantity","Source No.",$D190,"Equipment Code",$L190,"due date",J$8)/$J$7</t>
  </si>
  <si>
    <t>=AVERAGE(I190:J190)</t>
  </si>
  <si>
    <t>=B187</t>
  </si>
  <si>
    <t>=B191</t>
  </si>
  <si>
    <t>=SUM(F187:F191)</t>
  </si>
  <si>
    <t>=SUM(G187:G191)</t>
  </si>
  <si>
    <t>=SUM(H187:H191)</t>
  </si>
  <si>
    <t>=SUM(I187:I191)</t>
  </si>
  <si>
    <t>=SUM(J187:J191)</t>
  </si>
  <si>
    <t>=IF(K193=0,"hide","")</t>
  </si>
  <si>
    <t>="02109"</t>
  </si>
  <si>
    <t>=NL("rows","Production BOM Version","Version Code","Production BOM No.",D193,"status","certified")</t>
  </si>
  <si>
    <t>=NL("sum","Item Ledger Entry","Quantity","Item No.",$D193,"Entry Type","Sale|Consumption","posting date","01/01/19..12/31/19")/-12</t>
  </si>
  <si>
    <t>=NL("sum","Item Ledger Entry","Quantity","Item No.",$D193,"Entry Type","Sale|Consumption","posting date","01/01/20..12/31/20")/-12</t>
  </si>
  <si>
    <t>=NL("sum","Item Ledger Entry","Quantity","Item No.",$D193,"Entry Type","Sale|Consumption","posting date","01/01/21..12/31/21")/-12</t>
  </si>
  <si>
    <t>=NL("sum","Item Ledger Entry","Quantity","Item No.",$D193,"Entry Type","Sale|Consumption","posting date","01/01/22..12/31/22")/-12</t>
  </si>
  <si>
    <t>=NL("sum","Item Ledger Entry","Quantity","Item No.",$D193,"Entry Type","Sale|Consumption","posting date","01/01/23..12/31/23")/$J$7</t>
  </si>
  <si>
    <t>=AVERAGE(I193:J193)</t>
  </si>
  <si>
    <t>=NL(1,"item",L$9,"no.",D193)</t>
  </si>
  <si>
    <t>=NL(1,"item",M$9,"no.",$D193)</t>
  </si>
  <si>
    <t>=NL(1,"item","Units Per Parcel","no.",$D193)</t>
  </si>
  <si>
    <t>=NL(1,"Prod. BOM Equipment","Fixed Prod. Time (Hours)","Production BOM No.",$D193,"version code",$E193,"Resource No.",O$9)</t>
  </si>
  <si>
    <t>=1/O193</t>
  </si>
  <si>
    <t>=IF(NL(1,"Prod. BOM Equipment","Variable Prod. Time (Hours)","Production BOM No.",$D193,"version code",$E193,"Resource No.",$O$9)="",1,NL(1,"Prod. BOM Equipment","Variable Prod. Time (Hours)","Production BOM No.",$D193,"version code",$E193,"Resource No.",$O$9))</t>
  </si>
  <si>
    <t>=1/Q193</t>
  </si>
  <si>
    <t>=R193*N193</t>
  </si>
  <si>
    <t>=IF(K194=0,"hide","")</t>
  </si>
  <si>
    <t>=D193</t>
  </si>
  <si>
    <t>=NL("sum","Production Order","Quantity","Source No.",$D194,"Equipment Code",$L194,"due date",F$8)/-12</t>
  </si>
  <si>
    <t>=NL("sum","Production Order","Quantity","Source No.",$D194,"Equipment Code",$L194,"due date",G$8)/-12</t>
  </si>
  <si>
    <t>=NL("sum","Production Order","Quantity","Source No.",$D194,"Equipment Code",$L194,"due date",H$8)/-12</t>
  </si>
  <si>
    <t>=NL("sum","Production Order","Quantity","Source No.",$D194,"Equipment Code",$L194,"due date",I$8)/-12</t>
  </si>
  <si>
    <t>=NL("sum","Production Order","Quantity","Source No.",$D194,"Equipment Code",$L194,"due date",J$8)/$J$7</t>
  </si>
  <si>
    <t>=AVERAGE(I194:J194)</t>
  </si>
  <si>
    <t>=IF(K195=0,"hide","")</t>
  </si>
  <si>
    <t>=D194</t>
  </si>
  <si>
    <t>=NL("sum","Production Order","Quantity","Source No.",$D195,"Equipment Code",$L195,"due date",F$8)/-12</t>
  </si>
  <si>
    <t>=NL("sum","Production Order","Quantity","Source No.",$D195,"Equipment Code",$L195,"due date",G$8)/-12</t>
  </si>
  <si>
    <t>=NL("sum","Production Order","Quantity","Source No.",$D195,"Equipment Code",$L195,"due date",H$8)/-12</t>
  </si>
  <si>
    <t>=NL("sum","Production Order","Quantity","Source No.",$D195,"Equipment Code",$L195,"due date",I$8)/-12</t>
  </si>
  <si>
    <t>=NL("sum","Production Order","Quantity","Source No.",$D195,"Equipment Code",$L195,"due date",J$8)/$J$7</t>
  </si>
  <si>
    <t>=AVERAGE(I195:J195)</t>
  </si>
  <si>
    <t>=IF(K196=0,"hide","")</t>
  </si>
  <si>
    <t>=D195</t>
  </si>
  <si>
    <t>=NL("sum","Production Order","Quantity","Source No.",$D196,"Equipment Code",$L196,"due date",F$8)/-12</t>
  </si>
  <si>
    <t>=NL("sum","Production Order","Quantity","Source No.",$D196,"Equipment Code",$L196,"due date",G$8)/-12</t>
  </si>
  <si>
    <t>=NL("sum","Production Order","Quantity","Source No.",$D196,"Equipment Code",$L196,"due date",H$8)/-12</t>
  </si>
  <si>
    <t>=NL("sum","Production Order","Quantity","Source No.",$D196,"Equipment Code",$L196,"due date",I$8)/-12</t>
  </si>
  <si>
    <t>=NL("sum","Production Order","Quantity","Source No.",$D196,"Equipment Code",$L196,"due date",J$8)/$J$7</t>
  </si>
  <si>
    <t>=AVERAGE(I196:J196)</t>
  </si>
  <si>
    <t>=IF(K197=0,"hide","")</t>
  </si>
  <si>
    <t>=D196</t>
  </si>
  <si>
    <t>=NL("sum","Production Order","Quantity","Source No.",$D197,"Equipment Code",$L197,"due date",F$8)/-12</t>
  </si>
  <si>
    <t>=NL("sum","Production Order","Quantity","Source No.",$D197,"Equipment Code",$L197,"due date",G$8)/-12</t>
  </si>
  <si>
    <t>=NL("sum","Production Order","Quantity","Source No.",$D197,"Equipment Code",$L197,"due date",H$8)/-12</t>
  </si>
  <si>
    <t>=NL("sum","Production Order","Quantity","Source No.",$D197,"Equipment Code",$L197,"due date",I$8)/-12</t>
  </si>
  <si>
    <t>=NL("sum","Production Order","Quantity","Source No.",$D197,"Equipment Code",$L197,"due date",J$8)/$J$7</t>
  </si>
  <si>
    <t>=AVERAGE(I197:J197)</t>
  </si>
  <si>
    <t>=B194</t>
  </si>
  <si>
    <t>=B198</t>
  </si>
  <si>
    <t>=SUM(F194:F198)</t>
  </si>
  <si>
    <t>=SUM(G194:G198)</t>
  </si>
  <si>
    <t>=SUM(H194:H198)</t>
  </si>
  <si>
    <t>=SUM(I194:I198)</t>
  </si>
  <si>
    <t>=SUM(J194:J198)</t>
  </si>
  <si>
    <t>=IF(K200=0,"hide","")</t>
  </si>
  <si>
    <t>="02110"</t>
  </si>
  <si>
    <t>=NL("rows","Production BOM Version","Version Code","Production BOM No.",D200,"status","certified")</t>
  </si>
  <si>
    <t>=NL("sum","Item Ledger Entry","Quantity","Item No.",$D200,"Entry Type","Sale|Consumption","posting date","01/01/19..12/31/19")/-12</t>
  </si>
  <si>
    <t>=NL("sum","Item Ledger Entry","Quantity","Item No.",$D200,"Entry Type","Sale|Consumption","posting date","01/01/20..12/31/20")/-12</t>
  </si>
  <si>
    <t>=NL("sum","Item Ledger Entry","Quantity","Item No.",$D200,"Entry Type","Sale|Consumption","posting date","01/01/21..12/31/21")/-12</t>
  </si>
  <si>
    <t>=NL("sum","Item Ledger Entry","Quantity","Item No.",$D200,"Entry Type","Sale|Consumption","posting date","01/01/22..12/31/22")/-12</t>
  </si>
  <si>
    <t>=NL("sum","Item Ledger Entry","Quantity","Item No.",$D200,"Entry Type","Sale|Consumption","posting date","01/01/23..12/31/23")/$J$7</t>
  </si>
  <si>
    <t>=AVERAGE(I200:J200)</t>
  </si>
  <si>
    <t>=NL(1,"item",L$9,"no.",D200)</t>
  </si>
  <si>
    <t>=NL(1,"item",M$9,"no.",$D200)</t>
  </si>
  <si>
    <t>=NL(1,"item","Units Per Parcel","no.",$D200)</t>
  </si>
  <si>
    <t>=NL(1,"Prod. BOM Equipment","Fixed Prod. Time (Hours)","Production BOM No.",$D200,"version code",$E200,"Resource No.",O$9)</t>
  </si>
  <si>
    <t>=1/O200</t>
  </si>
  <si>
    <t>=IF(NL(1,"Prod. BOM Equipment","Variable Prod. Time (Hours)","Production BOM No.",$D200,"version code",$E200,"Resource No.",$O$9)="",1,NL(1,"Prod. BOM Equipment","Variable Prod. Time (Hours)","Production BOM No.",$D200,"version code",$E200,"Resource No.",$O$9))</t>
  </si>
  <si>
    <t>=1/Q200</t>
  </si>
  <si>
    <t>=R200*N200</t>
  </si>
  <si>
    <t>=IF(K201=0,"hide","")</t>
  </si>
  <si>
    <t>=D200</t>
  </si>
  <si>
    <t>=NL("sum","Production Order","Quantity","Source No.",$D201,"Equipment Code",$L201,"due date",F$8)/-12</t>
  </si>
  <si>
    <t>=NL("sum","Production Order","Quantity","Source No.",$D201,"Equipment Code",$L201,"due date",G$8)/-12</t>
  </si>
  <si>
    <t>=NL("sum","Production Order","Quantity","Source No.",$D201,"Equipment Code",$L201,"due date",H$8)/-12</t>
  </si>
  <si>
    <t>=NL("sum","Production Order","Quantity","Source No.",$D201,"Equipment Code",$L201,"due date",I$8)/-12</t>
  </si>
  <si>
    <t>=NL("sum","Production Order","Quantity","Source No.",$D201,"Equipment Code",$L201,"due date",J$8)/$J$7</t>
  </si>
  <si>
    <t>=AVERAGE(I201:J201)</t>
  </si>
  <si>
    <t>=IF(K202=0,"hide","")</t>
  </si>
  <si>
    <t>=D201</t>
  </si>
  <si>
    <t>=NL("sum","Production Order","Quantity","Source No.",$D202,"Equipment Code",$L202,"due date",F$8)/-12</t>
  </si>
  <si>
    <t>=NL("sum","Production Order","Quantity","Source No.",$D202,"Equipment Code",$L202,"due date",G$8)/-12</t>
  </si>
  <si>
    <t>=NL("sum","Production Order","Quantity","Source No.",$D202,"Equipment Code",$L202,"due date",H$8)/-12</t>
  </si>
  <si>
    <t>=NL("sum","Production Order","Quantity","Source No.",$D202,"Equipment Code",$L202,"due date",I$8)/-12</t>
  </si>
  <si>
    <t>=NL("sum","Production Order","Quantity","Source No.",$D202,"Equipment Code",$L202,"due date",J$8)/$J$7</t>
  </si>
  <si>
    <t>=AVERAGE(I202:J202)</t>
  </si>
  <si>
    <t>=IF(K203=0,"hide","")</t>
  </si>
  <si>
    <t>=D202</t>
  </si>
  <si>
    <t>=NL("sum","Production Order","Quantity","Source No.",$D203,"Equipment Code",$L203,"due date",F$8)/-12</t>
  </si>
  <si>
    <t>=NL("sum","Production Order","Quantity","Source No.",$D203,"Equipment Code",$L203,"due date",G$8)/-12</t>
  </si>
  <si>
    <t>=NL("sum","Production Order","Quantity","Source No.",$D203,"Equipment Code",$L203,"due date",H$8)/-12</t>
  </si>
  <si>
    <t>=NL("sum","Production Order","Quantity","Source No.",$D203,"Equipment Code",$L203,"due date",I$8)/-12</t>
  </si>
  <si>
    <t>=NL("sum","Production Order","Quantity","Source No.",$D203,"Equipment Code",$L203,"due date",J$8)/$J$7</t>
  </si>
  <si>
    <t>=AVERAGE(I203:J203)</t>
  </si>
  <si>
    <t>=IF(K204=0,"hide","")</t>
  </si>
  <si>
    <t>=D203</t>
  </si>
  <si>
    <t>=NL("sum","Production Order","Quantity","Source No.",$D204,"Equipment Code",$L204,"due date",F$8)/-12</t>
  </si>
  <si>
    <t>=NL("sum","Production Order","Quantity","Source No.",$D204,"Equipment Code",$L204,"due date",G$8)/-12</t>
  </si>
  <si>
    <t>=NL("sum","Production Order","Quantity","Source No.",$D204,"Equipment Code",$L204,"due date",H$8)/-12</t>
  </si>
  <si>
    <t>=NL("sum","Production Order","Quantity","Source No.",$D204,"Equipment Code",$L204,"due date",I$8)/-12</t>
  </si>
  <si>
    <t>=NL("sum","Production Order","Quantity","Source No.",$D204,"Equipment Code",$L204,"due date",J$8)/$J$7</t>
  </si>
  <si>
    <t>=AVERAGE(I204:J204)</t>
  </si>
  <si>
    <t>=B201</t>
  </si>
  <si>
    <t>=B205</t>
  </si>
  <si>
    <t>=SUM(F201:F205)</t>
  </si>
  <si>
    <t>=SUM(G201:G205)</t>
  </si>
  <si>
    <t>=SUM(H201:H205)</t>
  </si>
  <si>
    <t>=SUM(I201:I205)</t>
  </si>
  <si>
    <t>=SUM(J201:J205)</t>
  </si>
  <si>
    <t>=IF(K207=0,"hide","")</t>
  </si>
  <si>
    <t>="02111"</t>
  </si>
  <si>
    <t>=NL("rows","Production BOM Version","Version Code","Production BOM No.",D207,"status","certified")</t>
  </si>
  <si>
    <t>=NL("sum","Item Ledger Entry","Quantity","Item No.",$D207,"Entry Type","Sale|Consumption","posting date","01/01/19..12/31/19")/-12</t>
  </si>
  <si>
    <t>=NL("sum","Item Ledger Entry","Quantity","Item No.",$D207,"Entry Type","Sale|Consumption","posting date","01/01/20..12/31/20")/-12</t>
  </si>
  <si>
    <t>=NL("sum","Item Ledger Entry","Quantity","Item No.",$D207,"Entry Type","Sale|Consumption","posting date","01/01/21..12/31/21")/-12</t>
  </si>
  <si>
    <t>=NL("sum","Item Ledger Entry","Quantity","Item No.",$D207,"Entry Type","Sale|Consumption","posting date","01/01/22..12/31/22")/-12</t>
  </si>
  <si>
    <t>=NL("sum","Item Ledger Entry","Quantity","Item No.",$D207,"Entry Type","Sale|Consumption","posting date","01/01/23..12/31/23")/$J$7</t>
  </si>
  <si>
    <t>=AVERAGE(I207:J207)</t>
  </si>
  <si>
    <t>=NL(1,"item",L$9,"no.",D207)</t>
  </si>
  <si>
    <t>=NL(1,"item",M$9,"no.",$D207)</t>
  </si>
  <si>
    <t>=NL(1,"item","Units Per Parcel","no.",$D207)</t>
  </si>
  <si>
    <t>=NL(1,"Prod. BOM Equipment","Fixed Prod. Time (Hours)","Production BOM No.",$D207,"version code",$E207,"Resource No.",O$9)</t>
  </si>
  <si>
    <t>=1/O207</t>
  </si>
  <si>
    <t>=IF(NL(1,"Prod. BOM Equipment","Variable Prod. Time (Hours)","Production BOM No.",$D207,"version code",$E207,"Resource No.",$O$9)="",1,NL(1,"Prod. BOM Equipment","Variable Prod. Time (Hours)","Production BOM No.",$D207,"version code",$E207,"Resource No.",$O$9))</t>
  </si>
  <si>
    <t>=1/Q207</t>
  </si>
  <si>
    <t>=R207*N207</t>
  </si>
  <si>
    <t>=IF(K208=0,"hide","")</t>
  </si>
  <si>
    <t>=D207</t>
  </si>
  <si>
    <t>=NL("sum","Production Order","Quantity","Source No.",$D208,"Equipment Code",$L208,"due date",F$8)/-12</t>
  </si>
  <si>
    <t>=NL("sum","Production Order","Quantity","Source No.",$D208,"Equipment Code",$L208,"due date",G$8)/-12</t>
  </si>
  <si>
    <t>=NL("sum","Production Order","Quantity","Source No.",$D208,"Equipment Code",$L208,"due date",H$8)/-12</t>
  </si>
  <si>
    <t>=NL("sum","Production Order","Quantity","Source No.",$D208,"Equipment Code",$L208,"due date",I$8)/-12</t>
  </si>
  <si>
    <t>=NL("sum","Production Order","Quantity","Source No.",$D208,"Equipment Code",$L208,"due date",J$8)/$J$7</t>
  </si>
  <si>
    <t>=AVERAGE(I208:J208)</t>
  </si>
  <si>
    <t>=IF(K209=0,"hide","")</t>
  </si>
  <si>
    <t>=D208</t>
  </si>
  <si>
    <t>=NL("sum","Production Order","Quantity","Source No.",$D209,"Equipment Code",$L209,"due date",F$8)/-12</t>
  </si>
  <si>
    <t>=NL("sum","Production Order","Quantity","Source No.",$D209,"Equipment Code",$L209,"due date",G$8)/-12</t>
  </si>
  <si>
    <t>=NL("sum","Production Order","Quantity","Source No.",$D209,"Equipment Code",$L209,"due date",H$8)/-12</t>
  </si>
  <si>
    <t>=NL("sum","Production Order","Quantity","Source No.",$D209,"Equipment Code",$L209,"due date",I$8)/-12</t>
  </si>
  <si>
    <t>=NL("sum","Production Order","Quantity","Source No.",$D209,"Equipment Code",$L209,"due date",J$8)/$J$7</t>
  </si>
  <si>
    <t>=AVERAGE(I209:J209)</t>
  </si>
  <si>
    <t>=IF(K210=0,"hide","")</t>
  </si>
  <si>
    <t>=D209</t>
  </si>
  <si>
    <t>=NL("sum","Production Order","Quantity","Source No.",$D210,"Equipment Code",$L210,"due date",F$8)/-12</t>
  </si>
  <si>
    <t>=NL("sum","Production Order","Quantity","Source No.",$D210,"Equipment Code",$L210,"due date",G$8)/-12</t>
  </si>
  <si>
    <t>=NL("sum","Production Order","Quantity","Source No.",$D210,"Equipment Code",$L210,"due date",H$8)/-12</t>
  </si>
  <si>
    <t>=NL("sum","Production Order","Quantity","Source No.",$D210,"Equipment Code",$L210,"due date",I$8)/-12</t>
  </si>
  <si>
    <t>=NL("sum","Production Order","Quantity","Source No.",$D210,"Equipment Code",$L210,"due date",J$8)/$J$7</t>
  </si>
  <si>
    <t>=AVERAGE(I210:J210)</t>
  </si>
  <si>
    <t>=IF(K211=0,"hide","")</t>
  </si>
  <si>
    <t>=D210</t>
  </si>
  <si>
    <t>=NL("sum","Production Order","Quantity","Source No.",$D211,"Equipment Code",$L211,"due date",F$8)/-12</t>
  </si>
  <si>
    <t>=NL("sum","Production Order","Quantity","Source No.",$D211,"Equipment Code",$L211,"due date",G$8)/-12</t>
  </si>
  <si>
    <t>=NL("sum","Production Order","Quantity","Source No.",$D211,"Equipment Code",$L211,"due date",H$8)/-12</t>
  </si>
  <si>
    <t>=NL("sum","Production Order","Quantity","Source No.",$D211,"Equipment Code",$L211,"due date",I$8)/-12</t>
  </si>
  <si>
    <t>=NL("sum","Production Order","Quantity","Source No.",$D211,"Equipment Code",$L211,"due date",J$8)/$J$7</t>
  </si>
  <si>
    <t>=AVERAGE(I211:J211)</t>
  </si>
  <si>
    <t>=B208</t>
  </si>
  <si>
    <t>=B212</t>
  </si>
  <si>
    <t>=SUM(F208:F212)</t>
  </si>
  <si>
    <t>=SUM(G208:G212)</t>
  </si>
  <si>
    <t>=SUM(H208:H212)</t>
  </si>
  <si>
    <t>=SUM(I208:I212)</t>
  </si>
  <si>
    <t>=SUM(J208:J212)</t>
  </si>
  <si>
    <t>=IF(K214=0,"hide","")</t>
  </si>
  <si>
    <t>="02112"</t>
  </si>
  <si>
    <t>=NL("rows","Production BOM Version","Version Code","Production BOM No.",D214,"status","certified")</t>
  </si>
  <si>
    <t>=NL("sum","Item Ledger Entry","Quantity","Item No.",$D214,"Entry Type","Sale|Consumption","posting date","01/01/19..12/31/19")/-12</t>
  </si>
  <si>
    <t>=NL("sum","Item Ledger Entry","Quantity","Item No.",$D214,"Entry Type","Sale|Consumption","posting date","01/01/20..12/31/20")/-12</t>
  </si>
  <si>
    <t>=NL("sum","Item Ledger Entry","Quantity","Item No.",$D214,"Entry Type","Sale|Consumption","posting date","01/01/21..12/31/21")/-12</t>
  </si>
  <si>
    <t>=NL("sum","Item Ledger Entry","Quantity","Item No.",$D214,"Entry Type","Sale|Consumption","posting date","01/01/22..12/31/22")/-12</t>
  </si>
  <si>
    <t>=NL("sum","Item Ledger Entry","Quantity","Item No.",$D214,"Entry Type","Sale|Consumption","posting date","01/01/23..12/31/23")/$J$7</t>
  </si>
  <si>
    <t>=AVERAGE(I214:J214)</t>
  </si>
  <si>
    <t>=NL(1,"item",L$9,"no.",D214)</t>
  </si>
  <si>
    <t>=NL(1,"item",M$9,"no.",$D214)</t>
  </si>
  <si>
    <t>=NL(1,"item","Units Per Parcel","no.",$D214)</t>
  </si>
  <si>
    <t>=NL(1,"Prod. BOM Equipment","Fixed Prod. Time (Hours)","Production BOM No.",$D214,"version code",$E214,"Resource No.",O$9)</t>
  </si>
  <si>
    <t>=1/O214</t>
  </si>
  <si>
    <t>=IF(NL(1,"Prod. BOM Equipment","Variable Prod. Time (Hours)","Production BOM No.",$D214,"version code",$E214,"Resource No.",$O$9)="",1,NL(1,"Prod. BOM Equipment","Variable Prod. Time (Hours)","Production BOM No.",$D214,"version code",$E214,"Resource No.",$O$9))</t>
  </si>
  <si>
    <t>=1/Q214</t>
  </si>
  <si>
    <t>=R214*N214</t>
  </si>
  <si>
    <t>=IF(K215=0,"hide","")</t>
  </si>
  <si>
    <t>=D214</t>
  </si>
  <si>
    <t>=NL("sum","Production Order","Quantity","Source No.",$D215,"Equipment Code",$L215,"due date",F$8)/-12</t>
  </si>
  <si>
    <t>=NL("sum","Production Order","Quantity","Source No.",$D215,"Equipment Code",$L215,"due date",G$8)/-12</t>
  </si>
  <si>
    <t>=NL("sum","Production Order","Quantity","Source No.",$D215,"Equipment Code",$L215,"due date",H$8)/-12</t>
  </si>
  <si>
    <t>=NL("sum","Production Order","Quantity","Source No.",$D215,"Equipment Code",$L215,"due date",I$8)/-12</t>
  </si>
  <si>
    <t>=NL("sum","Production Order","Quantity","Source No.",$D215,"Equipment Code",$L215,"due date",J$8)/$J$7</t>
  </si>
  <si>
    <t>=AVERAGE(I215:J215)</t>
  </si>
  <si>
    <t>=IF(K216=0,"hide","")</t>
  </si>
  <si>
    <t>=D215</t>
  </si>
  <si>
    <t>=NL("sum","Production Order","Quantity","Source No.",$D216,"Equipment Code",$L216,"due date",F$8)/-12</t>
  </si>
  <si>
    <t>=NL("sum","Production Order","Quantity","Source No.",$D216,"Equipment Code",$L216,"due date",G$8)/-12</t>
  </si>
  <si>
    <t>=NL("sum","Production Order","Quantity","Source No.",$D216,"Equipment Code",$L216,"due date",H$8)/-12</t>
  </si>
  <si>
    <t>=NL("sum","Production Order","Quantity","Source No.",$D216,"Equipment Code",$L216,"due date",I$8)/-12</t>
  </si>
  <si>
    <t>=NL("sum","Production Order","Quantity","Source No.",$D216,"Equipment Code",$L216,"due date",J$8)/$J$7</t>
  </si>
  <si>
    <t>=AVERAGE(I216:J216)</t>
  </si>
  <si>
    <t>=IF(K217=0,"hide","")</t>
  </si>
  <si>
    <t>=D216</t>
  </si>
  <si>
    <t>=NL("sum","Production Order","Quantity","Source No.",$D217,"Equipment Code",$L217,"due date",F$8)/-12</t>
  </si>
  <si>
    <t>=NL("sum","Production Order","Quantity","Source No.",$D217,"Equipment Code",$L217,"due date",G$8)/-12</t>
  </si>
  <si>
    <t>=NL("sum","Production Order","Quantity","Source No.",$D217,"Equipment Code",$L217,"due date",H$8)/-12</t>
  </si>
  <si>
    <t>=NL("sum","Production Order","Quantity","Source No.",$D217,"Equipment Code",$L217,"due date",I$8)/-12</t>
  </si>
  <si>
    <t>=NL("sum","Production Order","Quantity","Source No.",$D217,"Equipment Code",$L217,"due date",J$8)/$J$7</t>
  </si>
  <si>
    <t>=AVERAGE(I217:J217)</t>
  </si>
  <si>
    <t>=IF(K218=0,"hide","")</t>
  </si>
  <si>
    <t>=D217</t>
  </si>
  <si>
    <t>=NL("sum","Production Order","Quantity","Source No.",$D218,"Equipment Code",$L218,"due date",F$8)/-12</t>
  </si>
  <si>
    <t>=NL("sum","Production Order","Quantity","Source No.",$D218,"Equipment Code",$L218,"due date",G$8)/-12</t>
  </si>
  <si>
    <t>=NL("sum","Production Order","Quantity","Source No.",$D218,"Equipment Code",$L218,"due date",H$8)/-12</t>
  </si>
  <si>
    <t>=NL("sum","Production Order","Quantity","Source No.",$D218,"Equipment Code",$L218,"due date",I$8)/-12</t>
  </si>
  <si>
    <t>=NL("sum","Production Order","Quantity","Source No.",$D218,"Equipment Code",$L218,"due date",J$8)/$J$7</t>
  </si>
  <si>
    <t>=AVERAGE(I218:J218)</t>
  </si>
  <si>
    <t>=B215</t>
  </si>
  <si>
    <t>=B219</t>
  </si>
  <si>
    <t>=SUM(F215:F219)</t>
  </si>
  <si>
    <t>=SUM(G215:G219)</t>
  </si>
  <si>
    <t>=SUM(H215:H219)</t>
  </si>
  <si>
    <t>=SUM(I215:I219)</t>
  </si>
  <si>
    <t>=SUM(J215:J219)</t>
  </si>
  <si>
    <t>=IF(K221=0,"hide","")</t>
  </si>
  <si>
    <t>="02119"</t>
  </si>
  <si>
    <t>=NL("rows","Production BOM Version","Version Code","Production BOM No.",D221,"status","certified")</t>
  </si>
  <si>
    <t>=NL("sum","Item Ledger Entry","Quantity","Item No.",$D221,"Entry Type","Sale|Consumption","posting date","01/01/19..12/31/19")/-12</t>
  </si>
  <si>
    <t>=NL("sum","Item Ledger Entry","Quantity","Item No.",$D221,"Entry Type","Sale|Consumption","posting date","01/01/20..12/31/20")/-12</t>
  </si>
  <si>
    <t>=NL("sum","Item Ledger Entry","Quantity","Item No.",$D221,"Entry Type","Sale|Consumption","posting date","01/01/21..12/31/21")/-12</t>
  </si>
  <si>
    <t>=NL("sum","Item Ledger Entry","Quantity","Item No.",$D221,"Entry Type","Sale|Consumption","posting date","01/01/22..12/31/22")/-12</t>
  </si>
  <si>
    <t>=NL("sum","Item Ledger Entry","Quantity","Item No.",$D221,"Entry Type","Sale|Consumption","posting date","01/01/23..12/31/23")/$J$7</t>
  </si>
  <si>
    <t>=AVERAGE(I221:J221)</t>
  </si>
  <si>
    <t>=NL(1,"item",L$9,"no.",D221)</t>
  </si>
  <si>
    <t>=NL(1,"item",M$9,"no.",$D221)</t>
  </si>
  <si>
    <t>=NL(1,"item","Units Per Parcel","no.",$D221)</t>
  </si>
  <si>
    <t>=NL(1,"Prod. BOM Equipment","Fixed Prod. Time (Hours)","Production BOM No.",$D221,"version code",$E221,"Resource No.",O$9)</t>
  </si>
  <si>
    <t>=1/O221</t>
  </si>
  <si>
    <t>=IF(NL(1,"Prod. BOM Equipment","Variable Prod. Time (Hours)","Production BOM No.",$D221,"version code",$E221,"Resource No.",$O$9)="",1,NL(1,"Prod. BOM Equipment","Variable Prod. Time (Hours)","Production BOM No.",$D221,"version code",$E221,"Resource No.",$O$9))</t>
  </si>
  <si>
    <t>=1/Q221</t>
  </si>
  <si>
    <t>=R221*N221</t>
  </si>
  <si>
    <t>=IF(K222=0,"hide","")</t>
  </si>
  <si>
    <t>=D221</t>
  </si>
  <si>
    <t>=NL("sum","Production Order","Quantity","Source No.",$D222,"Equipment Code",$L222,"due date",F$8)/-12</t>
  </si>
  <si>
    <t>=NL("sum","Production Order","Quantity","Source No.",$D222,"Equipment Code",$L222,"due date",G$8)/-12</t>
  </si>
  <si>
    <t>=NL("sum","Production Order","Quantity","Source No.",$D222,"Equipment Code",$L222,"due date",H$8)/-12</t>
  </si>
  <si>
    <t>=NL("sum","Production Order","Quantity","Source No.",$D222,"Equipment Code",$L222,"due date",I$8)/-12</t>
  </si>
  <si>
    <t>=NL("sum","Production Order","Quantity","Source No.",$D222,"Equipment Code",$L222,"due date",J$8)/$J$7</t>
  </si>
  <si>
    <t>=AVERAGE(I222:J222)</t>
  </si>
  <si>
    <t>=IF(K223=0,"hide","")</t>
  </si>
  <si>
    <t>=D222</t>
  </si>
  <si>
    <t>=NL("sum","Production Order","Quantity","Source No.",$D223,"Equipment Code",$L223,"due date",F$8)/-12</t>
  </si>
  <si>
    <t>=NL("sum","Production Order","Quantity","Source No.",$D223,"Equipment Code",$L223,"due date",G$8)/-12</t>
  </si>
  <si>
    <t>=NL("sum","Production Order","Quantity","Source No.",$D223,"Equipment Code",$L223,"due date",H$8)/-12</t>
  </si>
  <si>
    <t>=NL("sum","Production Order","Quantity","Source No.",$D223,"Equipment Code",$L223,"due date",I$8)/-12</t>
  </si>
  <si>
    <t>=NL("sum","Production Order","Quantity","Source No.",$D223,"Equipment Code",$L223,"due date",J$8)/$J$7</t>
  </si>
  <si>
    <t>=AVERAGE(I223:J223)</t>
  </si>
  <si>
    <t>=IF(K224=0,"hide","")</t>
  </si>
  <si>
    <t>=D223</t>
  </si>
  <si>
    <t>=NL("sum","Production Order","Quantity","Source No.",$D224,"Equipment Code",$L224,"due date",F$8)/-12</t>
  </si>
  <si>
    <t>=NL("sum","Production Order","Quantity","Source No.",$D224,"Equipment Code",$L224,"due date",G$8)/-12</t>
  </si>
  <si>
    <t>=NL("sum","Production Order","Quantity","Source No.",$D224,"Equipment Code",$L224,"due date",H$8)/-12</t>
  </si>
  <si>
    <t>=NL("sum","Production Order","Quantity","Source No.",$D224,"Equipment Code",$L224,"due date",I$8)/-12</t>
  </si>
  <si>
    <t>=NL("sum","Production Order","Quantity","Source No.",$D224,"Equipment Code",$L224,"due date",J$8)/$J$7</t>
  </si>
  <si>
    <t>=AVERAGE(I224:J224)</t>
  </si>
  <si>
    <t>=IF(K225=0,"hide","")</t>
  </si>
  <si>
    <t>=D224</t>
  </si>
  <si>
    <t>=NL("sum","Production Order","Quantity","Source No.",$D225,"Equipment Code",$L225,"due date",F$8)/-12</t>
  </si>
  <si>
    <t>=NL("sum","Production Order","Quantity","Source No.",$D225,"Equipment Code",$L225,"due date",G$8)/-12</t>
  </si>
  <si>
    <t>=NL("sum","Production Order","Quantity","Source No.",$D225,"Equipment Code",$L225,"due date",H$8)/-12</t>
  </si>
  <si>
    <t>=NL("sum","Production Order","Quantity","Source No.",$D225,"Equipment Code",$L225,"due date",I$8)/-12</t>
  </si>
  <si>
    <t>=NL("sum","Production Order","Quantity","Source No.",$D225,"Equipment Code",$L225,"due date",J$8)/$J$7</t>
  </si>
  <si>
    <t>=AVERAGE(I225:J225)</t>
  </si>
  <si>
    <t>=B222</t>
  </si>
  <si>
    <t>=B226</t>
  </si>
  <si>
    <t>=SUM(F222:F226)</t>
  </si>
  <si>
    <t>=SUM(G222:G226)</t>
  </si>
  <si>
    <t>=SUM(H222:H226)</t>
  </si>
  <si>
    <t>=SUM(I222:I226)</t>
  </si>
  <si>
    <t>=SUM(J222:J226)</t>
  </si>
  <si>
    <t>=IF(K228=0,"hide","")</t>
  </si>
  <si>
    <t>=NL("rows","Production BOM Version","Version Code","Production BOM No.",D228,"status","certified")</t>
  </si>
  <si>
    <t>=NL("sum","Item Ledger Entry","Quantity","Item No.",$D228,"Entry Type","Sale|Consumption","posting date","01/01/19..12/31/19")/-12</t>
  </si>
  <si>
    <t>=NL("sum","Item Ledger Entry","Quantity","Item No.",$D228,"Entry Type","Sale|Consumption","posting date","01/01/20..12/31/20")/-12</t>
  </si>
  <si>
    <t>=NL("sum","Item Ledger Entry","Quantity","Item No.",$D228,"Entry Type","Sale|Consumption","posting date","01/01/21..12/31/21")/-12</t>
  </si>
  <si>
    <t>=NL("sum","Item Ledger Entry","Quantity","Item No.",$D228,"Entry Type","Sale|Consumption","posting date","01/01/22..12/31/22")/-12</t>
  </si>
  <si>
    <t>=NL("sum","Item Ledger Entry","Quantity","Item No.",$D228,"Entry Type","Sale|Consumption","posting date","01/01/23..12/31/23")/$J$7</t>
  </si>
  <si>
    <t>=AVERAGE(I228:J228)</t>
  </si>
  <si>
    <t>=NL(1,"item",L$9,"no.",D228)</t>
  </si>
  <si>
    <t>=NL(1,"item",M$9,"no.",$D228)</t>
  </si>
  <si>
    <t>=NL(1,"item","Units Per Parcel","no.",$D228)</t>
  </si>
  <si>
    <t>=NL(1,"Prod. BOM Equipment","Fixed Prod. Time (Hours)","Production BOM No.",$D228,"version code",$E228,"Resource No.",O$9)</t>
  </si>
  <si>
    <t>=1/O228</t>
  </si>
  <si>
    <t>=IF(NL(1,"Prod. BOM Equipment","Variable Prod. Time (Hours)","Production BOM No.",$D228,"version code",$E228,"Resource No.",$O$9)="",1,NL(1,"Prod. BOM Equipment","Variable Prod. Time (Hours)","Production BOM No.",$D228,"version code",$E228,"Resource No.",$O$9))</t>
  </si>
  <si>
    <t>=1/Q228</t>
  </si>
  <si>
    <t>=R228*N228</t>
  </si>
  <si>
    <t>=IF(K229=0,"hide","")</t>
  </si>
  <si>
    <t>=D228</t>
  </si>
  <si>
    <t>=NL("sum","Production Order","Quantity","Source No.",$D229,"Equipment Code",$L229,"due date",F$8)/-12</t>
  </si>
  <si>
    <t>=NL("sum","Production Order","Quantity","Source No.",$D229,"Equipment Code",$L229,"due date",G$8)/-12</t>
  </si>
  <si>
    <t>=NL("sum","Production Order","Quantity","Source No.",$D229,"Equipment Code",$L229,"due date",H$8)/-12</t>
  </si>
  <si>
    <t>=NL("sum","Production Order","Quantity","Source No.",$D229,"Equipment Code",$L229,"due date",I$8)/-12</t>
  </si>
  <si>
    <t>=NL("sum","Production Order","Quantity","Source No.",$D229,"Equipment Code",$L229,"due date",J$8)/$J$7</t>
  </si>
  <si>
    <t>=AVERAGE(I229:J229)</t>
  </si>
  <si>
    <t>=IF(K230=0,"hide","")</t>
  </si>
  <si>
    <t>=D229</t>
  </si>
  <si>
    <t>=NL("sum","Production Order","Quantity","Source No.",$D230,"Equipment Code",$L230,"due date",F$8)/-12</t>
  </si>
  <si>
    <t>=NL("sum","Production Order","Quantity","Source No.",$D230,"Equipment Code",$L230,"due date",G$8)/-12</t>
  </si>
  <si>
    <t>=NL("sum","Production Order","Quantity","Source No.",$D230,"Equipment Code",$L230,"due date",H$8)/-12</t>
  </si>
  <si>
    <t>=NL("sum","Production Order","Quantity","Source No.",$D230,"Equipment Code",$L230,"due date",I$8)/-12</t>
  </si>
  <si>
    <t>=NL("sum","Production Order","Quantity","Source No.",$D230,"Equipment Code",$L230,"due date",J$8)/$J$7</t>
  </si>
  <si>
    <t>=AVERAGE(I230:J230)</t>
  </si>
  <si>
    <t>=IF(K231=0,"hide","")</t>
  </si>
  <si>
    <t>=D230</t>
  </si>
  <si>
    <t>=NL("sum","Production Order","Quantity","Source No.",$D231,"Equipment Code",$L231,"due date",F$8)/-12</t>
  </si>
  <si>
    <t>=NL("sum","Production Order","Quantity","Source No.",$D231,"Equipment Code",$L231,"due date",G$8)/-12</t>
  </si>
  <si>
    <t>=NL("sum","Production Order","Quantity","Source No.",$D231,"Equipment Code",$L231,"due date",H$8)/-12</t>
  </si>
  <si>
    <t>=NL("sum","Production Order","Quantity","Source No.",$D231,"Equipment Code",$L231,"due date",I$8)/-12</t>
  </si>
  <si>
    <t>=NL("sum","Production Order","Quantity","Source No.",$D231,"Equipment Code",$L231,"due date",J$8)/$J$7</t>
  </si>
  <si>
    <t>=AVERAGE(I231:J231)</t>
  </si>
  <si>
    <t>=IF(K232=0,"hide","")</t>
  </si>
  <si>
    <t>=D231</t>
  </si>
  <si>
    <t>=NL("sum","Production Order","Quantity","Source No.",$D232,"Equipment Code",$L232,"due date",F$8)/-12</t>
  </si>
  <si>
    <t>=NL("sum","Production Order","Quantity","Source No.",$D232,"Equipment Code",$L232,"due date",G$8)/-12</t>
  </si>
  <si>
    <t>=NL("sum","Production Order","Quantity","Source No.",$D232,"Equipment Code",$L232,"due date",H$8)/-12</t>
  </si>
  <si>
    <t>=NL("sum","Production Order","Quantity","Source No.",$D232,"Equipment Code",$L232,"due date",I$8)/-12</t>
  </si>
  <si>
    <t>=NL("sum","Production Order","Quantity","Source No.",$D232,"Equipment Code",$L232,"due date",J$8)/$J$7</t>
  </si>
  <si>
    <t>=AVERAGE(I232:J232)</t>
  </si>
  <si>
    <t>=B229</t>
  </si>
  <si>
    <t>=B233</t>
  </si>
  <si>
    <t>=SUM(F229:F233)</t>
  </si>
  <si>
    <t>=SUM(G229:G233)</t>
  </si>
  <si>
    <t>=SUM(H229:H233)</t>
  </si>
  <si>
    <t>=SUM(I229:I233)</t>
  </si>
  <si>
    <t>=SUM(J229:J233)</t>
  </si>
  <si>
    <t>=IF(K235=0,"hide","")</t>
  </si>
  <si>
    <t>="02166"</t>
  </si>
  <si>
    <t>=NL("rows","Production BOM Version","Version Code","Production BOM No.",D235,"status","certified")</t>
  </si>
  <si>
    <t>=NL("sum","Item Ledger Entry","Quantity","Item No.",$D235,"Entry Type","Sale|Consumption","posting date","01/01/19..12/31/19")/-12</t>
  </si>
  <si>
    <t>=NL("sum","Item Ledger Entry","Quantity","Item No.",$D235,"Entry Type","Sale|Consumption","posting date","01/01/20..12/31/20")/-12</t>
  </si>
  <si>
    <t>=NL("sum","Item Ledger Entry","Quantity","Item No.",$D235,"Entry Type","Sale|Consumption","posting date","01/01/21..12/31/21")/-12</t>
  </si>
  <si>
    <t>=NL("sum","Item Ledger Entry","Quantity","Item No.",$D235,"Entry Type","Sale|Consumption","posting date","01/01/22..12/31/22")/-12</t>
  </si>
  <si>
    <t>=NL("sum","Item Ledger Entry","Quantity","Item No.",$D235,"Entry Type","Sale|Consumption","posting date","01/01/23..12/31/23")/$J$7</t>
  </si>
  <si>
    <t>=AVERAGE(I235:J235)</t>
  </si>
  <si>
    <t>=NL(1,"item",L$9,"no.",D235)</t>
  </si>
  <si>
    <t>=NL(1,"item",M$9,"no.",$D235)</t>
  </si>
  <si>
    <t>=NL(1,"item","Units Per Parcel","no.",$D235)</t>
  </si>
  <si>
    <t>=NL(1,"Prod. BOM Equipment","Fixed Prod. Time (Hours)","Production BOM No.",$D235,"version code",$E235,"Resource No.",O$9)</t>
  </si>
  <si>
    <t>=1/O235</t>
  </si>
  <si>
    <t>=IF(NL(1,"Prod. BOM Equipment","Variable Prod. Time (Hours)","Production BOM No.",$D235,"version code",$E235,"Resource No.",$O$9)="",1,NL(1,"Prod. BOM Equipment","Variable Prod. Time (Hours)","Production BOM No.",$D235,"version code",$E235,"Resource No.",$O$9))</t>
  </si>
  <si>
    <t>=1/Q235</t>
  </si>
  <si>
    <t>=R235*N235</t>
  </si>
  <si>
    <t>=IF(K236=0,"hide","")</t>
  </si>
  <si>
    <t>=D235</t>
  </si>
  <si>
    <t>=NL("sum","Production Order","Quantity","Source No.",$D236,"Equipment Code",$L236,"due date",F$8)/-12</t>
  </si>
  <si>
    <t>=NL("sum","Production Order","Quantity","Source No.",$D236,"Equipment Code",$L236,"due date",G$8)/-12</t>
  </si>
  <si>
    <t>=NL("sum","Production Order","Quantity","Source No.",$D236,"Equipment Code",$L236,"due date",H$8)/-12</t>
  </si>
  <si>
    <t>=NL("sum","Production Order","Quantity","Source No.",$D236,"Equipment Code",$L236,"due date",I$8)/-12</t>
  </si>
  <si>
    <t>=NL("sum","Production Order","Quantity","Source No.",$D236,"Equipment Code",$L236,"due date",J$8)/$J$7</t>
  </si>
  <si>
    <t>=AVERAGE(I236:J236)</t>
  </si>
  <si>
    <t>=IF(K237=0,"hide","")</t>
  </si>
  <si>
    <t>=D236</t>
  </si>
  <si>
    <t>=NL("sum","Production Order","Quantity","Source No.",$D237,"Equipment Code",$L237,"due date",F$8)/-12</t>
  </si>
  <si>
    <t>=NL("sum","Production Order","Quantity","Source No.",$D237,"Equipment Code",$L237,"due date",G$8)/-12</t>
  </si>
  <si>
    <t>=NL("sum","Production Order","Quantity","Source No.",$D237,"Equipment Code",$L237,"due date",H$8)/-12</t>
  </si>
  <si>
    <t>=NL("sum","Production Order","Quantity","Source No.",$D237,"Equipment Code",$L237,"due date",I$8)/-12</t>
  </si>
  <si>
    <t>=NL("sum","Production Order","Quantity","Source No.",$D237,"Equipment Code",$L237,"due date",J$8)/$J$7</t>
  </si>
  <si>
    <t>=AVERAGE(I237:J237)</t>
  </si>
  <si>
    <t>=IF(K238=0,"hide","")</t>
  </si>
  <si>
    <t>=D237</t>
  </si>
  <si>
    <t>=NL("sum","Production Order","Quantity","Source No.",$D238,"Equipment Code",$L238,"due date",F$8)/-12</t>
  </si>
  <si>
    <t>=NL("sum","Production Order","Quantity","Source No.",$D238,"Equipment Code",$L238,"due date",G$8)/-12</t>
  </si>
  <si>
    <t>=NL("sum","Production Order","Quantity","Source No.",$D238,"Equipment Code",$L238,"due date",H$8)/-12</t>
  </si>
  <si>
    <t>=NL("sum","Production Order","Quantity","Source No.",$D238,"Equipment Code",$L238,"due date",I$8)/-12</t>
  </si>
  <si>
    <t>=NL("sum","Production Order","Quantity","Source No.",$D238,"Equipment Code",$L238,"due date",J$8)/$J$7</t>
  </si>
  <si>
    <t>=AVERAGE(I238:J238)</t>
  </si>
  <si>
    <t>=IF(K239=0,"hide","")</t>
  </si>
  <si>
    <t>=D238</t>
  </si>
  <si>
    <t>=NL("sum","Production Order","Quantity","Source No.",$D239,"Equipment Code",$L239,"due date",F$8)/-12</t>
  </si>
  <si>
    <t>=NL("sum","Production Order","Quantity","Source No.",$D239,"Equipment Code",$L239,"due date",G$8)/-12</t>
  </si>
  <si>
    <t>=NL("sum","Production Order","Quantity","Source No.",$D239,"Equipment Code",$L239,"due date",H$8)/-12</t>
  </si>
  <si>
    <t>=NL("sum","Production Order","Quantity","Source No.",$D239,"Equipment Code",$L239,"due date",I$8)/-12</t>
  </si>
  <si>
    <t>=NL("sum","Production Order","Quantity","Source No.",$D239,"Equipment Code",$L239,"due date",J$8)/$J$7</t>
  </si>
  <si>
    <t>=AVERAGE(I239:J239)</t>
  </si>
  <si>
    <t>=B236</t>
  </si>
  <si>
    <t>=B240</t>
  </si>
  <si>
    <t>=SUM(F236:F240)</t>
  </si>
  <si>
    <t>=SUM(G236:G240)</t>
  </si>
  <si>
    <t>=SUM(H236:H240)</t>
  </si>
  <si>
    <t>=SUM(I236:I240)</t>
  </si>
  <si>
    <t>=SUM(J236:J240)</t>
  </si>
  <si>
    <t>=IF(K242=0,"hide","")</t>
  </si>
  <si>
    <t>="02201"</t>
  </si>
  <si>
    <t>=NL("rows","Production BOM Version","Version Code","Production BOM No.",D242,"status","certified")</t>
  </si>
  <si>
    <t>=NL("sum","Item Ledger Entry","Quantity","Item No.",$D242,"Entry Type","Sale|Consumption","posting date","01/01/19..12/31/19")/-12</t>
  </si>
  <si>
    <t>=NL("sum","Item Ledger Entry","Quantity","Item No.",$D242,"Entry Type","Sale|Consumption","posting date","01/01/20..12/31/20")/-12</t>
  </si>
  <si>
    <t>=NL("sum","Item Ledger Entry","Quantity","Item No.",$D242,"Entry Type","Sale|Consumption","posting date","01/01/21..12/31/21")/-12</t>
  </si>
  <si>
    <t>=NL("sum","Item Ledger Entry","Quantity","Item No.",$D242,"Entry Type","Sale|Consumption","posting date","01/01/22..12/31/22")/-12</t>
  </si>
  <si>
    <t>=NL("sum","Item Ledger Entry","Quantity","Item No.",$D242,"Entry Type","Sale|Consumption","posting date","01/01/23..12/31/23")/$J$7</t>
  </si>
  <si>
    <t>=AVERAGE(I242:J242)</t>
  </si>
  <si>
    <t>=NL(1,"item",L$9,"no.",D242)</t>
  </si>
  <si>
    <t>=NL(1,"item",M$9,"no.",$D242)</t>
  </si>
  <si>
    <t>=NL(1,"item","Units Per Parcel","no.",$D242)</t>
  </si>
  <si>
    <t>=NL(1,"Prod. BOM Equipment","Fixed Prod. Time (Hours)","Production BOM No.",$D242,"version code",$E242,"Resource No.",O$9)</t>
  </si>
  <si>
    <t>=1/O242</t>
  </si>
  <si>
    <t>=IF(NL(1,"Prod. BOM Equipment","Variable Prod. Time (Hours)","Production BOM No.",$D242,"version code",$E242,"Resource No.",$O$9)="",1,NL(1,"Prod. BOM Equipment","Variable Prod. Time (Hours)","Production BOM No.",$D242,"version code",$E242,"Resource No.",$O$9))</t>
  </si>
  <si>
    <t>=1/Q242</t>
  </si>
  <si>
    <t>=R242*N242</t>
  </si>
  <si>
    <t>=IF(K243=0,"hide","")</t>
  </si>
  <si>
    <t>=D242</t>
  </si>
  <si>
    <t>=NL("sum","Production Order","Quantity","Source No.",$D243,"Equipment Code",$L243,"due date",F$8)/-12</t>
  </si>
  <si>
    <t>=NL("sum","Production Order","Quantity","Source No.",$D243,"Equipment Code",$L243,"due date",G$8)/-12</t>
  </si>
  <si>
    <t>=NL("sum","Production Order","Quantity","Source No.",$D243,"Equipment Code",$L243,"due date",H$8)/-12</t>
  </si>
  <si>
    <t>=NL("sum","Production Order","Quantity","Source No.",$D243,"Equipment Code",$L243,"due date",I$8)/-12</t>
  </si>
  <si>
    <t>=NL("sum","Production Order","Quantity","Source No.",$D243,"Equipment Code",$L243,"due date",J$8)/$J$7</t>
  </si>
  <si>
    <t>=AVERAGE(I243:J243)</t>
  </si>
  <si>
    <t>=IF(K244=0,"hide","")</t>
  </si>
  <si>
    <t>=D243</t>
  </si>
  <si>
    <t>=NL("sum","Production Order","Quantity","Source No.",$D244,"Equipment Code",$L244,"due date",F$8)/-12</t>
  </si>
  <si>
    <t>=NL("sum","Production Order","Quantity","Source No.",$D244,"Equipment Code",$L244,"due date",G$8)/-12</t>
  </si>
  <si>
    <t>=NL("sum","Production Order","Quantity","Source No.",$D244,"Equipment Code",$L244,"due date",H$8)/-12</t>
  </si>
  <si>
    <t>=NL("sum","Production Order","Quantity","Source No.",$D244,"Equipment Code",$L244,"due date",I$8)/-12</t>
  </si>
  <si>
    <t>=NL("sum","Production Order","Quantity","Source No.",$D244,"Equipment Code",$L244,"due date",J$8)/$J$7</t>
  </si>
  <si>
    <t>=AVERAGE(I244:J244)</t>
  </si>
  <si>
    <t>=IF(K245=0,"hide","")</t>
  </si>
  <si>
    <t>=D244</t>
  </si>
  <si>
    <t>=NL("sum","Production Order","Quantity","Source No.",$D245,"Equipment Code",$L245,"due date",F$8)/-12</t>
  </si>
  <si>
    <t>=NL("sum","Production Order","Quantity","Source No.",$D245,"Equipment Code",$L245,"due date",G$8)/-12</t>
  </si>
  <si>
    <t>=NL("sum","Production Order","Quantity","Source No.",$D245,"Equipment Code",$L245,"due date",H$8)/-12</t>
  </si>
  <si>
    <t>=NL("sum","Production Order","Quantity","Source No.",$D245,"Equipment Code",$L245,"due date",I$8)/-12</t>
  </si>
  <si>
    <t>=NL("sum","Production Order","Quantity","Source No.",$D245,"Equipment Code",$L245,"due date",J$8)/$J$7</t>
  </si>
  <si>
    <t>=AVERAGE(I245:J245)</t>
  </si>
  <si>
    <t>=IF(K246=0,"hide","")</t>
  </si>
  <si>
    <t>=D245</t>
  </si>
  <si>
    <t>=NL("sum","Production Order","Quantity","Source No.",$D246,"Equipment Code",$L246,"due date",F$8)/-12</t>
  </si>
  <si>
    <t>=NL("sum","Production Order","Quantity","Source No.",$D246,"Equipment Code",$L246,"due date",G$8)/-12</t>
  </si>
  <si>
    <t>=NL("sum","Production Order","Quantity","Source No.",$D246,"Equipment Code",$L246,"due date",H$8)/-12</t>
  </si>
  <si>
    <t>=NL("sum","Production Order","Quantity","Source No.",$D246,"Equipment Code",$L246,"due date",I$8)/-12</t>
  </si>
  <si>
    <t>=NL("sum","Production Order","Quantity","Source No.",$D246,"Equipment Code",$L246,"due date",J$8)/$J$7</t>
  </si>
  <si>
    <t>=AVERAGE(I246:J246)</t>
  </si>
  <si>
    <t>=B243</t>
  </si>
  <si>
    <t>=B247</t>
  </si>
  <si>
    <t>=SUM(F243:F247)</t>
  </si>
  <si>
    <t>=SUM(G243:G247)</t>
  </si>
  <si>
    <t>=SUM(H243:H247)</t>
  </si>
  <si>
    <t>=SUM(I243:I247)</t>
  </si>
  <si>
    <t>=SUM(J243:J247)</t>
  </si>
  <si>
    <t>=IF(K249=0,"hide","")</t>
  </si>
  <si>
    <t>="02251"</t>
  </si>
  <si>
    <t>=NL("rows","Production BOM Version","Version Code","Production BOM No.",D249,"status","certified")</t>
  </si>
  <si>
    <t>=NL("sum","Item Ledger Entry","Quantity","Item No.",$D249,"Entry Type","Sale|Consumption","posting date","01/01/19..12/31/19")/-12</t>
  </si>
  <si>
    <t>=NL("sum","Item Ledger Entry","Quantity","Item No.",$D249,"Entry Type","Sale|Consumption","posting date","01/01/20..12/31/20")/-12</t>
  </si>
  <si>
    <t>=NL("sum","Item Ledger Entry","Quantity","Item No.",$D249,"Entry Type","Sale|Consumption","posting date","01/01/21..12/31/21")/-12</t>
  </si>
  <si>
    <t>=NL("sum","Item Ledger Entry","Quantity","Item No.",$D249,"Entry Type","Sale|Consumption","posting date","01/01/22..12/31/22")/-12</t>
  </si>
  <si>
    <t>=NL("sum","Item Ledger Entry","Quantity","Item No.",$D249,"Entry Type","Sale|Consumption","posting date","01/01/23..12/31/23")/$J$7</t>
  </si>
  <si>
    <t>=AVERAGE(I249:J249)</t>
  </si>
  <si>
    <t>=NL(1,"item",L$9,"no.",D249)</t>
  </si>
  <si>
    <t>=NL(1,"item",M$9,"no.",$D249)</t>
  </si>
  <si>
    <t>=NL(1,"item","Units Per Parcel","no.",$D249)</t>
  </si>
  <si>
    <t>=NL(1,"Prod. BOM Equipment","Fixed Prod. Time (Hours)","Production BOM No.",$D249,"version code",$E249,"Resource No.",O$9)</t>
  </si>
  <si>
    <t>=1/O249</t>
  </si>
  <si>
    <t>=IF(NL(1,"Prod. BOM Equipment","Variable Prod. Time (Hours)","Production BOM No.",$D249,"version code",$E249,"Resource No.",$O$9)="",1,NL(1,"Prod. BOM Equipment","Variable Prod. Time (Hours)","Production BOM No.",$D249,"version code",$E249,"Resource No.",$O$9))</t>
  </si>
  <si>
    <t>=1/Q249</t>
  </si>
  <si>
    <t>=R249*N249</t>
  </si>
  <si>
    <t>=IF(K250=0,"hide","")</t>
  </si>
  <si>
    <t>=D249</t>
  </si>
  <si>
    <t>=NL("sum","Production Order","Quantity","Source No.",$D250,"Equipment Code",$L250,"due date",F$8)/-12</t>
  </si>
  <si>
    <t>=NL("sum","Production Order","Quantity","Source No.",$D250,"Equipment Code",$L250,"due date",G$8)/-12</t>
  </si>
  <si>
    <t>=NL("sum","Production Order","Quantity","Source No.",$D250,"Equipment Code",$L250,"due date",H$8)/-12</t>
  </si>
  <si>
    <t>=NL("sum","Production Order","Quantity","Source No.",$D250,"Equipment Code",$L250,"due date",I$8)/-12</t>
  </si>
  <si>
    <t>=NL("sum","Production Order","Quantity","Source No.",$D250,"Equipment Code",$L250,"due date",J$8)/$J$7</t>
  </si>
  <si>
    <t>=AVERAGE(I250:J250)</t>
  </si>
  <si>
    <t>=IF(K251=0,"hide","")</t>
  </si>
  <si>
    <t>=D250</t>
  </si>
  <si>
    <t>=NL("sum","Production Order","Quantity","Source No.",$D251,"Equipment Code",$L251,"due date",F$8)/-12</t>
  </si>
  <si>
    <t>=NL("sum","Production Order","Quantity","Source No.",$D251,"Equipment Code",$L251,"due date",G$8)/-12</t>
  </si>
  <si>
    <t>=NL("sum","Production Order","Quantity","Source No.",$D251,"Equipment Code",$L251,"due date",H$8)/-12</t>
  </si>
  <si>
    <t>=NL("sum","Production Order","Quantity","Source No.",$D251,"Equipment Code",$L251,"due date",I$8)/-12</t>
  </si>
  <si>
    <t>=NL("sum","Production Order","Quantity","Source No.",$D251,"Equipment Code",$L251,"due date",J$8)/$J$7</t>
  </si>
  <si>
    <t>=AVERAGE(I251:J251)</t>
  </si>
  <si>
    <t>=IF(K252=0,"hide","")</t>
  </si>
  <si>
    <t>=D251</t>
  </si>
  <si>
    <t>=NL("sum","Production Order","Quantity","Source No.",$D252,"Equipment Code",$L252,"due date",F$8)/-12</t>
  </si>
  <si>
    <t>=NL("sum","Production Order","Quantity","Source No.",$D252,"Equipment Code",$L252,"due date",G$8)/-12</t>
  </si>
  <si>
    <t>=NL("sum","Production Order","Quantity","Source No.",$D252,"Equipment Code",$L252,"due date",H$8)/-12</t>
  </si>
  <si>
    <t>=NL("sum","Production Order","Quantity","Source No.",$D252,"Equipment Code",$L252,"due date",I$8)/-12</t>
  </si>
  <si>
    <t>=NL("sum","Production Order","Quantity","Source No.",$D252,"Equipment Code",$L252,"due date",J$8)/$J$7</t>
  </si>
  <si>
    <t>=AVERAGE(I252:J252)</t>
  </si>
  <si>
    <t>=IF(K253=0,"hide","")</t>
  </si>
  <si>
    <t>=D252</t>
  </si>
  <si>
    <t>=NL("sum","Production Order","Quantity","Source No.",$D253,"Equipment Code",$L253,"due date",F$8)/-12</t>
  </si>
  <si>
    <t>=NL("sum","Production Order","Quantity","Source No.",$D253,"Equipment Code",$L253,"due date",G$8)/-12</t>
  </si>
  <si>
    <t>=NL("sum","Production Order","Quantity","Source No.",$D253,"Equipment Code",$L253,"due date",H$8)/-12</t>
  </si>
  <si>
    <t>=NL("sum","Production Order","Quantity","Source No.",$D253,"Equipment Code",$L253,"due date",I$8)/-12</t>
  </si>
  <si>
    <t>=NL("sum","Production Order","Quantity","Source No.",$D253,"Equipment Code",$L253,"due date",J$8)/$J$7</t>
  </si>
  <si>
    <t>=AVERAGE(I253:J253)</t>
  </si>
  <si>
    <t>=B250</t>
  </si>
  <si>
    <t>=B254</t>
  </si>
  <si>
    <t>=SUM(F250:F254)</t>
  </si>
  <si>
    <t>=SUM(G250:G254)</t>
  </si>
  <si>
    <t>=SUM(H250:H254)</t>
  </si>
  <si>
    <t>=SUM(I250:I254)</t>
  </si>
  <si>
    <t>=SUM(J250:J254)</t>
  </si>
  <si>
    <t>=IF(K256=0,"hide","")</t>
  </si>
  <si>
    <t>="02501"</t>
  </si>
  <si>
    <t>=NL("rows","Production BOM Version","Version Code","Production BOM No.",D256,"status","certified")</t>
  </si>
  <si>
    <t>=NL("sum","Item Ledger Entry","Quantity","Item No.",$D256,"Entry Type","Sale|Consumption","posting date","01/01/19..12/31/19")/-12</t>
  </si>
  <si>
    <t>=NL("sum","Item Ledger Entry","Quantity","Item No.",$D256,"Entry Type","Sale|Consumption","posting date","01/01/20..12/31/20")/-12</t>
  </si>
  <si>
    <t>=NL("sum","Item Ledger Entry","Quantity","Item No.",$D256,"Entry Type","Sale|Consumption","posting date","01/01/21..12/31/21")/-12</t>
  </si>
  <si>
    <t>=NL("sum","Item Ledger Entry","Quantity","Item No.",$D256,"Entry Type","Sale|Consumption","posting date","01/01/22..12/31/22")/-12</t>
  </si>
  <si>
    <t>=NL("sum","Item Ledger Entry","Quantity","Item No.",$D256,"Entry Type","Sale|Consumption","posting date","01/01/23..12/31/23")/$J$7</t>
  </si>
  <si>
    <t>=AVERAGE(I256:J256)</t>
  </si>
  <si>
    <t>=NL(1,"item",L$9,"no.",D256)</t>
  </si>
  <si>
    <t>=NL(1,"item",M$9,"no.",$D256)</t>
  </si>
  <si>
    <t>=NL(1,"item","Units Per Parcel","no.",$D256)</t>
  </si>
  <si>
    <t>=NL(1,"Prod. BOM Equipment","Fixed Prod. Time (Hours)","Production BOM No.",$D256,"version code",$E256,"Resource No.",O$9)</t>
  </si>
  <si>
    <t>=1/O256</t>
  </si>
  <si>
    <t>=IF(NL(1,"Prod. BOM Equipment","Variable Prod. Time (Hours)","Production BOM No.",$D256,"version code",$E256,"Resource No.",$O$9)="",1,NL(1,"Prod. BOM Equipment","Variable Prod. Time (Hours)","Production BOM No.",$D256,"version code",$E256,"Resource No.",$O$9))</t>
  </si>
  <si>
    <t>=1/Q256</t>
  </si>
  <si>
    <t>=R256*N256</t>
  </si>
  <si>
    <t>=IF(K257=0,"hide","")</t>
  </si>
  <si>
    <t>=D256</t>
  </si>
  <si>
    <t>=NL("sum","Production Order","Quantity","Source No.",$D257,"Equipment Code",$L257,"due date",F$8)/-12</t>
  </si>
  <si>
    <t>=NL("sum","Production Order","Quantity","Source No.",$D257,"Equipment Code",$L257,"due date",G$8)/-12</t>
  </si>
  <si>
    <t>=NL("sum","Production Order","Quantity","Source No.",$D257,"Equipment Code",$L257,"due date",H$8)/-12</t>
  </si>
  <si>
    <t>=NL("sum","Production Order","Quantity","Source No.",$D257,"Equipment Code",$L257,"due date",I$8)/-12</t>
  </si>
  <si>
    <t>=NL("sum","Production Order","Quantity","Source No.",$D257,"Equipment Code",$L257,"due date",J$8)/$J$7</t>
  </si>
  <si>
    <t>=AVERAGE(I257:J257)</t>
  </si>
  <si>
    <t>=IF(K258=0,"hide","")</t>
  </si>
  <si>
    <t>=D257</t>
  </si>
  <si>
    <t>=NL("sum","Production Order","Quantity","Source No.",$D258,"Equipment Code",$L258,"due date",F$8)/-12</t>
  </si>
  <si>
    <t>=NL("sum","Production Order","Quantity","Source No.",$D258,"Equipment Code",$L258,"due date",G$8)/-12</t>
  </si>
  <si>
    <t>=NL("sum","Production Order","Quantity","Source No.",$D258,"Equipment Code",$L258,"due date",H$8)/-12</t>
  </si>
  <si>
    <t>=NL("sum","Production Order","Quantity","Source No.",$D258,"Equipment Code",$L258,"due date",I$8)/-12</t>
  </si>
  <si>
    <t>=NL("sum","Production Order","Quantity","Source No.",$D258,"Equipment Code",$L258,"due date",J$8)/$J$7</t>
  </si>
  <si>
    <t>=AVERAGE(I258:J258)</t>
  </si>
  <si>
    <t>=IF(K259=0,"hide","")</t>
  </si>
  <si>
    <t>=D258</t>
  </si>
  <si>
    <t>=NL("sum","Production Order","Quantity","Source No.",$D259,"Equipment Code",$L259,"due date",F$8)/-12</t>
  </si>
  <si>
    <t>=NL("sum","Production Order","Quantity","Source No.",$D259,"Equipment Code",$L259,"due date",G$8)/-12</t>
  </si>
  <si>
    <t>=NL("sum","Production Order","Quantity","Source No.",$D259,"Equipment Code",$L259,"due date",H$8)/-12</t>
  </si>
  <si>
    <t>=NL("sum","Production Order","Quantity","Source No.",$D259,"Equipment Code",$L259,"due date",I$8)/-12</t>
  </si>
  <si>
    <t>=NL("sum","Production Order","Quantity","Source No.",$D259,"Equipment Code",$L259,"due date",J$8)/$J$7</t>
  </si>
  <si>
    <t>=AVERAGE(I259:J259)</t>
  </si>
  <si>
    <t>=IF(K260=0,"hide","")</t>
  </si>
  <si>
    <t>=D259</t>
  </si>
  <si>
    <t>=NL("sum","Production Order","Quantity","Source No.",$D260,"Equipment Code",$L260,"due date",F$8)/-12</t>
  </si>
  <si>
    <t>=NL("sum","Production Order","Quantity","Source No.",$D260,"Equipment Code",$L260,"due date",G$8)/-12</t>
  </si>
  <si>
    <t>=NL("sum","Production Order","Quantity","Source No.",$D260,"Equipment Code",$L260,"due date",H$8)/-12</t>
  </si>
  <si>
    <t>=NL("sum","Production Order","Quantity","Source No.",$D260,"Equipment Code",$L260,"due date",I$8)/-12</t>
  </si>
  <si>
    <t>=NL("sum","Production Order","Quantity","Source No.",$D260,"Equipment Code",$L260,"due date",J$8)/$J$7</t>
  </si>
  <si>
    <t>=AVERAGE(I260:J260)</t>
  </si>
  <si>
    <t>=B257</t>
  </si>
  <si>
    <t>=B261</t>
  </si>
  <si>
    <t>=SUM(F257:F261)</t>
  </si>
  <si>
    <t>=SUM(G257:G261)</t>
  </si>
  <si>
    <t>=SUM(H257:H261)</t>
  </si>
  <si>
    <t>=SUM(I257:I261)</t>
  </si>
  <si>
    <t>=SUM(J257:J261)</t>
  </si>
  <si>
    <t>=IF(K263=0,"hide","")</t>
  </si>
  <si>
    <t>="02503"</t>
  </si>
  <si>
    <t>=NL("rows","Production BOM Version","Version Code","Production BOM No.",D263,"status","certified")</t>
  </si>
  <si>
    <t>=NL("sum","Item Ledger Entry","Quantity","Item No.",$D263,"Entry Type","Sale|Consumption","posting date","01/01/19..12/31/19")/-12</t>
  </si>
  <si>
    <t>=NL("sum","Item Ledger Entry","Quantity","Item No.",$D263,"Entry Type","Sale|Consumption","posting date","01/01/20..12/31/20")/-12</t>
  </si>
  <si>
    <t>=NL("sum","Item Ledger Entry","Quantity","Item No.",$D263,"Entry Type","Sale|Consumption","posting date","01/01/21..12/31/21")/-12</t>
  </si>
  <si>
    <t>=NL("sum","Item Ledger Entry","Quantity","Item No.",$D263,"Entry Type","Sale|Consumption","posting date","01/01/22..12/31/22")/-12</t>
  </si>
  <si>
    <t>=NL("sum","Item Ledger Entry","Quantity","Item No.",$D263,"Entry Type","Sale|Consumption","posting date","01/01/23..12/31/23")/$J$7</t>
  </si>
  <si>
    <t>=AVERAGE(I263:J263)</t>
  </si>
  <si>
    <t>=NL(1,"item",L$9,"no.",D263)</t>
  </si>
  <si>
    <t>=NL(1,"item",M$9,"no.",$D263)</t>
  </si>
  <si>
    <t>=NL(1,"item","Units Per Parcel","no.",$D263)</t>
  </si>
  <si>
    <t>=NL(1,"Prod. BOM Equipment","Fixed Prod. Time (Hours)","Production BOM No.",$D263,"version code",$E263,"Resource No.",O$9)</t>
  </si>
  <si>
    <t>=1/O263</t>
  </si>
  <si>
    <t>=IF(NL(1,"Prod. BOM Equipment","Variable Prod. Time (Hours)","Production BOM No.",$D263,"version code",$E263,"Resource No.",$O$9)="",1,NL(1,"Prod. BOM Equipment","Variable Prod. Time (Hours)","Production BOM No.",$D263,"version code",$E263,"Resource No.",$O$9))</t>
  </si>
  <si>
    <t>=1/Q263</t>
  </si>
  <si>
    <t>=R263*N263</t>
  </si>
  <si>
    <t>=IF(K264=0,"hide","")</t>
  </si>
  <si>
    <t>=D263</t>
  </si>
  <si>
    <t>=NL("sum","Production Order","Quantity","Source No.",$D264,"Equipment Code",$L264,"due date",F$8)/-12</t>
  </si>
  <si>
    <t>=NL("sum","Production Order","Quantity","Source No.",$D264,"Equipment Code",$L264,"due date",G$8)/-12</t>
  </si>
  <si>
    <t>=NL("sum","Production Order","Quantity","Source No.",$D264,"Equipment Code",$L264,"due date",H$8)/-12</t>
  </si>
  <si>
    <t>=NL("sum","Production Order","Quantity","Source No.",$D264,"Equipment Code",$L264,"due date",I$8)/-12</t>
  </si>
  <si>
    <t>=NL("sum","Production Order","Quantity","Source No.",$D264,"Equipment Code",$L264,"due date",J$8)/$J$7</t>
  </si>
  <si>
    <t>=AVERAGE(I264:J264)</t>
  </si>
  <si>
    <t>=IF(K265=0,"hide","")</t>
  </si>
  <si>
    <t>=D264</t>
  </si>
  <si>
    <t>=NL("sum","Production Order","Quantity","Source No.",$D265,"Equipment Code",$L265,"due date",F$8)/-12</t>
  </si>
  <si>
    <t>=NL("sum","Production Order","Quantity","Source No.",$D265,"Equipment Code",$L265,"due date",G$8)/-12</t>
  </si>
  <si>
    <t>=NL("sum","Production Order","Quantity","Source No.",$D265,"Equipment Code",$L265,"due date",H$8)/-12</t>
  </si>
  <si>
    <t>=NL("sum","Production Order","Quantity","Source No.",$D265,"Equipment Code",$L265,"due date",I$8)/-12</t>
  </si>
  <si>
    <t>=NL("sum","Production Order","Quantity","Source No.",$D265,"Equipment Code",$L265,"due date",J$8)/$J$7</t>
  </si>
  <si>
    <t>=AVERAGE(I265:J265)</t>
  </si>
  <si>
    <t>=IF(K266=0,"hide","")</t>
  </si>
  <si>
    <t>=D265</t>
  </si>
  <si>
    <t>=NL("sum","Production Order","Quantity","Source No.",$D266,"Equipment Code",$L266,"due date",F$8)/-12</t>
  </si>
  <si>
    <t>=NL("sum","Production Order","Quantity","Source No.",$D266,"Equipment Code",$L266,"due date",G$8)/-12</t>
  </si>
  <si>
    <t>=NL("sum","Production Order","Quantity","Source No.",$D266,"Equipment Code",$L266,"due date",H$8)/-12</t>
  </si>
  <si>
    <t>=NL("sum","Production Order","Quantity","Source No.",$D266,"Equipment Code",$L266,"due date",I$8)/-12</t>
  </si>
  <si>
    <t>=NL("sum","Production Order","Quantity","Source No.",$D266,"Equipment Code",$L266,"due date",J$8)/$J$7</t>
  </si>
  <si>
    <t>=AVERAGE(I266:J266)</t>
  </si>
  <si>
    <t>=IF(K267=0,"hide","")</t>
  </si>
  <si>
    <t>=D266</t>
  </si>
  <si>
    <t>=NL("sum","Production Order","Quantity","Source No.",$D267,"Equipment Code",$L267,"due date",F$8)/-12</t>
  </si>
  <si>
    <t>=NL("sum","Production Order","Quantity","Source No.",$D267,"Equipment Code",$L267,"due date",G$8)/-12</t>
  </si>
  <si>
    <t>=NL("sum","Production Order","Quantity","Source No.",$D267,"Equipment Code",$L267,"due date",H$8)/-12</t>
  </si>
  <si>
    <t>=NL("sum","Production Order","Quantity","Source No.",$D267,"Equipment Code",$L267,"due date",I$8)/-12</t>
  </si>
  <si>
    <t>=NL("sum","Production Order","Quantity","Source No.",$D267,"Equipment Code",$L267,"due date",J$8)/$J$7</t>
  </si>
  <si>
    <t>=AVERAGE(I267:J267)</t>
  </si>
  <si>
    <t>=B264</t>
  </si>
  <si>
    <t>=B268</t>
  </si>
  <si>
    <t>=SUM(F264:F268)</t>
  </si>
  <si>
    <t>=SUM(G264:G268)</t>
  </si>
  <si>
    <t>=SUM(H264:H268)</t>
  </si>
  <si>
    <t>=SUM(I264:I268)</t>
  </si>
  <si>
    <t>=SUM(J264:J268)</t>
  </si>
  <si>
    <t>=IF(K270=0,"hide","")</t>
  </si>
  <si>
    <t>="02506"</t>
  </si>
  <si>
    <t>=NL("rows","Production BOM Version","Version Code","Production BOM No.",D270,"status","certified")</t>
  </si>
  <si>
    <t>=NL("sum","Item Ledger Entry","Quantity","Item No.",$D270,"Entry Type","Sale|Consumption","posting date","01/01/19..12/31/19")/-12</t>
  </si>
  <si>
    <t>=NL("sum","Item Ledger Entry","Quantity","Item No.",$D270,"Entry Type","Sale|Consumption","posting date","01/01/20..12/31/20")/-12</t>
  </si>
  <si>
    <t>=NL("sum","Item Ledger Entry","Quantity","Item No.",$D270,"Entry Type","Sale|Consumption","posting date","01/01/21..12/31/21")/-12</t>
  </si>
  <si>
    <t>=NL("sum","Item Ledger Entry","Quantity","Item No.",$D270,"Entry Type","Sale|Consumption","posting date","01/01/22..12/31/22")/-12</t>
  </si>
  <si>
    <t>=NL("sum","Item Ledger Entry","Quantity","Item No.",$D270,"Entry Type","Sale|Consumption","posting date","01/01/23..12/31/23")/$J$7</t>
  </si>
  <si>
    <t>=AVERAGE(I270:J270)</t>
  </si>
  <si>
    <t>=NL(1,"item",L$9,"no.",D270)</t>
  </si>
  <si>
    <t>=NL(1,"item",M$9,"no.",$D270)</t>
  </si>
  <si>
    <t>=NL(1,"item","Units Per Parcel","no.",$D270)</t>
  </si>
  <si>
    <t>=NL(1,"Prod. BOM Equipment","Fixed Prod. Time (Hours)","Production BOM No.",$D270,"version code",$E270,"Resource No.",O$9)</t>
  </si>
  <si>
    <t>=1/O270</t>
  </si>
  <si>
    <t>=IF(NL(1,"Prod. BOM Equipment","Variable Prod. Time (Hours)","Production BOM No.",$D270,"version code",$E270,"Resource No.",$O$9)="",1,NL(1,"Prod. BOM Equipment","Variable Prod. Time (Hours)","Production BOM No.",$D270,"version code",$E270,"Resource No.",$O$9))</t>
  </si>
  <si>
    <t>=1/Q270</t>
  </si>
  <si>
    <t>=R270*N270</t>
  </si>
  <si>
    <t>=IF(K271=0,"hide","")</t>
  </si>
  <si>
    <t>=D270</t>
  </si>
  <si>
    <t>=NL("sum","Production Order","Quantity","Source No.",$D271,"Equipment Code",$L271,"due date",F$8)/-12</t>
  </si>
  <si>
    <t>=NL("sum","Production Order","Quantity","Source No.",$D271,"Equipment Code",$L271,"due date",G$8)/-12</t>
  </si>
  <si>
    <t>=NL("sum","Production Order","Quantity","Source No.",$D271,"Equipment Code",$L271,"due date",H$8)/-12</t>
  </si>
  <si>
    <t>=NL("sum","Production Order","Quantity","Source No.",$D271,"Equipment Code",$L271,"due date",I$8)/-12</t>
  </si>
  <si>
    <t>=NL("sum","Production Order","Quantity","Source No.",$D271,"Equipment Code",$L271,"due date",J$8)/$J$7</t>
  </si>
  <si>
    <t>=AVERAGE(I271:J271)</t>
  </si>
  <si>
    <t>=IF(K272=0,"hide","")</t>
  </si>
  <si>
    <t>=D271</t>
  </si>
  <si>
    <t>=NL("sum","Production Order","Quantity","Source No.",$D272,"Equipment Code",$L272,"due date",F$8)/-12</t>
  </si>
  <si>
    <t>=NL("sum","Production Order","Quantity","Source No.",$D272,"Equipment Code",$L272,"due date",G$8)/-12</t>
  </si>
  <si>
    <t>=NL("sum","Production Order","Quantity","Source No.",$D272,"Equipment Code",$L272,"due date",H$8)/-12</t>
  </si>
  <si>
    <t>=NL("sum","Production Order","Quantity","Source No.",$D272,"Equipment Code",$L272,"due date",I$8)/-12</t>
  </si>
  <si>
    <t>=NL("sum","Production Order","Quantity","Source No.",$D272,"Equipment Code",$L272,"due date",J$8)/$J$7</t>
  </si>
  <si>
    <t>=AVERAGE(I272:J272)</t>
  </si>
  <si>
    <t>=IF(K273=0,"hide","")</t>
  </si>
  <si>
    <t>=D272</t>
  </si>
  <si>
    <t>=NL("sum","Production Order","Quantity","Source No.",$D273,"Equipment Code",$L273,"due date",F$8)/-12</t>
  </si>
  <si>
    <t>=NL("sum","Production Order","Quantity","Source No.",$D273,"Equipment Code",$L273,"due date",G$8)/-12</t>
  </si>
  <si>
    <t>=NL("sum","Production Order","Quantity","Source No.",$D273,"Equipment Code",$L273,"due date",H$8)/-12</t>
  </si>
  <si>
    <t>=NL("sum","Production Order","Quantity","Source No.",$D273,"Equipment Code",$L273,"due date",I$8)/-12</t>
  </si>
  <si>
    <t>=NL("sum","Production Order","Quantity","Source No.",$D273,"Equipment Code",$L273,"due date",J$8)/$J$7</t>
  </si>
  <si>
    <t>=AVERAGE(I273:J273)</t>
  </si>
  <si>
    <t>=IF(K274=0,"hide","")</t>
  </si>
  <si>
    <t>=D273</t>
  </si>
  <si>
    <t>=NL("sum","Production Order","Quantity","Source No.",$D274,"Equipment Code",$L274,"due date",F$8)/-12</t>
  </si>
  <si>
    <t>=NL("sum","Production Order","Quantity","Source No.",$D274,"Equipment Code",$L274,"due date",G$8)/-12</t>
  </si>
  <si>
    <t>=NL("sum","Production Order","Quantity","Source No.",$D274,"Equipment Code",$L274,"due date",H$8)/-12</t>
  </si>
  <si>
    <t>=NL("sum","Production Order","Quantity","Source No.",$D274,"Equipment Code",$L274,"due date",I$8)/-12</t>
  </si>
  <si>
    <t>=NL("sum","Production Order","Quantity","Source No.",$D274,"Equipment Code",$L274,"due date",J$8)/$J$7</t>
  </si>
  <si>
    <t>=AVERAGE(I274:J274)</t>
  </si>
  <si>
    <t>=B271</t>
  </si>
  <si>
    <t>=B275</t>
  </si>
  <si>
    <t>=SUM(F271:F275)</t>
  </si>
  <si>
    <t>=SUM(G271:G275)</t>
  </si>
  <si>
    <t>=SUM(H271:H275)</t>
  </si>
  <si>
    <t>=SUM(I271:I275)</t>
  </si>
  <si>
    <t>=SUM(J271:J275)</t>
  </si>
  <si>
    <t>=IF(K277=0,"hide","")</t>
  </si>
  <si>
    <t>="02611"</t>
  </si>
  <si>
    <t>=NL("rows","Production BOM Version","Version Code","Production BOM No.",D277,"status","certified")</t>
  </si>
  <si>
    <t>=NL("sum","Item Ledger Entry","Quantity","Item No.",$D277,"Entry Type","Sale|Consumption","posting date","01/01/19..12/31/19")/-12</t>
  </si>
  <si>
    <t>=NL("sum","Item Ledger Entry","Quantity","Item No.",$D277,"Entry Type","Sale|Consumption","posting date","01/01/20..12/31/20")/-12</t>
  </si>
  <si>
    <t>=NL("sum","Item Ledger Entry","Quantity","Item No.",$D277,"Entry Type","Sale|Consumption","posting date","01/01/21..12/31/21")/-12</t>
  </si>
  <si>
    <t>=NL("sum","Item Ledger Entry","Quantity","Item No.",$D277,"Entry Type","Sale|Consumption","posting date","01/01/22..12/31/22")/-12</t>
  </si>
  <si>
    <t>=NL("sum","Item Ledger Entry","Quantity","Item No.",$D277,"Entry Type","Sale|Consumption","posting date","01/01/23..12/31/23")/$J$7</t>
  </si>
  <si>
    <t>=AVERAGE(I277:J277)</t>
  </si>
  <si>
    <t>=NL(1,"item",L$9,"no.",D277)</t>
  </si>
  <si>
    <t>=NL(1,"item",M$9,"no.",$D277)</t>
  </si>
  <si>
    <t>=NL(1,"item","Units Per Parcel","no.",$D277)</t>
  </si>
  <si>
    <t>=NL(1,"Prod. BOM Equipment","Fixed Prod. Time (Hours)","Production BOM No.",$D277,"version code",$E277,"Resource No.",O$9)</t>
  </si>
  <si>
    <t>=1/O277</t>
  </si>
  <si>
    <t>=IF(NL(1,"Prod. BOM Equipment","Variable Prod. Time (Hours)","Production BOM No.",$D277,"version code",$E277,"Resource No.",$O$9)="",1,NL(1,"Prod. BOM Equipment","Variable Prod. Time (Hours)","Production BOM No.",$D277,"version code",$E277,"Resource No.",$O$9))</t>
  </si>
  <si>
    <t>=1/Q277</t>
  </si>
  <si>
    <t>=R277*N277</t>
  </si>
  <si>
    <t>=IF(K278=0,"hide","")</t>
  </si>
  <si>
    <t>=D277</t>
  </si>
  <si>
    <t>=NL("sum","Production Order","Quantity","Source No.",$D278,"Equipment Code",$L278,"due date",F$8)/-12</t>
  </si>
  <si>
    <t>=NL("sum","Production Order","Quantity","Source No.",$D278,"Equipment Code",$L278,"due date",G$8)/-12</t>
  </si>
  <si>
    <t>=NL("sum","Production Order","Quantity","Source No.",$D278,"Equipment Code",$L278,"due date",H$8)/-12</t>
  </si>
  <si>
    <t>=NL("sum","Production Order","Quantity","Source No.",$D278,"Equipment Code",$L278,"due date",I$8)/-12</t>
  </si>
  <si>
    <t>=NL("sum","Production Order","Quantity","Source No.",$D278,"Equipment Code",$L278,"due date",J$8)/$J$7</t>
  </si>
  <si>
    <t>=AVERAGE(I278:J278)</t>
  </si>
  <si>
    <t>=IF(K279=0,"hide","")</t>
  </si>
  <si>
    <t>=D278</t>
  </si>
  <si>
    <t>=NL("sum","Production Order","Quantity","Source No.",$D279,"Equipment Code",$L279,"due date",F$8)/-12</t>
  </si>
  <si>
    <t>=NL("sum","Production Order","Quantity","Source No.",$D279,"Equipment Code",$L279,"due date",G$8)/-12</t>
  </si>
  <si>
    <t>=NL("sum","Production Order","Quantity","Source No.",$D279,"Equipment Code",$L279,"due date",H$8)/-12</t>
  </si>
  <si>
    <t>=NL("sum","Production Order","Quantity","Source No.",$D279,"Equipment Code",$L279,"due date",I$8)/-12</t>
  </si>
  <si>
    <t>=NL("sum","Production Order","Quantity","Source No.",$D279,"Equipment Code",$L279,"due date",J$8)/$J$7</t>
  </si>
  <si>
    <t>=AVERAGE(I279:J279)</t>
  </si>
  <si>
    <t>=IF(K280=0,"hide","")</t>
  </si>
  <si>
    <t>=D279</t>
  </si>
  <si>
    <t>=NL("sum","Production Order","Quantity","Source No.",$D280,"Equipment Code",$L280,"due date",F$8)/-12</t>
  </si>
  <si>
    <t>=NL("sum","Production Order","Quantity","Source No.",$D280,"Equipment Code",$L280,"due date",G$8)/-12</t>
  </si>
  <si>
    <t>=NL("sum","Production Order","Quantity","Source No.",$D280,"Equipment Code",$L280,"due date",H$8)/-12</t>
  </si>
  <si>
    <t>=NL("sum","Production Order","Quantity","Source No.",$D280,"Equipment Code",$L280,"due date",I$8)/-12</t>
  </si>
  <si>
    <t>=NL("sum","Production Order","Quantity","Source No.",$D280,"Equipment Code",$L280,"due date",J$8)/$J$7</t>
  </si>
  <si>
    <t>=AVERAGE(I280:J280)</t>
  </si>
  <si>
    <t>=IF(K281=0,"hide","")</t>
  </si>
  <si>
    <t>=D280</t>
  </si>
  <si>
    <t>=NL("sum","Production Order","Quantity","Source No.",$D281,"Equipment Code",$L281,"due date",F$8)/-12</t>
  </si>
  <si>
    <t>=NL("sum","Production Order","Quantity","Source No.",$D281,"Equipment Code",$L281,"due date",G$8)/-12</t>
  </si>
  <si>
    <t>=NL("sum","Production Order","Quantity","Source No.",$D281,"Equipment Code",$L281,"due date",H$8)/-12</t>
  </si>
  <si>
    <t>=NL("sum","Production Order","Quantity","Source No.",$D281,"Equipment Code",$L281,"due date",I$8)/-12</t>
  </si>
  <si>
    <t>=NL("sum","Production Order","Quantity","Source No.",$D281,"Equipment Code",$L281,"due date",J$8)/$J$7</t>
  </si>
  <si>
    <t>=AVERAGE(I281:J281)</t>
  </si>
  <si>
    <t>=B278</t>
  </si>
  <si>
    <t>=B282</t>
  </si>
  <si>
    <t>=SUM(F278:F282)</t>
  </si>
  <si>
    <t>=SUM(G278:G282)</t>
  </si>
  <si>
    <t>=SUM(H278:H282)</t>
  </si>
  <si>
    <t>=SUM(I278:I282)</t>
  </si>
  <si>
    <t>=SUM(J278:J282)</t>
  </si>
  <si>
    <t>=IF(K284=0,"hide","")</t>
  </si>
  <si>
    <t>=NL("rows","Production BOM Version","Version Code","Production BOM No.",D284,"status","certified")</t>
  </si>
  <si>
    <t>=NL("sum","Item Ledger Entry","Quantity","Item No.",$D284,"Entry Type","Sale|Consumption","posting date","01/01/19..12/31/19")/-12</t>
  </si>
  <si>
    <t>=NL("sum","Item Ledger Entry","Quantity","Item No.",$D284,"Entry Type","Sale|Consumption","posting date","01/01/20..12/31/20")/-12</t>
  </si>
  <si>
    <t>=NL("sum","Item Ledger Entry","Quantity","Item No.",$D284,"Entry Type","Sale|Consumption","posting date","01/01/21..12/31/21")/-12</t>
  </si>
  <si>
    <t>=NL("sum","Item Ledger Entry","Quantity","Item No.",$D284,"Entry Type","Sale|Consumption","posting date","01/01/22..12/31/22")/-12</t>
  </si>
  <si>
    <t>=NL("sum","Item Ledger Entry","Quantity","Item No.",$D284,"Entry Type","Sale|Consumption","posting date","01/01/23..12/31/23")/$J$7</t>
  </si>
  <si>
    <t>=AVERAGE(I284:J284)</t>
  </si>
  <si>
    <t>=NL(1,"item",L$9,"no.",D284)</t>
  </si>
  <si>
    <t>=NL(1,"item",M$9,"no.",$D284)</t>
  </si>
  <si>
    <t>=NL(1,"item","Units Per Parcel","no.",$D284)</t>
  </si>
  <si>
    <t>=NL(1,"Prod. BOM Equipment","Fixed Prod. Time (Hours)","Production BOM No.",$D284,"version code",$E284,"Resource No.",O$9)</t>
  </si>
  <si>
    <t>=1/O284</t>
  </si>
  <si>
    <t>=IF(NL(1,"Prod. BOM Equipment","Variable Prod. Time (Hours)","Production BOM No.",$D284,"version code",$E284,"Resource No.",$O$9)="",1,NL(1,"Prod. BOM Equipment","Variable Prod. Time (Hours)","Production BOM No.",$D284,"version code",$E284,"Resource No.",$O$9))</t>
  </si>
  <si>
    <t>=1/Q284</t>
  </si>
  <si>
    <t>=R284*N284</t>
  </si>
  <si>
    <t>=IF(K285=0,"hide","")</t>
  </si>
  <si>
    <t>=D284</t>
  </si>
  <si>
    <t>=NL("sum","Production Order","Quantity","Source No.",$D285,"Equipment Code",$L285,"due date",F$8)/-12</t>
  </si>
  <si>
    <t>=NL("sum","Production Order","Quantity","Source No.",$D285,"Equipment Code",$L285,"due date",G$8)/-12</t>
  </si>
  <si>
    <t>=NL("sum","Production Order","Quantity","Source No.",$D285,"Equipment Code",$L285,"due date",H$8)/-12</t>
  </si>
  <si>
    <t>=NL("sum","Production Order","Quantity","Source No.",$D285,"Equipment Code",$L285,"due date",I$8)/-12</t>
  </si>
  <si>
    <t>=NL("sum","Production Order","Quantity","Source No.",$D285,"Equipment Code",$L285,"due date",J$8)/$J$7</t>
  </si>
  <si>
    <t>=AVERAGE(I285:J285)</t>
  </si>
  <si>
    <t>=IF(K286=0,"hide","")</t>
  </si>
  <si>
    <t>=D285</t>
  </si>
  <si>
    <t>=NL("sum","Production Order","Quantity","Source No.",$D286,"Equipment Code",$L286,"due date",F$8)/-12</t>
  </si>
  <si>
    <t>=NL("sum","Production Order","Quantity","Source No.",$D286,"Equipment Code",$L286,"due date",G$8)/-12</t>
  </si>
  <si>
    <t>=NL("sum","Production Order","Quantity","Source No.",$D286,"Equipment Code",$L286,"due date",H$8)/-12</t>
  </si>
  <si>
    <t>=NL("sum","Production Order","Quantity","Source No.",$D286,"Equipment Code",$L286,"due date",I$8)/-12</t>
  </si>
  <si>
    <t>=NL("sum","Production Order","Quantity","Source No.",$D286,"Equipment Code",$L286,"due date",J$8)/$J$7</t>
  </si>
  <si>
    <t>=AVERAGE(I286:J286)</t>
  </si>
  <si>
    <t>=IF(K287=0,"hide","")</t>
  </si>
  <si>
    <t>=D286</t>
  </si>
  <si>
    <t>=NL("sum","Production Order","Quantity","Source No.",$D287,"Equipment Code",$L287,"due date",F$8)/-12</t>
  </si>
  <si>
    <t>=NL("sum","Production Order","Quantity","Source No.",$D287,"Equipment Code",$L287,"due date",G$8)/-12</t>
  </si>
  <si>
    <t>=NL("sum","Production Order","Quantity","Source No.",$D287,"Equipment Code",$L287,"due date",H$8)/-12</t>
  </si>
  <si>
    <t>=NL("sum","Production Order","Quantity","Source No.",$D287,"Equipment Code",$L287,"due date",I$8)/-12</t>
  </si>
  <si>
    <t>=NL("sum","Production Order","Quantity","Source No.",$D287,"Equipment Code",$L287,"due date",J$8)/$J$7</t>
  </si>
  <si>
    <t>=AVERAGE(I287:J287)</t>
  </si>
  <si>
    <t>=IF(K288=0,"hide","")</t>
  </si>
  <si>
    <t>=D287</t>
  </si>
  <si>
    <t>=NL("sum","Production Order","Quantity","Source No.",$D288,"Equipment Code",$L288,"due date",F$8)/-12</t>
  </si>
  <si>
    <t>=NL("sum","Production Order","Quantity","Source No.",$D288,"Equipment Code",$L288,"due date",G$8)/-12</t>
  </si>
  <si>
    <t>=NL("sum","Production Order","Quantity","Source No.",$D288,"Equipment Code",$L288,"due date",H$8)/-12</t>
  </si>
  <si>
    <t>=NL("sum","Production Order","Quantity","Source No.",$D288,"Equipment Code",$L288,"due date",I$8)/-12</t>
  </si>
  <si>
    <t>=NL("sum","Production Order","Quantity","Source No.",$D288,"Equipment Code",$L288,"due date",J$8)/$J$7</t>
  </si>
  <si>
    <t>=AVERAGE(I288:J288)</t>
  </si>
  <si>
    <t>=B285</t>
  </si>
  <si>
    <t>=B289</t>
  </si>
  <si>
    <t>=SUM(F285:F289)</t>
  </si>
  <si>
    <t>=SUM(G285:G289)</t>
  </si>
  <si>
    <t>=SUM(H285:H289)</t>
  </si>
  <si>
    <t>=SUM(I285:I289)</t>
  </si>
  <si>
    <t>=SUM(J285:J289)</t>
  </si>
  <si>
    <t>=IF(K291=0,"hide","")</t>
  </si>
  <si>
    <t>="02638"</t>
  </si>
  <si>
    <t>=NL("rows","Production BOM Version","Version Code","Production BOM No.",D291,"status","certified")</t>
  </si>
  <si>
    <t>=NL("sum","Item Ledger Entry","Quantity","Item No.",$D291,"Entry Type","Sale|Consumption","posting date","01/01/19..12/31/19")/-12</t>
  </si>
  <si>
    <t>=NL("sum","Item Ledger Entry","Quantity","Item No.",$D291,"Entry Type","Sale|Consumption","posting date","01/01/20..12/31/20")/-12</t>
  </si>
  <si>
    <t>=NL("sum","Item Ledger Entry","Quantity","Item No.",$D291,"Entry Type","Sale|Consumption","posting date","01/01/21..12/31/21")/-12</t>
  </si>
  <si>
    <t>=NL("sum","Item Ledger Entry","Quantity","Item No.",$D291,"Entry Type","Sale|Consumption","posting date","01/01/22..12/31/22")/-12</t>
  </si>
  <si>
    <t>=NL("sum","Item Ledger Entry","Quantity","Item No.",$D291,"Entry Type","Sale|Consumption","posting date","01/01/23..12/31/23")/$J$7</t>
  </si>
  <si>
    <t>=AVERAGE(I291:J291)</t>
  </si>
  <si>
    <t>=NL(1,"item",L$9,"no.",D291)</t>
  </si>
  <si>
    <t>=NL(1,"item",M$9,"no.",$D291)</t>
  </si>
  <si>
    <t>=NL(1,"item","Units Per Parcel","no.",$D291)</t>
  </si>
  <si>
    <t>=NL(1,"Prod. BOM Equipment","Fixed Prod. Time (Hours)","Production BOM No.",$D291,"version code",$E291,"Resource No.",O$9)</t>
  </si>
  <si>
    <t>=1/O291</t>
  </si>
  <si>
    <t>=IF(NL(1,"Prod. BOM Equipment","Variable Prod. Time (Hours)","Production BOM No.",$D291,"version code",$E291,"Resource No.",$O$9)="",1,NL(1,"Prod. BOM Equipment","Variable Prod. Time (Hours)","Production BOM No.",$D291,"version code",$E291,"Resource No.",$O$9))</t>
  </si>
  <si>
    <t>=1/Q291</t>
  </si>
  <si>
    <t>=R291*N291</t>
  </si>
  <si>
    <t>=IF(K292=0,"hide","")</t>
  </si>
  <si>
    <t>=D291</t>
  </si>
  <si>
    <t>=NL("sum","Production Order","Quantity","Source No.",$D292,"Equipment Code",$L292,"due date",F$8)/-12</t>
  </si>
  <si>
    <t>=NL("sum","Production Order","Quantity","Source No.",$D292,"Equipment Code",$L292,"due date",G$8)/-12</t>
  </si>
  <si>
    <t>=NL("sum","Production Order","Quantity","Source No.",$D292,"Equipment Code",$L292,"due date",H$8)/-12</t>
  </si>
  <si>
    <t>=NL("sum","Production Order","Quantity","Source No.",$D292,"Equipment Code",$L292,"due date",I$8)/-12</t>
  </si>
  <si>
    <t>=NL("sum","Production Order","Quantity","Source No.",$D292,"Equipment Code",$L292,"due date",J$8)/$J$7</t>
  </si>
  <si>
    <t>=AVERAGE(I292:J292)</t>
  </si>
  <si>
    <t>=IF(K293=0,"hide","")</t>
  </si>
  <si>
    <t>=D292</t>
  </si>
  <si>
    <t>=NL("sum","Production Order","Quantity","Source No.",$D293,"Equipment Code",$L293,"due date",F$8)/-12</t>
  </si>
  <si>
    <t>=NL("sum","Production Order","Quantity","Source No.",$D293,"Equipment Code",$L293,"due date",G$8)/-12</t>
  </si>
  <si>
    <t>=NL("sum","Production Order","Quantity","Source No.",$D293,"Equipment Code",$L293,"due date",H$8)/-12</t>
  </si>
  <si>
    <t>=NL("sum","Production Order","Quantity","Source No.",$D293,"Equipment Code",$L293,"due date",I$8)/-12</t>
  </si>
  <si>
    <t>=NL("sum","Production Order","Quantity","Source No.",$D293,"Equipment Code",$L293,"due date",J$8)/$J$7</t>
  </si>
  <si>
    <t>=AVERAGE(I293:J293)</t>
  </si>
  <si>
    <t>=IF(K294=0,"hide","")</t>
  </si>
  <si>
    <t>=D293</t>
  </si>
  <si>
    <t>=NL("sum","Production Order","Quantity","Source No.",$D294,"Equipment Code",$L294,"due date",F$8)/-12</t>
  </si>
  <si>
    <t>=NL("sum","Production Order","Quantity","Source No.",$D294,"Equipment Code",$L294,"due date",G$8)/-12</t>
  </si>
  <si>
    <t>=NL("sum","Production Order","Quantity","Source No.",$D294,"Equipment Code",$L294,"due date",H$8)/-12</t>
  </si>
  <si>
    <t>=NL("sum","Production Order","Quantity","Source No.",$D294,"Equipment Code",$L294,"due date",I$8)/-12</t>
  </si>
  <si>
    <t>=NL("sum","Production Order","Quantity","Source No.",$D294,"Equipment Code",$L294,"due date",J$8)/$J$7</t>
  </si>
  <si>
    <t>=AVERAGE(I294:J294)</t>
  </si>
  <si>
    <t>=IF(K295=0,"hide","")</t>
  </si>
  <si>
    <t>=D294</t>
  </si>
  <si>
    <t>=NL("sum","Production Order","Quantity","Source No.",$D295,"Equipment Code",$L295,"due date",F$8)/-12</t>
  </si>
  <si>
    <t>=NL("sum","Production Order","Quantity","Source No.",$D295,"Equipment Code",$L295,"due date",G$8)/-12</t>
  </si>
  <si>
    <t>=NL("sum","Production Order","Quantity","Source No.",$D295,"Equipment Code",$L295,"due date",H$8)/-12</t>
  </si>
  <si>
    <t>=NL("sum","Production Order","Quantity","Source No.",$D295,"Equipment Code",$L295,"due date",I$8)/-12</t>
  </si>
  <si>
    <t>=NL("sum","Production Order","Quantity","Source No.",$D295,"Equipment Code",$L295,"due date",J$8)/$J$7</t>
  </si>
  <si>
    <t>=AVERAGE(I295:J295)</t>
  </si>
  <si>
    <t>=B292</t>
  </si>
  <si>
    <t>=B296</t>
  </si>
  <si>
    <t>=SUM(F292:F296)</t>
  </si>
  <si>
    <t>=SUM(G292:G296)</t>
  </si>
  <si>
    <t>=SUM(H292:H296)</t>
  </si>
  <si>
    <t>=SUM(I292:I296)</t>
  </si>
  <si>
    <t>=SUM(J292:J296)</t>
  </si>
  <si>
    <t>=IF(K298=0,"hide","")</t>
  </si>
  <si>
    <t>=NL("rows","Production BOM Version","Version Code","Production BOM No.",D298,"status","certified")</t>
  </si>
  <si>
    <t>=NL("sum","Item Ledger Entry","Quantity","Item No.",$D298,"Entry Type","Sale|Consumption","posting date","01/01/19..12/31/19")/-12</t>
  </si>
  <si>
    <t>=NL("sum","Item Ledger Entry","Quantity","Item No.",$D298,"Entry Type","Sale|Consumption","posting date","01/01/20..12/31/20")/-12</t>
  </si>
  <si>
    <t>=NL("sum","Item Ledger Entry","Quantity","Item No.",$D298,"Entry Type","Sale|Consumption","posting date","01/01/21..12/31/21")/-12</t>
  </si>
  <si>
    <t>=NL("sum","Item Ledger Entry","Quantity","Item No.",$D298,"Entry Type","Sale|Consumption","posting date","01/01/22..12/31/22")/-12</t>
  </si>
  <si>
    <t>=NL("sum","Item Ledger Entry","Quantity","Item No.",$D298,"Entry Type","Sale|Consumption","posting date","01/01/23..12/31/23")/$J$7</t>
  </si>
  <si>
    <t>=AVERAGE(I298:J298)</t>
  </si>
  <si>
    <t>=NL(1,"item",L$9,"no.",D298)</t>
  </si>
  <si>
    <t>=NL(1,"item",M$9,"no.",$D298)</t>
  </si>
  <si>
    <t>=NL(1,"item","Units Per Parcel","no.",$D298)</t>
  </si>
  <si>
    <t>=NL(1,"Prod. BOM Equipment","Fixed Prod. Time (Hours)","Production BOM No.",$D298,"version code",$E298,"Resource No.",O$9)</t>
  </si>
  <si>
    <t>=1/O298</t>
  </si>
  <si>
    <t>=IF(NL(1,"Prod. BOM Equipment","Variable Prod. Time (Hours)","Production BOM No.",$D298,"version code",$E298,"Resource No.",$O$9)="",1,NL(1,"Prod. BOM Equipment","Variable Prod. Time (Hours)","Production BOM No.",$D298,"version code",$E298,"Resource No.",$O$9))</t>
  </si>
  <si>
    <t>=1/Q298</t>
  </si>
  <si>
    <t>=R298*N298</t>
  </si>
  <si>
    <t>=IF(K299=0,"hide","")</t>
  </si>
  <si>
    <t>=D298</t>
  </si>
  <si>
    <t>=NL("sum","Production Order","Quantity","Source No.",$D299,"Equipment Code",$L299,"due date",F$8)/-12</t>
  </si>
  <si>
    <t>=NL("sum","Production Order","Quantity","Source No.",$D299,"Equipment Code",$L299,"due date",G$8)/-12</t>
  </si>
  <si>
    <t>=NL("sum","Production Order","Quantity","Source No.",$D299,"Equipment Code",$L299,"due date",H$8)/-12</t>
  </si>
  <si>
    <t>=NL("sum","Production Order","Quantity","Source No.",$D299,"Equipment Code",$L299,"due date",I$8)/-12</t>
  </si>
  <si>
    <t>=NL("sum","Production Order","Quantity","Source No.",$D299,"Equipment Code",$L299,"due date",J$8)/$J$7</t>
  </si>
  <si>
    <t>=AVERAGE(I299:J299)</t>
  </si>
  <si>
    <t>=IF(K300=0,"hide","")</t>
  </si>
  <si>
    <t>=D299</t>
  </si>
  <si>
    <t>=NL("sum","Production Order","Quantity","Source No.",$D300,"Equipment Code",$L300,"due date",F$8)/-12</t>
  </si>
  <si>
    <t>=NL("sum","Production Order","Quantity","Source No.",$D300,"Equipment Code",$L300,"due date",G$8)/-12</t>
  </si>
  <si>
    <t>=NL("sum","Production Order","Quantity","Source No.",$D300,"Equipment Code",$L300,"due date",H$8)/-12</t>
  </si>
  <si>
    <t>=NL("sum","Production Order","Quantity","Source No.",$D300,"Equipment Code",$L300,"due date",I$8)/-12</t>
  </si>
  <si>
    <t>=NL("sum","Production Order","Quantity","Source No.",$D300,"Equipment Code",$L300,"due date",J$8)/$J$7</t>
  </si>
  <si>
    <t>=AVERAGE(I300:J300)</t>
  </si>
  <si>
    <t>=IF(K301=0,"hide","")</t>
  </si>
  <si>
    <t>=D300</t>
  </si>
  <si>
    <t>=NL("sum","Production Order","Quantity","Source No.",$D301,"Equipment Code",$L301,"due date",F$8)/-12</t>
  </si>
  <si>
    <t>=NL("sum","Production Order","Quantity","Source No.",$D301,"Equipment Code",$L301,"due date",G$8)/-12</t>
  </si>
  <si>
    <t>=NL("sum","Production Order","Quantity","Source No.",$D301,"Equipment Code",$L301,"due date",H$8)/-12</t>
  </si>
  <si>
    <t>=NL("sum","Production Order","Quantity","Source No.",$D301,"Equipment Code",$L301,"due date",I$8)/-12</t>
  </si>
  <si>
    <t>=NL("sum","Production Order","Quantity","Source No.",$D301,"Equipment Code",$L301,"due date",J$8)/$J$7</t>
  </si>
  <si>
    <t>=AVERAGE(I301:J301)</t>
  </si>
  <si>
    <t>=IF(K302=0,"hide","")</t>
  </si>
  <si>
    <t>=D301</t>
  </si>
  <si>
    <t>=NL("sum","Production Order","Quantity","Source No.",$D302,"Equipment Code",$L302,"due date",F$8)/-12</t>
  </si>
  <si>
    <t>=NL("sum","Production Order","Quantity","Source No.",$D302,"Equipment Code",$L302,"due date",G$8)/-12</t>
  </si>
  <si>
    <t>=NL("sum","Production Order","Quantity","Source No.",$D302,"Equipment Code",$L302,"due date",H$8)/-12</t>
  </si>
  <si>
    <t>=NL("sum","Production Order","Quantity","Source No.",$D302,"Equipment Code",$L302,"due date",I$8)/-12</t>
  </si>
  <si>
    <t>=NL("sum","Production Order","Quantity","Source No.",$D302,"Equipment Code",$L302,"due date",J$8)/$J$7</t>
  </si>
  <si>
    <t>=AVERAGE(I302:J302)</t>
  </si>
  <si>
    <t>=B299</t>
  </si>
  <si>
    <t>=B303</t>
  </si>
  <si>
    <t>=SUM(F299:F303)</t>
  </si>
  <si>
    <t>=SUM(G299:G303)</t>
  </si>
  <si>
    <t>=SUM(H299:H303)</t>
  </si>
  <si>
    <t>=SUM(I299:I303)</t>
  </si>
  <si>
    <t>=SUM(J299:J303)</t>
  </si>
  <si>
    <t>=IF(K305=0,"hide","")</t>
  </si>
  <si>
    <t>=NL("rows","Production BOM Version","Version Code","Production BOM No.",D305,"status","certified")</t>
  </si>
  <si>
    <t>=NL("sum","Item Ledger Entry","Quantity","Item No.",$D305,"Entry Type","Sale|Consumption","posting date","01/01/19..12/31/19")/-12</t>
  </si>
  <si>
    <t>=NL("sum","Item Ledger Entry","Quantity","Item No.",$D305,"Entry Type","Sale|Consumption","posting date","01/01/20..12/31/20")/-12</t>
  </si>
  <si>
    <t>=NL("sum","Item Ledger Entry","Quantity","Item No.",$D305,"Entry Type","Sale|Consumption","posting date","01/01/21..12/31/21")/-12</t>
  </si>
  <si>
    <t>=NL("sum","Item Ledger Entry","Quantity","Item No.",$D305,"Entry Type","Sale|Consumption","posting date","01/01/22..12/31/22")/-12</t>
  </si>
  <si>
    <t>=NL("sum","Item Ledger Entry","Quantity","Item No.",$D305,"Entry Type","Sale|Consumption","posting date","01/01/23..12/31/23")/$J$7</t>
  </si>
  <si>
    <t>=AVERAGE(I305:J305)</t>
  </si>
  <si>
    <t>=NL(1,"item",L$9,"no.",D305)</t>
  </si>
  <si>
    <t>=NL(1,"item",M$9,"no.",$D305)</t>
  </si>
  <si>
    <t>=NL(1,"item","Units Per Parcel","no.",$D305)</t>
  </si>
  <si>
    <t>=NL(1,"Prod. BOM Equipment","Fixed Prod. Time (Hours)","Production BOM No.",$D305,"version code",$E305,"Resource No.",O$9)</t>
  </si>
  <si>
    <t>=1/O305</t>
  </si>
  <si>
    <t>=IF(NL(1,"Prod. BOM Equipment","Variable Prod. Time (Hours)","Production BOM No.",$D305,"version code",$E305,"Resource No.",$O$9)="",1,NL(1,"Prod. BOM Equipment","Variable Prod. Time (Hours)","Production BOM No.",$D305,"version code",$E305,"Resource No.",$O$9))</t>
  </si>
  <si>
    <t>=1/Q305</t>
  </si>
  <si>
    <t>=R305*N305</t>
  </si>
  <si>
    <t>=IF(K306=0,"hide","")</t>
  </si>
  <si>
    <t>=D305</t>
  </si>
  <si>
    <t>=NL("sum","Production Order","Quantity","Source No.",$D306,"Equipment Code",$L306,"due date",F$8)/-12</t>
  </si>
  <si>
    <t>=NL("sum","Production Order","Quantity","Source No.",$D306,"Equipment Code",$L306,"due date",G$8)/-12</t>
  </si>
  <si>
    <t>=NL("sum","Production Order","Quantity","Source No.",$D306,"Equipment Code",$L306,"due date",H$8)/-12</t>
  </si>
  <si>
    <t>=NL("sum","Production Order","Quantity","Source No.",$D306,"Equipment Code",$L306,"due date",I$8)/-12</t>
  </si>
  <si>
    <t>=NL("sum","Production Order","Quantity","Source No.",$D306,"Equipment Code",$L306,"due date",J$8)/$J$7</t>
  </si>
  <si>
    <t>=AVERAGE(I306:J306)</t>
  </si>
  <si>
    <t>=IF(K307=0,"hide","")</t>
  </si>
  <si>
    <t>=D306</t>
  </si>
  <si>
    <t>=NL("sum","Production Order","Quantity","Source No.",$D307,"Equipment Code",$L307,"due date",F$8)/-12</t>
  </si>
  <si>
    <t>=NL("sum","Production Order","Quantity","Source No.",$D307,"Equipment Code",$L307,"due date",G$8)/-12</t>
  </si>
  <si>
    <t>=NL("sum","Production Order","Quantity","Source No.",$D307,"Equipment Code",$L307,"due date",H$8)/-12</t>
  </si>
  <si>
    <t>=NL("sum","Production Order","Quantity","Source No.",$D307,"Equipment Code",$L307,"due date",I$8)/-12</t>
  </si>
  <si>
    <t>=NL("sum","Production Order","Quantity","Source No.",$D307,"Equipment Code",$L307,"due date",J$8)/$J$7</t>
  </si>
  <si>
    <t>=AVERAGE(I307:J307)</t>
  </si>
  <si>
    <t>=IF(K308=0,"hide","")</t>
  </si>
  <si>
    <t>=D307</t>
  </si>
  <si>
    <t>=NL("sum","Production Order","Quantity","Source No.",$D308,"Equipment Code",$L308,"due date",F$8)/-12</t>
  </si>
  <si>
    <t>=NL("sum","Production Order","Quantity","Source No.",$D308,"Equipment Code",$L308,"due date",G$8)/-12</t>
  </si>
  <si>
    <t>=NL("sum","Production Order","Quantity","Source No.",$D308,"Equipment Code",$L308,"due date",H$8)/-12</t>
  </si>
  <si>
    <t>=NL("sum","Production Order","Quantity","Source No.",$D308,"Equipment Code",$L308,"due date",I$8)/-12</t>
  </si>
  <si>
    <t>=NL("sum","Production Order","Quantity","Source No.",$D308,"Equipment Code",$L308,"due date",J$8)/$J$7</t>
  </si>
  <si>
    <t>=AVERAGE(I308:J308)</t>
  </si>
  <si>
    <t>=IF(K309=0,"hide","")</t>
  </si>
  <si>
    <t>=D308</t>
  </si>
  <si>
    <t>=NL("sum","Production Order","Quantity","Source No.",$D309,"Equipment Code",$L309,"due date",F$8)/-12</t>
  </si>
  <si>
    <t>=NL("sum","Production Order","Quantity","Source No.",$D309,"Equipment Code",$L309,"due date",G$8)/-12</t>
  </si>
  <si>
    <t>=NL("sum","Production Order","Quantity","Source No.",$D309,"Equipment Code",$L309,"due date",H$8)/-12</t>
  </si>
  <si>
    <t>=NL("sum","Production Order","Quantity","Source No.",$D309,"Equipment Code",$L309,"due date",I$8)/-12</t>
  </si>
  <si>
    <t>=NL("sum","Production Order","Quantity","Source No.",$D309,"Equipment Code",$L309,"due date",J$8)/$J$7</t>
  </si>
  <si>
    <t>=AVERAGE(I309:J309)</t>
  </si>
  <si>
    <t>=B306</t>
  </si>
  <si>
    <t>=B310</t>
  </si>
  <si>
    <t>=SUM(F306:F310)</t>
  </si>
  <si>
    <t>=SUM(G306:G310)</t>
  </si>
  <si>
    <t>=SUM(H306:H310)</t>
  </si>
  <si>
    <t>=SUM(I306:I310)</t>
  </si>
  <si>
    <t>=SUM(J306:J310)</t>
  </si>
  <si>
    <t>=IF(K312=0,"hide","")</t>
  </si>
  <si>
    <t>=NL("rows","Production BOM Version","Version Code","Production BOM No.",D312,"status","certified")</t>
  </si>
  <si>
    <t>=NL("sum","Item Ledger Entry","Quantity","Item No.",$D312,"Entry Type","Sale|Consumption","posting date","01/01/19..12/31/19")/-12</t>
  </si>
  <si>
    <t>=NL("sum","Item Ledger Entry","Quantity","Item No.",$D312,"Entry Type","Sale|Consumption","posting date","01/01/20..12/31/20")/-12</t>
  </si>
  <si>
    <t>=NL("sum","Item Ledger Entry","Quantity","Item No.",$D312,"Entry Type","Sale|Consumption","posting date","01/01/21..12/31/21")/-12</t>
  </si>
  <si>
    <t>=NL("sum","Item Ledger Entry","Quantity","Item No.",$D312,"Entry Type","Sale|Consumption","posting date","01/01/22..12/31/22")/-12</t>
  </si>
  <si>
    <t>=NL("sum","Item Ledger Entry","Quantity","Item No.",$D312,"Entry Type","Sale|Consumption","posting date","01/01/23..12/31/23")/$J$7</t>
  </si>
  <si>
    <t>=AVERAGE(I312:J312)</t>
  </si>
  <si>
    <t>=NL(1,"item",L$9,"no.",D312)</t>
  </si>
  <si>
    <t>=NL(1,"item",M$9,"no.",$D312)</t>
  </si>
  <si>
    <t>=NL(1,"item","Units Per Parcel","no.",$D312)</t>
  </si>
  <si>
    <t>=NL(1,"Prod. BOM Equipment","Fixed Prod. Time (Hours)","Production BOM No.",$D312,"version code",$E312,"Resource No.",O$9)</t>
  </si>
  <si>
    <t>=1/O312</t>
  </si>
  <si>
    <t>=IF(NL(1,"Prod. BOM Equipment","Variable Prod. Time (Hours)","Production BOM No.",$D312,"version code",$E312,"Resource No.",$O$9)="",1,NL(1,"Prod. BOM Equipment","Variable Prod. Time (Hours)","Production BOM No.",$D312,"version code",$E312,"Resource No.",$O$9))</t>
  </si>
  <si>
    <t>=1/Q312</t>
  </si>
  <si>
    <t>=R312*N312</t>
  </si>
  <si>
    <t>=IF(K313=0,"hide","")</t>
  </si>
  <si>
    <t>=D312</t>
  </si>
  <si>
    <t>=NL("sum","Production Order","Quantity","Source No.",$D313,"Equipment Code",$L313,"due date",F$8)/-12</t>
  </si>
  <si>
    <t>=NL("sum","Production Order","Quantity","Source No.",$D313,"Equipment Code",$L313,"due date",G$8)/-12</t>
  </si>
  <si>
    <t>=NL("sum","Production Order","Quantity","Source No.",$D313,"Equipment Code",$L313,"due date",H$8)/-12</t>
  </si>
  <si>
    <t>=NL("sum","Production Order","Quantity","Source No.",$D313,"Equipment Code",$L313,"due date",I$8)/-12</t>
  </si>
  <si>
    <t>=NL("sum","Production Order","Quantity","Source No.",$D313,"Equipment Code",$L313,"due date",J$8)/$J$7</t>
  </si>
  <si>
    <t>=AVERAGE(I313:J313)</t>
  </si>
  <si>
    <t>=IF(K314=0,"hide","")</t>
  </si>
  <si>
    <t>=D313</t>
  </si>
  <si>
    <t>=NL("sum","Production Order","Quantity","Source No.",$D314,"Equipment Code",$L314,"due date",F$8)/-12</t>
  </si>
  <si>
    <t>=NL("sum","Production Order","Quantity","Source No.",$D314,"Equipment Code",$L314,"due date",G$8)/-12</t>
  </si>
  <si>
    <t>=NL("sum","Production Order","Quantity","Source No.",$D314,"Equipment Code",$L314,"due date",H$8)/-12</t>
  </si>
  <si>
    <t>=NL("sum","Production Order","Quantity","Source No.",$D314,"Equipment Code",$L314,"due date",I$8)/-12</t>
  </si>
  <si>
    <t>=NL("sum","Production Order","Quantity","Source No.",$D314,"Equipment Code",$L314,"due date",J$8)/$J$7</t>
  </si>
  <si>
    <t>=AVERAGE(I314:J314)</t>
  </si>
  <si>
    <t>=IF(K315=0,"hide","")</t>
  </si>
  <si>
    <t>=D314</t>
  </si>
  <si>
    <t>=NL("sum","Production Order","Quantity","Source No.",$D315,"Equipment Code",$L315,"due date",F$8)/-12</t>
  </si>
  <si>
    <t>=NL("sum","Production Order","Quantity","Source No.",$D315,"Equipment Code",$L315,"due date",G$8)/-12</t>
  </si>
  <si>
    <t>=NL("sum","Production Order","Quantity","Source No.",$D315,"Equipment Code",$L315,"due date",H$8)/-12</t>
  </si>
  <si>
    <t>=NL("sum","Production Order","Quantity","Source No.",$D315,"Equipment Code",$L315,"due date",I$8)/-12</t>
  </si>
  <si>
    <t>=NL("sum","Production Order","Quantity","Source No.",$D315,"Equipment Code",$L315,"due date",J$8)/$J$7</t>
  </si>
  <si>
    <t>=AVERAGE(I315:J315)</t>
  </si>
  <si>
    <t>=IF(K316=0,"hide","")</t>
  </si>
  <si>
    <t>=D315</t>
  </si>
  <si>
    <t>=NL("sum","Production Order","Quantity","Source No.",$D316,"Equipment Code",$L316,"due date",F$8)/-12</t>
  </si>
  <si>
    <t>=NL("sum","Production Order","Quantity","Source No.",$D316,"Equipment Code",$L316,"due date",G$8)/-12</t>
  </si>
  <si>
    <t>=NL("sum","Production Order","Quantity","Source No.",$D316,"Equipment Code",$L316,"due date",H$8)/-12</t>
  </si>
  <si>
    <t>=NL("sum","Production Order","Quantity","Source No.",$D316,"Equipment Code",$L316,"due date",I$8)/-12</t>
  </si>
  <si>
    <t>=NL("sum","Production Order","Quantity","Source No.",$D316,"Equipment Code",$L316,"due date",J$8)/$J$7</t>
  </si>
  <si>
    <t>=AVERAGE(I316:J316)</t>
  </si>
  <si>
    <t>=B313</t>
  </si>
  <si>
    <t>=B317</t>
  </si>
  <si>
    <t>=SUM(F313:F317)</t>
  </si>
  <si>
    <t>=SUM(G313:G317)</t>
  </si>
  <si>
    <t>=SUM(H313:H317)</t>
  </si>
  <si>
    <t>=SUM(I313:I317)</t>
  </si>
  <si>
    <t>=SUM(J313:J317)</t>
  </si>
  <si>
    <t>=IF(K319=0,"hide","")</t>
  </si>
  <si>
    <t>=NL("rows","Production BOM Version","Version Code","Production BOM No.",D319,"status","certified")</t>
  </si>
  <si>
    <t>=NL("sum","Item Ledger Entry","Quantity","Item No.",$D319,"Entry Type","Sale|Consumption","posting date","01/01/19..12/31/19")/-12</t>
  </si>
  <si>
    <t>=NL("sum","Item Ledger Entry","Quantity","Item No.",$D319,"Entry Type","Sale|Consumption","posting date","01/01/20..12/31/20")/-12</t>
  </si>
  <si>
    <t>=NL("sum","Item Ledger Entry","Quantity","Item No.",$D319,"Entry Type","Sale|Consumption","posting date","01/01/21..12/31/21")/-12</t>
  </si>
  <si>
    <t>=NL("sum","Item Ledger Entry","Quantity","Item No.",$D319,"Entry Type","Sale|Consumption","posting date","01/01/22..12/31/22")/-12</t>
  </si>
  <si>
    <t>=NL("sum","Item Ledger Entry","Quantity","Item No.",$D319,"Entry Type","Sale|Consumption","posting date","01/01/23..12/31/23")/$J$7</t>
  </si>
  <si>
    <t>=AVERAGE(I319:J319)</t>
  </si>
  <si>
    <t>=NL(1,"item",L$9,"no.",D319)</t>
  </si>
  <si>
    <t>=NL(1,"item",M$9,"no.",$D319)</t>
  </si>
  <si>
    <t>=NL(1,"item","Units Per Parcel","no.",$D319)</t>
  </si>
  <si>
    <t>=NL(1,"Prod. BOM Equipment","Fixed Prod. Time (Hours)","Production BOM No.",$D319,"version code",$E319,"Resource No.",O$9)</t>
  </si>
  <si>
    <t>=1/O319</t>
  </si>
  <si>
    <t>=IF(NL(1,"Prod. BOM Equipment","Variable Prod. Time (Hours)","Production BOM No.",$D319,"version code",$E319,"Resource No.",$O$9)="",1,NL(1,"Prod. BOM Equipment","Variable Prod. Time (Hours)","Production BOM No.",$D319,"version code",$E319,"Resource No.",$O$9))</t>
  </si>
  <si>
    <t>=1/Q319</t>
  </si>
  <si>
    <t>=R319*N319</t>
  </si>
  <si>
    <t>=IF(K320=0,"hide","")</t>
  </si>
  <si>
    <t>=D319</t>
  </si>
  <si>
    <t>=NL("sum","Production Order","Quantity","Source No.",$D320,"Equipment Code",$L320,"due date",F$8)/-12</t>
  </si>
  <si>
    <t>=NL("sum","Production Order","Quantity","Source No.",$D320,"Equipment Code",$L320,"due date",G$8)/-12</t>
  </si>
  <si>
    <t>=NL("sum","Production Order","Quantity","Source No.",$D320,"Equipment Code",$L320,"due date",H$8)/-12</t>
  </si>
  <si>
    <t>=NL("sum","Production Order","Quantity","Source No.",$D320,"Equipment Code",$L320,"due date",I$8)/-12</t>
  </si>
  <si>
    <t>=NL("sum","Production Order","Quantity","Source No.",$D320,"Equipment Code",$L320,"due date",J$8)/$J$7</t>
  </si>
  <si>
    <t>=AVERAGE(I320:J320)</t>
  </si>
  <si>
    <t>=IF(K321=0,"hide","")</t>
  </si>
  <si>
    <t>=D320</t>
  </si>
  <si>
    <t>=NL("sum","Production Order","Quantity","Source No.",$D321,"Equipment Code",$L321,"due date",F$8)/-12</t>
  </si>
  <si>
    <t>=NL("sum","Production Order","Quantity","Source No.",$D321,"Equipment Code",$L321,"due date",G$8)/-12</t>
  </si>
  <si>
    <t>=NL("sum","Production Order","Quantity","Source No.",$D321,"Equipment Code",$L321,"due date",H$8)/-12</t>
  </si>
  <si>
    <t>=NL("sum","Production Order","Quantity","Source No.",$D321,"Equipment Code",$L321,"due date",I$8)/-12</t>
  </si>
  <si>
    <t>=NL("sum","Production Order","Quantity","Source No.",$D321,"Equipment Code",$L321,"due date",J$8)/$J$7</t>
  </si>
  <si>
    <t>=AVERAGE(I321:J321)</t>
  </si>
  <si>
    <t>=IF(K322=0,"hide","")</t>
  </si>
  <si>
    <t>=D321</t>
  </si>
  <si>
    <t>=NL("sum","Production Order","Quantity","Source No.",$D322,"Equipment Code",$L322,"due date",F$8)/-12</t>
  </si>
  <si>
    <t>=NL("sum","Production Order","Quantity","Source No.",$D322,"Equipment Code",$L322,"due date",G$8)/-12</t>
  </si>
  <si>
    <t>=NL("sum","Production Order","Quantity","Source No.",$D322,"Equipment Code",$L322,"due date",H$8)/-12</t>
  </si>
  <si>
    <t>=NL("sum","Production Order","Quantity","Source No.",$D322,"Equipment Code",$L322,"due date",I$8)/-12</t>
  </si>
  <si>
    <t>=NL("sum","Production Order","Quantity","Source No.",$D322,"Equipment Code",$L322,"due date",J$8)/$J$7</t>
  </si>
  <si>
    <t>=AVERAGE(I322:J322)</t>
  </si>
  <si>
    <t>=IF(K323=0,"hide","")</t>
  </si>
  <si>
    <t>=D322</t>
  </si>
  <si>
    <t>=NL("sum","Production Order","Quantity","Source No.",$D323,"Equipment Code",$L323,"due date",F$8)/-12</t>
  </si>
  <si>
    <t>=NL("sum","Production Order","Quantity","Source No.",$D323,"Equipment Code",$L323,"due date",G$8)/-12</t>
  </si>
  <si>
    <t>=NL("sum","Production Order","Quantity","Source No.",$D323,"Equipment Code",$L323,"due date",H$8)/-12</t>
  </si>
  <si>
    <t>=NL("sum","Production Order","Quantity","Source No.",$D323,"Equipment Code",$L323,"due date",I$8)/-12</t>
  </si>
  <si>
    <t>=NL("sum","Production Order","Quantity","Source No.",$D323,"Equipment Code",$L323,"due date",J$8)/$J$7</t>
  </si>
  <si>
    <t>=AVERAGE(I323:J323)</t>
  </si>
  <si>
    <t>=B320</t>
  </si>
  <si>
    <t>=B324</t>
  </si>
  <si>
    <t>=SUM(F320:F324)</t>
  </si>
  <si>
    <t>=SUM(G320:G324)</t>
  </si>
  <si>
    <t>=SUM(H320:H324)</t>
  </si>
  <si>
    <t>=SUM(I320:I324)</t>
  </si>
  <si>
    <t>=SUM(J320:J324)</t>
  </si>
  <si>
    <t>=IF(K326=0,"hide","")</t>
  </si>
  <si>
    <t>="02669"</t>
  </si>
  <si>
    <t>=NL("rows","Production BOM Version","Version Code","Production BOM No.",D326,"status","certified")</t>
  </si>
  <si>
    <t>=NL("sum","Item Ledger Entry","Quantity","Item No.",$D326,"Entry Type","Sale|Consumption","posting date","01/01/19..12/31/19")/-12</t>
  </si>
  <si>
    <t>=NL("sum","Item Ledger Entry","Quantity","Item No.",$D326,"Entry Type","Sale|Consumption","posting date","01/01/20..12/31/20")/-12</t>
  </si>
  <si>
    <t>=NL("sum","Item Ledger Entry","Quantity","Item No.",$D326,"Entry Type","Sale|Consumption","posting date","01/01/21..12/31/21")/-12</t>
  </si>
  <si>
    <t>=NL("sum","Item Ledger Entry","Quantity","Item No.",$D326,"Entry Type","Sale|Consumption","posting date","01/01/22..12/31/22")/-12</t>
  </si>
  <si>
    <t>=NL("sum","Item Ledger Entry","Quantity","Item No.",$D326,"Entry Type","Sale|Consumption","posting date","01/01/23..12/31/23")/$J$7</t>
  </si>
  <si>
    <t>=AVERAGE(I326:J326)</t>
  </si>
  <si>
    <t>=NL(1,"item",L$9,"no.",D326)</t>
  </si>
  <si>
    <t>=NL(1,"item",M$9,"no.",$D326)</t>
  </si>
  <si>
    <t>=NL(1,"item","Units Per Parcel","no.",$D326)</t>
  </si>
  <si>
    <t>=NL(1,"Prod. BOM Equipment","Fixed Prod. Time (Hours)","Production BOM No.",$D326,"version code",$E326,"Resource No.",O$9)</t>
  </si>
  <si>
    <t>=1/O326</t>
  </si>
  <si>
    <t>=IF(NL(1,"Prod. BOM Equipment","Variable Prod. Time (Hours)","Production BOM No.",$D326,"version code",$E326,"Resource No.",$O$9)="",1,NL(1,"Prod. BOM Equipment","Variable Prod. Time (Hours)","Production BOM No.",$D326,"version code",$E326,"Resource No.",$O$9))</t>
  </si>
  <si>
    <t>=1/Q326</t>
  </si>
  <si>
    <t>=R326*N326</t>
  </si>
  <si>
    <t>=IF(K327=0,"hide","")</t>
  </si>
  <si>
    <t>=D326</t>
  </si>
  <si>
    <t>=NL("sum","Production Order","Quantity","Source No.",$D327,"Equipment Code",$L327,"due date",F$8)/-12</t>
  </si>
  <si>
    <t>=NL("sum","Production Order","Quantity","Source No.",$D327,"Equipment Code",$L327,"due date",G$8)/-12</t>
  </si>
  <si>
    <t>=NL("sum","Production Order","Quantity","Source No.",$D327,"Equipment Code",$L327,"due date",H$8)/-12</t>
  </si>
  <si>
    <t>=NL("sum","Production Order","Quantity","Source No.",$D327,"Equipment Code",$L327,"due date",I$8)/-12</t>
  </si>
  <si>
    <t>=NL("sum","Production Order","Quantity","Source No.",$D327,"Equipment Code",$L327,"due date",J$8)/$J$7</t>
  </si>
  <si>
    <t>=AVERAGE(I327:J327)</t>
  </si>
  <si>
    <t>=IF(K328=0,"hide","")</t>
  </si>
  <si>
    <t>=D327</t>
  </si>
  <si>
    <t>=NL("sum","Production Order","Quantity","Source No.",$D328,"Equipment Code",$L328,"due date",F$8)/-12</t>
  </si>
  <si>
    <t>=NL("sum","Production Order","Quantity","Source No.",$D328,"Equipment Code",$L328,"due date",G$8)/-12</t>
  </si>
  <si>
    <t>=NL("sum","Production Order","Quantity","Source No.",$D328,"Equipment Code",$L328,"due date",H$8)/-12</t>
  </si>
  <si>
    <t>=NL("sum","Production Order","Quantity","Source No.",$D328,"Equipment Code",$L328,"due date",I$8)/-12</t>
  </si>
  <si>
    <t>=NL("sum","Production Order","Quantity","Source No.",$D328,"Equipment Code",$L328,"due date",J$8)/$J$7</t>
  </si>
  <si>
    <t>=AVERAGE(I328:J328)</t>
  </si>
  <si>
    <t>=IF(K329=0,"hide","")</t>
  </si>
  <si>
    <t>=D328</t>
  </si>
  <si>
    <t>=NL("sum","Production Order","Quantity","Source No.",$D329,"Equipment Code",$L329,"due date",F$8)/-12</t>
  </si>
  <si>
    <t>=NL("sum","Production Order","Quantity","Source No.",$D329,"Equipment Code",$L329,"due date",G$8)/-12</t>
  </si>
  <si>
    <t>=NL("sum","Production Order","Quantity","Source No.",$D329,"Equipment Code",$L329,"due date",H$8)/-12</t>
  </si>
  <si>
    <t>=NL("sum","Production Order","Quantity","Source No.",$D329,"Equipment Code",$L329,"due date",I$8)/-12</t>
  </si>
  <si>
    <t>=NL("sum","Production Order","Quantity","Source No.",$D329,"Equipment Code",$L329,"due date",J$8)/$J$7</t>
  </si>
  <si>
    <t>=AVERAGE(I329:J329)</t>
  </si>
  <si>
    <t>=IF(K330=0,"hide","")</t>
  </si>
  <si>
    <t>=D329</t>
  </si>
  <si>
    <t>=NL("sum","Production Order","Quantity","Source No.",$D330,"Equipment Code",$L330,"due date",F$8)/-12</t>
  </si>
  <si>
    <t>=NL("sum","Production Order","Quantity","Source No.",$D330,"Equipment Code",$L330,"due date",G$8)/-12</t>
  </si>
  <si>
    <t>=NL("sum","Production Order","Quantity","Source No.",$D330,"Equipment Code",$L330,"due date",H$8)/-12</t>
  </si>
  <si>
    <t>=NL("sum","Production Order","Quantity","Source No.",$D330,"Equipment Code",$L330,"due date",I$8)/-12</t>
  </si>
  <si>
    <t>=NL("sum","Production Order","Quantity","Source No.",$D330,"Equipment Code",$L330,"due date",J$8)/$J$7</t>
  </si>
  <si>
    <t>=AVERAGE(I330:J330)</t>
  </si>
  <si>
    <t>=B327</t>
  </si>
  <si>
    <t>=B331</t>
  </si>
  <si>
    <t>=SUM(F327:F331)</t>
  </si>
  <si>
    <t>=SUM(G327:G331)</t>
  </si>
  <si>
    <t>=SUM(H327:H331)</t>
  </si>
  <si>
    <t>=SUM(I327:I331)</t>
  </si>
  <si>
    <t>=SUM(J327:J331)</t>
  </si>
  <si>
    <t>=IF(K333=0,"hide","")</t>
  </si>
  <si>
    <t>=NL("rows","Production BOM Version","Version Code","Production BOM No.",D333,"status","certified")</t>
  </si>
  <si>
    <t>=NL("sum","Item Ledger Entry","Quantity","Item No.",$D333,"Entry Type","Sale|Consumption","posting date","01/01/19..12/31/19")/-12</t>
  </si>
  <si>
    <t>=NL("sum","Item Ledger Entry","Quantity","Item No.",$D333,"Entry Type","Sale|Consumption","posting date","01/01/20..12/31/20")/-12</t>
  </si>
  <si>
    <t>=NL("sum","Item Ledger Entry","Quantity","Item No.",$D333,"Entry Type","Sale|Consumption","posting date","01/01/21..12/31/21")/-12</t>
  </si>
  <si>
    <t>=NL("sum","Item Ledger Entry","Quantity","Item No.",$D333,"Entry Type","Sale|Consumption","posting date","01/01/22..12/31/22")/-12</t>
  </si>
  <si>
    <t>=NL("sum","Item Ledger Entry","Quantity","Item No.",$D333,"Entry Type","Sale|Consumption","posting date","01/01/23..12/31/23")/$J$7</t>
  </si>
  <si>
    <t>=AVERAGE(I333:J333)</t>
  </si>
  <si>
    <t>=NL(1,"item",L$9,"no.",D333)</t>
  </si>
  <si>
    <t>=NL(1,"item",M$9,"no.",$D333)</t>
  </si>
  <si>
    <t>=NL(1,"item","Units Per Parcel","no.",$D333)</t>
  </si>
  <si>
    <t>=NL(1,"Prod. BOM Equipment","Fixed Prod. Time (Hours)","Production BOM No.",$D333,"version code",$E333,"Resource No.",O$9)</t>
  </si>
  <si>
    <t>=1/O333</t>
  </si>
  <si>
    <t>=IF(NL(1,"Prod. BOM Equipment","Variable Prod. Time (Hours)","Production BOM No.",$D333,"version code",$E333,"Resource No.",$O$9)="",1,NL(1,"Prod. BOM Equipment","Variable Prod. Time (Hours)","Production BOM No.",$D333,"version code",$E333,"Resource No.",$O$9))</t>
  </si>
  <si>
    <t>=1/Q333</t>
  </si>
  <si>
    <t>=R333*N333</t>
  </si>
  <si>
    <t>=IF(K334=0,"hide","")</t>
  </si>
  <si>
    <t>=D333</t>
  </si>
  <si>
    <t>=NL("sum","Production Order","Quantity","Source No.",$D334,"Equipment Code",$L334,"due date",F$8)/-12</t>
  </si>
  <si>
    <t>=NL("sum","Production Order","Quantity","Source No.",$D334,"Equipment Code",$L334,"due date",G$8)/-12</t>
  </si>
  <si>
    <t>=NL("sum","Production Order","Quantity","Source No.",$D334,"Equipment Code",$L334,"due date",H$8)/-12</t>
  </si>
  <si>
    <t>=NL("sum","Production Order","Quantity","Source No.",$D334,"Equipment Code",$L334,"due date",I$8)/-12</t>
  </si>
  <si>
    <t>=NL("sum","Production Order","Quantity","Source No.",$D334,"Equipment Code",$L334,"due date",J$8)/$J$7</t>
  </si>
  <si>
    <t>=AVERAGE(I334:J334)</t>
  </si>
  <si>
    <t>=IF(K335=0,"hide","")</t>
  </si>
  <si>
    <t>=D334</t>
  </si>
  <si>
    <t>=NL("sum","Production Order","Quantity","Source No.",$D335,"Equipment Code",$L335,"due date",F$8)/-12</t>
  </si>
  <si>
    <t>=NL("sum","Production Order","Quantity","Source No.",$D335,"Equipment Code",$L335,"due date",G$8)/-12</t>
  </si>
  <si>
    <t>=NL("sum","Production Order","Quantity","Source No.",$D335,"Equipment Code",$L335,"due date",H$8)/-12</t>
  </si>
  <si>
    <t>=NL("sum","Production Order","Quantity","Source No.",$D335,"Equipment Code",$L335,"due date",I$8)/-12</t>
  </si>
  <si>
    <t>=NL("sum","Production Order","Quantity","Source No.",$D335,"Equipment Code",$L335,"due date",J$8)/$J$7</t>
  </si>
  <si>
    <t>=AVERAGE(I335:J335)</t>
  </si>
  <si>
    <t>=IF(K336=0,"hide","")</t>
  </si>
  <si>
    <t>=D335</t>
  </si>
  <si>
    <t>=NL("sum","Production Order","Quantity","Source No.",$D336,"Equipment Code",$L336,"due date",F$8)/-12</t>
  </si>
  <si>
    <t>=NL("sum","Production Order","Quantity","Source No.",$D336,"Equipment Code",$L336,"due date",G$8)/-12</t>
  </si>
  <si>
    <t>=NL("sum","Production Order","Quantity","Source No.",$D336,"Equipment Code",$L336,"due date",H$8)/-12</t>
  </si>
  <si>
    <t>=NL("sum","Production Order","Quantity","Source No.",$D336,"Equipment Code",$L336,"due date",I$8)/-12</t>
  </si>
  <si>
    <t>=NL("sum","Production Order","Quantity","Source No.",$D336,"Equipment Code",$L336,"due date",J$8)/$J$7</t>
  </si>
  <si>
    <t>=AVERAGE(I336:J336)</t>
  </si>
  <si>
    <t>=IF(K337=0,"hide","")</t>
  </si>
  <si>
    <t>=D336</t>
  </si>
  <si>
    <t>=NL("sum","Production Order","Quantity","Source No.",$D337,"Equipment Code",$L337,"due date",F$8)/-12</t>
  </si>
  <si>
    <t>=NL("sum","Production Order","Quantity","Source No.",$D337,"Equipment Code",$L337,"due date",G$8)/-12</t>
  </si>
  <si>
    <t>=NL("sum","Production Order","Quantity","Source No.",$D337,"Equipment Code",$L337,"due date",H$8)/-12</t>
  </si>
  <si>
    <t>=NL("sum","Production Order","Quantity","Source No.",$D337,"Equipment Code",$L337,"due date",I$8)/-12</t>
  </si>
  <si>
    <t>=NL("sum","Production Order","Quantity","Source No.",$D337,"Equipment Code",$L337,"due date",J$8)/$J$7</t>
  </si>
  <si>
    <t>=AVERAGE(I337:J337)</t>
  </si>
  <si>
    <t>=B334</t>
  </si>
  <si>
    <t>=B338</t>
  </si>
  <si>
    <t>=SUM(F334:F338)</t>
  </si>
  <si>
    <t>=SUM(G334:G338)</t>
  </si>
  <si>
    <t>=SUM(H334:H338)</t>
  </si>
  <si>
    <t>=SUM(I334:I338)</t>
  </si>
  <si>
    <t>=SUM(J334:J338)</t>
  </si>
  <si>
    <t>=IF(K340=0,"hide","")</t>
  </si>
  <si>
    <t>=NL("rows","Production BOM Version","Version Code","Production BOM No.",D340,"status","certified")</t>
  </si>
  <si>
    <t>=NL("sum","Item Ledger Entry","Quantity","Item No.",$D340,"Entry Type","Sale|Consumption","posting date","01/01/19..12/31/19")/-12</t>
  </si>
  <si>
    <t>=NL("sum","Item Ledger Entry","Quantity","Item No.",$D340,"Entry Type","Sale|Consumption","posting date","01/01/20..12/31/20")/-12</t>
  </si>
  <si>
    <t>=NL("sum","Item Ledger Entry","Quantity","Item No.",$D340,"Entry Type","Sale|Consumption","posting date","01/01/21..12/31/21")/-12</t>
  </si>
  <si>
    <t>=NL("sum","Item Ledger Entry","Quantity","Item No.",$D340,"Entry Type","Sale|Consumption","posting date","01/01/22..12/31/22")/-12</t>
  </si>
  <si>
    <t>=NL("sum","Item Ledger Entry","Quantity","Item No.",$D340,"Entry Type","Sale|Consumption","posting date","01/01/23..12/31/23")/$J$7</t>
  </si>
  <si>
    <t>=AVERAGE(I340:J340)</t>
  </si>
  <si>
    <t>=NL(1,"item",L$9,"no.",D340)</t>
  </si>
  <si>
    <t>=NL(1,"item",M$9,"no.",$D340)</t>
  </si>
  <si>
    <t>=NL(1,"item","Units Per Parcel","no.",$D340)</t>
  </si>
  <si>
    <t>=NL(1,"Prod. BOM Equipment","Fixed Prod. Time (Hours)","Production BOM No.",$D340,"version code",$E340,"Resource No.",O$9)</t>
  </si>
  <si>
    <t>=1/O340</t>
  </si>
  <si>
    <t>=IF(NL(1,"Prod. BOM Equipment","Variable Prod. Time (Hours)","Production BOM No.",$D340,"version code",$E340,"Resource No.",$O$9)="",1,NL(1,"Prod. BOM Equipment","Variable Prod. Time (Hours)","Production BOM No.",$D340,"version code",$E340,"Resource No.",$O$9))</t>
  </si>
  <si>
    <t>=1/Q340</t>
  </si>
  <si>
    <t>=R340*N340</t>
  </si>
  <si>
    <t>=IF(K341=0,"hide","")</t>
  </si>
  <si>
    <t>=D340</t>
  </si>
  <si>
    <t>=NL("sum","Production Order","Quantity","Source No.",$D341,"Equipment Code",$L341,"due date",F$8)/-12</t>
  </si>
  <si>
    <t>=NL("sum","Production Order","Quantity","Source No.",$D341,"Equipment Code",$L341,"due date",G$8)/-12</t>
  </si>
  <si>
    <t>=NL("sum","Production Order","Quantity","Source No.",$D341,"Equipment Code",$L341,"due date",H$8)/-12</t>
  </si>
  <si>
    <t>=NL("sum","Production Order","Quantity","Source No.",$D341,"Equipment Code",$L341,"due date",I$8)/-12</t>
  </si>
  <si>
    <t>=NL("sum","Production Order","Quantity","Source No.",$D341,"Equipment Code",$L341,"due date",J$8)/$J$7</t>
  </si>
  <si>
    <t>=AVERAGE(I341:J341)</t>
  </si>
  <si>
    <t>=IF(K342=0,"hide","")</t>
  </si>
  <si>
    <t>=D341</t>
  </si>
  <si>
    <t>=NL("sum","Production Order","Quantity","Source No.",$D342,"Equipment Code",$L342,"due date",F$8)/-12</t>
  </si>
  <si>
    <t>=NL("sum","Production Order","Quantity","Source No.",$D342,"Equipment Code",$L342,"due date",G$8)/-12</t>
  </si>
  <si>
    <t>=NL("sum","Production Order","Quantity","Source No.",$D342,"Equipment Code",$L342,"due date",H$8)/-12</t>
  </si>
  <si>
    <t>=NL("sum","Production Order","Quantity","Source No.",$D342,"Equipment Code",$L342,"due date",I$8)/-12</t>
  </si>
  <si>
    <t>=NL("sum","Production Order","Quantity","Source No.",$D342,"Equipment Code",$L342,"due date",J$8)/$J$7</t>
  </si>
  <si>
    <t>=AVERAGE(I342:J342)</t>
  </si>
  <si>
    <t>=IF(K343=0,"hide","")</t>
  </si>
  <si>
    <t>=D342</t>
  </si>
  <si>
    <t>=NL("sum","Production Order","Quantity","Source No.",$D343,"Equipment Code",$L343,"due date",F$8)/-12</t>
  </si>
  <si>
    <t>=NL("sum","Production Order","Quantity","Source No.",$D343,"Equipment Code",$L343,"due date",G$8)/-12</t>
  </si>
  <si>
    <t>=NL("sum","Production Order","Quantity","Source No.",$D343,"Equipment Code",$L343,"due date",H$8)/-12</t>
  </si>
  <si>
    <t>=NL("sum","Production Order","Quantity","Source No.",$D343,"Equipment Code",$L343,"due date",I$8)/-12</t>
  </si>
  <si>
    <t>=NL("sum","Production Order","Quantity","Source No.",$D343,"Equipment Code",$L343,"due date",J$8)/$J$7</t>
  </si>
  <si>
    <t>=AVERAGE(I343:J343)</t>
  </si>
  <si>
    <t>=IF(K344=0,"hide","")</t>
  </si>
  <si>
    <t>=D343</t>
  </si>
  <si>
    <t>=NL("sum","Production Order","Quantity","Source No.",$D344,"Equipment Code",$L344,"due date",F$8)/-12</t>
  </si>
  <si>
    <t>=NL("sum","Production Order","Quantity","Source No.",$D344,"Equipment Code",$L344,"due date",G$8)/-12</t>
  </si>
  <si>
    <t>=NL("sum","Production Order","Quantity","Source No.",$D344,"Equipment Code",$L344,"due date",H$8)/-12</t>
  </si>
  <si>
    <t>=NL("sum","Production Order","Quantity","Source No.",$D344,"Equipment Code",$L344,"due date",I$8)/-12</t>
  </si>
  <si>
    <t>=NL("sum","Production Order","Quantity","Source No.",$D344,"Equipment Code",$L344,"due date",J$8)/$J$7</t>
  </si>
  <si>
    <t>=AVERAGE(I344:J344)</t>
  </si>
  <si>
    <t>=B341</t>
  </si>
  <si>
    <t>=B345</t>
  </si>
  <si>
    <t>=SUM(F341:F345)</t>
  </si>
  <si>
    <t>=SUM(G341:G345)</t>
  </si>
  <si>
    <t>=SUM(H341:H345)</t>
  </si>
  <si>
    <t>=SUM(I341:I345)</t>
  </si>
  <si>
    <t>=SUM(J341:J345)</t>
  </si>
  <si>
    <t>=IF(K347=0,"hide","")</t>
  </si>
  <si>
    <t>=NL("rows","Production BOM Version","Version Code","Production BOM No.",D347,"status","certified")</t>
  </si>
  <si>
    <t>=NL("sum","Item Ledger Entry","Quantity","Item No.",$D347,"Entry Type","Sale|Consumption","posting date","01/01/19..12/31/19")/-12</t>
  </si>
  <si>
    <t>=NL("sum","Item Ledger Entry","Quantity","Item No.",$D347,"Entry Type","Sale|Consumption","posting date","01/01/20..12/31/20")/-12</t>
  </si>
  <si>
    <t>=NL("sum","Item Ledger Entry","Quantity","Item No.",$D347,"Entry Type","Sale|Consumption","posting date","01/01/21..12/31/21")/-12</t>
  </si>
  <si>
    <t>=NL("sum","Item Ledger Entry","Quantity","Item No.",$D347,"Entry Type","Sale|Consumption","posting date","01/01/22..12/31/22")/-12</t>
  </si>
  <si>
    <t>=NL("sum","Item Ledger Entry","Quantity","Item No.",$D347,"Entry Type","Sale|Consumption","posting date","01/01/23..12/31/23")/$J$7</t>
  </si>
  <si>
    <t>=AVERAGE(I347:J347)</t>
  </si>
  <si>
    <t>=NL(1,"item",L$9,"no.",D347)</t>
  </si>
  <si>
    <t>=NL(1,"item",M$9,"no.",$D347)</t>
  </si>
  <si>
    <t>=NL(1,"item","Units Per Parcel","no.",$D347)</t>
  </si>
  <si>
    <t>=NL(1,"Prod. BOM Equipment","Fixed Prod. Time (Hours)","Production BOM No.",$D347,"version code",$E347,"Resource No.",O$9)</t>
  </si>
  <si>
    <t>=1/O347</t>
  </si>
  <si>
    <t>=IF(NL(1,"Prod. BOM Equipment","Variable Prod. Time (Hours)","Production BOM No.",$D347,"version code",$E347,"Resource No.",$O$9)="",1,NL(1,"Prod. BOM Equipment","Variable Prod. Time (Hours)","Production BOM No.",$D347,"version code",$E347,"Resource No.",$O$9))</t>
  </si>
  <si>
    <t>=1/Q347</t>
  </si>
  <si>
    <t>=R347*N347</t>
  </si>
  <si>
    <t>=IF(K348=0,"hide","")</t>
  </si>
  <si>
    <t>=D347</t>
  </si>
  <si>
    <t>=NL("sum","Production Order","Quantity","Source No.",$D348,"Equipment Code",$L348,"due date",F$8)/-12</t>
  </si>
  <si>
    <t>=NL("sum","Production Order","Quantity","Source No.",$D348,"Equipment Code",$L348,"due date",G$8)/-12</t>
  </si>
  <si>
    <t>=NL("sum","Production Order","Quantity","Source No.",$D348,"Equipment Code",$L348,"due date",H$8)/-12</t>
  </si>
  <si>
    <t>=NL("sum","Production Order","Quantity","Source No.",$D348,"Equipment Code",$L348,"due date",I$8)/-12</t>
  </si>
  <si>
    <t>=NL("sum","Production Order","Quantity","Source No.",$D348,"Equipment Code",$L348,"due date",J$8)/$J$7</t>
  </si>
  <si>
    <t>=AVERAGE(I348:J348)</t>
  </si>
  <si>
    <t>=IF(K349=0,"hide","")</t>
  </si>
  <si>
    <t>=D348</t>
  </si>
  <si>
    <t>=NL("sum","Production Order","Quantity","Source No.",$D349,"Equipment Code",$L349,"due date",F$8)/-12</t>
  </si>
  <si>
    <t>=NL("sum","Production Order","Quantity","Source No.",$D349,"Equipment Code",$L349,"due date",G$8)/-12</t>
  </si>
  <si>
    <t>=NL("sum","Production Order","Quantity","Source No.",$D349,"Equipment Code",$L349,"due date",H$8)/-12</t>
  </si>
  <si>
    <t>=NL("sum","Production Order","Quantity","Source No.",$D349,"Equipment Code",$L349,"due date",I$8)/-12</t>
  </si>
  <si>
    <t>=NL("sum","Production Order","Quantity","Source No.",$D349,"Equipment Code",$L349,"due date",J$8)/$J$7</t>
  </si>
  <si>
    <t>=AVERAGE(I349:J349)</t>
  </si>
  <si>
    <t>=IF(K350=0,"hide","")</t>
  </si>
  <si>
    <t>=D349</t>
  </si>
  <si>
    <t>=NL("sum","Production Order","Quantity","Source No.",$D350,"Equipment Code",$L350,"due date",F$8)/-12</t>
  </si>
  <si>
    <t>=NL("sum","Production Order","Quantity","Source No.",$D350,"Equipment Code",$L350,"due date",G$8)/-12</t>
  </si>
  <si>
    <t>=NL("sum","Production Order","Quantity","Source No.",$D350,"Equipment Code",$L350,"due date",H$8)/-12</t>
  </si>
  <si>
    <t>=NL("sum","Production Order","Quantity","Source No.",$D350,"Equipment Code",$L350,"due date",I$8)/-12</t>
  </si>
  <si>
    <t>=NL("sum","Production Order","Quantity","Source No.",$D350,"Equipment Code",$L350,"due date",J$8)/$J$7</t>
  </si>
  <si>
    <t>=AVERAGE(I350:J350)</t>
  </si>
  <si>
    <t>=IF(K351=0,"hide","")</t>
  </si>
  <si>
    <t>=D350</t>
  </si>
  <si>
    <t>=NL("sum","Production Order","Quantity","Source No.",$D351,"Equipment Code",$L351,"due date",F$8)/-12</t>
  </si>
  <si>
    <t>=NL("sum","Production Order","Quantity","Source No.",$D351,"Equipment Code",$L351,"due date",G$8)/-12</t>
  </si>
  <si>
    <t>=NL("sum","Production Order","Quantity","Source No.",$D351,"Equipment Code",$L351,"due date",H$8)/-12</t>
  </si>
  <si>
    <t>=NL("sum","Production Order","Quantity","Source No.",$D351,"Equipment Code",$L351,"due date",I$8)/-12</t>
  </si>
  <si>
    <t>=NL("sum","Production Order","Quantity","Source No.",$D351,"Equipment Code",$L351,"due date",J$8)/$J$7</t>
  </si>
  <si>
    <t>=AVERAGE(I351:J351)</t>
  </si>
  <si>
    <t>=B348</t>
  </si>
  <si>
    <t>=B352</t>
  </si>
  <si>
    <t>=SUM(F348:F352)</t>
  </si>
  <si>
    <t>=SUM(G348:G352)</t>
  </si>
  <si>
    <t>=SUM(H348:H352)</t>
  </si>
  <si>
    <t>=SUM(I348:I352)</t>
  </si>
  <si>
    <t>=SUM(J348:J352)</t>
  </si>
  <si>
    <t>=IF(K354=0,"hide","")</t>
  </si>
  <si>
    <t>="02801"</t>
  </si>
  <si>
    <t>=NL("rows","Production BOM Version","Version Code","Production BOM No.",D354,"status","certified")</t>
  </si>
  <si>
    <t>=NL("sum","Item Ledger Entry","Quantity","Item No.",$D354,"Entry Type","Sale|Consumption","posting date","01/01/19..12/31/19")/-12</t>
  </si>
  <si>
    <t>=NL("sum","Item Ledger Entry","Quantity","Item No.",$D354,"Entry Type","Sale|Consumption","posting date","01/01/20..12/31/20")/-12</t>
  </si>
  <si>
    <t>=NL("sum","Item Ledger Entry","Quantity","Item No.",$D354,"Entry Type","Sale|Consumption","posting date","01/01/21..12/31/21")/-12</t>
  </si>
  <si>
    <t>=NL("sum","Item Ledger Entry","Quantity","Item No.",$D354,"Entry Type","Sale|Consumption","posting date","01/01/22..12/31/22")/-12</t>
  </si>
  <si>
    <t>=NL("sum","Item Ledger Entry","Quantity","Item No.",$D354,"Entry Type","Sale|Consumption","posting date","01/01/23..12/31/23")/$J$7</t>
  </si>
  <si>
    <t>=AVERAGE(I354:J354)</t>
  </si>
  <si>
    <t>=NL(1,"item",L$9,"no.",D354)</t>
  </si>
  <si>
    <t>=NL(1,"item",M$9,"no.",$D354)</t>
  </si>
  <si>
    <t>=NL(1,"item","Units Per Parcel","no.",$D354)</t>
  </si>
  <si>
    <t>=NL(1,"Prod. BOM Equipment","Fixed Prod. Time (Hours)","Production BOM No.",$D354,"version code",$E354,"Resource No.",O$9)</t>
  </si>
  <si>
    <t>=1/O354</t>
  </si>
  <si>
    <t>=IF(NL(1,"Prod. BOM Equipment","Variable Prod. Time (Hours)","Production BOM No.",$D354,"version code",$E354,"Resource No.",$O$9)="",1,NL(1,"Prod. BOM Equipment","Variable Prod. Time (Hours)","Production BOM No.",$D354,"version code",$E354,"Resource No.",$O$9))</t>
  </si>
  <si>
    <t>=1/Q354</t>
  </si>
  <si>
    <t>=R354*N354</t>
  </si>
  <si>
    <t>=IF(K355=0,"hide","")</t>
  </si>
  <si>
    <t>=D354</t>
  </si>
  <si>
    <t>=NL("sum","Production Order","Quantity","Source No.",$D355,"Equipment Code",$L355,"due date",F$8)/-12</t>
  </si>
  <si>
    <t>=NL("sum","Production Order","Quantity","Source No.",$D355,"Equipment Code",$L355,"due date",G$8)/-12</t>
  </si>
  <si>
    <t>=NL("sum","Production Order","Quantity","Source No.",$D355,"Equipment Code",$L355,"due date",H$8)/-12</t>
  </si>
  <si>
    <t>=NL("sum","Production Order","Quantity","Source No.",$D355,"Equipment Code",$L355,"due date",I$8)/-12</t>
  </si>
  <si>
    <t>=NL("sum","Production Order","Quantity","Source No.",$D355,"Equipment Code",$L355,"due date",J$8)/$J$7</t>
  </si>
  <si>
    <t>=AVERAGE(I355:J355)</t>
  </si>
  <si>
    <t>=IF(K356=0,"hide","")</t>
  </si>
  <si>
    <t>=D355</t>
  </si>
  <si>
    <t>=NL("sum","Production Order","Quantity","Source No.",$D356,"Equipment Code",$L356,"due date",F$8)/-12</t>
  </si>
  <si>
    <t>=NL("sum","Production Order","Quantity","Source No.",$D356,"Equipment Code",$L356,"due date",G$8)/-12</t>
  </si>
  <si>
    <t>=NL("sum","Production Order","Quantity","Source No.",$D356,"Equipment Code",$L356,"due date",H$8)/-12</t>
  </si>
  <si>
    <t>=NL("sum","Production Order","Quantity","Source No.",$D356,"Equipment Code",$L356,"due date",I$8)/-12</t>
  </si>
  <si>
    <t>=NL("sum","Production Order","Quantity","Source No.",$D356,"Equipment Code",$L356,"due date",J$8)/$J$7</t>
  </si>
  <si>
    <t>=AVERAGE(I356:J356)</t>
  </si>
  <si>
    <t>=IF(K357=0,"hide","")</t>
  </si>
  <si>
    <t>=D356</t>
  </si>
  <si>
    <t>=NL("sum","Production Order","Quantity","Source No.",$D357,"Equipment Code",$L357,"due date",F$8)/-12</t>
  </si>
  <si>
    <t>=NL("sum","Production Order","Quantity","Source No.",$D357,"Equipment Code",$L357,"due date",G$8)/-12</t>
  </si>
  <si>
    <t>=NL("sum","Production Order","Quantity","Source No.",$D357,"Equipment Code",$L357,"due date",H$8)/-12</t>
  </si>
  <si>
    <t>=NL("sum","Production Order","Quantity","Source No.",$D357,"Equipment Code",$L357,"due date",I$8)/-12</t>
  </si>
  <si>
    <t>=NL("sum","Production Order","Quantity","Source No.",$D357,"Equipment Code",$L357,"due date",J$8)/$J$7</t>
  </si>
  <si>
    <t>=AVERAGE(I357:J357)</t>
  </si>
  <si>
    <t>=IF(K358=0,"hide","")</t>
  </si>
  <si>
    <t>=D357</t>
  </si>
  <si>
    <t>=NL("sum","Production Order","Quantity","Source No.",$D358,"Equipment Code",$L358,"due date",F$8)/-12</t>
  </si>
  <si>
    <t>=NL("sum","Production Order","Quantity","Source No.",$D358,"Equipment Code",$L358,"due date",G$8)/-12</t>
  </si>
  <si>
    <t>=NL("sum","Production Order","Quantity","Source No.",$D358,"Equipment Code",$L358,"due date",H$8)/-12</t>
  </si>
  <si>
    <t>=NL("sum","Production Order","Quantity","Source No.",$D358,"Equipment Code",$L358,"due date",I$8)/-12</t>
  </si>
  <si>
    <t>=NL("sum","Production Order","Quantity","Source No.",$D358,"Equipment Code",$L358,"due date",J$8)/$J$7</t>
  </si>
  <si>
    <t>=AVERAGE(I358:J358)</t>
  </si>
  <si>
    <t>=B355</t>
  </si>
  <si>
    <t>=B359</t>
  </si>
  <si>
    <t>=SUM(F355:F359)</t>
  </si>
  <si>
    <t>=SUM(G355:G359)</t>
  </si>
  <si>
    <t>=SUM(H355:H359)</t>
  </si>
  <si>
    <t>=SUM(I355:I359)</t>
  </si>
  <si>
    <t>=SUM(J355:J359)</t>
  </si>
  <si>
    <t>=IF(K361=0,"hide","")</t>
  </si>
  <si>
    <t>="02806"</t>
  </si>
  <si>
    <t>=NL("rows","Production BOM Version","Version Code","Production BOM No.",D361,"status","certified")</t>
  </si>
  <si>
    <t>=NL("sum","Item Ledger Entry","Quantity","Item No.",$D361,"Entry Type","Sale|Consumption","posting date","01/01/19..12/31/19")/-12</t>
  </si>
  <si>
    <t>=NL("sum","Item Ledger Entry","Quantity","Item No.",$D361,"Entry Type","Sale|Consumption","posting date","01/01/20..12/31/20")/-12</t>
  </si>
  <si>
    <t>=NL("sum","Item Ledger Entry","Quantity","Item No.",$D361,"Entry Type","Sale|Consumption","posting date","01/01/21..12/31/21")/-12</t>
  </si>
  <si>
    <t>=NL("sum","Item Ledger Entry","Quantity","Item No.",$D361,"Entry Type","Sale|Consumption","posting date","01/01/22..12/31/22")/-12</t>
  </si>
  <si>
    <t>=NL("sum","Item Ledger Entry","Quantity","Item No.",$D361,"Entry Type","Sale|Consumption","posting date","01/01/23..12/31/23")/$J$7</t>
  </si>
  <si>
    <t>=AVERAGE(I361:J361)</t>
  </si>
  <si>
    <t>=NL(1,"item",L$9,"no.",D361)</t>
  </si>
  <si>
    <t>=NL(1,"item",M$9,"no.",$D361)</t>
  </si>
  <si>
    <t>=NL(1,"item","Units Per Parcel","no.",$D361)</t>
  </si>
  <si>
    <t>=NL(1,"Prod. BOM Equipment","Fixed Prod. Time (Hours)","Production BOM No.",$D361,"version code",$E361,"Resource No.",O$9)</t>
  </si>
  <si>
    <t>=1/O361</t>
  </si>
  <si>
    <t>=IF(NL(1,"Prod. BOM Equipment","Variable Prod. Time (Hours)","Production BOM No.",$D361,"version code",$E361,"Resource No.",$O$9)="",1,NL(1,"Prod. BOM Equipment","Variable Prod. Time (Hours)","Production BOM No.",$D361,"version code",$E361,"Resource No.",$O$9))</t>
  </si>
  <si>
    <t>=1/Q361</t>
  </si>
  <si>
    <t>=R361*N361</t>
  </si>
  <si>
    <t>=IF(K362=0,"hide","")</t>
  </si>
  <si>
    <t>=D361</t>
  </si>
  <si>
    <t>=NL("sum","Production Order","Quantity","Source No.",$D362,"Equipment Code",$L362,"due date",F$8)/-12</t>
  </si>
  <si>
    <t>=NL("sum","Production Order","Quantity","Source No.",$D362,"Equipment Code",$L362,"due date",G$8)/-12</t>
  </si>
  <si>
    <t>=NL("sum","Production Order","Quantity","Source No.",$D362,"Equipment Code",$L362,"due date",H$8)/-12</t>
  </si>
  <si>
    <t>=NL("sum","Production Order","Quantity","Source No.",$D362,"Equipment Code",$L362,"due date",I$8)/-12</t>
  </si>
  <si>
    <t>=NL("sum","Production Order","Quantity","Source No.",$D362,"Equipment Code",$L362,"due date",J$8)/$J$7</t>
  </si>
  <si>
    <t>=AVERAGE(I362:J362)</t>
  </si>
  <si>
    <t>=IF(K363=0,"hide","")</t>
  </si>
  <si>
    <t>=D362</t>
  </si>
  <si>
    <t>=NL("sum","Production Order","Quantity","Source No.",$D363,"Equipment Code",$L363,"due date",F$8)/-12</t>
  </si>
  <si>
    <t>=NL("sum","Production Order","Quantity","Source No.",$D363,"Equipment Code",$L363,"due date",G$8)/-12</t>
  </si>
  <si>
    <t>=NL("sum","Production Order","Quantity","Source No.",$D363,"Equipment Code",$L363,"due date",H$8)/-12</t>
  </si>
  <si>
    <t>=NL("sum","Production Order","Quantity","Source No.",$D363,"Equipment Code",$L363,"due date",I$8)/-12</t>
  </si>
  <si>
    <t>=NL("sum","Production Order","Quantity","Source No.",$D363,"Equipment Code",$L363,"due date",J$8)/$J$7</t>
  </si>
  <si>
    <t>=AVERAGE(I363:J363)</t>
  </si>
  <si>
    <t>=IF(K364=0,"hide","")</t>
  </si>
  <si>
    <t>=D363</t>
  </si>
  <si>
    <t>=NL("sum","Production Order","Quantity","Source No.",$D364,"Equipment Code",$L364,"due date",F$8)/-12</t>
  </si>
  <si>
    <t>=NL("sum","Production Order","Quantity","Source No.",$D364,"Equipment Code",$L364,"due date",G$8)/-12</t>
  </si>
  <si>
    <t>=NL("sum","Production Order","Quantity","Source No.",$D364,"Equipment Code",$L364,"due date",H$8)/-12</t>
  </si>
  <si>
    <t>=NL("sum","Production Order","Quantity","Source No.",$D364,"Equipment Code",$L364,"due date",I$8)/-12</t>
  </si>
  <si>
    <t>=NL("sum","Production Order","Quantity","Source No.",$D364,"Equipment Code",$L364,"due date",J$8)/$J$7</t>
  </si>
  <si>
    <t>=AVERAGE(I364:J364)</t>
  </si>
  <si>
    <t>=IF(K365=0,"hide","")</t>
  </si>
  <si>
    <t>=D364</t>
  </si>
  <si>
    <t>=NL("sum","Production Order","Quantity","Source No.",$D365,"Equipment Code",$L365,"due date",F$8)/-12</t>
  </si>
  <si>
    <t>=NL("sum","Production Order","Quantity","Source No.",$D365,"Equipment Code",$L365,"due date",G$8)/-12</t>
  </si>
  <si>
    <t>=NL("sum","Production Order","Quantity","Source No.",$D365,"Equipment Code",$L365,"due date",H$8)/-12</t>
  </si>
  <si>
    <t>=NL("sum","Production Order","Quantity","Source No.",$D365,"Equipment Code",$L365,"due date",I$8)/-12</t>
  </si>
  <si>
    <t>=NL("sum","Production Order","Quantity","Source No.",$D365,"Equipment Code",$L365,"due date",J$8)/$J$7</t>
  </si>
  <si>
    <t>=AVERAGE(I365:J365)</t>
  </si>
  <si>
    <t>=B362</t>
  </si>
  <si>
    <t>=B366</t>
  </si>
  <si>
    <t>=SUM(F362:F366)</t>
  </si>
  <si>
    <t>=SUM(G362:G366)</t>
  </si>
  <si>
    <t>=SUM(H362:H366)</t>
  </si>
  <si>
    <t>=SUM(I362:I366)</t>
  </si>
  <si>
    <t>=SUM(J362:J366)</t>
  </si>
  <si>
    <t>=IF(K368=0,"hide","")</t>
  </si>
  <si>
    <t>="02807"</t>
  </si>
  <si>
    <t>=NL("rows","Production BOM Version","Version Code","Production BOM No.",D368,"status","certified")</t>
  </si>
  <si>
    <t>=NL("sum","Item Ledger Entry","Quantity","Item No.",$D368,"Entry Type","Sale|Consumption","posting date","01/01/19..12/31/19")/-12</t>
  </si>
  <si>
    <t>=NL("sum","Item Ledger Entry","Quantity","Item No.",$D368,"Entry Type","Sale|Consumption","posting date","01/01/20..12/31/20")/-12</t>
  </si>
  <si>
    <t>=NL("sum","Item Ledger Entry","Quantity","Item No.",$D368,"Entry Type","Sale|Consumption","posting date","01/01/21..12/31/21")/-12</t>
  </si>
  <si>
    <t>=NL("sum","Item Ledger Entry","Quantity","Item No.",$D368,"Entry Type","Sale|Consumption","posting date","01/01/22..12/31/22")/-12</t>
  </si>
  <si>
    <t>=NL("sum","Item Ledger Entry","Quantity","Item No.",$D368,"Entry Type","Sale|Consumption","posting date","01/01/23..12/31/23")/$J$7</t>
  </si>
  <si>
    <t>=AVERAGE(I368:J368)</t>
  </si>
  <si>
    <t>=NL(1,"item",L$9,"no.",D368)</t>
  </si>
  <si>
    <t>=NL(1,"item",M$9,"no.",$D368)</t>
  </si>
  <si>
    <t>=NL(1,"item","Units Per Parcel","no.",$D368)</t>
  </si>
  <si>
    <t>=NL(1,"Prod. BOM Equipment","Fixed Prod. Time (Hours)","Production BOM No.",$D368,"version code",$E368,"Resource No.",O$9)</t>
  </si>
  <si>
    <t>=1/O368</t>
  </si>
  <si>
    <t>=IF(NL(1,"Prod. BOM Equipment","Variable Prod. Time (Hours)","Production BOM No.",$D368,"version code",$E368,"Resource No.",$O$9)="",1,NL(1,"Prod. BOM Equipment","Variable Prod. Time (Hours)","Production BOM No.",$D368,"version code",$E368,"Resource No.",$O$9))</t>
  </si>
  <si>
    <t>=1/Q368</t>
  </si>
  <si>
    <t>=R368*N368</t>
  </si>
  <si>
    <t>=IF(K369=0,"hide","")</t>
  </si>
  <si>
    <t>=D368</t>
  </si>
  <si>
    <t>=NL("sum","Production Order","Quantity","Source No.",$D369,"Equipment Code",$L369,"due date",F$8)/-12</t>
  </si>
  <si>
    <t>=NL("sum","Production Order","Quantity","Source No.",$D369,"Equipment Code",$L369,"due date",G$8)/-12</t>
  </si>
  <si>
    <t>=NL("sum","Production Order","Quantity","Source No.",$D369,"Equipment Code",$L369,"due date",H$8)/-12</t>
  </si>
  <si>
    <t>=NL("sum","Production Order","Quantity","Source No.",$D369,"Equipment Code",$L369,"due date",I$8)/-12</t>
  </si>
  <si>
    <t>=NL("sum","Production Order","Quantity","Source No.",$D369,"Equipment Code",$L369,"due date",J$8)/$J$7</t>
  </si>
  <si>
    <t>=AVERAGE(I369:J369)</t>
  </si>
  <si>
    <t>=IF(K370=0,"hide","")</t>
  </si>
  <si>
    <t>=D369</t>
  </si>
  <si>
    <t>=NL("sum","Production Order","Quantity","Source No.",$D370,"Equipment Code",$L370,"due date",F$8)/-12</t>
  </si>
  <si>
    <t>=NL("sum","Production Order","Quantity","Source No.",$D370,"Equipment Code",$L370,"due date",G$8)/-12</t>
  </si>
  <si>
    <t>=NL("sum","Production Order","Quantity","Source No.",$D370,"Equipment Code",$L370,"due date",H$8)/-12</t>
  </si>
  <si>
    <t>=NL("sum","Production Order","Quantity","Source No.",$D370,"Equipment Code",$L370,"due date",I$8)/-12</t>
  </si>
  <si>
    <t>=NL("sum","Production Order","Quantity","Source No.",$D370,"Equipment Code",$L370,"due date",J$8)/$J$7</t>
  </si>
  <si>
    <t>=AVERAGE(I370:J370)</t>
  </si>
  <si>
    <t>=IF(K371=0,"hide","")</t>
  </si>
  <si>
    <t>=D370</t>
  </si>
  <si>
    <t>=NL("sum","Production Order","Quantity","Source No.",$D371,"Equipment Code",$L371,"due date",F$8)/-12</t>
  </si>
  <si>
    <t>=NL("sum","Production Order","Quantity","Source No.",$D371,"Equipment Code",$L371,"due date",G$8)/-12</t>
  </si>
  <si>
    <t>=NL("sum","Production Order","Quantity","Source No.",$D371,"Equipment Code",$L371,"due date",H$8)/-12</t>
  </si>
  <si>
    <t>=NL("sum","Production Order","Quantity","Source No.",$D371,"Equipment Code",$L371,"due date",I$8)/-12</t>
  </si>
  <si>
    <t>=NL("sum","Production Order","Quantity","Source No.",$D371,"Equipment Code",$L371,"due date",J$8)/$J$7</t>
  </si>
  <si>
    <t>=AVERAGE(I371:J371)</t>
  </si>
  <si>
    <t>=IF(K372=0,"hide","")</t>
  </si>
  <si>
    <t>=D371</t>
  </si>
  <si>
    <t>=NL("sum","Production Order","Quantity","Source No.",$D372,"Equipment Code",$L372,"due date",F$8)/-12</t>
  </si>
  <si>
    <t>=NL("sum","Production Order","Quantity","Source No.",$D372,"Equipment Code",$L372,"due date",G$8)/-12</t>
  </si>
  <si>
    <t>=NL("sum","Production Order","Quantity","Source No.",$D372,"Equipment Code",$L372,"due date",H$8)/-12</t>
  </si>
  <si>
    <t>=NL("sum","Production Order","Quantity","Source No.",$D372,"Equipment Code",$L372,"due date",I$8)/-12</t>
  </si>
  <si>
    <t>=NL("sum","Production Order","Quantity","Source No.",$D372,"Equipment Code",$L372,"due date",J$8)/$J$7</t>
  </si>
  <si>
    <t>=AVERAGE(I372:J372)</t>
  </si>
  <si>
    <t>=B369</t>
  </si>
  <si>
    <t>=B373</t>
  </si>
  <si>
    <t>=SUM(F369:F373)</t>
  </si>
  <si>
    <t>=SUM(G369:G373)</t>
  </si>
  <si>
    <t>=SUM(H369:H373)</t>
  </si>
  <si>
    <t>=SUM(I369:I373)</t>
  </si>
  <si>
    <t>=SUM(J369:J373)</t>
  </si>
  <si>
    <t>=IF(K375=0,"hide","")</t>
  </si>
  <si>
    <t>="02811"</t>
  </si>
  <si>
    <t>=NL("rows","Production BOM Version","Version Code","Production BOM No.",D375,"status","certified")</t>
  </si>
  <si>
    <t>=NL("sum","Item Ledger Entry","Quantity","Item No.",$D375,"Entry Type","Sale|Consumption","posting date","01/01/19..12/31/19")/-12</t>
  </si>
  <si>
    <t>=NL("sum","Item Ledger Entry","Quantity","Item No.",$D375,"Entry Type","Sale|Consumption","posting date","01/01/20..12/31/20")/-12</t>
  </si>
  <si>
    <t>=NL("sum","Item Ledger Entry","Quantity","Item No.",$D375,"Entry Type","Sale|Consumption","posting date","01/01/21..12/31/21")/-12</t>
  </si>
  <si>
    <t>=NL("sum","Item Ledger Entry","Quantity","Item No.",$D375,"Entry Type","Sale|Consumption","posting date","01/01/22..12/31/22")/-12</t>
  </si>
  <si>
    <t>=NL("sum","Item Ledger Entry","Quantity","Item No.",$D375,"Entry Type","Sale|Consumption","posting date","01/01/23..12/31/23")/$J$7</t>
  </si>
  <si>
    <t>=AVERAGE(I375:J375)</t>
  </si>
  <si>
    <t>=NL(1,"item",L$9,"no.",D375)</t>
  </si>
  <si>
    <t>=NL(1,"item",M$9,"no.",$D375)</t>
  </si>
  <si>
    <t>=NL(1,"item","Units Per Parcel","no.",$D375)</t>
  </si>
  <si>
    <t>=NL(1,"Prod. BOM Equipment","Fixed Prod. Time (Hours)","Production BOM No.",$D375,"version code",$E375,"Resource No.",O$9)</t>
  </si>
  <si>
    <t>=1/O375</t>
  </si>
  <si>
    <t>=IF(NL(1,"Prod. BOM Equipment","Variable Prod. Time (Hours)","Production BOM No.",$D375,"version code",$E375,"Resource No.",$O$9)="",1,NL(1,"Prod. BOM Equipment","Variable Prod. Time (Hours)","Production BOM No.",$D375,"version code",$E375,"Resource No.",$O$9))</t>
  </si>
  <si>
    <t>=1/Q375</t>
  </si>
  <si>
    <t>=R375*N375</t>
  </si>
  <si>
    <t>=IF(K376=0,"hide","")</t>
  </si>
  <si>
    <t>=D375</t>
  </si>
  <si>
    <t>=NL("sum","Production Order","Quantity","Source No.",$D376,"Equipment Code",$L376,"due date",F$8)/-12</t>
  </si>
  <si>
    <t>=NL("sum","Production Order","Quantity","Source No.",$D376,"Equipment Code",$L376,"due date",G$8)/-12</t>
  </si>
  <si>
    <t>=NL("sum","Production Order","Quantity","Source No.",$D376,"Equipment Code",$L376,"due date",H$8)/-12</t>
  </si>
  <si>
    <t>=NL("sum","Production Order","Quantity","Source No.",$D376,"Equipment Code",$L376,"due date",I$8)/-12</t>
  </si>
  <si>
    <t>=NL("sum","Production Order","Quantity","Source No.",$D376,"Equipment Code",$L376,"due date",J$8)/$J$7</t>
  </si>
  <si>
    <t>=AVERAGE(I376:J376)</t>
  </si>
  <si>
    <t>=IF(K377=0,"hide","")</t>
  </si>
  <si>
    <t>=D376</t>
  </si>
  <si>
    <t>=NL("sum","Production Order","Quantity","Source No.",$D377,"Equipment Code",$L377,"due date",F$8)/-12</t>
  </si>
  <si>
    <t>=NL("sum","Production Order","Quantity","Source No.",$D377,"Equipment Code",$L377,"due date",G$8)/-12</t>
  </si>
  <si>
    <t>=NL("sum","Production Order","Quantity","Source No.",$D377,"Equipment Code",$L377,"due date",H$8)/-12</t>
  </si>
  <si>
    <t>=NL("sum","Production Order","Quantity","Source No.",$D377,"Equipment Code",$L377,"due date",I$8)/-12</t>
  </si>
  <si>
    <t>=NL("sum","Production Order","Quantity","Source No.",$D377,"Equipment Code",$L377,"due date",J$8)/$J$7</t>
  </si>
  <si>
    <t>=AVERAGE(I377:J377)</t>
  </si>
  <si>
    <t>=IF(K378=0,"hide","")</t>
  </si>
  <si>
    <t>=D377</t>
  </si>
  <si>
    <t>=NL("sum","Production Order","Quantity","Source No.",$D378,"Equipment Code",$L378,"due date",F$8)/-12</t>
  </si>
  <si>
    <t>=NL("sum","Production Order","Quantity","Source No.",$D378,"Equipment Code",$L378,"due date",G$8)/-12</t>
  </si>
  <si>
    <t>=NL("sum","Production Order","Quantity","Source No.",$D378,"Equipment Code",$L378,"due date",H$8)/-12</t>
  </si>
  <si>
    <t>=NL("sum","Production Order","Quantity","Source No.",$D378,"Equipment Code",$L378,"due date",I$8)/-12</t>
  </si>
  <si>
    <t>=NL("sum","Production Order","Quantity","Source No.",$D378,"Equipment Code",$L378,"due date",J$8)/$J$7</t>
  </si>
  <si>
    <t>=AVERAGE(I378:J378)</t>
  </si>
  <si>
    <t>=IF(K379=0,"hide","")</t>
  </si>
  <si>
    <t>=D378</t>
  </si>
  <si>
    <t>=NL("sum","Production Order","Quantity","Source No.",$D379,"Equipment Code",$L379,"due date",F$8)/-12</t>
  </si>
  <si>
    <t>=NL("sum","Production Order","Quantity","Source No.",$D379,"Equipment Code",$L379,"due date",G$8)/-12</t>
  </si>
  <si>
    <t>=NL("sum","Production Order","Quantity","Source No.",$D379,"Equipment Code",$L379,"due date",H$8)/-12</t>
  </si>
  <si>
    <t>=NL("sum","Production Order","Quantity","Source No.",$D379,"Equipment Code",$L379,"due date",I$8)/-12</t>
  </si>
  <si>
    <t>=NL("sum","Production Order","Quantity","Source No.",$D379,"Equipment Code",$L379,"due date",J$8)/$J$7</t>
  </si>
  <si>
    <t>=AVERAGE(I379:J379)</t>
  </si>
  <si>
    <t>=B376</t>
  </si>
  <si>
    <t>=B380</t>
  </si>
  <si>
    <t>=SUM(F376:F380)</t>
  </si>
  <si>
    <t>=SUM(G376:G380)</t>
  </si>
  <si>
    <t>=SUM(H376:H380)</t>
  </si>
  <si>
    <t>=SUM(I376:I380)</t>
  </si>
  <si>
    <t>=SUM(J376:J380)</t>
  </si>
  <si>
    <t>=IF(K382=0,"hide","")</t>
  </si>
  <si>
    <t>="02851"</t>
  </si>
  <si>
    <t>=NL("rows","Production BOM Version","Version Code","Production BOM No.",D382,"status","certified")</t>
  </si>
  <si>
    <t>=NL("sum","Item Ledger Entry","Quantity","Item No.",$D382,"Entry Type","Sale|Consumption","posting date","01/01/19..12/31/19")/-12</t>
  </si>
  <si>
    <t>=NL("sum","Item Ledger Entry","Quantity","Item No.",$D382,"Entry Type","Sale|Consumption","posting date","01/01/20..12/31/20")/-12</t>
  </si>
  <si>
    <t>=NL("sum","Item Ledger Entry","Quantity","Item No.",$D382,"Entry Type","Sale|Consumption","posting date","01/01/21..12/31/21")/-12</t>
  </si>
  <si>
    <t>=NL("sum","Item Ledger Entry","Quantity","Item No.",$D382,"Entry Type","Sale|Consumption","posting date","01/01/22..12/31/22")/-12</t>
  </si>
  <si>
    <t>=NL("sum","Item Ledger Entry","Quantity","Item No.",$D382,"Entry Type","Sale|Consumption","posting date","01/01/23..12/31/23")/$J$7</t>
  </si>
  <si>
    <t>=AVERAGE(I382:J382)</t>
  </si>
  <si>
    <t>=NL(1,"item",L$9,"no.",D382)</t>
  </si>
  <si>
    <t>=NL(1,"item",M$9,"no.",$D382)</t>
  </si>
  <si>
    <t>=NL(1,"item","Units Per Parcel","no.",$D382)</t>
  </si>
  <si>
    <t>=NL(1,"Prod. BOM Equipment","Fixed Prod. Time (Hours)","Production BOM No.",$D382,"version code",$E382,"Resource No.",O$9)</t>
  </si>
  <si>
    <t>=1/O382</t>
  </si>
  <si>
    <t>=IF(NL(1,"Prod. BOM Equipment","Variable Prod. Time (Hours)","Production BOM No.",$D382,"version code",$E382,"Resource No.",$O$9)="",1,NL(1,"Prod. BOM Equipment","Variable Prod. Time (Hours)","Production BOM No.",$D382,"version code",$E382,"Resource No.",$O$9))</t>
  </si>
  <si>
    <t>=1/Q382</t>
  </si>
  <si>
    <t>=R382*N382</t>
  </si>
  <si>
    <t>=IF(K383=0,"hide","")</t>
  </si>
  <si>
    <t>=D382</t>
  </si>
  <si>
    <t>=NL("sum","Production Order","Quantity","Source No.",$D383,"Equipment Code",$L383,"due date",F$8)/-12</t>
  </si>
  <si>
    <t>=NL("sum","Production Order","Quantity","Source No.",$D383,"Equipment Code",$L383,"due date",G$8)/-12</t>
  </si>
  <si>
    <t>=NL("sum","Production Order","Quantity","Source No.",$D383,"Equipment Code",$L383,"due date",H$8)/-12</t>
  </si>
  <si>
    <t>=NL("sum","Production Order","Quantity","Source No.",$D383,"Equipment Code",$L383,"due date",I$8)/-12</t>
  </si>
  <si>
    <t>=NL("sum","Production Order","Quantity","Source No.",$D383,"Equipment Code",$L383,"due date",J$8)/$J$7</t>
  </si>
  <si>
    <t>=AVERAGE(I383:J383)</t>
  </si>
  <si>
    <t>=IF(K384=0,"hide","")</t>
  </si>
  <si>
    <t>=D383</t>
  </si>
  <si>
    <t>=NL("sum","Production Order","Quantity","Source No.",$D384,"Equipment Code",$L384,"due date",F$8)/-12</t>
  </si>
  <si>
    <t>=NL("sum","Production Order","Quantity","Source No.",$D384,"Equipment Code",$L384,"due date",G$8)/-12</t>
  </si>
  <si>
    <t>=NL("sum","Production Order","Quantity","Source No.",$D384,"Equipment Code",$L384,"due date",H$8)/-12</t>
  </si>
  <si>
    <t>=NL("sum","Production Order","Quantity","Source No.",$D384,"Equipment Code",$L384,"due date",I$8)/-12</t>
  </si>
  <si>
    <t>=NL("sum","Production Order","Quantity","Source No.",$D384,"Equipment Code",$L384,"due date",J$8)/$J$7</t>
  </si>
  <si>
    <t>=AVERAGE(I384:J384)</t>
  </si>
  <si>
    <t>=IF(K385=0,"hide","")</t>
  </si>
  <si>
    <t>=D384</t>
  </si>
  <si>
    <t>=NL("sum","Production Order","Quantity","Source No.",$D385,"Equipment Code",$L385,"due date",F$8)/-12</t>
  </si>
  <si>
    <t>=NL("sum","Production Order","Quantity","Source No.",$D385,"Equipment Code",$L385,"due date",G$8)/-12</t>
  </si>
  <si>
    <t>=NL("sum","Production Order","Quantity","Source No.",$D385,"Equipment Code",$L385,"due date",H$8)/-12</t>
  </si>
  <si>
    <t>=NL("sum","Production Order","Quantity","Source No.",$D385,"Equipment Code",$L385,"due date",I$8)/-12</t>
  </si>
  <si>
    <t>=NL("sum","Production Order","Quantity","Source No.",$D385,"Equipment Code",$L385,"due date",J$8)/$J$7</t>
  </si>
  <si>
    <t>=AVERAGE(I385:J385)</t>
  </si>
  <si>
    <t>=IF(K386=0,"hide","")</t>
  </si>
  <si>
    <t>=D385</t>
  </si>
  <si>
    <t>=NL("sum","Production Order","Quantity","Source No.",$D386,"Equipment Code",$L386,"due date",F$8)/-12</t>
  </si>
  <si>
    <t>=NL("sum","Production Order","Quantity","Source No.",$D386,"Equipment Code",$L386,"due date",G$8)/-12</t>
  </si>
  <si>
    <t>=NL("sum","Production Order","Quantity","Source No.",$D386,"Equipment Code",$L386,"due date",H$8)/-12</t>
  </si>
  <si>
    <t>=NL("sum","Production Order","Quantity","Source No.",$D386,"Equipment Code",$L386,"due date",I$8)/-12</t>
  </si>
  <si>
    <t>=NL("sum","Production Order","Quantity","Source No.",$D386,"Equipment Code",$L386,"due date",J$8)/$J$7</t>
  </si>
  <si>
    <t>=AVERAGE(I386:J386)</t>
  </si>
  <si>
    <t>=B383</t>
  </si>
  <si>
    <t>=B387</t>
  </si>
  <si>
    <t>=SUM(F383:F387)</t>
  </si>
  <si>
    <t>=SUM(G383:G387)</t>
  </si>
  <si>
    <t>=SUM(H383:H387)</t>
  </si>
  <si>
    <t>=SUM(I383:I387)</t>
  </si>
  <si>
    <t>=SUM(J383:J387)</t>
  </si>
  <si>
    <t>=IF(K389=0,"hide","")</t>
  </si>
  <si>
    <t>=NL("rows","Production BOM Version","Version Code","Production BOM No.",D389,"status","certified")</t>
  </si>
  <si>
    <t>=NL("sum","Item Ledger Entry","Quantity","Item No.",$D389,"Entry Type","Sale|Consumption","posting date","01/01/19..12/31/19")/-12</t>
  </si>
  <si>
    <t>=NL("sum","Item Ledger Entry","Quantity","Item No.",$D389,"Entry Type","Sale|Consumption","posting date","01/01/20..12/31/20")/-12</t>
  </si>
  <si>
    <t>=NL("sum","Item Ledger Entry","Quantity","Item No.",$D389,"Entry Type","Sale|Consumption","posting date","01/01/21..12/31/21")/-12</t>
  </si>
  <si>
    <t>=NL("sum","Item Ledger Entry","Quantity","Item No.",$D389,"Entry Type","Sale|Consumption","posting date","01/01/22..12/31/22")/-12</t>
  </si>
  <si>
    <t>=NL("sum","Item Ledger Entry","Quantity","Item No.",$D389,"Entry Type","Sale|Consumption","posting date","01/01/23..12/31/23")/$J$7</t>
  </si>
  <si>
    <t>=AVERAGE(I389:J389)</t>
  </si>
  <si>
    <t>=NL(1,"item",L$9,"no.",D389)</t>
  </si>
  <si>
    <t>=NL(1,"item",M$9,"no.",$D389)</t>
  </si>
  <si>
    <t>=NL(1,"item","Units Per Parcel","no.",$D389)</t>
  </si>
  <si>
    <t>=NL(1,"Prod. BOM Equipment","Fixed Prod. Time (Hours)","Production BOM No.",$D389,"version code",$E389,"Resource No.",O$9)</t>
  </si>
  <si>
    <t>=1/O389</t>
  </si>
  <si>
    <t>=IF(NL(1,"Prod. BOM Equipment","Variable Prod. Time (Hours)","Production BOM No.",$D389,"version code",$E389,"Resource No.",$O$9)="",1,NL(1,"Prod. BOM Equipment","Variable Prod. Time (Hours)","Production BOM No.",$D389,"version code",$E389,"Resource No.",$O$9))</t>
  </si>
  <si>
    <t>=1/Q389</t>
  </si>
  <si>
    <t>=R389*N389</t>
  </si>
  <si>
    <t>=IF(K390=0,"hide","")</t>
  </si>
  <si>
    <t>=D389</t>
  </si>
  <si>
    <t>=NL("sum","Production Order","Quantity","Source No.",$D390,"Equipment Code",$L390,"due date",F$8)/-12</t>
  </si>
  <si>
    <t>=NL("sum","Production Order","Quantity","Source No.",$D390,"Equipment Code",$L390,"due date",G$8)/-12</t>
  </si>
  <si>
    <t>=NL("sum","Production Order","Quantity","Source No.",$D390,"Equipment Code",$L390,"due date",H$8)/-12</t>
  </si>
  <si>
    <t>=NL("sum","Production Order","Quantity","Source No.",$D390,"Equipment Code",$L390,"due date",I$8)/-12</t>
  </si>
  <si>
    <t>=NL("sum","Production Order","Quantity","Source No.",$D390,"Equipment Code",$L390,"due date",J$8)/$J$7</t>
  </si>
  <si>
    <t>=AVERAGE(I390:J390)</t>
  </si>
  <si>
    <t>=IF(K391=0,"hide","")</t>
  </si>
  <si>
    <t>=D390</t>
  </si>
  <si>
    <t>=NL("sum","Production Order","Quantity","Source No.",$D391,"Equipment Code",$L391,"due date",F$8)/-12</t>
  </si>
  <si>
    <t>=NL("sum","Production Order","Quantity","Source No.",$D391,"Equipment Code",$L391,"due date",G$8)/-12</t>
  </si>
  <si>
    <t>=NL("sum","Production Order","Quantity","Source No.",$D391,"Equipment Code",$L391,"due date",H$8)/-12</t>
  </si>
  <si>
    <t>=NL("sum","Production Order","Quantity","Source No.",$D391,"Equipment Code",$L391,"due date",I$8)/-12</t>
  </si>
  <si>
    <t>=NL("sum","Production Order","Quantity","Source No.",$D391,"Equipment Code",$L391,"due date",J$8)/$J$7</t>
  </si>
  <si>
    <t>=AVERAGE(I391:J391)</t>
  </si>
  <si>
    <t>=IF(K392=0,"hide","")</t>
  </si>
  <si>
    <t>=D391</t>
  </si>
  <si>
    <t>=NL("sum","Production Order","Quantity","Source No.",$D392,"Equipment Code",$L392,"due date",F$8)/-12</t>
  </si>
  <si>
    <t>=NL("sum","Production Order","Quantity","Source No.",$D392,"Equipment Code",$L392,"due date",G$8)/-12</t>
  </si>
  <si>
    <t>=NL("sum","Production Order","Quantity","Source No.",$D392,"Equipment Code",$L392,"due date",H$8)/-12</t>
  </si>
  <si>
    <t>=NL("sum","Production Order","Quantity","Source No.",$D392,"Equipment Code",$L392,"due date",I$8)/-12</t>
  </si>
  <si>
    <t>=NL("sum","Production Order","Quantity","Source No.",$D392,"Equipment Code",$L392,"due date",J$8)/$J$7</t>
  </si>
  <si>
    <t>=AVERAGE(I392:J392)</t>
  </si>
  <si>
    <t>=IF(K393=0,"hide","")</t>
  </si>
  <si>
    <t>=D392</t>
  </si>
  <si>
    <t>=NL("sum","Production Order","Quantity","Source No.",$D393,"Equipment Code",$L393,"due date",F$8)/-12</t>
  </si>
  <si>
    <t>=NL("sum","Production Order","Quantity","Source No.",$D393,"Equipment Code",$L393,"due date",G$8)/-12</t>
  </si>
  <si>
    <t>=NL("sum","Production Order","Quantity","Source No.",$D393,"Equipment Code",$L393,"due date",H$8)/-12</t>
  </si>
  <si>
    <t>=NL("sum","Production Order","Quantity","Source No.",$D393,"Equipment Code",$L393,"due date",I$8)/-12</t>
  </si>
  <si>
    <t>=NL("sum","Production Order","Quantity","Source No.",$D393,"Equipment Code",$L393,"due date",J$8)/$J$7</t>
  </si>
  <si>
    <t>=AVERAGE(I393:J393)</t>
  </si>
  <si>
    <t>=B390</t>
  </si>
  <si>
    <t>=B394</t>
  </si>
  <si>
    <t>=SUM(F390:F394)</t>
  </si>
  <si>
    <t>=SUM(G390:G394)</t>
  </si>
  <si>
    <t>=SUM(H390:H394)</t>
  </si>
  <si>
    <t>=SUM(I390:I394)</t>
  </si>
  <si>
    <t>=SUM(J390:J394)</t>
  </si>
  <si>
    <t>=IF(K396=0,"hide","")</t>
  </si>
  <si>
    <t>=NL("rows","Production BOM Version","Version Code","Production BOM No.",D396,"status","certified")</t>
  </si>
  <si>
    <t>=NL("sum","Item Ledger Entry","Quantity","Item No.",$D396,"Entry Type","Sale|Consumption","posting date","01/01/19..12/31/19")/-12</t>
  </si>
  <si>
    <t>=NL("sum","Item Ledger Entry","Quantity","Item No.",$D396,"Entry Type","Sale|Consumption","posting date","01/01/20..12/31/20")/-12</t>
  </si>
  <si>
    <t>=NL("sum","Item Ledger Entry","Quantity","Item No.",$D396,"Entry Type","Sale|Consumption","posting date","01/01/21..12/31/21")/-12</t>
  </si>
  <si>
    <t>=NL("sum","Item Ledger Entry","Quantity","Item No.",$D396,"Entry Type","Sale|Consumption","posting date","01/01/22..12/31/22")/-12</t>
  </si>
  <si>
    <t>=NL("sum","Item Ledger Entry","Quantity","Item No.",$D396,"Entry Type","Sale|Consumption","posting date","01/01/23..12/31/23")/$J$7</t>
  </si>
  <si>
    <t>=AVERAGE(I396:J396)</t>
  </si>
  <si>
    <t>=NL(1,"item",L$9,"no.",D396)</t>
  </si>
  <si>
    <t>=NL(1,"item",M$9,"no.",$D396)</t>
  </si>
  <si>
    <t>=NL(1,"item","Units Per Parcel","no.",$D396)</t>
  </si>
  <si>
    <t>=NL(1,"Prod. BOM Equipment","Fixed Prod. Time (Hours)","Production BOM No.",$D396,"version code",$E396,"Resource No.",O$9)</t>
  </si>
  <si>
    <t>=1/O396</t>
  </si>
  <si>
    <t>=IF(NL(1,"Prod. BOM Equipment","Variable Prod. Time (Hours)","Production BOM No.",$D396,"version code",$E396,"Resource No.",$O$9)="",1,NL(1,"Prod. BOM Equipment","Variable Prod. Time (Hours)","Production BOM No.",$D396,"version code",$E396,"Resource No.",$O$9))</t>
  </si>
  <si>
    <t>=1/Q396</t>
  </si>
  <si>
    <t>=R396*N396</t>
  </si>
  <si>
    <t>=IF(K397=0,"hide","")</t>
  </si>
  <si>
    <t>=D396</t>
  </si>
  <si>
    <t>=NL("sum","Production Order","Quantity","Source No.",$D397,"Equipment Code",$L397,"due date",F$8)/-12</t>
  </si>
  <si>
    <t>=NL("sum","Production Order","Quantity","Source No.",$D397,"Equipment Code",$L397,"due date",G$8)/-12</t>
  </si>
  <si>
    <t>=NL("sum","Production Order","Quantity","Source No.",$D397,"Equipment Code",$L397,"due date",H$8)/-12</t>
  </si>
  <si>
    <t>=NL("sum","Production Order","Quantity","Source No.",$D397,"Equipment Code",$L397,"due date",I$8)/-12</t>
  </si>
  <si>
    <t>=NL("sum","Production Order","Quantity","Source No.",$D397,"Equipment Code",$L397,"due date",J$8)/$J$7</t>
  </si>
  <si>
    <t>=AVERAGE(I397:J397)</t>
  </si>
  <si>
    <t>=IF(K398=0,"hide","")</t>
  </si>
  <si>
    <t>=D397</t>
  </si>
  <si>
    <t>=NL("sum","Production Order","Quantity","Source No.",$D398,"Equipment Code",$L398,"due date",F$8)/-12</t>
  </si>
  <si>
    <t>=NL("sum","Production Order","Quantity","Source No.",$D398,"Equipment Code",$L398,"due date",G$8)/-12</t>
  </si>
  <si>
    <t>=NL("sum","Production Order","Quantity","Source No.",$D398,"Equipment Code",$L398,"due date",H$8)/-12</t>
  </si>
  <si>
    <t>=NL("sum","Production Order","Quantity","Source No.",$D398,"Equipment Code",$L398,"due date",I$8)/-12</t>
  </si>
  <si>
    <t>=NL("sum","Production Order","Quantity","Source No.",$D398,"Equipment Code",$L398,"due date",J$8)/$J$7</t>
  </si>
  <si>
    <t>=AVERAGE(I398:J398)</t>
  </si>
  <si>
    <t>=IF(K399=0,"hide","")</t>
  </si>
  <si>
    <t>=D398</t>
  </si>
  <si>
    <t>=NL("sum","Production Order","Quantity","Source No.",$D399,"Equipment Code",$L399,"due date",F$8)/-12</t>
  </si>
  <si>
    <t>=NL("sum","Production Order","Quantity","Source No.",$D399,"Equipment Code",$L399,"due date",G$8)/-12</t>
  </si>
  <si>
    <t>=NL("sum","Production Order","Quantity","Source No.",$D399,"Equipment Code",$L399,"due date",H$8)/-12</t>
  </si>
  <si>
    <t>=NL("sum","Production Order","Quantity","Source No.",$D399,"Equipment Code",$L399,"due date",I$8)/-12</t>
  </si>
  <si>
    <t>=NL("sum","Production Order","Quantity","Source No.",$D399,"Equipment Code",$L399,"due date",J$8)/$J$7</t>
  </si>
  <si>
    <t>=AVERAGE(I399:J399)</t>
  </si>
  <si>
    <t>=IF(K400=0,"hide","")</t>
  </si>
  <si>
    <t>=D399</t>
  </si>
  <si>
    <t>=NL("sum","Production Order","Quantity","Source No.",$D400,"Equipment Code",$L400,"due date",F$8)/-12</t>
  </si>
  <si>
    <t>=NL("sum","Production Order","Quantity","Source No.",$D400,"Equipment Code",$L400,"due date",G$8)/-12</t>
  </si>
  <si>
    <t>=NL("sum","Production Order","Quantity","Source No.",$D400,"Equipment Code",$L400,"due date",H$8)/-12</t>
  </si>
  <si>
    <t>=NL("sum","Production Order","Quantity","Source No.",$D400,"Equipment Code",$L400,"due date",I$8)/-12</t>
  </si>
  <si>
    <t>=NL("sum","Production Order","Quantity","Source No.",$D400,"Equipment Code",$L400,"due date",J$8)/$J$7</t>
  </si>
  <si>
    <t>=AVERAGE(I400:J400)</t>
  </si>
  <si>
    <t>=B397</t>
  </si>
  <si>
    <t>=B401</t>
  </si>
  <si>
    <t>=SUM(F397:F401)</t>
  </si>
  <si>
    <t>=SUM(G397:G401)</t>
  </si>
  <si>
    <t>=SUM(H397:H401)</t>
  </si>
  <si>
    <t>=SUM(I397:I401)</t>
  </si>
  <si>
    <t>=SUM(J397:J401)</t>
  </si>
  <si>
    <t>=IF(K403=0,"hide","")</t>
  </si>
  <si>
    <t>=NL("rows","Production BOM Version","Version Code","Production BOM No.",D403,"status","certified")</t>
  </si>
  <si>
    <t>=NL("sum","Item Ledger Entry","Quantity","Item No.",$D403,"Entry Type","Sale|Consumption","posting date","01/01/19..12/31/19")/-12</t>
  </si>
  <si>
    <t>=NL("sum","Item Ledger Entry","Quantity","Item No.",$D403,"Entry Type","Sale|Consumption","posting date","01/01/20..12/31/20")/-12</t>
  </si>
  <si>
    <t>=NL("sum","Item Ledger Entry","Quantity","Item No.",$D403,"Entry Type","Sale|Consumption","posting date","01/01/21..12/31/21")/-12</t>
  </si>
  <si>
    <t>=NL("sum","Item Ledger Entry","Quantity","Item No.",$D403,"Entry Type","Sale|Consumption","posting date","01/01/22..12/31/22")/-12</t>
  </si>
  <si>
    <t>=NL("sum","Item Ledger Entry","Quantity","Item No.",$D403,"Entry Type","Sale|Consumption","posting date","01/01/23..12/31/23")/$J$7</t>
  </si>
  <si>
    <t>=AVERAGE(I403:J403)</t>
  </si>
  <si>
    <t>=NL(1,"item",L$9,"no.",D403)</t>
  </si>
  <si>
    <t>=NL(1,"item",M$9,"no.",$D403)</t>
  </si>
  <si>
    <t>=NL(1,"item","Units Per Parcel","no.",$D403)</t>
  </si>
  <si>
    <t>=NL(1,"Prod. BOM Equipment","Fixed Prod. Time (Hours)","Production BOM No.",$D403,"version code",$E403,"Resource No.",O$9)</t>
  </si>
  <si>
    <t>=1/O403</t>
  </si>
  <si>
    <t>=IF(NL(1,"Prod. BOM Equipment","Variable Prod. Time (Hours)","Production BOM No.",$D403,"version code",$E403,"Resource No.",$O$9)="",1,NL(1,"Prod. BOM Equipment","Variable Prod. Time (Hours)","Production BOM No.",$D403,"version code",$E403,"Resource No.",$O$9))</t>
  </si>
  <si>
    <t>=1/Q403</t>
  </si>
  <si>
    <t>=R403*N403</t>
  </si>
  <si>
    <t>=IF(K404=0,"hide","")</t>
  </si>
  <si>
    <t>=D403</t>
  </si>
  <si>
    <t>=NL("sum","Production Order","Quantity","Source No.",$D404,"Equipment Code",$L404,"due date",F$8)/-12</t>
  </si>
  <si>
    <t>=NL("sum","Production Order","Quantity","Source No.",$D404,"Equipment Code",$L404,"due date",G$8)/-12</t>
  </si>
  <si>
    <t>=NL("sum","Production Order","Quantity","Source No.",$D404,"Equipment Code",$L404,"due date",H$8)/-12</t>
  </si>
  <si>
    <t>=NL("sum","Production Order","Quantity","Source No.",$D404,"Equipment Code",$L404,"due date",I$8)/-12</t>
  </si>
  <si>
    <t>=NL("sum","Production Order","Quantity","Source No.",$D404,"Equipment Code",$L404,"due date",J$8)/$J$7</t>
  </si>
  <si>
    <t>=AVERAGE(I404:J404)</t>
  </si>
  <si>
    <t>=IF(K405=0,"hide","")</t>
  </si>
  <si>
    <t>=D404</t>
  </si>
  <si>
    <t>=NL("sum","Production Order","Quantity","Source No.",$D405,"Equipment Code",$L405,"due date",F$8)/-12</t>
  </si>
  <si>
    <t>=NL("sum","Production Order","Quantity","Source No.",$D405,"Equipment Code",$L405,"due date",G$8)/-12</t>
  </si>
  <si>
    <t>=NL("sum","Production Order","Quantity","Source No.",$D405,"Equipment Code",$L405,"due date",H$8)/-12</t>
  </si>
  <si>
    <t>=NL("sum","Production Order","Quantity","Source No.",$D405,"Equipment Code",$L405,"due date",I$8)/-12</t>
  </si>
  <si>
    <t>=NL("sum","Production Order","Quantity","Source No.",$D405,"Equipment Code",$L405,"due date",J$8)/$J$7</t>
  </si>
  <si>
    <t>=AVERAGE(I405:J405)</t>
  </si>
  <si>
    <t>=IF(K406=0,"hide","")</t>
  </si>
  <si>
    <t>=D405</t>
  </si>
  <si>
    <t>=NL("sum","Production Order","Quantity","Source No.",$D406,"Equipment Code",$L406,"due date",F$8)/-12</t>
  </si>
  <si>
    <t>=NL("sum","Production Order","Quantity","Source No.",$D406,"Equipment Code",$L406,"due date",G$8)/-12</t>
  </si>
  <si>
    <t>=NL("sum","Production Order","Quantity","Source No.",$D406,"Equipment Code",$L406,"due date",H$8)/-12</t>
  </si>
  <si>
    <t>=NL("sum","Production Order","Quantity","Source No.",$D406,"Equipment Code",$L406,"due date",I$8)/-12</t>
  </si>
  <si>
    <t>=NL("sum","Production Order","Quantity","Source No.",$D406,"Equipment Code",$L406,"due date",J$8)/$J$7</t>
  </si>
  <si>
    <t>=AVERAGE(I406:J406)</t>
  </si>
  <si>
    <t>=IF(K407=0,"hide","")</t>
  </si>
  <si>
    <t>=D406</t>
  </si>
  <si>
    <t>=NL("sum","Production Order","Quantity","Source No.",$D407,"Equipment Code",$L407,"due date",F$8)/-12</t>
  </si>
  <si>
    <t>=NL("sum","Production Order","Quantity","Source No.",$D407,"Equipment Code",$L407,"due date",G$8)/-12</t>
  </si>
  <si>
    <t>=NL("sum","Production Order","Quantity","Source No.",$D407,"Equipment Code",$L407,"due date",H$8)/-12</t>
  </si>
  <si>
    <t>=NL("sum","Production Order","Quantity","Source No.",$D407,"Equipment Code",$L407,"due date",I$8)/-12</t>
  </si>
  <si>
    <t>=NL("sum","Production Order","Quantity","Source No.",$D407,"Equipment Code",$L407,"due date",J$8)/$J$7</t>
  </si>
  <si>
    <t>=AVERAGE(I407:J407)</t>
  </si>
  <si>
    <t>=B404</t>
  </si>
  <si>
    <t>=B408</t>
  </si>
  <si>
    <t>=SUM(F404:F408)</t>
  </si>
  <si>
    <t>=SUM(G404:G408)</t>
  </si>
  <si>
    <t>=SUM(H404:H408)</t>
  </si>
  <si>
    <t>=SUM(I404:I408)</t>
  </si>
  <si>
    <t>=SUM(J404:J408)</t>
  </si>
  <si>
    <t>=IF(K410=0,"hide","")</t>
  </si>
  <si>
    <t>=NL("rows","Production BOM Version","Version Code","Production BOM No.",D410,"status","certified")</t>
  </si>
  <si>
    <t>=NL("sum","Item Ledger Entry","Quantity","Item No.",$D410,"Entry Type","Sale|Consumption","posting date","01/01/19..12/31/19")/-12</t>
  </si>
  <si>
    <t>=NL("sum","Item Ledger Entry","Quantity","Item No.",$D410,"Entry Type","Sale|Consumption","posting date","01/01/20..12/31/20")/-12</t>
  </si>
  <si>
    <t>=NL("sum","Item Ledger Entry","Quantity","Item No.",$D410,"Entry Type","Sale|Consumption","posting date","01/01/21..12/31/21")/-12</t>
  </si>
  <si>
    <t>=NL("sum","Item Ledger Entry","Quantity","Item No.",$D410,"Entry Type","Sale|Consumption","posting date","01/01/22..12/31/22")/-12</t>
  </si>
  <si>
    <t>=NL("sum","Item Ledger Entry","Quantity","Item No.",$D410,"Entry Type","Sale|Consumption","posting date","01/01/23..12/31/23")/$J$7</t>
  </si>
  <si>
    <t>=AVERAGE(I410:J410)</t>
  </si>
  <si>
    <t>=NL(1,"item",L$9,"no.",D410)</t>
  </si>
  <si>
    <t>=NL(1,"item",M$9,"no.",$D410)</t>
  </si>
  <si>
    <t>=NL(1,"item","Units Per Parcel","no.",$D410)</t>
  </si>
  <si>
    <t>=NL(1,"Prod. BOM Equipment","Fixed Prod. Time (Hours)","Production BOM No.",$D410,"version code",$E410,"Resource No.",O$9)</t>
  </si>
  <si>
    <t>=1/O410</t>
  </si>
  <si>
    <t>=IF(NL(1,"Prod. BOM Equipment","Variable Prod. Time (Hours)","Production BOM No.",$D410,"version code",$E410,"Resource No.",$O$9)="",1,NL(1,"Prod. BOM Equipment","Variable Prod. Time (Hours)","Production BOM No.",$D410,"version code",$E410,"Resource No.",$O$9))</t>
  </si>
  <si>
    <t>=1/Q410</t>
  </si>
  <si>
    <t>=R410*N410</t>
  </si>
  <si>
    <t>=IF(K411=0,"hide","")</t>
  </si>
  <si>
    <t>=D410</t>
  </si>
  <si>
    <t>=NL("sum","Production Order","Quantity","Source No.",$D411,"Equipment Code",$L411,"due date",F$8)/-12</t>
  </si>
  <si>
    <t>=NL("sum","Production Order","Quantity","Source No.",$D411,"Equipment Code",$L411,"due date",G$8)/-12</t>
  </si>
  <si>
    <t>=NL("sum","Production Order","Quantity","Source No.",$D411,"Equipment Code",$L411,"due date",H$8)/-12</t>
  </si>
  <si>
    <t>=NL("sum","Production Order","Quantity","Source No.",$D411,"Equipment Code",$L411,"due date",I$8)/-12</t>
  </si>
  <si>
    <t>=NL("sum","Production Order","Quantity","Source No.",$D411,"Equipment Code",$L411,"due date",J$8)/$J$7</t>
  </si>
  <si>
    <t>=AVERAGE(I411:J411)</t>
  </si>
  <si>
    <t>=IF(K412=0,"hide","")</t>
  </si>
  <si>
    <t>=D411</t>
  </si>
  <si>
    <t>=NL("sum","Production Order","Quantity","Source No.",$D412,"Equipment Code",$L412,"due date",F$8)/-12</t>
  </si>
  <si>
    <t>=NL("sum","Production Order","Quantity","Source No.",$D412,"Equipment Code",$L412,"due date",G$8)/-12</t>
  </si>
  <si>
    <t>=NL("sum","Production Order","Quantity","Source No.",$D412,"Equipment Code",$L412,"due date",H$8)/-12</t>
  </si>
  <si>
    <t>=NL("sum","Production Order","Quantity","Source No.",$D412,"Equipment Code",$L412,"due date",I$8)/-12</t>
  </si>
  <si>
    <t>=NL("sum","Production Order","Quantity","Source No.",$D412,"Equipment Code",$L412,"due date",J$8)/$J$7</t>
  </si>
  <si>
    <t>=AVERAGE(I412:J412)</t>
  </si>
  <si>
    <t>=IF(K413=0,"hide","")</t>
  </si>
  <si>
    <t>=D412</t>
  </si>
  <si>
    <t>=NL("sum","Production Order","Quantity","Source No.",$D413,"Equipment Code",$L413,"due date",F$8)/-12</t>
  </si>
  <si>
    <t>=NL("sum","Production Order","Quantity","Source No.",$D413,"Equipment Code",$L413,"due date",G$8)/-12</t>
  </si>
  <si>
    <t>=NL("sum","Production Order","Quantity","Source No.",$D413,"Equipment Code",$L413,"due date",H$8)/-12</t>
  </si>
  <si>
    <t>=NL("sum","Production Order","Quantity","Source No.",$D413,"Equipment Code",$L413,"due date",I$8)/-12</t>
  </si>
  <si>
    <t>=NL("sum","Production Order","Quantity","Source No.",$D413,"Equipment Code",$L413,"due date",J$8)/$J$7</t>
  </si>
  <si>
    <t>=AVERAGE(I413:J413)</t>
  </si>
  <si>
    <t>=IF(K414=0,"hide","")</t>
  </si>
  <si>
    <t>=D413</t>
  </si>
  <si>
    <t>=NL("sum","Production Order","Quantity","Source No.",$D414,"Equipment Code",$L414,"due date",F$8)/-12</t>
  </si>
  <si>
    <t>=NL("sum","Production Order","Quantity","Source No.",$D414,"Equipment Code",$L414,"due date",G$8)/-12</t>
  </si>
  <si>
    <t>=NL("sum","Production Order","Quantity","Source No.",$D414,"Equipment Code",$L414,"due date",H$8)/-12</t>
  </si>
  <si>
    <t>=NL("sum","Production Order","Quantity","Source No.",$D414,"Equipment Code",$L414,"due date",I$8)/-12</t>
  </si>
  <si>
    <t>=NL("sum","Production Order","Quantity","Source No.",$D414,"Equipment Code",$L414,"due date",J$8)/$J$7</t>
  </si>
  <si>
    <t>=AVERAGE(I414:J414)</t>
  </si>
  <si>
    <t>=B411</t>
  </si>
  <si>
    <t>=B415</t>
  </si>
  <si>
    <t>=SUM(F411:F415)</t>
  </si>
  <si>
    <t>=SUM(G411:G415)</t>
  </si>
  <si>
    <t>=SUM(H411:H415)</t>
  </si>
  <si>
    <t>=SUM(I411:I415)</t>
  </si>
  <si>
    <t>=SUM(J411:J415)</t>
  </si>
  <si>
    <t>=IF(K417=0,"hide","")</t>
  </si>
  <si>
    <t>="02919"</t>
  </si>
  <si>
    <t>=NL("rows","Production BOM Version","Version Code","Production BOM No.",D417,"status","certified")</t>
  </si>
  <si>
    <t>=NL("sum","Item Ledger Entry","Quantity","Item No.",$D417,"Entry Type","Sale|Consumption","posting date","01/01/19..12/31/19")/-12</t>
  </si>
  <si>
    <t>=NL("sum","Item Ledger Entry","Quantity","Item No.",$D417,"Entry Type","Sale|Consumption","posting date","01/01/20..12/31/20")/-12</t>
  </si>
  <si>
    <t>=NL("sum","Item Ledger Entry","Quantity","Item No.",$D417,"Entry Type","Sale|Consumption","posting date","01/01/21..12/31/21")/-12</t>
  </si>
  <si>
    <t>=NL("sum","Item Ledger Entry","Quantity","Item No.",$D417,"Entry Type","Sale|Consumption","posting date","01/01/22..12/31/22")/-12</t>
  </si>
  <si>
    <t>=NL("sum","Item Ledger Entry","Quantity","Item No.",$D417,"Entry Type","Sale|Consumption","posting date","01/01/23..12/31/23")/$J$7</t>
  </si>
  <si>
    <t>=AVERAGE(I417:J417)</t>
  </si>
  <si>
    <t>=NL(1,"item",L$9,"no.",D417)</t>
  </si>
  <si>
    <t>=NL(1,"item",M$9,"no.",$D417)</t>
  </si>
  <si>
    <t>=NL(1,"item","Units Per Parcel","no.",$D417)</t>
  </si>
  <si>
    <t>=NL(1,"Prod. BOM Equipment","Fixed Prod. Time (Hours)","Production BOM No.",$D417,"version code",$E417,"Resource No.",O$9)</t>
  </si>
  <si>
    <t>=1/O417</t>
  </si>
  <si>
    <t>=IF(NL(1,"Prod. BOM Equipment","Variable Prod. Time (Hours)","Production BOM No.",$D417,"version code",$E417,"Resource No.",$O$9)="",1,NL(1,"Prod. BOM Equipment","Variable Prod. Time (Hours)","Production BOM No.",$D417,"version code",$E417,"Resource No.",$O$9))</t>
  </si>
  <si>
    <t>=1/Q417</t>
  </si>
  <si>
    <t>=R417*N417</t>
  </si>
  <si>
    <t>=IF(K418=0,"hide","")</t>
  </si>
  <si>
    <t>=D417</t>
  </si>
  <si>
    <t>=NL("sum","Production Order","Quantity","Source No.",$D418,"Equipment Code",$L418,"due date",F$8)/-12</t>
  </si>
  <si>
    <t>=NL("sum","Production Order","Quantity","Source No.",$D418,"Equipment Code",$L418,"due date",G$8)/-12</t>
  </si>
  <si>
    <t>=NL("sum","Production Order","Quantity","Source No.",$D418,"Equipment Code",$L418,"due date",H$8)/-12</t>
  </si>
  <si>
    <t>=NL("sum","Production Order","Quantity","Source No.",$D418,"Equipment Code",$L418,"due date",I$8)/-12</t>
  </si>
  <si>
    <t>=NL("sum","Production Order","Quantity","Source No.",$D418,"Equipment Code",$L418,"due date",J$8)/$J$7</t>
  </si>
  <si>
    <t>=AVERAGE(I418:J418)</t>
  </si>
  <si>
    <t>=IF(K419=0,"hide","")</t>
  </si>
  <si>
    <t>=D418</t>
  </si>
  <si>
    <t>=NL("sum","Production Order","Quantity","Source No.",$D419,"Equipment Code",$L419,"due date",F$8)/-12</t>
  </si>
  <si>
    <t>=NL("sum","Production Order","Quantity","Source No.",$D419,"Equipment Code",$L419,"due date",G$8)/-12</t>
  </si>
  <si>
    <t>=NL("sum","Production Order","Quantity","Source No.",$D419,"Equipment Code",$L419,"due date",H$8)/-12</t>
  </si>
  <si>
    <t>=NL("sum","Production Order","Quantity","Source No.",$D419,"Equipment Code",$L419,"due date",I$8)/-12</t>
  </si>
  <si>
    <t>=NL("sum","Production Order","Quantity","Source No.",$D419,"Equipment Code",$L419,"due date",J$8)/$J$7</t>
  </si>
  <si>
    <t>=AVERAGE(I419:J419)</t>
  </si>
  <si>
    <t>=IF(K420=0,"hide","")</t>
  </si>
  <si>
    <t>=D419</t>
  </si>
  <si>
    <t>=NL("sum","Production Order","Quantity","Source No.",$D420,"Equipment Code",$L420,"due date",F$8)/-12</t>
  </si>
  <si>
    <t>=NL("sum","Production Order","Quantity","Source No.",$D420,"Equipment Code",$L420,"due date",G$8)/-12</t>
  </si>
  <si>
    <t>=NL("sum","Production Order","Quantity","Source No.",$D420,"Equipment Code",$L420,"due date",H$8)/-12</t>
  </si>
  <si>
    <t>=NL("sum","Production Order","Quantity","Source No.",$D420,"Equipment Code",$L420,"due date",I$8)/-12</t>
  </si>
  <si>
    <t>=NL("sum","Production Order","Quantity","Source No.",$D420,"Equipment Code",$L420,"due date",J$8)/$J$7</t>
  </si>
  <si>
    <t>=AVERAGE(I420:J420)</t>
  </si>
  <si>
    <t>=IF(K421=0,"hide","")</t>
  </si>
  <si>
    <t>=D420</t>
  </si>
  <si>
    <t>=NL("sum","Production Order","Quantity","Source No.",$D421,"Equipment Code",$L421,"due date",F$8)/-12</t>
  </si>
  <si>
    <t>=NL("sum","Production Order","Quantity","Source No.",$D421,"Equipment Code",$L421,"due date",G$8)/-12</t>
  </si>
  <si>
    <t>=NL("sum","Production Order","Quantity","Source No.",$D421,"Equipment Code",$L421,"due date",H$8)/-12</t>
  </si>
  <si>
    <t>=NL("sum","Production Order","Quantity","Source No.",$D421,"Equipment Code",$L421,"due date",I$8)/-12</t>
  </si>
  <si>
    <t>=NL("sum","Production Order","Quantity","Source No.",$D421,"Equipment Code",$L421,"due date",J$8)/$J$7</t>
  </si>
  <si>
    <t>=AVERAGE(I421:J421)</t>
  </si>
  <si>
    <t>=B418</t>
  </si>
  <si>
    <t>=B422</t>
  </si>
  <si>
    <t>=SUM(F418:F422)</t>
  </si>
  <si>
    <t>=SUM(G418:G422)</t>
  </si>
  <si>
    <t>=SUM(H418:H422)</t>
  </si>
  <si>
    <t>=SUM(I418:I422)</t>
  </si>
  <si>
    <t>=SUM(J418:J422)</t>
  </si>
  <si>
    <t>=IF(K424=0,"hide","")</t>
  </si>
  <si>
    <t>=NL("rows","Production BOM Version","Version Code","Production BOM No.",D424,"status","certified")</t>
  </si>
  <si>
    <t>=NL("sum","Item Ledger Entry","Quantity","Item No.",$D424,"Entry Type","Sale|Consumption","posting date","01/01/19..12/31/19")/-12</t>
  </si>
  <si>
    <t>=NL("sum","Item Ledger Entry","Quantity","Item No.",$D424,"Entry Type","Sale|Consumption","posting date","01/01/20..12/31/20")/-12</t>
  </si>
  <si>
    <t>=NL("sum","Item Ledger Entry","Quantity","Item No.",$D424,"Entry Type","Sale|Consumption","posting date","01/01/21..12/31/21")/-12</t>
  </si>
  <si>
    <t>=NL("sum","Item Ledger Entry","Quantity","Item No.",$D424,"Entry Type","Sale|Consumption","posting date","01/01/22..12/31/22")/-12</t>
  </si>
  <si>
    <t>=NL("sum","Item Ledger Entry","Quantity","Item No.",$D424,"Entry Type","Sale|Consumption","posting date","01/01/23..12/31/23")/$J$7</t>
  </si>
  <si>
    <t>=AVERAGE(I424:J424)</t>
  </si>
  <si>
    <t>=NL(1,"item",L$9,"no.",D424)</t>
  </si>
  <si>
    <t>=NL(1,"item",M$9,"no.",$D424)</t>
  </si>
  <si>
    <t>=NL(1,"item","Units Per Parcel","no.",$D424)</t>
  </si>
  <si>
    <t>=NL(1,"Prod. BOM Equipment","Fixed Prod. Time (Hours)","Production BOM No.",$D424,"version code",$E424,"Resource No.",O$9)</t>
  </si>
  <si>
    <t>=1/O424</t>
  </si>
  <si>
    <t>=IF(NL(1,"Prod. BOM Equipment","Variable Prod. Time (Hours)","Production BOM No.",$D424,"version code",$E424,"Resource No.",$O$9)="",1,NL(1,"Prod. BOM Equipment","Variable Prod. Time (Hours)","Production BOM No.",$D424,"version code",$E424,"Resource No.",$O$9))</t>
  </si>
  <si>
    <t>=1/Q424</t>
  </si>
  <si>
    <t>=R424*N424</t>
  </si>
  <si>
    <t>=IF(K425=0,"hide","")</t>
  </si>
  <si>
    <t>=D424</t>
  </si>
  <si>
    <t>=NL("sum","Production Order","Quantity","Source No.",$D425,"Equipment Code",$L425,"due date",F$8)/-12</t>
  </si>
  <si>
    <t>=NL("sum","Production Order","Quantity","Source No.",$D425,"Equipment Code",$L425,"due date",G$8)/-12</t>
  </si>
  <si>
    <t>=NL("sum","Production Order","Quantity","Source No.",$D425,"Equipment Code",$L425,"due date",H$8)/-12</t>
  </si>
  <si>
    <t>=NL("sum","Production Order","Quantity","Source No.",$D425,"Equipment Code",$L425,"due date",I$8)/-12</t>
  </si>
  <si>
    <t>=NL("sum","Production Order","Quantity","Source No.",$D425,"Equipment Code",$L425,"due date",J$8)/$J$7</t>
  </si>
  <si>
    <t>=AVERAGE(I425:J425)</t>
  </si>
  <si>
    <t>=IF(K426=0,"hide","")</t>
  </si>
  <si>
    <t>=D425</t>
  </si>
  <si>
    <t>=NL("sum","Production Order","Quantity","Source No.",$D426,"Equipment Code",$L426,"due date",F$8)/-12</t>
  </si>
  <si>
    <t>=NL("sum","Production Order","Quantity","Source No.",$D426,"Equipment Code",$L426,"due date",G$8)/-12</t>
  </si>
  <si>
    <t>=NL("sum","Production Order","Quantity","Source No.",$D426,"Equipment Code",$L426,"due date",H$8)/-12</t>
  </si>
  <si>
    <t>=NL("sum","Production Order","Quantity","Source No.",$D426,"Equipment Code",$L426,"due date",I$8)/-12</t>
  </si>
  <si>
    <t>=NL("sum","Production Order","Quantity","Source No.",$D426,"Equipment Code",$L426,"due date",J$8)/$J$7</t>
  </si>
  <si>
    <t>=AVERAGE(I426:J426)</t>
  </si>
  <si>
    <t>=IF(K427=0,"hide","")</t>
  </si>
  <si>
    <t>=D426</t>
  </si>
  <si>
    <t>=NL("sum","Production Order","Quantity","Source No.",$D427,"Equipment Code",$L427,"due date",F$8)/-12</t>
  </si>
  <si>
    <t>=NL("sum","Production Order","Quantity","Source No.",$D427,"Equipment Code",$L427,"due date",G$8)/-12</t>
  </si>
  <si>
    <t>=NL("sum","Production Order","Quantity","Source No.",$D427,"Equipment Code",$L427,"due date",H$8)/-12</t>
  </si>
  <si>
    <t>=NL("sum","Production Order","Quantity","Source No.",$D427,"Equipment Code",$L427,"due date",I$8)/-12</t>
  </si>
  <si>
    <t>=NL("sum","Production Order","Quantity","Source No.",$D427,"Equipment Code",$L427,"due date",J$8)/$J$7</t>
  </si>
  <si>
    <t>=AVERAGE(I427:J427)</t>
  </si>
  <si>
    <t>=IF(K428=0,"hide","")</t>
  </si>
  <si>
    <t>=D427</t>
  </si>
  <si>
    <t>=NL("sum","Production Order","Quantity","Source No.",$D428,"Equipment Code",$L428,"due date",F$8)/-12</t>
  </si>
  <si>
    <t>=NL("sum","Production Order","Quantity","Source No.",$D428,"Equipment Code",$L428,"due date",G$8)/-12</t>
  </si>
  <si>
    <t>=NL("sum","Production Order","Quantity","Source No.",$D428,"Equipment Code",$L428,"due date",H$8)/-12</t>
  </si>
  <si>
    <t>=NL("sum","Production Order","Quantity","Source No.",$D428,"Equipment Code",$L428,"due date",I$8)/-12</t>
  </si>
  <si>
    <t>=NL("sum","Production Order","Quantity","Source No.",$D428,"Equipment Code",$L428,"due date",J$8)/$J$7</t>
  </si>
  <si>
    <t>=AVERAGE(I428:J428)</t>
  </si>
  <si>
    <t>=B425</t>
  </si>
  <si>
    <t>=B429</t>
  </si>
  <si>
    <t>=SUM(F425:F429)</t>
  </si>
  <si>
    <t>=SUM(G425:G429)</t>
  </si>
  <si>
    <t>=SUM(H425:H429)</t>
  </si>
  <si>
    <t>=SUM(I425:I429)</t>
  </si>
  <si>
    <t>=SUM(J425:J429)</t>
  </si>
  <si>
    <t>=IF(K431=0,"hide","")</t>
  </si>
  <si>
    <t>=NL("rows","Production BOM Version","Version Code","Production BOM No.",D431,"status","certified")</t>
  </si>
  <si>
    <t>=NL("sum","Item Ledger Entry","Quantity","Item No.",$D431,"Entry Type","Sale|Consumption","posting date","01/01/19..12/31/19")/-12</t>
  </si>
  <si>
    <t>=NL("sum","Item Ledger Entry","Quantity","Item No.",$D431,"Entry Type","Sale|Consumption","posting date","01/01/20..12/31/20")/-12</t>
  </si>
  <si>
    <t>=NL("sum","Item Ledger Entry","Quantity","Item No.",$D431,"Entry Type","Sale|Consumption","posting date","01/01/21..12/31/21")/-12</t>
  </si>
  <si>
    <t>=NL("sum","Item Ledger Entry","Quantity","Item No.",$D431,"Entry Type","Sale|Consumption","posting date","01/01/22..12/31/22")/-12</t>
  </si>
  <si>
    <t>=NL("sum","Item Ledger Entry","Quantity","Item No.",$D431,"Entry Type","Sale|Consumption","posting date","01/01/23..12/31/23")/$J$7</t>
  </si>
  <si>
    <t>=AVERAGE(I431:J431)</t>
  </si>
  <si>
    <t>=NL(1,"item",L$9,"no.",D431)</t>
  </si>
  <si>
    <t>=NL(1,"item",M$9,"no.",$D431)</t>
  </si>
  <si>
    <t>=NL(1,"item","Units Per Parcel","no.",$D431)</t>
  </si>
  <si>
    <t>=NL(1,"Prod. BOM Equipment","Fixed Prod. Time (Hours)","Production BOM No.",$D431,"version code",$E431,"Resource No.",O$9)</t>
  </si>
  <si>
    <t>=1/O431</t>
  </si>
  <si>
    <t>=IF(NL(1,"Prod. BOM Equipment","Variable Prod. Time (Hours)","Production BOM No.",$D431,"version code",$E431,"Resource No.",$O$9)="",1,NL(1,"Prod. BOM Equipment","Variable Prod. Time (Hours)","Production BOM No.",$D431,"version code",$E431,"Resource No.",$O$9))</t>
  </si>
  <si>
    <t>=1/Q431</t>
  </si>
  <si>
    <t>=R431*N431</t>
  </si>
  <si>
    <t>=IF(K432=0,"hide","")</t>
  </si>
  <si>
    <t>=D431</t>
  </si>
  <si>
    <t>=NL("sum","Production Order","Quantity","Source No.",$D432,"Equipment Code",$L432,"due date",F$8)/-12</t>
  </si>
  <si>
    <t>=NL("sum","Production Order","Quantity","Source No.",$D432,"Equipment Code",$L432,"due date",G$8)/-12</t>
  </si>
  <si>
    <t>=NL("sum","Production Order","Quantity","Source No.",$D432,"Equipment Code",$L432,"due date",H$8)/-12</t>
  </si>
  <si>
    <t>=NL("sum","Production Order","Quantity","Source No.",$D432,"Equipment Code",$L432,"due date",I$8)/-12</t>
  </si>
  <si>
    <t>=NL("sum","Production Order","Quantity","Source No.",$D432,"Equipment Code",$L432,"due date",J$8)/$J$7</t>
  </si>
  <si>
    <t>=AVERAGE(I432:J432)</t>
  </si>
  <si>
    <t>=IF(K433=0,"hide","")</t>
  </si>
  <si>
    <t>=D432</t>
  </si>
  <si>
    <t>=NL("sum","Production Order","Quantity","Source No.",$D433,"Equipment Code",$L433,"due date",F$8)/-12</t>
  </si>
  <si>
    <t>=NL("sum","Production Order","Quantity","Source No.",$D433,"Equipment Code",$L433,"due date",G$8)/-12</t>
  </si>
  <si>
    <t>=NL("sum","Production Order","Quantity","Source No.",$D433,"Equipment Code",$L433,"due date",H$8)/-12</t>
  </si>
  <si>
    <t>=NL("sum","Production Order","Quantity","Source No.",$D433,"Equipment Code",$L433,"due date",I$8)/-12</t>
  </si>
  <si>
    <t>=NL("sum","Production Order","Quantity","Source No.",$D433,"Equipment Code",$L433,"due date",J$8)/$J$7</t>
  </si>
  <si>
    <t>=AVERAGE(I433:J433)</t>
  </si>
  <si>
    <t>=IF(K434=0,"hide","")</t>
  </si>
  <si>
    <t>=D433</t>
  </si>
  <si>
    <t>=NL("sum","Production Order","Quantity","Source No.",$D434,"Equipment Code",$L434,"due date",F$8)/-12</t>
  </si>
  <si>
    <t>=NL("sum","Production Order","Quantity","Source No.",$D434,"Equipment Code",$L434,"due date",G$8)/-12</t>
  </si>
  <si>
    <t>=NL("sum","Production Order","Quantity","Source No.",$D434,"Equipment Code",$L434,"due date",H$8)/-12</t>
  </si>
  <si>
    <t>=NL("sum","Production Order","Quantity","Source No.",$D434,"Equipment Code",$L434,"due date",I$8)/-12</t>
  </si>
  <si>
    <t>=NL("sum","Production Order","Quantity","Source No.",$D434,"Equipment Code",$L434,"due date",J$8)/$J$7</t>
  </si>
  <si>
    <t>=AVERAGE(I434:J434)</t>
  </si>
  <si>
    <t>=IF(K435=0,"hide","")</t>
  </si>
  <si>
    <t>=D434</t>
  </si>
  <si>
    <t>=NL("sum","Production Order","Quantity","Source No.",$D435,"Equipment Code",$L435,"due date",F$8)/-12</t>
  </si>
  <si>
    <t>=NL("sum","Production Order","Quantity","Source No.",$D435,"Equipment Code",$L435,"due date",G$8)/-12</t>
  </si>
  <si>
    <t>=NL("sum","Production Order","Quantity","Source No.",$D435,"Equipment Code",$L435,"due date",H$8)/-12</t>
  </si>
  <si>
    <t>=NL("sum","Production Order","Quantity","Source No.",$D435,"Equipment Code",$L435,"due date",I$8)/-12</t>
  </si>
  <si>
    <t>=NL("sum","Production Order","Quantity","Source No.",$D435,"Equipment Code",$L435,"due date",J$8)/$J$7</t>
  </si>
  <si>
    <t>=AVERAGE(I435:J435)</t>
  </si>
  <si>
    <t>=B432</t>
  </si>
  <si>
    <t>=B436</t>
  </si>
  <si>
    <t>=SUM(F432:F436)</t>
  </si>
  <si>
    <t>=SUM(G432:G436)</t>
  </si>
  <si>
    <t>=SUM(H432:H436)</t>
  </si>
  <si>
    <t>=SUM(I432:I436)</t>
  </si>
  <si>
    <t>=SUM(J432:J436)</t>
  </si>
  <si>
    <t>=IF(K438=0,"hide","")</t>
  </si>
  <si>
    <t>=NL("rows","Production BOM Version","Version Code","Production BOM No.",D438,"status","certified")</t>
  </si>
  <si>
    <t>=NL("sum","Item Ledger Entry","Quantity","Item No.",$D438,"Entry Type","Sale|Consumption","posting date","01/01/19..12/31/19")/-12</t>
  </si>
  <si>
    <t>=NL("sum","Item Ledger Entry","Quantity","Item No.",$D438,"Entry Type","Sale|Consumption","posting date","01/01/20..12/31/20")/-12</t>
  </si>
  <si>
    <t>=NL("sum","Item Ledger Entry","Quantity","Item No.",$D438,"Entry Type","Sale|Consumption","posting date","01/01/21..12/31/21")/-12</t>
  </si>
  <si>
    <t>=NL("sum","Item Ledger Entry","Quantity","Item No.",$D438,"Entry Type","Sale|Consumption","posting date","01/01/22..12/31/22")/-12</t>
  </si>
  <si>
    <t>=NL("sum","Item Ledger Entry","Quantity","Item No.",$D438,"Entry Type","Sale|Consumption","posting date","01/01/23..12/31/23")/$J$7</t>
  </si>
  <si>
    <t>=AVERAGE(I438:J438)</t>
  </si>
  <si>
    <t>=NL(1,"item",L$9,"no.",D438)</t>
  </si>
  <si>
    <t>=NL(1,"item",M$9,"no.",$D438)</t>
  </si>
  <si>
    <t>=NL(1,"item","Units Per Parcel","no.",$D438)</t>
  </si>
  <si>
    <t>=NL(1,"Prod. BOM Equipment","Fixed Prod. Time (Hours)","Production BOM No.",$D438,"version code",$E438,"Resource No.",O$9)</t>
  </si>
  <si>
    <t>=1/O438</t>
  </si>
  <si>
    <t>=IF(NL(1,"Prod. BOM Equipment","Variable Prod. Time (Hours)","Production BOM No.",$D438,"version code",$E438,"Resource No.",$O$9)="",1,NL(1,"Prod. BOM Equipment","Variable Prod. Time (Hours)","Production BOM No.",$D438,"version code",$E438,"Resource No.",$O$9))</t>
  </si>
  <si>
    <t>=1/Q438</t>
  </si>
  <si>
    <t>=R438*N438</t>
  </si>
  <si>
    <t>=IF(K439=0,"hide","")</t>
  </si>
  <si>
    <t>=D438</t>
  </si>
  <si>
    <t>=NL("sum","Production Order","Quantity","Source No.",$D439,"Equipment Code",$L439,"due date",F$8)/-12</t>
  </si>
  <si>
    <t>=NL("sum","Production Order","Quantity","Source No.",$D439,"Equipment Code",$L439,"due date",G$8)/-12</t>
  </si>
  <si>
    <t>=NL("sum","Production Order","Quantity","Source No.",$D439,"Equipment Code",$L439,"due date",H$8)/-12</t>
  </si>
  <si>
    <t>=NL("sum","Production Order","Quantity","Source No.",$D439,"Equipment Code",$L439,"due date",I$8)/-12</t>
  </si>
  <si>
    <t>=NL("sum","Production Order","Quantity","Source No.",$D439,"Equipment Code",$L439,"due date",J$8)/$J$7</t>
  </si>
  <si>
    <t>=AVERAGE(I439:J439)</t>
  </si>
  <si>
    <t>=IF(K440=0,"hide","")</t>
  </si>
  <si>
    <t>=D439</t>
  </si>
  <si>
    <t>=NL("sum","Production Order","Quantity","Source No.",$D440,"Equipment Code",$L440,"due date",F$8)/-12</t>
  </si>
  <si>
    <t>=NL("sum","Production Order","Quantity","Source No.",$D440,"Equipment Code",$L440,"due date",G$8)/-12</t>
  </si>
  <si>
    <t>=NL("sum","Production Order","Quantity","Source No.",$D440,"Equipment Code",$L440,"due date",H$8)/-12</t>
  </si>
  <si>
    <t>=NL("sum","Production Order","Quantity","Source No.",$D440,"Equipment Code",$L440,"due date",I$8)/-12</t>
  </si>
  <si>
    <t>=NL("sum","Production Order","Quantity","Source No.",$D440,"Equipment Code",$L440,"due date",J$8)/$J$7</t>
  </si>
  <si>
    <t>=AVERAGE(I440:J440)</t>
  </si>
  <si>
    <t>=IF(K441=0,"hide","")</t>
  </si>
  <si>
    <t>=D440</t>
  </si>
  <si>
    <t>=NL("sum","Production Order","Quantity","Source No.",$D441,"Equipment Code",$L441,"due date",F$8)/-12</t>
  </si>
  <si>
    <t>=NL("sum","Production Order","Quantity","Source No.",$D441,"Equipment Code",$L441,"due date",G$8)/-12</t>
  </si>
  <si>
    <t>=NL("sum","Production Order","Quantity","Source No.",$D441,"Equipment Code",$L441,"due date",H$8)/-12</t>
  </si>
  <si>
    <t>=NL("sum","Production Order","Quantity","Source No.",$D441,"Equipment Code",$L441,"due date",I$8)/-12</t>
  </si>
  <si>
    <t>=NL("sum","Production Order","Quantity","Source No.",$D441,"Equipment Code",$L441,"due date",J$8)/$J$7</t>
  </si>
  <si>
    <t>=AVERAGE(I441:J441)</t>
  </si>
  <si>
    <t>=IF(K442=0,"hide","")</t>
  </si>
  <si>
    <t>=D441</t>
  </si>
  <si>
    <t>=NL("sum","Production Order","Quantity","Source No.",$D442,"Equipment Code",$L442,"due date",F$8)/-12</t>
  </si>
  <si>
    <t>=NL("sum","Production Order","Quantity","Source No.",$D442,"Equipment Code",$L442,"due date",G$8)/-12</t>
  </si>
  <si>
    <t>=NL("sum","Production Order","Quantity","Source No.",$D442,"Equipment Code",$L442,"due date",H$8)/-12</t>
  </si>
  <si>
    <t>=NL("sum","Production Order","Quantity","Source No.",$D442,"Equipment Code",$L442,"due date",I$8)/-12</t>
  </si>
  <si>
    <t>=NL("sum","Production Order","Quantity","Source No.",$D442,"Equipment Code",$L442,"due date",J$8)/$J$7</t>
  </si>
  <si>
    <t>=AVERAGE(I442:J442)</t>
  </si>
  <si>
    <t>=B439</t>
  </si>
  <si>
    <t>=B443</t>
  </si>
  <si>
    <t>=SUM(F439:F443)</t>
  </si>
  <si>
    <t>=SUM(G439:G443)</t>
  </si>
  <si>
    <t>=SUM(H439:H443)</t>
  </si>
  <si>
    <t>=SUM(I439:I443)</t>
  </si>
  <si>
    <t>=SUM(J439:J443)</t>
  </si>
  <si>
    <t>=IF(K445=0,"hide","")</t>
  </si>
  <si>
    <t>=NL("rows","Production BOM Version","Version Code","Production BOM No.",D445,"status","certified")</t>
  </si>
  <si>
    <t>=NL("sum","Item Ledger Entry","Quantity","Item No.",$D445,"Entry Type","Sale|Consumption","posting date","01/01/19..12/31/19")/-12</t>
  </si>
  <si>
    <t>=NL("sum","Item Ledger Entry","Quantity","Item No.",$D445,"Entry Type","Sale|Consumption","posting date","01/01/20..12/31/20")/-12</t>
  </si>
  <si>
    <t>=NL("sum","Item Ledger Entry","Quantity","Item No.",$D445,"Entry Type","Sale|Consumption","posting date","01/01/21..12/31/21")/-12</t>
  </si>
  <si>
    <t>=NL("sum","Item Ledger Entry","Quantity","Item No.",$D445,"Entry Type","Sale|Consumption","posting date","01/01/22..12/31/22")/-12</t>
  </si>
  <si>
    <t>=NL("sum","Item Ledger Entry","Quantity","Item No.",$D445,"Entry Type","Sale|Consumption","posting date","01/01/23..12/31/23")/$J$7</t>
  </si>
  <si>
    <t>=AVERAGE(I445:J445)</t>
  </si>
  <si>
    <t>=NL(1,"item",L$9,"no.",D445)</t>
  </si>
  <si>
    <t>=NL(1,"item",M$9,"no.",$D445)</t>
  </si>
  <si>
    <t>=NL(1,"item","Units Per Parcel","no.",$D445)</t>
  </si>
  <si>
    <t>=NL(1,"Prod. BOM Equipment","Fixed Prod. Time (Hours)","Production BOM No.",$D445,"version code",$E445,"Resource No.",O$9)</t>
  </si>
  <si>
    <t>=1/O445</t>
  </si>
  <si>
    <t>=IF(NL(1,"Prod. BOM Equipment","Variable Prod. Time (Hours)","Production BOM No.",$D445,"version code",$E445,"Resource No.",$O$9)="",1,NL(1,"Prod. BOM Equipment","Variable Prod. Time (Hours)","Production BOM No.",$D445,"version code",$E445,"Resource No.",$O$9))</t>
  </si>
  <si>
    <t>=1/Q445</t>
  </si>
  <si>
    <t>=R445*N445</t>
  </si>
  <si>
    <t>=IF(K446=0,"hide","")</t>
  </si>
  <si>
    <t>=D445</t>
  </si>
  <si>
    <t>=NL("sum","Production Order","Quantity","Source No.",$D446,"Equipment Code",$L446,"due date",F$8)/-12</t>
  </si>
  <si>
    <t>=NL("sum","Production Order","Quantity","Source No.",$D446,"Equipment Code",$L446,"due date",G$8)/-12</t>
  </si>
  <si>
    <t>=NL("sum","Production Order","Quantity","Source No.",$D446,"Equipment Code",$L446,"due date",H$8)/-12</t>
  </si>
  <si>
    <t>=NL("sum","Production Order","Quantity","Source No.",$D446,"Equipment Code",$L446,"due date",I$8)/-12</t>
  </si>
  <si>
    <t>=NL("sum","Production Order","Quantity","Source No.",$D446,"Equipment Code",$L446,"due date",J$8)/$J$7</t>
  </si>
  <si>
    <t>=AVERAGE(I446:J446)</t>
  </si>
  <si>
    <t>=IF(K447=0,"hide","")</t>
  </si>
  <si>
    <t>=D446</t>
  </si>
  <si>
    <t>=NL("sum","Production Order","Quantity","Source No.",$D447,"Equipment Code",$L447,"due date",F$8)/-12</t>
  </si>
  <si>
    <t>=NL("sum","Production Order","Quantity","Source No.",$D447,"Equipment Code",$L447,"due date",G$8)/-12</t>
  </si>
  <si>
    <t>=NL("sum","Production Order","Quantity","Source No.",$D447,"Equipment Code",$L447,"due date",H$8)/-12</t>
  </si>
  <si>
    <t>=NL("sum","Production Order","Quantity","Source No.",$D447,"Equipment Code",$L447,"due date",I$8)/-12</t>
  </si>
  <si>
    <t>=NL("sum","Production Order","Quantity","Source No.",$D447,"Equipment Code",$L447,"due date",J$8)/$J$7</t>
  </si>
  <si>
    <t>=AVERAGE(I447:J447)</t>
  </si>
  <si>
    <t>=IF(K448=0,"hide","")</t>
  </si>
  <si>
    <t>=D447</t>
  </si>
  <si>
    <t>=NL("sum","Production Order","Quantity","Source No.",$D448,"Equipment Code",$L448,"due date",F$8)/-12</t>
  </si>
  <si>
    <t>=NL("sum","Production Order","Quantity","Source No.",$D448,"Equipment Code",$L448,"due date",G$8)/-12</t>
  </si>
  <si>
    <t>=NL("sum","Production Order","Quantity","Source No.",$D448,"Equipment Code",$L448,"due date",H$8)/-12</t>
  </si>
  <si>
    <t>=NL("sum","Production Order","Quantity","Source No.",$D448,"Equipment Code",$L448,"due date",I$8)/-12</t>
  </si>
  <si>
    <t>=NL("sum","Production Order","Quantity","Source No.",$D448,"Equipment Code",$L448,"due date",J$8)/$J$7</t>
  </si>
  <si>
    <t>=AVERAGE(I448:J448)</t>
  </si>
  <si>
    <t>=IF(K449=0,"hide","")</t>
  </si>
  <si>
    <t>=D448</t>
  </si>
  <si>
    <t>=NL("sum","Production Order","Quantity","Source No.",$D449,"Equipment Code",$L449,"due date",F$8)/-12</t>
  </si>
  <si>
    <t>=NL("sum","Production Order","Quantity","Source No.",$D449,"Equipment Code",$L449,"due date",G$8)/-12</t>
  </si>
  <si>
    <t>=NL("sum","Production Order","Quantity","Source No.",$D449,"Equipment Code",$L449,"due date",H$8)/-12</t>
  </si>
  <si>
    <t>=NL("sum","Production Order","Quantity","Source No.",$D449,"Equipment Code",$L449,"due date",I$8)/-12</t>
  </si>
  <si>
    <t>=NL("sum","Production Order","Quantity","Source No.",$D449,"Equipment Code",$L449,"due date",J$8)/$J$7</t>
  </si>
  <si>
    <t>=AVERAGE(I449:J449)</t>
  </si>
  <si>
    <t>=B446</t>
  </si>
  <si>
    <t>=B450</t>
  </si>
  <si>
    <t>=SUM(F446:F450)</t>
  </si>
  <si>
    <t>=SUM(G446:G450)</t>
  </si>
  <si>
    <t>=SUM(H446:H450)</t>
  </si>
  <si>
    <t>=SUM(I446:I450)</t>
  </si>
  <si>
    <t>=SUM(J446:J450)</t>
  </si>
  <si>
    <t>=IF(K452=0,"hide","")</t>
  </si>
  <si>
    <t>=NL("rows","Production BOM Version","Version Code","Production BOM No.",D452,"status","certified")</t>
  </si>
  <si>
    <t>=NL("sum","Item Ledger Entry","Quantity","Item No.",$D452,"Entry Type","Sale|Consumption","posting date","01/01/19..12/31/19")/-12</t>
  </si>
  <si>
    <t>=NL("sum","Item Ledger Entry","Quantity","Item No.",$D452,"Entry Type","Sale|Consumption","posting date","01/01/20..12/31/20")/-12</t>
  </si>
  <si>
    <t>=NL("sum","Item Ledger Entry","Quantity","Item No.",$D452,"Entry Type","Sale|Consumption","posting date","01/01/21..12/31/21")/-12</t>
  </si>
  <si>
    <t>=NL("sum","Item Ledger Entry","Quantity","Item No.",$D452,"Entry Type","Sale|Consumption","posting date","01/01/22..12/31/22")/-12</t>
  </si>
  <si>
    <t>=NL("sum","Item Ledger Entry","Quantity","Item No.",$D452,"Entry Type","Sale|Consumption","posting date","01/01/23..12/31/23")/$J$7</t>
  </si>
  <si>
    <t>=AVERAGE(I452:J452)</t>
  </si>
  <si>
    <t>=NL(1,"item",L$9,"no.",D452)</t>
  </si>
  <si>
    <t>=NL(1,"item",M$9,"no.",$D452)</t>
  </si>
  <si>
    <t>=NL(1,"item","Units Per Parcel","no.",$D452)</t>
  </si>
  <si>
    <t>=NL(1,"Prod. BOM Equipment","Fixed Prod. Time (Hours)","Production BOM No.",$D452,"version code",$E452,"Resource No.",O$9)</t>
  </si>
  <si>
    <t>=1/O452</t>
  </si>
  <si>
    <t>=IF(NL(1,"Prod. BOM Equipment","Variable Prod. Time (Hours)","Production BOM No.",$D452,"version code",$E452,"Resource No.",$O$9)="",1,NL(1,"Prod. BOM Equipment","Variable Prod. Time (Hours)","Production BOM No.",$D452,"version code",$E452,"Resource No.",$O$9))</t>
  </si>
  <si>
    <t>=1/Q452</t>
  </si>
  <si>
    <t>=R452*N452</t>
  </si>
  <si>
    <t>=IF(K453=0,"hide","")</t>
  </si>
  <si>
    <t>=D452</t>
  </si>
  <si>
    <t>=NL("sum","Production Order","Quantity","Source No.",$D453,"Equipment Code",$L453,"due date",F$8)/-12</t>
  </si>
  <si>
    <t>=NL("sum","Production Order","Quantity","Source No.",$D453,"Equipment Code",$L453,"due date",G$8)/-12</t>
  </si>
  <si>
    <t>=NL("sum","Production Order","Quantity","Source No.",$D453,"Equipment Code",$L453,"due date",H$8)/-12</t>
  </si>
  <si>
    <t>=NL("sum","Production Order","Quantity","Source No.",$D453,"Equipment Code",$L453,"due date",I$8)/-12</t>
  </si>
  <si>
    <t>=NL("sum","Production Order","Quantity","Source No.",$D453,"Equipment Code",$L453,"due date",J$8)/$J$7</t>
  </si>
  <si>
    <t>=AVERAGE(I453:J453)</t>
  </si>
  <si>
    <t>=IF(K454=0,"hide","")</t>
  </si>
  <si>
    <t>=D453</t>
  </si>
  <si>
    <t>=NL("sum","Production Order","Quantity","Source No.",$D454,"Equipment Code",$L454,"due date",F$8)/-12</t>
  </si>
  <si>
    <t>=NL("sum","Production Order","Quantity","Source No.",$D454,"Equipment Code",$L454,"due date",G$8)/-12</t>
  </si>
  <si>
    <t>=NL("sum","Production Order","Quantity","Source No.",$D454,"Equipment Code",$L454,"due date",H$8)/-12</t>
  </si>
  <si>
    <t>=NL("sum","Production Order","Quantity","Source No.",$D454,"Equipment Code",$L454,"due date",I$8)/-12</t>
  </si>
  <si>
    <t>=NL("sum","Production Order","Quantity","Source No.",$D454,"Equipment Code",$L454,"due date",J$8)/$J$7</t>
  </si>
  <si>
    <t>=AVERAGE(I454:J454)</t>
  </si>
  <si>
    <t>=IF(K455=0,"hide","")</t>
  </si>
  <si>
    <t>=D454</t>
  </si>
  <si>
    <t>=NL("sum","Production Order","Quantity","Source No.",$D455,"Equipment Code",$L455,"due date",F$8)/-12</t>
  </si>
  <si>
    <t>=NL("sum","Production Order","Quantity","Source No.",$D455,"Equipment Code",$L455,"due date",G$8)/-12</t>
  </si>
  <si>
    <t>=NL("sum","Production Order","Quantity","Source No.",$D455,"Equipment Code",$L455,"due date",H$8)/-12</t>
  </si>
  <si>
    <t>=NL("sum","Production Order","Quantity","Source No.",$D455,"Equipment Code",$L455,"due date",I$8)/-12</t>
  </si>
  <si>
    <t>=NL("sum","Production Order","Quantity","Source No.",$D455,"Equipment Code",$L455,"due date",J$8)/$J$7</t>
  </si>
  <si>
    <t>=AVERAGE(I455:J455)</t>
  </si>
  <si>
    <t>=IF(K456=0,"hide","")</t>
  </si>
  <si>
    <t>=D455</t>
  </si>
  <si>
    <t>=NL("sum","Production Order","Quantity","Source No.",$D456,"Equipment Code",$L456,"due date",F$8)/-12</t>
  </si>
  <si>
    <t>=NL("sum","Production Order","Quantity","Source No.",$D456,"Equipment Code",$L456,"due date",G$8)/-12</t>
  </si>
  <si>
    <t>=NL("sum","Production Order","Quantity","Source No.",$D456,"Equipment Code",$L456,"due date",H$8)/-12</t>
  </si>
  <si>
    <t>=NL("sum","Production Order","Quantity","Source No.",$D456,"Equipment Code",$L456,"due date",I$8)/-12</t>
  </si>
  <si>
    <t>=NL("sum","Production Order","Quantity","Source No.",$D456,"Equipment Code",$L456,"due date",J$8)/$J$7</t>
  </si>
  <si>
    <t>=AVERAGE(I456:J456)</t>
  </si>
  <si>
    <t>=B453</t>
  </si>
  <si>
    <t>=B457</t>
  </si>
  <si>
    <t>=SUM(F453:F457)</t>
  </si>
  <si>
    <t>=SUM(G453:G457)</t>
  </si>
  <si>
    <t>=SUM(H453:H457)</t>
  </si>
  <si>
    <t>=SUM(I453:I457)</t>
  </si>
  <si>
    <t>=SUM(J453:J457)</t>
  </si>
  <si>
    <t>=IF(K459=0,"hide","")</t>
  </si>
  <si>
    <t>=NL("rows","Production BOM Version","Version Code","Production BOM No.",D459,"status","certified")</t>
  </si>
  <si>
    <t>=NL("sum","Item Ledger Entry","Quantity","Item No.",$D459,"Entry Type","Sale|Consumption","posting date","01/01/19..12/31/19")/-12</t>
  </si>
  <si>
    <t>=NL("sum","Item Ledger Entry","Quantity","Item No.",$D459,"Entry Type","Sale|Consumption","posting date","01/01/20..12/31/20")/-12</t>
  </si>
  <si>
    <t>=NL("sum","Item Ledger Entry","Quantity","Item No.",$D459,"Entry Type","Sale|Consumption","posting date","01/01/21..12/31/21")/-12</t>
  </si>
  <si>
    <t>=NL("sum","Item Ledger Entry","Quantity","Item No.",$D459,"Entry Type","Sale|Consumption","posting date","01/01/22..12/31/22")/-12</t>
  </si>
  <si>
    <t>=NL("sum","Item Ledger Entry","Quantity","Item No.",$D459,"Entry Type","Sale|Consumption","posting date","01/01/23..12/31/23")/$J$7</t>
  </si>
  <si>
    <t>=AVERAGE(I459:J459)</t>
  </si>
  <si>
    <t>=NL(1,"item",L$9,"no.",D459)</t>
  </si>
  <si>
    <t>=NL(1,"item",M$9,"no.",$D459)</t>
  </si>
  <si>
    <t>=NL(1,"item","Units Per Parcel","no.",$D459)</t>
  </si>
  <si>
    <t>=NL(1,"Prod. BOM Equipment","Fixed Prod. Time (Hours)","Production BOM No.",$D459,"version code",$E459,"Resource No.",O$9)</t>
  </si>
  <si>
    <t>=1/O459</t>
  </si>
  <si>
    <t>=IF(NL(1,"Prod. BOM Equipment","Variable Prod. Time (Hours)","Production BOM No.",$D459,"version code",$E459,"Resource No.",$O$9)="",1,NL(1,"Prod. BOM Equipment","Variable Prod. Time (Hours)","Production BOM No.",$D459,"version code",$E459,"Resource No.",$O$9))</t>
  </si>
  <si>
    <t>=1/Q459</t>
  </si>
  <si>
    <t>=R459*N459</t>
  </si>
  <si>
    <t>=IF(K460=0,"hide","")</t>
  </si>
  <si>
    <t>=D459</t>
  </si>
  <si>
    <t>=NL("sum","Production Order","Quantity","Source No.",$D460,"Equipment Code",$L460,"due date",F$8)/-12</t>
  </si>
  <si>
    <t>=NL("sum","Production Order","Quantity","Source No.",$D460,"Equipment Code",$L460,"due date",G$8)/-12</t>
  </si>
  <si>
    <t>=NL("sum","Production Order","Quantity","Source No.",$D460,"Equipment Code",$L460,"due date",H$8)/-12</t>
  </si>
  <si>
    <t>=NL("sum","Production Order","Quantity","Source No.",$D460,"Equipment Code",$L460,"due date",I$8)/-12</t>
  </si>
  <si>
    <t>=NL("sum","Production Order","Quantity","Source No.",$D460,"Equipment Code",$L460,"due date",J$8)/$J$7</t>
  </si>
  <si>
    <t>=AVERAGE(I460:J460)</t>
  </si>
  <si>
    <t>=IF(K461=0,"hide","")</t>
  </si>
  <si>
    <t>=D460</t>
  </si>
  <si>
    <t>=NL("sum","Production Order","Quantity","Source No.",$D461,"Equipment Code",$L461,"due date",F$8)/-12</t>
  </si>
  <si>
    <t>=NL("sum","Production Order","Quantity","Source No.",$D461,"Equipment Code",$L461,"due date",G$8)/-12</t>
  </si>
  <si>
    <t>=NL("sum","Production Order","Quantity","Source No.",$D461,"Equipment Code",$L461,"due date",H$8)/-12</t>
  </si>
  <si>
    <t>=NL("sum","Production Order","Quantity","Source No.",$D461,"Equipment Code",$L461,"due date",I$8)/-12</t>
  </si>
  <si>
    <t>=NL("sum","Production Order","Quantity","Source No.",$D461,"Equipment Code",$L461,"due date",J$8)/$J$7</t>
  </si>
  <si>
    <t>=AVERAGE(I461:J461)</t>
  </si>
  <si>
    <t>=IF(K462=0,"hide","")</t>
  </si>
  <si>
    <t>=D461</t>
  </si>
  <si>
    <t>=NL("sum","Production Order","Quantity","Source No.",$D462,"Equipment Code",$L462,"due date",F$8)/-12</t>
  </si>
  <si>
    <t>=NL("sum","Production Order","Quantity","Source No.",$D462,"Equipment Code",$L462,"due date",G$8)/-12</t>
  </si>
  <si>
    <t>=NL("sum","Production Order","Quantity","Source No.",$D462,"Equipment Code",$L462,"due date",H$8)/-12</t>
  </si>
  <si>
    <t>=NL("sum","Production Order","Quantity","Source No.",$D462,"Equipment Code",$L462,"due date",I$8)/-12</t>
  </si>
  <si>
    <t>=NL("sum","Production Order","Quantity","Source No.",$D462,"Equipment Code",$L462,"due date",J$8)/$J$7</t>
  </si>
  <si>
    <t>=AVERAGE(I462:J462)</t>
  </si>
  <si>
    <t>=IF(K463=0,"hide","")</t>
  </si>
  <si>
    <t>=D462</t>
  </si>
  <si>
    <t>=NL("sum","Production Order","Quantity","Source No.",$D463,"Equipment Code",$L463,"due date",F$8)/-12</t>
  </si>
  <si>
    <t>=NL("sum","Production Order","Quantity","Source No.",$D463,"Equipment Code",$L463,"due date",G$8)/-12</t>
  </si>
  <si>
    <t>=NL("sum","Production Order","Quantity","Source No.",$D463,"Equipment Code",$L463,"due date",H$8)/-12</t>
  </si>
  <si>
    <t>=NL("sum","Production Order","Quantity","Source No.",$D463,"Equipment Code",$L463,"due date",I$8)/-12</t>
  </si>
  <si>
    <t>=NL("sum","Production Order","Quantity","Source No.",$D463,"Equipment Code",$L463,"due date",J$8)/$J$7</t>
  </si>
  <si>
    <t>=AVERAGE(I463:J463)</t>
  </si>
  <si>
    <t>=B460</t>
  </si>
  <si>
    <t>=B464</t>
  </si>
  <si>
    <t>=SUM(F460:F464)</t>
  </si>
  <si>
    <t>=SUM(G460:G464)</t>
  </si>
  <si>
    <t>=SUM(H460:H464)</t>
  </si>
  <si>
    <t>=SUM(I460:I464)</t>
  </si>
  <si>
    <t>=SUM(J460:J464)</t>
  </si>
  <si>
    <t>=IF(K466=0,"hide","")</t>
  </si>
  <si>
    <t>="02951"</t>
  </si>
  <si>
    <t>=NL("rows","Production BOM Version","Version Code","Production BOM No.",D466,"status","certified")</t>
  </si>
  <si>
    <t>=NL("sum","Item Ledger Entry","Quantity","Item No.",$D466,"Entry Type","Sale|Consumption","posting date","01/01/19..12/31/19")/-12</t>
  </si>
  <si>
    <t>=NL("sum","Item Ledger Entry","Quantity","Item No.",$D466,"Entry Type","Sale|Consumption","posting date","01/01/20..12/31/20")/-12</t>
  </si>
  <si>
    <t>=NL("sum","Item Ledger Entry","Quantity","Item No.",$D466,"Entry Type","Sale|Consumption","posting date","01/01/21..12/31/21")/-12</t>
  </si>
  <si>
    <t>=NL("sum","Item Ledger Entry","Quantity","Item No.",$D466,"Entry Type","Sale|Consumption","posting date","01/01/22..12/31/22")/-12</t>
  </si>
  <si>
    <t>=NL("sum","Item Ledger Entry","Quantity","Item No.",$D466,"Entry Type","Sale|Consumption","posting date","01/01/23..12/31/23")/$J$7</t>
  </si>
  <si>
    <t>=AVERAGE(I466:J466)</t>
  </si>
  <si>
    <t>=NL(1,"item",L$9,"no.",D466)</t>
  </si>
  <si>
    <t>=NL(1,"item",M$9,"no.",$D466)</t>
  </si>
  <si>
    <t>=NL(1,"item","Units Per Parcel","no.",$D466)</t>
  </si>
  <si>
    <t>=NL(1,"Prod. BOM Equipment","Fixed Prod. Time (Hours)","Production BOM No.",$D466,"version code",$E466,"Resource No.",O$9)</t>
  </si>
  <si>
    <t>=1/O466</t>
  </si>
  <si>
    <t>=IF(NL(1,"Prod. BOM Equipment","Variable Prod. Time (Hours)","Production BOM No.",$D466,"version code",$E466,"Resource No.",$O$9)="",1,NL(1,"Prod. BOM Equipment","Variable Prod. Time (Hours)","Production BOM No.",$D466,"version code",$E466,"Resource No.",$O$9))</t>
  </si>
  <si>
    <t>=1/Q466</t>
  </si>
  <si>
    <t>=R466*N466</t>
  </si>
  <si>
    <t>=IF(K467=0,"hide","")</t>
  </si>
  <si>
    <t>=D466</t>
  </si>
  <si>
    <t>=NL("sum","Production Order","Quantity","Source No.",$D467,"Equipment Code",$L467,"due date",F$8)/-12</t>
  </si>
  <si>
    <t>=NL("sum","Production Order","Quantity","Source No.",$D467,"Equipment Code",$L467,"due date",G$8)/-12</t>
  </si>
  <si>
    <t>=NL("sum","Production Order","Quantity","Source No.",$D467,"Equipment Code",$L467,"due date",H$8)/-12</t>
  </si>
  <si>
    <t>=NL("sum","Production Order","Quantity","Source No.",$D467,"Equipment Code",$L467,"due date",I$8)/-12</t>
  </si>
  <si>
    <t>=NL("sum","Production Order","Quantity","Source No.",$D467,"Equipment Code",$L467,"due date",J$8)/$J$7</t>
  </si>
  <si>
    <t>=AVERAGE(I467:J467)</t>
  </si>
  <si>
    <t>=IF(K468=0,"hide","")</t>
  </si>
  <si>
    <t>=D467</t>
  </si>
  <si>
    <t>=NL("sum","Production Order","Quantity","Source No.",$D468,"Equipment Code",$L468,"due date",F$8)/-12</t>
  </si>
  <si>
    <t>=NL("sum","Production Order","Quantity","Source No.",$D468,"Equipment Code",$L468,"due date",G$8)/-12</t>
  </si>
  <si>
    <t>=NL("sum","Production Order","Quantity","Source No.",$D468,"Equipment Code",$L468,"due date",H$8)/-12</t>
  </si>
  <si>
    <t>=NL("sum","Production Order","Quantity","Source No.",$D468,"Equipment Code",$L468,"due date",I$8)/-12</t>
  </si>
  <si>
    <t>=NL("sum","Production Order","Quantity","Source No.",$D468,"Equipment Code",$L468,"due date",J$8)/$J$7</t>
  </si>
  <si>
    <t>=AVERAGE(I468:J468)</t>
  </si>
  <si>
    <t>=IF(K469=0,"hide","")</t>
  </si>
  <si>
    <t>=D468</t>
  </si>
  <si>
    <t>=NL("sum","Production Order","Quantity","Source No.",$D469,"Equipment Code",$L469,"due date",F$8)/-12</t>
  </si>
  <si>
    <t>=NL("sum","Production Order","Quantity","Source No.",$D469,"Equipment Code",$L469,"due date",G$8)/-12</t>
  </si>
  <si>
    <t>=NL("sum","Production Order","Quantity","Source No.",$D469,"Equipment Code",$L469,"due date",H$8)/-12</t>
  </si>
  <si>
    <t>=NL("sum","Production Order","Quantity","Source No.",$D469,"Equipment Code",$L469,"due date",I$8)/-12</t>
  </si>
  <si>
    <t>=NL("sum","Production Order","Quantity","Source No.",$D469,"Equipment Code",$L469,"due date",J$8)/$J$7</t>
  </si>
  <si>
    <t>=AVERAGE(I469:J469)</t>
  </si>
  <si>
    <t>=IF(K470=0,"hide","")</t>
  </si>
  <si>
    <t>=D469</t>
  </si>
  <si>
    <t>=NL("sum","Production Order","Quantity","Source No.",$D470,"Equipment Code",$L470,"due date",F$8)/-12</t>
  </si>
  <si>
    <t>=NL("sum","Production Order","Quantity","Source No.",$D470,"Equipment Code",$L470,"due date",G$8)/-12</t>
  </si>
  <si>
    <t>=NL("sum","Production Order","Quantity","Source No.",$D470,"Equipment Code",$L470,"due date",H$8)/-12</t>
  </si>
  <si>
    <t>=NL("sum","Production Order","Quantity","Source No.",$D470,"Equipment Code",$L470,"due date",I$8)/-12</t>
  </si>
  <si>
    <t>=NL("sum","Production Order","Quantity","Source No.",$D470,"Equipment Code",$L470,"due date",J$8)/$J$7</t>
  </si>
  <si>
    <t>=AVERAGE(I470:J470)</t>
  </si>
  <si>
    <t>=B467</t>
  </si>
  <si>
    <t>=B471</t>
  </si>
  <si>
    <t>=SUM(F467:F471)</t>
  </si>
  <si>
    <t>=SUM(G467:G471)</t>
  </si>
  <si>
    <t>=SUM(H467:H471)</t>
  </si>
  <si>
    <t>=SUM(I467:I471)</t>
  </si>
  <si>
    <t>=SUM(J467:J471)</t>
  </si>
  <si>
    <t>=IF(K473=0,"hide","")</t>
  </si>
  <si>
    <t>="02961"</t>
  </si>
  <si>
    <t>=NL("rows","Production BOM Version","Version Code","Production BOM No.",D473,"status","certified")</t>
  </si>
  <si>
    <t>=NL("sum","Item Ledger Entry","Quantity","Item No.",$D473,"Entry Type","Sale|Consumption","posting date","01/01/19..12/31/19")/-12</t>
  </si>
  <si>
    <t>=NL("sum","Item Ledger Entry","Quantity","Item No.",$D473,"Entry Type","Sale|Consumption","posting date","01/01/20..12/31/20")/-12</t>
  </si>
  <si>
    <t>=NL("sum","Item Ledger Entry","Quantity","Item No.",$D473,"Entry Type","Sale|Consumption","posting date","01/01/21..12/31/21")/-12</t>
  </si>
  <si>
    <t>=NL("sum","Item Ledger Entry","Quantity","Item No.",$D473,"Entry Type","Sale|Consumption","posting date","01/01/22..12/31/22")/-12</t>
  </si>
  <si>
    <t>=NL("sum","Item Ledger Entry","Quantity","Item No.",$D473,"Entry Type","Sale|Consumption","posting date","01/01/23..12/31/23")/$J$7</t>
  </si>
  <si>
    <t>=AVERAGE(I473:J473)</t>
  </si>
  <si>
    <t>=NL(1,"item",L$9,"no.",D473)</t>
  </si>
  <si>
    <t>=NL(1,"item",M$9,"no.",$D473)</t>
  </si>
  <si>
    <t>=NL(1,"item","Units Per Parcel","no.",$D473)</t>
  </si>
  <si>
    <t>=NL(1,"Prod. BOM Equipment","Fixed Prod. Time (Hours)","Production BOM No.",$D473,"version code",$E473,"Resource No.",O$9)</t>
  </si>
  <si>
    <t>=1/O473</t>
  </si>
  <si>
    <t>=IF(NL(1,"Prod. BOM Equipment","Variable Prod. Time (Hours)","Production BOM No.",$D473,"version code",$E473,"Resource No.",$O$9)="",1,NL(1,"Prod. BOM Equipment","Variable Prod. Time (Hours)","Production BOM No.",$D473,"version code",$E473,"Resource No.",$O$9))</t>
  </si>
  <si>
    <t>=1/Q473</t>
  </si>
  <si>
    <t>=R473*N473</t>
  </si>
  <si>
    <t>=IF(K474=0,"hide","")</t>
  </si>
  <si>
    <t>=D473</t>
  </si>
  <si>
    <t>=NL("sum","Production Order","Quantity","Source No.",$D474,"Equipment Code",$L474,"due date",F$8)/-12</t>
  </si>
  <si>
    <t>=NL("sum","Production Order","Quantity","Source No.",$D474,"Equipment Code",$L474,"due date",G$8)/-12</t>
  </si>
  <si>
    <t>=NL("sum","Production Order","Quantity","Source No.",$D474,"Equipment Code",$L474,"due date",H$8)/-12</t>
  </si>
  <si>
    <t>=NL("sum","Production Order","Quantity","Source No.",$D474,"Equipment Code",$L474,"due date",I$8)/-12</t>
  </si>
  <si>
    <t>=NL("sum","Production Order","Quantity","Source No.",$D474,"Equipment Code",$L474,"due date",J$8)/$J$7</t>
  </si>
  <si>
    <t>=AVERAGE(I474:J474)</t>
  </si>
  <si>
    <t>=IF(K475=0,"hide","")</t>
  </si>
  <si>
    <t>=D474</t>
  </si>
  <si>
    <t>=NL("sum","Production Order","Quantity","Source No.",$D475,"Equipment Code",$L475,"due date",F$8)/-12</t>
  </si>
  <si>
    <t>=NL("sum","Production Order","Quantity","Source No.",$D475,"Equipment Code",$L475,"due date",G$8)/-12</t>
  </si>
  <si>
    <t>=NL("sum","Production Order","Quantity","Source No.",$D475,"Equipment Code",$L475,"due date",H$8)/-12</t>
  </si>
  <si>
    <t>=NL("sum","Production Order","Quantity","Source No.",$D475,"Equipment Code",$L475,"due date",I$8)/-12</t>
  </si>
  <si>
    <t>=NL("sum","Production Order","Quantity","Source No.",$D475,"Equipment Code",$L475,"due date",J$8)/$J$7</t>
  </si>
  <si>
    <t>=AVERAGE(I475:J475)</t>
  </si>
  <si>
    <t>=IF(K476=0,"hide","")</t>
  </si>
  <si>
    <t>=D475</t>
  </si>
  <si>
    <t>=NL("sum","Production Order","Quantity","Source No.",$D476,"Equipment Code",$L476,"due date",F$8)/-12</t>
  </si>
  <si>
    <t>=NL("sum","Production Order","Quantity","Source No.",$D476,"Equipment Code",$L476,"due date",G$8)/-12</t>
  </si>
  <si>
    <t>=NL("sum","Production Order","Quantity","Source No.",$D476,"Equipment Code",$L476,"due date",H$8)/-12</t>
  </si>
  <si>
    <t>=NL("sum","Production Order","Quantity","Source No.",$D476,"Equipment Code",$L476,"due date",I$8)/-12</t>
  </si>
  <si>
    <t>=NL("sum","Production Order","Quantity","Source No.",$D476,"Equipment Code",$L476,"due date",J$8)/$J$7</t>
  </si>
  <si>
    <t>=AVERAGE(I476:J476)</t>
  </si>
  <si>
    <t>=IF(K477=0,"hide","")</t>
  </si>
  <si>
    <t>=D476</t>
  </si>
  <si>
    <t>=NL("sum","Production Order","Quantity","Source No.",$D477,"Equipment Code",$L477,"due date",F$8)/-12</t>
  </si>
  <si>
    <t>=NL("sum","Production Order","Quantity","Source No.",$D477,"Equipment Code",$L477,"due date",G$8)/-12</t>
  </si>
  <si>
    <t>=NL("sum","Production Order","Quantity","Source No.",$D477,"Equipment Code",$L477,"due date",H$8)/-12</t>
  </si>
  <si>
    <t>=NL("sum","Production Order","Quantity","Source No.",$D477,"Equipment Code",$L477,"due date",I$8)/-12</t>
  </si>
  <si>
    <t>=NL("sum","Production Order","Quantity","Source No.",$D477,"Equipment Code",$L477,"due date",J$8)/$J$7</t>
  </si>
  <si>
    <t>=AVERAGE(I477:J477)</t>
  </si>
  <si>
    <t>=B474</t>
  </si>
  <si>
    <t>=B478</t>
  </si>
  <si>
    <t>=SUM(F474:F478)</t>
  </si>
  <si>
    <t>=SUM(G474:G478)</t>
  </si>
  <si>
    <t>=SUM(H474:H478)</t>
  </si>
  <si>
    <t>=SUM(I474:I478)</t>
  </si>
  <si>
    <t>=SUM(J474:J478)</t>
  </si>
  <si>
    <t>=IF(K480=0,"hide","")</t>
  </si>
  <si>
    <t>="02965"</t>
  </si>
  <si>
    <t>=NL("rows","Production BOM Version","Version Code","Production BOM No.",D480,"status","certified")</t>
  </si>
  <si>
    <t>=NL("sum","Item Ledger Entry","Quantity","Item No.",$D480,"Entry Type","Sale|Consumption","posting date","01/01/19..12/31/19")/-12</t>
  </si>
  <si>
    <t>=NL("sum","Item Ledger Entry","Quantity","Item No.",$D480,"Entry Type","Sale|Consumption","posting date","01/01/20..12/31/20")/-12</t>
  </si>
  <si>
    <t>=NL("sum","Item Ledger Entry","Quantity","Item No.",$D480,"Entry Type","Sale|Consumption","posting date","01/01/21..12/31/21")/-12</t>
  </si>
  <si>
    <t>=NL("sum","Item Ledger Entry","Quantity","Item No.",$D480,"Entry Type","Sale|Consumption","posting date","01/01/22..12/31/22")/-12</t>
  </si>
  <si>
    <t>=NL("sum","Item Ledger Entry","Quantity","Item No.",$D480,"Entry Type","Sale|Consumption","posting date","01/01/23..12/31/23")/$J$7</t>
  </si>
  <si>
    <t>=AVERAGE(I480:J480)</t>
  </si>
  <si>
    <t>=NL(1,"item",L$9,"no.",D480)</t>
  </si>
  <si>
    <t>=NL(1,"item",M$9,"no.",$D480)</t>
  </si>
  <si>
    <t>=NL(1,"item","Units Per Parcel","no.",$D480)</t>
  </si>
  <si>
    <t>=NL(1,"Prod. BOM Equipment","Fixed Prod. Time (Hours)","Production BOM No.",$D480,"version code",$E480,"Resource No.",O$9)</t>
  </si>
  <si>
    <t>=1/O480</t>
  </si>
  <si>
    <t>=IF(NL(1,"Prod. BOM Equipment","Variable Prod. Time (Hours)","Production BOM No.",$D480,"version code",$E480,"Resource No.",$O$9)="",1,NL(1,"Prod. BOM Equipment","Variable Prod. Time (Hours)","Production BOM No.",$D480,"version code",$E480,"Resource No.",$O$9))</t>
  </si>
  <si>
    <t>=1/Q480</t>
  </si>
  <si>
    <t>=R480*N480</t>
  </si>
  <si>
    <t>=IF(K481=0,"hide","")</t>
  </si>
  <si>
    <t>=D480</t>
  </si>
  <si>
    <t>=NL("sum","Production Order","Quantity","Source No.",$D481,"Equipment Code",$L481,"due date",F$8)/-12</t>
  </si>
  <si>
    <t>=NL("sum","Production Order","Quantity","Source No.",$D481,"Equipment Code",$L481,"due date",G$8)/-12</t>
  </si>
  <si>
    <t>=NL("sum","Production Order","Quantity","Source No.",$D481,"Equipment Code",$L481,"due date",H$8)/-12</t>
  </si>
  <si>
    <t>=NL("sum","Production Order","Quantity","Source No.",$D481,"Equipment Code",$L481,"due date",I$8)/-12</t>
  </si>
  <si>
    <t>=NL("sum","Production Order","Quantity","Source No.",$D481,"Equipment Code",$L481,"due date",J$8)/$J$7</t>
  </si>
  <si>
    <t>=AVERAGE(I481:J481)</t>
  </si>
  <si>
    <t>=IF(K482=0,"hide","")</t>
  </si>
  <si>
    <t>=D481</t>
  </si>
  <si>
    <t>=NL("sum","Production Order","Quantity","Source No.",$D482,"Equipment Code",$L482,"due date",F$8)/-12</t>
  </si>
  <si>
    <t>=NL("sum","Production Order","Quantity","Source No.",$D482,"Equipment Code",$L482,"due date",G$8)/-12</t>
  </si>
  <si>
    <t>=NL("sum","Production Order","Quantity","Source No.",$D482,"Equipment Code",$L482,"due date",H$8)/-12</t>
  </si>
  <si>
    <t>=NL("sum","Production Order","Quantity","Source No.",$D482,"Equipment Code",$L482,"due date",I$8)/-12</t>
  </si>
  <si>
    <t>=NL("sum","Production Order","Quantity","Source No.",$D482,"Equipment Code",$L482,"due date",J$8)/$J$7</t>
  </si>
  <si>
    <t>=AVERAGE(I482:J482)</t>
  </si>
  <si>
    <t>=IF(K483=0,"hide","")</t>
  </si>
  <si>
    <t>=D482</t>
  </si>
  <si>
    <t>=NL("sum","Production Order","Quantity","Source No.",$D483,"Equipment Code",$L483,"due date",F$8)/-12</t>
  </si>
  <si>
    <t>=NL("sum","Production Order","Quantity","Source No.",$D483,"Equipment Code",$L483,"due date",G$8)/-12</t>
  </si>
  <si>
    <t>=NL("sum","Production Order","Quantity","Source No.",$D483,"Equipment Code",$L483,"due date",H$8)/-12</t>
  </si>
  <si>
    <t>=NL("sum","Production Order","Quantity","Source No.",$D483,"Equipment Code",$L483,"due date",I$8)/-12</t>
  </si>
  <si>
    <t>=NL("sum","Production Order","Quantity","Source No.",$D483,"Equipment Code",$L483,"due date",J$8)/$J$7</t>
  </si>
  <si>
    <t>=AVERAGE(I483:J483)</t>
  </si>
  <si>
    <t>=IF(K484=0,"hide","")</t>
  </si>
  <si>
    <t>=D483</t>
  </si>
  <si>
    <t>=NL("sum","Production Order","Quantity","Source No.",$D484,"Equipment Code",$L484,"due date",F$8)/-12</t>
  </si>
  <si>
    <t>=NL("sum","Production Order","Quantity","Source No.",$D484,"Equipment Code",$L484,"due date",G$8)/-12</t>
  </si>
  <si>
    <t>=NL("sum","Production Order","Quantity","Source No.",$D484,"Equipment Code",$L484,"due date",H$8)/-12</t>
  </si>
  <si>
    <t>=NL("sum","Production Order","Quantity","Source No.",$D484,"Equipment Code",$L484,"due date",I$8)/-12</t>
  </si>
  <si>
    <t>=NL("sum","Production Order","Quantity","Source No.",$D484,"Equipment Code",$L484,"due date",J$8)/$J$7</t>
  </si>
  <si>
    <t>=AVERAGE(I484:J484)</t>
  </si>
  <si>
    <t>=B481</t>
  </si>
  <si>
    <t>=B485</t>
  </si>
  <si>
    <t>=SUM(F481:F485)</t>
  </si>
  <si>
    <t>=SUM(G481:G485)</t>
  </si>
  <si>
    <t>=SUM(H481:H485)</t>
  </si>
  <si>
    <t>=SUM(I481:I485)</t>
  </si>
  <si>
    <t>=SUM(J481:J485)</t>
  </si>
  <si>
    <t>=IF(K487=0,"hide","")</t>
  </si>
  <si>
    <t>="02966"</t>
  </si>
  <si>
    <t>=NL("rows","Production BOM Version","Version Code","Production BOM No.",D487,"status","certified")</t>
  </si>
  <si>
    <t>=NL("sum","Item Ledger Entry","Quantity","Item No.",$D487,"Entry Type","Sale|Consumption","posting date","01/01/19..12/31/19")/-12</t>
  </si>
  <si>
    <t>=NL("sum","Item Ledger Entry","Quantity","Item No.",$D487,"Entry Type","Sale|Consumption","posting date","01/01/20..12/31/20")/-12</t>
  </si>
  <si>
    <t>=NL("sum","Item Ledger Entry","Quantity","Item No.",$D487,"Entry Type","Sale|Consumption","posting date","01/01/21..12/31/21")/-12</t>
  </si>
  <si>
    <t>=NL("sum","Item Ledger Entry","Quantity","Item No.",$D487,"Entry Type","Sale|Consumption","posting date","01/01/22..12/31/22")/-12</t>
  </si>
  <si>
    <t>=NL("sum","Item Ledger Entry","Quantity","Item No.",$D487,"Entry Type","Sale|Consumption","posting date","01/01/23..12/31/23")/$J$7</t>
  </si>
  <si>
    <t>=AVERAGE(I487:J487)</t>
  </si>
  <si>
    <t>=NL(1,"item",L$9,"no.",D487)</t>
  </si>
  <si>
    <t>=NL(1,"item",M$9,"no.",$D487)</t>
  </si>
  <si>
    <t>=NL(1,"item","Units Per Parcel","no.",$D487)</t>
  </si>
  <si>
    <t>=NL(1,"Prod. BOM Equipment","Fixed Prod. Time (Hours)","Production BOM No.",$D487,"version code",$E487,"Resource No.",O$9)</t>
  </si>
  <si>
    <t>=1/O487</t>
  </si>
  <si>
    <t>=IF(NL(1,"Prod. BOM Equipment","Variable Prod. Time (Hours)","Production BOM No.",$D487,"version code",$E487,"Resource No.",$O$9)="",1,NL(1,"Prod. BOM Equipment","Variable Prod. Time (Hours)","Production BOM No.",$D487,"version code",$E487,"Resource No.",$O$9))</t>
  </si>
  <si>
    <t>=1/Q487</t>
  </si>
  <si>
    <t>=R487*N487</t>
  </si>
  <si>
    <t>=IF(K488=0,"hide","")</t>
  </si>
  <si>
    <t>=D487</t>
  </si>
  <si>
    <t>=NL("sum","Production Order","Quantity","Source No.",$D488,"Equipment Code",$L488,"due date",F$8)/-12</t>
  </si>
  <si>
    <t>=NL("sum","Production Order","Quantity","Source No.",$D488,"Equipment Code",$L488,"due date",G$8)/-12</t>
  </si>
  <si>
    <t>=NL("sum","Production Order","Quantity","Source No.",$D488,"Equipment Code",$L488,"due date",H$8)/-12</t>
  </si>
  <si>
    <t>=NL("sum","Production Order","Quantity","Source No.",$D488,"Equipment Code",$L488,"due date",I$8)/-12</t>
  </si>
  <si>
    <t>=NL("sum","Production Order","Quantity","Source No.",$D488,"Equipment Code",$L488,"due date",J$8)/$J$7</t>
  </si>
  <si>
    <t>=AVERAGE(I488:J488)</t>
  </si>
  <si>
    <t>=IF(K489=0,"hide","")</t>
  </si>
  <si>
    <t>=D488</t>
  </si>
  <si>
    <t>=NL("sum","Production Order","Quantity","Source No.",$D489,"Equipment Code",$L489,"due date",F$8)/-12</t>
  </si>
  <si>
    <t>=NL("sum","Production Order","Quantity","Source No.",$D489,"Equipment Code",$L489,"due date",G$8)/-12</t>
  </si>
  <si>
    <t>=NL("sum","Production Order","Quantity","Source No.",$D489,"Equipment Code",$L489,"due date",H$8)/-12</t>
  </si>
  <si>
    <t>=NL("sum","Production Order","Quantity","Source No.",$D489,"Equipment Code",$L489,"due date",I$8)/-12</t>
  </si>
  <si>
    <t>=NL("sum","Production Order","Quantity","Source No.",$D489,"Equipment Code",$L489,"due date",J$8)/$J$7</t>
  </si>
  <si>
    <t>=AVERAGE(I489:J489)</t>
  </si>
  <si>
    <t>=IF(K490=0,"hide","")</t>
  </si>
  <si>
    <t>=D489</t>
  </si>
  <si>
    <t>=NL("sum","Production Order","Quantity","Source No.",$D490,"Equipment Code",$L490,"due date",F$8)/-12</t>
  </si>
  <si>
    <t>=NL("sum","Production Order","Quantity","Source No.",$D490,"Equipment Code",$L490,"due date",G$8)/-12</t>
  </si>
  <si>
    <t>=NL("sum","Production Order","Quantity","Source No.",$D490,"Equipment Code",$L490,"due date",H$8)/-12</t>
  </si>
  <si>
    <t>=NL("sum","Production Order","Quantity","Source No.",$D490,"Equipment Code",$L490,"due date",I$8)/-12</t>
  </si>
  <si>
    <t>=NL("sum","Production Order","Quantity","Source No.",$D490,"Equipment Code",$L490,"due date",J$8)/$J$7</t>
  </si>
  <si>
    <t>=AVERAGE(I490:J490)</t>
  </si>
  <si>
    <t>=IF(K491=0,"hide","")</t>
  </si>
  <si>
    <t>=D490</t>
  </si>
  <si>
    <t>=NL("sum","Production Order","Quantity","Source No.",$D491,"Equipment Code",$L491,"due date",F$8)/-12</t>
  </si>
  <si>
    <t>=NL("sum","Production Order","Quantity","Source No.",$D491,"Equipment Code",$L491,"due date",G$8)/-12</t>
  </si>
  <si>
    <t>=NL("sum","Production Order","Quantity","Source No.",$D491,"Equipment Code",$L491,"due date",H$8)/-12</t>
  </si>
  <si>
    <t>=NL("sum","Production Order","Quantity","Source No.",$D491,"Equipment Code",$L491,"due date",I$8)/-12</t>
  </si>
  <si>
    <t>=NL("sum","Production Order","Quantity","Source No.",$D491,"Equipment Code",$L491,"due date",J$8)/$J$7</t>
  </si>
  <si>
    <t>=AVERAGE(I491:J491)</t>
  </si>
  <si>
    <t>=B488</t>
  </si>
  <si>
    <t>=B492</t>
  </si>
  <si>
    <t>=SUM(F488:F492)</t>
  </si>
  <si>
    <t>=SUM(G488:G492)</t>
  </si>
  <si>
    <t>=SUM(H488:H492)</t>
  </si>
  <si>
    <t>=SUM(I488:I492)</t>
  </si>
  <si>
    <t>=SUM(J488:J492)</t>
  </si>
  <si>
    <t>=IF(K494=0,"hide","")</t>
  </si>
  <si>
    <t>=NL("rows","Production BOM Version","Version Code","Production BOM No.",D494,"status","certified")</t>
  </si>
  <si>
    <t>=NL("sum","Item Ledger Entry","Quantity","Item No.",$D494,"Entry Type","Sale|Consumption","posting date","01/01/19..12/31/19")/-12</t>
  </si>
  <si>
    <t>=NL("sum","Item Ledger Entry","Quantity","Item No.",$D494,"Entry Type","Sale|Consumption","posting date","01/01/20..12/31/20")/-12</t>
  </si>
  <si>
    <t>=NL("sum","Item Ledger Entry","Quantity","Item No.",$D494,"Entry Type","Sale|Consumption","posting date","01/01/21..12/31/21")/-12</t>
  </si>
  <si>
    <t>=NL("sum","Item Ledger Entry","Quantity","Item No.",$D494,"Entry Type","Sale|Consumption","posting date","01/01/22..12/31/22")/-12</t>
  </si>
  <si>
    <t>=NL("sum","Item Ledger Entry","Quantity","Item No.",$D494,"Entry Type","Sale|Consumption","posting date","01/01/23..12/31/23")/$J$7</t>
  </si>
  <si>
    <t>=AVERAGE(I494:J494)</t>
  </si>
  <si>
    <t>=NL(1,"item",L$9,"no.",D494)</t>
  </si>
  <si>
    <t>=NL(1,"item",M$9,"no.",$D494)</t>
  </si>
  <si>
    <t>=NL(1,"item","Units Per Parcel","no.",$D494)</t>
  </si>
  <si>
    <t>=NL(1,"Prod. BOM Equipment","Fixed Prod. Time (Hours)","Production BOM No.",$D494,"version code",$E494,"Resource No.",O$9)</t>
  </si>
  <si>
    <t>=1/O494</t>
  </si>
  <si>
    <t>=IF(NL(1,"Prod. BOM Equipment","Variable Prod. Time (Hours)","Production BOM No.",$D494,"version code",$E494,"Resource No.",$O$9)="",1,NL(1,"Prod. BOM Equipment","Variable Prod. Time (Hours)","Production BOM No.",$D494,"version code",$E494,"Resource No.",$O$9))</t>
  </si>
  <si>
    <t>=1/Q494</t>
  </si>
  <si>
    <t>=R494*N494</t>
  </si>
  <si>
    <t>=IF(K495=0,"hide","")</t>
  </si>
  <si>
    <t>=D494</t>
  </si>
  <si>
    <t>=NL("sum","Production Order","Quantity","Source No.",$D495,"Equipment Code",$L495,"due date",F$8)/-12</t>
  </si>
  <si>
    <t>=NL("sum","Production Order","Quantity","Source No.",$D495,"Equipment Code",$L495,"due date",G$8)/-12</t>
  </si>
  <si>
    <t>=NL("sum","Production Order","Quantity","Source No.",$D495,"Equipment Code",$L495,"due date",H$8)/-12</t>
  </si>
  <si>
    <t>=NL("sum","Production Order","Quantity","Source No.",$D495,"Equipment Code",$L495,"due date",I$8)/-12</t>
  </si>
  <si>
    <t>=NL("sum","Production Order","Quantity","Source No.",$D495,"Equipment Code",$L495,"due date",J$8)/$J$7</t>
  </si>
  <si>
    <t>=AVERAGE(I495:J495)</t>
  </si>
  <si>
    <t>=IF(K496=0,"hide","")</t>
  </si>
  <si>
    <t>=D495</t>
  </si>
  <si>
    <t>=NL("sum","Production Order","Quantity","Source No.",$D496,"Equipment Code",$L496,"due date",F$8)/-12</t>
  </si>
  <si>
    <t>=NL("sum","Production Order","Quantity","Source No.",$D496,"Equipment Code",$L496,"due date",G$8)/-12</t>
  </si>
  <si>
    <t>=NL("sum","Production Order","Quantity","Source No.",$D496,"Equipment Code",$L496,"due date",H$8)/-12</t>
  </si>
  <si>
    <t>=NL("sum","Production Order","Quantity","Source No.",$D496,"Equipment Code",$L496,"due date",I$8)/-12</t>
  </si>
  <si>
    <t>=NL("sum","Production Order","Quantity","Source No.",$D496,"Equipment Code",$L496,"due date",J$8)/$J$7</t>
  </si>
  <si>
    <t>=AVERAGE(I496:J496)</t>
  </si>
  <si>
    <t>=IF(K497=0,"hide","")</t>
  </si>
  <si>
    <t>=D496</t>
  </si>
  <si>
    <t>=NL("sum","Production Order","Quantity","Source No.",$D497,"Equipment Code",$L497,"due date",F$8)/-12</t>
  </si>
  <si>
    <t>=NL("sum","Production Order","Quantity","Source No.",$D497,"Equipment Code",$L497,"due date",G$8)/-12</t>
  </si>
  <si>
    <t>=NL("sum","Production Order","Quantity","Source No.",$D497,"Equipment Code",$L497,"due date",H$8)/-12</t>
  </si>
  <si>
    <t>=NL("sum","Production Order","Quantity","Source No.",$D497,"Equipment Code",$L497,"due date",I$8)/-12</t>
  </si>
  <si>
    <t>=NL("sum","Production Order","Quantity","Source No.",$D497,"Equipment Code",$L497,"due date",J$8)/$J$7</t>
  </si>
  <si>
    <t>=AVERAGE(I497:J497)</t>
  </si>
  <si>
    <t>=IF(K498=0,"hide","")</t>
  </si>
  <si>
    <t>=D497</t>
  </si>
  <si>
    <t>=NL("sum","Production Order","Quantity","Source No.",$D498,"Equipment Code",$L498,"due date",F$8)/-12</t>
  </si>
  <si>
    <t>=NL("sum","Production Order","Quantity","Source No.",$D498,"Equipment Code",$L498,"due date",G$8)/-12</t>
  </si>
  <si>
    <t>=NL("sum","Production Order","Quantity","Source No.",$D498,"Equipment Code",$L498,"due date",H$8)/-12</t>
  </si>
  <si>
    <t>=NL("sum","Production Order","Quantity","Source No.",$D498,"Equipment Code",$L498,"due date",I$8)/-12</t>
  </si>
  <si>
    <t>=NL("sum","Production Order","Quantity","Source No.",$D498,"Equipment Code",$L498,"due date",J$8)/$J$7</t>
  </si>
  <si>
    <t>=AVERAGE(I498:J498)</t>
  </si>
  <si>
    <t>=B495</t>
  </si>
  <si>
    <t>=B499</t>
  </si>
  <si>
    <t>=SUM(F495:F499)</t>
  </si>
  <si>
    <t>=SUM(G495:G499)</t>
  </si>
  <si>
    <t>=SUM(H495:H499)</t>
  </si>
  <si>
    <t>=SUM(I495:I499)</t>
  </si>
  <si>
    <t>=SUM(J495:J499)</t>
  </si>
  <si>
    <t>=IF(K501=0,"hide","")</t>
  </si>
  <si>
    <t>=NL("rows","Production BOM Version","Version Code","Production BOM No.",D501,"status","certified")</t>
  </si>
  <si>
    <t>=NL("sum","Item Ledger Entry","Quantity","Item No.",$D501,"Entry Type","Sale|Consumption","posting date","01/01/19..12/31/19")/-12</t>
  </si>
  <si>
    <t>=NL("sum","Item Ledger Entry","Quantity","Item No.",$D501,"Entry Type","Sale|Consumption","posting date","01/01/20..12/31/20")/-12</t>
  </si>
  <si>
    <t>=NL("sum","Item Ledger Entry","Quantity","Item No.",$D501,"Entry Type","Sale|Consumption","posting date","01/01/21..12/31/21")/-12</t>
  </si>
  <si>
    <t>=NL("sum","Item Ledger Entry","Quantity","Item No.",$D501,"Entry Type","Sale|Consumption","posting date","01/01/22..12/31/22")/-12</t>
  </si>
  <si>
    <t>=NL("sum","Item Ledger Entry","Quantity","Item No.",$D501,"Entry Type","Sale|Consumption","posting date","01/01/23..12/31/23")/$J$7</t>
  </si>
  <si>
    <t>=AVERAGE(I501:J501)</t>
  </si>
  <si>
    <t>=NL(1,"item",L$9,"no.",D501)</t>
  </si>
  <si>
    <t>=NL(1,"item",M$9,"no.",$D501)</t>
  </si>
  <si>
    <t>=NL(1,"item","Units Per Parcel","no.",$D501)</t>
  </si>
  <si>
    <t>=NL(1,"Prod. BOM Equipment","Fixed Prod. Time (Hours)","Production BOM No.",$D501,"version code",$E501,"Resource No.",O$9)</t>
  </si>
  <si>
    <t>=1/O501</t>
  </si>
  <si>
    <t>=IF(NL(1,"Prod. BOM Equipment","Variable Prod. Time (Hours)","Production BOM No.",$D501,"version code",$E501,"Resource No.",$O$9)="",1,NL(1,"Prod. BOM Equipment","Variable Prod. Time (Hours)","Production BOM No.",$D501,"version code",$E501,"Resource No.",$O$9))</t>
  </si>
  <si>
    <t>=1/Q501</t>
  </si>
  <si>
    <t>=R501*N501</t>
  </si>
  <si>
    <t>=IF(K502=0,"hide","")</t>
  </si>
  <si>
    <t>=D501</t>
  </si>
  <si>
    <t>=NL("sum","Production Order","Quantity","Source No.",$D502,"Equipment Code",$L502,"due date",F$8)/-12</t>
  </si>
  <si>
    <t>=NL("sum","Production Order","Quantity","Source No.",$D502,"Equipment Code",$L502,"due date",G$8)/-12</t>
  </si>
  <si>
    <t>=NL("sum","Production Order","Quantity","Source No.",$D502,"Equipment Code",$L502,"due date",H$8)/-12</t>
  </si>
  <si>
    <t>=NL("sum","Production Order","Quantity","Source No.",$D502,"Equipment Code",$L502,"due date",I$8)/-12</t>
  </si>
  <si>
    <t>=NL("sum","Production Order","Quantity","Source No.",$D502,"Equipment Code",$L502,"due date",J$8)/$J$7</t>
  </si>
  <si>
    <t>=AVERAGE(I502:J502)</t>
  </si>
  <si>
    <t>=IF(K503=0,"hide","")</t>
  </si>
  <si>
    <t>=D502</t>
  </si>
  <si>
    <t>=NL("sum","Production Order","Quantity","Source No.",$D503,"Equipment Code",$L503,"due date",F$8)/-12</t>
  </si>
  <si>
    <t>=NL("sum","Production Order","Quantity","Source No.",$D503,"Equipment Code",$L503,"due date",G$8)/-12</t>
  </si>
  <si>
    <t>=NL("sum","Production Order","Quantity","Source No.",$D503,"Equipment Code",$L503,"due date",H$8)/-12</t>
  </si>
  <si>
    <t>=NL("sum","Production Order","Quantity","Source No.",$D503,"Equipment Code",$L503,"due date",I$8)/-12</t>
  </si>
  <si>
    <t>=NL("sum","Production Order","Quantity","Source No.",$D503,"Equipment Code",$L503,"due date",J$8)/$J$7</t>
  </si>
  <si>
    <t>=AVERAGE(I503:J503)</t>
  </si>
  <si>
    <t>=IF(K504=0,"hide","")</t>
  </si>
  <si>
    <t>=D503</t>
  </si>
  <si>
    <t>=NL("sum","Production Order","Quantity","Source No.",$D504,"Equipment Code",$L504,"due date",F$8)/-12</t>
  </si>
  <si>
    <t>=NL("sum","Production Order","Quantity","Source No.",$D504,"Equipment Code",$L504,"due date",G$8)/-12</t>
  </si>
  <si>
    <t>=NL("sum","Production Order","Quantity","Source No.",$D504,"Equipment Code",$L504,"due date",H$8)/-12</t>
  </si>
  <si>
    <t>=NL("sum","Production Order","Quantity","Source No.",$D504,"Equipment Code",$L504,"due date",I$8)/-12</t>
  </si>
  <si>
    <t>=NL("sum","Production Order","Quantity","Source No.",$D504,"Equipment Code",$L504,"due date",J$8)/$J$7</t>
  </si>
  <si>
    <t>=AVERAGE(I504:J504)</t>
  </si>
  <si>
    <t>=IF(K505=0,"hide","")</t>
  </si>
  <si>
    <t>=D504</t>
  </si>
  <si>
    <t>=NL("sum","Production Order","Quantity","Source No.",$D505,"Equipment Code",$L505,"due date",F$8)/-12</t>
  </si>
  <si>
    <t>=NL("sum","Production Order","Quantity","Source No.",$D505,"Equipment Code",$L505,"due date",G$8)/-12</t>
  </si>
  <si>
    <t>=NL("sum","Production Order","Quantity","Source No.",$D505,"Equipment Code",$L505,"due date",H$8)/-12</t>
  </si>
  <si>
    <t>=NL("sum","Production Order","Quantity","Source No.",$D505,"Equipment Code",$L505,"due date",I$8)/-12</t>
  </si>
  <si>
    <t>=NL("sum","Production Order","Quantity","Source No.",$D505,"Equipment Code",$L505,"due date",J$8)/$J$7</t>
  </si>
  <si>
    <t>=AVERAGE(I505:J505)</t>
  </si>
  <si>
    <t>=B502</t>
  </si>
  <si>
    <t>=B506</t>
  </si>
  <si>
    <t>=SUM(F502:F506)</t>
  </si>
  <si>
    <t>=SUM(G502:G506)</t>
  </si>
  <si>
    <t>=SUM(H502:H506)</t>
  </si>
  <si>
    <t>=SUM(I502:I506)</t>
  </si>
  <si>
    <t>=SUM(J502:J506)</t>
  </si>
  <si>
    <t>=IF(K508=0,"hide","")</t>
  </si>
  <si>
    <t>=NL("rows","Production BOM Version","Version Code","Production BOM No.",D508,"status","certified")</t>
  </si>
  <si>
    <t>=NL("sum","Item Ledger Entry","Quantity","Item No.",$D508,"Entry Type","Sale|Consumption","posting date","01/01/19..12/31/19")/-12</t>
  </si>
  <si>
    <t>=NL("sum","Item Ledger Entry","Quantity","Item No.",$D508,"Entry Type","Sale|Consumption","posting date","01/01/20..12/31/20")/-12</t>
  </si>
  <si>
    <t>=NL("sum","Item Ledger Entry","Quantity","Item No.",$D508,"Entry Type","Sale|Consumption","posting date","01/01/21..12/31/21")/-12</t>
  </si>
  <si>
    <t>=NL("sum","Item Ledger Entry","Quantity","Item No.",$D508,"Entry Type","Sale|Consumption","posting date","01/01/22..12/31/22")/-12</t>
  </si>
  <si>
    <t>=NL("sum","Item Ledger Entry","Quantity","Item No.",$D508,"Entry Type","Sale|Consumption","posting date","01/01/23..12/31/23")/$J$7</t>
  </si>
  <si>
    <t>=AVERAGE(I508:J508)</t>
  </si>
  <si>
    <t>=NL(1,"item",L$9,"no.",D508)</t>
  </si>
  <si>
    <t>=NL(1,"item",M$9,"no.",$D508)</t>
  </si>
  <si>
    <t>=NL(1,"item","Units Per Parcel","no.",$D508)</t>
  </si>
  <si>
    <t>=NL(1,"Prod. BOM Equipment","Fixed Prod. Time (Hours)","Production BOM No.",$D508,"version code",$E508,"Resource No.",O$9)</t>
  </si>
  <si>
    <t>=1/O508</t>
  </si>
  <si>
    <t>=IF(NL(1,"Prod. BOM Equipment","Variable Prod. Time (Hours)","Production BOM No.",$D508,"version code",$E508,"Resource No.",$O$9)="",1,NL(1,"Prod. BOM Equipment","Variable Prod. Time (Hours)","Production BOM No.",$D508,"version code",$E508,"Resource No.",$O$9))</t>
  </si>
  <si>
    <t>=1/Q508</t>
  </si>
  <si>
    <t>=R508*N508</t>
  </si>
  <si>
    <t>=IF(K509=0,"hide","")</t>
  </si>
  <si>
    <t>=D508</t>
  </si>
  <si>
    <t>=NL("sum","Production Order","Quantity","Source No.",$D509,"Equipment Code",$L509,"due date",F$8)/-12</t>
  </si>
  <si>
    <t>=NL("sum","Production Order","Quantity","Source No.",$D509,"Equipment Code",$L509,"due date",G$8)/-12</t>
  </si>
  <si>
    <t>=NL("sum","Production Order","Quantity","Source No.",$D509,"Equipment Code",$L509,"due date",H$8)/-12</t>
  </si>
  <si>
    <t>=NL("sum","Production Order","Quantity","Source No.",$D509,"Equipment Code",$L509,"due date",I$8)/-12</t>
  </si>
  <si>
    <t>=NL("sum","Production Order","Quantity","Source No.",$D509,"Equipment Code",$L509,"due date",J$8)/$J$7</t>
  </si>
  <si>
    <t>=AVERAGE(I509:J509)</t>
  </si>
  <si>
    <t>=IF(K510=0,"hide","")</t>
  </si>
  <si>
    <t>=D509</t>
  </si>
  <si>
    <t>=NL("sum","Production Order","Quantity","Source No.",$D510,"Equipment Code",$L510,"due date",F$8)/-12</t>
  </si>
  <si>
    <t>=NL("sum","Production Order","Quantity","Source No.",$D510,"Equipment Code",$L510,"due date",G$8)/-12</t>
  </si>
  <si>
    <t>=NL("sum","Production Order","Quantity","Source No.",$D510,"Equipment Code",$L510,"due date",H$8)/-12</t>
  </si>
  <si>
    <t>=NL("sum","Production Order","Quantity","Source No.",$D510,"Equipment Code",$L510,"due date",I$8)/-12</t>
  </si>
  <si>
    <t>=NL("sum","Production Order","Quantity","Source No.",$D510,"Equipment Code",$L510,"due date",J$8)/$J$7</t>
  </si>
  <si>
    <t>=AVERAGE(I510:J510)</t>
  </si>
  <si>
    <t>=IF(K511=0,"hide","")</t>
  </si>
  <si>
    <t>=D510</t>
  </si>
  <si>
    <t>=NL("sum","Production Order","Quantity","Source No.",$D511,"Equipment Code",$L511,"due date",F$8)/-12</t>
  </si>
  <si>
    <t>=NL("sum","Production Order","Quantity","Source No.",$D511,"Equipment Code",$L511,"due date",G$8)/-12</t>
  </si>
  <si>
    <t>=NL("sum","Production Order","Quantity","Source No.",$D511,"Equipment Code",$L511,"due date",H$8)/-12</t>
  </si>
  <si>
    <t>=NL("sum","Production Order","Quantity","Source No.",$D511,"Equipment Code",$L511,"due date",I$8)/-12</t>
  </si>
  <si>
    <t>=NL("sum","Production Order","Quantity","Source No.",$D511,"Equipment Code",$L511,"due date",J$8)/$J$7</t>
  </si>
  <si>
    <t>=AVERAGE(I511:J511)</t>
  </si>
  <si>
    <t>=IF(K512=0,"hide","")</t>
  </si>
  <si>
    <t>=D511</t>
  </si>
  <si>
    <t>=NL("sum","Production Order","Quantity","Source No.",$D512,"Equipment Code",$L512,"due date",F$8)/-12</t>
  </si>
  <si>
    <t>=NL("sum","Production Order","Quantity","Source No.",$D512,"Equipment Code",$L512,"due date",G$8)/-12</t>
  </si>
  <si>
    <t>=NL("sum","Production Order","Quantity","Source No.",$D512,"Equipment Code",$L512,"due date",H$8)/-12</t>
  </si>
  <si>
    <t>=NL("sum","Production Order","Quantity","Source No.",$D512,"Equipment Code",$L512,"due date",I$8)/-12</t>
  </si>
  <si>
    <t>=NL("sum","Production Order","Quantity","Source No.",$D512,"Equipment Code",$L512,"due date",J$8)/$J$7</t>
  </si>
  <si>
    <t>=AVERAGE(I512:J512)</t>
  </si>
  <si>
    <t>=B509</t>
  </si>
  <si>
    <t>=B513</t>
  </si>
  <si>
    <t>=SUM(F509:F513)</t>
  </si>
  <si>
    <t>=SUM(G509:G513)</t>
  </si>
  <si>
    <t>=SUM(H509:H513)</t>
  </si>
  <si>
    <t>=SUM(I509:I513)</t>
  </si>
  <si>
    <t>=SUM(J509:J513)</t>
  </si>
  <si>
    <t>=IF(K515=0,"hide","")</t>
  </si>
  <si>
    <t>=NL("rows","Production BOM Version","Version Code","Production BOM No.",D515,"status","certified")</t>
  </si>
  <si>
    <t>=NL("sum","Item Ledger Entry","Quantity","Item No.",$D515,"Entry Type","Sale|Consumption","posting date","01/01/19..12/31/19")/-12</t>
  </si>
  <si>
    <t>=NL("sum","Item Ledger Entry","Quantity","Item No.",$D515,"Entry Type","Sale|Consumption","posting date","01/01/20..12/31/20")/-12</t>
  </si>
  <si>
    <t>=NL("sum","Item Ledger Entry","Quantity","Item No.",$D515,"Entry Type","Sale|Consumption","posting date","01/01/21..12/31/21")/-12</t>
  </si>
  <si>
    <t>=NL("sum","Item Ledger Entry","Quantity","Item No.",$D515,"Entry Type","Sale|Consumption","posting date","01/01/22..12/31/22")/-12</t>
  </si>
  <si>
    <t>=NL("sum","Item Ledger Entry","Quantity","Item No.",$D515,"Entry Type","Sale|Consumption","posting date","01/01/23..12/31/23")/$J$7</t>
  </si>
  <si>
    <t>=AVERAGE(I515:J515)</t>
  </si>
  <si>
    <t>=NL(1,"item",L$9,"no.",D515)</t>
  </si>
  <si>
    <t>=NL(1,"item",M$9,"no.",$D515)</t>
  </si>
  <si>
    <t>=NL(1,"item","Units Per Parcel","no.",$D515)</t>
  </si>
  <si>
    <t>=NL(1,"Prod. BOM Equipment","Fixed Prod. Time (Hours)","Production BOM No.",$D515,"version code",$E515,"Resource No.",O$9)</t>
  </si>
  <si>
    <t>=1/O515</t>
  </si>
  <si>
    <t>=IF(NL(1,"Prod. BOM Equipment","Variable Prod. Time (Hours)","Production BOM No.",$D515,"version code",$E515,"Resource No.",$O$9)="",1,NL(1,"Prod. BOM Equipment","Variable Prod. Time (Hours)","Production BOM No.",$D515,"version code",$E515,"Resource No.",$O$9))</t>
  </si>
  <si>
    <t>=1/Q515</t>
  </si>
  <si>
    <t>=R515*N515</t>
  </si>
  <si>
    <t>=IF(K516=0,"hide","")</t>
  </si>
  <si>
    <t>=D515</t>
  </si>
  <si>
    <t>=NL("sum","Production Order","Quantity","Source No.",$D516,"Equipment Code",$L516,"due date",F$8)/-12</t>
  </si>
  <si>
    <t>=NL("sum","Production Order","Quantity","Source No.",$D516,"Equipment Code",$L516,"due date",G$8)/-12</t>
  </si>
  <si>
    <t>=NL("sum","Production Order","Quantity","Source No.",$D516,"Equipment Code",$L516,"due date",H$8)/-12</t>
  </si>
  <si>
    <t>=NL("sum","Production Order","Quantity","Source No.",$D516,"Equipment Code",$L516,"due date",I$8)/-12</t>
  </si>
  <si>
    <t>=NL("sum","Production Order","Quantity","Source No.",$D516,"Equipment Code",$L516,"due date",J$8)/$J$7</t>
  </si>
  <si>
    <t>=AVERAGE(I516:J516)</t>
  </si>
  <si>
    <t>=IF(K517=0,"hide","")</t>
  </si>
  <si>
    <t>=D516</t>
  </si>
  <si>
    <t>=NL("sum","Production Order","Quantity","Source No.",$D517,"Equipment Code",$L517,"due date",F$8)/-12</t>
  </si>
  <si>
    <t>=NL("sum","Production Order","Quantity","Source No.",$D517,"Equipment Code",$L517,"due date",G$8)/-12</t>
  </si>
  <si>
    <t>=NL("sum","Production Order","Quantity","Source No.",$D517,"Equipment Code",$L517,"due date",H$8)/-12</t>
  </si>
  <si>
    <t>=NL("sum","Production Order","Quantity","Source No.",$D517,"Equipment Code",$L517,"due date",I$8)/-12</t>
  </si>
  <si>
    <t>=NL("sum","Production Order","Quantity","Source No.",$D517,"Equipment Code",$L517,"due date",J$8)/$J$7</t>
  </si>
  <si>
    <t>=AVERAGE(I517:J517)</t>
  </si>
  <si>
    <t>=IF(K518=0,"hide","")</t>
  </si>
  <si>
    <t>=D517</t>
  </si>
  <si>
    <t>=NL("sum","Production Order","Quantity","Source No.",$D518,"Equipment Code",$L518,"due date",F$8)/-12</t>
  </si>
  <si>
    <t>=NL("sum","Production Order","Quantity","Source No.",$D518,"Equipment Code",$L518,"due date",G$8)/-12</t>
  </si>
  <si>
    <t>=NL("sum","Production Order","Quantity","Source No.",$D518,"Equipment Code",$L518,"due date",H$8)/-12</t>
  </si>
  <si>
    <t>=NL("sum","Production Order","Quantity","Source No.",$D518,"Equipment Code",$L518,"due date",I$8)/-12</t>
  </si>
  <si>
    <t>=NL("sum","Production Order","Quantity","Source No.",$D518,"Equipment Code",$L518,"due date",J$8)/$J$7</t>
  </si>
  <si>
    <t>=AVERAGE(I518:J518)</t>
  </si>
  <si>
    <t>=IF(K519=0,"hide","")</t>
  </si>
  <si>
    <t>=D518</t>
  </si>
  <si>
    <t>=NL("sum","Production Order","Quantity","Source No.",$D519,"Equipment Code",$L519,"due date",F$8)/-12</t>
  </si>
  <si>
    <t>=NL("sum","Production Order","Quantity","Source No.",$D519,"Equipment Code",$L519,"due date",G$8)/-12</t>
  </si>
  <si>
    <t>=NL("sum","Production Order","Quantity","Source No.",$D519,"Equipment Code",$L519,"due date",H$8)/-12</t>
  </si>
  <si>
    <t>=NL("sum","Production Order","Quantity","Source No.",$D519,"Equipment Code",$L519,"due date",I$8)/-12</t>
  </si>
  <si>
    <t>=NL("sum","Production Order","Quantity","Source No.",$D519,"Equipment Code",$L519,"due date",J$8)/$J$7</t>
  </si>
  <si>
    <t>=AVERAGE(I519:J519)</t>
  </si>
  <si>
    <t>=B516</t>
  </si>
  <si>
    <t>=B520</t>
  </si>
  <si>
    <t>=SUM(F516:F520)</t>
  </si>
  <si>
    <t>=SUM(G516:G520)</t>
  </si>
  <si>
    <t>=SUM(H516:H520)</t>
  </si>
  <si>
    <t>=SUM(I516:I520)</t>
  </si>
  <si>
    <t>=SUM(J516:J520)</t>
  </si>
  <si>
    <t>=IF(K522=0,"hide","")</t>
  </si>
  <si>
    <t>="03499"</t>
  </si>
  <si>
    <t>=NL("rows","Production BOM Version","Version Code","Production BOM No.",D522,"status","certified")</t>
  </si>
  <si>
    <t>=NL("sum","Item Ledger Entry","Quantity","Item No.",$D522,"Entry Type","Sale|Consumption","posting date","01/01/19..12/31/19")/-12</t>
  </si>
  <si>
    <t>=NL("sum","Item Ledger Entry","Quantity","Item No.",$D522,"Entry Type","Sale|Consumption","posting date","01/01/20..12/31/20")/-12</t>
  </si>
  <si>
    <t>=NL("sum","Item Ledger Entry","Quantity","Item No.",$D522,"Entry Type","Sale|Consumption","posting date","01/01/21..12/31/21")/-12</t>
  </si>
  <si>
    <t>=NL("sum","Item Ledger Entry","Quantity","Item No.",$D522,"Entry Type","Sale|Consumption","posting date","01/01/22..12/31/22")/-12</t>
  </si>
  <si>
    <t>=NL("sum","Item Ledger Entry","Quantity","Item No.",$D522,"Entry Type","Sale|Consumption","posting date","01/01/23..12/31/23")/$J$7</t>
  </si>
  <si>
    <t>=AVERAGE(I522:J522)</t>
  </si>
  <si>
    <t>=NL(1,"item",L$9,"no.",D522)</t>
  </si>
  <si>
    <t>=NL(1,"item",M$9,"no.",$D522)</t>
  </si>
  <si>
    <t>=NL(1,"item","Units Per Parcel","no.",$D522)</t>
  </si>
  <si>
    <t>=NL(1,"Prod. BOM Equipment","Fixed Prod. Time (Hours)","Production BOM No.",$D522,"version code",$E522,"Resource No.",O$9)</t>
  </si>
  <si>
    <t>=1/O522</t>
  </si>
  <si>
    <t>=IF(NL(1,"Prod. BOM Equipment","Variable Prod. Time (Hours)","Production BOM No.",$D522,"version code",$E522,"Resource No.",$O$9)="",1,NL(1,"Prod. BOM Equipment","Variable Prod. Time (Hours)","Production BOM No.",$D522,"version code",$E522,"Resource No.",$O$9))</t>
  </si>
  <si>
    <t>=1/Q522</t>
  </si>
  <si>
    <t>=R522*N522</t>
  </si>
  <si>
    <t>=IF(K523=0,"hide","")</t>
  </si>
  <si>
    <t>=D522</t>
  </si>
  <si>
    <t>=NL("sum","Production Order","Quantity","Source No.",$D523,"Equipment Code",$L523,"due date",F$8)/-12</t>
  </si>
  <si>
    <t>=NL("sum","Production Order","Quantity","Source No.",$D523,"Equipment Code",$L523,"due date",G$8)/-12</t>
  </si>
  <si>
    <t>=NL("sum","Production Order","Quantity","Source No.",$D523,"Equipment Code",$L523,"due date",H$8)/-12</t>
  </si>
  <si>
    <t>=NL("sum","Production Order","Quantity","Source No.",$D523,"Equipment Code",$L523,"due date",I$8)/-12</t>
  </si>
  <si>
    <t>=NL("sum","Production Order","Quantity","Source No.",$D523,"Equipment Code",$L523,"due date",J$8)/$J$7</t>
  </si>
  <si>
    <t>=AVERAGE(I523:J523)</t>
  </si>
  <si>
    <t>=IF(K524=0,"hide","")</t>
  </si>
  <si>
    <t>=D523</t>
  </si>
  <si>
    <t>=NL("sum","Production Order","Quantity","Source No.",$D524,"Equipment Code",$L524,"due date",F$8)/-12</t>
  </si>
  <si>
    <t>=NL("sum","Production Order","Quantity","Source No.",$D524,"Equipment Code",$L524,"due date",G$8)/-12</t>
  </si>
  <si>
    <t>=NL("sum","Production Order","Quantity","Source No.",$D524,"Equipment Code",$L524,"due date",H$8)/-12</t>
  </si>
  <si>
    <t>=NL("sum","Production Order","Quantity","Source No.",$D524,"Equipment Code",$L524,"due date",I$8)/-12</t>
  </si>
  <si>
    <t>=NL("sum","Production Order","Quantity","Source No.",$D524,"Equipment Code",$L524,"due date",J$8)/$J$7</t>
  </si>
  <si>
    <t>=AVERAGE(I524:J524)</t>
  </si>
  <si>
    <t>=IF(K525=0,"hide","")</t>
  </si>
  <si>
    <t>=D524</t>
  </si>
  <si>
    <t>=NL("sum","Production Order","Quantity","Source No.",$D525,"Equipment Code",$L525,"due date",F$8)/-12</t>
  </si>
  <si>
    <t>=NL("sum","Production Order","Quantity","Source No.",$D525,"Equipment Code",$L525,"due date",G$8)/-12</t>
  </si>
  <si>
    <t>=NL("sum","Production Order","Quantity","Source No.",$D525,"Equipment Code",$L525,"due date",H$8)/-12</t>
  </si>
  <si>
    <t>=NL("sum","Production Order","Quantity","Source No.",$D525,"Equipment Code",$L525,"due date",I$8)/-12</t>
  </si>
  <si>
    <t>=NL("sum","Production Order","Quantity","Source No.",$D525,"Equipment Code",$L525,"due date",J$8)/$J$7</t>
  </si>
  <si>
    <t>=AVERAGE(I525:J525)</t>
  </si>
  <si>
    <t>=IF(K526=0,"hide","")</t>
  </si>
  <si>
    <t>=D525</t>
  </si>
  <si>
    <t>=NL("sum","Production Order","Quantity","Source No.",$D526,"Equipment Code",$L526,"due date",F$8)/-12</t>
  </si>
  <si>
    <t>=NL("sum","Production Order","Quantity","Source No.",$D526,"Equipment Code",$L526,"due date",G$8)/-12</t>
  </si>
  <si>
    <t>=NL("sum","Production Order","Quantity","Source No.",$D526,"Equipment Code",$L526,"due date",H$8)/-12</t>
  </si>
  <si>
    <t>=NL("sum","Production Order","Quantity","Source No.",$D526,"Equipment Code",$L526,"due date",I$8)/-12</t>
  </si>
  <si>
    <t>=NL("sum","Production Order","Quantity","Source No.",$D526,"Equipment Code",$L526,"due date",J$8)/$J$7</t>
  </si>
  <si>
    <t>=AVERAGE(I526:J526)</t>
  </si>
  <si>
    <t>=B523</t>
  </si>
  <si>
    <t>=B527</t>
  </si>
  <si>
    <t>=SUM(F523:F527)</t>
  </si>
  <si>
    <t>=SUM(G523:G527)</t>
  </si>
  <si>
    <t>=SUM(H523:H527)</t>
  </si>
  <si>
    <t>=SUM(I523:I527)</t>
  </si>
  <si>
    <t>=SUM(J523:J527)</t>
  </si>
  <si>
    <t>=IF(K529=0,"hide","")</t>
  </si>
  <si>
    <t>=NL("rows","Production BOM Version","Version Code","Production BOM No.",D529,"status","certified")</t>
  </si>
  <si>
    <t>=NL("sum","Item Ledger Entry","Quantity","Item No.",$D529,"Entry Type","Sale|Consumption","posting date","01/01/19..12/31/19")/-12</t>
  </si>
  <si>
    <t>=NL("sum","Item Ledger Entry","Quantity","Item No.",$D529,"Entry Type","Sale|Consumption","posting date","01/01/20..12/31/20")/-12</t>
  </si>
  <si>
    <t>=NL("sum","Item Ledger Entry","Quantity","Item No.",$D529,"Entry Type","Sale|Consumption","posting date","01/01/21..12/31/21")/-12</t>
  </si>
  <si>
    <t>=NL("sum","Item Ledger Entry","Quantity","Item No.",$D529,"Entry Type","Sale|Consumption","posting date","01/01/22..12/31/22")/-12</t>
  </si>
  <si>
    <t>=NL("sum","Item Ledger Entry","Quantity","Item No.",$D529,"Entry Type","Sale|Consumption","posting date","01/01/23..12/31/23")/$J$7</t>
  </si>
  <si>
    <t>=AVERAGE(I529:J529)</t>
  </si>
  <si>
    <t>=NL(1,"item",L$9,"no.",D529)</t>
  </si>
  <si>
    <t>=NL(1,"item",M$9,"no.",$D529)</t>
  </si>
  <si>
    <t>=NL(1,"item","Units Per Parcel","no.",$D529)</t>
  </si>
  <si>
    <t>=NL(1,"Prod. BOM Equipment","Fixed Prod. Time (Hours)","Production BOM No.",$D529,"version code",$E529,"Resource No.",O$9)</t>
  </si>
  <si>
    <t>=1/O529</t>
  </si>
  <si>
    <t>=IF(NL(1,"Prod. BOM Equipment","Variable Prod. Time (Hours)","Production BOM No.",$D529,"version code",$E529,"Resource No.",$O$9)="",1,NL(1,"Prod. BOM Equipment","Variable Prod. Time (Hours)","Production BOM No.",$D529,"version code",$E529,"Resource No.",$O$9))</t>
  </si>
  <si>
    <t>=1/Q529</t>
  </si>
  <si>
    <t>=R529*N529</t>
  </si>
  <si>
    <t>=IF(K530=0,"hide","")</t>
  </si>
  <si>
    <t>=D529</t>
  </si>
  <si>
    <t>=NL("sum","Production Order","Quantity","Source No.",$D530,"Equipment Code",$L530,"due date",F$8)/-12</t>
  </si>
  <si>
    <t>=NL("sum","Production Order","Quantity","Source No.",$D530,"Equipment Code",$L530,"due date",G$8)/-12</t>
  </si>
  <si>
    <t>=NL("sum","Production Order","Quantity","Source No.",$D530,"Equipment Code",$L530,"due date",H$8)/-12</t>
  </si>
  <si>
    <t>=NL("sum","Production Order","Quantity","Source No.",$D530,"Equipment Code",$L530,"due date",I$8)/-12</t>
  </si>
  <si>
    <t>=NL("sum","Production Order","Quantity","Source No.",$D530,"Equipment Code",$L530,"due date",J$8)/$J$7</t>
  </si>
  <si>
    <t>=AVERAGE(I530:J530)</t>
  </si>
  <si>
    <t>=IF(K531=0,"hide","")</t>
  </si>
  <si>
    <t>=D530</t>
  </si>
  <si>
    <t>=NL("sum","Production Order","Quantity","Source No.",$D531,"Equipment Code",$L531,"due date",F$8)/-12</t>
  </si>
  <si>
    <t>=NL("sum","Production Order","Quantity","Source No.",$D531,"Equipment Code",$L531,"due date",G$8)/-12</t>
  </si>
  <si>
    <t>=NL("sum","Production Order","Quantity","Source No.",$D531,"Equipment Code",$L531,"due date",H$8)/-12</t>
  </si>
  <si>
    <t>=NL("sum","Production Order","Quantity","Source No.",$D531,"Equipment Code",$L531,"due date",I$8)/-12</t>
  </si>
  <si>
    <t>=NL("sum","Production Order","Quantity","Source No.",$D531,"Equipment Code",$L531,"due date",J$8)/$J$7</t>
  </si>
  <si>
    <t>=AVERAGE(I531:J531)</t>
  </si>
  <si>
    <t>=IF(K532=0,"hide","")</t>
  </si>
  <si>
    <t>=D531</t>
  </si>
  <si>
    <t>=NL("sum","Production Order","Quantity","Source No.",$D532,"Equipment Code",$L532,"due date",F$8)/-12</t>
  </si>
  <si>
    <t>=NL("sum","Production Order","Quantity","Source No.",$D532,"Equipment Code",$L532,"due date",G$8)/-12</t>
  </si>
  <si>
    <t>=NL("sum","Production Order","Quantity","Source No.",$D532,"Equipment Code",$L532,"due date",H$8)/-12</t>
  </si>
  <si>
    <t>=NL("sum","Production Order","Quantity","Source No.",$D532,"Equipment Code",$L532,"due date",I$8)/-12</t>
  </si>
  <si>
    <t>=NL("sum","Production Order","Quantity","Source No.",$D532,"Equipment Code",$L532,"due date",J$8)/$J$7</t>
  </si>
  <si>
    <t>=AVERAGE(I532:J532)</t>
  </si>
  <si>
    <t>=IF(K533=0,"hide","")</t>
  </si>
  <si>
    <t>=D532</t>
  </si>
  <si>
    <t>=NL("sum","Production Order","Quantity","Source No.",$D533,"Equipment Code",$L533,"due date",F$8)/-12</t>
  </si>
  <si>
    <t>=NL("sum","Production Order","Quantity","Source No.",$D533,"Equipment Code",$L533,"due date",G$8)/-12</t>
  </si>
  <si>
    <t>=NL("sum","Production Order","Quantity","Source No.",$D533,"Equipment Code",$L533,"due date",H$8)/-12</t>
  </si>
  <si>
    <t>=NL("sum","Production Order","Quantity","Source No.",$D533,"Equipment Code",$L533,"due date",I$8)/-12</t>
  </si>
  <si>
    <t>=NL("sum","Production Order","Quantity","Source No.",$D533,"Equipment Code",$L533,"due date",J$8)/$J$7</t>
  </si>
  <si>
    <t>=AVERAGE(I533:J533)</t>
  </si>
  <si>
    <t>=B530</t>
  </si>
  <si>
    <t>=B534</t>
  </si>
  <si>
    <t>=SUM(F530:F534)</t>
  </si>
  <si>
    <t>=SUM(G530:G534)</t>
  </si>
  <si>
    <t>=SUM(H530:H534)</t>
  </si>
  <si>
    <t>=SUM(I530:I534)</t>
  </si>
  <si>
    <t>=SUM(J530:J534)</t>
  </si>
  <si>
    <t>=IF(K536=0,"hide","")</t>
  </si>
  <si>
    <t>="03503"</t>
  </si>
  <si>
    <t>=NL("rows","Production BOM Version","Version Code","Production BOM No.",D536,"status","certified")</t>
  </si>
  <si>
    <t>=NL("sum","Item Ledger Entry","Quantity","Item No.",$D536,"Entry Type","Sale|Consumption","posting date","01/01/19..12/31/19")/-12</t>
  </si>
  <si>
    <t>=NL("sum","Item Ledger Entry","Quantity","Item No.",$D536,"Entry Type","Sale|Consumption","posting date","01/01/20..12/31/20")/-12</t>
  </si>
  <si>
    <t>=NL("sum","Item Ledger Entry","Quantity","Item No.",$D536,"Entry Type","Sale|Consumption","posting date","01/01/21..12/31/21")/-12</t>
  </si>
  <si>
    <t>=NL("sum","Item Ledger Entry","Quantity","Item No.",$D536,"Entry Type","Sale|Consumption","posting date","01/01/22..12/31/22")/-12</t>
  </si>
  <si>
    <t>=NL("sum","Item Ledger Entry","Quantity","Item No.",$D536,"Entry Type","Sale|Consumption","posting date","01/01/23..12/31/23")/$J$7</t>
  </si>
  <si>
    <t>=AVERAGE(I536:J536)</t>
  </si>
  <si>
    <t>=NL(1,"item",L$9,"no.",D536)</t>
  </si>
  <si>
    <t>=NL(1,"item",M$9,"no.",$D536)</t>
  </si>
  <si>
    <t>=NL(1,"item","Units Per Parcel","no.",$D536)</t>
  </si>
  <si>
    <t>=NL(1,"Prod. BOM Equipment","Fixed Prod. Time (Hours)","Production BOM No.",$D536,"version code",$E536,"Resource No.",O$9)</t>
  </si>
  <si>
    <t>=1/O536</t>
  </si>
  <si>
    <t>=IF(NL(1,"Prod. BOM Equipment","Variable Prod. Time (Hours)","Production BOM No.",$D536,"version code",$E536,"Resource No.",$O$9)="",1,NL(1,"Prod. BOM Equipment","Variable Prod. Time (Hours)","Production BOM No.",$D536,"version code",$E536,"Resource No.",$O$9))</t>
  </si>
  <si>
    <t>=1/Q536</t>
  </si>
  <si>
    <t>=R536*N536</t>
  </si>
  <si>
    <t>=IF(K537=0,"hide","")</t>
  </si>
  <si>
    <t>=D536</t>
  </si>
  <si>
    <t>=NL("sum","Production Order","Quantity","Source No.",$D537,"Equipment Code",$L537,"due date",F$8)/-12</t>
  </si>
  <si>
    <t>=NL("sum","Production Order","Quantity","Source No.",$D537,"Equipment Code",$L537,"due date",G$8)/-12</t>
  </si>
  <si>
    <t>=NL("sum","Production Order","Quantity","Source No.",$D537,"Equipment Code",$L537,"due date",H$8)/-12</t>
  </si>
  <si>
    <t>=NL("sum","Production Order","Quantity","Source No.",$D537,"Equipment Code",$L537,"due date",I$8)/-12</t>
  </si>
  <si>
    <t>=NL("sum","Production Order","Quantity","Source No.",$D537,"Equipment Code",$L537,"due date",J$8)/$J$7</t>
  </si>
  <si>
    <t>=AVERAGE(I537:J537)</t>
  </si>
  <si>
    <t>=IF(K538=0,"hide","")</t>
  </si>
  <si>
    <t>=D537</t>
  </si>
  <si>
    <t>=NL("sum","Production Order","Quantity","Source No.",$D538,"Equipment Code",$L538,"due date",F$8)/-12</t>
  </si>
  <si>
    <t>=NL("sum","Production Order","Quantity","Source No.",$D538,"Equipment Code",$L538,"due date",G$8)/-12</t>
  </si>
  <si>
    <t>=NL("sum","Production Order","Quantity","Source No.",$D538,"Equipment Code",$L538,"due date",H$8)/-12</t>
  </si>
  <si>
    <t>=NL("sum","Production Order","Quantity","Source No.",$D538,"Equipment Code",$L538,"due date",I$8)/-12</t>
  </si>
  <si>
    <t>=NL("sum","Production Order","Quantity","Source No.",$D538,"Equipment Code",$L538,"due date",J$8)/$J$7</t>
  </si>
  <si>
    <t>=AVERAGE(I538:J538)</t>
  </si>
  <si>
    <t>=IF(K539=0,"hide","")</t>
  </si>
  <si>
    <t>=D538</t>
  </si>
  <si>
    <t>=NL("sum","Production Order","Quantity","Source No.",$D539,"Equipment Code",$L539,"due date",F$8)/-12</t>
  </si>
  <si>
    <t>=NL("sum","Production Order","Quantity","Source No.",$D539,"Equipment Code",$L539,"due date",G$8)/-12</t>
  </si>
  <si>
    <t>=NL("sum","Production Order","Quantity","Source No.",$D539,"Equipment Code",$L539,"due date",H$8)/-12</t>
  </si>
  <si>
    <t>=NL("sum","Production Order","Quantity","Source No.",$D539,"Equipment Code",$L539,"due date",I$8)/-12</t>
  </si>
  <si>
    <t>=NL("sum","Production Order","Quantity","Source No.",$D539,"Equipment Code",$L539,"due date",J$8)/$J$7</t>
  </si>
  <si>
    <t>=AVERAGE(I539:J539)</t>
  </si>
  <si>
    <t>=IF(K540=0,"hide","")</t>
  </si>
  <si>
    <t>=D539</t>
  </si>
  <si>
    <t>=NL("sum","Production Order","Quantity","Source No.",$D540,"Equipment Code",$L540,"due date",F$8)/-12</t>
  </si>
  <si>
    <t>=NL("sum","Production Order","Quantity","Source No.",$D540,"Equipment Code",$L540,"due date",G$8)/-12</t>
  </si>
  <si>
    <t>=NL("sum","Production Order","Quantity","Source No.",$D540,"Equipment Code",$L540,"due date",H$8)/-12</t>
  </si>
  <si>
    <t>=NL("sum","Production Order","Quantity","Source No.",$D540,"Equipment Code",$L540,"due date",I$8)/-12</t>
  </si>
  <si>
    <t>=NL("sum","Production Order","Quantity","Source No.",$D540,"Equipment Code",$L540,"due date",J$8)/$J$7</t>
  </si>
  <si>
    <t>=AVERAGE(I540:J540)</t>
  </si>
  <si>
    <t>=B537</t>
  </si>
  <si>
    <t>=B541</t>
  </si>
  <si>
    <t>=SUM(F537:F541)</t>
  </si>
  <si>
    <t>=SUM(G537:G541)</t>
  </si>
  <si>
    <t>=SUM(H537:H541)</t>
  </si>
  <si>
    <t>=SUM(I537:I541)</t>
  </si>
  <si>
    <t>=SUM(J537:J541)</t>
  </si>
  <si>
    <t>=IF(K543=0,"hide","")</t>
  </si>
  <si>
    <t>="03506"</t>
  </si>
  <si>
    <t>=NL("rows","Production BOM Version","Version Code","Production BOM No.",D543,"status","certified")</t>
  </si>
  <si>
    <t>=NL("sum","Item Ledger Entry","Quantity","Item No.",$D543,"Entry Type","Sale|Consumption","posting date","01/01/19..12/31/19")/-12</t>
  </si>
  <si>
    <t>=NL("sum","Item Ledger Entry","Quantity","Item No.",$D543,"Entry Type","Sale|Consumption","posting date","01/01/20..12/31/20")/-12</t>
  </si>
  <si>
    <t>=NL("sum","Item Ledger Entry","Quantity","Item No.",$D543,"Entry Type","Sale|Consumption","posting date","01/01/21..12/31/21")/-12</t>
  </si>
  <si>
    <t>=NL("sum","Item Ledger Entry","Quantity","Item No.",$D543,"Entry Type","Sale|Consumption","posting date","01/01/22..12/31/22")/-12</t>
  </si>
  <si>
    <t>=NL("sum","Item Ledger Entry","Quantity","Item No.",$D543,"Entry Type","Sale|Consumption","posting date","01/01/23..12/31/23")/$J$7</t>
  </si>
  <si>
    <t>=AVERAGE(I543:J543)</t>
  </si>
  <si>
    <t>=NL(1,"item",L$9,"no.",D543)</t>
  </si>
  <si>
    <t>=NL(1,"item",M$9,"no.",$D543)</t>
  </si>
  <si>
    <t>=NL(1,"item","Units Per Parcel","no.",$D543)</t>
  </si>
  <si>
    <t>=NL(1,"Prod. BOM Equipment","Fixed Prod. Time (Hours)","Production BOM No.",$D543,"version code",$E543,"Resource No.",O$9)</t>
  </si>
  <si>
    <t>=1/O543</t>
  </si>
  <si>
    <t>=IF(NL(1,"Prod. BOM Equipment","Variable Prod. Time (Hours)","Production BOM No.",$D543,"version code",$E543,"Resource No.",$O$9)="",1,NL(1,"Prod. BOM Equipment","Variable Prod. Time (Hours)","Production BOM No.",$D543,"version code",$E543,"Resource No.",$O$9))</t>
  </si>
  <si>
    <t>=1/Q543</t>
  </si>
  <si>
    <t>=R543*N543</t>
  </si>
  <si>
    <t>=IF(K544=0,"hide","")</t>
  </si>
  <si>
    <t>=D543</t>
  </si>
  <si>
    <t>=NL("sum","Production Order","Quantity","Source No.",$D544,"Equipment Code",$L544,"due date",F$8)/-12</t>
  </si>
  <si>
    <t>=NL("sum","Production Order","Quantity","Source No.",$D544,"Equipment Code",$L544,"due date",G$8)/-12</t>
  </si>
  <si>
    <t>=NL("sum","Production Order","Quantity","Source No.",$D544,"Equipment Code",$L544,"due date",H$8)/-12</t>
  </si>
  <si>
    <t>=NL("sum","Production Order","Quantity","Source No.",$D544,"Equipment Code",$L544,"due date",I$8)/-12</t>
  </si>
  <si>
    <t>=NL("sum","Production Order","Quantity","Source No.",$D544,"Equipment Code",$L544,"due date",J$8)/$J$7</t>
  </si>
  <si>
    <t>=AVERAGE(I544:J544)</t>
  </si>
  <si>
    <t>=IF(K545=0,"hide","")</t>
  </si>
  <si>
    <t>=D544</t>
  </si>
  <si>
    <t>=NL("sum","Production Order","Quantity","Source No.",$D545,"Equipment Code",$L545,"due date",F$8)/-12</t>
  </si>
  <si>
    <t>=NL("sum","Production Order","Quantity","Source No.",$D545,"Equipment Code",$L545,"due date",G$8)/-12</t>
  </si>
  <si>
    <t>=NL("sum","Production Order","Quantity","Source No.",$D545,"Equipment Code",$L545,"due date",H$8)/-12</t>
  </si>
  <si>
    <t>=NL("sum","Production Order","Quantity","Source No.",$D545,"Equipment Code",$L545,"due date",I$8)/-12</t>
  </si>
  <si>
    <t>=NL("sum","Production Order","Quantity","Source No.",$D545,"Equipment Code",$L545,"due date",J$8)/$J$7</t>
  </si>
  <si>
    <t>=AVERAGE(I545:J545)</t>
  </si>
  <si>
    <t>=IF(K546=0,"hide","")</t>
  </si>
  <si>
    <t>=D545</t>
  </si>
  <si>
    <t>=NL("sum","Production Order","Quantity","Source No.",$D546,"Equipment Code",$L546,"due date",F$8)/-12</t>
  </si>
  <si>
    <t>=NL("sum","Production Order","Quantity","Source No.",$D546,"Equipment Code",$L546,"due date",G$8)/-12</t>
  </si>
  <si>
    <t>=NL("sum","Production Order","Quantity","Source No.",$D546,"Equipment Code",$L546,"due date",H$8)/-12</t>
  </si>
  <si>
    <t>=NL("sum","Production Order","Quantity","Source No.",$D546,"Equipment Code",$L546,"due date",I$8)/-12</t>
  </si>
  <si>
    <t>=NL("sum","Production Order","Quantity","Source No.",$D546,"Equipment Code",$L546,"due date",J$8)/$J$7</t>
  </si>
  <si>
    <t>=AVERAGE(I546:J546)</t>
  </si>
  <si>
    <t>=IF(K547=0,"hide","")</t>
  </si>
  <si>
    <t>=D546</t>
  </si>
  <si>
    <t>=NL("sum","Production Order","Quantity","Source No.",$D547,"Equipment Code",$L547,"due date",F$8)/-12</t>
  </si>
  <si>
    <t>=NL("sum","Production Order","Quantity","Source No.",$D547,"Equipment Code",$L547,"due date",G$8)/-12</t>
  </si>
  <si>
    <t>=NL("sum","Production Order","Quantity","Source No.",$D547,"Equipment Code",$L547,"due date",H$8)/-12</t>
  </si>
  <si>
    <t>=NL("sum","Production Order","Quantity","Source No.",$D547,"Equipment Code",$L547,"due date",I$8)/-12</t>
  </si>
  <si>
    <t>=NL("sum","Production Order","Quantity","Source No.",$D547,"Equipment Code",$L547,"due date",J$8)/$J$7</t>
  </si>
  <si>
    <t>=AVERAGE(I547:J547)</t>
  </si>
  <si>
    <t>=B544</t>
  </si>
  <si>
    <t>=B548</t>
  </si>
  <si>
    <t>=SUM(F544:F548)</t>
  </si>
  <si>
    <t>=SUM(G544:G548)</t>
  </si>
  <si>
    <t>=SUM(H544:H548)</t>
  </si>
  <si>
    <t>=SUM(I544:I548)</t>
  </si>
  <si>
    <t>=SUM(J544:J548)</t>
  </si>
  <si>
    <t>=IF(K550=0,"hide","")</t>
  </si>
  <si>
    <t>="035405"</t>
  </si>
  <si>
    <t>=NL("rows","Production BOM Version","Version Code","Production BOM No.",D550,"status","certified")</t>
  </si>
  <si>
    <t>=NL("sum","Item Ledger Entry","Quantity","Item No.",$D550,"Entry Type","Sale|Consumption","posting date","01/01/19..12/31/19")/-12</t>
  </si>
  <si>
    <t>=NL("sum","Item Ledger Entry","Quantity","Item No.",$D550,"Entry Type","Sale|Consumption","posting date","01/01/20..12/31/20")/-12</t>
  </si>
  <si>
    <t>=NL("sum","Item Ledger Entry","Quantity","Item No.",$D550,"Entry Type","Sale|Consumption","posting date","01/01/21..12/31/21")/-12</t>
  </si>
  <si>
    <t>=NL("sum","Item Ledger Entry","Quantity","Item No.",$D550,"Entry Type","Sale|Consumption","posting date","01/01/22..12/31/22")/-12</t>
  </si>
  <si>
    <t>=NL("sum","Item Ledger Entry","Quantity","Item No.",$D550,"Entry Type","Sale|Consumption","posting date","01/01/23..12/31/23")/$J$7</t>
  </si>
  <si>
    <t>=AVERAGE(I550:J550)</t>
  </si>
  <si>
    <t>=NL(1,"item",L$9,"no.",D550)</t>
  </si>
  <si>
    <t>=NL(1,"item",M$9,"no.",$D550)</t>
  </si>
  <si>
    <t>=NL(1,"item","Units Per Parcel","no.",$D550)</t>
  </si>
  <si>
    <t>=NL(1,"Prod. BOM Equipment","Fixed Prod. Time (Hours)","Production BOM No.",$D550,"version code",$E550,"Resource No.",O$9)</t>
  </si>
  <si>
    <t>=1/O550</t>
  </si>
  <si>
    <t>=IF(NL(1,"Prod. BOM Equipment","Variable Prod. Time (Hours)","Production BOM No.",$D550,"version code",$E550,"Resource No.",$O$9)="",1,NL(1,"Prod. BOM Equipment","Variable Prod. Time (Hours)","Production BOM No.",$D550,"version code",$E550,"Resource No.",$O$9))</t>
  </si>
  <si>
    <t>=1/Q550</t>
  </si>
  <si>
    <t>=R550*N550</t>
  </si>
  <si>
    <t>=IF(K551=0,"hide","")</t>
  </si>
  <si>
    <t>=D550</t>
  </si>
  <si>
    <t>=NL("sum","Production Order","Quantity","Source No.",$D551,"Equipment Code",$L551,"due date",F$8)/-12</t>
  </si>
  <si>
    <t>=NL("sum","Production Order","Quantity","Source No.",$D551,"Equipment Code",$L551,"due date",G$8)/-12</t>
  </si>
  <si>
    <t>=NL("sum","Production Order","Quantity","Source No.",$D551,"Equipment Code",$L551,"due date",H$8)/-12</t>
  </si>
  <si>
    <t>=NL("sum","Production Order","Quantity","Source No.",$D551,"Equipment Code",$L551,"due date",I$8)/-12</t>
  </si>
  <si>
    <t>=NL("sum","Production Order","Quantity","Source No.",$D551,"Equipment Code",$L551,"due date",J$8)/$J$7</t>
  </si>
  <si>
    <t>=AVERAGE(I551:J551)</t>
  </si>
  <si>
    <t>=IF(K552=0,"hide","")</t>
  </si>
  <si>
    <t>=D551</t>
  </si>
  <si>
    <t>=NL("sum","Production Order","Quantity","Source No.",$D552,"Equipment Code",$L552,"due date",F$8)/-12</t>
  </si>
  <si>
    <t>=NL("sum","Production Order","Quantity","Source No.",$D552,"Equipment Code",$L552,"due date",G$8)/-12</t>
  </si>
  <si>
    <t>=NL("sum","Production Order","Quantity","Source No.",$D552,"Equipment Code",$L552,"due date",H$8)/-12</t>
  </si>
  <si>
    <t>=NL("sum","Production Order","Quantity","Source No.",$D552,"Equipment Code",$L552,"due date",I$8)/-12</t>
  </si>
  <si>
    <t>=NL("sum","Production Order","Quantity","Source No.",$D552,"Equipment Code",$L552,"due date",J$8)/$J$7</t>
  </si>
  <si>
    <t>=AVERAGE(I552:J552)</t>
  </si>
  <si>
    <t>=IF(K553=0,"hide","")</t>
  </si>
  <si>
    <t>=D552</t>
  </si>
  <si>
    <t>=NL("sum","Production Order","Quantity","Source No.",$D553,"Equipment Code",$L553,"due date",F$8)/-12</t>
  </si>
  <si>
    <t>=NL("sum","Production Order","Quantity","Source No.",$D553,"Equipment Code",$L553,"due date",G$8)/-12</t>
  </si>
  <si>
    <t>=NL("sum","Production Order","Quantity","Source No.",$D553,"Equipment Code",$L553,"due date",H$8)/-12</t>
  </si>
  <si>
    <t>=NL("sum","Production Order","Quantity","Source No.",$D553,"Equipment Code",$L553,"due date",I$8)/-12</t>
  </si>
  <si>
    <t>=NL("sum","Production Order","Quantity","Source No.",$D553,"Equipment Code",$L553,"due date",J$8)/$J$7</t>
  </si>
  <si>
    <t>=AVERAGE(I553:J553)</t>
  </si>
  <si>
    <t>=IF(K554=0,"hide","")</t>
  </si>
  <si>
    <t>=D553</t>
  </si>
  <si>
    <t>=NL("sum","Production Order","Quantity","Source No.",$D554,"Equipment Code",$L554,"due date",F$8)/-12</t>
  </si>
  <si>
    <t>=NL("sum","Production Order","Quantity","Source No.",$D554,"Equipment Code",$L554,"due date",G$8)/-12</t>
  </si>
  <si>
    <t>=NL("sum","Production Order","Quantity","Source No.",$D554,"Equipment Code",$L554,"due date",H$8)/-12</t>
  </si>
  <si>
    <t>=NL("sum","Production Order","Quantity","Source No.",$D554,"Equipment Code",$L554,"due date",I$8)/-12</t>
  </si>
  <si>
    <t>=NL("sum","Production Order","Quantity","Source No.",$D554,"Equipment Code",$L554,"due date",J$8)/$J$7</t>
  </si>
  <si>
    <t>=AVERAGE(I554:J554)</t>
  </si>
  <si>
    <t>=B551</t>
  </si>
  <si>
    <t>=B555</t>
  </si>
  <si>
    <t>=SUM(F551:F555)</t>
  </si>
  <si>
    <t>=SUM(G551:G555)</t>
  </si>
  <si>
    <t>=SUM(H551:H555)</t>
  </si>
  <si>
    <t>=SUM(I551:I555)</t>
  </si>
  <si>
    <t>=SUM(J551:J555)</t>
  </si>
  <si>
    <t>=IF(K557=0,"hide","")</t>
  </si>
  <si>
    <t>="035425"</t>
  </si>
  <si>
    <t>=NL("rows","Production BOM Version","Version Code","Production BOM No.",D557,"status","certified")</t>
  </si>
  <si>
    <t>=NL("sum","Item Ledger Entry","Quantity","Item No.",$D557,"Entry Type","Sale|Consumption","posting date","01/01/19..12/31/19")/-12</t>
  </si>
  <si>
    <t>=NL("sum","Item Ledger Entry","Quantity","Item No.",$D557,"Entry Type","Sale|Consumption","posting date","01/01/20..12/31/20")/-12</t>
  </si>
  <si>
    <t>=NL("sum","Item Ledger Entry","Quantity","Item No.",$D557,"Entry Type","Sale|Consumption","posting date","01/01/21..12/31/21")/-12</t>
  </si>
  <si>
    <t>=NL("sum","Item Ledger Entry","Quantity","Item No.",$D557,"Entry Type","Sale|Consumption","posting date","01/01/22..12/31/22")/-12</t>
  </si>
  <si>
    <t>=NL("sum","Item Ledger Entry","Quantity","Item No.",$D557,"Entry Type","Sale|Consumption","posting date","01/01/23..12/31/23")/$J$7</t>
  </si>
  <si>
    <t>=AVERAGE(I557:J557)</t>
  </si>
  <si>
    <t>=NL(1,"item",L$9,"no.",D557)</t>
  </si>
  <si>
    <t>=NL(1,"item",M$9,"no.",$D557)</t>
  </si>
  <si>
    <t>=NL(1,"item","Units Per Parcel","no.",$D557)</t>
  </si>
  <si>
    <t>=NL(1,"Prod. BOM Equipment","Fixed Prod. Time (Hours)","Production BOM No.",$D557,"version code",$E557,"Resource No.",O$9)</t>
  </si>
  <si>
    <t>=1/O557</t>
  </si>
  <si>
    <t>=IF(NL(1,"Prod. BOM Equipment","Variable Prod. Time (Hours)","Production BOM No.",$D557,"version code",$E557,"Resource No.",$O$9)="",1,NL(1,"Prod. BOM Equipment","Variable Prod. Time (Hours)","Production BOM No.",$D557,"version code",$E557,"Resource No.",$O$9))</t>
  </si>
  <si>
    <t>=1/Q557</t>
  </si>
  <si>
    <t>=R557*N557</t>
  </si>
  <si>
    <t>=IF(K558=0,"hide","")</t>
  </si>
  <si>
    <t>=D557</t>
  </si>
  <si>
    <t>=NL("sum","Production Order","Quantity","Source No.",$D558,"Equipment Code",$L558,"due date",F$8)/-12</t>
  </si>
  <si>
    <t>=NL("sum","Production Order","Quantity","Source No.",$D558,"Equipment Code",$L558,"due date",G$8)/-12</t>
  </si>
  <si>
    <t>=NL("sum","Production Order","Quantity","Source No.",$D558,"Equipment Code",$L558,"due date",H$8)/-12</t>
  </si>
  <si>
    <t>=NL("sum","Production Order","Quantity","Source No.",$D558,"Equipment Code",$L558,"due date",I$8)/-12</t>
  </si>
  <si>
    <t>=NL("sum","Production Order","Quantity","Source No.",$D558,"Equipment Code",$L558,"due date",J$8)/$J$7</t>
  </si>
  <si>
    <t>=AVERAGE(I558:J558)</t>
  </si>
  <si>
    <t>=IF(K559=0,"hide","")</t>
  </si>
  <si>
    <t>=D558</t>
  </si>
  <si>
    <t>=NL("sum","Production Order","Quantity","Source No.",$D559,"Equipment Code",$L559,"due date",F$8)/-12</t>
  </si>
  <si>
    <t>=NL("sum","Production Order","Quantity","Source No.",$D559,"Equipment Code",$L559,"due date",G$8)/-12</t>
  </si>
  <si>
    <t>=NL("sum","Production Order","Quantity","Source No.",$D559,"Equipment Code",$L559,"due date",H$8)/-12</t>
  </si>
  <si>
    <t>=NL("sum","Production Order","Quantity","Source No.",$D559,"Equipment Code",$L559,"due date",I$8)/-12</t>
  </si>
  <si>
    <t>=NL("sum","Production Order","Quantity","Source No.",$D559,"Equipment Code",$L559,"due date",J$8)/$J$7</t>
  </si>
  <si>
    <t>=AVERAGE(I559:J559)</t>
  </si>
  <si>
    <t>=IF(K560=0,"hide","")</t>
  </si>
  <si>
    <t>=D559</t>
  </si>
  <si>
    <t>=NL("sum","Production Order","Quantity","Source No.",$D560,"Equipment Code",$L560,"due date",F$8)/-12</t>
  </si>
  <si>
    <t>=NL("sum","Production Order","Quantity","Source No.",$D560,"Equipment Code",$L560,"due date",G$8)/-12</t>
  </si>
  <si>
    <t>=NL("sum","Production Order","Quantity","Source No.",$D560,"Equipment Code",$L560,"due date",H$8)/-12</t>
  </si>
  <si>
    <t>=NL("sum","Production Order","Quantity","Source No.",$D560,"Equipment Code",$L560,"due date",I$8)/-12</t>
  </si>
  <si>
    <t>=NL("sum","Production Order","Quantity","Source No.",$D560,"Equipment Code",$L560,"due date",J$8)/$J$7</t>
  </si>
  <si>
    <t>=AVERAGE(I560:J560)</t>
  </si>
  <si>
    <t>=IF(K561=0,"hide","")</t>
  </si>
  <si>
    <t>=D560</t>
  </si>
  <si>
    <t>=NL("sum","Production Order","Quantity","Source No.",$D561,"Equipment Code",$L561,"due date",F$8)/-12</t>
  </si>
  <si>
    <t>=NL("sum","Production Order","Quantity","Source No.",$D561,"Equipment Code",$L561,"due date",G$8)/-12</t>
  </si>
  <si>
    <t>=NL("sum","Production Order","Quantity","Source No.",$D561,"Equipment Code",$L561,"due date",H$8)/-12</t>
  </si>
  <si>
    <t>=NL("sum","Production Order","Quantity","Source No.",$D561,"Equipment Code",$L561,"due date",I$8)/-12</t>
  </si>
  <si>
    <t>=NL("sum","Production Order","Quantity","Source No.",$D561,"Equipment Code",$L561,"due date",J$8)/$J$7</t>
  </si>
  <si>
    <t>=AVERAGE(I561:J561)</t>
  </si>
  <si>
    <t>=B558</t>
  </si>
  <si>
    <t>=B562</t>
  </si>
  <si>
    <t>=SUM(F558:F562)</t>
  </si>
  <si>
    <t>=SUM(G558:G562)</t>
  </si>
  <si>
    <t>=SUM(H558:H562)</t>
  </si>
  <si>
    <t>=SUM(I558:I562)</t>
  </si>
  <si>
    <t>=SUM(J558:J562)</t>
  </si>
  <si>
    <t>=IF(K564=0,"hide","")</t>
  </si>
  <si>
    <t>="03702"</t>
  </si>
  <si>
    <t>=NL("rows","Production BOM Version","Version Code","Production BOM No.",D564,"status","certified")</t>
  </si>
  <si>
    <t>=NL("sum","Item Ledger Entry","Quantity","Item No.",$D564,"Entry Type","Sale|Consumption","posting date","01/01/19..12/31/19")/-12</t>
  </si>
  <si>
    <t>=NL("sum","Item Ledger Entry","Quantity","Item No.",$D564,"Entry Type","Sale|Consumption","posting date","01/01/20..12/31/20")/-12</t>
  </si>
  <si>
    <t>=NL("sum","Item Ledger Entry","Quantity","Item No.",$D564,"Entry Type","Sale|Consumption","posting date","01/01/21..12/31/21")/-12</t>
  </si>
  <si>
    <t>=NL("sum","Item Ledger Entry","Quantity","Item No.",$D564,"Entry Type","Sale|Consumption","posting date","01/01/22..12/31/22")/-12</t>
  </si>
  <si>
    <t>=NL("sum","Item Ledger Entry","Quantity","Item No.",$D564,"Entry Type","Sale|Consumption","posting date","01/01/23..12/31/23")/$J$7</t>
  </si>
  <si>
    <t>=AVERAGE(I564:J564)</t>
  </si>
  <si>
    <t>=NL(1,"item",L$9,"no.",D564)</t>
  </si>
  <si>
    <t>=NL(1,"item",M$9,"no.",$D564)</t>
  </si>
  <si>
    <t>=NL(1,"item","Units Per Parcel","no.",$D564)</t>
  </si>
  <si>
    <t>=NL(1,"Prod. BOM Equipment","Fixed Prod. Time (Hours)","Production BOM No.",$D564,"version code",$E564,"Resource No.",O$9)</t>
  </si>
  <si>
    <t>=1/O564</t>
  </si>
  <si>
    <t>=IF(NL(1,"Prod. BOM Equipment","Variable Prod. Time (Hours)","Production BOM No.",$D564,"version code",$E564,"Resource No.",$O$9)="",1,NL(1,"Prod. BOM Equipment","Variable Prod. Time (Hours)","Production BOM No.",$D564,"version code",$E564,"Resource No.",$O$9))</t>
  </si>
  <si>
    <t>=1/Q564</t>
  </si>
  <si>
    <t>=R564*N564</t>
  </si>
  <si>
    <t>=IF(K565=0,"hide","")</t>
  </si>
  <si>
    <t>=D564</t>
  </si>
  <si>
    <t>=NL("sum","Production Order","Quantity","Source No.",$D565,"Equipment Code",$L565,"due date",F$8)/-12</t>
  </si>
  <si>
    <t>=NL("sum","Production Order","Quantity","Source No.",$D565,"Equipment Code",$L565,"due date",G$8)/-12</t>
  </si>
  <si>
    <t>=NL("sum","Production Order","Quantity","Source No.",$D565,"Equipment Code",$L565,"due date",H$8)/-12</t>
  </si>
  <si>
    <t>=NL("sum","Production Order","Quantity","Source No.",$D565,"Equipment Code",$L565,"due date",I$8)/-12</t>
  </si>
  <si>
    <t>=NL("sum","Production Order","Quantity","Source No.",$D565,"Equipment Code",$L565,"due date",J$8)/$J$7</t>
  </si>
  <si>
    <t>=AVERAGE(I565:J565)</t>
  </si>
  <si>
    <t>=IF(K566=0,"hide","")</t>
  </si>
  <si>
    <t>=D565</t>
  </si>
  <si>
    <t>=NL("sum","Production Order","Quantity","Source No.",$D566,"Equipment Code",$L566,"due date",F$8)/-12</t>
  </si>
  <si>
    <t>=NL("sum","Production Order","Quantity","Source No.",$D566,"Equipment Code",$L566,"due date",G$8)/-12</t>
  </si>
  <si>
    <t>=NL("sum","Production Order","Quantity","Source No.",$D566,"Equipment Code",$L566,"due date",H$8)/-12</t>
  </si>
  <si>
    <t>=NL("sum","Production Order","Quantity","Source No.",$D566,"Equipment Code",$L566,"due date",I$8)/-12</t>
  </si>
  <si>
    <t>=NL("sum","Production Order","Quantity","Source No.",$D566,"Equipment Code",$L566,"due date",J$8)/$J$7</t>
  </si>
  <si>
    <t>=AVERAGE(I566:J566)</t>
  </si>
  <si>
    <t>=IF(K567=0,"hide","")</t>
  </si>
  <si>
    <t>=D566</t>
  </si>
  <si>
    <t>=NL("sum","Production Order","Quantity","Source No.",$D567,"Equipment Code",$L567,"due date",F$8)/-12</t>
  </si>
  <si>
    <t>=NL("sum","Production Order","Quantity","Source No.",$D567,"Equipment Code",$L567,"due date",G$8)/-12</t>
  </si>
  <si>
    <t>=NL("sum","Production Order","Quantity","Source No.",$D567,"Equipment Code",$L567,"due date",H$8)/-12</t>
  </si>
  <si>
    <t>=NL("sum","Production Order","Quantity","Source No.",$D567,"Equipment Code",$L567,"due date",I$8)/-12</t>
  </si>
  <si>
    <t>=NL("sum","Production Order","Quantity","Source No.",$D567,"Equipment Code",$L567,"due date",J$8)/$J$7</t>
  </si>
  <si>
    <t>=AVERAGE(I567:J567)</t>
  </si>
  <si>
    <t>=IF(K568=0,"hide","")</t>
  </si>
  <si>
    <t>=D567</t>
  </si>
  <si>
    <t>=NL("sum","Production Order","Quantity","Source No.",$D568,"Equipment Code",$L568,"due date",F$8)/-12</t>
  </si>
  <si>
    <t>=NL("sum","Production Order","Quantity","Source No.",$D568,"Equipment Code",$L568,"due date",G$8)/-12</t>
  </si>
  <si>
    <t>=NL("sum","Production Order","Quantity","Source No.",$D568,"Equipment Code",$L568,"due date",H$8)/-12</t>
  </si>
  <si>
    <t>=NL("sum","Production Order","Quantity","Source No.",$D568,"Equipment Code",$L568,"due date",I$8)/-12</t>
  </si>
  <si>
    <t>=NL("sum","Production Order","Quantity","Source No.",$D568,"Equipment Code",$L568,"due date",J$8)/$J$7</t>
  </si>
  <si>
    <t>=AVERAGE(I568:J568)</t>
  </si>
  <si>
    <t>=B565</t>
  </si>
  <si>
    <t>=B569</t>
  </si>
  <si>
    <t>=SUM(F565:F569)</t>
  </si>
  <si>
    <t>=SUM(G565:G569)</t>
  </si>
  <si>
    <t>=SUM(H565:H569)</t>
  </si>
  <si>
    <t>=SUM(I565:I569)</t>
  </si>
  <si>
    <t>=SUM(J565:J569)</t>
  </si>
  <si>
    <t>=IF(K571=0,"hide","")</t>
  </si>
  <si>
    <t>="03706"</t>
  </si>
  <si>
    <t>=NL("rows","Production BOM Version","Version Code","Production BOM No.",D571,"status","certified")</t>
  </si>
  <si>
    <t>=NL("sum","Item Ledger Entry","Quantity","Item No.",$D571,"Entry Type","Sale|Consumption","posting date","01/01/19..12/31/19")/-12</t>
  </si>
  <si>
    <t>=NL("sum","Item Ledger Entry","Quantity","Item No.",$D571,"Entry Type","Sale|Consumption","posting date","01/01/20..12/31/20")/-12</t>
  </si>
  <si>
    <t>=NL("sum","Item Ledger Entry","Quantity","Item No.",$D571,"Entry Type","Sale|Consumption","posting date","01/01/21..12/31/21")/-12</t>
  </si>
  <si>
    <t>=NL("sum","Item Ledger Entry","Quantity","Item No.",$D571,"Entry Type","Sale|Consumption","posting date","01/01/22..12/31/22")/-12</t>
  </si>
  <si>
    <t>=NL("sum","Item Ledger Entry","Quantity","Item No.",$D571,"Entry Type","Sale|Consumption","posting date","01/01/23..12/31/23")/$J$7</t>
  </si>
  <si>
    <t>=AVERAGE(I571:J571)</t>
  </si>
  <si>
    <t>=NL(1,"item",L$9,"no.",D571)</t>
  </si>
  <si>
    <t>=NL(1,"item",M$9,"no.",$D571)</t>
  </si>
  <si>
    <t>=NL(1,"item","Units Per Parcel","no.",$D571)</t>
  </si>
  <si>
    <t>=NL(1,"Prod. BOM Equipment","Fixed Prod. Time (Hours)","Production BOM No.",$D571,"version code",$E571,"Resource No.",O$9)</t>
  </si>
  <si>
    <t>=1/O571</t>
  </si>
  <si>
    <t>=IF(NL(1,"Prod. BOM Equipment","Variable Prod. Time (Hours)","Production BOM No.",$D571,"version code",$E571,"Resource No.",$O$9)="",1,NL(1,"Prod. BOM Equipment","Variable Prod. Time (Hours)","Production BOM No.",$D571,"version code",$E571,"Resource No.",$O$9))</t>
  </si>
  <si>
    <t>=1/Q571</t>
  </si>
  <si>
    <t>=R571*N571</t>
  </si>
  <si>
    <t>=IF(K572=0,"hide","")</t>
  </si>
  <si>
    <t>=D571</t>
  </si>
  <si>
    <t>=NL("sum","Production Order","Quantity","Source No.",$D572,"Equipment Code",$L572,"due date",F$8)/-12</t>
  </si>
  <si>
    <t>=NL("sum","Production Order","Quantity","Source No.",$D572,"Equipment Code",$L572,"due date",G$8)/-12</t>
  </si>
  <si>
    <t>=NL("sum","Production Order","Quantity","Source No.",$D572,"Equipment Code",$L572,"due date",H$8)/-12</t>
  </si>
  <si>
    <t>=NL("sum","Production Order","Quantity","Source No.",$D572,"Equipment Code",$L572,"due date",I$8)/-12</t>
  </si>
  <si>
    <t>=NL("sum","Production Order","Quantity","Source No.",$D572,"Equipment Code",$L572,"due date",J$8)/$J$7</t>
  </si>
  <si>
    <t>=AVERAGE(I572:J572)</t>
  </si>
  <si>
    <t>=IF(K573=0,"hide","")</t>
  </si>
  <si>
    <t>=D572</t>
  </si>
  <si>
    <t>=NL("sum","Production Order","Quantity","Source No.",$D573,"Equipment Code",$L573,"due date",F$8)/-12</t>
  </si>
  <si>
    <t>=NL("sum","Production Order","Quantity","Source No.",$D573,"Equipment Code",$L573,"due date",G$8)/-12</t>
  </si>
  <si>
    <t>=NL("sum","Production Order","Quantity","Source No.",$D573,"Equipment Code",$L573,"due date",H$8)/-12</t>
  </si>
  <si>
    <t>=NL("sum","Production Order","Quantity","Source No.",$D573,"Equipment Code",$L573,"due date",I$8)/-12</t>
  </si>
  <si>
    <t>=NL("sum","Production Order","Quantity","Source No.",$D573,"Equipment Code",$L573,"due date",J$8)/$J$7</t>
  </si>
  <si>
    <t>=AVERAGE(I573:J573)</t>
  </si>
  <si>
    <t>=IF(K574=0,"hide","")</t>
  </si>
  <si>
    <t>=D573</t>
  </si>
  <si>
    <t>=NL("sum","Production Order","Quantity","Source No.",$D574,"Equipment Code",$L574,"due date",F$8)/-12</t>
  </si>
  <si>
    <t>=NL("sum","Production Order","Quantity","Source No.",$D574,"Equipment Code",$L574,"due date",G$8)/-12</t>
  </si>
  <si>
    <t>=NL("sum","Production Order","Quantity","Source No.",$D574,"Equipment Code",$L574,"due date",H$8)/-12</t>
  </si>
  <si>
    <t>=NL("sum","Production Order","Quantity","Source No.",$D574,"Equipment Code",$L574,"due date",I$8)/-12</t>
  </si>
  <si>
    <t>=NL("sum","Production Order","Quantity","Source No.",$D574,"Equipment Code",$L574,"due date",J$8)/$J$7</t>
  </si>
  <si>
    <t>=AVERAGE(I574:J574)</t>
  </si>
  <si>
    <t>=IF(K575=0,"hide","")</t>
  </si>
  <si>
    <t>=D574</t>
  </si>
  <si>
    <t>=NL("sum","Production Order","Quantity","Source No.",$D575,"Equipment Code",$L575,"due date",F$8)/-12</t>
  </si>
  <si>
    <t>=NL("sum","Production Order","Quantity","Source No.",$D575,"Equipment Code",$L575,"due date",G$8)/-12</t>
  </si>
  <si>
    <t>=NL("sum","Production Order","Quantity","Source No.",$D575,"Equipment Code",$L575,"due date",H$8)/-12</t>
  </si>
  <si>
    <t>=NL("sum","Production Order","Quantity","Source No.",$D575,"Equipment Code",$L575,"due date",I$8)/-12</t>
  </si>
  <si>
    <t>=NL("sum","Production Order","Quantity","Source No.",$D575,"Equipment Code",$L575,"due date",J$8)/$J$7</t>
  </si>
  <si>
    <t>=AVERAGE(I575:J575)</t>
  </si>
  <si>
    <t>=B572</t>
  </si>
  <si>
    <t>=B576</t>
  </si>
  <si>
    <t>=SUM(F572:F576)</t>
  </si>
  <si>
    <t>=SUM(G572:G576)</t>
  </si>
  <si>
    <t>=SUM(H572:H576)</t>
  </si>
  <si>
    <t>=SUM(I572:I576)</t>
  </si>
  <si>
    <t>=SUM(J572:J576)</t>
  </si>
  <si>
    <t>=IF(K578=0,"hide","")</t>
  </si>
  <si>
    <t>="04200"</t>
  </si>
  <si>
    <t>=NL("rows","Production BOM Version","Version Code","Production BOM No.",D578,"status","certified")</t>
  </si>
  <si>
    <t>=NL("sum","Item Ledger Entry","Quantity","Item No.",$D578,"Entry Type","Sale|Consumption","posting date","01/01/19..12/31/19")/-12</t>
  </si>
  <si>
    <t>=NL("sum","Item Ledger Entry","Quantity","Item No.",$D578,"Entry Type","Sale|Consumption","posting date","01/01/20..12/31/20")/-12</t>
  </si>
  <si>
    <t>=NL("sum","Item Ledger Entry","Quantity","Item No.",$D578,"Entry Type","Sale|Consumption","posting date","01/01/21..12/31/21")/-12</t>
  </si>
  <si>
    <t>=NL("sum","Item Ledger Entry","Quantity","Item No.",$D578,"Entry Type","Sale|Consumption","posting date","01/01/22..12/31/22")/-12</t>
  </si>
  <si>
    <t>=NL("sum","Item Ledger Entry","Quantity","Item No.",$D578,"Entry Type","Sale|Consumption","posting date","01/01/23..12/31/23")/$J$7</t>
  </si>
  <si>
    <t>=AVERAGE(I578:J578)</t>
  </si>
  <si>
    <t>=NL(1,"item",L$9,"no.",D578)</t>
  </si>
  <si>
    <t>=NL(1,"item",M$9,"no.",$D578)</t>
  </si>
  <si>
    <t>=NL(1,"item","Units Per Parcel","no.",$D578)</t>
  </si>
  <si>
    <t>=NL(1,"Prod. BOM Equipment","Fixed Prod. Time (Hours)","Production BOM No.",$D578,"version code",$E578,"Resource No.",O$9)</t>
  </si>
  <si>
    <t>=1/O578</t>
  </si>
  <si>
    <t>=IF(NL(1,"Prod. BOM Equipment","Variable Prod. Time (Hours)","Production BOM No.",$D578,"version code",$E578,"Resource No.",$O$9)="",1,NL(1,"Prod. BOM Equipment","Variable Prod. Time (Hours)","Production BOM No.",$D578,"version code",$E578,"Resource No.",$O$9))</t>
  </si>
  <si>
    <t>=1/Q578</t>
  </si>
  <si>
    <t>=R578*N578</t>
  </si>
  <si>
    <t>=IF(K579=0,"hide","")</t>
  </si>
  <si>
    <t>=D578</t>
  </si>
  <si>
    <t>=NL("sum","Production Order","Quantity","Source No.",$D579,"Equipment Code",$L579,"due date",F$8)/-12</t>
  </si>
  <si>
    <t>=NL("sum","Production Order","Quantity","Source No.",$D579,"Equipment Code",$L579,"due date",G$8)/-12</t>
  </si>
  <si>
    <t>=NL("sum","Production Order","Quantity","Source No.",$D579,"Equipment Code",$L579,"due date",H$8)/-12</t>
  </si>
  <si>
    <t>=NL("sum","Production Order","Quantity","Source No.",$D579,"Equipment Code",$L579,"due date",I$8)/-12</t>
  </si>
  <si>
    <t>=NL("sum","Production Order","Quantity","Source No.",$D579,"Equipment Code",$L579,"due date",J$8)/$J$7</t>
  </si>
  <si>
    <t>=AVERAGE(I579:J579)</t>
  </si>
  <si>
    <t>=IF(K580=0,"hide","")</t>
  </si>
  <si>
    <t>=D579</t>
  </si>
  <si>
    <t>=NL("sum","Production Order","Quantity","Source No.",$D580,"Equipment Code",$L580,"due date",F$8)/-12</t>
  </si>
  <si>
    <t>=NL("sum","Production Order","Quantity","Source No.",$D580,"Equipment Code",$L580,"due date",G$8)/-12</t>
  </si>
  <si>
    <t>=NL("sum","Production Order","Quantity","Source No.",$D580,"Equipment Code",$L580,"due date",H$8)/-12</t>
  </si>
  <si>
    <t>=NL("sum","Production Order","Quantity","Source No.",$D580,"Equipment Code",$L580,"due date",I$8)/-12</t>
  </si>
  <si>
    <t>=NL("sum","Production Order","Quantity","Source No.",$D580,"Equipment Code",$L580,"due date",J$8)/$J$7</t>
  </si>
  <si>
    <t>=AVERAGE(I580:J580)</t>
  </si>
  <si>
    <t>=IF(K581=0,"hide","")</t>
  </si>
  <si>
    <t>=D580</t>
  </si>
  <si>
    <t>=NL("sum","Production Order","Quantity","Source No.",$D581,"Equipment Code",$L581,"due date",F$8)/-12</t>
  </si>
  <si>
    <t>=NL("sum","Production Order","Quantity","Source No.",$D581,"Equipment Code",$L581,"due date",G$8)/-12</t>
  </si>
  <si>
    <t>=NL("sum","Production Order","Quantity","Source No.",$D581,"Equipment Code",$L581,"due date",H$8)/-12</t>
  </si>
  <si>
    <t>=NL("sum","Production Order","Quantity","Source No.",$D581,"Equipment Code",$L581,"due date",I$8)/-12</t>
  </si>
  <si>
    <t>=NL("sum","Production Order","Quantity","Source No.",$D581,"Equipment Code",$L581,"due date",J$8)/$J$7</t>
  </si>
  <si>
    <t>=AVERAGE(I581:J581)</t>
  </si>
  <si>
    <t>=IF(K582=0,"hide","")</t>
  </si>
  <si>
    <t>=D581</t>
  </si>
  <si>
    <t>=NL("sum","Production Order","Quantity","Source No.",$D582,"Equipment Code",$L582,"due date",F$8)/-12</t>
  </si>
  <si>
    <t>=NL("sum","Production Order","Quantity","Source No.",$D582,"Equipment Code",$L582,"due date",G$8)/-12</t>
  </si>
  <si>
    <t>=NL("sum","Production Order","Quantity","Source No.",$D582,"Equipment Code",$L582,"due date",H$8)/-12</t>
  </si>
  <si>
    <t>=NL("sum","Production Order","Quantity","Source No.",$D582,"Equipment Code",$L582,"due date",I$8)/-12</t>
  </si>
  <si>
    <t>=NL("sum","Production Order","Quantity","Source No.",$D582,"Equipment Code",$L582,"due date",J$8)/$J$7</t>
  </si>
  <si>
    <t>=AVERAGE(I582:J582)</t>
  </si>
  <si>
    <t>=B579</t>
  </si>
  <si>
    <t>=B583</t>
  </si>
  <si>
    <t>=SUM(F579:F583)</t>
  </si>
  <si>
    <t>=SUM(G579:G583)</t>
  </si>
  <si>
    <t>=SUM(H579:H583)</t>
  </si>
  <si>
    <t>=SUM(I579:I583)</t>
  </si>
  <si>
    <t>=SUM(J579:J583)</t>
  </si>
  <si>
    <t>=IF(K585=0,"hide","")</t>
  </si>
  <si>
    <t>="04501"</t>
  </si>
  <si>
    <t>=NL("rows","Production BOM Version","Version Code","Production BOM No.",D585,"status","certified")</t>
  </si>
  <si>
    <t>=NL("sum","Item Ledger Entry","Quantity","Item No.",$D585,"Entry Type","Sale|Consumption","posting date","01/01/19..12/31/19")/-12</t>
  </si>
  <si>
    <t>=NL("sum","Item Ledger Entry","Quantity","Item No.",$D585,"Entry Type","Sale|Consumption","posting date","01/01/20..12/31/20")/-12</t>
  </si>
  <si>
    <t>=NL("sum","Item Ledger Entry","Quantity","Item No.",$D585,"Entry Type","Sale|Consumption","posting date","01/01/21..12/31/21")/-12</t>
  </si>
  <si>
    <t>=NL("sum","Item Ledger Entry","Quantity","Item No.",$D585,"Entry Type","Sale|Consumption","posting date","01/01/22..12/31/22")/-12</t>
  </si>
  <si>
    <t>=NL("sum","Item Ledger Entry","Quantity","Item No.",$D585,"Entry Type","Sale|Consumption","posting date","01/01/23..12/31/23")/$J$7</t>
  </si>
  <si>
    <t>=AVERAGE(I585:J585)</t>
  </si>
  <si>
    <t>=NL(1,"item",L$9,"no.",D585)</t>
  </si>
  <si>
    <t>=NL(1,"item",M$9,"no.",$D585)</t>
  </si>
  <si>
    <t>=NL(1,"item","Units Per Parcel","no.",$D585)</t>
  </si>
  <si>
    <t>=NL(1,"Prod. BOM Equipment","Fixed Prod. Time (Hours)","Production BOM No.",$D585,"version code",$E585,"Resource No.",O$9)</t>
  </si>
  <si>
    <t>=1/O585</t>
  </si>
  <si>
    <t>=IF(NL(1,"Prod. BOM Equipment","Variable Prod. Time (Hours)","Production BOM No.",$D585,"version code",$E585,"Resource No.",$O$9)="",1,NL(1,"Prod. BOM Equipment","Variable Prod. Time (Hours)","Production BOM No.",$D585,"version code",$E585,"Resource No.",$O$9))</t>
  </si>
  <si>
    <t>=1/Q585</t>
  </si>
  <si>
    <t>=R585*N585</t>
  </si>
  <si>
    <t>=IF(K586=0,"hide","")</t>
  </si>
  <si>
    <t>=D585</t>
  </si>
  <si>
    <t>=NL("sum","Production Order","Quantity","Source No.",$D586,"Equipment Code",$L586,"due date",F$8)/-12</t>
  </si>
  <si>
    <t>=NL("sum","Production Order","Quantity","Source No.",$D586,"Equipment Code",$L586,"due date",G$8)/-12</t>
  </si>
  <si>
    <t>=NL("sum","Production Order","Quantity","Source No.",$D586,"Equipment Code",$L586,"due date",H$8)/-12</t>
  </si>
  <si>
    <t>=NL("sum","Production Order","Quantity","Source No.",$D586,"Equipment Code",$L586,"due date",I$8)/-12</t>
  </si>
  <si>
    <t>=NL("sum","Production Order","Quantity","Source No.",$D586,"Equipment Code",$L586,"due date",J$8)/$J$7</t>
  </si>
  <si>
    <t>=AVERAGE(I586:J586)</t>
  </si>
  <si>
    <t>=IF(K587=0,"hide","")</t>
  </si>
  <si>
    <t>=D586</t>
  </si>
  <si>
    <t>=NL("sum","Production Order","Quantity","Source No.",$D587,"Equipment Code",$L587,"due date",F$8)/-12</t>
  </si>
  <si>
    <t>=NL("sum","Production Order","Quantity","Source No.",$D587,"Equipment Code",$L587,"due date",G$8)/-12</t>
  </si>
  <si>
    <t>=NL("sum","Production Order","Quantity","Source No.",$D587,"Equipment Code",$L587,"due date",H$8)/-12</t>
  </si>
  <si>
    <t>=NL("sum","Production Order","Quantity","Source No.",$D587,"Equipment Code",$L587,"due date",I$8)/-12</t>
  </si>
  <si>
    <t>=NL("sum","Production Order","Quantity","Source No.",$D587,"Equipment Code",$L587,"due date",J$8)/$J$7</t>
  </si>
  <si>
    <t>=AVERAGE(I587:J587)</t>
  </si>
  <si>
    <t>=IF(K588=0,"hide","")</t>
  </si>
  <si>
    <t>=D587</t>
  </si>
  <si>
    <t>=NL("sum","Production Order","Quantity","Source No.",$D588,"Equipment Code",$L588,"due date",F$8)/-12</t>
  </si>
  <si>
    <t>=NL("sum","Production Order","Quantity","Source No.",$D588,"Equipment Code",$L588,"due date",G$8)/-12</t>
  </si>
  <si>
    <t>=NL("sum","Production Order","Quantity","Source No.",$D588,"Equipment Code",$L588,"due date",H$8)/-12</t>
  </si>
  <si>
    <t>=NL("sum","Production Order","Quantity","Source No.",$D588,"Equipment Code",$L588,"due date",I$8)/-12</t>
  </si>
  <si>
    <t>=NL("sum","Production Order","Quantity","Source No.",$D588,"Equipment Code",$L588,"due date",J$8)/$J$7</t>
  </si>
  <si>
    <t>=AVERAGE(I588:J588)</t>
  </si>
  <si>
    <t>=IF(K589=0,"hide","")</t>
  </si>
  <si>
    <t>=D588</t>
  </si>
  <si>
    <t>=NL("sum","Production Order","Quantity","Source No.",$D589,"Equipment Code",$L589,"due date",F$8)/-12</t>
  </si>
  <si>
    <t>=NL("sum","Production Order","Quantity","Source No.",$D589,"Equipment Code",$L589,"due date",G$8)/-12</t>
  </si>
  <si>
    <t>=NL("sum","Production Order","Quantity","Source No.",$D589,"Equipment Code",$L589,"due date",H$8)/-12</t>
  </si>
  <si>
    <t>=NL("sum","Production Order","Quantity","Source No.",$D589,"Equipment Code",$L589,"due date",I$8)/-12</t>
  </si>
  <si>
    <t>=NL("sum","Production Order","Quantity","Source No.",$D589,"Equipment Code",$L589,"due date",J$8)/$J$7</t>
  </si>
  <si>
    <t>=AVERAGE(I589:J589)</t>
  </si>
  <si>
    <t>=B586</t>
  </si>
  <si>
    <t>=B590</t>
  </si>
  <si>
    <t>=SUM(F586:F590)</t>
  </si>
  <si>
    <t>=SUM(G586:G590)</t>
  </si>
  <si>
    <t>=SUM(H586:H590)</t>
  </si>
  <si>
    <t>=SUM(I586:I590)</t>
  </si>
  <si>
    <t>=SUM(J586:J590)</t>
  </si>
  <si>
    <t>=IF(K592=0,"hide","")</t>
  </si>
  <si>
    <t>="04503"</t>
  </si>
  <si>
    <t>=NL("rows","Production BOM Version","Version Code","Production BOM No.",D592,"status","certified")</t>
  </si>
  <si>
    <t>=NL("sum","Item Ledger Entry","Quantity","Item No.",$D592,"Entry Type","Sale|Consumption","posting date","01/01/19..12/31/19")/-12</t>
  </si>
  <si>
    <t>=NL("sum","Item Ledger Entry","Quantity","Item No.",$D592,"Entry Type","Sale|Consumption","posting date","01/01/20..12/31/20")/-12</t>
  </si>
  <si>
    <t>=NL("sum","Item Ledger Entry","Quantity","Item No.",$D592,"Entry Type","Sale|Consumption","posting date","01/01/21..12/31/21")/-12</t>
  </si>
  <si>
    <t>=NL("sum","Item Ledger Entry","Quantity","Item No.",$D592,"Entry Type","Sale|Consumption","posting date","01/01/22..12/31/22")/-12</t>
  </si>
  <si>
    <t>=NL("sum","Item Ledger Entry","Quantity","Item No.",$D592,"Entry Type","Sale|Consumption","posting date","01/01/23..12/31/23")/$J$7</t>
  </si>
  <si>
    <t>=AVERAGE(I592:J592)</t>
  </si>
  <si>
    <t>=NL(1,"item",L$9,"no.",D592)</t>
  </si>
  <si>
    <t>=NL(1,"item",M$9,"no.",$D592)</t>
  </si>
  <si>
    <t>=NL(1,"item","Units Per Parcel","no.",$D592)</t>
  </si>
  <si>
    <t>=NL(1,"Prod. BOM Equipment","Fixed Prod. Time (Hours)","Production BOM No.",$D592,"version code",$E592,"Resource No.",O$9)</t>
  </si>
  <si>
    <t>=1/O592</t>
  </si>
  <si>
    <t>=IF(NL(1,"Prod. BOM Equipment","Variable Prod. Time (Hours)","Production BOM No.",$D592,"version code",$E592,"Resource No.",$O$9)="",1,NL(1,"Prod. BOM Equipment","Variable Prod. Time (Hours)","Production BOM No.",$D592,"version code",$E592,"Resource No.",$O$9))</t>
  </si>
  <si>
    <t>=1/Q592</t>
  </si>
  <si>
    <t>=R592*N592</t>
  </si>
  <si>
    <t>=IF(K593=0,"hide","")</t>
  </si>
  <si>
    <t>=D592</t>
  </si>
  <si>
    <t>=NL("sum","Production Order","Quantity","Source No.",$D593,"Equipment Code",$L593,"due date",F$8)/-12</t>
  </si>
  <si>
    <t>=NL("sum","Production Order","Quantity","Source No.",$D593,"Equipment Code",$L593,"due date",G$8)/-12</t>
  </si>
  <si>
    <t>=NL("sum","Production Order","Quantity","Source No.",$D593,"Equipment Code",$L593,"due date",H$8)/-12</t>
  </si>
  <si>
    <t>=NL("sum","Production Order","Quantity","Source No.",$D593,"Equipment Code",$L593,"due date",I$8)/-12</t>
  </si>
  <si>
    <t>=NL("sum","Production Order","Quantity","Source No.",$D593,"Equipment Code",$L593,"due date",J$8)/$J$7</t>
  </si>
  <si>
    <t>=AVERAGE(I593:J593)</t>
  </si>
  <si>
    <t>=IF(K594=0,"hide","")</t>
  </si>
  <si>
    <t>=D593</t>
  </si>
  <si>
    <t>=NL("sum","Production Order","Quantity","Source No.",$D594,"Equipment Code",$L594,"due date",F$8)/-12</t>
  </si>
  <si>
    <t>=NL("sum","Production Order","Quantity","Source No.",$D594,"Equipment Code",$L594,"due date",G$8)/-12</t>
  </si>
  <si>
    <t>=NL("sum","Production Order","Quantity","Source No.",$D594,"Equipment Code",$L594,"due date",H$8)/-12</t>
  </si>
  <si>
    <t>=NL("sum","Production Order","Quantity","Source No.",$D594,"Equipment Code",$L594,"due date",I$8)/-12</t>
  </si>
  <si>
    <t>=NL("sum","Production Order","Quantity","Source No.",$D594,"Equipment Code",$L594,"due date",J$8)/$J$7</t>
  </si>
  <si>
    <t>=AVERAGE(I594:J594)</t>
  </si>
  <si>
    <t>=IF(K595=0,"hide","")</t>
  </si>
  <si>
    <t>=D594</t>
  </si>
  <si>
    <t>=NL("sum","Production Order","Quantity","Source No.",$D595,"Equipment Code",$L595,"due date",F$8)/-12</t>
  </si>
  <si>
    <t>=NL("sum","Production Order","Quantity","Source No.",$D595,"Equipment Code",$L595,"due date",G$8)/-12</t>
  </si>
  <si>
    <t>=NL("sum","Production Order","Quantity","Source No.",$D595,"Equipment Code",$L595,"due date",H$8)/-12</t>
  </si>
  <si>
    <t>=NL("sum","Production Order","Quantity","Source No.",$D595,"Equipment Code",$L595,"due date",I$8)/-12</t>
  </si>
  <si>
    <t>=NL("sum","Production Order","Quantity","Source No.",$D595,"Equipment Code",$L595,"due date",J$8)/$J$7</t>
  </si>
  <si>
    <t>=AVERAGE(I595:J595)</t>
  </si>
  <si>
    <t>=IF(K596=0,"hide","")</t>
  </si>
  <si>
    <t>=D595</t>
  </si>
  <si>
    <t>=NL("sum","Production Order","Quantity","Source No.",$D596,"Equipment Code",$L596,"due date",F$8)/-12</t>
  </si>
  <si>
    <t>=NL("sum","Production Order","Quantity","Source No.",$D596,"Equipment Code",$L596,"due date",G$8)/-12</t>
  </si>
  <si>
    <t>=NL("sum","Production Order","Quantity","Source No.",$D596,"Equipment Code",$L596,"due date",H$8)/-12</t>
  </si>
  <si>
    <t>=NL("sum","Production Order","Quantity","Source No.",$D596,"Equipment Code",$L596,"due date",I$8)/-12</t>
  </si>
  <si>
    <t>=NL("sum","Production Order","Quantity","Source No.",$D596,"Equipment Code",$L596,"due date",J$8)/$J$7</t>
  </si>
  <si>
    <t>=AVERAGE(I596:J596)</t>
  </si>
  <si>
    <t>=B593</t>
  </si>
  <si>
    <t>=B597</t>
  </si>
  <si>
    <t>=SUM(F593:F597)</t>
  </si>
  <si>
    <t>=SUM(G593:G597)</t>
  </si>
  <si>
    <t>=SUM(H593:H597)</t>
  </si>
  <si>
    <t>=SUM(I593:I597)</t>
  </si>
  <si>
    <t>=SUM(J593:J597)</t>
  </si>
  <si>
    <t>=IF(K599=0,"hide","")</t>
  </si>
  <si>
    <t>="04530"</t>
  </si>
  <si>
    <t>=NL("rows","Production BOM Version","Version Code","Production BOM No.",D599,"status","certified")</t>
  </si>
  <si>
    <t>=NL("sum","Item Ledger Entry","Quantity","Item No.",$D599,"Entry Type","Sale|Consumption","posting date","01/01/19..12/31/19")/-12</t>
  </si>
  <si>
    <t>=NL("sum","Item Ledger Entry","Quantity","Item No.",$D599,"Entry Type","Sale|Consumption","posting date","01/01/20..12/31/20")/-12</t>
  </si>
  <si>
    <t>=NL("sum","Item Ledger Entry","Quantity","Item No.",$D599,"Entry Type","Sale|Consumption","posting date","01/01/21..12/31/21")/-12</t>
  </si>
  <si>
    <t>=NL("sum","Item Ledger Entry","Quantity","Item No.",$D599,"Entry Type","Sale|Consumption","posting date","01/01/22..12/31/22")/-12</t>
  </si>
  <si>
    <t>=NL("sum","Item Ledger Entry","Quantity","Item No.",$D599,"Entry Type","Sale|Consumption","posting date","01/01/23..12/31/23")/$J$7</t>
  </si>
  <si>
    <t>=AVERAGE(I599:J599)</t>
  </si>
  <si>
    <t>=NL(1,"item",L$9,"no.",D599)</t>
  </si>
  <si>
    <t>=NL(1,"item",M$9,"no.",$D599)</t>
  </si>
  <si>
    <t>=NL(1,"item","Units Per Parcel","no.",$D599)</t>
  </si>
  <si>
    <t>=NL(1,"Prod. BOM Equipment","Fixed Prod. Time (Hours)","Production BOM No.",$D599,"version code",$E599,"Resource No.",O$9)</t>
  </si>
  <si>
    <t>=1/O599</t>
  </si>
  <si>
    <t>=IF(NL(1,"Prod. BOM Equipment","Variable Prod. Time (Hours)","Production BOM No.",$D599,"version code",$E599,"Resource No.",$O$9)="",1,NL(1,"Prod. BOM Equipment","Variable Prod. Time (Hours)","Production BOM No.",$D599,"version code",$E599,"Resource No.",$O$9))</t>
  </si>
  <si>
    <t>=1/Q599</t>
  </si>
  <si>
    <t>=R599*N599</t>
  </si>
  <si>
    <t>=IF(K600=0,"hide","")</t>
  </si>
  <si>
    <t>=D599</t>
  </si>
  <si>
    <t>=NL("sum","Production Order","Quantity","Source No.",$D600,"Equipment Code",$L600,"due date",F$8)/-12</t>
  </si>
  <si>
    <t>=NL("sum","Production Order","Quantity","Source No.",$D600,"Equipment Code",$L600,"due date",G$8)/-12</t>
  </si>
  <si>
    <t>=NL("sum","Production Order","Quantity","Source No.",$D600,"Equipment Code",$L600,"due date",H$8)/-12</t>
  </si>
  <si>
    <t>=NL("sum","Production Order","Quantity","Source No.",$D600,"Equipment Code",$L600,"due date",I$8)/-12</t>
  </si>
  <si>
    <t>=NL("sum","Production Order","Quantity","Source No.",$D600,"Equipment Code",$L600,"due date",J$8)/$J$7</t>
  </si>
  <si>
    <t>=AVERAGE(I600:J600)</t>
  </si>
  <si>
    <t>=IF(K601=0,"hide","")</t>
  </si>
  <si>
    <t>=D600</t>
  </si>
  <si>
    <t>=NL("sum","Production Order","Quantity","Source No.",$D601,"Equipment Code",$L601,"due date",F$8)/-12</t>
  </si>
  <si>
    <t>=NL("sum","Production Order","Quantity","Source No.",$D601,"Equipment Code",$L601,"due date",G$8)/-12</t>
  </si>
  <si>
    <t>=NL("sum","Production Order","Quantity","Source No.",$D601,"Equipment Code",$L601,"due date",H$8)/-12</t>
  </si>
  <si>
    <t>=NL("sum","Production Order","Quantity","Source No.",$D601,"Equipment Code",$L601,"due date",I$8)/-12</t>
  </si>
  <si>
    <t>=NL("sum","Production Order","Quantity","Source No.",$D601,"Equipment Code",$L601,"due date",J$8)/$J$7</t>
  </si>
  <si>
    <t>=AVERAGE(I601:J601)</t>
  </si>
  <si>
    <t>=IF(K602=0,"hide","")</t>
  </si>
  <si>
    <t>=D601</t>
  </si>
  <si>
    <t>=NL("sum","Production Order","Quantity","Source No.",$D602,"Equipment Code",$L602,"due date",F$8)/-12</t>
  </si>
  <si>
    <t>=NL("sum","Production Order","Quantity","Source No.",$D602,"Equipment Code",$L602,"due date",G$8)/-12</t>
  </si>
  <si>
    <t>=NL("sum","Production Order","Quantity","Source No.",$D602,"Equipment Code",$L602,"due date",H$8)/-12</t>
  </si>
  <si>
    <t>=NL("sum","Production Order","Quantity","Source No.",$D602,"Equipment Code",$L602,"due date",I$8)/-12</t>
  </si>
  <si>
    <t>=NL("sum","Production Order","Quantity","Source No.",$D602,"Equipment Code",$L602,"due date",J$8)/$J$7</t>
  </si>
  <si>
    <t>=AVERAGE(I602:J602)</t>
  </si>
  <si>
    <t>=IF(K603=0,"hide","")</t>
  </si>
  <si>
    <t>=D602</t>
  </si>
  <si>
    <t>=NL("sum","Production Order","Quantity","Source No.",$D603,"Equipment Code",$L603,"due date",F$8)/-12</t>
  </si>
  <si>
    <t>=NL("sum","Production Order","Quantity","Source No.",$D603,"Equipment Code",$L603,"due date",G$8)/-12</t>
  </si>
  <si>
    <t>=NL("sum","Production Order","Quantity","Source No.",$D603,"Equipment Code",$L603,"due date",H$8)/-12</t>
  </si>
  <si>
    <t>=NL("sum","Production Order","Quantity","Source No.",$D603,"Equipment Code",$L603,"due date",I$8)/-12</t>
  </si>
  <si>
    <t>=NL("sum","Production Order","Quantity","Source No.",$D603,"Equipment Code",$L603,"due date",J$8)/$J$7</t>
  </si>
  <si>
    <t>=AVERAGE(I603:J603)</t>
  </si>
  <si>
    <t>=B600</t>
  </si>
  <si>
    <t>=B604</t>
  </si>
  <si>
    <t>=SUM(F600:F604)</t>
  </si>
  <si>
    <t>=SUM(G600:G604)</t>
  </si>
  <si>
    <t>=SUM(H600:H604)</t>
  </si>
  <si>
    <t>=SUM(I600:I604)</t>
  </si>
  <si>
    <t>=SUM(J600:J604)</t>
  </si>
  <si>
    <t>=IF(K606=0,"hide","")</t>
  </si>
  <si>
    <t>="04569"</t>
  </si>
  <si>
    <t>=NL("rows","Production BOM Version","Version Code","Production BOM No.",D606,"status","certified")</t>
  </si>
  <si>
    <t>=NL("sum","Item Ledger Entry","Quantity","Item No.",$D606,"Entry Type","Sale|Consumption","posting date","01/01/19..12/31/19")/-12</t>
  </si>
  <si>
    <t>=NL("sum","Item Ledger Entry","Quantity","Item No.",$D606,"Entry Type","Sale|Consumption","posting date","01/01/20..12/31/20")/-12</t>
  </si>
  <si>
    <t>=NL("sum","Item Ledger Entry","Quantity","Item No.",$D606,"Entry Type","Sale|Consumption","posting date","01/01/21..12/31/21")/-12</t>
  </si>
  <si>
    <t>=NL("sum","Item Ledger Entry","Quantity","Item No.",$D606,"Entry Type","Sale|Consumption","posting date","01/01/22..12/31/22")/-12</t>
  </si>
  <si>
    <t>=NL("sum","Item Ledger Entry","Quantity","Item No.",$D606,"Entry Type","Sale|Consumption","posting date","01/01/23..12/31/23")/$J$7</t>
  </si>
  <si>
    <t>=AVERAGE(I606:J606)</t>
  </si>
  <si>
    <t>=NL(1,"item",L$9,"no.",D606)</t>
  </si>
  <si>
    <t>=NL(1,"item",M$9,"no.",$D606)</t>
  </si>
  <si>
    <t>=NL(1,"item","Units Per Parcel","no.",$D606)</t>
  </si>
  <si>
    <t>=NL(1,"Prod. BOM Equipment","Fixed Prod. Time (Hours)","Production BOM No.",$D606,"version code",$E606,"Resource No.",O$9)</t>
  </si>
  <si>
    <t>=1/O606</t>
  </si>
  <si>
    <t>=IF(NL(1,"Prod. BOM Equipment","Variable Prod. Time (Hours)","Production BOM No.",$D606,"version code",$E606,"Resource No.",$O$9)="",1,NL(1,"Prod. BOM Equipment","Variable Prod. Time (Hours)","Production BOM No.",$D606,"version code",$E606,"Resource No.",$O$9))</t>
  </si>
  <si>
    <t>=1/Q606</t>
  </si>
  <si>
    <t>=R606*N606</t>
  </si>
  <si>
    <t>=IF(K607=0,"hide","")</t>
  </si>
  <si>
    <t>=D606</t>
  </si>
  <si>
    <t>=NL("sum","Production Order","Quantity","Source No.",$D607,"Equipment Code",$L607,"due date",F$8)/-12</t>
  </si>
  <si>
    <t>=NL("sum","Production Order","Quantity","Source No.",$D607,"Equipment Code",$L607,"due date",G$8)/-12</t>
  </si>
  <si>
    <t>=NL("sum","Production Order","Quantity","Source No.",$D607,"Equipment Code",$L607,"due date",H$8)/-12</t>
  </si>
  <si>
    <t>=NL("sum","Production Order","Quantity","Source No.",$D607,"Equipment Code",$L607,"due date",I$8)/-12</t>
  </si>
  <si>
    <t>=NL("sum","Production Order","Quantity","Source No.",$D607,"Equipment Code",$L607,"due date",J$8)/$J$7</t>
  </si>
  <si>
    <t>=AVERAGE(I607:J607)</t>
  </si>
  <si>
    <t>=IF(K608=0,"hide","")</t>
  </si>
  <si>
    <t>=D607</t>
  </si>
  <si>
    <t>=NL("sum","Production Order","Quantity","Source No.",$D608,"Equipment Code",$L608,"due date",F$8)/-12</t>
  </si>
  <si>
    <t>=NL("sum","Production Order","Quantity","Source No.",$D608,"Equipment Code",$L608,"due date",G$8)/-12</t>
  </si>
  <si>
    <t>=NL("sum","Production Order","Quantity","Source No.",$D608,"Equipment Code",$L608,"due date",H$8)/-12</t>
  </si>
  <si>
    <t>=NL("sum","Production Order","Quantity","Source No.",$D608,"Equipment Code",$L608,"due date",I$8)/-12</t>
  </si>
  <si>
    <t>=NL("sum","Production Order","Quantity","Source No.",$D608,"Equipment Code",$L608,"due date",J$8)/$J$7</t>
  </si>
  <si>
    <t>=AVERAGE(I608:J608)</t>
  </si>
  <si>
    <t>=IF(K609=0,"hide","")</t>
  </si>
  <si>
    <t>=D608</t>
  </si>
  <si>
    <t>=NL("sum","Production Order","Quantity","Source No.",$D609,"Equipment Code",$L609,"due date",F$8)/-12</t>
  </si>
  <si>
    <t>=NL("sum","Production Order","Quantity","Source No.",$D609,"Equipment Code",$L609,"due date",G$8)/-12</t>
  </si>
  <si>
    <t>=NL("sum","Production Order","Quantity","Source No.",$D609,"Equipment Code",$L609,"due date",H$8)/-12</t>
  </si>
  <si>
    <t>=NL("sum","Production Order","Quantity","Source No.",$D609,"Equipment Code",$L609,"due date",I$8)/-12</t>
  </si>
  <si>
    <t>=NL("sum","Production Order","Quantity","Source No.",$D609,"Equipment Code",$L609,"due date",J$8)/$J$7</t>
  </si>
  <si>
    <t>=AVERAGE(I609:J609)</t>
  </si>
  <si>
    <t>=IF(K610=0,"hide","")</t>
  </si>
  <si>
    <t>=D609</t>
  </si>
  <si>
    <t>=NL("sum","Production Order","Quantity","Source No.",$D610,"Equipment Code",$L610,"due date",F$8)/-12</t>
  </si>
  <si>
    <t>=NL("sum","Production Order","Quantity","Source No.",$D610,"Equipment Code",$L610,"due date",G$8)/-12</t>
  </si>
  <si>
    <t>=NL("sum","Production Order","Quantity","Source No.",$D610,"Equipment Code",$L610,"due date",H$8)/-12</t>
  </si>
  <si>
    <t>=NL("sum","Production Order","Quantity","Source No.",$D610,"Equipment Code",$L610,"due date",I$8)/-12</t>
  </si>
  <si>
    <t>=NL("sum","Production Order","Quantity","Source No.",$D610,"Equipment Code",$L610,"due date",J$8)/$J$7</t>
  </si>
  <si>
    <t>=AVERAGE(I610:J610)</t>
  </si>
  <si>
    <t>=B607</t>
  </si>
  <si>
    <t>=B611</t>
  </si>
  <si>
    <t>=SUM(F607:F611)</t>
  </si>
  <si>
    <t>=SUM(G607:G611)</t>
  </si>
  <si>
    <t>=SUM(H607:H611)</t>
  </si>
  <si>
    <t>=SUM(I607:I611)</t>
  </si>
  <si>
    <t>=SUM(J607:J611)</t>
  </si>
  <si>
    <t>=IF(K613=0,"hide","")</t>
  </si>
  <si>
    <t>="04605"</t>
  </si>
  <si>
    <t>=NL("rows","Production BOM Version","Version Code","Production BOM No.",D613,"status","certified")</t>
  </si>
  <si>
    <t>=NL("sum","Item Ledger Entry","Quantity","Item No.",$D613,"Entry Type","Sale|Consumption","posting date","01/01/19..12/31/19")/-12</t>
  </si>
  <si>
    <t>=NL("sum","Item Ledger Entry","Quantity","Item No.",$D613,"Entry Type","Sale|Consumption","posting date","01/01/20..12/31/20")/-12</t>
  </si>
  <si>
    <t>=NL("sum","Item Ledger Entry","Quantity","Item No.",$D613,"Entry Type","Sale|Consumption","posting date","01/01/21..12/31/21")/-12</t>
  </si>
  <si>
    <t>=NL("sum","Item Ledger Entry","Quantity","Item No.",$D613,"Entry Type","Sale|Consumption","posting date","01/01/22..12/31/22")/-12</t>
  </si>
  <si>
    <t>=NL("sum","Item Ledger Entry","Quantity","Item No.",$D613,"Entry Type","Sale|Consumption","posting date","01/01/23..12/31/23")/$J$7</t>
  </si>
  <si>
    <t>=AVERAGE(I613:J613)</t>
  </si>
  <si>
    <t>=NL(1,"item",L$9,"no.",D613)</t>
  </si>
  <si>
    <t>=NL(1,"item",M$9,"no.",$D613)</t>
  </si>
  <si>
    <t>=NL(1,"item","Units Per Parcel","no.",$D613)</t>
  </si>
  <si>
    <t>=NL(1,"Prod. BOM Equipment","Fixed Prod. Time (Hours)","Production BOM No.",$D613,"version code",$E613,"Resource No.",O$9)</t>
  </si>
  <si>
    <t>=1/O613</t>
  </si>
  <si>
    <t>=IF(NL(1,"Prod. BOM Equipment","Variable Prod. Time (Hours)","Production BOM No.",$D613,"version code",$E613,"Resource No.",$O$9)="",1,NL(1,"Prod. BOM Equipment","Variable Prod. Time (Hours)","Production BOM No.",$D613,"version code",$E613,"Resource No.",$O$9))</t>
  </si>
  <si>
    <t>=1/Q613</t>
  </si>
  <si>
    <t>=R613*N613</t>
  </si>
  <si>
    <t>=IF(K614=0,"hide","")</t>
  </si>
  <si>
    <t>=D613</t>
  </si>
  <si>
    <t>=NL("sum","Production Order","Quantity","Source No.",$D614,"Equipment Code",$L614,"due date",F$8)/-12</t>
  </si>
  <si>
    <t>=NL("sum","Production Order","Quantity","Source No.",$D614,"Equipment Code",$L614,"due date",G$8)/-12</t>
  </si>
  <si>
    <t>=NL("sum","Production Order","Quantity","Source No.",$D614,"Equipment Code",$L614,"due date",H$8)/-12</t>
  </si>
  <si>
    <t>=NL("sum","Production Order","Quantity","Source No.",$D614,"Equipment Code",$L614,"due date",I$8)/-12</t>
  </si>
  <si>
    <t>=NL("sum","Production Order","Quantity","Source No.",$D614,"Equipment Code",$L614,"due date",J$8)/$J$7</t>
  </si>
  <si>
    <t>=AVERAGE(I614:J614)</t>
  </si>
  <si>
    <t>=IF(K615=0,"hide","")</t>
  </si>
  <si>
    <t>=D614</t>
  </si>
  <si>
    <t>=NL("sum","Production Order","Quantity","Source No.",$D615,"Equipment Code",$L615,"due date",F$8)/-12</t>
  </si>
  <si>
    <t>=NL("sum","Production Order","Quantity","Source No.",$D615,"Equipment Code",$L615,"due date",G$8)/-12</t>
  </si>
  <si>
    <t>=NL("sum","Production Order","Quantity","Source No.",$D615,"Equipment Code",$L615,"due date",H$8)/-12</t>
  </si>
  <si>
    <t>=NL("sum","Production Order","Quantity","Source No.",$D615,"Equipment Code",$L615,"due date",I$8)/-12</t>
  </si>
  <si>
    <t>=NL("sum","Production Order","Quantity","Source No.",$D615,"Equipment Code",$L615,"due date",J$8)/$J$7</t>
  </si>
  <si>
    <t>=AVERAGE(I615:J615)</t>
  </si>
  <si>
    <t>=IF(K616=0,"hide","")</t>
  </si>
  <si>
    <t>=D615</t>
  </si>
  <si>
    <t>=NL("sum","Production Order","Quantity","Source No.",$D616,"Equipment Code",$L616,"due date",F$8)/-12</t>
  </si>
  <si>
    <t>=NL("sum","Production Order","Quantity","Source No.",$D616,"Equipment Code",$L616,"due date",G$8)/-12</t>
  </si>
  <si>
    <t>=NL("sum","Production Order","Quantity","Source No.",$D616,"Equipment Code",$L616,"due date",H$8)/-12</t>
  </si>
  <si>
    <t>=NL("sum","Production Order","Quantity","Source No.",$D616,"Equipment Code",$L616,"due date",I$8)/-12</t>
  </si>
  <si>
    <t>=NL("sum","Production Order","Quantity","Source No.",$D616,"Equipment Code",$L616,"due date",J$8)/$J$7</t>
  </si>
  <si>
    <t>=AVERAGE(I616:J616)</t>
  </si>
  <si>
    <t>=IF(K617=0,"hide","")</t>
  </si>
  <si>
    <t>=D616</t>
  </si>
  <si>
    <t>=NL("sum","Production Order","Quantity","Source No.",$D617,"Equipment Code",$L617,"due date",F$8)/-12</t>
  </si>
  <si>
    <t>=NL("sum","Production Order","Quantity","Source No.",$D617,"Equipment Code",$L617,"due date",G$8)/-12</t>
  </si>
  <si>
    <t>=NL("sum","Production Order","Quantity","Source No.",$D617,"Equipment Code",$L617,"due date",H$8)/-12</t>
  </si>
  <si>
    <t>=NL("sum","Production Order","Quantity","Source No.",$D617,"Equipment Code",$L617,"due date",I$8)/-12</t>
  </si>
  <si>
    <t>=NL("sum","Production Order","Quantity","Source No.",$D617,"Equipment Code",$L617,"due date",J$8)/$J$7</t>
  </si>
  <si>
    <t>=AVERAGE(I617:J617)</t>
  </si>
  <si>
    <t>=B614</t>
  </si>
  <si>
    <t>=B618</t>
  </si>
  <si>
    <t>=SUM(F614:F618)</t>
  </si>
  <si>
    <t>=SUM(G614:G618)</t>
  </si>
  <si>
    <t>=SUM(H614:H618)</t>
  </si>
  <si>
    <t>=SUM(I614:I618)</t>
  </si>
  <si>
    <t>=SUM(J614:J618)</t>
  </si>
  <si>
    <t>=IF(K620=0,"hide","")</t>
  </si>
  <si>
    <t>="04625"</t>
  </si>
  <si>
    <t>=NL("rows","Production BOM Version","Version Code","Production BOM No.",D620,"status","certified")</t>
  </si>
  <si>
    <t>=NL("sum","Item Ledger Entry","Quantity","Item No.",$D620,"Entry Type","Sale|Consumption","posting date","01/01/19..12/31/19")/-12</t>
  </si>
  <si>
    <t>=NL("sum","Item Ledger Entry","Quantity","Item No.",$D620,"Entry Type","Sale|Consumption","posting date","01/01/20..12/31/20")/-12</t>
  </si>
  <si>
    <t>=NL("sum","Item Ledger Entry","Quantity","Item No.",$D620,"Entry Type","Sale|Consumption","posting date","01/01/21..12/31/21")/-12</t>
  </si>
  <si>
    <t>=NL("sum","Item Ledger Entry","Quantity","Item No.",$D620,"Entry Type","Sale|Consumption","posting date","01/01/22..12/31/22")/-12</t>
  </si>
  <si>
    <t>=NL("sum","Item Ledger Entry","Quantity","Item No.",$D620,"Entry Type","Sale|Consumption","posting date","01/01/23..12/31/23")/$J$7</t>
  </si>
  <si>
    <t>=AVERAGE(I620:J620)</t>
  </si>
  <si>
    <t>=NL(1,"item",L$9,"no.",D620)</t>
  </si>
  <si>
    <t>=NL(1,"item",M$9,"no.",$D620)</t>
  </si>
  <si>
    <t>=NL(1,"item","Units Per Parcel","no.",$D620)</t>
  </si>
  <si>
    <t>=NL(1,"Prod. BOM Equipment","Fixed Prod. Time (Hours)","Production BOM No.",$D620,"version code",$E620,"Resource No.",O$9)</t>
  </si>
  <si>
    <t>=1/O620</t>
  </si>
  <si>
    <t>=IF(NL(1,"Prod. BOM Equipment","Variable Prod. Time (Hours)","Production BOM No.",$D620,"version code",$E620,"Resource No.",$O$9)="",1,NL(1,"Prod. BOM Equipment","Variable Prod. Time (Hours)","Production BOM No.",$D620,"version code",$E620,"Resource No.",$O$9))</t>
  </si>
  <si>
    <t>=1/Q620</t>
  </si>
  <si>
    <t>=R620*N620</t>
  </si>
  <si>
    <t>=IF(K621=0,"hide","")</t>
  </si>
  <si>
    <t>=NL("sum","Item Ledger Entry","Quantity","Item No.",$D621,"Entry Type","Sale|Consumption","posting date","01/01/19..12/31/19")/-12</t>
  </si>
  <si>
    <t>=NL("sum","Item Ledger Entry","Quantity","Item No.",$D621,"Entry Type","Sale|Consumption","posting date","01/01/20..12/31/20")/-12</t>
  </si>
  <si>
    <t>=NL("sum","Item Ledger Entry","Quantity","Item No.",$D621,"Entry Type","Sale|Consumption","posting date","01/01/21..12/31/21")/-12</t>
  </si>
  <si>
    <t>=NL("sum","Item Ledger Entry","Quantity","Item No.",$D621,"Entry Type","Sale|Consumption","posting date","01/01/22..12/31/22")/-12</t>
  </si>
  <si>
    <t>=NL("sum","Item Ledger Entry","Quantity","Item No.",$D621,"Entry Type","Sale|Consumption","posting date","01/01/23..12/31/23")/$J$7</t>
  </si>
  <si>
    <t>=AVERAGE(I621:J621)</t>
  </si>
  <si>
    <t>=NL(1,"item",L$9,"no.",D621)</t>
  </si>
  <si>
    <t>=NL(1,"item",M$9,"no.",$D621)</t>
  </si>
  <si>
    <t>=NL(1,"item","Units Per Parcel","no.",$D621)</t>
  </si>
  <si>
    <t>=NL(1,"Prod. BOM Equipment","Fixed Prod. Time (Hours)","Production BOM No.",$D621,"version code",$E621,"Resource No.",O$9)</t>
  </si>
  <si>
    <t>=1/O621</t>
  </si>
  <si>
    <t>=IF(NL(1,"Prod. BOM Equipment","Variable Prod. Time (Hours)","Production BOM No.",$D621,"version code",$E621,"Resource No.",$O$9)="",1,NL(1,"Prod. BOM Equipment","Variable Prod. Time (Hours)","Production BOM No.",$D621,"version code",$E621,"Resource No.",$O$9))</t>
  </si>
  <si>
    <t>=1/Q621</t>
  </si>
  <si>
    <t>=R621*N621</t>
  </si>
  <si>
    <t>=IF(K622=0,"hide","")</t>
  </si>
  <si>
    <t>=D620</t>
  </si>
  <si>
    <t>=NL("sum","Production Order","Quantity","Source No.",$D622,"Equipment Code",$L622,"due date",F$8)/-12</t>
  </si>
  <si>
    <t>=NL("sum","Production Order","Quantity","Source No.",$D622,"Equipment Code",$L622,"due date",G$8)/-12</t>
  </si>
  <si>
    <t>=NL("sum","Production Order","Quantity","Source No.",$D622,"Equipment Code",$L622,"due date",H$8)/-12</t>
  </si>
  <si>
    <t>=NL("sum","Production Order","Quantity","Source No.",$D622,"Equipment Code",$L622,"due date",I$8)/-12</t>
  </si>
  <si>
    <t>=NL("sum","Production Order","Quantity","Source No.",$D622,"Equipment Code",$L622,"due date",J$8)/$J$7</t>
  </si>
  <si>
    <t>=AVERAGE(I622:J622)</t>
  </si>
  <si>
    <t>=IF(K623=0,"hide","")</t>
  </si>
  <si>
    <t>=D621</t>
  </si>
  <si>
    <t>=NL("sum","Production Order","Quantity","Source No.",$D623,"Equipment Code",$L623,"due date",F$8)/-12</t>
  </si>
  <si>
    <t>=NL("sum","Production Order","Quantity","Source No.",$D623,"Equipment Code",$L623,"due date",G$8)/-12</t>
  </si>
  <si>
    <t>=NL("sum","Production Order","Quantity","Source No.",$D623,"Equipment Code",$L623,"due date",H$8)/-12</t>
  </si>
  <si>
    <t>=NL("sum","Production Order","Quantity","Source No.",$D623,"Equipment Code",$L623,"due date",I$8)/-12</t>
  </si>
  <si>
    <t>=NL("sum","Production Order","Quantity","Source No.",$D623,"Equipment Code",$L623,"due date",J$8)/$J$7</t>
  </si>
  <si>
    <t>=AVERAGE(I623:J623)</t>
  </si>
  <si>
    <t>=IF(K624=0,"hide","")</t>
  </si>
  <si>
    <t>=D622</t>
  </si>
  <si>
    <t>=NL("sum","Production Order","Quantity","Source No.",$D624,"Equipment Code",$L624,"due date",F$8)/-12</t>
  </si>
  <si>
    <t>=NL("sum","Production Order","Quantity","Source No.",$D624,"Equipment Code",$L624,"due date",G$8)/-12</t>
  </si>
  <si>
    <t>=NL("sum","Production Order","Quantity","Source No.",$D624,"Equipment Code",$L624,"due date",H$8)/-12</t>
  </si>
  <si>
    <t>=NL("sum","Production Order","Quantity","Source No.",$D624,"Equipment Code",$L624,"due date",I$8)/-12</t>
  </si>
  <si>
    <t>=NL("sum","Production Order","Quantity","Source No.",$D624,"Equipment Code",$L624,"due date",J$8)/$J$7</t>
  </si>
  <si>
    <t>=AVERAGE(I624:J624)</t>
  </si>
  <si>
    <t>=IF(K625=0,"hide","")</t>
  </si>
  <si>
    <t>=D623</t>
  </si>
  <si>
    <t>=NL("sum","Production Order","Quantity","Source No.",$D625,"Equipment Code",$L625,"due date",F$8)/-12</t>
  </si>
  <si>
    <t>=NL("sum","Production Order","Quantity","Source No.",$D625,"Equipment Code",$L625,"due date",G$8)/-12</t>
  </si>
  <si>
    <t>=NL("sum","Production Order","Quantity","Source No.",$D625,"Equipment Code",$L625,"due date",H$8)/-12</t>
  </si>
  <si>
    <t>=NL("sum","Production Order","Quantity","Source No.",$D625,"Equipment Code",$L625,"due date",I$8)/-12</t>
  </si>
  <si>
    <t>=NL("sum","Production Order","Quantity","Source No.",$D625,"Equipment Code",$L625,"due date",J$8)/$J$7</t>
  </si>
  <si>
    <t>=AVERAGE(I625:J625)</t>
  </si>
  <si>
    <t>=B622</t>
  </si>
  <si>
    <t>=B626</t>
  </si>
  <si>
    <t>=SUM(F622:F626)</t>
  </si>
  <si>
    <t>=SUM(G622:G626)</t>
  </si>
  <si>
    <t>=SUM(H622:H626)</t>
  </si>
  <si>
    <t>=SUM(I622:I626)</t>
  </si>
  <si>
    <t>=SUM(J622:J626)</t>
  </si>
  <si>
    <t>=IF(K628=0,"hide","")</t>
  </si>
  <si>
    <t>="04635"</t>
  </si>
  <si>
    <t>=NL("rows","Production BOM Version","Version Code","Production BOM No.",D628,"status","certified")</t>
  </si>
  <si>
    <t>=NL("sum","Item Ledger Entry","Quantity","Item No.",$D628,"Entry Type","Sale|Consumption","posting date","01/01/19..12/31/19")/-12</t>
  </si>
  <si>
    <t>=NL("sum","Item Ledger Entry","Quantity","Item No.",$D628,"Entry Type","Sale|Consumption","posting date","01/01/20..12/31/20")/-12</t>
  </si>
  <si>
    <t>=NL("sum","Item Ledger Entry","Quantity","Item No.",$D628,"Entry Type","Sale|Consumption","posting date","01/01/21..12/31/21")/-12</t>
  </si>
  <si>
    <t>=NL("sum","Item Ledger Entry","Quantity","Item No.",$D628,"Entry Type","Sale|Consumption","posting date","01/01/22..12/31/22")/-12</t>
  </si>
  <si>
    <t>=NL("sum","Item Ledger Entry","Quantity","Item No.",$D628,"Entry Type","Sale|Consumption","posting date","01/01/23..12/31/23")/$J$7</t>
  </si>
  <si>
    <t>=AVERAGE(I628:J628)</t>
  </si>
  <si>
    <t>=NL(1,"item",L$9,"no.",D628)</t>
  </si>
  <si>
    <t>=NL(1,"item",M$9,"no.",$D628)</t>
  </si>
  <si>
    <t>=NL(1,"item","Units Per Parcel","no.",$D628)</t>
  </si>
  <si>
    <t>=NL(1,"Prod. BOM Equipment","Fixed Prod. Time (Hours)","Production BOM No.",$D628,"version code",$E628,"Resource No.",O$9)</t>
  </si>
  <si>
    <t>=1/O628</t>
  </si>
  <si>
    <t>=IF(NL(1,"Prod. BOM Equipment","Variable Prod. Time (Hours)","Production BOM No.",$D628,"version code",$E628,"Resource No.",$O$9)="",1,NL(1,"Prod. BOM Equipment","Variable Prod. Time (Hours)","Production BOM No.",$D628,"version code",$E628,"Resource No.",$O$9))</t>
  </si>
  <si>
    <t>=1/Q628</t>
  </si>
  <si>
    <t>=R628*N628</t>
  </si>
  <si>
    <t>=IF(K629=0,"hide","")</t>
  </si>
  <si>
    <t>=D628</t>
  </si>
  <si>
    <t>=NL("sum","Production Order","Quantity","Source No.",$D629,"Equipment Code",$L629,"due date",F$8)/-12</t>
  </si>
  <si>
    <t>=NL("sum","Production Order","Quantity","Source No.",$D629,"Equipment Code",$L629,"due date",G$8)/-12</t>
  </si>
  <si>
    <t>=NL("sum","Production Order","Quantity","Source No.",$D629,"Equipment Code",$L629,"due date",H$8)/-12</t>
  </si>
  <si>
    <t>=NL("sum","Production Order","Quantity","Source No.",$D629,"Equipment Code",$L629,"due date",I$8)/-12</t>
  </si>
  <si>
    <t>=NL("sum","Production Order","Quantity","Source No.",$D629,"Equipment Code",$L629,"due date",J$8)/$J$7</t>
  </si>
  <si>
    <t>=AVERAGE(I629:J629)</t>
  </si>
  <si>
    <t>=IF(K630=0,"hide","")</t>
  </si>
  <si>
    <t>=D629</t>
  </si>
  <si>
    <t>=NL("sum","Production Order","Quantity","Source No.",$D630,"Equipment Code",$L630,"due date",F$8)/-12</t>
  </si>
  <si>
    <t>=NL("sum","Production Order","Quantity","Source No.",$D630,"Equipment Code",$L630,"due date",G$8)/-12</t>
  </si>
  <si>
    <t>=NL("sum","Production Order","Quantity","Source No.",$D630,"Equipment Code",$L630,"due date",H$8)/-12</t>
  </si>
  <si>
    <t>=NL("sum","Production Order","Quantity","Source No.",$D630,"Equipment Code",$L630,"due date",I$8)/-12</t>
  </si>
  <si>
    <t>=NL("sum","Production Order","Quantity","Source No.",$D630,"Equipment Code",$L630,"due date",J$8)/$J$7</t>
  </si>
  <si>
    <t>=AVERAGE(I630:J630)</t>
  </si>
  <si>
    <t>=IF(K631=0,"hide","")</t>
  </si>
  <si>
    <t>=D630</t>
  </si>
  <si>
    <t>=NL("sum","Production Order","Quantity","Source No.",$D631,"Equipment Code",$L631,"due date",F$8)/-12</t>
  </si>
  <si>
    <t>=NL("sum","Production Order","Quantity","Source No.",$D631,"Equipment Code",$L631,"due date",G$8)/-12</t>
  </si>
  <si>
    <t>=NL("sum","Production Order","Quantity","Source No.",$D631,"Equipment Code",$L631,"due date",H$8)/-12</t>
  </si>
  <si>
    <t>=NL("sum","Production Order","Quantity","Source No.",$D631,"Equipment Code",$L631,"due date",I$8)/-12</t>
  </si>
  <si>
    <t>=NL("sum","Production Order","Quantity","Source No.",$D631,"Equipment Code",$L631,"due date",J$8)/$J$7</t>
  </si>
  <si>
    <t>=AVERAGE(I631:J631)</t>
  </si>
  <si>
    <t>=IF(K632=0,"hide","")</t>
  </si>
  <si>
    <t>=D631</t>
  </si>
  <si>
    <t>=NL("sum","Production Order","Quantity","Source No.",$D632,"Equipment Code",$L632,"due date",F$8)/-12</t>
  </si>
  <si>
    <t>=NL("sum","Production Order","Quantity","Source No.",$D632,"Equipment Code",$L632,"due date",G$8)/-12</t>
  </si>
  <si>
    <t>=NL("sum","Production Order","Quantity","Source No.",$D632,"Equipment Code",$L632,"due date",H$8)/-12</t>
  </si>
  <si>
    <t>=NL("sum","Production Order","Quantity","Source No.",$D632,"Equipment Code",$L632,"due date",I$8)/-12</t>
  </si>
  <si>
    <t>=NL("sum","Production Order","Quantity","Source No.",$D632,"Equipment Code",$L632,"due date",J$8)/$J$7</t>
  </si>
  <si>
    <t>=AVERAGE(I632:J632)</t>
  </si>
  <si>
    <t>=B629</t>
  </si>
  <si>
    <t>=B633</t>
  </si>
  <si>
    <t>=SUM(F629:F633)</t>
  </si>
  <si>
    <t>=SUM(G629:G633)</t>
  </si>
  <si>
    <t>=SUM(H629:H633)</t>
  </si>
  <si>
    <t>=SUM(I629:I633)</t>
  </si>
  <si>
    <t>=SUM(J629:J633)</t>
  </si>
  <si>
    <t>=IF(K635=0,"hide","")</t>
  </si>
  <si>
    <t>="04685"</t>
  </si>
  <si>
    <t>=NL("rows","Production BOM Version","Version Code","Production BOM No.",D635,"status","certified")</t>
  </si>
  <si>
    <t>=NL("sum","Item Ledger Entry","Quantity","Item No.",$D635,"Entry Type","Sale|Consumption","posting date","01/01/19..12/31/19")/-12</t>
  </si>
  <si>
    <t>=NL("sum","Item Ledger Entry","Quantity","Item No.",$D635,"Entry Type","Sale|Consumption","posting date","01/01/20..12/31/20")/-12</t>
  </si>
  <si>
    <t>=NL("sum","Item Ledger Entry","Quantity","Item No.",$D635,"Entry Type","Sale|Consumption","posting date","01/01/21..12/31/21")/-12</t>
  </si>
  <si>
    <t>=NL("sum","Item Ledger Entry","Quantity","Item No.",$D635,"Entry Type","Sale|Consumption","posting date","01/01/22..12/31/22")/-12</t>
  </si>
  <si>
    <t>=NL("sum","Item Ledger Entry","Quantity","Item No.",$D635,"Entry Type","Sale|Consumption","posting date","01/01/23..12/31/23")/$J$7</t>
  </si>
  <si>
    <t>=AVERAGE(I635:J635)</t>
  </si>
  <si>
    <t>=NL(1,"item",L$9,"no.",D635)</t>
  </si>
  <si>
    <t>=NL(1,"item",M$9,"no.",$D635)</t>
  </si>
  <si>
    <t>=NL(1,"item","Units Per Parcel","no.",$D635)</t>
  </si>
  <si>
    <t>=NL(1,"Prod. BOM Equipment","Fixed Prod. Time (Hours)","Production BOM No.",$D635,"version code",$E635,"Resource No.",O$9)</t>
  </si>
  <si>
    <t>=1/O635</t>
  </si>
  <si>
    <t>=IF(NL(1,"Prod. BOM Equipment","Variable Prod. Time (Hours)","Production BOM No.",$D635,"version code",$E635,"Resource No.",$O$9)="",1,NL(1,"Prod. BOM Equipment","Variable Prod. Time (Hours)","Production BOM No.",$D635,"version code",$E635,"Resource No.",$O$9))</t>
  </si>
  <si>
    <t>=1/Q635</t>
  </si>
  <si>
    <t>=R635*N635</t>
  </si>
  <si>
    <t>=IF(K636=0,"hide","")</t>
  </si>
  <si>
    <t>=D635</t>
  </si>
  <si>
    <t>=NL("sum","Production Order","Quantity","Source No.",$D636,"Equipment Code",$L636,"due date",F$8)/-12</t>
  </si>
  <si>
    <t>=NL("sum","Production Order","Quantity","Source No.",$D636,"Equipment Code",$L636,"due date",G$8)/-12</t>
  </si>
  <si>
    <t>=NL("sum","Production Order","Quantity","Source No.",$D636,"Equipment Code",$L636,"due date",H$8)/-12</t>
  </si>
  <si>
    <t>=NL("sum","Production Order","Quantity","Source No.",$D636,"Equipment Code",$L636,"due date",I$8)/-12</t>
  </si>
  <si>
    <t>=NL("sum","Production Order","Quantity","Source No.",$D636,"Equipment Code",$L636,"due date",J$8)/$J$7</t>
  </si>
  <si>
    <t>=AVERAGE(I636:J636)</t>
  </si>
  <si>
    <t>=IF(K637=0,"hide","")</t>
  </si>
  <si>
    <t>=D636</t>
  </si>
  <si>
    <t>=NL("sum","Production Order","Quantity","Source No.",$D637,"Equipment Code",$L637,"due date",F$8)/-12</t>
  </si>
  <si>
    <t>=NL("sum","Production Order","Quantity","Source No.",$D637,"Equipment Code",$L637,"due date",G$8)/-12</t>
  </si>
  <si>
    <t>=NL("sum","Production Order","Quantity","Source No.",$D637,"Equipment Code",$L637,"due date",H$8)/-12</t>
  </si>
  <si>
    <t>=NL("sum","Production Order","Quantity","Source No.",$D637,"Equipment Code",$L637,"due date",I$8)/-12</t>
  </si>
  <si>
    <t>=NL("sum","Production Order","Quantity","Source No.",$D637,"Equipment Code",$L637,"due date",J$8)/$J$7</t>
  </si>
  <si>
    <t>=AVERAGE(I637:J637)</t>
  </si>
  <si>
    <t>=IF(K638=0,"hide","")</t>
  </si>
  <si>
    <t>=D637</t>
  </si>
  <si>
    <t>=NL("sum","Production Order","Quantity","Source No.",$D638,"Equipment Code",$L638,"due date",F$8)/-12</t>
  </si>
  <si>
    <t>=NL("sum","Production Order","Quantity","Source No.",$D638,"Equipment Code",$L638,"due date",G$8)/-12</t>
  </si>
  <si>
    <t>=NL("sum","Production Order","Quantity","Source No.",$D638,"Equipment Code",$L638,"due date",H$8)/-12</t>
  </si>
  <si>
    <t>=NL("sum","Production Order","Quantity","Source No.",$D638,"Equipment Code",$L638,"due date",I$8)/-12</t>
  </si>
  <si>
    <t>=NL("sum","Production Order","Quantity","Source No.",$D638,"Equipment Code",$L638,"due date",J$8)/$J$7</t>
  </si>
  <si>
    <t>=AVERAGE(I638:J638)</t>
  </si>
  <si>
    <t>=IF(K639=0,"hide","")</t>
  </si>
  <si>
    <t>=D638</t>
  </si>
  <si>
    <t>=NL("sum","Production Order","Quantity","Source No.",$D639,"Equipment Code",$L639,"due date",F$8)/-12</t>
  </si>
  <si>
    <t>=NL("sum","Production Order","Quantity","Source No.",$D639,"Equipment Code",$L639,"due date",G$8)/-12</t>
  </si>
  <si>
    <t>=NL("sum","Production Order","Quantity","Source No.",$D639,"Equipment Code",$L639,"due date",H$8)/-12</t>
  </si>
  <si>
    <t>=NL("sum","Production Order","Quantity","Source No.",$D639,"Equipment Code",$L639,"due date",I$8)/-12</t>
  </si>
  <si>
    <t>=NL("sum","Production Order","Quantity","Source No.",$D639,"Equipment Code",$L639,"due date",J$8)/$J$7</t>
  </si>
  <si>
    <t>=AVERAGE(I639:J639)</t>
  </si>
  <si>
    <t>=B636</t>
  </si>
  <si>
    <t>=B640</t>
  </si>
  <si>
    <t>=SUM(F636:F640)</t>
  </si>
  <si>
    <t>=SUM(G636:G640)</t>
  </si>
  <si>
    <t>=SUM(H636:H640)</t>
  </si>
  <si>
    <t>=SUM(I636:I640)</t>
  </si>
  <si>
    <t>=SUM(J636:J640)</t>
  </si>
  <si>
    <t>=IF(K642=0,"hide","")</t>
  </si>
  <si>
    <t>=NL("rows","Production BOM Version","Version Code","Production BOM No.",D642,"status","certified")</t>
  </si>
  <si>
    <t>=NL("sum","Item Ledger Entry","Quantity","Item No.",$D642,"Entry Type","Sale|Consumption","posting date","01/01/19..12/31/19")/-12</t>
  </si>
  <si>
    <t>=NL("sum","Item Ledger Entry","Quantity","Item No.",$D642,"Entry Type","Sale|Consumption","posting date","01/01/20..12/31/20")/-12</t>
  </si>
  <si>
    <t>=NL("sum","Item Ledger Entry","Quantity","Item No.",$D642,"Entry Type","Sale|Consumption","posting date","01/01/21..12/31/21")/-12</t>
  </si>
  <si>
    <t>=NL("sum","Item Ledger Entry","Quantity","Item No.",$D642,"Entry Type","Sale|Consumption","posting date","01/01/22..12/31/22")/-12</t>
  </si>
  <si>
    <t>=NL("sum","Item Ledger Entry","Quantity","Item No.",$D642,"Entry Type","Sale|Consumption","posting date","01/01/23..12/31/23")/$J$7</t>
  </si>
  <si>
    <t>=AVERAGE(I642:J642)</t>
  </si>
  <si>
    <t>=NL(1,"item",L$9,"no.",D642)</t>
  </si>
  <si>
    <t>=NL(1,"item",M$9,"no.",$D642)</t>
  </si>
  <si>
    <t>=NL(1,"item","Units Per Parcel","no.",$D642)</t>
  </si>
  <si>
    <t>=NL(1,"Prod. BOM Equipment","Fixed Prod. Time (Hours)","Production BOM No.",$D642,"version code",$E642,"Resource No.",O$9)</t>
  </si>
  <si>
    <t>=1/O642</t>
  </si>
  <si>
    <t>=IF(NL(1,"Prod. BOM Equipment","Variable Prod. Time (Hours)","Production BOM No.",$D642,"version code",$E642,"Resource No.",$O$9)="",1,NL(1,"Prod. BOM Equipment","Variable Prod. Time (Hours)","Production BOM No.",$D642,"version code",$E642,"Resource No.",$O$9))</t>
  </si>
  <si>
    <t>=1/Q642</t>
  </si>
  <si>
    <t>=R642*N642</t>
  </si>
  <si>
    <t>=IF(K643=0,"hide","")</t>
  </si>
  <si>
    <t>=D642</t>
  </si>
  <si>
    <t>=NL("sum","Production Order","Quantity","Source No.",$D643,"Equipment Code",$L643,"due date",F$8)/-12</t>
  </si>
  <si>
    <t>=NL("sum","Production Order","Quantity","Source No.",$D643,"Equipment Code",$L643,"due date",G$8)/-12</t>
  </si>
  <si>
    <t>=NL("sum","Production Order","Quantity","Source No.",$D643,"Equipment Code",$L643,"due date",H$8)/-12</t>
  </si>
  <si>
    <t>=NL("sum","Production Order","Quantity","Source No.",$D643,"Equipment Code",$L643,"due date",I$8)/-12</t>
  </si>
  <si>
    <t>=NL("sum","Production Order","Quantity","Source No.",$D643,"Equipment Code",$L643,"due date",J$8)/$J$7</t>
  </si>
  <si>
    <t>=AVERAGE(I643:J643)</t>
  </si>
  <si>
    <t>=IF(K644=0,"hide","")</t>
  </si>
  <si>
    <t>=D643</t>
  </si>
  <si>
    <t>=NL("sum","Production Order","Quantity","Source No.",$D644,"Equipment Code",$L644,"due date",F$8)/-12</t>
  </si>
  <si>
    <t>=NL("sum","Production Order","Quantity","Source No.",$D644,"Equipment Code",$L644,"due date",G$8)/-12</t>
  </si>
  <si>
    <t>=NL("sum","Production Order","Quantity","Source No.",$D644,"Equipment Code",$L644,"due date",H$8)/-12</t>
  </si>
  <si>
    <t>=NL("sum","Production Order","Quantity","Source No.",$D644,"Equipment Code",$L644,"due date",I$8)/-12</t>
  </si>
  <si>
    <t>=NL("sum","Production Order","Quantity","Source No.",$D644,"Equipment Code",$L644,"due date",J$8)/$J$7</t>
  </si>
  <si>
    <t>=AVERAGE(I644:J644)</t>
  </si>
  <si>
    <t>=IF(K645=0,"hide","")</t>
  </si>
  <si>
    <t>=D644</t>
  </si>
  <si>
    <t>=NL("sum","Production Order","Quantity","Source No.",$D645,"Equipment Code",$L645,"due date",F$8)/-12</t>
  </si>
  <si>
    <t>=NL("sum","Production Order","Quantity","Source No.",$D645,"Equipment Code",$L645,"due date",G$8)/-12</t>
  </si>
  <si>
    <t>=NL("sum","Production Order","Quantity","Source No.",$D645,"Equipment Code",$L645,"due date",H$8)/-12</t>
  </si>
  <si>
    <t>=NL("sum","Production Order","Quantity","Source No.",$D645,"Equipment Code",$L645,"due date",I$8)/-12</t>
  </si>
  <si>
    <t>=NL("sum","Production Order","Quantity","Source No.",$D645,"Equipment Code",$L645,"due date",J$8)/$J$7</t>
  </si>
  <si>
    <t>=AVERAGE(I645:J645)</t>
  </si>
  <si>
    <t>=IF(K646=0,"hide","")</t>
  </si>
  <si>
    <t>=D645</t>
  </si>
  <si>
    <t>=NL("sum","Production Order","Quantity","Source No.",$D646,"Equipment Code",$L646,"due date",F$8)/-12</t>
  </si>
  <si>
    <t>=NL("sum","Production Order","Quantity","Source No.",$D646,"Equipment Code",$L646,"due date",G$8)/-12</t>
  </si>
  <si>
    <t>=NL("sum","Production Order","Quantity","Source No.",$D646,"Equipment Code",$L646,"due date",H$8)/-12</t>
  </si>
  <si>
    <t>=NL("sum","Production Order","Quantity","Source No.",$D646,"Equipment Code",$L646,"due date",I$8)/-12</t>
  </si>
  <si>
    <t>=NL("sum","Production Order","Quantity","Source No.",$D646,"Equipment Code",$L646,"due date",J$8)/$J$7</t>
  </si>
  <si>
    <t>=AVERAGE(I646:J646)</t>
  </si>
  <si>
    <t>=B643</t>
  </si>
  <si>
    <t>=B647</t>
  </si>
  <si>
    <t>=SUM(F643:F647)</t>
  </si>
  <si>
    <t>=SUM(G643:G647)</t>
  </si>
  <si>
    <t>=SUM(H643:H647)</t>
  </si>
  <si>
    <t>=SUM(I643:I647)</t>
  </si>
  <si>
    <t>=SUM(J643:J647)</t>
  </si>
  <si>
    <t>=IF(K649=0,"hide","")</t>
  </si>
  <si>
    <t>="05101"</t>
  </si>
  <si>
    <t>=NL("rows","Production BOM Version","Version Code","Production BOM No.",D649,"status","certified")</t>
  </si>
  <si>
    <t>=NL("sum","Item Ledger Entry","Quantity","Item No.",$D649,"Entry Type","Sale|Consumption","posting date","01/01/19..12/31/19")/-12</t>
  </si>
  <si>
    <t>=NL("sum","Item Ledger Entry","Quantity","Item No.",$D649,"Entry Type","Sale|Consumption","posting date","01/01/20..12/31/20")/-12</t>
  </si>
  <si>
    <t>=NL("sum","Item Ledger Entry","Quantity","Item No.",$D649,"Entry Type","Sale|Consumption","posting date","01/01/21..12/31/21")/-12</t>
  </si>
  <si>
    <t>=NL("sum","Item Ledger Entry","Quantity","Item No.",$D649,"Entry Type","Sale|Consumption","posting date","01/01/22..12/31/22")/-12</t>
  </si>
  <si>
    <t>=NL("sum","Item Ledger Entry","Quantity","Item No.",$D649,"Entry Type","Sale|Consumption","posting date","01/01/23..12/31/23")/$J$7</t>
  </si>
  <si>
    <t>=AVERAGE(I649:J649)</t>
  </si>
  <si>
    <t>=NL(1,"item",L$9,"no.",D649)</t>
  </si>
  <si>
    <t>=NL(1,"item",M$9,"no.",$D649)</t>
  </si>
  <si>
    <t>=NL(1,"item","Units Per Parcel","no.",$D649)</t>
  </si>
  <si>
    <t>=NL(1,"Prod. BOM Equipment","Fixed Prod. Time (Hours)","Production BOM No.",$D649,"version code",$E649,"Resource No.",O$9)</t>
  </si>
  <si>
    <t>=1/O649</t>
  </si>
  <si>
    <t>=IF(NL(1,"Prod. BOM Equipment","Variable Prod. Time (Hours)","Production BOM No.",$D649,"version code",$E649,"Resource No.",$O$9)="",1,NL(1,"Prod. BOM Equipment","Variable Prod. Time (Hours)","Production BOM No.",$D649,"version code",$E649,"Resource No.",$O$9))</t>
  </si>
  <si>
    <t>=1/Q649</t>
  </si>
  <si>
    <t>=R649*N649</t>
  </si>
  <si>
    <t>=IF(K650=0,"hide","")</t>
  </si>
  <si>
    <t>=D649</t>
  </si>
  <si>
    <t>=NL("sum","Production Order","Quantity","Source No.",$D650,"Equipment Code",$L650,"due date",F$8)/-12</t>
  </si>
  <si>
    <t>=NL("sum","Production Order","Quantity","Source No.",$D650,"Equipment Code",$L650,"due date",G$8)/-12</t>
  </si>
  <si>
    <t>=NL("sum","Production Order","Quantity","Source No.",$D650,"Equipment Code",$L650,"due date",H$8)/-12</t>
  </si>
  <si>
    <t>=NL("sum","Production Order","Quantity","Source No.",$D650,"Equipment Code",$L650,"due date",I$8)/-12</t>
  </si>
  <si>
    <t>=NL("sum","Production Order","Quantity","Source No.",$D650,"Equipment Code",$L650,"due date",J$8)/$J$7</t>
  </si>
  <si>
    <t>=AVERAGE(I650:J650)</t>
  </si>
  <si>
    <t>=IF(K651=0,"hide","")</t>
  </si>
  <si>
    <t>=D650</t>
  </si>
  <si>
    <t>=NL("sum","Production Order","Quantity","Source No.",$D651,"Equipment Code",$L651,"due date",F$8)/-12</t>
  </si>
  <si>
    <t>=NL("sum","Production Order","Quantity","Source No.",$D651,"Equipment Code",$L651,"due date",G$8)/-12</t>
  </si>
  <si>
    <t>=NL("sum","Production Order","Quantity","Source No.",$D651,"Equipment Code",$L651,"due date",H$8)/-12</t>
  </si>
  <si>
    <t>=NL("sum","Production Order","Quantity","Source No.",$D651,"Equipment Code",$L651,"due date",I$8)/-12</t>
  </si>
  <si>
    <t>=NL("sum","Production Order","Quantity","Source No.",$D651,"Equipment Code",$L651,"due date",J$8)/$J$7</t>
  </si>
  <si>
    <t>=AVERAGE(I651:J651)</t>
  </si>
  <si>
    <t>=IF(K652=0,"hide","")</t>
  </si>
  <si>
    <t>=D651</t>
  </si>
  <si>
    <t>=NL("sum","Production Order","Quantity","Source No.",$D652,"Equipment Code",$L652,"due date",F$8)/-12</t>
  </si>
  <si>
    <t>=NL("sum","Production Order","Quantity","Source No.",$D652,"Equipment Code",$L652,"due date",G$8)/-12</t>
  </si>
  <si>
    <t>=NL("sum","Production Order","Quantity","Source No.",$D652,"Equipment Code",$L652,"due date",H$8)/-12</t>
  </si>
  <si>
    <t>=NL("sum","Production Order","Quantity","Source No.",$D652,"Equipment Code",$L652,"due date",I$8)/-12</t>
  </si>
  <si>
    <t>=NL("sum","Production Order","Quantity","Source No.",$D652,"Equipment Code",$L652,"due date",J$8)/$J$7</t>
  </si>
  <si>
    <t>=AVERAGE(I652:J652)</t>
  </si>
  <si>
    <t>=IF(K653=0,"hide","")</t>
  </si>
  <si>
    <t>=D652</t>
  </si>
  <si>
    <t>=NL("sum","Production Order","Quantity","Source No.",$D653,"Equipment Code",$L653,"due date",F$8)/-12</t>
  </si>
  <si>
    <t>=NL("sum","Production Order","Quantity","Source No.",$D653,"Equipment Code",$L653,"due date",G$8)/-12</t>
  </si>
  <si>
    <t>=NL("sum","Production Order","Quantity","Source No.",$D653,"Equipment Code",$L653,"due date",H$8)/-12</t>
  </si>
  <si>
    <t>=NL("sum","Production Order","Quantity","Source No.",$D653,"Equipment Code",$L653,"due date",I$8)/-12</t>
  </si>
  <si>
    <t>=NL("sum","Production Order","Quantity","Source No.",$D653,"Equipment Code",$L653,"due date",J$8)/$J$7</t>
  </si>
  <si>
    <t>=AVERAGE(I653:J653)</t>
  </si>
  <si>
    <t>=B650</t>
  </si>
  <si>
    <t>=B654</t>
  </si>
  <si>
    <t>=SUM(F650:F654)</t>
  </si>
  <si>
    <t>=SUM(G650:G654)</t>
  </si>
  <si>
    <t>=SUM(H650:H654)</t>
  </si>
  <si>
    <t>=SUM(I650:I654)</t>
  </si>
  <si>
    <t>=SUM(J650:J654)</t>
  </si>
  <si>
    <t>=IF(K656=0,"hide","")</t>
  </si>
  <si>
    <t>="05102"</t>
  </si>
  <si>
    <t>=NL("rows","Production BOM Version","Version Code","Production BOM No.",D656,"status","certified")</t>
  </si>
  <si>
    <t>=NL("sum","Item Ledger Entry","Quantity","Item No.",$D656,"Entry Type","Sale|Consumption","posting date","01/01/19..12/31/19")/-12</t>
  </si>
  <si>
    <t>=NL("sum","Item Ledger Entry","Quantity","Item No.",$D656,"Entry Type","Sale|Consumption","posting date","01/01/20..12/31/20")/-12</t>
  </si>
  <si>
    <t>=NL("sum","Item Ledger Entry","Quantity","Item No.",$D656,"Entry Type","Sale|Consumption","posting date","01/01/21..12/31/21")/-12</t>
  </si>
  <si>
    <t>=NL("sum","Item Ledger Entry","Quantity","Item No.",$D656,"Entry Type","Sale|Consumption","posting date","01/01/22..12/31/22")/-12</t>
  </si>
  <si>
    <t>=NL("sum","Item Ledger Entry","Quantity","Item No.",$D656,"Entry Type","Sale|Consumption","posting date","01/01/23..12/31/23")/$J$7</t>
  </si>
  <si>
    <t>=AVERAGE(I656:J656)</t>
  </si>
  <si>
    <t>=NL(1,"item",L$9,"no.",D656)</t>
  </si>
  <si>
    <t>=NL(1,"item",M$9,"no.",$D656)</t>
  </si>
  <si>
    <t>=NL(1,"item","Units Per Parcel","no.",$D656)</t>
  </si>
  <si>
    <t>=NL(1,"Prod. BOM Equipment","Fixed Prod. Time (Hours)","Production BOM No.",$D656,"version code",$E656,"Resource No.",O$9)</t>
  </si>
  <si>
    <t>=1/O656</t>
  </si>
  <si>
    <t>=IF(NL(1,"Prod. BOM Equipment","Variable Prod. Time (Hours)","Production BOM No.",$D656,"version code",$E656,"Resource No.",$O$9)="",1,NL(1,"Prod. BOM Equipment","Variable Prod. Time (Hours)","Production BOM No.",$D656,"version code",$E656,"Resource No.",$O$9))</t>
  </si>
  <si>
    <t>=1/Q656</t>
  </si>
  <si>
    <t>=R656*N656</t>
  </si>
  <si>
    <t>=IF(K657=0,"hide","")</t>
  </si>
  <si>
    <t>=D656</t>
  </si>
  <si>
    <t>=NL("sum","Production Order","Quantity","Source No.",$D657,"Equipment Code",$L657,"due date",F$8)/-12</t>
  </si>
  <si>
    <t>=NL("sum","Production Order","Quantity","Source No.",$D657,"Equipment Code",$L657,"due date",G$8)/-12</t>
  </si>
  <si>
    <t>=NL("sum","Production Order","Quantity","Source No.",$D657,"Equipment Code",$L657,"due date",H$8)/-12</t>
  </si>
  <si>
    <t>=NL("sum","Production Order","Quantity","Source No.",$D657,"Equipment Code",$L657,"due date",I$8)/-12</t>
  </si>
  <si>
    <t>=NL("sum","Production Order","Quantity","Source No.",$D657,"Equipment Code",$L657,"due date",J$8)/$J$7</t>
  </si>
  <si>
    <t>=AVERAGE(I657:J657)</t>
  </si>
  <si>
    <t>=IF(K658=0,"hide","")</t>
  </si>
  <si>
    <t>=D657</t>
  </si>
  <si>
    <t>=NL("sum","Production Order","Quantity","Source No.",$D658,"Equipment Code",$L658,"due date",F$8)/-12</t>
  </si>
  <si>
    <t>=NL("sum","Production Order","Quantity","Source No.",$D658,"Equipment Code",$L658,"due date",G$8)/-12</t>
  </si>
  <si>
    <t>=NL("sum","Production Order","Quantity","Source No.",$D658,"Equipment Code",$L658,"due date",H$8)/-12</t>
  </si>
  <si>
    <t>=NL("sum","Production Order","Quantity","Source No.",$D658,"Equipment Code",$L658,"due date",I$8)/-12</t>
  </si>
  <si>
    <t>=NL("sum","Production Order","Quantity","Source No.",$D658,"Equipment Code",$L658,"due date",J$8)/$J$7</t>
  </si>
  <si>
    <t>=AVERAGE(I658:J658)</t>
  </si>
  <si>
    <t>=IF(K659=0,"hide","")</t>
  </si>
  <si>
    <t>=D658</t>
  </si>
  <si>
    <t>=NL("sum","Production Order","Quantity","Source No.",$D659,"Equipment Code",$L659,"due date",F$8)/-12</t>
  </si>
  <si>
    <t>=NL("sum","Production Order","Quantity","Source No.",$D659,"Equipment Code",$L659,"due date",G$8)/-12</t>
  </si>
  <si>
    <t>=NL("sum","Production Order","Quantity","Source No.",$D659,"Equipment Code",$L659,"due date",H$8)/-12</t>
  </si>
  <si>
    <t>=NL("sum","Production Order","Quantity","Source No.",$D659,"Equipment Code",$L659,"due date",I$8)/-12</t>
  </si>
  <si>
    <t>=NL("sum","Production Order","Quantity","Source No.",$D659,"Equipment Code",$L659,"due date",J$8)/$J$7</t>
  </si>
  <si>
    <t>=AVERAGE(I659:J659)</t>
  </si>
  <si>
    <t>=IF(K660=0,"hide","")</t>
  </si>
  <si>
    <t>=D659</t>
  </si>
  <si>
    <t>=NL("sum","Production Order","Quantity","Source No.",$D660,"Equipment Code",$L660,"due date",F$8)/-12</t>
  </si>
  <si>
    <t>=NL("sum","Production Order","Quantity","Source No.",$D660,"Equipment Code",$L660,"due date",G$8)/-12</t>
  </si>
  <si>
    <t>=NL("sum","Production Order","Quantity","Source No.",$D660,"Equipment Code",$L660,"due date",H$8)/-12</t>
  </si>
  <si>
    <t>=NL("sum","Production Order","Quantity","Source No.",$D660,"Equipment Code",$L660,"due date",I$8)/-12</t>
  </si>
  <si>
    <t>=NL("sum","Production Order","Quantity","Source No.",$D660,"Equipment Code",$L660,"due date",J$8)/$J$7</t>
  </si>
  <si>
    <t>=AVERAGE(I660:J660)</t>
  </si>
  <si>
    <t>=B657</t>
  </si>
  <si>
    <t>=B661</t>
  </si>
  <si>
    <t>=SUM(F657:F661)</t>
  </si>
  <si>
    <t>=SUM(G657:G661)</t>
  </si>
  <si>
    <t>=SUM(H657:H661)</t>
  </si>
  <si>
    <t>=SUM(I657:I661)</t>
  </si>
  <si>
    <t>=SUM(J657:J661)</t>
  </si>
  <si>
    <t>=IF(K663=0,"hide","")</t>
  </si>
  <si>
    <t>="05105"</t>
  </si>
  <si>
    <t>=NL("rows","Production BOM Version","Version Code","Production BOM No.",D663,"status","certified")</t>
  </si>
  <si>
    <t>=NL("sum","Item Ledger Entry","Quantity","Item No.",$D663,"Entry Type","Sale|Consumption","posting date","01/01/19..12/31/19")/-12</t>
  </si>
  <si>
    <t>=NL("sum","Item Ledger Entry","Quantity","Item No.",$D663,"Entry Type","Sale|Consumption","posting date","01/01/20..12/31/20")/-12</t>
  </si>
  <si>
    <t>=NL("sum","Item Ledger Entry","Quantity","Item No.",$D663,"Entry Type","Sale|Consumption","posting date","01/01/21..12/31/21")/-12</t>
  </si>
  <si>
    <t>=NL("sum","Item Ledger Entry","Quantity","Item No.",$D663,"Entry Type","Sale|Consumption","posting date","01/01/22..12/31/22")/-12</t>
  </si>
  <si>
    <t>=NL("sum","Item Ledger Entry","Quantity","Item No.",$D663,"Entry Type","Sale|Consumption","posting date","01/01/23..12/31/23")/$J$7</t>
  </si>
  <si>
    <t>=AVERAGE(I663:J663)</t>
  </si>
  <si>
    <t>=NL(1,"item",L$9,"no.",D663)</t>
  </si>
  <si>
    <t>=NL(1,"item",M$9,"no.",$D663)</t>
  </si>
  <si>
    <t>=NL(1,"item","Units Per Parcel","no.",$D663)</t>
  </si>
  <si>
    <t>=NL(1,"Prod. BOM Equipment","Fixed Prod. Time (Hours)","Production BOM No.",$D663,"version code",$E663,"Resource No.",O$9)</t>
  </si>
  <si>
    <t>=1/O663</t>
  </si>
  <si>
    <t>=IF(NL(1,"Prod. BOM Equipment","Variable Prod. Time (Hours)","Production BOM No.",$D663,"version code",$E663,"Resource No.",$O$9)="",1,NL(1,"Prod. BOM Equipment","Variable Prod. Time (Hours)","Production BOM No.",$D663,"version code",$E663,"Resource No.",$O$9))</t>
  </si>
  <si>
    <t>=1/Q663</t>
  </si>
  <si>
    <t>=R663*N663</t>
  </si>
  <si>
    <t>=IF(K664=0,"hide","")</t>
  </si>
  <si>
    <t>=D663</t>
  </si>
  <si>
    <t>=NL("sum","Production Order","Quantity","Source No.",$D664,"Equipment Code",$L664,"due date",F$8)/-12</t>
  </si>
  <si>
    <t>=NL("sum","Production Order","Quantity","Source No.",$D664,"Equipment Code",$L664,"due date",G$8)/-12</t>
  </si>
  <si>
    <t>=NL("sum","Production Order","Quantity","Source No.",$D664,"Equipment Code",$L664,"due date",H$8)/-12</t>
  </si>
  <si>
    <t>=NL("sum","Production Order","Quantity","Source No.",$D664,"Equipment Code",$L664,"due date",I$8)/-12</t>
  </si>
  <si>
    <t>=NL("sum","Production Order","Quantity","Source No.",$D664,"Equipment Code",$L664,"due date",J$8)/$J$7</t>
  </si>
  <si>
    <t>=AVERAGE(I664:J664)</t>
  </si>
  <si>
    <t>=IF(K665=0,"hide","")</t>
  </si>
  <si>
    <t>=D664</t>
  </si>
  <si>
    <t>=NL("sum","Production Order","Quantity","Source No.",$D665,"Equipment Code",$L665,"due date",F$8)/-12</t>
  </si>
  <si>
    <t>=NL("sum","Production Order","Quantity","Source No.",$D665,"Equipment Code",$L665,"due date",G$8)/-12</t>
  </si>
  <si>
    <t>=NL("sum","Production Order","Quantity","Source No.",$D665,"Equipment Code",$L665,"due date",H$8)/-12</t>
  </si>
  <si>
    <t>=NL("sum","Production Order","Quantity","Source No.",$D665,"Equipment Code",$L665,"due date",I$8)/-12</t>
  </si>
  <si>
    <t>=NL("sum","Production Order","Quantity","Source No.",$D665,"Equipment Code",$L665,"due date",J$8)/$J$7</t>
  </si>
  <si>
    <t>=AVERAGE(I665:J665)</t>
  </si>
  <si>
    <t>=IF(K666=0,"hide","")</t>
  </si>
  <si>
    <t>=D665</t>
  </si>
  <si>
    <t>=NL("sum","Production Order","Quantity","Source No.",$D666,"Equipment Code",$L666,"due date",F$8)/-12</t>
  </si>
  <si>
    <t>=NL("sum","Production Order","Quantity","Source No.",$D666,"Equipment Code",$L666,"due date",G$8)/-12</t>
  </si>
  <si>
    <t>=NL("sum","Production Order","Quantity","Source No.",$D666,"Equipment Code",$L666,"due date",H$8)/-12</t>
  </si>
  <si>
    <t>=NL("sum","Production Order","Quantity","Source No.",$D666,"Equipment Code",$L666,"due date",I$8)/-12</t>
  </si>
  <si>
    <t>=NL("sum","Production Order","Quantity","Source No.",$D666,"Equipment Code",$L666,"due date",J$8)/$J$7</t>
  </si>
  <si>
    <t>=AVERAGE(I666:J666)</t>
  </si>
  <si>
    <t>=IF(K667=0,"hide","")</t>
  </si>
  <si>
    <t>=D666</t>
  </si>
  <si>
    <t>=NL("sum","Production Order","Quantity","Source No.",$D667,"Equipment Code",$L667,"due date",F$8)/-12</t>
  </si>
  <si>
    <t>=NL("sum","Production Order","Quantity","Source No.",$D667,"Equipment Code",$L667,"due date",G$8)/-12</t>
  </si>
  <si>
    <t>=NL("sum","Production Order","Quantity","Source No.",$D667,"Equipment Code",$L667,"due date",H$8)/-12</t>
  </si>
  <si>
    <t>=NL("sum","Production Order","Quantity","Source No.",$D667,"Equipment Code",$L667,"due date",I$8)/-12</t>
  </si>
  <si>
    <t>=NL("sum","Production Order","Quantity","Source No.",$D667,"Equipment Code",$L667,"due date",J$8)/$J$7</t>
  </si>
  <si>
    <t>=AVERAGE(I667:J667)</t>
  </si>
  <si>
    <t>=B664</t>
  </si>
  <si>
    <t>=B668</t>
  </si>
  <si>
    <t>=SUM(F664:F668)</t>
  </si>
  <si>
    <t>=SUM(G664:G668)</t>
  </si>
  <si>
    <t>=SUM(H664:H668)</t>
  </si>
  <si>
    <t>=SUM(I664:I668)</t>
  </si>
  <si>
    <t>=SUM(J664:J668)</t>
  </si>
  <si>
    <t>=IF(K670=0,"hide","")</t>
  </si>
  <si>
    <t>="05110"</t>
  </si>
  <si>
    <t>=NL("rows","Production BOM Version","Version Code","Production BOM No.",D670,"status","certified")</t>
  </si>
  <si>
    <t>=NL("sum","Item Ledger Entry","Quantity","Item No.",$D670,"Entry Type","Sale|Consumption","posting date","01/01/19..12/31/19")/-12</t>
  </si>
  <si>
    <t>=NL("sum","Item Ledger Entry","Quantity","Item No.",$D670,"Entry Type","Sale|Consumption","posting date","01/01/20..12/31/20")/-12</t>
  </si>
  <si>
    <t>=NL("sum","Item Ledger Entry","Quantity","Item No.",$D670,"Entry Type","Sale|Consumption","posting date","01/01/21..12/31/21")/-12</t>
  </si>
  <si>
    <t>=NL("sum","Item Ledger Entry","Quantity","Item No.",$D670,"Entry Type","Sale|Consumption","posting date","01/01/22..12/31/22")/-12</t>
  </si>
  <si>
    <t>=NL("sum","Item Ledger Entry","Quantity","Item No.",$D670,"Entry Type","Sale|Consumption","posting date","01/01/23..12/31/23")/$J$7</t>
  </si>
  <si>
    <t>=AVERAGE(I670:J670)</t>
  </si>
  <si>
    <t>=NL(1,"item",L$9,"no.",D670)</t>
  </si>
  <si>
    <t>=NL(1,"item",M$9,"no.",$D670)</t>
  </si>
  <si>
    <t>=NL(1,"item","Units Per Parcel","no.",$D670)</t>
  </si>
  <si>
    <t>=NL(1,"Prod. BOM Equipment","Fixed Prod. Time (Hours)","Production BOM No.",$D670,"version code",$E670,"Resource No.",O$9)</t>
  </si>
  <si>
    <t>=1/O670</t>
  </si>
  <si>
    <t>=IF(NL(1,"Prod. BOM Equipment","Variable Prod. Time (Hours)","Production BOM No.",$D670,"version code",$E670,"Resource No.",$O$9)="",1,NL(1,"Prod. BOM Equipment","Variable Prod. Time (Hours)","Production BOM No.",$D670,"version code",$E670,"Resource No.",$O$9))</t>
  </si>
  <si>
    <t>=1/Q670</t>
  </si>
  <si>
    <t>=R670*N670</t>
  </si>
  <si>
    <t>=IF(K671=0,"hide","")</t>
  </si>
  <si>
    <t>=D670</t>
  </si>
  <si>
    <t>=NL("sum","Production Order","Quantity","Source No.",$D671,"Equipment Code",$L671,"due date",F$8)/-12</t>
  </si>
  <si>
    <t>=NL("sum","Production Order","Quantity","Source No.",$D671,"Equipment Code",$L671,"due date",G$8)/-12</t>
  </si>
  <si>
    <t>=NL("sum","Production Order","Quantity","Source No.",$D671,"Equipment Code",$L671,"due date",H$8)/-12</t>
  </si>
  <si>
    <t>=NL("sum","Production Order","Quantity","Source No.",$D671,"Equipment Code",$L671,"due date",I$8)/-12</t>
  </si>
  <si>
    <t>=NL("sum","Production Order","Quantity","Source No.",$D671,"Equipment Code",$L671,"due date",J$8)/$J$7</t>
  </si>
  <si>
    <t>=AVERAGE(I671:J671)</t>
  </si>
  <si>
    <t>=IF(K672=0,"hide","")</t>
  </si>
  <si>
    <t>=D671</t>
  </si>
  <si>
    <t>=NL("sum","Production Order","Quantity","Source No.",$D672,"Equipment Code",$L672,"due date",F$8)/-12</t>
  </si>
  <si>
    <t>=NL("sum","Production Order","Quantity","Source No.",$D672,"Equipment Code",$L672,"due date",G$8)/-12</t>
  </si>
  <si>
    <t>=NL("sum","Production Order","Quantity","Source No.",$D672,"Equipment Code",$L672,"due date",H$8)/-12</t>
  </si>
  <si>
    <t>=NL("sum","Production Order","Quantity","Source No.",$D672,"Equipment Code",$L672,"due date",I$8)/-12</t>
  </si>
  <si>
    <t>=NL("sum","Production Order","Quantity","Source No.",$D672,"Equipment Code",$L672,"due date",J$8)/$J$7</t>
  </si>
  <si>
    <t>=AVERAGE(I672:J672)</t>
  </si>
  <si>
    <t>=IF(K673=0,"hide","")</t>
  </si>
  <si>
    <t>=D672</t>
  </si>
  <si>
    <t>=NL("sum","Production Order","Quantity","Source No.",$D673,"Equipment Code",$L673,"due date",F$8)/-12</t>
  </si>
  <si>
    <t>=NL("sum","Production Order","Quantity","Source No.",$D673,"Equipment Code",$L673,"due date",G$8)/-12</t>
  </si>
  <si>
    <t>=NL("sum","Production Order","Quantity","Source No.",$D673,"Equipment Code",$L673,"due date",H$8)/-12</t>
  </si>
  <si>
    <t>=NL("sum","Production Order","Quantity","Source No.",$D673,"Equipment Code",$L673,"due date",I$8)/-12</t>
  </si>
  <si>
    <t>=NL("sum","Production Order","Quantity","Source No.",$D673,"Equipment Code",$L673,"due date",J$8)/$J$7</t>
  </si>
  <si>
    <t>=AVERAGE(I673:J673)</t>
  </si>
  <si>
    <t>=IF(K674=0,"hide","")</t>
  </si>
  <si>
    <t>=D673</t>
  </si>
  <si>
    <t>=NL("sum","Production Order","Quantity","Source No.",$D674,"Equipment Code",$L674,"due date",F$8)/-12</t>
  </si>
  <si>
    <t>=NL("sum","Production Order","Quantity","Source No.",$D674,"Equipment Code",$L674,"due date",G$8)/-12</t>
  </si>
  <si>
    <t>=NL("sum","Production Order","Quantity","Source No.",$D674,"Equipment Code",$L674,"due date",H$8)/-12</t>
  </si>
  <si>
    <t>=NL("sum","Production Order","Quantity","Source No.",$D674,"Equipment Code",$L674,"due date",I$8)/-12</t>
  </si>
  <si>
    <t>=NL("sum","Production Order","Quantity","Source No.",$D674,"Equipment Code",$L674,"due date",J$8)/$J$7</t>
  </si>
  <si>
    <t>=AVERAGE(I674:J674)</t>
  </si>
  <si>
    <t>=B671</t>
  </si>
  <si>
    <t>=B675</t>
  </si>
  <si>
    <t>=SUM(F671:F675)</t>
  </si>
  <si>
    <t>=SUM(G671:G675)</t>
  </si>
  <si>
    <t>=SUM(H671:H675)</t>
  </si>
  <si>
    <t>=SUM(I671:I675)</t>
  </si>
  <si>
    <t>=SUM(J671:J675)</t>
  </si>
  <si>
    <t>=IF(K677=0,"hide","")</t>
  </si>
  <si>
    <t>="05112"</t>
  </si>
  <si>
    <t>=NL("rows","Production BOM Version","Version Code","Production BOM No.",D677,"status","certified")</t>
  </si>
  <si>
    <t>=NL("sum","Item Ledger Entry","Quantity","Item No.",$D677,"Entry Type","Sale|Consumption","posting date","01/01/19..12/31/19")/-12</t>
  </si>
  <si>
    <t>=NL("sum","Item Ledger Entry","Quantity","Item No.",$D677,"Entry Type","Sale|Consumption","posting date","01/01/20..12/31/20")/-12</t>
  </si>
  <si>
    <t>=NL("sum","Item Ledger Entry","Quantity","Item No.",$D677,"Entry Type","Sale|Consumption","posting date","01/01/21..12/31/21")/-12</t>
  </si>
  <si>
    <t>=NL("sum","Item Ledger Entry","Quantity","Item No.",$D677,"Entry Type","Sale|Consumption","posting date","01/01/22..12/31/22")/-12</t>
  </si>
  <si>
    <t>=NL("sum","Item Ledger Entry","Quantity","Item No.",$D677,"Entry Type","Sale|Consumption","posting date","01/01/23..12/31/23")/$J$7</t>
  </si>
  <si>
    <t>=AVERAGE(I677:J677)</t>
  </si>
  <si>
    <t>=NL(1,"item",L$9,"no.",D677)</t>
  </si>
  <si>
    <t>=NL(1,"item",M$9,"no.",$D677)</t>
  </si>
  <si>
    <t>=NL(1,"item","Units Per Parcel","no.",$D677)</t>
  </si>
  <si>
    <t>=NL(1,"Prod. BOM Equipment","Fixed Prod. Time (Hours)","Production BOM No.",$D677,"version code",$E677,"Resource No.",O$9)</t>
  </si>
  <si>
    <t>=1/O677</t>
  </si>
  <si>
    <t>=IF(NL(1,"Prod. BOM Equipment","Variable Prod. Time (Hours)","Production BOM No.",$D677,"version code",$E677,"Resource No.",$O$9)="",1,NL(1,"Prod. BOM Equipment","Variable Prod. Time (Hours)","Production BOM No.",$D677,"version code",$E677,"Resource No.",$O$9))</t>
  </si>
  <si>
    <t>=1/Q677</t>
  </si>
  <si>
    <t>=R677*N677</t>
  </si>
  <si>
    <t>=IF(K678=0,"hide","")</t>
  </si>
  <si>
    <t>=D677</t>
  </si>
  <si>
    <t>=NL("sum","Production Order","Quantity","Source No.",$D678,"Equipment Code",$L678,"due date",F$8)/-12</t>
  </si>
  <si>
    <t>=NL("sum","Production Order","Quantity","Source No.",$D678,"Equipment Code",$L678,"due date",G$8)/-12</t>
  </si>
  <si>
    <t>=NL("sum","Production Order","Quantity","Source No.",$D678,"Equipment Code",$L678,"due date",H$8)/-12</t>
  </si>
  <si>
    <t>=NL("sum","Production Order","Quantity","Source No.",$D678,"Equipment Code",$L678,"due date",I$8)/-12</t>
  </si>
  <si>
    <t>=NL("sum","Production Order","Quantity","Source No.",$D678,"Equipment Code",$L678,"due date",J$8)/$J$7</t>
  </si>
  <si>
    <t>=AVERAGE(I678:J678)</t>
  </si>
  <si>
    <t>=IF(K679=0,"hide","")</t>
  </si>
  <si>
    <t>=D678</t>
  </si>
  <si>
    <t>=NL("sum","Production Order","Quantity","Source No.",$D679,"Equipment Code",$L679,"due date",F$8)/-12</t>
  </si>
  <si>
    <t>=NL("sum","Production Order","Quantity","Source No.",$D679,"Equipment Code",$L679,"due date",G$8)/-12</t>
  </si>
  <si>
    <t>=NL("sum","Production Order","Quantity","Source No.",$D679,"Equipment Code",$L679,"due date",H$8)/-12</t>
  </si>
  <si>
    <t>=NL("sum","Production Order","Quantity","Source No.",$D679,"Equipment Code",$L679,"due date",I$8)/-12</t>
  </si>
  <si>
    <t>=NL("sum","Production Order","Quantity","Source No.",$D679,"Equipment Code",$L679,"due date",J$8)/$J$7</t>
  </si>
  <si>
    <t>=AVERAGE(I679:J679)</t>
  </si>
  <si>
    <t>=IF(K680=0,"hide","")</t>
  </si>
  <si>
    <t>=D679</t>
  </si>
  <si>
    <t>=NL("sum","Production Order","Quantity","Source No.",$D680,"Equipment Code",$L680,"due date",F$8)/-12</t>
  </si>
  <si>
    <t>=NL("sum","Production Order","Quantity","Source No.",$D680,"Equipment Code",$L680,"due date",G$8)/-12</t>
  </si>
  <si>
    <t>=NL("sum","Production Order","Quantity","Source No.",$D680,"Equipment Code",$L680,"due date",H$8)/-12</t>
  </si>
  <si>
    <t>=NL("sum","Production Order","Quantity","Source No.",$D680,"Equipment Code",$L680,"due date",I$8)/-12</t>
  </si>
  <si>
    <t>=NL("sum","Production Order","Quantity","Source No.",$D680,"Equipment Code",$L680,"due date",J$8)/$J$7</t>
  </si>
  <si>
    <t>=AVERAGE(I680:J680)</t>
  </si>
  <si>
    <t>=IF(K681=0,"hide","")</t>
  </si>
  <si>
    <t>=D680</t>
  </si>
  <si>
    <t>=NL("sum","Production Order","Quantity","Source No.",$D681,"Equipment Code",$L681,"due date",F$8)/-12</t>
  </si>
  <si>
    <t>=NL("sum","Production Order","Quantity","Source No.",$D681,"Equipment Code",$L681,"due date",G$8)/-12</t>
  </si>
  <si>
    <t>=NL("sum","Production Order","Quantity","Source No.",$D681,"Equipment Code",$L681,"due date",H$8)/-12</t>
  </si>
  <si>
    <t>=NL("sum","Production Order","Quantity","Source No.",$D681,"Equipment Code",$L681,"due date",I$8)/-12</t>
  </si>
  <si>
    <t>=NL("sum","Production Order","Quantity","Source No.",$D681,"Equipment Code",$L681,"due date",J$8)/$J$7</t>
  </si>
  <si>
    <t>=AVERAGE(I681:J681)</t>
  </si>
  <si>
    <t>=B678</t>
  </si>
  <si>
    <t>=B682</t>
  </si>
  <si>
    <t>=SUM(F678:F682)</t>
  </si>
  <si>
    <t>=SUM(G678:G682)</t>
  </si>
  <si>
    <t>=SUM(H678:H682)</t>
  </si>
  <si>
    <t>=SUM(I678:I682)</t>
  </si>
  <si>
    <t>=SUM(J678:J682)</t>
  </si>
  <si>
    <t>=IF(K684=0,"hide","")</t>
  </si>
  <si>
    <t>="05371"</t>
  </si>
  <si>
    <t>=NL("rows","Production BOM Version","Version Code","Production BOM No.",D684,"status","certified")</t>
  </si>
  <si>
    <t>=NL("sum","Item Ledger Entry","Quantity","Item No.",$D684,"Entry Type","Sale|Consumption","posting date","01/01/19..12/31/19")/-12</t>
  </si>
  <si>
    <t>=NL("sum","Item Ledger Entry","Quantity","Item No.",$D684,"Entry Type","Sale|Consumption","posting date","01/01/20..12/31/20")/-12</t>
  </si>
  <si>
    <t>=NL("sum","Item Ledger Entry","Quantity","Item No.",$D684,"Entry Type","Sale|Consumption","posting date","01/01/21..12/31/21")/-12</t>
  </si>
  <si>
    <t>=NL("sum","Item Ledger Entry","Quantity","Item No.",$D684,"Entry Type","Sale|Consumption","posting date","01/01/22..12/31/22")/-12</t>
  </si>
  <si>
    <t>=NL("sum","Item Ledger Entry","Quantity","Item No.",$D684,"Entry Type","Sale|Consumption","posting date","01/01/23..12/31/23")/$J$7</t>
  </si>
  <si>
    <t>=AVERAGE(I684:J684)</t>
  </si>
  <si>
    <t>=NL(1,"item",L$9,"no.",D684)</t>
  </si>
  <si>
    <t>=NL(1,"item",M$9,"no.",$D684)</t>
  </si>
  <si>
    <t>=NL(1,"item","Units Per Parcel","no.",$D684)</t>
  </si>
  <si>
    <t>=NL(1,"Prod. BOM Equipment","Fixed Prod. Time (Hours)","Production BOM No.",$D684,"version code",$E684,"Resource No.",O$9)</t>
  </si>
  <si>
    <t>=1/O684</t>
  </si>
  <si>
    <t>=IF(NL(1,"Prod. BOM Equipment","Variable Prod. Time (Hours)","Production BOM No.",$D684,"version code",$E684,"Resource No.",$O$9)="",1,NL(1,"Prod. BOM Equipment","Variable Prod. Time (Hours)","Production BOM No.",$D684,"version code",$E684,"Resource No.",$O$9))</t>
  </si>
  <si>
    <t>=1/Q684</t>
  </si>
  <si>
    <t>=R684*N684</t>
  </si>
  <si>
    <t>=IF(K685=0,"hide","")</t>
  </si>
  <si>
    <t>=D684</t>
  </si>
  <si>
    <t>=NL("sum","Production Order","Quantity","Source No.",$D685,"Equipment Code",$L685,"due date",F$8)/-12</t>
  </si>
  <si>
    <t>=NL("sum","Production Order","Quantity","Source No.",$D685,"Equipment Code",$L685,"due date",G$8)/-12</t>
  </si>
  <si>
    <t>=NL("sum","Production Order","Quantity","Source No.",$D685,"Equipment Code",$L685,"due date",H$8)/-12</t>
  </si>
  <si>
    <t>=NL("sum","Production Order","Quantity","Source No.",$D685,"Equipment Code",$L685,"due date",I$8)/-12</t>
  </si>
  <si>
    <t>=NL("sum","Production Order","Quantity","Source No.",$D685,"Equipment Code",$L685,"due date",J$8)/$J$7</t>
  </si>
  <si>
    <t>=AVERAGE(I685:J685)</t>
  </si>
  <si>
    <t>=IF(K686=0,"hide","")</t>
  </si>
  <si>
    <t>=D685</t>
  </si>
  <si>
    <t>=NL("sum","Production Order","Quantity","Source No.",$D686,"Equipment Code",$L686,"due date",F$8)/-12</t>
  </si>
  <si>
    <t>=NL("sum","Production Order","Quantity","Source No.",$D686,"Equipment Code",$L686,"due date",G$8)/-12</t>
  </si>
  <si>
    <t>=NL("sum","Production Order","Quantity","Source No.",$D686,"Equipment Code",$L686,"due date",H$8)/-12</t>
  </si>
  <si>
    <t>=NL("sum","Production Order","Quantity","Source No.",$D686,"Equipment Code",$L686,"due date",I$8)/-12</t>
  </si>
  <si>
    <t>=NL("sum","Production Order","Quantity","Source No.",$D686,"Equipment Code",$L686,"due date",J$8)/$J$7</t>
  </si>
  <si>
    <t>=AVERAGE(I686:J686)</t>
  </si>
  <si>
    <t>=IF(K687=0,"hide","")</t>
  </si>
  <si>
    <t>=D686</t>
  </si>
  <si>
    <t>=NL("sum","Production Order","Quantity","Source No.",$D687,"Equipment Code",$L687,"due date",F$8)/-12</t>
  </si>
  <si>
    <t>=NL("sum","Production Order","Quantity","Source No.",$D687,"Equipment Code",$L687,"due date",G$8)/-12</t>
  </si>
  <si>
    <t>=NL("sum","Production Order","Quantity","Source No.",$D687,"Equipment Code",$L687,"due date",H$8)/-12</t>
  </si>
  <si>
    <t>=NL("sum","Production Order","Quantity","Source No.",$D687,"Equipment Code",$L687,"due date",I$8)/-12</t>
  </si>
  <si>
    <t>=NL("sum","Production Order","Quantity","Source No.",$D687,"Equipment Code",$L687,"due date",J$8)/$J$7</t>
  </si>
  <si>
    <t>=AVERAGE(I687:J687)</t>
  </si>
  <si>
    <t>=IF(K688=0,"hide","")</t>
  </si>
  <si>
    <t>=D687</t>
  </si>
  <si>
    <t>=NL("sum","Production Order","Quantity","Source No.",$D688,"Equipment Code",$L688,"due date",F$8)/-12</t>
  </si>
  <si>
    <t>=NL("sum","Production Order","Quantity","Source No.",$D688,"Equipment Code",$L688,"due date",G$8)/-12</t>
  </si>
  <si>
    <t>=NL("sum","Production Order","Quantity","Source No.",$D688,"Equipment Code",$L688,"due date",H$8)/-12</t>
  </si>
  <si>
    <t>=NL("sum","Production Order","Quantity","Source No.",$D688,"Equipment Code",$L688,"due date",I$8)/-12</t>
  </si>
  <si>
    <t>=NL("sum","Production Order","Quantity","Source No.",$D688,"Equipment Code",$L688,"due date",J$8)/$J$7</t>
  </si>
  <si>
    <t>=AVERAGE(I688:J688)</t>
  </si>
  <si>
    <t>=B685</t>
  </si>
  <si>
    <t>=B689</t>
  </si>
  <si>
    <t>=SUM(F685:F689)</t>
  </si>
  <si>
    <t>=SUM(G685:G689)</t>
  </si>
  <si>
    <t>=SUM(H685:H689)</t>
  </si>
  <si>
    <t>=SUM(I685:I689)</t>
  </si>
  <si>
    <t>=SUM(J685:J689)</t>
  </si>
  <si>
    <t>=IF(K691=0,"hide","")</t>
  </si>
  <si>
    <t>=NL("rows","Production BOM Version","Version Code","Production BOM No.",D691,"status","certified")</t>
  </si>
  <si>
    <t>=NL("sum","Item Ledger Entry","Quantity","Item No.",$D691,"Entry Type","Sale|Consumption","posting date","01/01/19..12/31/19")/-12</t>
  </si>
  <si>
    <t>=NL("sum","Item Ledger Entry","Quantity","Item No.",$D691,"Entry Type","Sale|Consumption","posting date","01/01/20..12/31/20")/-12</t>
  </si>
  <si>
    <t>=NL("sum","Item Ledger Entry","Quantity","Item No.",$D691,"Entry Type","Sale|Consumption","posting date","01/01/21..12/31/21")/-12</t>
  </si>
  <si>
    <t>=NL("sum","Item Ledger Entry","Quantity","Item No.",$D691,"Entry Type","Sale|Consumption","posting date","01/01/22..12/31/22")/-12</t>
  </si>
  <si>
    <t>=NL("sum","Item Ledger Entry","Quantity","Item No.",$D691,"Entry Type","Sale|Consumption","posting date","01/01/23..12/31/23")/$J$7</t>
  </si>
  <si>
    <t>=AVERAGE(I691:J691)</t>
  </si>
  <si>
    <t>=NL(1,"item",L$9,"no.",D691)</t>
  </si>
  <si>
    <t>=NL(1,"item",M$9,"no.",$D691)</t>
  </si>
  <si>
    <t>=NL(1,"item","Units Per Parcel","no.",$D691)</t>
  </si>
  <si>
    <t>=NL(1,"Prod. BOM Equipment","Fixed Prod. Time (Hours)","Production BOM No.",$D691,"version code",$E691,"Resource No.",O$9)</t>
  </si>
  <si>
    <t>=1/O691</t>
  </si>
  <si>
    <t>=IF(NL(1,"Prod. BOM Equipment","Variable Prod. Time (Hours)","Production BOM No.",$D691,"version code",$E691,"Resource No.",$O$9)="",1,NL(1,"Prod. BOM Equipment","Variable Prod. Time (Hours)","Production BOM No.",$D691,"version code",$E691,"Resource No.",$O$9))</t>
  </si>
  <si>
    <t>=1/Q691</t>
  </si>
  <si>
    <t>=R691*N691</t>
  </si>
  <si>
    <t>=IF(K692=0,"hide","")</t>
  </si>
  <si>
    <t>=D691</t>
  </si>
  <si>
    <t>=NL("sum","Production Order","Quantity","Source No.",$D692,"Equipment Code",$L692,"due date",F$8)/-12</t>
  </si>
  <si>
    <t>=NL("sum","Production Order","Quantity","Source No.",$D692,"Equipment Code",$L692,"due date",G$8)/-12</t>
  </si>
  <si>
    <t>=NL("sum","Production Order","Quantity","Source No.",$D692,"Equipment Code",$L692,"due date",H$8)/-12</t>
  </si>
  <si>
    <t>=NL("sum","Production Order","Quantity","Source No.",$D692,"Equipment Code",$L692,"due date",I$8)/-12</t>
  </si>
  <si>
    <t>=NL("sum","Production Order","Quantity","Source No.",$D692,"Equipment Code",$L692,"due date",J$8)/$J$7</t>
  </si>
  <si>
    <t>=AVERAGE(I692:J692)</t>
  </si>
  <si>
    <t>=IF(K693=0,"hide","")</t>
  </si>
  <si>
    <t>=D692</t>
  </si>
  <si>
    <t>=NL("sum","Production Order","Quantity","Source No.",$D693,"Equipment Code",$L693,"due date",F$8)/-12</t>
  </si>
  <si>
    <t>=NL("sum","Production Order","Quantity","Source No.",$D693,"Equipment Code",$L693,"due date",G$8)/-12</t>
  </si>
  <si>
    <t>=NL("sum","Production Order","Quantity","Source No.",$D693,"Equipment Code",$L693,"due date",H$8)/-12</t>
  </si>
  <si>
    <t>=NL("sum","Production Order","Quantity","Source No.",$D693,"Equipment Code",$L693,"due date",I$8)/-12</t>
  </si>
  <si>
    <t>=NL("sum","Production Order","Quantity","Source No.",$D693,"Equipment Code",$L693,"due date",J$8)/$J$7</t>
  </si>
  <si>
    <t>=AVERAGE(I693:J693)</t>
  </si>
  <si>
    <t>=IF(K694=0,"hide","")</t>
  </si>
  <si>
    <t>=D693</t>
  </si>
  <si>
    <t>=NL("sum","Production Order","Quantity","Source No.",$D694,"Equipment Code",$L694,"due date",F$8)/-12</t>
  </si>
  <si>
    <t>=NL("sum","Production Order","Quantity","Source No.",$D694,"Equipment Code",$L694,"due date",G$8)/-12</t>
  </si>
  <si>
    <t>=NL("sum","Production Order","Quantity","Source No.",$D694,"Equipment Code",$L694,"due date",H$8)/-12</t>
  </si>
  <si>
    <t>=NL("sum","Production Order","Quantity","Source No.",$D694,"Equipment Code",$L694,"due date",I$8)/-12</t>
  </si>
  <si>
    <t>=NL("sum","Production Order","Quantity","Source No.",$D694,"Equipment Code",$L694,"due date",J$8)/$J$7</t>
  </si>
  <si>
    <t>=AVERAGE(I694:J694)</t>
  </si>
  <si>
    <t>=IF(K695=0,"hide","")</t>
  </si>
  <si>
    <t>=D694</t>
  </si>
  <si>
    <t>=NL("sum","Production Order","Quantity","Source No.",$D695,"Equipment Code",$L695,"due date",F$8)/-12</t>
  </si>
  <si>
    <t>=NL("sum","Production Order","Quantity","Source No.",$D695,"Equipment Code",$L695,"due date",G$8)/-12</t>
  </si>
  <si>
    <t>=NL("sum","Production Order","Quantity","Source No.",$D695,"Equipment Code",$L695,"due date",H$8)/-12</t>
  </si>
  <si>
    <t>=NL("sum","Production Order","Quantity","Source No.",$D695,"Equipment Code",$L695,"due date",I$8)/-12</t>
  </si>
  <si>
    <t>=NL("sum","Production Order","Quantity","Source No.",$D695,"Equipment Code",$L695,"due date",J$8)/$J$7</t>
  </si>
  <si>
    <t>=AVERAGE(I695:J695)</t>
  </si>
  <si>
    <t>=B692</t>
  </si>
  <si>
    <t>=B696</t>
  </si>
  <si>
    <t>=SUM(F692:F696)</t>
  </si>
  <si>
    <t>=SUM(G692:G696)</t>
  </si>
  <si>
    <t>=SUM(H692:H696)</t>
  </si>
  <si>
    <t>=SUM(I692:I696)</t>
  </si>
  <si>
    <t>=SUM(J692:J696)</t>
  </si>
  <si>
    <t>=IF(K698=0,"hide","")</t>
  </si>
  <si>
    <t>=NL("rows","Production BOM Version","Version Code","Production BOM No.",D698,"status","certified")</t>
  </si>
  <si>
    <t>=NL("sum","Item Ledger Entry","Quantity","Item No.",$D698,"Entry Type","Sale|Consumption","posting date","01/01/19..12/31/19")/-12</t>
  </si>
  <si>
    <t>=NL("sum","Item Ledger Entry","Quantity","Item No.",$D698,"Entry Type","Sale|Consumption","posting date","01/01/20..12/31/20")/-12</t>
  </si>
  <si>
    <t>=NL("sum","Item Ledger Entry","Quantity","Item No.",$D698,"Entry Type","Sale|Consumption","posting date","01/01/21..12/31/21")/-12</t>
  </si>
  <si>
    <t>=NL("sum","Item Ledger Entry","Quantity","Item No.",$D698,"Entry Type","Sale|Consumption","posting date","01/01/22..12/31/22")/-12</t>
  </si>
  <si>
    <t>=NL("sum","Item Ledger Entry","Quantity","Item No.",$D698,"Entry Type","Sale|Consumption","posting date","01/01/23..12/31/23")/$J$7</t>
  </si>
  <si>
    <t>=AVERAGE(I698:J698)</t>
  </si>
  <si>
    <t>=NL(1,"item",L$9,"no.",D698)</t>
  </si>
  <si>
    <t>=NL(1,"item",M$9,"no.",$D698)</t>
  </si>
  <si>
    <t>=NL(1,"item","Units Per Parcel","no.",$D698)</t>
  </si>
  <si>
    <t>=NL(1,"Prod. BOM Equipment","Fixed Prod. Time (Hours)","Production BOM No.",$D698,"version code",$E698,"Resource No.",O$9)</t>
  </si>
  <si>
    <t>=1/O698</t>
  </si>
  <si>
    <t>=IF(NL(1,"Prod. BOM Equipment","Variable Prod. Time (Hours)","Production BOM No.",$D698,"version code",$E698,"Resource No.",$O$9)="",1,NL(1,"Prod. BOM Equipment","Variable Prod. Time (Hours)","Production BOM No.",$D698,"version code",$E698,"Resource No.",$O$9))</t>
  </si>
  <si>
    <t>=1/Q698</t>
  </si>
  <si>
    <t>=R698*N698</t>
  </si>
  <si>
    <t>=IF(K699=0,"hide","")</t>
  </si>
  <si>
    <t>=D698</t>
  </si>
  <si>
    <t>=NL("sum","Production Order","Quantity","Source No.",$D699,"Equipment Code",$L699,"due date",F$8)/-12</t>
  </si>
  <si>
    <t>=NL("sum","Production Order","Quantity","Source No.",$D699,"Equipment Code",$L699,"due date",G$8)/-12</t>
  </si>
  <si>
    <t>=NL("sum","Production Order","Quantity","Source No.",$D699,"Equipment Code",$L699,"due date",H$8)/-12</t>
  </si>
  <si>
    <t>=NL("sum","Production Order","Quantity","Source No.",$D699,"Equipment Code",$L699,"due date",I$8)/-12</t>
  </si>
  <si>
    <t>=NL("sum","Production Order","Quantity","Source No.",$D699,"Equipment Code",$L699,"due date",J$8)/$J$7</t>
  </si>
  <si>
    <t>=AVERAGE(I699:J699)</t>
  </si>
  <si>
    <t>=IF(K700=0,"hide","")</t>
  </si>
  <si>
    <t>=D699</t>
  </si>
  <si>
    <t>=NL("sum","Production Order","Quantity","Source No.",$D700,"Equipment Code",$L700,"due date",F$8)/-12</t>
  </si>
  <si>
    <t>=NL("sum","Production Order","Quantity","Source No.",$D700,"Equipment Code",$L700,"due date",G$8)/-12</t>
  </si>
  <si>
    <t>=NL("sum","Production Order","Quantity","Source No.",$D700,"Equipment Code",$L700,"due date",H$8)/-12</t>
  </si>
  <si>
    <t>=NL("sum","Production Order","Quantity","Source No.",$D700,"Equipment Code",$L700,"due date",I$8)/-12</t>
  </si>
  <si>
    <t>=NL("sum","Production Order","Quantity","Source No.",$D700,"Equipment Code",$L700,"due date",J$8)/$J$7</t>
  </si>
  <si>
    <t>=AVERAGE(I700:J700)</t>
  </si>
  <si>
    <t>=IF(K701=0,"hide","")</t>
  </si>
  <si>
    <t>=D700</t>
  </si>
  <si>
    <t>=NL("sum","Production Order","Quantity","Source No.",$D701,"Equipment Code",$L701,"due date",F$8)/-12</t>
  </si>
  <si>
    <t>=NL("sum","Production Order","Quantity","Source No.",$D701,"Equipment Code",$L701,"due date",G$8)/-12</t>
  </si>
  <si>
    <t>=NL("sum","Production Order","Quantity","Source No.",$D701,"Equipment Code",$L701,"due date",H$8)/-12</t>
  </si>
  <si>
    <t>=NL("sum","Production Order","Quantity","Source No.",$D701,"Equipment Code",$L701,"due date",I$8)/-12</t>
  </si>
  <si>
    <t>=NL("sum","Production Order","Quantity","Source No.",$D701,"Equipment Code",$L701,"due date",J$8)/$J$7</t>
  </si>
  <si>
    <t>=AVERAGE(I701:J701)</t>
  </si>
  <si>
    <t>=IF(K702=0,"hide","")</t>
  </si>
  <si>
    <t>=D701</t>
  </si>
  <si>
    <t>=NL("sum","Production Order","Quantity","Source No.",$D702,"Equipment Code",$L702,"due date",F$8)/-12</t>
  </si>
  <si>
    <t>=NL("sum","Production Order","Quantity","Source No.",$D702,"Equipment Code",$L702,"due date",G$8)/-12</t>
  </si>
  <si>
    <t>=NL("sum","Production Order","Quantity","Source No.",$D702,"Equipment Code",$L702,"due date",H$8)/-12</t>
  </si>
  <si>
    <t>=NL("sum","Production Order","Quantity","Source No.",$D702,"Equipment Code",$L702,"due date",I$8)/-12</t>
  </si>
  <si>
    <t>=NL("sum","Production Order","Quantity","Source No.",$D702,"Equipment Code",$L702,"due date",J$8)/$J$7</t>
  </si>
  <si>
    <t>=AVERAGE(I702:J702)</t>
  </si>
  <si>
    <t>=B699</t>
  </si>
  <si>
    <t>=B703</t>
  </si>
  <si>
    <t>=SUM(F699:F703)</t>
  </si>
  <si>
    <t>=SUM(G699:G703)</t>
  </si>
  <si>
    <t>=SUM(H699:H703)</t>
  </si>
  <si>
    <t>=SUM(I699:I703)</t>
  </si>
  <si>
    <t>=SUM(J699:J703)</t>
  </si>
  <si>
    <t>=IF(K705=0,"hide","")</t>
  </si>
  <si>
    <t>="06073"</t>
  </si>
  <si>
    <t>=NL("rows","Production BOM Version","Version Code","Production BOM No.",D705,"status","certified")</t>
  </si>
  <si>
    <t>=NL("sum","Item Ledger Entry","Quantity","Item No.",$D705,"Entry Type","Sale|Consumption","posting date","01/01/19..12/31/19")/-12</t>
  </si>
  <si>
    <t>=NL("sum","Item Ledger Entry","Quantity","Item No.",$D705,"Entry Type","Sale|Consumption","posting date","01/01/20..12/31/20")/-12</t>
  </si>
  <si>
    <t>=NL("sum","Item Ledger Entry","Quantity","Item No.",$D705,"Entry Type","Sale|Consumption","posting date","01/01/21..12/31/21")/-12</t>
  </si>
  <si>
    <t>=NL("sum","Item Ledger Entry","Quantity","Item No.",$D705,"Entry Type","Sale|Consumption","posting date","01/01/22..12/31/22")/-12</t>
  </si>
  <si>
    <t>=NL("sum","Item Ledger Entry","Quantity","Item No.",$D705,"Entry Type","Sale|Consumption","posting date","01/01/23..12/31/23")/$J$7</t>
  </si>
  <si>
    <t>=AVERAGE(I705:J705)</t>
  </si>
  <si>
    <t>=NL(1,"item",L$9,"no.",D705)</t>
  </si>
  <si>
    <t>=NL(1,"item",M$9,"no.",$D705)</t>
  </si>
  <si>
    <t>=NL(1,"item","Units Per Parcel","no.",$D705)</t>
  </si>
  <si>
    <t>=NL(1,"Prod. BOM Equipment","Fixed Prod. Time (Hours)","Production BOM No.",$D705,"version code",$E705,"Resource No.",O$9)</t>
  </si>
  <si>
    <t>=1/O705</t>
  </si>
  <si>
    <t>=IF(NL(1,"Prod. BOM Equipment","Variable Prod. Time (Hours)","Production BOM No.",$D705,"version code",$E705,"Resource No.",$O$9)="",1,NL(1,"Prod. BOM Equipment","Variable Prod. Time (Hours)","Production BOM No.",$D705,"version code",$E705,"Resource No.",$O$9))</t>
  </si>
  <si>
    <t>=1/Q705</t>
  </si>
  <si>
    <t>=R705*N705</t>
  </si>
  <si>
    <t>=IF(K706=0,"hide","")</t>
  </si>
  <si>
    <t>=D705</t>
  </si>
  <si>
    <t>=NL("sum","Production Order","Quantity","Source No.",$D706,"Equipment Code",$L706,"due date",F$8)/-12</t>
  </si>
  <si>
    <t>=NL("sum","Production Order","Quantity","Source No.",$D706,"Equipment Code",$L706,"due date",G$8)/-12</t>
  </si>
  <si>
    <t>=NL("sum","Production Order","Quantity","Source No.",$D706,"Equipment Code",$L706,"due date",H$8)/-12</t>
  </si>
  <si>
    <t>=NL("sum","Production Order","Quantity","Source No.",$D706,"Equipment Code",$L706,"due date",I$8)/-12</t>
  </si>
  <si>
    <t>=NL("sum","Production Order","Quantity","Source No.",$D706,"Equipment Code",$L706,"due date",J$8)/$J$7</t>
  </si>
  <si>
    <t>=AVERAGE(I706:J706)</t>
  </si>
  <si>
    <t>=IF(K707=0,"hide","")</t>
  </si>
  <si>
    <t>=D706</t>
  </si>
  <si>
    <t>=NL("sum","Production Order","Quantity","Source No.",$D707,"Equipment Code",$L707,"due date",F$8)/-12</t>
  </si>
  <si>
    <t>=NL("sum","Production Order","Quantity","Source No.",$D707,"Equipment Code",$L707,"due date",G$8)/-12</t>
  </si>
  <si>
    <t>=NL("sum","Production Order","Quantity","Source No.",$D707,"Equipment Code",$L707,"due date",H$8)/-12</t>
  </si>
  <si>
    <t>=NL("sum","Production Order","Quantity","Source No.",$D707,"Equipment Code",$L707,"due date",I$8)/-12</t>
  </si>
  <si>
    <t>=NL("sum","Production Order","Quantity","Source No.",$D707,"Equipment Code",$L707,"due date",J$8)/$J$7</t>
  </si>
  <si>
    <t>=AVERAGE(I707:J707)</t>
  </si>
  <si>
    <t>=IF(K708=0,"hide","")</t>
  </si>
  <si>
    <t>=D707</t>
  </si>
  <si>
    <t>=NL("sum","Production Order","Quantity","Source No.",$D708,"Equipment Code",$L708,"due date",F$8)/-12</t>
  </si>
  <si>
    <t>=NL("sum","Production Order","Quantity","Source No.",$D708,"Equipment Code",$L708,"due date",G$8)/-12</t>
  </si>
  <si>
    <t>=NL("sum","Production Order","Quantity","Source No.",$D708,"Equipment Code",$L708,"due date",H$8)/-12</t>
  </si>
  <si>
    <t>=NL("sum","Production Order","Quantity","Source No.",$D708,"Equipment Code",$L708,"due date",I$8)/-12</t>
  </si>
  <si>
    <t>=NL("sum","Production Order","Quantity","Source No.",$D708,"Equipment Code",$L708,"due date",J$8)/$J$7</t>
  </si>
  <si>
    <t>=AVERAGE(I708:J708)</t>
  </si>
  <si>
    <t>=IF(K709=0,"hide","")</t>
  </si>
  <si>
    <t>=D708</t>
  </si>
  <si>
    <t>=NL("sum","Production Order","Quantity","Source No.",$D709,"Equipment Code",$L709,"due date",F$8)/-12</t>
  </si>
  <si>
    <t>=NL("sum","Production Order","Quantity","Source No.",$D709,"Equipment Code",$L709,"due date",G$8)/-12</t>
  </si>
  <si>
    <t>=NL("sum","Production Order","Quantity","Source No.",$D709,"Equipment Code",$L709,"due date",H$8)/-12</t>
  </si>
  <si>
    <t>=NL("sum","Production Order","Quantity","Source No.",$D709,"Equipment Code",$L709,"due date",I$8)/-12</t>
  </si>
  <si>
    <t>=NL("sum","Production Order","Quantity","Source No.",$D709,"Equipment Code",$L709,"due date",J$8)/$J$7</t>
  </si>
  <si>
    <t>=AVERAGE(I709:J709)</t>
  </si>
  <si>
    <t>=B706</t>
  </si>
  <si>
    <t>=B710</t>
  </si>
  <si>
    <t>=SUM(F706:F710)</t>
  </si>
  <si>
    <t>=SUM(G706:G710)</t>
  </si>
  <si>
    <t>=SUM(H706:H710)</t>
  </si>
  <si>
    <t>=SUM(I706:I710)</t>
  </si>
  <si>
    <t>=SUM(J706:J710)</t>
  </si>
  <si>
    <t>=IF(K712=0,"hide","")</t>
  </si>
  <si>
    <t>="06101"</t>
  </si>
  <si>
    <t>=NL("rows","Production BOM Version","Version Code","Production BOM No.",D712,"status","certified")</t>
  </si>
  <si>
    <t>=NL("sum","Item Ledger Entry","Quantity","Item No.",$D712,"Entry Type","Sale|Consumption","posting date","01/01/19..12/31/19")/-12</t>
  </si>
  <si>
    <t>=NL("sum","Item Ledger Entry","Quantity","Item No.",$D712,"Entry Type","Sale|Consumption","posting date","01/01/20..12/31/20")/-12</t>
  </si>
  <si>
    <t>=NL("sum","Item Ledger Entry","Quantity","Item No.",$D712,"Entry Type","Sale|Consumption","posting date","01/01/21..12/31/21")/-12</t>
  </si>
  <si>
    <t>=NL("sum","Item Ledger Entry","Quantity","Item No.",$D712,"Entry Type","Sale|Consumption","posting date","01/01/22..12/31/22")/-12</t>
  </si>
  <si>
    <t>=NL("sum","Item Ledger Entry","Quantity","Item No.",$D712,"Entry Type","Sale|Consumption","posting date","01/01/23..12/31/23")/$J$7</t>
  </si>
  <si>
    <t>=AVERAGE(I712:J712)</t>
  </si>
  <si>
    <t>=NL(1,"item",L$9,"no.",D712)</t>
  </si>
  <si>
    <t>=NL(1,"item",M$9,"no.",$D712)</t>
  </si>
  <si>
    <t>=NL(1,"item","Units Per Parcel","no.",$D712)</t>
  </si>
  <si>
    <t>=NL(1,"Prod. BOM Equipment","Fixed Prod. Time (Hours)","Production BOM No.",$D712,"version code",$E712,"Resource No.",O$9)</t>
  </si>
  <si>
    <t>=1/O712</t>
  </si>
  <si>
    <t>=IF(NL(1,"Prod. BOM Equipment","Variable Prod. Time (Hours)","Production BOM No.",$D712,"version code",$E712,"Resource No.",$O$9)="",1,NL(1,"Prod. BOM Equipment","Variable Prod. Time (Hours)","Production BOM No.",$D712,"version code",$E712,"Resource No.",$O$9))</t>
  </si>
  <si>
    <t>=1/Q712</t>
  </si>
  <si>
    <t>=R712*N712</t>
  </si>
  <si>
    <t>=IF(K713=0,"hide","")</t>
  </si>
  <si>
    <t>=D712</t>
  </si>
  <si>
    <t>=NL("sum","Production Order","Quantity","Source No.",$D713,"Equipment Code",$L713,"due date",F$8)/-12</t>
  </si>
  <si>
    <t>=NL("sum","Production Order","Quantity","Source No.",$D713,"Equipment Code",$L713,"due date",G$8)/-12</t>
  </si>
  <si>
    <t>=NL("sum","Production Order","Quantity","Source No.",$D713,"Equipment Code",$L713,"due date",H$8)/-12</t>
  </si>
  <si>
    <t>=NL("sum","Production Order","Quantity","Source No.",$D713,"Equipment Code",$L713,"due date",I$8)/-12</t>
  </si>
  <si>
    <t>=NL("sum","Production Order","Quantity","Source No.",$D713,"Equipment Code",$L713,"due date",J$8)/$J$7</t>
  </si>
  <si>
    <t>=AVERAGE(I713:J713)</t>
  </si>
  <si>
    <t>=IF(K714=0,"hide","")</t>
  </si>
  <si>
    <t>=D713</t>
  </si>
  <si>
    <t>=NL("sum","Production Order","Quantity","Source No.",$D714,"Equipment Code",$L714,"due date",F$8)/-12</t>
  </si>
  <si>
    <t>=NL("sum","Production Order","Quantity","Source No.",$D714,"Equipment Code",$L714,"due date",G$8)/-12</t>
  </si>
  <si>
    <t>=NL("sum","Production Order","Quantity","Source No.",$D714,"Equipment Code",$L714,"due date",H$8)/-12</t>
  </si>
  <si>
    <t>=NL("sum","Production Order","Quantity","Source No.",$D714,"Equipment Code",$L714,"due date",I$8)/-12</t>
  </si>
  <si>
    <t>=NL("sum","Production Order","Quantity","Source No.",$D714,"Equipment Code",$L714,"due date",J$8)/$J$7</t>
  </si>
  <si>
    <t>=AVERAGE(I714:J714)</t>
  </si>
  <si>
    <t>=IF(K715=0,"hide","")</t>
  </si>
  <si>
    <t>=D714</t>
  </si>
  <si>
    <t>=NL("sum","Production Order","Quantity","Source No.",$D715,"Equipment Code",$L715,"due date",F$8)/-12</t>
  </si>
  <si>
    <t>=NL("sum","Production Order","Quantity","Source No.",$D715,"Equipment Code",$L715,"due date",G$8)/-12</t>
  </si>
  <si>
    <t>=NL("sum","Production Order","Quantity","Source No.",$D715,"Equipment Code",$L715,"due date",H$8)/-12</t>
  </si>
  <si>
    <t>=NL("sum","Production Order","Quantity","Source No.",$D715,"Equipment Code",$L715,"due date",I$8)/-12</t>
  </si>
  <si>
    <t>=NL("sum","Production Order","Quantity","Source No.",$D715,"Equipment Code",$L715,"due date",J$8)/$J$7</t>
  </si>
  <si>
    <t>=AVERAGE(I715:J715)</t>
  </si>
  <si>
    <t>=IF(K716=0,"hide","")</t>
  </si>
  <si>
    <t>=D715</t>
  </si>
  <si>
    <t>=NL("sum","Production Order","Quantity","Source No.",$D716,"Equipment Code",$L716,"due date",F$8)/-12</t>
  </si>
  <si>
    <t>=NL("sum","Production Order","Quantity","Source No.",$D716,"Equipment Code",$L716,"due date",G$8)/-12</t>
  </si>
  <si>
    <t>=NL("sum","Production Order","Quantity","Source No.",$D716,"Equipment Code",$L716,"due date",H$8)/-12</t>
  </si>
  <si>
    <t>=NL("sum","Production Order","Quantity","Source No.",$D716,"Equipment Code",$L716,"due date",I$8)/-12</t>
  </si>
  <si>
    <t>=NL("sum","Production Order","Quantity","Source No.",$D716,"Equipment Code",$L716,"due date",J$8)/$J$7</t>
  </si>
  <si>
    <t>=AVERAGE(I716:J716)</t>
  </si>
  <si>
    <t>=B713</t>
  </si>
  <si>
    <t>=B717</t>
  </si>
  <si>
    <t>=SUM(F713:F717)</t>
  </si>
  <si>
    <t>=SUM(G713:G717)</t>
  </si>
  <si>
    <t>=SUM(H713:H717)</t>
  </si>
  <si>
    <t>=SUM(I713:I717)</t>
  </si>
  <si>
    <t>=SUM(J713:J717)</t>
  </si>
  <si>
    <t>=IF(K719=0,"hide","")</t>
  </si>
  <si>
    <t>="06106"</t>
  </si>
  <si>
    <t>=NL("rows","Production BOM Version","Version Code","Production BOM No.",D719,"status","certified")</t>
  </si>
  <si>
    <t>=NL("sum","Item Ledger Entry","Quantity","Item No.",$D719,"Entry Type","Sale|Consumption","posting date","01/01/19..12/31/19")/-12</t>
  </si>
  <si>
    <t>=NL("sum","Item Ledger Entry","Quantity","Item No.",$D719,"Entry Type","Sale|Consumption","posting date","01/01/20..12/31/20")/-12</t>
  </si>
  <si>
    <t>=NL("sum","Item Ledger Entry","Quantity","Item No.",$D719,"Entry Type","Sale|Consumption","posting date","01/01/21..12/31/21")/-12</t>
  </si>
  <si>
    <t>=NL("sum","Item Ledger Entry","Quantity","Item No.",$D719,"Entry Type","Sale|Consumption","posting date","01/01/22..12/31/22")/-12</t>
  </si>
  <si>
    <t>=NL("sum","Item Ledger Entry","Quantity","Item No.",$D719,"Entry Type","Sale|Consumption","posting date","01/01/23..12/31/23")/$J$7</t>
  </si>
  <si>
    <t>=AVERAGE(I719:J719)</t>
  </si>
  <si>
    <t>=NL(1,"item",L$9,"no.",D719)</t>
  </si>
  <si>
    <t>=NL(1,"item",M$9,"no.",$D719)</t>
  </si>
  <si>
    <t>=NL(1,"item","Units Per Parcel","no.",$D719)</t>
  </si>
  <si>
    <t>=NL(1,"Prod. BOM Equipment","Fixed Prod. Time (Hours)","Production BOM No.",$D719,"version code",$E719,"Resource No.",O$9)</t>
  </si>
  <si>
    <t>=1/O719</t>
  </si>
  <si>
    <t>=IF(NL(1,"Prod. BOM Equipment","Variable Prod. Time (Hours)","Production BOM No.",$D719,"version code",$E719,"Resource No.",$O$9)="",1,NL(1,"Prod. BOM Equipment","Variable Prod. Time (Hours)","Production BOM No.",$D719,"version code",$E719,"Resource No.",$O$9))</t>
  </si>
  <si>
    <t>=1/Q719</t>
  </si>
  <si>
    <t>=R719*N719</t>
  </si>
  <si>
    <t>=IF(K720=0,"hide","")</t>
  </si>
  <si>
    <t>=D719</t>
  </si>
  <si>
    <t>=NL("sum","Production Order","Quantity","Source No.",$D720,"Equipment Code",$L720,"due date",F$8)/-12</t>
  </si>
  <si>
    <t>=NL("sum","Production Order","Quantity","Source No.",$D720,"Equipment Code",$L720,"due date",G$8)/-12</t>
  </si>
  <si>
    <t>=NL("sum","Production Order","Quantity","Source No.",$D720,"Equipment Code",$L720,"due date",H$8)/-12</t>
  </si>
  <si>
    <t>=NL("sum","Production Order","Quantity","Source No.",$D720,"Equipment Code",$L720,"due date",I$8)/-12</t>
  </si>
  <si>
    <t>=NL("sum","Production Order","Quantity","Source No.",$D720,"Equipment Code",$L720,"due date",J$8)/$J$7</t>
  </si>
  <si>
    <t>=AVERAGE(I720:J720)</t>
  </si>
  <si>
    <t>=IF(K721=0,"hide","")</t>
  </si>
  <si>
    <t>=D720</t>
  </si>
  <si>
    <t>=NL("sum","Production Order","Quantity","Source No.",$D721,"Equipment Code",$L721,"due date",F$8)/-12</t>
  </si>
  <si>
    <t>=NL("sum","Production Order","Quantity","Source No.",$D721,"Equipment Code",$L721,"due date",G$8)/-12</t>
  </si>
  <si>
    <t>=NL("sum","Production Order","Quantity","Source No.",$D721,"Equipment Code",$L721,"due date",H$8)/-12</t>
  </si>
  <si>
    <t>=NL("sum","Production Order","Quantity","Source No.",$D721,"Equipment Code",$L721,"due date",I$8)/-12</t>
  </si>
  <si>
    <t>=NL("sum","Production Order","Quantity","Source No.",$D721,"Equipment Code",$L721,"due date",J$8)/$J$7</t>
  </si>
  <si>
    <t>=AVERAGE(I721:J721)</t>
  </si>
  <si>
    <t>=IF(K722=0,"hide","")</t>
  </si>
  <si>
    <t>=D721</t>
  </si>
  <si>
    <t>=NL("sum","Production Order","Quantity","Source No.",$D722,"Equipment Code",$L722,"due date",F$8)/-12</t>
  </si>
  <si>
    <t>=NL("sum","Production Order","Quantity","Source No.",$D722,"Equipment Code",$L722,"due date",G$8)/-12</t>
  </si>
  <si>
    <t>=NL("sum","Production Order","Quantity","Source No.",$D722,"Equipment Code",$L722,"due date",H$8)/-12</t>
  </si>
  <si>
    <t>=NL("sum","Production Order","Quantity","Source No.",$D722,"Equipment Code",$L722,"due date",I$8)/-12</t>
  </si>
  <si>
    <t>=NL("sum","Production Order","Quantity","Source No.",$D722,"Equipment Code",$L722,"due date",J$8)/$J$7</t>
  </si>
  <si>
    <t>=AVERAGE(I722:J722)</t>
  </si>
  <si>
    <t>=IF(K723=0,"hide","")</t>
  </si>
  <si>
    <t>=D722</t>
  </si>
  <si>
    <t>=NL("sum","Production Order","Quantity","Source No.",$D723,"Equipment Code",$L723,"due date",F$8)/-12</t>
  </si>
  <si>
    <t>=NL("sum","Production Order","Quantity","Source No.",$D723,"Equipment Code",$L723,"due date",G$8)/-12</t>
  </si>
  <si>
    <t>=NL("sum","Production Order","Quantity","Source No.",$D723,"Equipment Code",$L723,"due date",H$8)/-12</t>
  </si>
  <si>
    <t>=NL("sum","Production Order","Quantity","Source No.",$D723,"Equipment Code",$L723,"due date",I$8)/-12</t>
  </si>
  <si>
    <t>=NL("sum","Production Order","Quantity","Source No.",$D723,"Equipment Code",$L723,"due date",J$8)/$J$7</t>
  </si>
  <si>
    <t>=AVERAGE(I723:J723)</t>
  </si>
  <si>
    <t>=B720</t>
  </si>
  <si>
    <t>=B724</t>
  </si>
  <si>
    <t>=SUM(F720:F724)</t>
  </si>
  <si>
    <t>=SUM(G720:G724)</t>
  </si>
  <si>
    <t>=SUM(H720:H724)</t>
  </si>
  <si>
    <t>=SUM(I720:I724)</t>
  </si>
  <si>
    <t>=SUM(J720:J724)</t>
  </si>
  <si>
    <t>=IF(K726=0,"hide","")</t>
  </si>
  <si>
    <t>="06110"</t>
  </si>
  <si>
    <t>=NL("rows","Production BOM Version","Version Code","Production BOM No.",D726,"status","certified")</t>
  </si>
  <si>
    <t>=NL("sum","Item Ledger Entry","Quantity","Item No.",$D726,"Entry Type","Sale|Consumption","posting date","01/01/19..12/31/19")/-12</t>
  </si>
  <si>
    <t>=NL("sum","Item Ledger Entry","Quantity","Item No.",$D726,"Entry Type","Sale|Consumption","posting date","01/01/20..12/31/20")/-12</t>
  </si>
  <si>
    <t>=NL("sum","Item Ledger Entry","Quantity","Item No.",$D726,"Entry Type","Sale|Consumption","posting date","01/01/21..12/31/21")/-12</t>
  </si>
  <si>
    <t>=NL("sum","Item Ledger Entry","Quantity","Item No.",$D726,"Entry Type","Sale|Consumption","posting date","01/01/22..12/31/22")/-12</t>
  </si>
  <si>
    <t>=NL("sum","Item Ledger Entry","Quantity","Item No.",$D726,"Entry Type","Sale|Consumption","posting date","01/01/23..12/31/23")/$J$7</t>
  </si>
  <si>
    <t>=AVERAGE(I726:J726)</t>
  </si>
  <si>
    <t>=NL(1,"item",L$9,"no.",D726)</t>
  </si>
  <si>
    <t>=NL(1,"item",M$9,"no.",$D726)</t>
  </si>
  <si>
    <t>=NL(1,"item","Units Per Parcel","no.",$D726)</t>
  </si>
  <si>
    <t>=NL(1,"Prod. BOM Equipment","Fixed Prod. Time (Hours)","Production BOM No.",$D726,"version code",$E726,"Resource No.",O$9)</t>
  </si>
  <si>
    <t>=1/O726</t>
  </si>
  <si>
    <t>=IF(NL(1,"Prod. BOM Equipment","Variable Prod. Time (Hours)","Production BOM No.",$D726,"version code",$E726,"Resource No.",$O$9)="",1,NL(1,"Prod. BOM Equipment","Variable Prod. Time (Hours)","Production BOM No.",$D726,"version code",$E726,"Resource No.",$O$9))</t>
  </si>
  <si>
    <t>=1/Q726</t>
  </si>
  <si>
    <t>=R726*N726</t>
  </si>
  <si>
    <t>=IF(K727=0,"hide","")</t>
  </si>
  <si>
    <t>=D726</t>
  </si>
  <si>
    <t>=NL("sum","Production Order","Quantity","Source No.",$D727,"Equipment Code",$L727,"due date",F$8)/-12</t>
  </si>
  <si>
    <t>=NL("sum","Production Order","Quantity","Source No.",$D727,"Equipment Code",$L727,"due date",G$8)/-12</t>
  </si>
  <si>
    <t>=NL("sum","Production Order","Quantity","Source No.",$D727,"Equipment Code",$L727,"due date",H$8)/-12</t>
  </si>
  <si>
    <t>=NL("sum","Production Order","Quantity","Source No.",$D727,"Equipment Code",$L727,"due date",I$8)/-12</t>
  </si>
  <si>
    <t>=NL("sum","Production Order","Quantity","Source No.",$D727,"Equipment Code",$L727,"due date",J$8)/$J$7</t>
  </si>
  <si>
    <t>=AVERAGE(I727:J727)</t>
  </si>
  <si>
    <t>=IF(K728=0,"hide","")</t>
  </si>
  <si>
    <t>=D727</t>
  </si>
  <si>
    <t>=NL("sum","Production Order","Quantity","Source No.",$D728,"Equipment Code",$L728,"due date",F$8)/-12</t>
  </si>
  <si>
    <t>=NL("sum","Production Order","Quantity","Source No.",$D728,"Equipment Code",$L728,"due date",G$8)/-12</t>
  </si>
  <si>
    <t>=NL("sum","Production Order","Quantity","Source No.",$D728,"Equipment Code",$L728,"due date",H$8)/-12</t>
  </si>
  <si>
    <t>=NL("sum","Production Order","Quantity","Source No.",$D728,"Equipment Code",$L728,"due date",I$8)/-12</t>
  </si>
  <si>
    <t>=NL("sum","Production Order","Quantity","Source No.",$D728,"Equipment Code",$L728,"due date",J$8)/$J$7</t>
  </si>
  <si>
    <t>=AVERAGE(I728:J728)</t>
  </si>
  <si>
    <t>=IF(K729=0,"hide","")</t>
  </si>
  <si>
    <t>=D728</t>
  </si>
  <si>
    <t>=NL("sum","Production Order","Quantity","Source No.",$D729,"Equipment Code",$L729,"due date",F$8)/-12</t>
  </si>
  <si>
    <t>=NL("sum","Production Order","Quantity","Source No.",$D729,"Equipment Code",$L729,"due date",G$8)/-12</t>
  </si>
  <si>
    <t>=NL("sum","Production Order","Quantity","Source No.",$D729,"Equipment Code",$L729,"due date",H$8)/-12</t>
  </si>
  <si>
    <t>=NL("sum","Production Order","Quantity","Source No.",$D729,"Equipment Code",$L729,"due date",I$8)/-12</t>
  </si>
  <si>
    <t>=NL("sum","Production Order","Quantity","Source No.",$D729,"Equipment Code",$L729,"due date",J$8)/$J$7</t>
  </si>
  <si>
    <t>=AVERAGE(I729:J729)</t>
  </si>
  <si>
    <t>=IF(K730=0,"hide","")</t>
  </si>
  <si>
    <t>=D729</t>
  </si>
  <si>
    <t>=NL("sum","Production Order","Quantity","Source No.",$D730,"Equipment Code",$L730,"due date",F$8)/-12</t>
  </si>
  <si>
    <t>=NL("sum","Production Order","Quantity","Source No.",$D730,"Equipment Code",$L730,"due date",G$8)/-12</t>
  </si>
  <si>
    <t>=NL("sum","Production Order","Quantity","Source No.",$D730,"Equipment Code",$L730,"due date",H$8)/-12</t>
  </si>
  <si>
    <t>=NL("sum","Production Order","Quantity","Source No.",$D730,"Equipment Code",$L730,"due date",I$8)/-12</t>
  </si>
  <si>
    <t>=NL("sum","Production Order","Quantity","Source No.",$D730,"Equipment Code",$L730,"due date",J$8)/$J$7</t>
  </si>
  <si>
    <t>=AVERAGE(I730:J730)</t>
  </si>
  <si>
    <t>=B727</t>
  </si>
  <si>
    <t>=B731</t>
  </si>
  <si>
    <t>=SUM(F727:F731)</t>
  </si>
  <si>
    <t>=SUM(G727:G731)</t>
  </si>
  <si>
    <t>=SUM(H727:H731)</t>
  </si>
  <si>
    <t>=SUM(I727:I731)</t>
  </si>
  <si>
    <t>=SUM(J727:J731)</t>
  </si>
  <si>
    <t>=IF(K733=0,"hide","")</t>
  </si>
  <si>
    <t>="06151"</t>
  </si>
  <si>
    <t>=NL("rows","Production BOM Version","Version Code","Production BOM No.",D733,"status","certified")</t>
  </si>
  <si>
    <t>=NL("sum","Item Ledger Entry","Quantity","Item No.",$D733,"Entry Type","Sale|Consumption","posting date","01/01/19..12/31/19")/-12</t>
  </si>
  <si>
    <t>=NL("sum","Item Ledger Entry","Quantity","Item No.",$D733,"Entry Type","Sale|Consumption","posting date","01/01/20..12/31/20")/-12</t>
  </si>
  <si>
    <t>=NL("sum","Item Ledger Entry","Quantity","Item No.",$D733,"Entry Type","Sale|Consumption","posting date","01/01/21..12/31/21")/-12</t>
  </si>
  <si>
    <t>=NL("sum","Item Ledger Entry","Quantity","Item No.",$D733,"Entry Type","Sale|Consumption","posting date","01/01/22..12/31/22")/-12</t>
  </si>
  <si>
    <t>=NL("sum","Item Ledger Entry","Quantity","Item No.",$D733,"Entry Type","Sale|Consumption","posting date","01/01/23..12/31/23")/$J$7</t>
  </si>
  <si>
    <t>=AVERAGE(I733:J733)</t>
  </si>
  <si>
    <t>=NL(1,"item",L$9,"no.",D733)</t>
  </si>
  <si>
    <t>=NL(1,"item",M$9,"no.",$D733)</t>
  </si>
  <si>
    <t>=NL(1,"item","Units Per Parcel","no.",$D733)</t>
  </si>
  <si>
    <t>=NL(1,"Prod. BOM Equipment","Fixed Prod. Time (Hours)","Production BOM No.",$D733,"version code",$E733,"Resource No.",O$9)</t>
  </si>
  <si>
    <t>=1/O733</t>
  </si>
  <si>
    <t>=IF(NL(1,"Prod. BOM Equipment","Variable Prod. Time (Hours)","Production BOM No.",$D733,"version code",$E733,"Resource No.",$O$9)="",1,NL(1,"Prod. BOM Equipment","Variable Prod. Time (Hours)","Production BOM No.",$D733,"version code",$E733,"Resource No.",$O$9))</t>
  </si>
  <si>
    <t>=1/Q733</t>
  </si>
  <si>
    <t>=R733*N733</t>
  </si>
  <si>
    <t>=IF(K734=0,"hide","")</t>
  </si>
  <si>
    <t>="6"</t>
  </si>
  <si>
    <t>=NL("sum","Item Ledger Entry","Quantity","Item No.",$D734,"Entry Type","Sale|Consumption","posting date","01/01/19..12/31/19")/-12</t>
  </si>
  <si>
    <t>=NL("sum","Item Ledger Entry","Quantity","Item No.",$D734,"Entry Type","Sale|Consumption","posting date","01/01/20..12/31/20")/-12</t>
  </si>
  <si>
    <t>=NL("sum","Item Ledger Entry","Quantity","Item No.",$D734,"Entry Type","Sale|Consumption","posting date","01/01/21..12/31/21")/-12</t>
  </si>
  <si>
    <t>=NL("sum","Item Ledger Entry","Quantity","Item No.",$D734,"Entry Type","Sale|Consumption","posting date","01/01/22..12/31/22")/-12</t>
  </si>
  <si>
    <t>=NL("sum","Item Ledger Entry","Quantity","Item No.",$D734,"Entry Type","Sale|Consumption","posting date","01/01/23..12/31/23")/$J$7</t>
  </si>
  <si>
    <t>=AVERAGE(I734:J734)</t>
  </si>
  <si>
    <t>=NL(1,"item",L$9,"no.",D734)</t>
  </si>
  <si>
    <t>=NL(1,"item",M$9,"no.",$D734)</t>
  </si>
  <si>
    <t>=NL(1,"item","Units Per Parcel","no.",$D734)</t>
  </si>
  <si>
    <t>=NL(1,"Prod. BOM Equipment","Fixed Prod. Time (Hours)","Production BOM No.",$D734,"version code",$E734,"Resource No.",O$9)</t>
  </si>
  <si>
    <t>=1/O734</t>
  </si>
  <si>
    <t>=IF(NL(1,"Prod. BOM Equipment","Variable Prod. Time (Hours)","Production BOM No.",$D734,"version code",$E734,"Resource No.",$O$9)="",1,NL(1,"Prod. BOM Equipment","Variable Prod. Time (Hours)","Production BOM No.",$D734,"version code",$E734,"Resource No.",$O$9))</t>
  </si>
  <si>
    <t>=1/Q734</t>
  </si>
  <si>
    <t>=R734*N734</t>
  </si>
  <si>
    <t>=IF(K735=0,"hide","")</t>
  </si>
  <si>
    <t>=D733</t>
  </si>
  <si>
    <t>=NL("sum","Production Order","Quantity","Source No.",$D735,"Equipment Code",$L735,"due date",F$8)/-12</t>
  </si>
  <si>
    <t>=NL("sum","Production Order","Quantity","Source No.",$D735,"Equipment Code",$L735,"due date",G$8)/-12</t>
  </si>
  <si>
    <t>=NL("sum","Production Order","Quantity","Source No.",$D735,"Equipment Code",$L735,"due date",H$8)/-12</t>
  </si>
  <si>
    <t>=NL("sum","Production Order","Quantity","Source No.",$D735,"Equipment Code",$L735,"due date",I$8)/-12</t>
  </si>
  <si>
    <t>=NL("sum","Production Order","Quantity","Source No.",$D735,"Equipment Code",$L735,"due date",J$8)/$J$7</t>
  </si>
  <si>
    <t>=AVERAGE(I735:J735)</t>
  </si>
  <si>
    <t>=IF(K736=0,"hide","")</t>
  </si>
  <si>
    <t>=D734</t>
  </si>
  <si>
    <t>=NL("sum","Production Order","Quantity","Source No.",$D736,"Equipment Code",$L736,"due date",F$8)/-12</t>
  </si>
  <si>
    <t>=NL("sum","Production Order","Quantity","Source No.",$D736,"Equipment Code",$L736,"due date",G$8)/-12</t>
  </si>
  <si>
    <t>=NL("sum","Production Order","Quantity","Source No.",$D736,"Equipment Code",$L736,"due date",H$8)/-12</t>
  </si>
  <si>
    <t>=NL("sum","Production Order","Quantity","Source No.",$D736,"Equipment Code",$L736,"due date",I$8)/-12</t>
  </si>
  <si>
    <t>=NL("sum","Production Order","Quantity","Source No.",$D736,"Equipment Code",$L736,"due date",J$8)/$J$7</t>
  </si>
  <si>
    <t>=AVERAGE(I736:J736)</t>
  </si>
  <si>
    <t>=IF(K737=0,"hide","")</t>
  </si>
  <si>
    <t>=D735</t>
  </si>
  <si>
    <t>=NL("sum","Production Order","Quantity","Source No.",$D737,"Equipment Code",$L737,"due date",F$8)/-12</t>
  </si>
  <si>
    <t>=NL("sum","Production Order","Quantity","Source No.",$D737,"Equipment Code",$L737,"due date",G$8)/-12</t>
  </si>
  <si>
    <t>=NL("sum","Production Order","Quantity","Source No.",$D737,"Equipment Code",$L737,"due date",H$8)/-12</t>
  </si>
  <si>
    <t>=NL("sum","Production Order","Quantity","Source No.",$D737,"Equipment Code",$L737,"due date",I$8)/-12</t>
  </si>
  <si>
    <t>=NL("sum","Production Order","Quantity","Source No.",$D737,"Equipment Code",$L737,"due date",J$8)/$J$7</t>
  </si>
  <si>
    <t>=AVERAGE(I737:J737)</t>
  </si>
  <si>
    <t>=IF(K738=0,"hide","")</t>
  </si>
  <si>
    <t>=D736</t>
  </si>
  <si>
    <t>=NL("sum","Production Order","Quantity","Source No.",$D738,"Equipment Code",$L738,"due date",F$8)/-12</t>
  </si>
  <si>
    <t>=NL("sum","Production Order","Quantity","Source No.",$D738,"Equipment Code",$L738,"due date",G$8)/-12</t>
  </si>
  <si>
    <t>=NL("sum","Production Order","Quantity","Source No.",$D738,"Equipment Code",$L738,"due date",H$8)/-12</t>
  </si>
  <si>
    <t>=NL("sum","Production Order","Quantity","Source No.",$D738,"Equipment Code",$L738,"due date",I$8)/-12</t>
  </si>
  <si>
    <t>=NL("sum","Production Order","Quantity","Source No.",$D738,"Equipment Code",$L738,"due date",J$8)/$J$7</t>
  </si>
  <si>
    <t>=AVERAGE(I738:J738)</t>
  </si>
  <si>
    <t>=B735</t>
  </si>
  <si>
    <t>=B739</t>
  </si>
  <si>
    <t>=SUM(F735:F739)</t>
  </si>
  <si>
    <t>=SUM(G735:G739)</t>
  </si>
  <si>
    <t>=SUM(H735:H739)</t>
  </si>
  <si>
    <t>=SUM(I735:I739)</t>
  </si>
  <si>
    <t>=SUM(J735:J739)</t>
  </si>
  <si>
    <t>=IF(K741=0,"hide","")</t>
  </si>
  <si>
    <t>="06261"</t>
  </si>
  <si>
    <t>=NL("rows","Production BOM Version","Version Code","Production BOM No.",D741,"status","certified")</t>
  </si>
  <si>
    <t>=NL("sum","Item Ledger Entry","Quantity","Item No.",$D741,"Entry Type","Sale|Consumption","posting date","01/01/19..12/31/19")/-12</t>
  </si>
  <si>
    <t>=NL("sum","Item Ledger Entry","Quantity","Item No.",$D741,"Entry Type","Sale|Consumption","posting date","01/01/20..12/31/20")/-12</t>
  </si>
  <si>
    <t>=NL("sum","Item Ledger Entry","Quantity","Item No.",$D741,"Entry Type","Sale|Consumption","posting date","01/01/21..12/31/21")/-12</t>
  </si>
  <si>
    <t>=NL("sum","Item Ledger Entry","Quantity","Item No.",$D741,"Entry Type","Sale|Consumption","posting date","01/01/22..12/31/22")/-12</t>
  </si>
  <si>
    <t>=NL("sum","Item Ledger Entry","Quantity","Item No.",$D741,"Entry Type","Sale|Consumption","posting date","01/01/23..12/31/23")/$J$7</t>
  </si>
  <si>
    <t>=AVERAGE(I741:J741)</t>
  </si>
  <si>
    <t>=NL(1,"item",L$9,"no.",D741)</t>
  </si>
  <si>
    <t>=NL(1,"item",M$9,"no.",$D741)</t>
  </si>
  <si>
    <t>=NL(1,"item","Units Per Parcel","no.",$D741)</t>
  </si>
  <si>
    <t>=NL(1,"Prod. BOM Equipment","Fixed Prod. Time (Hours)","Production BOM No.",$D741,"version code",$E741,"Resource No.",O$9)</t>
  </si>
  <si>
    <t>=1/O741</t>
  </si>
  <si>
    <t>=IF(NL(1,"Prod. BOM Equipment","Variable Prod. Time (Hours)","Production BOM No.",$D741,"version code",$E741,"Resource No.",$O$9)="",1,NL(1,"Prod. BOM Equipment","Variable Prod. Time (Hours)","Production BOM No.",$D741,"version code",$E741,"Resource No.",$O$9))</t>
  </si>
  <si>
    <t>=1/Q741</t>
  </si>
  <si>
    <t>=R741*N741</t>
  </si>
  <si>
    <t>=IF(K742=0,"hide","")</t>
  </si>
  <si>
    <t>=D741</t>
  </si>
  <si>
    <t>=NL("sum","Production Order","Quantity","Source No.",$D742,"Equipment Code",$L742,"due date",F$8)/-12</t>
  </si>
  <si>
    <t>=NL("sum","Production Order","Quantity","Source No.",$D742,"Equipment Code",$L742,"due date",G$8)/-12</t>
  </si>
  <si>
    <t>=NL("sum","Production Order","Quantity","Source No.",$D742,"Equipment Code",$L742,"due date",H$8)/-12</t>
  </si>
  <si>
    <t>=NL("sum","Production Order","Quantity","Source No.",$D742,"Equipment Code",$L742,"due date",I$8)/-12</t>
  </si>
  <si>
    <t>=NL("sum","Production Order","Quantity","Source No.",$D742,"Equipment Code",$L742,"due date",J$8)/$J$7</t>
  </si>
  <si>
    <t>=AVERAGE(I742:J742)</t>
  </si>
  <si>
    <t>=IF(K743=0,"hide","")</t>
  </si>
  <si>
    <t>=D742</t>
  </si>
  <si>
    <t>=NL("sum","Production Order","Quantity","Source No.",$D743,"Equipment Code",$L743,"due date",F$8)/-12</t>
  </si>
  <si>
    <t>=NL("sum","Production Order","Quantity","Source No.",$D743,"Equipment Code",$L743,"due date",G$8)/-12</t>
  </si>
  <si>
    <t>=NL("sum","Production Order","Quantity","Source No.",$D743,"Equipment Code",$L743,"due date",H$8)/-12</t>
  </si>
  <si>
    <t>=NL("sum","Production Order","Quantity","Source No.",$D743,"Equipment Code",$L743,"due date",I$8)/-12</t>
  </si>
  <si>
    <t>=NL("sum","Production Order","Quantity","Source No.",$D743,"Equipment Code",$L743,"due date",J$8)/$J$7</t>
  </si>
  <si>
    <t>=AVERAGE(I743:J743)</t>
  </si>
  <si>
    <t>=IF(K744=0,"hide","")</t>
  </si>
  <si>
    <t>=D743</t>
  </si>
  <si>
    <t>=NL("sum","Production Order","Quantity","Source No.",$D744,"Equipment Code",$L744,"due date",F$8)/-12</t>
  </si>
  <si>
    <t>=NL("sum","Production Order","Quantity","Source No.",$D744,"Equipment Code",$L744,"due date",G$8)/-12</t>
  </si>
  <si>
    <t>=NL("sum","Production Order","Quantity","Source No.",$D744,"Equipment Code",$L744,"due date",H$8)/-12</t>
  </si>
  <si>
    <t>=NL("sum","Production Order","Quantity","Source No.",$D744,"Equipment Code",$L744,"due date",I$8)/-12</t>
  </si>
  <si>
    <t>=NL("sum","Production Order","Quantity","Source No.",$D744,"Equipment Code",$L744,"due date",J$8)/$J$7</t>
  </si>
  <si>
    <t>=AVERAGE(I744:J744)</t>
  </si>
  <si>
    <t>=IF(K745=0,"hide","")</t>
  </si>
  <si>
    <t>=D744</t>
  </si>
  <si>
    <t>=NL("sum","Production Order","Quantity","Source No.",$D745,"Equipment Code",$L745,"due date",F$8)/-12</t>
  </si>
  <si>
    <t>=NL("sum","Production Order","Quantity","Source No.",$D745,"Equipment Code",$L745,"due date",G$8)/-12</t>
  </si>
  <si>
    <t>=NL("sum","Production Order","Quantity","Source No.",$D745,"Equipment Code",$L745,"due date",H$8)/-12</t>
  </si>
  <si>
    <t>=NL("sum","Production Order","Quantity","Source No.",$D745,"Equipment Code",$L745,"due date",I$8)/-12</t>
  </si>
  <si>
    <t>=NL("sum","Production Order","Quantity","Source No.",$D745,"Equipment Code",$L745,"due date",J$8)/$J$7</t>
  </si>
  <si>
    <t>=AVERAGE(I745:J745)</t>
  </si>
  <si>
    <t>=B742</t>
  </si>
  <si>
    <t>=B746</t>
  </si>
  <si>
    <t>=SUM(F742:F746)</t>
  </si>
  <si>
    <t>=SUM(G742:G746)</t>
  </si>
  <si>
    <t>=SUM(H742:H746)</t>
  </si>
  <si>
    <t>=SUM(I742:I746)</t>
  </si>
  <si>
    <t>=SUM(J742:J746)</t>
  </si>
  <si>
    <t>=IF(K748=0,"hide","")</t>
  </si>
  <si>
    <t>="06301"</t>
  </si>
  <si>
    <t>=NL("rows","Production BOM Version","Version Code","Production BOM No.",D748,"status","certified")</t>
  </si>
  <si>
    <t>=NL("sum","Item Ledger Entry","Quantity","Item No.",$D748,"Entry Type","Sale|Consumption","posting date","01/01/19..12/31/19")/-12</t>
  </si>
  <si>
    <t>=NL("sum","Item Ledger Entry","Quantity","Item No.",$D748,"Entry Type","Sale|Consumption","posting date","01/01/20..12/31/20")/-12</t>
  </si>
  <si>
    <t>=NL("sum","Item Ledger Entry","Quantity","Item No.",$D748,"Entry Type","Sale|Consumption","posting date","01/01/21..12/31/21")/-12</t>
  </si>
  <si>
    <t>=NL("sum","Item Ledger Entry","Quantity","Item No.",$D748,"Entry Type","Sale|Consumption","posting date","01/01/22..12/31/22")/-12</t>
  </si>
  <si>
    <t>=NL("sum","Item Ledger Entry","Quantity","Item No.",$D748,"Entry Type","Sale|Consumption","posting date","01/01/23..12/31/23")/$J$7</t>
  </si>
  <si>
    <t>=AVERAGE(I748:J748)</t>
  </si>
  <si>
    <t>=NL(1,"item",L$9,"no.",D748)</t>
  </si>
  <si>
    <t>=NL(1,"item",M$9,"no.",$D748)</t>
  </si>
  <si>
    <t>=NL(1,"item","Units Per Parcel","no.",$D748)</t>
  </si>
  <si>
    <t>=NL(1,"Prod. BOM Equipment","Fixed Prod. Time (Hours)","Production BOM No.",$D748,"version code",$E748,"Resource No.",O$9)</t>
  </si>
  <si>
    <t>=1/O748</t>
  </si>
  <si>
    <t>=IF(NL(1,"Prod. BOM Equipment","Variable Prod. Time (Hours)","Production BOM No.",$D748,"version code",$E748,"Resource No.",$O$9)="",1,NL(1,"Prod. BOM Equipment","Variable Prod. Time (Hours)","Production BOM No.",$D748,"version code",$E748,"Resource No.",$O$9))</t>
  </si>
  <si>
    <t>=1/Q748</t>
  </si>
  <si>
    <t>=R748*N748</t>
  </si>
  <si>
    <t>=IF(K749=0,"hide","")</t>
  </si>
  <si>
    <t>=D748</t>
  </si>
  <si>
    <t>=NL("sum","Production Order","Quantity","Source No.",$D749,"Equipment Code",$L749,"due date",F$8)/-12</t>
  </si>
  <si>
    <t>=NL("sum","Production Order","Quantity","Source No.",$D749,"Equipment Code",$L749,"due date",G$8)/-12</t>
  </si>
  <si>
    <t>=NL("sum","Production Order","Quantity","Source No.",$D749,"Equipment Code",$L749,"due date",H$8)/-12</t>
  </si>
  <si>
    <t>=NL("sum","Production Order","Quantity","Source No.",$D749,"Equipment Code",$L749,"due date",I$8)/-12</t>
  </si>
  <si>
    <t>=NL("sum","Production Order","Quantity","Source No.",$D749,"Equipment Code",$L749,"due date",J$8)/$J$7</t>
  </si>
  <si>
    <t>=AVERAGE(I749:J749)</t>
  </si>
  <si>
    <t>=IF(K750=0,"hide","")</t>
  </si>
  <si>
    <t>=D749</t>
  </si>
  <si>
    <t>=NL("sum","Production Order","Quantity","Source No.",$D750,"Equipment Code",$L750,"due date",F$8)/-12</t>
  </si>
  <si>
    <t>=NL("sum","Production Order","Quantity","Source No.",$D750,"Equipment Code",$L750,"due date",G$8)/-12</t>
  </si>
  <si>
    <t>=NL("sum","Production Order","Quantity","Source No.",$D750,"Equipment Code",$L750,"due date",H$8)/-12</t>
  </si>
  <si>
    <t>=NL("sum","Production Order","Quantity","Source No.",$D750,"Equipment Code",$L750,"due date",I$8)/-12</t>
  </si>
  <si>
    <t>=NL("sum","Production Order","Quantity","Source No.",$D750,"Equipment Code",$L750,"due date",J$8)/$J$7</t>
  </si>
  <si>
    <t>=AVERAGE(I750:J750)</t>
  </si>
  <si>
    <t>=IF(K751=0,"hide","")</t>
  </si>
  <si>
    <t>=D750</t>
  </si>
  <si>
    <t>=NL("sum","Production Order","Quantity","Source No.",$D751,"Equipment Code",$L751,"due date",F$8)/-12</t>
  </si>
  <si>
    <t>=NL("sum","Production Order","Quantity","Source No.",$D751,"Equipment Code",$L751,"due date",G$8)/-12</t>
  </si>
  <si>
    <t>=NL("sum","Production Order","Quantity","Source No.",$D751,"Equipment Code",$L751,"due date",H$8)/-12</t>
  </si>
  <si>
    <t>=NL("sum","Production Order","Quantity","Source No.",$D751,"Equipment Code",$L751,"due date",I$8)/-12</t>
  </si>
  <si>
    <t>=NL("sum","Production Order","Quantity","Source No.",$D751,"Equipment Code",$L751,"due date",J$8)/$J$7</t>
  </si>
  <si>
    <t>=AVERAGE(I751:J751)</t>
  </si>
  <si>
    <t>=IF(K752=0,"hide","")</t>
  </si>
  <si>
    <t>=D751</t>
  </si>
  <si>
    <t>=NL("sum","Production Order","Quantity","Source No.",$D752,"Equipment Code",$L752,"due date",F$8)/-12</t>
  </si>
  <si>
    <t>=NL("sum","Production Order","Quantity","Source No.",$D752,"Equipment Code",$L752,"due date",G$8)/-12</t>
  </si>
  <si>
    <t>=NL("sum","Production Order","Quantity","Source No.",$D752,"Equipment Code",$L752,"due date",H$8)/-12</t>
  </si>
  <si>
    <t>=NL("sum","Production Order","Quantity","Source No.",$D752,"Equipment Code",$L752,"due date",I$8)/-12</t>
  </si>
  <si>
    <t>=NL("sum","Production Order","Quantity","Source No.",$D752,"Equipment Code",$L752,"due date",J$8)/$J$7</t>
  </si>
  <si>
    <t>=AVERAGE(I752:J752)</t>
  </si>
  <si>
    <t>=B749</t>
  </si>
  <si>
    <t>=B753</t>
  </si>
  <si>
    <t>=SUM(F749:F753)</t>
  </si>
  <si>
    <t>=SUM(G749:G753)</t>
  </si>
  <si>
    <t>=SUM(H749:H753)</t>
  </si>
  <si>
    <t>=SUM(I749:I753)</t>
  </si>
  <si>
    <t>=SUM(J749:J753)</t>
  </si>
  <si>
    <t>=IF(K755=0,"hide","")</t>
  </si>
  <si>
    <t>="06400"</t>
  </si>
  <si>
    <t>=NL("rows","Production BOM Version","Version Code","Production BOM No.",D755,"status","certified")</t>
  </si>
  <si>
    <t>=NL("sum","Item Ledger Entry","Quantity","Item No.",$D755,"Entry Type","Sale|Consumption","posting date","01/01/19..12/31/19")/-12</t>
  </si>
  <si>
    <t>=NL("sum","Item Ledger Entry","Quantity","Item No.",$D755,"Entry Type","Sale|Consumption","posting date","01/01/20..12/31/20")/-12</t>
  </si>
  <si>
    <t>=NL("sum","Item Ledger Entry","Quantity","Item No.",$D755,"Entry Type","Sale|Consumption","posting date","01/01/21..12/31/21")/-12</t>
  </si>
  <si>
    <t>=NL("sum","Item Ledger Entry","Quantity","Item No.",$D755,"Entry Type","Sale|Consumption","posting date","01/01/22..12/31/22")/-12</t>
  </si>
  <si>
    <t>=NL("sum","Item Ledger Entry","Quantity","Item No.",$D755,"Entry Type","Sale|Consumption","posting date","01/01/23..12/31/23")/$J$7</t>
  </si>
  <si>
    <t>=AVERAGE(I755:J755)</t>
  </si>
  <si>
    <t>=NL(1,"item",L$9,"no.",D755)</t>
  </si>
  <si>
    <t>=NL(1,"item",M$9,"no.",$D755)</t>
  </si>
  <si>
    <t>=NL(1,"item","Units Per Parcel","no.",$D755)</t>
  </si>
  <si>
    <t>=NL(1,"Prod. BOM Equipment","Fixed Prod. Time (Hours)","Production BOM No.",$D755,"version code",$E755,"Resource No.",O$9)</t>
  </si>
  <si>
    <t>=1/O755</t>
  </si>
  <si>
    <t>=IF(NL(1,"Prod. BOM Equipment","Variable Prod. Time (Hours)","Production BOM No.",$D755,"version code",$E755,"Resource No.",$O$9)="",1,NL(1,"Prod. BOM Equipment","Variable Prod. Time (Hours)","Production BOM No.",$D755,"version code",$E755,"Resource No.",$O$9))</t>
  </si>
  <si>
    <t>=1/Q755</t>
  </si>
  <si>
    <t>=R755*N755</t>
  </si>
  <si>
    <t>=IF(K756=0,"hide","")</t>
  </si>
  <si>
    <t>=D755</t>
  </si>
  <si>
    <t>=NL("sum","Production Order","Quantity","Source No.",$D756,"Equipment Code",$L756,"due date",F$8)/-12</t>
  </si>
  <si>
    <t>=NL("sum","Production Order","Quantity","Source No.",$D756,"Equipment Code",$L756,"due date",G$8)/-12</t>
  </si>
  <si>
    <t>=NL("sum","Production Order","Quantity","Source No.",$D756,"Equipment Code",$L756,"due date",H$8)/-12</t>
  </si>
  <si>
    <t>=NL("sum","Production Order","Quantity","Source No.",$D756,"Equipment Code",$L756,"due date",I$8)/-12</t>
  </si>
  <si>
    <t>=NL("sum","Production Order","Quantity","Source No.",$D756,"Equipment Code",$L756,"due date",J$8)/$J$7</t>
  </si>
  <si>
    <t>=AVERAGE(I756:J756)</t>
  </si>
  <si>
    <t>=IF(K757=0,"hide","")</t>
  </si>
  <si>
    <t>=D756</t>
  </si>
  <si>
    <t>=NL("sum","Production Order","Quantity","Source No.",$D757,"Equipment Code",$L757,"due date",F$8)/-12</t>
  </si>
  <si>
    <t>=NL("sum","Production Order","Quantity","Source No.",$D757,"Equipment Code",$L757,"due date",G$8)/-12</t>
  </si>
  <si>
    <t>=NL("sum","Production Order","Quantity","Source No.",$D757,"Equipment Code",$L757,"due date",H$8)/-12</t>
  </si>
  <si>
    <t>=NL("sum","Production Order","Quantity","Source No.",$D757,"Equipment Code",$L757,"due date",I$8)/-12</t>
  </si>
  <si>
    <t>=NL("sum","Production Order","Quantity","Source No.",$D757,"Equipment Code",$L757,"due date",J$8)/$J$7</t>
  </si>
  <si>
    <t>=AVERAGE(I757:J757)</t>
  </si>
  <si>
    <t>=IF(K758=0,"hide","")</t>
  </si>
  <si>
    <t>=D757</t>
  </si>
  <si>
    <t>=NL("sum","Production Order","Quantity","Source No.",$D758,"Equipment Code",$L758,"due date",F$8)/-12</t>
  </si>
  <si>
    <t>=NL("sum","Production Order","Quantity","Source No.",$D758,"Equipment Code",$L758,"due date",G$8)/-12</t>
  </si>
  <si>
    <t>=NL("sum","Production Order","Quantity","Source No.",$D758,"Equipment Code",$L758,"due date",H$8)/-12</t>
  </si>
  <si>
    <t>=NL("sum","Production Order","Quantity","Source No.",$D758,"Equipment Code",$L758,"due date",I$8)/-12</t>
  </si>
  <si>
    <t>=NL("sum","Production Order","Quantity","Source No.",$D758,"Equipment Code",$L758,"due date",J$8)/$J$7</t>
  </si>
  <si>
    <t>=AVERAGE(I758:J758)</t>
  </si>
  <si>
    <t>=IF(K759=0,"hide","")</t>
  </si>
  <si>
    <t>=D758</t>
  </si>
  <si>
    <t>=NL("sum","Production Order","Quantity","Source No.",$D759,"Equipment Code",$L759,"due date",F$8)/-12</t>
  </si>
  <si>
    <t>=NL("sum","Production Order","Quantity","Source No.",$D759,"Equipment Code",$L759,"due date",G$8)/-12</t>
  </si>
  <si>
    <t>=NL("sum","Production Order","Quantity","Source No.",$D759,"Equipment Code",$L759,"due date",H$8)/-12</t>
  </si>
  <si>
    <t>=NL("sum","Production Order","Quantity","Source No.",$D759,"Equipment Code",$L759,"due date",I$8)/-12</t>
  </si>
  <si>
    <t>=NL("sum","Production Order","Quantity","Source No.",$D759,"Equipment Code",$L759,"due date",J$8)/$J$7</t>
  </si>
  <si>
    <t>=AVERAGE(I759:J759)</t>
  </si>
  <si>
    <t>=B756</t>
  </si>
  <si>
    <t>=B760</t>
  </si>
  <si>
    <t>=SUM(F756:F760)</t>
  </si>
  <si>
    <t>=SUM(G756:G760)</t>
  </si>
  <si>
    <t>=SUM(H756:H760)</t>
  </si>
  <si>
    <t>=SUM(I756:I760)</t>
  </si>
  <si>
    <t>=SUM(J756:J760)</t>
  </si>
  <si>
    <t>=IF(K762=0,"hide","")</t>
  </si>
  <si>
    <t>="06605"</t>
  </si>
  <si>
    <t>=NL("rows","Production BOM Version","Version Code","Production BOM No.",D762,"status","certified")</t>
  </si>
  <si>
    <t>=NL("sum","Item Ledger Entry","Quantity","Item No.",$D762,"Entry Type","Sale|Consumption","posting date","01/01/19..12/31/19")/-12</t>
  </si>
  <si>
    <t>=NL("sum","Item Ledger Entry","Quantity","Item No.",$D762,"Entry Type","Sale|Consumption","posting date","01/01/20..12/31/20")/-12</t>
  </si>
  <si>
    <t>=NL("sum","Item Ledger Entry","Quantity","Item No.",$D762,"Entry Type","Sale|Consumption","posting date","01/01/21..12/31/21")/-12</t>
  </si>
  <si>
    <t>=NL("sum","Item Ledger Entry","Quantity","Item No.",$D762,"Entry Type","Sale|Consumption","posting date","01/01/22..12/31/22")/-12</t>
  </si>
  <si>
    <t>=NL("sum","Item Ledger Entry","Quantity","Item No.",$D762,"Entry Type","Sale|Consumption","posting date","01/01/23..12/31/23")/$J$7</t>
  </si>
  <si>
    <t>=AVERAGE(I762:J762)</t>
  </si>
  <si>
    <t>=NL(1,"item",L$9,"no.",D762)</t>
  </si>
  <si>
    <t>=NL(1,"item",M$9,"no.",$D762)</t>
  </si>
  <si>
    <t>=NL(1,"item","Units Per Parcel","no.",$D762)</t>
  </si>
  <si>
    <t>=NL(1,"Prod. BOM Equipment","Fixed Prod. Time (Hours)","Production BOM No.",$D762,"version code",$E762,"Resource No.",O$9)</t>
  </si>
  <si>
    <t>=1/O762</t>
  </si>
  <si>
    <t>=IF(NL(1,"Prod. BOM Equipment","Variable Prod. Time (Hours)","Production BOM No.",$D762,"version code",$E762,"Resource No.",$O$9)="",1,NL(1,"Prod. BOM Equipment","Variable Prod. Time (Hours)","Production BOM No.",$D762,"version code",$E762,"Resource No.",$O$9))</t>
  </si>
  <si>
    <t>=1/Q762</t>
  </si>
  <si>
    <t>=R762*N762</t>
  </si>
  <si>
    <t>=IF(K763=0,"hide","")</t>
  </si>
  <si>
    <t>=D762</t>
  </si>
  <si>
    <t>=NL("sum","Production Order","Quantity","Source No.",$D763,"Equipment Code",$L763,"due date",F$8)/-12</t>
  </si>
  <si>
    <t>=NL("sum","Production Order","Quantity","Source No.",$D763,"Equipment Code",$L763,"due date",G$8)/-12</t>
  </si>
  <si>
    <t>=NL("sum","Production Order","Quantity","Source No.",$D763,"Equipment Code",$L763,"due date",H$8)/-12</t>
  </si>
  <si>
    <t>=NL("sum","Production Order","Quantity","Source No.",$D763,"Equipment Code",$L763,"due date",I$8)/-12</t>
  </si>
  <si>
    <t>=NL("sum","Production Order","Quantity","Source No.",$D763,"Equipment Code",$L763,"due date",J$8)/$J$7</t>
  </si>
  <si>
    <t>=AVERAGE(I763:J763)</t>
  </si>
  <si>
    <t>=IF(K764=0,"hide","")</t>
  </si>
  <si>
    <t>=D763</t>
  </si>
  <si>
    <t>=NL("sum","Production Order","Quantity","Source No.",$D764,"Equipment Code",$L764,"due date",F$8)/-12</t>
  </si>
  <si>
    <t>=NL("sum","Production Order","Quantity","Source No.",$D764,"Equipment Code",$L764,"due date",G$8)/-12</t>
  </si>
  <si>
    <t>=NL("sum","Production Order","Quantity","Source No.",$D764,"Equipment Code",$L764,"due date",H$8)/-12</t>
  </si>
  <si>
    <t>=NL("sum","Production Order","Quantity","Source No.",$D764,"Equipment Code",$L764,"due date",I$8)/-12</t>
  </si>
  <si>
    <t>=NL("sum","Production Order","Quantity","Source No.",$D764,"Equipment Code",$L764,"due date",J$8)/$J$7</t>
  </si>
  <si>
    <t>=AVERAGE(I764:J764)</t>
  </si>
  <si>
    <t>=IF(K765=0,"hide","")</t>
  </si>
  <si>
    <t>=D764</t>
  </si>
  <si>
    <t>=NL("sum","Production Order","Quantity","Source No.",$D765,"Equipment Code",$L765,"due date",F$8)/-12</t>
  </si>
  <si>
    <t>=NL("sum","Production Order","Quantity","Source No.",$D765,"Equipment Code",$L765,"due date",G$8)/-12</t>
  </si>
  <si>
    <t>=NL("sum","Production Order","Quantity","Source No.",$D765,"Equipment Code",$L765,"due date",H$8)/-12</t>
  </si>
  <si>
    <t>=NL("sum","Production Order","Quantity","Source No.",$D765,"Equipment Code",$L765,"due date",I$8)/-12</t>
  </si>
  <si>
    <t>=NL("sum","Production Order","Quantity","Source No.",$D765,"Equipment Code",$L765,"due date",J$8)/$J$7</t>
  </si>
  <si>
    <t>=AVERAGE(I765:J765)</t>
  </si>
  <si>
    <t>=IF(K766=0,"hide","")</t>
  </si>
  <si>
    <t>=D765</t>
  </si>
  <si>
    <t>=NL("sum","Production Order","Quantity","Source No.",$D766,"Equipment Code",$L766,"due date",F$8)/-12</t>
  </si>
  <si>
    <t>=NL("sum","Production Order","Quantity","Source No.",$D766,"Equipment Code",$L766,"due date",G$8)/-12</t>
  </si>
  <si>
    <t>=NL("sum","Production Order","Quantity","Source No.",$D766,"Equipment Code",$L766,"due date",H$8)/-12</t>
  </si>
  <si>
    <t>=NL("sum","Production Order","Quantity","Source No.",$D766,"Equipment Code",$L766,"due date",I$8)/-12</t>
  </si>
  <si>
    <t>=NL("sum","Production Order","Quantity","Source No.",$D766,"Equipment Code",$L766,"due date",J$8)/$J$7</t>
  </si>
  <si>
    <t>=AVERAGE(I766:J766)</t>
  </si>
  <si>
    <t>=B763</t>
  </si>
  <si>
    <t>=B767</t>
  </si>
  <si>
    <t>=SUM(F763:F767)</t>
  </si>
  <si>
    <t>=SUM(G763:G767)</t>
  </si>
  <si>
    <t>=SUM(H763:H767)</t>
  </si>
  <si>
    <t>=SUM(I763:I767)</t>
  </si>
  <si>
    <t>=SUM(J763:J767)</t>
  </si>
  <si>
    <t>=IF(K769=0,"hide","")</t>
  </si>
  <si>
    <t>="06620"</t>
  </si>
  <si>
    <t>=NL("rows","Production BOM Version","Version Code","Production BOM No.",D769,"status","certified")</t>
  </si>
  <si>
    <t>=NL("sum","Item Ledger Entry","Quantity","Item No.",$D769,"Entry Type","Sale|Consumption","posting date","01/01/19..12/31/19")/-12</t>
  </si>
  <si>
    <t>=NL("sum","Item Ledger Entry","Quantity","Item No.",$D769,"Entry Type","Sale|Consumption","posting date","01/01/20..12/31/20")/-12</t>
  </si>
  <si>
    <t>=NL("sum","Item Ledger Entry","Quantity","Item No.",$D769,"Entry Type","Sale|Consumption","posting date","01/01/21..12/31/21")/-12</t>
  </si>
  <si>
    <t>=NL("sum","Item Ledger Entry","Quantity","Item No.",$D769,"Entry Type","Sale|Consumption","posting date","01/01/22..12/31/22")/-12</t>
  </si>
  <si>
    <t>=NL("sum","Item Ledger Entry","Quantity","Item No.",$D769,"Entry Type","Sale|Consumption","posting date","01/01/23..12/31/23")/$J$7</t>
  </si>
  <si>
    <t>=AVERAGE(I769:J769)</t>
  </si>
  <si>
    <t>=NL(1,"item",L$9,"no.",D769)</t>
  </si>
  <si>
    <t>=NL(1,"item",M$9,"no.",$D769)</t>
  </si>
  <si>
    <t>=NL(1,"item","Units Per Parcel","no.",$D769)</t>
  </si>
  <si>
    <t>=NL(1,"Prod. BOM Equipment","Fixed Prod. Time (Hours)","Production BOM No.",$D769,"version code",$E769,"Resource No.",O$9)</t>
  </si>
  <si>
    <t>=1/O769</t>
  </si>
  <si>
    <t>=IF(NL(1,"Prod. BOM Equipment","Variable Prod. Time (Hours)","Production BOM No.",$D769,"version code",$E769,"Resource No.",$O$9)="",1,NL(1,"Prod. BOM Equipment","Variable Prod. Time (Hours)","Production BOM No.",$D769,"version code",$E769,"Resource No.",$O$9))</t>
  </si>
  <si>
    <t>=1/Q769</t>
  </si>
  <si>
    <t>=R769*N769</t>
  </si>
  <si>
    <t>=IF(K770=0,"hide","")</t>
  </si>
  <si>
    <t>=D769</t>
  </si>
  <si>
    <t>=NL("sum","Production Order","Quantity","Source No.",$D770,"Equipment Code",$L770,"due date",F$8)/-12</t>
  </si>
  <si>
    <t>=NL("sum","Production Order","Quantity","Source No.",$D770,"Equipment Code",$L770,"due date",G$8)/-12</t>
  </si>
  <si>
    <t>=NL("sum","Production Order","Quantity","Source No.",$D770,"Equipment Code",$L770,"due date",H$8)/-12</t>
  </si>
  <si>
    <t>=NL("sum","Production Order","Quantity","Source No.",$D770,"Equipment Code",$L770,"due date",I$8)/-12</t>
  </si>
  <si>
    <t>=NL("sum","Production Order","Quantity","Source No.",$D770,"Equipment Code",$L770,"due date",J$8)/$J$7</t>
  </si>
  <si>
    <t>=AVERAGE(I770:J770)</t>
  </si>
  <si>
    <t>=IF(K771=0,"hide","")</t>
  </si>
  <si>
    <t>=D770</t>
  </si>
  <si>
    <t>=NL("sum","Production Order","Quantity","Source No.",$D771,"Equipment Code",$L771,"due date",F$8)/-12</t>
  </si>
  <si>
    <t>=NL("sum","Production Order","Quantity","Source No.",$D771,"Equipment Code",$L771,"due date",G$8)/-12</t>
  </si>
  <si>
    <t>=NL("sum","Production Order","Quantity","Source No.",$D771,"Equipment Code",$L771,"due date",H$8)/-12</t>
  </si>
  <si>
    <t>=NL("sum","Production Order","Quantity","Source No.",$D771,"Equipment Code",$L771,"due date",I$8)/-12</t>
  </si>
  <si>
    <t>=NL("sum","Production Order","Quantity","Source No.",$D771,"Equipment Code",$L771,"due date",J$8)/$J$7</t>
  </si>
  <si>
    <t>=AVERAGE(I771:J771)</t>
  </si>
  <si>
    <t>=IF(K772=0,"hide","")</t>
  </si>
  <si>
    <t>=D771</t>
  </si>
  <si>
    <t>=NL("sum","Production Order","Quantity","Source No.",$D772,"Equipment Code",$L772,"due date",F$8)/-12</t>
  </si>
  <si>
    <t>=NL("sum","Production Order","Quantity","Source No.",$D772,"Equipment Code",$L772,"due date",G$8)/-12</t>
  </si>
  <si>
    <t>=NL("sum","Production Order","Quantity","Source No.",$D772,"Equipment Code",$L772,"due date",H$8)/-12</t>
  </si>
  <si>
    <t>=NL("sum","Production Order","Quantity","Source No.",$D772,"Equipment Code",$L772,"due date",I$8)/-12</t>
  </si>
  <si>
    <t>=NL("sum","Production Order","Quantity","Source No.",$D772,"Equipment Code",$L772,"due date",J$8)/$J$7</t>
  </si>
  <si>
    <t>=AVERAGE(I772:J772)</t>
  </si>
  <si>
    <t>=IF(K773=0,"hide","")</t>
  </si>
  <si>
    <t>=D772</t>
  </si>
  <si>
    <t>=NL("sum","Production Order","Quantity","Source No.",$D773,"Equipment Code",$L773,"due date",F$8)/-12</t>
  </si>
  <si>
    <t>=NL("sum","Production Order","Quantity","Source No.",$D773,"Equipment Code",$L773,"due date",G$8)/-12</t>
  </si>
  <si>
    <t>=NL("sum","Production Order","Quantity","Source No.",$D773,"Equipment Code",$L773,"due date",H$8)/-12</t>
  </si>
  <si>
    <t>=NL("sum","Production Order","Quantity","Source No.",$D773,"Equipment Code",$L773,"due date",I$8)/-12</t>
  </si>
  <si>
    <t>=NL("sum","Production Order","Quantity","Source No.",$D773,"Equipment Code",$L773,"due date",J$8)/$J$7</t>
  </si>
  <si>
    <t>=AVERAGE(I773:J773)</t>
  </si>
  <si>
    <t>=B770</t>
  </si>
  <si>
    <t>=B774</t>
  </si>
  <si>
    <t>=SUM(F770:F774)</t>
  </si>
  <si>
    <t>=SUM(G770:G774)</t>
  </si>
  <si>
    <t>=SUM(H770:H774)</t>
  </si>
  <si>
    <t>=SUM(I770:I774)</t>
  </si>
  <si>
    <t>=SUM(J770:J774)</t>
  </si>
  <si>
    <t>=IF(K776=0,"hide","")</t>
  </si>
  <si>
    <t>=NL("rows","Production BOM Version","Version Code","Production BOM No.",D776,"status","certified")</t>
  </si>
  <si>
    <t>=NL("sum","Item Ledger Entry","Quantity","Item No.",$D776,"Entry Type","Sale|Consumption","posting date","01/01/19..12/31/19")/-12</t>
  </si>
  <si>
    <t>=NL("sum","Item Ledger Entry","Quantity","Item No.",$D776,"Entry Type","Sale|Consumption","posting date","01/01/20..12/31/20")/-12</t>
  </si>
  <si>
    <t>=NL("sum","Item Ledger Entry","Quantity","Item No.",$D776,"Entry Type","Sale|Consumption","posting date","01/01/21..12/31/21")/-12</t>
  </si>
  <si>
    <t>=NL("sum","Item Ledger Entry","Quantity","Item No.",$D776,"Entry Type","Sale|Consumption","posting date","01/01/22..12/31/22")/-12</t>
  </si>
  <si>
    <t>=NL("sum","Item Ledger Entry","Quantity","Item No.",$D776,"Entry Type","Sale|Consumption","posting date","01/01/23..12/31/23")/$J$7</t>
  </si>
  <si>
    <t>=AVERAGE(I776:J776)</t>
  </si>
  <si>
    <t>=NL(1,"item",L$9,"no.",D776)</t>
  </si>
  <si>
    <t>=NL(1,"item",M$9,"no.",$D776)</t>
  </si>
  <si>
    <t>=NL(1,"item","Units Per Parcel","no.",$D776)</t>
  </si>
  <si>
    <t>=NL(1,"Prod. BOM Equipment","Fixed Prod. Time (Hours)","Production BOM No.",$D776,"version code",$E776,"Resource No.",O$9)</t>
  </si>
  <si>
    <t>=1/O776</t>
  </si>
  <si>
    <t>=IF(NL(1,"Prod. BOM Equipment","Variable Prod. Time (Hours)","Production BOM No.",$D776,"version code",$E776,"Resource No.",$O$9)="",1,NL(1,"Prod. BOM Equipment","Variable Prod. Time (Hours)","Production BOM No.",$D776,"version code",$E776,"Resource No.",$O$9))</t>
  </si>
  <si>
    <t>=1/Q776</t>
  </si>
  <si>
    <t>=R776*N776</t>
  </si>
  <si>
    <t>=IF(K777=0,"hide","")</t>
  </si>
  <si>
    <t>=D776</t>
  </si>
  <si>
    <t>=NL("sum","Production Order","Quantity","Source No.",$D777,"Equipment Code",$L777,"due date",F$8)/-12</t>
  </si>
  <si>
    <t>=NL("sum","Production Order","Quantity","Source No.",$D777,"Equipment Code",$L777,"due date",G$8)/-12</t>
  </si>
  <si>
    <t>=NL("sum","Production Order","Quantity","Source No.",$D777,"Equipment Code",$L777,"due date",H$8)/-12</t>
  </si>
  <si>
    <t>=NL("sum","Production Order","Quantity","Source No.",$D777,"Equipment Code",$L777,"due date",I$8)/-12</t>
  </si>
  <si>
    <t>=NL("sum","Production Order","Quantity","Source No.",$D777,"Equipment Code",$L777,"due date",J$8)/$J$7</t>
  </si>
  <si>
    <t>=AVERAGE(I777:J777)</t>
  </si>
  <si>
    <t>=IF(K778=0,"hide","")</t>
  </si>
  <si>
    <t>=D777</t>
  </si>
  <si>
    <t>=NL("sum","Production Order","Quantity","Source No.",$D778,"Equipment Code",$L778,"due date",F$8)/-12</t>
  </si>
  <si>
    <t>=NL("sum","Production Order","Quantity","Source No.",$D778,"Equipment Code",$L778,"due date",G$8)/-12</t>
  </si>
  <si>
    <t>=NL("sum","Production Order","Quantity","Source No.",$D778,"Equipment Code",$L778,"due date",H$8)/-12</t>
  </si>
  <si>
    <t>=NL("sum","Production Order","Quantity","Source No.",$D778,"Equipment Code",$L778,"due date",I$8)/-12</t>
  </si>
  <si>
    <t>=NL("sum","Production Order","Quantity","Source No.",$D778,"Equipment Code",$L778,"due date",J$8)/$J$7</t>
  </si>
  <si>
    <t>=AVERAGE(I778:J778)</t>
  </si>
  <si>
    <t>=IF(K779=0,"hide","")</t>
  </si>
  <si>
    <t>=D778</t>
  </si>
  <si>
    <t>=NL("sum","Production Order","Quantity","Source No.",$D779,"Equipment Code",$L779,"due date",F$8)/-12</t>
  </si>
  <si>
    <t>=NL("sum","Production Order","Quantity","Source No.",$D779,"Equipment Code",$L779,"due date",G$8)/-12</t>
  </si>
  <si>
    <t>=NL("sum","Production Order","Quantity","Source No.",$D779,"Equipment Code",$L779,"due date",H$8)/-12</t>
  </si>
  <si>
    <t>=NL("sum","Production Order","Quantity","Source No.",$D779,"Equipment Code",$L779,"due date",I$8)/-12</t>
  </si>
  <si>
    <t>=NL("sum","Production Order","Quantity","Source No.",$D779,"Equipment Code",$L779,"due date",J$8)/$J$7</t>
  </si>
  <si>
    <t>=AVERAGE(I779:J779)</t>
  </si>
  <si>
    <t>=IF(K780=0,"hide","")</t>
  </si>
  <si>
    <t>=D779</t>
  </si>
  <si>
    <t>=NL("sum","Production Order","Quantity","Source No.",$D780,"Equipment Code",$L780,"due date",F$8)/-12</t>
  </si>
  <si>
    <t>=NL("sum","Production Order","Quantity","Source No.",$D780,"Equipment Code",$L780,"due date",G$8)/-12</t>
  </si>
  <si>
    <t>=NL("sum","Production Order","Quantity","Source No.",$D780,"Equipment Code",$L780,"due date",H$8)/-12</t>
  </si>
  <si>
    <t>=NL("sum","Production Order","Quantity","Source No.",$D780,"Equipment Code",$L780,"due date",I$8)/-12</t>
  </si>
  <si>
    <t>=NL("sum","Production Order","Quantity","Source No.",$D780,"Equipment Code",$L780,"due date",J$8)/$J$7</t>
  </si>
  <si>
    <t>=AVERAGE(I780:J780)</t>
  </si>
  <si>
    <t>=B777</t>
  </si>
  <si>
    <t>=B781</t>
  </si>
  <si>
    <t>=SUM(F777:F781)</t>
  </si>
  <si>
    <t>=SUM(G777:G781)</t>
  </si>
  <si>
    <t>=SUM(H777:H781)</t>
  </si>
  <si>
    <t>=SUM(I777:I781)</t>
  </si>
  <si>
    <t>=SUM(J777:J781)</t>
  </si>
  <si>
    <t>=IF(K783=0,"hide","")</t>
  </si>
  <si>
    <t>=NL("rows","Production BOM Version","Version Code","Production BOM No.",D783,"status","certified")</t>
  </si>
  <si>
    <t>=NL("sum","Item Ledger Entry","Quantity","Item No.",$D783,"Entry Type","Sale|Consumption","posting date","01/01/19..12/31/19")/-12</t>
  </si>
  <si>
    <t>=NL("sum","Item Ledger Entry","Quantity","Item No.",$D783,"Entry Type","Sale|Consumption","posting date","01/01/20..12/31/20")/-12</t>
  </si>
  <si>
    <t>=NL("sum","Item Ledger Entry","Quantity","Item No.",$D783,"Entry Type","Sale|Consumption","posting date","01/01/21..12/31/21")/-12</t>
  </si>
  <si>
    <t>=NL("sum","Item Ledger Entry","Quantity","Item No.",$D783,"Entry Type","Sale|Consumption","posting date","01/01/22..12/31/22")/-12</t>
  </si>
  <si>
    <t>=NL("sum","Item Ledger Entry","Quantity","Item No.",$D783,"Entry Type","Sale|Consumption","posting date","01/01/23..12/31/23")/$J$7</t>
  </si>
  <si>
    <t>=AVERAGE(I783:J783)</t>
  </si>
  <si>
    <t>=NL(1,"item",L$9,"no.",D783)</t>
  </si>
  <si>
    <t>=NL(1,"item",M$9,"no.",$D783)</t>
  </si>
  <si>
    <t>=NL(1,"item","Units Per Parcel","no.",$D783)</t>
  </si>
  <si>
    <t>=NL(1,"Prod. BOM Equipment","Fixed Prod. Time (Hours)","Production BOM No.",$D783,"version code",$E783,"Resource No.",O$9)</t>
  </si>
  <si>
    <t>=1/O783</t>
  </si>
  <si>
    <t>=IF(NL(1,"Prod. BOM Equipment","Variable Prod. Time (Hours)","Production BOM No.",$D783,"version code",$E783,"Resource No.",$O$9)="",1,NL(1,"Prod. BOM Equipment","Variable Prod. Time (Hours)","Production BOM No.",$D783,"version code",$E783,"Resource No.",$O$9))</t>
  </si>
  <si>
    <t>=1/Q783</t>
  </si>
  <si>
    <t>=R783*N783</t>
  </si>
  <si>
    <t>=IF(K784=0,"hide","")</t>
  </si>
  <si>
    <t>=D783</t>
  </si>
  <si>
    <t>=NL("sum","Production Order","Quantity","Source No.",$D784,"Equipment Code",$L784,"due date",F$8)/-12</t>
  </si>
  <si>
    <t>=NL("sum","Production Order","Quantity","Source No.",$D784,"Equipment Code",$L784,"due date",G$8)/-12</t>
  </si>
  <si>
    <t>=NL("sum","Production Order","Quantity","Source No.",$D784,"Equipment Code",$L784,"due date",H$8)/-12</t>
  </si>
  <si>
    <t>=NL("sum","Production Order","Quantity","Source No.",$D784,"Equipment Code",$L784,"due date",I$8)/-12</t>
  </si>
  <si>
    <t>=NL("sum","Production Order","Quantity","Source No.",$D784,"Equipment Code",$L784,"due date",J$8)/$J$7</t>
  </si>
  <si>
    <t>=AVERAGE(I784:J784)</t>
  </si>
  <si>
    <t>=IF(K785=0,"hide","")</t>
  </si>
  <si>
    <t>=D784</t>
  </si>
  <si>
    <t>=NL("sum","Production Order","Quantity","Source No.",$D785,"Equipment Code",$L785,"due date",F$8)/-12</t>
  </si>
  <si>
    <t>=NL("sum","Production Order","Quantity","Source No.",$D785,"Equipment Code",$L785,"due date",G$8)/-12</t>
  </si>
  <si>
    <t>=NL("sum","Production Order","Quantity","Source No.",$D785,"Equipment Code",$L785,"due date",H$8)/-12</t>
  </si>
  <si>
    <t>=NL("sum","Production Order","Quantity","Source No.",$D785,"Equipment Code",$L785,"due date",I$8)/-12</t>
  </si>
  <si>
    <t>=NL("sum","Production Order","Quantity","Source No.",$D785,"Equipment Code",$L785,"due date",J$8)/$J$7</t>
  </si>
  <si>
    <t>=AVERAGE(I785:J785)</t>
  </si>
  <si>
    <t>=IF(K786=0,"hide","")</t>
  </si>
  <si>
    <t>=D785</t>
  </si>
  <si>
    <t>=NL("sum","Production Order","Quantity","Source No.",$D786,"Equipment Code",$L786,"due date",F$8)/-12</t>
  </si>
  <si>
    <t>=NL("sum","Production Order","Quantity","Source No.",$D786,"Equipment Code",$L786,"due date",G$8)/-12</t>
  </si>
  <si>
    <t>=NL("sum","Production Order","Quantity","Source No.",$D786,"Equipment Code",$L786,"due date",H$8)/-12</t>
  </si>
  <si>
    <t>=NL("sum","Production Order","Quantity","Source No.",$D786,"Equipment Code",$L786,"due date",I$8)/-12</t>
  </si>
  <si>
    <t>=NL("sum","Production Order","Quantity","Source No.",$D786,"Equipment Code",$L786,"due date",J$8)/$J$7</t>
  </si>
  <si>
    <t>=AVERAGE(I786:J786)</t>
  </si>
  <si>
    <t>=IF(K787=0,"hide","")</t>
  </si>
  <si>
    <t>=D786</t>
  </si>
  <si>
    <t>=NL("sum","Production Order","Quantity","Source No.",$D787,"Equipment Code",$L787,"due date",F$8)/-12</t>
  </si>
  <si>
    <t>=NL("sum","Production Order","Quantity","Source No.",$D787,"Equipment Code",$L787,"due date",G$8)/-12</t>
  </si>
  <si>
    <t>=NL("sum","Production Order","Quantity","Source No.",$D787,"Equipment Code",$L787,"due date",H$8)/-12</t>
  </si>
  <si>
    <t>=NL("sum","Production Order","Quantity","Source No.",$D787,"Equipment Code",$L787,"due date",I$8)/-12</t>
  </si>
  <si>
    <t>=NL("sum","Production Order","Quantity","Source No.",$D787,"Equipment Code",$L787,"due date",J$8)/$J$7</t>
  </si>
  <si>
    <t>=AVERAGE(I787:J787)</t>
  </si>
  <si>
    <t>=B784</t>
  </si>
  <si>
    <t>=B788</t>
  </si>
  <si>
    <t>=SUM(F784:F788)</t>
  </si>
  <si>
    <t>=SUM(G784:G788)</t>
  </si>
  <si>
    <t>=SUM(H784:H788)</t>
  </si>
  <si>
    <t>=SUM(I784:I788)</t>
  </si>
  <si>
    <t>=SUM(J784:J788)</t>
  </si>
  <si>
    <t>=IF(K790=0,"hide","")</t>
  </si>
  <si>
    <t>=NL("rows","Production BOM Version","Version Code","Production BOM No.",D790,"status","certified")</t>
  </si>
  <si>
    <t>=NL("sum","Item Ledger Entry","Quantity","Item No.",$D790,"Entry Type","Sale|Consumption","posting date","01/01/19..12/31/19")/-12</t>
  </si>
  <si>
    <t>=NL("sum","Item Ledger Entry","Quantity","Item No.",$D790,"Entry Type","Sale|Consumption","posting date","01/01/20..12/31/20")/-12</t>
  </si>
  <si>
    <t>=NL("sum","Item Ledger Entry","Quantity","Item No.",$D790,"Entry Type","Sale|Consumption","posting date","01/01/21..12/31/21")/-12</t>
  </si>
  <si>
    <t>=NL("sum","Item Ledger Entry","Quantity","Item No.",$D790,"Entry Type","Sale|Consumption","posting date","01/01/22..12/31/22")/-12</t>
  </si>
  <si>
    <t>=NL("sum","Item Ledger Entry","Quantity","Item No.",$D790,"Entry Type","Sale|Consumption","posting date","01/01/23..12/31/23")/$J$7</t>
  </si>
  <si>
    <t>=AVERAGE(I790:J790)</t>
  </si>
  <si>
    <t>=NL(1,"item",L$9,"no.",D790)</t>
  </si>
  <si>
    <t>=NL(1,"item",M$9,"no.",$D790)</t>
  </si>
  <si>
    <t>=NL(1,"item","Units Per Parcel","no.",$D790)</t>
  </si>
  <si>
    <t>=NL(1,"Prod. BOM Equipment","Fixed Prod. Time (Hours)","Production BOM No.",$D790,"version code",$E790,"Resource No.",O$9)</t>
  </si>
  <si>
    <t>=1/O790</t>
  </si>
  <si>
    <t>=IF(NL(1,"Prod. BOM Equipment","Variable Prod. Time (Hours)","Production BOM No.",$D790,"version code",$E790,"Resource No.",$O$9)="",1,NL(1,"Prod. BOM Equipment","Variable Prod. Time (Hours)","Production BOM No.",$D790,"version code",$E790,"Resource No.",$O$9))</t>
  </si>
  <si>
    <t>=1/Q790</t>
  </si>
  <si>
    <t>=R790*N790</t>
  </si>
  <si>
    <t>=IF(K791=0,"hide","")</t>
  </si>
  <si>
    <t>=D790</t>
  </si>
  <si>
    <t>=NL("sum","Production Order","Quantity","Source No.",$D791,"Equipment Code",$L791,"due date",F$8)/-12</t>
  </si>
  <si>
    <t>=NL("sum","Production Order","Quantity","Source No.",$D791,"Equipment Code",$L791,"due date",G$8)/-12</t>
  </si>
  <si>
    <t>=NL("sum","Production Order","Quantity","Source No.",$D791,"Equipment Code",$L791,"due date",H$8)/-12</t>
  </si>
  <si>
    <t>=NL("sum","Production Order","Quantity","Source No.",$D791,"Equipment Code",$L791,"due date",I$8)/-12</t>
  </si>
  <si>
    <t>=NL("sum","Production Order","Quantity","Source No.",$D791,"Equipment Code",$L791,"due date",J$8)/$J$7</t>
  </si>
  <si>
    <t>=AVERAGE(I791:J791)</t>
  </si>
  <si>
    <t>=IF(K792=0,"hide","")</t>
  </si>
  <si>
    <t>=D791</t>
  </si>
  <si>
    <t>=NL("sum","Production Order","Quantity","Source No.",$D792,"Equipment Code",$L792,"due date",F$8)/-12</t>
  </si>
  <si>
    <t>=NL("sum","Production Order","Quantity","Source No.",$D792,"Equipment Code",$L792,"due date",G$8)/-12</t>
  </si>
  <si>
    <t>=NL("sum","Production Order","Quantity","Source No.",$D792,"Equipment Code",$L792,"due date",H$8)/-12</t>
  </si>
  <si>
    <t>=NL("sum","Production Order","Quantity","Source No.",$D792,"Equipment Code",$L792,"due date",I$8)/-12</t>
  </si>
  <si>
    <t>=NL("sum","Production Order","Quantity","Source No.",$D792,"Equipment Code",$L792,"due date",J$8)/$J$7</t>
  </si>
  <si>
    <t>=AVERAGE(I792:J792)</t>
  </si>
  <si>
    <t>=IF(K793=0,"hide","")</t>
  </si>
  <si>
    <t>=D792</t>
  </si>
  <si>
    <t>=NL("sum","Production Order","Quantity","Source No.",$D793,"Equipment Code",$L793,"due date",F$8)/-12</t>
  </si>
  <si>
    <t>=NL("sum","Production Order","Quantity","Source No.",$D793,"Equipment Code",$L793,"due date",G$8)/-12</t>
  </si>
  <si>
    <t>=NL("sum","Production Order","Quantity","Source No.",$D793,"Equipment Code",$L793,"due date",H$8)/-12</t>
  </si>
  <si>
    <t>=NL("sum","Production Order","Quantity","Source No.",$D793,"Equipment Code",$L793,"due date",I$8)/-12</t>
  </si>
  <si>
    <t>=NL("sum","Production Order","Quantity","Source No.",$D793,"Equipment Code",$L793,"due date",J$8)/$J$7</t>
  </si>
  <si>
    <t>=AVERAGE(I793:J793)</t>
  </si>
  <si>
    <t>=IF(K794=0,"hide","")</t>
  </si>
  <si>
    <t>=D793</t>
  </si>
  <si>
    <t>=NL("sum","Production Order","Quantity","Source No.",$D794,"Equipment Code",$L794,"due date",F$8)/-12</t>
  </si>
  <si>
    <t>=NL("sum","Production Order","Quantity","Source No.",$D794,"Equipment Code",$L794,"due date",G$8)/-12</t>
  </si>
  <si>
    <t>=NL("sum","Production Order","Quantity","Source No.",$D794,"Equipment Code",$L794,"due date",H$8)/-12</t>
  </si>
  <si>
    <t>=NL("sum","Production Order","Quantity","Source No.",$D794,"Equipment Code",$L794,"due date",I$8)/-12</t>
  </si>
  <si>
    <t>=NL("sum","Production Order","Quantity","Source No.",$D794,"Equipment Code",$L794,"due date",J$8)/$J$7</t>
  </si>
  <si>
    <t>=AVERAGE(I794:J794)</t>
  </si>
  <si>
    <t>=B791</t>
  </si>
  <si>
    <t>=B795</t>
  </si>
  <si>
    <t>=SUM(F791:F795)</t>
  </si>
  <si>
    <t>=SUM(G791:G795)</t>
  </si>
  <si>
    <t>=SUM(H791:H795)</t>
  </si>
  <si>
    <t>=SUM(I791:I795)</t>
  </si>
  <si>
    <t>=SUM(J791:J795)</t>
  </si>
  <si>
    <t>=IF(K797=0,"hide","")</t>
  </si>
  <si>
    <t>=NL("rows","Production BOM Version","Version Code","Production BOM No.",D797,"status","certified")</t>
  </si>
  <si>
    <t>=NL("sum","Item Ledger Entry","Quantity","Item No.",$D797,"Entry Type","Sale|Consumption","posting date","01/01/19..12/31/19")/-12</t>
  </si>
  <si>
    <t>=NL("sum","Item Ledger Entry","Quantity","Item No.",$D797,"Entry Type","Sale|Consumption","posting date","01/01/20..12/31/20")/-12</t>
  </si>
  <si>
    <t>=NL("sum","Item Ledger Entry","Quantity","Item No.",$D797,"Entry Type","Sale|Consumption","posting date","01/01/21..12/31/21")/-12</t>
  </si>
  <si>
    <t>=NL("sum","Item Ledger Entry","Quantity","Item No.",$D797,"Entry Type","Sale|Consumption","posting date","01/01/22..12/31/22")/-12</t>
  </si>
  <si>
    <t>=NL("sum","Item Ledger Entry","Quantity","Item No.",$D797,"Entry Type","Sale|Consumption","posting date","01/01/23..12/31/23")/$J$7</t>
  </si>
  <si>
    <t>=AVERAGE(I797:J797)</t>
  </si>
  <si>
    <t>=NL(1,"item",L$9,"no.",D797)</t>
  </si>
  <si>
    <t>=NL(1,"item",M$9,"no.",$D797)</t>
  </si>
  <si>
    <t>=NL(1,"item","Units Per Parcel","no.",$D797)</t>
  </si>
  <si>
    <t>=NL(1,"Prod. BOM Equipment","Fixed Prod. Time (Hours)","Production BOM No.",$D797,"version code",$E797,"Resource No.",O$9)</t>
  </si>
  <si>
    <t>=1/O797</t>
  </si>
  <si>
    <t>=IF(NL(1,"Prod. BOM Equipment","Variable Prod. Time (Hours)","Production BOM No.",$D797,"version code",$E797,"Resource No.",$O$9)="",1,NL(1,"Prod. BOM Equipment","Variable Prod. Time (Hours)","Production BOM No.",$D797,"version code",$E797,"Resource No.",$O$9))</t>
  </si>
  <si>
    <t>=1/Q797</t>
  </si>
  <si>
    <t>=R797*N797</t>
  </si>
  <si>
    <t>=IF(K798=0,"hide","")</t>
  </si>
  <si>
    <t>=D797</t>
  </si>
  <si>
    <t>=NL("sum","Production Order","Quantity","Source No.",$D798,"Equipment Code",$L798,"due date",F$8)/-12</t>
  </si>
  <si>
    <t>=NL("sum","Production Order","Quantity","Source No.",$D798,"Equipment Code",$L798,"due date",G$8)/-12</t>
  </si>
  <si>
    <t>=NL("sum","Production Order","Quantity","Source No.",$D798,"Equipment Code",$L798,"due date",H$8)/-12</t>
  </si>
  <si>
    <t>=NL("sum","Production Order","Quantity","Source No.",$D798,"Equipment Code",$L798,"due date",I$8)/-12</t>
  </si>
  <si>
    <t>=NL("sum","Production Order","Quantity","Source No.",$D798,"Equipment Code",$L798,"due date",J$8)/$J$7</t>
  </si>
  <si>
    <t>=AVERAGE(I798:J798)</t>
  </si>
  <si>
    <t>=IF(K799=0,"hide","")</t>
  </si>
  <si>
    <t>=D798</t>
  </si>
  <si>
    <t>=NL("sum","Production Order","Quantity","Source No.",$D799,"Equipment Code",$L799,"due date",F$8)/-12</t>
  </si>
  <si>
    <t>=NL("sum","Production Order","Quantity","Source No.",$D799,"Equipment Code",$L799,"due date",G$8)/-12</t>
  </si>
  <si>
    <t>=NL("sum","Production Order","Quantity","Source No.",$D799,"Equipment Code",$L799,"due date",H$8)/-12</t>
  </si>
  <si>
    <t>=NL("sum","Production Order","Quantity","Source No.",$D799,"Equipment Code",$L799,"due date",I$8)/-12</t>
  </si>
  <si>
    <t>=NL("sum","Production Order","Quantity","Source No.",$D799,"Equipment Code",$L799,"due date",J$8)/$J$7</t>
  </si>
  <si>
    <t>=AVERAGE(I799:J799)</t>
  </si>
  <si>
    <t>=IF(K800=0,"hide","")</t>
  </si>
  <si>
    <t>=D799</t>
  </si>
  <si>
    <t>=NL("sum","Production Order","Quantity","Source No.",$D800,"Equipment Code",$L800,"due date",F$8)/-12</t>
  </si>
  <si>
    <t>=NL("sum","Production Order","Quantity","Source No.",$D800,"Equipment Code",$L800,"due date",G$8)/-12</t>
  </si>
  <si>
    <t>=NL("sum","Production Order","Quantity","Source No.",$D800,"Equipment Code",$L800,"due date",H$8)/-12</t>
  </si>
  <si>
    <t>=NL("sum","Production Order","Quantity","Source No.",$D800,"Equipment Code",$L800,"due date",I$8)/-12</t>
  </si>
  <si>
    <t>=NL("sum","Production Order","Quantity","Source No.",$D800,"Equipment Code",$L800,"due date",J$8)/$J$7</t>
  </si>
  <si>
    <t>=AVERAGE(I800:J800)</t>
  </si>
  <si>
    <t>=IF(K801=0,"hide","")</t>
  </si>
  <si>
    <t>=D800</t>
  </si>
  <si>
    <t>=NL("sum","Production Order","Quantity","Source No.",$D801,"Equipment Code",$L801,"due date",F$8)/-12</t>
  </si>
  <si>
    <t>=NL("sum","Production Order","Quantity","Source No.",$D801,"Equipment Code",$L801,"due date",G$8)/-12</t>
  </si>
  <si>
    <t>=NL("sum","Production Order","Quantity","Source No.",$D801,"Equipment Code",$L801,"due date",H$8)/-12</t>
  </si>
  <si>
    <t>=NL("sum","Production Order","Quantity","Source No.",$D801,"Equipment Code",$L801,"due date",I$8)/-12</t>
  </si>
  <si>
    <t>=NL("sum","Production Order","Quantity","Source No.",$D801,"Equipment Code",$L801,"due date",J$8)/$J$7</t>
  </si>
  <si>
    <t>=AVERAGE(I801:J801)</t>
  </si>
  <si>
    <t>=B798</t>
  </si>
  <si>
    <t>=B802</t>
  </si>
  <si>
    <t>=SUM(F798:F802)</t>
  </si>
  <si>
    <t>=SUM(G798:G802)</t>
  </si>
  <si>
    <t>=SUM(H798:H802)</t>
  </si>
  <si>
    <t>=SUM(I798:I802)</t>
  </si>
  <si>
    <t>=SUM(J798:J802)</t>
  </si>
  <si>
    <t>=IF(K804=0,"hide","")</t>
  </si>
  <si>
    <t>=NL("rows","Production BOM Version","Version Code","Production BOM No.",D804,"status","certified")</t>
  </si>
  <si>
    <t>=NL("sum","Item Ledger Entry","Quantity","Item No.",$D804,"Entry Type","Sale|Consumption","posting date","01/01/19..12/31/19")/-12</t>
  </si>
  <si>
    <t>=NL("sum","Item Ledger Entry","Quantity","Item No.",$D804,"Entry Type","Sale|Consumption","posting date","01/01/20..12/31/20")/-12</t>
  </si>
  <si>
    <t>=NL("sum","Item Ledger Entry","Quantity","Item No.",$D804,"Entry Type","Sale|Consumption","posting date","01/01/21..12/31/21")/-12</t>
  </si>
  <si>
    <t>=NL("sum","Item Ledger Entry","Quantity","Item No.",$D804,"Entry Type","Sale|Consumption","posting date","01/01/22..12/31/22")/-12</t>
  </si>
  <si>
    <t>=NL("sum","Item Ledger Entry","Quantity","Item No.",$D804,"Entry Type","Sale|Consumption","posting date","01/01/23..12/31/23")/$J$7</t>
  </si>
  <si>
    <t>=AVERAGE(I804:J804)</t>
  </si>
  <si>
    <t>=NL(1,"item",L$9,"no.",D804)</t>
  </si>
  <si>
    <t>=NL(1,"item",M$9,"no.",$D804)</t>
  </si>
  <si>
    <t>=NL(1,"item","Units Per Parcel","no.",$D804)</t>
  </si>
  <si>
    <t>=NL(1,"Prod. BOM Equipment","Fixed Prod. Time (Hours)","Production BOM No.",$D804,"version code",$E804,"Resource No.",O$9)</t>
  </si>
  <si>
    <t>=1/O804</t>
  </si>
  <si>
    <t>=IF(NL(1,"Prod. BOM Equipment","Variable Prod. Time (Hours)","Production BOM No.",$D804,"version code",$E804,"Resource No.",$O$9)="",1,NL(1,"Prod. BOM Equipment","Variable Prod. Time (Hours)","Production BOM No.",$D804,"version code",$E804,"Resource No.",$O$9))</t>
  </si>
  <si>
    <t>=1/Q804</t>
  </si>
  <si>
    <t>=R804*N804</t>
  </si>
  <si>
    <t>=IF(K805=0,"hide","")</t>
  </si>
  <si>
    <t>=D804</t>
  </si>
  <si>
    <t>=NL("sum","Production Order","Quantity","Source No.",$D805,"Equipment Code",$L805,"due date",F$8)/-12</t>
  </si>
  <si>
    <t>=NL("sum","Production Order","Quantity","Source No.",$D805,"Equipment Code",$L805,"due date",G$8)/-12</t>
  </si>
  <si>
    <t>=NL("sum","Production Order","Quantity","Source No.",$D805,"Equipment Code",$L805,"due date",H$8)/-12</t>
  </si>
  <si>
    <t>=NL("sum","Production Order","Quantity","Source No.",$D805,"Equipment Code",$L805,"due date",I$8)/-12</t>
  </si>
  <si>
    <t>=NL("sum","Production Order","Quantity","Source No.",$D805,"Equipment Code",$L805,"due date",J$8)/$J$7</t>
  </si>
  <si>
    <t>=AVERAGE(I805:J805)</t>
  </si>
  <si>
    <t>=IF(K806=0,"hide","")</t>
  </si>
  <si>
    <t>=D805</t>
  </si>
  <si>
    <t>=NL("sum","Production Order","Quantity","Source No.",$D806,"Equipment Code",$L806,"due date",F$8)/-12</t>
  </si>
  <si>
    <t>=NL("sum","Production Order","Quantity","Source No.",$D806,"Equipment Code",$L806,"due date",G$8)/-12</t>
  </si>
  <si>
    <t>=NL("sum","Production Order","Quantity","Source No.",$D806,"Equipment Code",$L806,"due date",H$8)/-12</t>
  </si>
  <si>
    <t>=NL("sum","Production Order","Quantity","Source No.",$D806,"Equipment Code",$L806,"due date",I$8)/-12</t>
  </si>
  <si>
    <t>=NL("sum","Production Order","Quantity","Source No.",$D806,"Equipment Code",$L806,"due date",J$8)/$J$7</t>
  </si>
  <si>
    <t>=AVERAGE(I806:J806)</t>
  </si>
  <si>
    <t>=IF(K807=0,"hide","")</t>
  </si>
  <si>
    <t>=D806</t>
  </si>
  <si>
    <t>=NL("sum","Production Order","Quantity","Source No.",$D807,"Equipment Code",$L807,"due date",F$8)/-12</t>
  </si>
  <si>
    <t>=NL("sum","Production Order","Quantity","Source No.",$D807,"Equipment Code",$L807,"due date",G$8)/-12</t>
  </si>
  <si>
    <t>=NL("sum","Production Order","Quantity","Source No.",$D807,"Equipment Code",$L807,"due date",H$8)/-12</t>
  </si>
  <si>
    <t>=NL("sum","Production Order","Quantity","Source No.",$D807,"Equipment Code",$L807,"due date",I$8)/-12</t>
  </si>
  <si>
    <t>=NL("sum","Production Order","Quantity","Source No.",$D807,"Equipment Code",$L807,"due date",J$8)/$J$7</t>
  </si>
  <si>
    <t>=AVERAGE(I807:J807)</t>
  </si>
  <si>
    <t>=IF(K808=0,"hide","")</t>
  </si>
  <si>
    <t>=D807</t>
  </si>
  <si>
    <t>=NL("sum","Production Order","Quantity","Source No.",$D808,"Equipment Code",$L808,"due date",F$8)/-12</t>
  </si>
  <si>
    <t>=NL("sum","Production Order","Quantity","Source No.",$D808,"Equipment Code",$L808,"due date",G$8)/-12</t>
  </si>
  <si>
    <t>=NL("sum","Production Order","Quantity","Source No.",$D808,"Equipment Code",$L808,"due date",H$8)/-12</t>
  </si>
  <si>
    <t>=NL("sum","Production Order","Quantity","Source No.",$D808,"Equipment Code",$L808,"due date",I$8)/-12</t>
  </si>
  <si>
    <t>=NL("sum","Production Order","Quantity","Source No.",$D808,"Equipment Code",$L808,"due date",J$8)/$J$7</t>
  </si>
  <si>
    <t>=AVERAGE(I808:J808)</t>
  </si>
  <si>
    <t>=B805</t>
  </si>
  <si>
    <t>=B809</t>
  </si>
  <si>
    <t>=SUM(F805:F809)</t>
  </si>
  <si>
    <t>=SUM(G805:G809)</t>
  </si>
  <si>
    <t>=SUM(H805:H809)</t>
  </si>
  <si>
    <t>=SUM(I805:I809)</t>
  </si>
  <si>
    <t>=SUM(J805:J809)</t>
  </si>
  <si>
    <t>=IF(K811=0,"hide","")</t>
  </si>
  <si>
    <t>=NL("rows","Production BOM Version","Version Code","Production BOM No.",D811,"status","certified")</t>
  </si>
  <si>
    <t>=NL("sum","Item Ledger Entry","Quantity","Item No.",$D811,"Entry Type","Sale|Consumption","posting date","01/01/19..12/31/19")/-12</t>
  </si>
  <si>
    <t>=NL("sum","Item Ledger Entry","Quantity","Item No.",$D811,"Entry Type","Sale|Consumption","posting date","01/01/20..12/31/20")/-12</t>
  </si>
  <si>
    <t>=NL("sum","Item Ledger Entry","Quantity","Item No.",$D811,"Entry Type","Sale|Consumption","posting date","01/01/21..12/31/21")/-12</t>
  </si>
  <si>
    <t>=NL("sum","Item Ledger Entry","Quantity","Item No.",$D811,"Entry Type","Sale|Consumption","posting date","01/01/22..12/31/22")/-12</t>
  </si>
  <si>
    <t>=NL("sum","Item Ledger Entry","Quantity","Item No.",$D811,"Entry Type","Sale|Consumption","posting date","01/01/23..12/31/23")/$J$7</t>
  </si>
  <si>
    <t>=AVERAGE(I811:J811)</t>
  </si>
  <si>
    <t>=NL(1,"item",L$9,"no.",D811)</t>
  </si>
  <si>
    <t>=NL(1,"item",M$9,"no.",$D811)</t>
  </si>
  <si>
    <t>=NL(1,"item","Units Per Parcel","no.",$D811)</t>
  </si>
  <si>
    <t>=NL(1,"Prod. BOM Equipment","Fixed Prod. Time (Hours)","Production BOM No.",$D811,"version code",$E811,"Resource No.",O$9)</t>
  </si>
  <si>
    <t>=1/O811</t>
  </si>
  <si>
    <t>=IF(NL(1,"Prod. BOM Equipment","Variable Prod. Time (Hours)","Production BOM No.",$D811,"version code",$E811,"Resource No.",$O$9)="",1,NL(1,"Prod. BOM Equipment","Variable Prod. Time (Hours)","Production BOM No.",$D811,"version code",$E811,"Resource No.",$O$9))</t>
  </si>
  <si>
    <t>=1/Q811</t>
  </si>
  <si>
    <t>=R811*N811</t>
  </si>
  <si>
    <t>=IF(K812=0,"hide","")</t>
  </si>
  <si>
    <t>=D811</t>
  </si>
  <si>
    <t>=NL("sum","Production Order","Quantity","Source No.",$D812,"Equipment Code",$L812,"due date",F$8)/-12</t>
  </si>
  <si>
    <t>=NL("sum","Production Order","Quantity","Source No.",$D812,"Equipment Code",$L812,"due date",G$8)/-12</t>
  </si>
  <si>
    <t>=NL("sum","Production Order","Quantity","Source No.",$D812,"Equipment Code",$L812,"due date",H$8)/-12</t>
  </si>
  <si>
    <t>=NL("sum","Production Order","Quantity","Source No.",$D812,"Equipment Code",$L812,"due date",I$8)/-12</t>
  </si>
  <si>
    <t>=NL("sum","Production Order","Quantity","Source No.",$D812,"Equipment Code",$L812,"due date",J$8)/$J$7</t>
  </si>
  <si>
    <t>=AVERAGE(I812:J812)</t>
  </si>
  <si>
    <t>=IF(K813=0,"hide","")</t>
  </si>
  <si>
    <t>=D812</t>
  </si>
  <si>
    <t>=NL("sum","Production Order","Quantity","Source No.",$D813,"Equipment Code",$L813,"due date",F$8)/-12</t>
  </si>
  <si>
    <t>=NL("sum","Production Order","Quantity","Source No.",$D813,"Equipment Code",$L813,"due date",G$8)/-12</t>
  </si>
  <si>
    <t>=NL("sum","Production Order","Quantity","Source No.",$D813,"Equipment Code",$L813,"due date",H$8)/-12</t>
  </si>
  <si>
    <t>=NL("sum","Production Order","Quantity","Source No.",$D813,"Equipment Code",$L813,"due date",I$8)/-12</t>
  </si>
  <si>
    <t>=NL("sum","Production Order","Quantity","Source No.",$D813,"Equipment Code",$L813,"due date",J$8)/$J$7</t>
  </si>
  <si>
    <t>=AVERAGE(I813:J813)</t>
  </si>
  <si>
    <t>=IF(K814=0,"hide","")</t>
  </si>
  <si>
    <t>=D813</t>
  </si>
  <si>
    <t>=NL("sum","Production Order","Quantity","Source No.",$D814,"Equipment Code",$L814,"due date",F$8)/-12</t>
  </si>
  <si>
    <t>=NL("sum","Production Order","Quantity","Source No.",$D814,"Equipment Code",$L814,"due date",G$8)/-12</t>
  </si>
  <si>
    <t>=NL("sum","Production Order","Quantity","Source No.",$D814,"Equipment Code",$L814,"due date",H$8)/-12</t>
  </si>
  <si>
    <t>=NL("sum","Production Order","Quantity","Source No.",$D814,"Equipment Code",$L814,"due date",I$8)/-12</t>
  </si>
  <si>
    <t>=NL("sum","Production Order","Quantity","Source No.",$D814,"Equipment Code",$L814,"due date",J$8)/$J$7</t>
  </si>
  <si>
    <t>=AVERAGE(I814:J814)</t>
  </si>
  <si>
    <t>=IF(K815=0,"hide","")</t>
  </si>
  <si>
    <t>=D814</t>
  </si>
  <si>
    <t>=NL("sum","Production Order","Quantity","Source No.",$D815,"Equipment Code",$L815,"due date",F$8)/-12</t>
  </si>
  <si>
    <t>=NL("sum","Production Order","Quantity","Source No.",$D815,"Equipment Code",$L815,"due date",G$8)/-12</t>
  </si>
  <si>
    <t>=NL("sum","Production Order","Quantity","Source No.",$D815,"Equipment Code",$L815,"due date",H$8)/-12</t>
  </si>
  <si>
    <t>=NL("sum","Production Order","Quantity","Source No.",$D815,"Equipment Code",$L815,"due date",I$8)/-12</t>
  </si>
  <si>
    <t>=NL("sum","Production Order","Quantity","Source No.",$D815,"Equipment Code",$L815,"due date",J$8)/$J$7</t>
  </si>
  <si>
    <t>=AVERAGE(I815:J815)</t>
  </si>
  <si>
    <t>=B812</t>
  </si>
  <si>
    <t>=B816</t>
  </si>
  <si>
    <t>=SUM(F812:F816)</t>
  </si>
  <si>
    <t>=SUM(G812:G816)</t>
  </si>
  <si>
    <t>=SUM(H812:H816)</t>
  </si>
  <si>
    <t>=SUM(I812:I816)</t>
  </si>
  <si>
    <t>=SUM(J812:J816)</t>
  </si>
  <si>
    <t>=IF(K818=0,"hide","")</t>
  </si>
  <si>
    <t>="06861"</t>
  </si>
  <si>
    <t>=NL("rows","Production BOM Version","Version Code","Production BOM No.",D818,"status","certified")</t>
  </si>
  <si>
    <t>=NL("sum","Item Ledger Entry","Quantity","Item No.",$D818,"Entry Type","Sale|Consumption","posting date","01/01/19..12/31/19")/-12</t>
  </si>
  <si>
    <t>=NL("sum","Item Ledger Entry","Quantity","Item No.",$D818,"Entry Type","Sale|Consumption","posting date","01/01/20..12/31/20")/-12</t>
  </si>
  <si>
    <t>=NL("sum","Item Ledger Entry","Quantity","Item No.",$D818,"Entry Type","Sale|Consumption","posting date","01/01/21..12/31/21")/-12</t>
  </si>
  <si>
    <t>=NL("sum","Item Ledger Entry","Quantity","Item No.",$D818,"Entry Type","Sale|Consumption","posting date","01/01/22..12/31/22")/-12</t>
  </si>
  <si>
    <t>=NL("sum","Item Ledger Entry","Quantity","Item No.",$D818,"Entry Type","Sale|Consumption","posting date","01/01/23..12/31/23")/$J$7</t>
  </si>
  <si>
    <t>=AVERAGE(I818:J818)</t>
  </si>
  <si>
    <t>=NL(1,"item",L$9,"no.",D818)</t>
  </si>
  <si>
    <t>=NL(1,"item",M$9,"no.",$D818)</t>
  </si>
  <si>
    <t>=NL(1,"item","Units Per Parcel","no.",$D818)</t>
  </si>
  <si>
    <t>=NL(1,"Prod. BOM Equipment","Fixed Prod. Time (Hours)","Production BOM No.",$D818,"version code",$E818,"Resource No.",O$9)</t>
  </si>
  <si>
    <t>=1/O818</t>
  </si>
  <si>
    <t>=IF(NL(1,"Prod. BOM Equipment","Variable Prod. Time (Hours)","Production BOM No.",$D818,"version code",$E818,"Resource No.",$O$9)="",1,NL(1,"Prod. BOM Equipment","Variable Prod. Time (Hours)","Production BOM No.",$D818,"version code",$E818,"Resource No.",$O$9))</t>
  </si>
  <si>
    <t>=1/Q818</t>
  </si>
  <si>
    <t>=R818*N818</t>
  </si>
  <si>
    <t>=IF(K819=0,"hide","")</t>
  </si>
  <si>
    <t>=D818</t>
  </si>
  <si>
    <t>=NL("sum","Production Order","Quantity","Source No.",$D819,"Equipment Code",$L819,"due date",F$8)/-12</t>
  </si>
  <si>
    <t>=NL("sum","Production Order","Quantity","Source No.",$D819,"Equipment Code",$L819,"due date",G$8)/-12</t>
  </si>
  <si>
    <t>=NL("sum","Production Order","Quantity","Source No.",$D819,"Equipment Code",$L819,"due date",H$8)/-12</t>
  </si>
  <si>
    <t>=NL("sum","Production Order","Quantity","Source No.",$D819,"Equipment Code",$L819,"due date",I$8)/-12</t>
  </si>
  <si>
    <t>=NL("sum","Production Order","Quantity","Source No.",$D819,"Equipment Code",$L819,"due date",J$8)/$J$7</t>
  </si>
  <si>
    <t>=AVERAGE(I819:J819)</t>
  </si>
  <si>
    <t>=IF(K820=0,"hide","")</t>
  </si>
  <si>
    <t>=D819</t>
  </si>
  <si>
    <t>=NL("sum","Production Order","Quantity","Source No.",$D820,"Equipment Code",$L820,"due date",F$8)/-12</t>
  </si>
  <si>
    <t>=NL("sum","Production Order","Quantity","Source No.",$D820,"Equipment Code",$L820,"due date",G$8)/-12</t>
  </si>
  <si>
    <t>=NL("sum","Production Order","Quantity","Source No.",$D820,"Equipment Code",$L820,"due date",H$8)/-12</t>
  </si>
  <si>
    <t>=NL("sum","Production Order","Quantity","Source No.",$D820,"Equipment Code",$L820,"due date",I$8)/-12</t>
  </si>
  <si>
    <t>=NL("sum","Production Order","Quantity","Source No.",$D820,"Equipment Code",$L820,"due date",J$8)/$J$7</t>
  </si>
  <si>
    <t>=AVERAGE(I820:J820)</t>
  </si>
  <si>
    <t>=IF(K821=0,"hide","")</t>
  </si>
  <si>
    <t>=D820</t>
  </si>
  <si>
    <t>=NL("sum","Production Order","Quantity","Source No.",$D821,"Equipment Code",$L821,"due date",F$8)/-12</t>
  </si>
  <si>
    <t>=NL("sum","Production Order","Quantity","Source No.",$D821,"Equipment Code",$L821,"due date",G$8)/-12</t>
  </si>
  <si>
    <t>=NL("sum","Production Order","Quantity","Source No.",$D821,"Equipment Code",$L821,"due date",H$8)/-12</t>
  </si>
  <si>
    <t>=NL("sum","Production Order","Quantity","Source No.",$D821,"Equipment Code",$L821,"due date",I$8)/-12</t>
  </si>
  <si>
    <t>=NL("sum","Production Order","Quantity","Source No.",$D821,"Equipment Code",$L821,"due date",J$8)/$J$7</t>
  </si>
  <si>
    <t>=AVERAGE(I821:J821)</t>
  </si>
  <si>
    <t>=IF(K822=0,"hide","")</t>
  </si>
  <si>
    <t>=D821</t>
  </si>
  <si>
    <t>=NL("sum","Production Order","Quantity","Source No.",$D822,"Equipment Code",$L822,"due date",F$8)/-12</t>
  </si>
  <si>
    <t>=NL("sum","Production Order","Quantity","Source No.",$D822,"Equipment Code",$L822,"due date",G$8)/-12</t>
  </si>
  <si>
    <t>=NL("sum","Production Order","Quantity","Source No.",$D822,"Equipment Code",$L822,"due date",H$8)/-12</t>
  </si>
  <si>
    <t>=NL("sum","Production Order","Quantity","Source No.",$D822,"Equipment Code",$L822,"due date",I$8)/-12</t>
  </si>
  <si>
    <t>=NL("sum","Production Order","Quantity","Source No.",$D822,"Equipment Code",$L822,"due date",J$8)/$J$7</t>
  </si>
  <si>
    <t>=AVERAGE(I822:J822)</t>
  </si>
  <si>
    <t>=B819</t>
  </si>
  <si>
    <t>=B823</t>
  </si>
  <si>
    <t>=SUM(F819:F823)</t>
  </si>
  <si>
    <t>=SUM(G819:G823)</t>
  </si>
  <si>
    <t>=SUM(H819:H823)</t>
  </si>
  <si>
    <t>=SUM(I819:I823)</t>
  </si>
  <si>
    <t>=SUM(J819:J823)</t>
  </si>
  <si>
    <t>=IF(K825=0,"hide","")</t>
  </si>
  <si>
    <t>=NL("rows","Production BOM Version","Version Code","Production BOM No.",D825,"status","certified")</t>
  </si>
  <si>
    <t>=NL("sum","Item Ledger Entry","Quantity","Item No.",$D825,"Entry Type","Sale|Consumption","posting date","01/01/19..12/31/19")/-12</t>
  </si>
  <si>
    <t>=NL("sum","Item Ledger Entry","Quantity","Item No.",$D825,"Entry Type","Sale|Consumption","posting date","01/01/20..12/31/20")/-12</t>
  </si>
  <si>
    <t>=NL("sum","Item Ledger Entry","Quantity","Item No.",$D825,"Entry Type","Sale|Consumption","posting date","01/01/21..12/31/21")/-12</t>
  </si>
  <si>
    <t>=NL("sum","Item Ledger Entry","Quantity","Item No.",$D825,"Entry Type","Sale|Consumption","posting date","01/01/22..12/31/22")/-12</t>
  </si>
  <si>
    <t>=NL("sum","Item Ledger Entry","Quantity","Item No.",$D825,"Entry Type","Sale|Consumption","posting date","01/01/23..12/31/23")/$J$7</t>
  </si>
  <si>
    <t>=AVERAGE(I825:J825)</t>
  </si>
  <si>
    <t>=NL(1,"item",L$9,"no.",D825)</t>
  </si>
  <si>
    <t>=NL(1,"item",M$9,"no.",$D825)</t>
  </si>
  <si>
    <t>=NL(1,"item","Units Per Parcel","no.",$D825)</t>
  </si>
  <si>
    <t>=NL(1,"Prod. BOM Equipment","Fixed Prod. Time (Hours)","Production BOM No.",$D825,"version code",$E825,"Resource No.",O$9)</t>
  </si>
  <si>
    <t>=1/O825</t>
  </si>
  <si>
    <t>=IF(NL(1,"Prod. BOM Equipment","Variable Prod. Time (Hours)","Production BOM No.",$D825,"version code",$E825,"Resource No.",$O$9)="",1,NL(1,"Prod. BOM Equipment","Variable Prod. Time (Hours)","Production BOM No.",$D825,"version code",$E825,"Resource No.",$O$9))</t>
  </si>
  <si>
    <t>=1/Q825</t>
  </si>
  <si>
    <t>=R825*N825</t>
  </si>
  <si>
    <t>=IF(K826=0,"hide","")</t>
  </si>
  <si>
    <t>=D825</t>
  </si>
  <si>
    <t>=NL("sum","Production Order","Quantity","Source No.",$D826,"Equipment Code",$L826,"due date",F$8)/-12</t>
  </si>
  <si>
    <t>=NL("sum","Production Order","Quantity","Source No.",$D826,"Equipment Code",$L826,"due date",G$8)/-12</t>
  </si>
  <si>
    <t>=NL("sum","Production Order","Quantity","Source No.",$D826,"Equipment Code",$L826,"due date",H$8)/-12</t>
  </si>
  <si>
    <t>=NL("sum","Production Order","Quantity","Source No.",$D826,"Equipment Code",$L826,"due date",I$8)/-12</t>
  </si>
  <si>
    <t>=NL("sum","Production Order","Quantity","Source No.",$D826,"Equipment Code",$L826,"due date",J$8)/$J$7</t>
  </si>
  <si>
    <t>=AVERAGE(I826:J826)</t>
  </si>
  <si>
    <t>=IF(K827=0,"hide","")</t>
  </si>
  <si>
    <t>=D826</t>
  </si>
  <si>
    <t>=NL("sum","Production Order","Quantity","Source No.",$D827,"Equipment Code",$L827,"due date",F$8)/-12</t>
  </si>
  <si>
    <t>=NL("sum","Production Order","Quantity","Source No.",$D827,"Equipment Code",$L827,"due date",G$8)/-12</t>
  </si>
  <si>
    <t>=NL("sum","Production Order","Quantity","Source No.",$D827,"Equipment Code",$L827,"due date",H$8)/-12</t>
  </si>
  <si>
    <t>=NL("sum","Production Order","Quantity","Source No.",$D827,"Equipment Code",$L827,"due date",I$8)/-12</t>
  </si>
  <si>
    <t>=NL("sum","Production Order","Quantity","Source No.",$D827,"Equipment Code",$L827,"due date",J$8)/$J$7</t>
  </si>
  <si>
    <t>=AVERAGE(I827:J827)</t>
  </si>
  <si>
    <t>=IF(K828=0,"hide","")</t>
  </si>
  <si>
    <t>=D827</t>
  </si>
  <si>
    <t>=NL("sum","Production Order","Quantity","Source No.",$D828,"Equipment Code",$L828,"due date",F$8)/-12</t>
  </si>
  <si>
    <t>=NL("sum","Production Order","Quantity","Source No.",$D828,"Equipment Code",$L828,"due date",G$8)/-12</t>
  </si>
  <si>
    <t>=NL("sum","Production Order","Quantity","Source No.",$D828,"Equipment Code",$L828,"due date",H$8)/-12</t>
  </si>
  <si>
    <t>=NL("sum","Production Order","Quantity","Source No.",$D828,"Equipment Code",$L828,"due date",I$8)/-12</t>
  </si>
  <si>
    <t>=NL("sum","Production Order","Quantity","Source No.",$D828,"Equipment Code",$L828,"due date",J$8)/$J$7</t>
  </si>
  <si>
    <t>=AVERAGE(I828:J828)</t>
  </si>
  <si>
    <t>=IF(K829=0,"hide","")</t>
  </si>
  <si>
    <t>=D828</t>
  </si>
  <si>
    <t>=NL("sum","Production Order","Quantity","Source No.",$D829,"Equipment Code",$L829,"due date",F$8)/-12</t>
  </si>
  <si>
    <t>=NL("sum","Production Order","Quantity","Source No.",$D829,"Equipment Code",$L829,"due date",G$8)/-12</t>
  </si>
  <si>
    <t>=NL("sum","Production Order","Quantity","Source No.",$D829,"Equipment Code",$L829,"due date",H$8)/-12</t>
  </si>
  <si>
    <t>=NL("sum","Production Order","Quantity","Source No.",$D829,"Equipment Code",$L829,"due date",I$8)/-12</t>
  </si>
  <si>
    <t>=NL("sum","Production Order","Quantity","Source No.",$D829,"Equipment Code",$L829,"due date",J$8)/$J$7</t>
  </si>
  <si>
    <t>=AVERAGE(I829:J829)</t>
  </si>
  <si>
    <t>=B826</t>
  </si>
  <si>
    <t>=B830</t>
  </si>
  <si>
    <t>=SUM(F826:F830)</t>
  </si>
  <si>
    <t>=SUM(G826:G830)</t>
  </si>
  <si>
    <t>=SUM(H826:H830)</t>
  </si>
  <si>
    <t>=SUM(I826:I830)</t>
  </si>
  <si>
    <t>=SUM(J826:J830)</t>
  </si>
  <si>
    <t>=IF(K832=0,"hide","")</t>
  </si>
  <si>
    <t>="06875"</t>
  </si>
  <si>
    <t>=NL("rows","Production BOM Version","Version Code","Production BOM No.",D832,"status","certified")</t>
  </si>
  <si>
    <t>=NL("sum","Item Ledger Entry","Quantity","Item No.",$D832,"Entry Type","Sale|Consumption","posting date","01/01/19..12/31/19")/-12</t>
  </si>
  <si>
    <t>=NL("sum","Item Ledger Entry","Quantity","Item No.",$D832,"Entry Type","Sale|Consumption","posting date","01/01/20..12/31/20")/-12</t>
  </si>
  <si>
    <t>=NL("sum","Item Ledger Entry","Quantity","Item No.",$D832,"Entry Type","Sale|Consumption","posting date","01/01/21..12/31/21")/-12</t>
  </si>
  <si>
    <t>=NL("sum","Item Ledger Entry","Quantity","Item No.",$D832,"Entry Type","Sale|Consumption","posting date","01/01/22..12/31/22")/-12</t>
  </si>
  <si>
    <t>=NL("sum","Item Ledger Entry","Quantity","Item No.",$D832,"Entry Type","Sale|Consumption","posting date","01/01/23..12/31/23")/$J$7</t>
  </si>
  <si>
    <t>=AVERAGE(I832:J832)</t>
  </si>
  <si>
    <t>=NL(1,"item",L$9,"no.",D832)</t>
  </si>
  <si>
    <t>=NL(1,"item",M$9,"no.",$D832)</t>
  </si>
  <si>
    <t>=NL(1,"item","Units Per Parcel","no.",$D832)</t>
  </si>
  <si>
    <t>=NL(1,"Prod. BOM Equipment","Fixed Prod. Time (Hours)","Production BOM No.",$D832,"version code",$E832,"Resource No.",O$9)</t>
  </si>
  <si>
    <t>=1/O832</t>
  </si>
  <si>
    <t>=IF(NL(1,"Prod. BOM Equipment","Variable Prod. Time (Hours)","Production BOM No.",$D832,"version code",$E832,"Resource No.",$O$9)="",1,NL(1,"Prod. BOM Equipment","Variable Prod. Time (Hours)","Production BOM No.",$D832,"version code",$E832,"Resource No.",$O$9))</t>
  </si>
  <si>
    <t>=1/Q832</t>
  </si>
  <si>
    <t>=R832*N832</t>
  </si>
  <si>
    <t>=IF(K833=0,"hide","")</t>
  </si>
  <si>
    <t>=D832</t>
  </si>
  <si>
    <t>=NL("sum","Production Order","Quantity","Source No.",$D833,"Equipment Code",$L833,"due date",F$8)/-12</t>
  </si>
  <si>
    <t>=NL("sum","Production Order","Quantity","Source No.",$D833,"Equipment Code",$L833,"due date",G$8)/-12</t>
  </si>
  <si>
    <t>=NL("sum","Production Order","Quantity","Source No.",$D833,"Equipment Code",$L833,"due date",H$8)/-12</t>
  </si>
  <si>
    <t>=NL("sum","Production Order","Quantity","Source No.",$D833,"Equipment Code",$L833,"due date",I$8)/-12</t>
  </si>
  <si>
    <t>=NL("sum","Production Order","Quantity","Source No.",$D833,"Equipment Code",$L833,"due date",J$8)/$J$7</t>
  </si>
  <si>
    <t>=AVERAGE(I833:J833)</t>
  </si>
  <si>
    <t>=IF(K834=0,"hide","")</t>
  </si>
  <si>
    <t>=D833</t>
  </si>
  <si>
    <t>=NL("sum","Production Order","Quantity","Source No.",$D834,"Equipment Code",$L834,"due date",F$8)/-12</t>
  </si>
  <si>
    <t>=NL("sum","Production Order","Quantity","Source No.",$D834,"Equipment Code",$L834,"due date",G$8)/-12</t>
  </si>
  <si>
    <t>=NL("sum","Production Order","Quantity","Source No.",$D834,"Equipment Code",$L834,"due date",H$8)/-12</t>
  </si>
  <si>
    <t>=NL("sum","Production Order","Quantity","Source No.",$D834,"Equipment Code",$L834,"due date",I$8)/-12</t>
  </si>
  <si>
    <t>=NL("sum","Production Order","Quantity","Source No.",$D834,"Equipment Code",$L834,"due date",J$8)/$J$7</t>
  </si>
  <si>
    <t>=AVERAGE(I834:J834)</t>
  </si>
  <si>
    <t>=IF(K835=0,"hide","")</t>
  </si>
  <si>
    <t>=D834</t>
  </si>
  <si>
    <t>=NL("sum","Production Order","Quantity","Source No.",$D835,"Equipment Code",$L835,"due date",F$8)/-12</t>
  </si>
  <si>
    <t>=NL("sum","Production Order","Quantity","Source No.",$D835,"Equipment Code",$L835,"due date",G$8)/-12</t>
  </si>
  <si>
    <t>=NL("sum","Production Order","Quantity","Source No.",$D835,"Equipment Code",$L835,"due date",H$8)/-12</t>
  </si>
  <si>
    <t>=NL("sum","Production Order","Quantity","Source No.",$D835,"Equipment Code",$L835,"due date",I$8)/-12</t>
  </si>
  <si>
    <t>=NL("sum","Production Order","Quantity","Source No.",$D835,"Equipment Code",$L835,"due date",J$8)/$J$7</t>
  </si>
  <si>
    <t>=AVERAGE(I835:J835)</t>
  </si>
  <si>
    <t>=IF(K836=0,"hide","")</t>
  </si>
  <si>
    <t>=D835</t>
  </si>
  <si>
    <t>=NL("sum","Production Order","Quantity","Source No.",$D836,"Equipment Code",$L836,"due date",F$8)/-12</t>
  </si>
  <si>
    <t>=NL("sum","Production Order","Quantity","Source No.",$D836,"Equipment Code",$L836,"due date",G$8)/-12</t>
  </si>
  <si>
    <t>=NL("sum","Production Order","Quantity","Source No.",$D836,"Equipment Code",$L836,"due date",H$8)/-12</t>
  </si>
  <si>
    <t>=NL("sum","Production Order","Quantity","Source No.",$D836,"Equipment Code",$L836,"due date",I$8)/-12</t>
  </si>
  <si>
    <t>=NL("sum","Production Order","Quantity","Source No.",$D836,"Equipment Code",$L836,"due date",J$8)/$J$7</t>
  </si>
  <si>
    <t>=AVERAGE(I836:J836)</t>
  </si>
  <si>
    <t>=B833</t>
  </si>
  <si>
    <t>=B837</t>
  </si>
  <si>
    <t>=SUM(F833:F837)</t>
  </si>
  <si>
    <t>=SUM(G833:G837)</t>
  </si>
  <si>
    <t>=SUM(H833:H837)</t>
  </si>
  <si>
    <t>=SUM(I833:I837)</t>
  </si>
  <si>
    <t>=SUM(J833:J837)</t>
  </si>
  <si>
    <t>=IF(K839=0,"hide","")</t>
  </si>
  <si>
    <t>=NL("rows","Production BOM Version","Version Code","Production BOM No.",D839,"status","certified")</t>
  </si>
  <si>
    <t>=NL("sum","Item Ledger Entry","Quantity","Item No.",$D839,"Entry Type","Sale|Consumption","posting date","01/01/19..12/31/19")/-12</t>
  </si>
  <si>
    <t>=NL("sum","Item Ledger Entry","Quantity","Item No.",$D839,"Entry Type","Sale|Consumption","posting date","01/01/20..12/31/20")/-12</t>
  </si>
  <si>
    <t>=NL("sum","Item Ledger Entry","Quantity","Item No.",$D839,"Entry Type","Sale|Consumption","posting date","01/01/21..12/31/21")/-12</t>
  </si>
  <si>
    <t>=NL("sum","Item Ledger Entry","Quantity","Item No.",$D839,"Entry Type","Sale|Consumption","posting date","01/01/22..12/31/22")/-12</t>
  </si>
  <si>
    <t>=NL("sum","Item Ledger Entry","Quantity","Item No.",$D839,"Entry Type","Sale|Consumption","posting date","01/01/23..12/31/23")/$J$7</t>
  </si>
  <si>
    <t>=AVERAGE(I839:J839)</t>
  </si>
  <si>
    <t>=NL(1,"item",L$9,"no.",D839)</t>
  </si>
  <si>
    <t>=NL(1,"item",M$9,"no.",$D839)</t>
  </si>
  <si>
    <t>=NL(1,"item","Units Per Parcel","no.",$D839)</t>
  </si>
  <si>
    <t>=NL(1,"Prod. BOM Equipment","Fixed Prod. Time (Hours)","Production BOM No.",$D839,"version code",$E839,"Resource No.",O$9)</t>
  </si>
  <si>
    <t>=1/O839</t>
  </si>
  <si>
    <t>=IF(NL(1,"Prod. BOM Equipment","Variable Prod. Time (Hours)","Production BOM No.",$D839,"version code",$E839,"Resource No.",$O$9)="",1,NL(1,"Prod. BOM Equipment","Variable Prod. Time (Hours)","Production BOM No.",$D839,"version code",$E839,"Resource No.",$O$9))</t>
  </si>
  <si>
    <t>=1/Q839</t>
  </si>
  <si>
    <t>=R839*N839</t>
  </si>
  <si>
    <t>=IF(K840=0,"hide","")</t>
  </si>
  <si>
    <t>=D839</t>
  </si>
  <si>
    <t>=NL("sum","Production Order","Quantity","Source No.",$D840,"Equipment Code",$L840,"due date",F$8)/-12</t>
  </si>
  <si>
    <t>=NL("sum","Production Order","Quantity","Source No.",$D840,"Equipment Code",$L840,"due date",G$8)/-12</t>
  </si>
  <si>
    <t>=NL("sum","Production Order","Quantity","Source No.",$D840,"Equipment Code",$L840,"due date",H$8)/-12</t>
  </si>
  <si>
    <t>=NL("sum","Production Order","Quantity","Source No.",$D840,"Equipment Code",$L840,"due date",I$8)/-12</t>
  </si>
  <si>
    <t>=NL("sum","Production Order","Quantity","Source No.",$D840,"Equipment Code",$L840,"due date",J$8)/$J$7</t>
  </si>
  <si>
    <t>=AVERAGE(I840:J840)</t>
  </si>
  <si>
    <t>=IF(K841=0,"hide","")</t>
  </si>
  <si>
    <t>=D840</t>
  </si>
  <si>
    <t>=NL("sum","Production Order","Quantity","Source No.",$D841,"Equipment Code",$L841,"due date",F$8)/-12</t>
  </si>
  <si>
    <t>=NL("sum","Production Order","Quantity","Source No.",$D841,"Equipment Code",$L841,"due date",G$8)/-12</t>
  </si>
  <si>
    <t>=NL("sum","Production Order","Quantity","Source No.",$D841,"Equipment Code",$L841,"due date",H$8)/-12</t>
  </si>
  <si>
    <t>=NL("sum","Production Order","Quantity","Source No.",$D841,"Equipment Code",$L841,"due date",I$8)/-12</t>
  </si>
  <si>
    <t>=NL("sum","Production Order","Quantity","Source No.",$D841,"Equipment Code",$L841,"due date",J$8)/$J$7</t>
  </si>
  <si>
    <t>=AVERAGE(I841:J841)</t>
  </si>
  <si>
    <t>=IF(K842=0,"hide","")</t>
  </si>
  <si>
    <t>=D841</t>
  </si>
  <si>
    <t>=NL("sum","Production Order","Quantity","Source No.",$D842,"Equipment Code",$L842,"due date",F$8)/-12</t>
  </si>
  <si>
    <t>=NL("sum","Production Order","Quantity","Source No.",$D842,"Equipment Code",$L842,"due date",G$8)/-12</t>
  </si>
  <si>
    <t>=NL("sum","Production Order","Quantity","Source No.",$D842,"Equipment Code",$L842,"due date",H$8)/-12</t>
  </si>
  <si>
    <t>=NL("sum","Production Order","Quantity","Source No.",$D842,"Equipment Code",$L842,"due date",I$8)/-12</t>
  </si>
  <si>
    <t>=NL("sum","Production Order","Quantity","Source No.",$D842,"Equipment Code",$L842,"due date",J$8)/$J$7</t>
  </si>
  <si>
    <t>=AVERAGE(I842:J842)</t>
  </si>
  <si>
    <t>=IF(K843=0,"hide","")</t>
  </si>
  <si>
    <t>=D842</t>
  </si>
  <si>
    <t>=NL("sum","Production Order","Quantity","Source No.",$D843,"Equipment Code",$L843,"due date",F$8)/-12</t>
  </si>
  <si>
    <t>=NL("sum","Production Order","Quantity","Source No.",$D843,"Equipment Code",$L843,"due date",G$8)/-12</t>
  </si>
  <si>
    <t>=NL("sum","Production Order","Quantity","Source No.",$D843,"Equipment Code",$L843,"due date",H$8)/-12</t>
  </si>
  <si>
    <t>=NL("sum","Production Order","Quantity","Source No.",$D843,"Equipment Code",$L843,"due date",I$8)/-12</t>
  </si>
  <si>
    <t>=NL("sum","Production Order","Quantity","Source No.",$D843,"Equipment Code",$L843,"due date",J$8)/$J$7</t>
  </si>
  <si>
    <t>=AVERAGE(I843:J843)</t>
  </si>
  <si>
    <t>=B840</t>
  </si>
  <si>
    <t>=B844</t>
  </si>
  <si>
    <t>=SUM(F840:F844)</t>
  </si>
  <si>
    <t>=SUM(G840:G844)</t>
  </si>
  <si>
    <t>=SUM(H840:H844)</t>
  </si>
  <si>
    <t>=SUM(I840:I844)</t>
  </si>
  <si>
    <t>=SUM(J840:J844)</t>
  </si>
  <si>
    <t>=IF(K846=0,"hide","")</t>
  </si>
  <si>
    <t>="06910"</t>
  </si>
  <si>
    <t>=NL("rows","Production BOM Version","Version Code","Production BOM No.",D846,"status","certified")</t>
  </si>
  <si>
    <t>=NL("sum","Item Ledger Entry","Quantity","Item No.",$D846,"Entry Type","Sale|Consumption","posting date","01/01/19..12/31/19")/-12</t>
  </si>
  <si>
    <t>=NL("sum","Item Ledger Entry","Quantity","Item No.",$D846,"Entry Type","Sale|Consumption","posting date","01/01/20..12/31/20")/-12</t>
  </si>
  <si>
    <t>=NL("sum","Item Ledger Entry","Quantity","Item No.",$D846,"Entry Type","Sale|Consumption","posting date","01/01/21..12/31/21")/-12</t>
  </si>
  <si>
    <t>=NL("sum","Item Ledger Entry","Quantity","Item No.",$D846,"Entry Type","Sale|Consumption","posting date","01/01/22..12/31/22")/-12</t>
  </si>
  <si>
    <t>=NL("sum","Item Ledger Entry","Quantity","Item No.",$D846,"Entry Type","Sale|Consumption","posting date","01/01/23..12/31/23")/$J$7</t>
  </si>
  <si>
    <t>=AVERAGE(I846:J846)</t>
  </si>
  <si>
    <t>=NL(1,"item",L$9,"no.",D846)</t>
  </si>
  <si>
    <t>=NL(1,"item",M$9,"no.",$D846)</t>
  </si>
  <si>
    <t>=NL(1,"item","Units Per Parcel","no.",$D846)</t>
  </si>
  <si>
    <t>=NL(1,"Prod. BOM Equipment","Fixed Prod. Time (Hours)","Production BOM No.",$D846,"version code",$E846,"Resource No.",O$9)</t>
  </si>
  <si>
    <t>=1/O846</t>
  </si>
  <si>
    <t>=IF(NL(1,"Prod. BOM Equipment","Variable Prod. Time (Hours)","Production BOM No.",$D846,"version code",$E846,"Resource No.",$O$9)="",1,NL(1,"Prod. BOM Equipment","Variable Prod. Time (Hours)","Production BOM No.",$D846,"version code",$E846,"Resource No.",$O$9))</t>
  </si>
  <si>
    <t>=1/Q846</t>
  </si>
  <si>
    <t>=R846*N846</t>
  </si>
  <si>
    <t>=IF(K847=0,"hide","")</t>
  </si>
  <si>
    <t>=D846</t>
  </si>
  <si>
    <t>=NL("sum","Production Order","Quantity","Source No.",$D847,"Equipment Code",$L847,"due date",F$8)/-12</t>
  </si>
  <si>
    <t>=NL("sum","Production Order","Quantity","Source No.",$D847,"Equipment Code",$L847,"due date",G$8)/-12</t>
  </si>
  <si>
    <t>=NL("sum","Production Order","Quantity","Source No.",$D847,"Equipment Code",$L847,"due date",H$8)/-12</t>
  </si>
  <si>
    <t>=NL("sum","Production Order","Quantity","Source No.",$D847,"Equipment Code",$L847,"due date",I$8)/-12</t>
  </si>
  <si>
    <t>=NL("sum","Production Order","Quantity","Source No.",$D847,"Equipment Code",$L847,"due date",J$8)/$J$7</t>
  </si>
  <si>
    <t>=AVERAGE(I847:J847)</t>
  </si>
  <si>
    <t>=IF(K848=0,"hide","")</t>
  </si>
  <si>
    <t>=D847</t>
  </si>
  <si>
    <t>=NL("sum","Production Order","Quantity","Source No.",$D848,"Equipment Code",$L848,"due date",F$8)/-12</t>
  </si>
  <si>
    <t>=NL("sum","Production Order","Quantity","Source No.",$D848,"Equipment Code",$L848,"due date",G$8)/-12</t>
  </si>
  <si>
    <t>=NL("sum","Production Order","Quantity","Source No.",$D848,"Equipment Code",$L848,"due date",H$8)/-12</t>
  </si>
  <si>
    <t>=NL("sum","Production Order","Quantity","Source No.",$D848,"Equipment Code",$L848,"due date",I$8)/-12</t>
  </si>
  <si>
    <t>=NL("sum","Production Order","Quantity","Source No.",$D848,"Equipment Code",$L848,"due date",J$8)/$J$7</t>
  </si>
  <si>
    <t>=AVERAGE(I848:J848)</t>
  </si>
  <si>
    <t>=IF(K849=0,"hide","")</t>
  </si>
  <si>
    <t>=D848</t>
  </si>
  <si>
    <t>=NL("sum","Production Order","Quantity","Source No.",$D849,"Equipment Code",$L849,"due date",F$8)/-12</t>
  </si>
  <si>
    <t>=NL("sum","Production Order","Quantity","Source No.",$D849,"Equipment Code",$L849,"due date",G$8)/-12</t>
  </si>
  <si>
    <t>=NL("sum","Production Order","Quantity","Source No.",$D849,"Equipment Code",$L849,"due date",H$8)/-12</t>
  </si>
  <si>
    <t>=NL("sum","Production Order","Quantity","Source No.",$D849,"Equipment Code",$L849,"due date",I$8)/-12</t>
  </si>
  <si>
    <t>=NL("sum","Production Order","Quantity","Source No.",$D849,"Equipment Code",$L849,"due date",J$8)/$J$7</t>
  </si>
  <si>
    <t>=AVERAGE(I849:J849)</t>
  </si>
  <si>
    <t>=IF(K850=0,"hide","")</t>
  </si>
  <si>
    <t>=D849</t>
  </si>
  <si>
    <t>=NL("sum","Production Order","Quantity","Source No.",$D850,"Equipment Code",$L850,"due date",F$8)/-12</t>
  </si>
  <si>
    <t>=NL("sum","Production Order","Quantity","Source No.",$D850,"Equipment Code",$L850,"due date",G$8)/-12</t>
  </si>
  <si>
    <t>=NL("sum","Production Order","Quantity","Source No.",$D850,"Equipment Code",$L850,"due date",H$8)/-12</t>
  </si>
  <si>
    <t>=NL("sum","Production Order","Quantity","Source No.",$D850,"Equipment Code",$L850,"due date",I$8)/-12</t>
  </si>
  <si>
    <t>=NL("sum","Production Order","Quantity","Source No.",$D850,"Equipment Code",$L850,"due date",J$8)/$J$7</t>
  </si>
  <si>
    <t>=AVERAGE(I850:J850)</t>
  </si>
  <si>
    <t>=B847</t>
  </si>
  <si>
    <t>=B851</t>
  </si>
  <si>
    <t>=SUM(F847:F851)</t>
  </si>
  <si>
    <t>=SUM(G847:G851)</t>
  </si>
  <si>
    <t>=SUM(H847:H851)</t>
  </si>
  <si>
    <t>=SUM(I847:I851)</t>
  </si>
  <si>
    <t>=SUM(J847:J851)</t>
  </si>
  <si>
    <t>=IF(K853=0,"hide","")</t>
  </si>
  <si>
    <t>="06933"</t>
  </si>
  <si>
    <t>=NL("rows","Production BOM Version","Version Code","Production BOM No.",D853,"status","certified")</t>
  </si>
  <si>
    <t>=NL("sum","Item Ledger Entry","Quantity","Item No.",$D853,"Entry Type","Sale|Consumption","posting date","01/01/19..12/31/19")/-12</t>
  </si>
  <si>
    <t>=NL("sum","Item Ledger Entry","Quantity","Item No.",$D853,"Entry Type","Sale|Consumption","posting date","01/01/20..12/31/20")/-12</t>
  </si>
  <si>
    <t>=NL("sum","Item Ledger Entry","Quantity","Item No.",$D853,"Entry Type","Sale|Consumption","posting date","01/01/21..12/31/21")/-12</t>
  </si>
  <si>
    <t>=NL("sum","Item Ledger Entry","Quantity","Item No.",$D853,"Entry Type","Sale|Consumption","posting date","01/01/22..12/31/22")/-12</t>
  </si>
  <si>
    <t>=NL("sum","Item Ledger Entry","Quantity","Item No.",$D853,"Entry Type","Sale|Consumption","posting date","01/01/23..12/31/23")/$J$7</t>
  </si>
  <si>
    <t>=AVERAGE(I853:J853)</t>
  </si>
  <si>
    <t>=NL(1,"item",L$9,"no.",D853)</t>
  </si>
  <si>
    <t>=NL(1,"item",M$9,"no.",$D853)</t>
  </si>
  <si>
    <t>=NL(1,"item","Units Per Parcel","no.",$D853)</t>
  </si>
  <si>
    <t>=NL(1,"Prod. BOM Equipment","Fixed Prod. Time (Hours)","Production BOM No.",$D853,"version code",$E853,"Resource No.",O$9)</t>
  </si>
  <si>
    <t>=1/O853</t>
  </si>
  <si>
    <t>=IF(NL(1,"Prod. BOM Equipment","Variable Prod. Time (Hours)","Production BOM No.",$D853,"version code",$E853,"Resource No.",$O$9)="",1,NL(1,"Prod. BOM Equipment","Variable Prod. Time (Hours)","Production BOM No.",$D853,"version code",$E853,"Resource No.",$O$9))</t>
  </si>
  <si>
    <t>=1/Q853</t>
  </si>
  <si>
    <t>=R853*N853</t>
  </si>
  <si>
    <t>=IF(K854=0,"hide","")</t>
  </si>
  <si>
    <t>=D853</t>
  </si>
  <si>
    <t>=NL("sum","Production Order","Quantity","Source No.",$D854,"Equipment Code",$L854,"due date",F$8)/-12</t>
  </si>
  <si>
    <t>=NL("sum","Production Order","Quantity","Source No.",$D854,"Equipment Code",$L854,"due date",G$8)/-12</t>
  </si>
  <si>
    <t>=NL("sum","Production Order","Quantity","Source No.",$D854,"Equipment Code",$L854,"due date",H$8)/-12</t>
  </si>
  <si>
    <t>=NL("sum","Production Order","Quantity","Source No.",$D854,"Equipment Code",$L854,"due date",I$8)/-12</t>
  </si>
  <si>
    <t>=NL("sum","Production Order","Quantity","Source No.",$D854,"Equipment Code",$L854,"due date",J$8)/$J$7</t>
  </si>
  <si>
    <t>=AVERAGE(I854:J854)</t>
  </si>
  <si>
    <t>=IF(K855=0,"hide","")</t>
  </si>
  <si>
    <t>=D854</t>
  </si>
  <si>
    <t>=NL("sum","Production Order","Quantity","Source No.",$D855,"Equipment Code",$L855,"due date",F$8)/-12</t>
  </si>
  <si>
    <t>=NL("sum","Production Order","Quantity","Source No.",$D855,"Equipment Code",$L855,"due date",G$8)/-12</t>
  </si>
  <si>
    <t>=NL("sum","Production Order","Quantity","Source No.",$D855,"Equipment Code",$L855,"due date",H$8)/-12</t>
  </si>
  <si>
    <t>=NL("sum","Production Order","Quantity","Source No.",$D855,"Equipment Code",$L855,"due date",I$8)/-12</t>
  </si>
  <si>
    <t>=NL("sum","Production Order","Quantity","Source No.",$D855,"Equipment Code",$L855,"due date",J$8)/$J$7</t>
  </si>
  <si>
    <t>=AVERAGE(I855:J855)</t>
  </si>
  <si>
    <t>=IF(K856=0,"hide","")</t>
  </si>
  <si>
    <t>=D855</t>
  </si>
  <si>
    <t>=NL("sum","Production Order","Quantity","Source No.",$D856,"Equipment Code",$L856,"due date",F$8)/-12</t>
  </si>
  <si>
    <t>=NL("sum","Production Order","Quantity","Source No.",$D856,"Equipment Code",$L856,"due date",G$8)/-12</t>
  </si>
  <si>
    <t>=NL("sum","Production Order","Quantity","Source No.",$D856,"Equipment Code",$L856,"due date",H$8)/-12</t>
  </si>
  <si>
    <t>=NL("sum","Production Order","Quantity","Source No.",$D856,"Equipment Code",$L856,"due date",I$8)/-12</t>
  </si>
  <si>
    <t>=NL("sum","Production Order","Quantity","Source No.",$D856,"Equipment Code",$L856,"due date",J$8)/$J$7</t>
  </si>
  <si>
    <t>=AVERAGE(I856:J856)</t>
  </si>
  <si>
    <t>=IF(K857=0,"hide","")</t>
  </si>
  <si>
    <t>=D856</t>
  </si>
  <si>
    <t>=NL("sum","Production Order","Quantity","Source No.",$D857,"Equipment Code",$L857,"due date",F$8)/-12</t>
  </si>
  <si>
    <t>=NL("sum","Production Order","Quantity","Source No.",$D857,"Equipment Code",$L857,"due date",G$8)/-12</t>
  </si>
  <si>
    <t>=NL("sum","Production Order","Quantity","Source No.",$D857,"Equipment Code",$L857,"due date",H$8)/-12</t>
  </si>
  <si>
    <t>=NL("sum","Production Order","Quantity","Source No.",$D857,"Equipment Code",$L857,"due date",I$8)/-12</t>
  </si>
  <si>
    <t>=NL("sum","Production Order","Quantity","Source No.",$D857,"Equipment Code",$L857,"due date",J$8)/$J$7</t>
  </si>
  <si>
    <t>=AVERAGE(I857:J857)</t>
  </si>
  <si>
    <t>=B854</t>
  </si>
  <si>
    <t>=B858</t>
  </si>
  <si>
    <t>=SUM(F854:F858)</t>
  </si>
  <si>
    <t>=SUM(G854:G858)</t>
  </si>
  <si>
    <t>=SUM(H854:H858)</t>
  </si>
  <si>
    <t>=SUM(I854:I858)</t>
  </si>
  <si>
    <t>=SUM(J854:J858)</t>
  </si>
  <si>
    <t>=IF(K860=0,"hide","")</t>
  </si>
  <si>
    <t>="06936"</t>
  </si>
  <si>
    <t>=NL("rows","Production BOM Version","Version Code","Production BOM No.",D860,"status","certified")</t>
  </si>
  <si>
    <t>=NL("sum","Item Ledger Entry","Quantity","Item No.",$D860,"Entry Type","Sale|Consumption","posting date","01/01/19..12/31/19")/-12</t>
  </si>
  <si>
    <t>=NL("sum","Item Ledger Entry","Quantity","Item No.",$D860,"Entry Type","Sale|Consumption","posting date","01/01/20..12/31/20")/-12</t>
  </si>
  <si>
    <t>=NL("sum","Item Ledger Entry","Quantity","Item No.",$D860,"Entry Type","Sale|Consumption","posting date","01/01/21..12/31/21")/-12</t>
  </si>
  <si>
    <t>=NL("sum","Item Ledger Entry","Quantity","Item No.",$D860,"Entry Type","Sale|Consumption","posting date","01/01/22..12/31/22")/-12</t>
  </si>
  <si>
    <t>=NL("sum","Item Ledger Entry","Quantity","Item No.",$D860,"Entry Type","Sale|Consumption","posting date","01/01/23..12/31/23")/$J$7</t>
  </si>
  <si>
    <t>=AVERAGE(I860:J860)</t>
  </si>
  <si>
    <t>=NL(1,"item",L$9,"no.",D860)</t>
  </si>
  <si>
    <t>=NL(1,"item",M$9,"no.",$D860)</t>
  </si>
  <si>
    <t>=NL(1,"item","Units Per Parcel","no.",$D860)</t>
  </si>
  <si>
    <t>=NL(1,"Prod. BOM Equipment","Fixed Prod. Time (Hours)","Production BOM No.",$D860,"version code",$E860,"Resource No.",O$9)</t>
  </si>
  <si>
    <t>=1/O860</t>
  </si>
  <si>
    <t>=IF(NL(1,"Prod. BOM Equipment","Variable Prod. Time (Hours)","Production BOM No.",$D860,"version code",$E860,"Resource No.",$O$9)="",1,NL(1,"Prod. BOM Equipment","Variable Prod. Time (Hours)","Production BOM No.",$D860,"version code",$E860,"Resource No.",$O$9))</t>
  </si>
  <si>
    <t>=1/Q860</t>
  </si>
  <si>
    <t>=R860*N860</t>
  </si>
  <si>
    <t>=IF(K861=0,"hide","")</t>
  </si>
  <si>
    <t>=D860</t>
  </si>
  <si>
    <t>=NL("sum","Production Order","Quantity","Source No.",$D861,"Equipment Code",$L861,"due date",F$8)/-12</t>
  </si>
  <si>
    <t>=NL("sum","Production Order","Quantity","Source No.",$D861,"Equipment Code",$L861,"due date",G$8)/-12</t>
  </si>
  <si>
    <t>=NL("sum","Production Order","Quantity","Source No.",$D861,"Equipment Code",$L861,"due date",H$8)/-12</t>
  </si>
  <si>
    <t>=NL("sum","Production Order","Quantity","Source No.",$D861,"Equipment Code",$L861,"due date",I$8)/-12</t>
  </si>
  <si>
    <t>=NL("sum","Production Order","Quantity","Source No.",$D861,"Equipment Code",$L861,"due date",J$8)/$J$7</t>
  </si>
  <si>
    <t>=AVERAGE(I861:J861)</t>
  </si>
  <si>
    <t>=IF(K862=0,"hide","")</t>
  </si>
  <si>
    <t>=D861</t>
  </si>
  <si>
    <t>=NL("sum","Production Order","Quantity","Source No.",$D862,"Equipment Code",$L862,"due date",F$8)/-12</t>
  </si>
  <si>
    <t>=NL("sum","Production Order","Quantity","Source No.",$D862,"Equipment Code",$L862,"due date",G$8)/-12</t>
  </si>
  <si>
    <t>=NL("sum","Production Order","Quantity","Source No.",$D862,"Equipment Code",$L862,"due date",H$8)/-12</t>
  </si>
  <si>
    <t>=NL("sum","Production Order","Quantity","Source No.",$D862,"Equipment Code",$L862,"due date",I$8)/-12</t>
  </si>
  <si>
    <t>=NL("sum","Production Order","Quantity","Source No.",$D862,"Equipment Code",$L862,"due date",J$8)/$J$7</t>
  </si>
  <si>
    <t>=AVERAGE(I862:J862)</t>
  </si>
  <si>
    <t>=IF(K863=0,"hide","")</t>
  </si>
  <si>
    <t>=D862</t>
  </si>
  <si>
    <t>=NL("sum","Production Order","Quantity","Source No.",$D863,"Equipment Code",$L863,"due date",F$8)/-12</t>
  </si>
  <si>
    <t>=NL("sum","Production Order","Quantity","Source No.",$D863,"Equipment Code",$L863,"due date",G$8)/-12</t>
  </si>
  <si>
    <t>=NL("sum","Production Order","Quantity","Source No.",$D863,"Equipment Code",$L863,"due date",H$8)/-12</t>
  </si>
  <si>
    <t>=NL("sum","Production Order","Quantity","Source No.",$D863,"Equipment Code",$L863,"due date",I$8)/-12</t>
  </si>
  <si>
    <t>=NL("sum","Production Order","Quantity","Source No.",$D863,"Equipment Code",$L863,"due date",J$8)/$J$7</t>
  </si>
  <si>
    <t>=AVERAGE(I863:J863)</t>
  </si>
  <si>
    <t>=IF(K864=0,"hide","")</t>
  </si>
  <si>
    <t>=D863</t>
  </si>
  <si>
    <t>=NL("sum","Production Order","Quantity","Source No.",$D864,"Equipment Code",$L864,"due date",F$8)/-12</t>
  </si>
  <si>
    <t>=NL("sum","Production Order","Quantity","Source No.",$D864,"Equipment Code",$L864,"due date",G$8)/-12</t>
  </si>
  <si>
    <t>=NL("sum","Production Order","Quantity","Source No.",$D864,"Equipment Code",$L864,"due date",H$8)/-12</t>
  </si>
  <si>
    <t>=NL("sum","Production Order","Quantity","Source No.",$D864,"Equipment Code",$L864,"due date",I$8)/-12</t>
  </si>
  <si>
    <t>=NL("sum","Production Order","Quantity","Source No.",$D864,"Equipment Code",$L864,"due date",J$8)/$J$7</t>
  </si>
  <si>
    <t>=AVERAGE(I864:J864)</t>
  </si>
  <si>
    <t>=B861</t>
  </si>
  <si>
    <t>=B865</t>
  </si>
  <si>
    <t>=SUM(F861:F865)</t>
  </si>
  <si>
    <t>=SUM(G861:G865)</t>
  </si>
  <si>
    <t>=SUM(H861:H865)</t>
  </si>
  <si>
    <t>=SUM(I861:I865)</t>
  </si>
  <si>
    <t>=SUM(J861:J865)</t>
  </si>
  <si>
    <t>=IF(K867=0,"hide","")</t>
  </si>
  <si>
    <t>=NL("rows","Production BOM Version","Version Code","Production BOM No.",D867,"status","certified")</t>
  </si>
  <si>
    <t>=NL("sum","Item Ledger Entry","Quantity","Item No.",$D867,"Entry Type","Sale|Consumption","posting date","01/01/19..12/31/19")/-12</t>
  </si>
  <si>
    <t>=NL("sum","Item Ledger Entry","Quantity","Item No.",$D867,"Entry Type","Sale|Consumption","posting date","01/01/20..12/31/20")/-12</t>
  </si>
  <si>
    <t>=NL("sum","Item Ledger Entry","Quantity","Item No.",$D867,"Entry Type","Sale|Consumption","posting date","01/01/21..12/31/21")/-12</t>
  </si>
  <si>
    <t>=NL("sum","Item Ledger Entry","Quantity","Item No.",$D867,"Entry Type","Sale|Consumption","posting date","01/01/22..12/31/22")/-12</t>
  </si>
  <si>
    <t>=NL("sum","Item Ledger Entry","Quantity","Item No.",$D867,"Entry Type","Sale|Consumption","posting date","01/01/23..12/31/23")/$J$7</t>
  </si>
  <si>
    <t>=AVERAGE(I867:J867)</t>
  </si>
  <si>
    <t>=NL(1,"item",L$9,"no.",D867)</t>
  </si>
  <si>
    <t>=NL(1,"item",M$9,"no.",$D867)</t>
  </si>
  <si>
    <t>=NL(1,"item","Units Per Parcel","no.",$D867)</t>
  </si>
  <si>
    <t>=NL(1,"Prod. BOM Equipment","Fixed Prod. Time (Hours)","Production BOM No.",$D867,"version code",$E867,"Resource No.",O$9)</t>
  </si>
  <si>
    <t>=1/O867</t>
  </si>
  <si>
    <t>=IF(NL(1,"Prod. BOM Equipment","Variable Prod. Time (Hours)","Production BOM No.",$D867,"version code",$E867,"Resource No.",$O$9)="",1,NL(1,"Prod. BOM Equipment","Variable Prod. Time (Hours)","Production BOM No.",$D867,"version code",$E867,"Resource No.",$O$9))</t>
  </si>
  <si>
    <t>=1/Q867</t>
  </si>
  <si>
    <t>=R867*N867</t>
  </si>
  <si>
    <t>=IF(K868=0,"hide","")</t>
  </si>
  <si>
    <t>=D867</t>
  </si>
  <si>
    <t>=NL("sum","Production Order","Quantity","Source No.",$D868,"Equipment Code",$L868,"due date",F$8)/-12</t>
  </si>
  <si>
    <t>=NL("sum","Production Order","Quantity","Source No.",$D868,"Equipment Code",$L868,"due date",G$8)/-12</t>
  </si>
  <si>
    <t>=NL("sum","Production Order","Quantity","Source No.",$D868,"Equipment Code",$L868,"due date",H$8)/-12</t>
  </si>
  <si>
    <t>=NL("sum","Production Order","Quantity","Source No.",$D868,"Equipment Code",$L868,"due date",I$8)/-12</t>
  </si>
  <si>
    <t>=NL("sum","Production Order","Quantity","Source No.",$D868,"Equipment Code",$L868,"due date",J$8)/$J$7</t>
  </si>
  <si>
    <t>=AVERAGE(I868:J868)</t>
  </si>
  <si>
    <t>=IF(K869=0,"hide","")</t>
  </si>
  <si>
    <t>=D868</t>
  </si>
  <si>
    <t>=NL("sum","Production Order","Quantity","Source No.",$D869,"Equipment Code",$L869,"due date",F$8)/-12</t>
  </si>
  <si>
    <t>=NL("sum","Production Order","Quantity","Source No.",$D869,"Equipment Code",$L869,"due date",G$8)/-12</t>
  </si>
  <si>
    <t>=NL("sum","Production Order","Quantity","Source No.",$D869,"Equipment Code",$L869,"due date",H$8)/-12</t>
  </si>
  <si>
    <t>=NL("sum","Production Order","Quantity","Source No.",$D869,"Equipment Code",$L869,"due date",I$8)/-12</t>
  </si>
  <si>
    <t>=NL("sum","Production Order","Quantity","Source No.",$D869,"Equipment Code",$L869,"due date",J$8)/$J$7</t>
  </si>
  <si>
    <t>=AVERAGE(I869:J869)</t>
  </si>
  <si>
    <t>=IF(K870=0,"hide","")</t>
  </si>
  <si>
    <t>=D869</t>
  </si>
  <si>
    <t>=NL("sum","Production Order","Quantity","Source No.",$D870,"Equipment Code",$L870,"due date",F$8)/-12</t>
  </si>
  <si>
    <t>=NL("sum","Production Order","Quantity","Source No.",$D870,"Equipment Code",$L870,"due date",G$8)/-12</t>
  </si>
  <si>
    <t>=NL("sum","Production Order","Quantity","Source No.",$D870,"Equipment Code",$L870,"due date",H$8)/-12</t>
  </si>
  <si>
    <t>=NL("sum","Production Order","Quantity","Source No.",$D870,"Equipment Code",$L870,"due date",I$8)/-12</t>
  </si>
  <si>
    <t>=NL("sum","Production Order","Quantity","Source No.",$D870,"Equipment Code",$L870,"due date",J$8)/$J$7</t>
  </si>
  <si>
    <t>=AVERAGE(I870:J870)</t>
  </si>
  <si>
    <t>=IF(K871=0,"hide","")</t>
  </si>
  <si>
    <t>=D870</t>
  </si>
  <si>
    <t>=NL("sum","Production Order","Quantity","Source No.",$D871,"Equipment Code",$L871,"due date",F$8)/-12</t>
  </si>
  <si>
    <t>=NL("sum","Production Order","Quantity","Source No.",$D871,"Equipment Code",$L871,"due date",G$8)/-12</t>
  </si>
  <si>
    <t>=NL("sum","Production Order","Quantity","Source No.",$D871,"Equipment Code",$L871,"due date",H$8)/-12</t>
  </si>
  <si>
    <t>=NL("sum","Production Order","Quantity","Source No.",$D871,"Equipment Code",$L871,"due date",I$8)/-12</t>
  </si>
  <si>
    <t>=NL("sum","Production Order","Quantity","Source No.",$D871,"Equipment Code",$L871,"due date",J$8)/$J$7</t>
  </si>
  <si>
    <t>=AVERAGE(I871:J871)</t>
  </si>
  <si>
    <t>=B868</t>
  </si>
  <si>
    <t>=B872</t>
  </si>
  <si>
    <t>=SUM(F868:F872)</t>
  </si>
  <si>
    <t>=SUM(G868:G872)</t>
  </si>
  <si>
    <t>=SUM(H868:H872)</t>
  </si>
  <si>
    <t>=SUM(I868:I872)</t>
  </si>
  <si>
    <t>=SUM(J868:J872)</t>
  </si>
  <si>
    <t>=IF(K874=0,"hide","")</t>
  </si>
  <si>
    <t>="06951"</t>
  </si>
  <si>
    <t>=NL("rows","Production BOM Version","Version Code","Production BOM No.",D874,"status","certified")</t>
  </si>
  <si>
    <t>=NL("sum","Item Ledger Entry","Quantity","Item No.",$D874,"Entry Type","Sale|Consumption","posting date","01/01/19..12/31/19")/-12</t>
  </si>
  <si>
    <t>=NL("sum","Item Ledger Entry","Quantity","Item No.",$D874,"Entry Type","Sale|Consumption","posting date","01/01/20..12/31/20")/-12</t>
  </si>
  <si>
    <t>=NL("sum","Item Ledger Entry","Quantity","Item No.",$D874,"Entry Type","Sale|Consumption","posting date","01/01/21..12/31/21")/-12</t>
  </si>
  <si>
    <t>=NL("sum","Item Ledger Entry","Quantity","Item No.",$D874,"Entry Type","Sale|Consumption","posting date","01/01/22..12/31/22")/-12</t>
  </si>
  <si>
    <t>=NL("sum","Item Ledger Entry","Quantity","Item No.",$D874,"Entry Type","Sale|Consumption","posting date","01/01/23..12/31/23")/$J$7</t>
  </si>
  <si>
    <t>=AVERAGE(I874:J874)</t>
  </si>
  <si>
    <t>=NL(1,"item",L$9,"no.",D874)</t>
  </si>
  <si>
    <t>=NL(1,"item",M$9,"no.",$D874)</t>
  </si>
  <si>
    <t>=NL(1,"item","Units Per Parcel","no.",$D874)</t>
  </si>
  <si>
    <t>=NL(1,"Prod. BOM Equipment","Fixed Prod. Time (Hours)","Production BOM No.",$D874,"version code",$E874,"Resource No.",O$9)</t>
  </si>
  <si>
    <t>=1/O874</t>
  </si>
  <si>
    <t>=IF(NL(1,"Prod. BOM Equipment","Variable Prod. Time (Hours)","Production BOM No.",$D874,"version code",$E874,"Resource No.",$O$9)="",1,NL(1,"Prod. BOM Equipment","Variable Prod. Time (Hours)","Production BOM No.",$D874,"version code",$E874,"Resource No.",$O$9))</t>
  </si>
  <si>
    <t>=1/Q874</t>
  </si>
  <si>
    <t>=R874*N874</t>
  </si>
  <si>
    <t>=IF(K875=0,"hide","")</t>
  </si>
  <si>
    <t>=D874</t>
  </si>
  <si>
    <t>=NL("sum","Production Order","Quantity","Source No.",$D875,"Equipment Code",$L875,"due date",F$8)/-12</t>
  </si>
  <si>
    <t>=NL("sum","Production Order","Quantity","Source No.",$D875,"Equipment Code",$L875,"due date",G$8)/-12</t>
  </si>
  <si>
    <t>=NL("sum","Production Order","Quantity","Source No.",$D875,"Equipment Code",$L875,"due date",H$8)/-12</t>
  </si>
  <si>
    <t>=NL("sum","Production Order","Quantity","Source No.",$D875,"Equipment Code",$L875,"due date",I$8)/-12</t>
  </si>
  <si>
    <t>=NL("sum","Production Order","Quantity","Source No.",$D875,"Equipment Code",$L875,"due date",J$8)/$J$7</t>
  </si>
  <si>
    <t>=AVERAGE(I875:J875)</t>
  </si>
  <si>
    <t>=IF(K876=0,"hide","")</t>
  </si>
  <si>
    <t>=D875</t>
  </si>
  <si>
    <t>=NL("sum","Production Order","Quantity","Source No.",$D876,"Equipment Code",$L876,"due date",F$8)/-12</t>
  </si>
  <si>
    <t>=NL("sum","Production Order","Quantity","Source No.",$D876,"Equipment Code",$L876,"due date",G$8)/-12</t>
  </si>
  <si>
    <t>=NL("sum","Production Order","Quantity","Source No.",$D876,"Equipment Code",$L876,"due date",H$8)/-12</t>
  </si>
  <si>
    <t>=NL("sum","Production Order","Quantity","Source No.",$D876,"Equipment Code",$L876,"due date",I$8)/-12</t>
  </si>
  <si>
    <t>=NL("sum","Production Order","Quantity","Source No.",$D876,"Equipment Code",$L876,"due date",J$8)/$J$7</t>
  </si>
  <si>
    <t>=AVERAGE(I876:J876)</t>
  </si>
  <si>
    <t>=IF(K877=0,"hide","")</t>
  </si>
  <si>
    <t>=D876</t>
  </si>
  <si>
    <t>=NL("sum","Production Order","Quantity","Source No.",$D877,"Equipment Code",$L877,"due date",F$8)/-12</t>
  </si>
  <si>
    <t>=NL("sum","Production Order","Quantity","Source No.",$D877,"Equipment Code",$L877,"due date",G$8)/-12</t>
  </si>
  <si>
    <t>=NL("sum","Production Order","Quantity","Source No.",$D877,"Equipment Code",$L877,"due date",H$8)/-12</t>
  </si>
  <si>
    <t>=NL("sum","Production Order","Quantity","Source No.",$D877,"Equipment Code",$L877,"due date",I$8)/-12</t>
  </si>
  <si>
    <t>=NL("sum","Production Order","Quantity","Source No.",$D877,"Equipment Code",$L877,"due date",J$8)/$J$7</t>
  </si>
  <si>
    <t>=AVERAGE(I877:J877)</t>
  </si>
  <si>
    <t>=IF(K878=0,"hide","")</t>
  </si>
  <si>
    <t>=D877</t>
  </si>
  <si>
    <t>=NL("sum","Production Order","Quantity","Source No.",$D878,"Equipment Code",$L878,"due date",F$8)/-12</t>
  </si>
  <si>
    <t>=NL("sum","Production Order","Quantity","Source No.",$D878,"Equipment Code",$L878,"due date",G$8)/-12</t>
  </si>
  <si>
    <t>=NL("sum","Production Order","Quantity","Source No.",$D878,"Equipment Code",$L878,"due date",H$8)/-12</t>
  </si>
  <si>
    <t>=NL("sum","Production Order","Quantity","Source No.",$D878,"Equipment Code",$L878,"due date",I$8)/-12</t>
  </si>
  <si>
    <t>=NL("sum","Production Order","Quantity","Source No.",$D878,"Equipment Code",$L878,"due date",J$8)/$J$7</t>
  </si>
  <si>
    <t>=AVERAGE(I878:J878)</t>
  </si>
  <si>
    <t>=B875</t>
  </si>
  <si>
    <t>=B879</t>
  </si>
  <si>
    <t>=SUM(F875:F879)</t>
  </si>
  <si>
    <t>=SUM(G875:G879)</t>
  </si>
  <si>
    <t>=SUM(H875:H879)</t>
  </si>
  <si>
    <t>=SUM(I875:I879)</t>
  </si>
  <si>
    <t>=SUM(J875:J879)</t>
  </si>
  <si>
    <t>=IF(K881=0,"hide","")</t>
  </si>
  <si>
    <t>="06961"</t>
  </si>
  <si>
    <t>=NL("rows","Production BOM Version","Version Code","Production BOM No.",D881,"status","certified")</t>
  </si>
  <si>
    <t>=NL("sum","Item Ledger Entry","Quantity","Item No.",$D881,"Entry Type","Sale|Consumption","posting date","01/01/19..12/31/19")/-12</t>
  </si>
  <si>
    <t>=NL("sum","Item Ledger Entry","Quantity","Item No.",$D881,"Entry Type","Sale|Consumption","posting date","01/01/20..12/31/20")/-12</t>
  </si>
  <si>
    <t>=NL("sum","Item Ledger Entry","Quantity","Item No.",$D881,"Entry Type","Sale|Consumption","posting date","01/01/21..12/31/21")/-12</t>
  </si>
  <si>
    <t>=NL("sum","Item Ledger Entry","Quantity","Item No.",$D881,"Entry Type","Sale|Consumption","posting date","01/01/22..12/31/22")/-12</t>
  </si>
  <si>
    <t>=NL("sum","Item Ledger Entry","Quantity","Item No.",$D881,"Entry Type","Sale|Consumption","posting date","01/01/23..12/31/23")/$J$7</t>
  </si>
  <si>
    <t>=AVERAGE(I881:J881)</t>
  </si>
  <si>
    <t>=NL(1,"item",L$9,"no.",D881)</t>
  </si>
  <si>
    <t>=NL(1,"item",M$9,"no.",$D881)</t>
  </si>
  <si>
    <t>=NL(1,"item","Units Per Parcel","no.",$D881)</t>
  </si>
  <si>
    <t>=NL(1,"Prod. BOM Equipment","Fixed Prod. Time (Hours)","Production BOM No.",$D881,"version code",$E881,"Resource No.",O$9)</t>
  </si>
  <si>
    <t>=1/O881</t>
  </si>
  <si>
    <t>=IF(NL(1,"Prod. BOM Equipment","Variable Prod. Time (Hours)","Production BOM No.",$D881,"version code",$E881,"Resource No.",$O$9)="",1,NL(1,"Prod. BOM Equipment","Variable Prod. Time (Hours)","Production BOM No.",$D881,"version code",$E881,"Resource No.",$O$9))</t>
  </si>
  <si>
    <t>=1/Q881</t>
  </si>
  <si>
    <t>=R881*N881</t>
  </si>
  <si>
    <t>=IF(K882=0,"hide","")</t>
  </si>
  <si>
    <t>=D881</t>
  </si>
  <si>
    <t>=NL("sum","Production Order","Quantity","Source No.",$D882,"Equipment Code",$L882,"due date",F$8)/-12</t>
  </si>
  <si>
    <t>=NL("sum","Production Order","Quantity","Source No.",$D882,"Equipment Code",$L882,"due date",G$8)/-12</t>
  </si>
  <si>
    <t>=NL("sum","Production Order","Quantity","Source No.",$D882,"Equipment Code",$L882,"due date",H$8)/-12</t>
  </si>
  <si>
    <t>=NL("sum","Production Order","Quantity","Source No.",$D882,"Equipment Code",$L882,"due date",I$8)/-12</t>
  </si>
  <si>
    <t>=NL("sum","Production Order","Quantity","Source No.",$D882,"Equipment Code",$L882,"due date",J$8)/$J$7</t>
  </si>
  <si>
    <t>=AVERAGE(I882:J882)</t>
  </si>
  <si>
    <t>=IF(K883=0,"hide","")</t>
  </si>
  <si>
    <t>=D882</t>
  </si>
  <si>
    <t>=NL("sum","Production Order","Quantity","Source No.",$D883,"Equipment Code",$L883,"due date",F$8)/-12</t>
  </si>
  <si>
    <t>=NL("sum","Production Order","Quantity","Source No.",$D883,"Equipment Code",$L883,"due date",G$8)/-12</t>
  </si>
  <si>
    <t>=NL("sum","Production Order","Quantity","Source No.",$D883,"Equipment Code",$L883,"due date",H$8)/-12</t>
  </si>
  <si>
    <t>=NL("sum","Production Order","Quantity","Source No.",$D883,"Equipment Code",$L883,"due date",I$8)/-12</t>
  </si>
  <si>
    <t>=NL("sum","Production Order","Quantity","Source No.",$D883,"Equipment Code",$L883,"due date",J$8)/$J$7</t>
  </si>
  <si>
    <t>=AVERAGE(I883:J883)</t>
  </si>
  <si>
    <t>=IF(K884=0,"hide","")</t>
  </si>
  <si>
    <t>=D883</t>
  </si>
  <si>
    <t>=NL("sum","Production Order","Quantity","Source No.",$D884,"Equipment Code",$L884,"due date",F$8)/-12</t>
  </si>
  <si>
    <t>=NL("sum","Production Order","Quantity","Source No.",$D884,"Equipment Code",$L884,"due date",G$8)/-12</t>
  </si>
  <si>
    <t>=NL("sum","Production Order","Quantity","Source No.",$D884,"Equipment Code",$L884,"due date",H$8)/-12</t>
  </si>
  <si>
    <t>=NL("sum","Production Order","Quantity","Source No.",$D884,"Equipment Code",$L884,"due date",I$8)/-12</t>
  </si>
  <si>
    <t>=NL("sum","Production Order","Quantity","Source No.",$D884,"Equipment Code",$L884,"due date",J$8)/$J$7</t>
  </si>
  <si>
    <t>=AVERAGE(I884:J884)</t>
  </si>
  <si>
    <t>=IF(K885=0,"hide","")</t>
  </si>
  <si>
    <t>=D884</t>
  </si>
  <si>
    <t>=NL("sum","Production Order","Quantity","Source No.",$D885,"Equipment Code",$L885,"due date",F$8)/-12</t>
  </si>
  <si>
    <t>=NL("sum","Production Order","Quantity","Source No.",$D885,"Equipment Code",$L885,"due date",G$8)/-12</t>
  </si>
  <si>
    <t>=NL("sum","Production Order","Quantity","Source No.",$D885,"Equipment Code",$L885,"due date",H$8)/-12</t>
  </si>
  <si>
    <t>=NL("sum","Production Order","Quantity","Source No.",$D885,"Equipment Code",$L885,"due date",I$8)/-12</t>
  </si>
  <si>
    <t>=NL("sum","Production Order","Quantity","Source No.",$D885,"Equipment Code",$L885,"due date",J$8)/$J$7</t>
  </si>
  <si>
    <t>=AVERAGE(I885:J885)</t>
  </si>
  <si>
    <t>=B882</t>
  </si>
  <si>
    <t>=B886</t>
  </si>
  <si>
    <t>=SUM(F882:F886)</t>
  </si>
  <si>
    <t>=SUM(G882:G886)</t>
  </si>
  <si>
    <t>=SUM(H882:H886)</t>
  </si>
  <si>
    <t>=SUM(I882:I886)</t>
  </si>
  <si>
    <t>=SUM(J882:J886)</t>
  </si>
  <si>
    <t>=IF(K888=0,"hide","")</t>
  </si>
  <si>
    <t>="06966"</t>
  </si>
  <si>
    <t>=NL("rows","Production BOM Version","Version Code","Production BOM No.",D888,"status","certified")</t>
  </si>
  <si>
    <t>=NL("sum","Item Ledger Entry","Quantity","Item No.",$D888,"Entry Type","Sale|Consumption","posting date","01/01/19..12/31/19")/-12</t>
  </si>
  <si>
    <t>=NL("sum","Item Ledger Entry","Quantity","Item No.",$D888,"Entry Type","Sale|Consumption","posting date","01/01/20..12/31/20")/-12</t>
  </si>
  <si>
    <t>=NL("sum","Item Ledger Entry","Quantity","Item No.",$D888,"Entry Type","Sale|Consumption","posting date","01/01/21..12/31/21")/-12</t>
  </si>
  <si>
    <t>=NL("sum","Item Ledger Entry","Quantity","Item No.",$D888,"Entry Type","Sale|Consumption","posting date","01/01/22..12/31/22")/-12</t>
  </si>
  <si>
    <t>=NL("sum","Item Ledger Entry","Quantity","Item No.",$D888,"Entry Type","Sale|Consumption","posting date","01/01/23..12/31/23")/$J$7</t>
  </si>
  <si>
    <t>=AVERAGE(I888:J888)</t>
  </si>
  <si>
    <t>=NL(1,"item",L$9,"no.",D888)</t>
  </si>
  <si>
    <t>=NL(1,"item",M$9,"no.",$D888)</t>
  </si>
  <si>
    <t>=NL(1,"item","Units Per Parcel","no.",$D888)</t>
  </si>
  <si>
    <t>=NL(1,"Prod. BOM Equipment","Fixed Prod. Time (Hours)","Production BOM No.",$D888,"version code",$E888,"Resource No.",O$9)</t>
  </si>
  <si>
    <t>=1/O888</t>
  </si>
  <si>
    <t>=IF(NL(1,"Prod. BOM Equipment","Variable Prod. Time (Hours)","Production BOM No.",$D888,"version code",$E888,"Resource No.",$O$9)="",1,NL(1,"Prod. BOM Equipment","Variable Prod. Time (Hours)","Production BOM No.",$D888,"version code",$E888,"Resource No.",$O$9))</t>
  </si>
  <si>
    <t>=1/Q888</t>
  </si>
  <si>
    <t>=R888*N888</t>
  </si>
  <si>
    <t>=IF(K889=0,"hide","")</t>
  </si>
  <si>
    <t>=D888</t>
  </si>
  <si>
    <t>=NL("sum","Production Order","Quantity","Source No.",$D889,"Equipment Code",$L889,"due date",F$8)/-12</t>
  </si>
  <si>
    <t>=NL("sum","Production Order","Quantity","Source No.",$D889,"Equipment Code",$L889,"due date",G$8)/-12</t>
  </si>
  <si>
    <t>=NL("sum","Production Order","Quantity","Source No.",$D889,"Equipment Code",$L889,"due date",H$8)/-12</t>
  </si>
  <si>
    <t>=NL("sum","Production Order","Quantity","Source No.",$D889,"Equipment Code",$L889,"due date",I$8)/-12</t>
  </si>
  <si>
    <t>=NL("sum","Production Order","Quantity","Source No.",$D889,"Equipment Code",$L889,"due date",J$8)/$J$7</t>
  </si>
  <si>
    <t>=AVERAGE(I889:J889)</t>
  </si>
  <si>
    <t>=IF(K890=0,"hide","")</t>
  </si>
  <si>
    <t>=D889</t>
  </si>
  <si>
    <t>=NL("sum","Production Order","Quantity","Source No.",$D890,"Equipment Code",$L890,"due date",F$8)/-12</t>
  </si>
  <si>
    <t>=NL("sum","Production Order","Quantity","Source No.",$D890,"Equipment Code",$L890,"due date",G$8)/-12</t>
  </si>
  <si>
    <t>=NL("sum","Production Order","Quantity","Source No.",$D890,"Equipment Code",$L890,"due date",H$8)/-12</t>
  </si>
  <si>
    <t>=NL("sum","Production Order","Quantity","Source No.",$D890,"Equipment Code",$L890,"due date",I$8)/-12</t>
  </si>
  <si>
    <t>=NL("sum","Production Order","Quantity","Source No.",$D890,"Equipment Code",$L890,"due date",J$8)/$J$7</t>
  </si>
  <si>
    <t>=AVERAGE(I890:J890)</t>
  </si>
  <si>
    <t>=IF(K891=0,"hide","")</t>
  </si>
  <si>
    <t>=D890</t>
  </si>
  <si>
    <t>=NL("sum","Production Order","Quantity","Source No.",$D891,"Equipment Code",$L891,"due date",F$8)/-12</t>
  </si>
  <si>
    <t>=NL("sum","Production Order","Quantity","Source No.",$D891,"Equipment Code",$L891,"due date",G$8)/-12</t>
  </si>
  <si>
    <t>=NL("sum","Production Order","Quantity","Source No.",$D891,"Equipment Code",$L891,"due date",H$8)/-12</t>
  </si>
  <si>
    <t>=NL("sum","Production Order","Quantity","Source No.",$D891,"Equipment Code",$L891,"due date",I$8)/-12</t>
  </si>
  <si>
    <t>=NL("sum","Production Order","Quantity","Source No.",$D891,"Equipment Code",$L891,"due date",J$8)/$J$7</t>
  </si>
  <si>
    <t>=AVERAGE(I891:J891)</t>
  </si>
  <si>
    <t>=IF(K892=0,"hide","")</t>
  </si>
  <si>
    <t>=D891</t>
  </si>
  <si>
    <t>=NL("sum","Production Order","Quantity","Source No.",$D892,"Equipment Code",$L892,"due date",F$8)/-12</t>
  </si>
  <si>
    <t>=NL("sum","Production Order","Quantity","Source No.",$D892,"Equipment Code",$L892,"due date",G$8)/-12</t>
  </si>
  <si>
    <t>=NL("sum","Production Order","Quantity","Source No.",$D892,"Equipment Code",$L892,"due date",H$8)/-12</t>
  </si>
  <si>
    <t>=NL("sum","Production Order","Quantity","Source No.",$D892,"Equipment Code",$L892,"due date",I$8)/-12</t>
  </si>
  <si>
    <t>=NL("sum","Production Order","Quantity","Source No.",$D892,"Equipment Code",$L892,"due date",J$8)/$J$7</t>
  </si>
  <si>
    <t>=AVERAGE(I892:J892)</t>
  </si>
  <si>
    <t>=B889</t>
  </si>
  <si>
    <t>=B893</t>
  </si>
  <si>
    <t>=SUM(F889:F893)</t>
  </si>
  <si>
    <t>=SUM(G889:G893)</t>
  </si>
  <si>
    <t>=SUM(H889:H893)</t>
  </si>
  <si>
    <t>=SUM(I889:I893)</t>
  </si>
  <si>
    <t>=SUM(J889:J893)</t>
  </si>
  <si>
    <t>=IF(K895=0,"hide","")</t>
  </si>
  <si>
    <t>="06975"</t>
  </si>
  <si>
    <t>=NL("rows","Production BOM Version","Version Code","Production BOM No.",D895,"status","certified")</t>
  </si>
  <si>
    <t>=NL("sum","Item Ledger Entry","Quantity","Item No.",$D895,"Entry Type","Sale|Consumption","posting date","01/01/19..12/31/19")/-12</t>
  </si>
  <si>
    <t>=NL("sum","Item Ledger Entry","Quantity","Item No.",$D895,"Entry Type","Sale|Consumption","posting date","01/01/20..12/31/20")/-12</t>
  </si>
  <si>
    <t>=NL("sum","Item Ledger Entry","Quantity","Item No.",$D895,"Entry Type","Sale|Consumption","posting date","01/01/21..12/31/21")/-12</t>
  </si>
  <si>
    <t>=NL("sum","Item Ledger Entry","Quantity","Item No.",$D895,"Entry Type","Sale|Consumption","posting date","01/01/22..12/31/22")/-12</t>
  </si>
  <si>
    <t>=NL("sum","Item Ledger Entry","Quantity","Item No.",$D895,"Entry Type","Sale|Consumption","posting date","01/01/23..12/31/23")/$J$7</t>
  </si>
  <si>
    <t>=AVERAGE(I895:J895)</t>
  </si>
  <si>
    <t>=NL(1,"item",L$9,"no.",D895)</t>
  </si>
  <si>
    <t>=NL(1,"item",M$9,"no.",$D895)</t>
  </si>
  <si>
    <t>=NL(1,"item","Units Per Parcel","no.",$D895)</t>
  </si>
  <si>
    <t>=NL(1,"Prod. BOM Equipment","Fixed Prod. Time (Hours)","Production BOM No.",$D895,"version code",$E895,"Resource No.",O$9)</t>
  </si>
  <si>
    <t>=1/O895</t>
  </si>
  <si>
    <t>=IF(NL(1,"Prod. BOM Equipment","Variable Prod. Time (Hours)","Production BOM No.",$D895,"version code",$E895,"Resource No.",$O$9)="",1,NL(1,"Prod. BOM Equipment","Variable Prod. Time (Hours)","Production BOM No.",$D895,"version code",$E895,"Resource No.",$O$9))</t>
  </si>
  <si>
    <t>=1/Q895</t>
  </si>
  <si>
    <t>=R895*N895</t>
  </si>
  <si>
    <t>=IF(K896=0,"hide","")</t>
  </si>
  <si>
    <t>=D895</t>
  </si>
  <si>
    <t>=NL("sum","Production Order","Quantity","Source No.",$D896,"Equipment Code",$L896,"due date",F$8)/-12</t>
  </si>
  <si>
    <t>=NL("sum","Production Order","Quantity","Source No.",$D896,"Equipment Code",$L896,"due date",G$8)/-12</t>
  </si>
  <si>
    <t>=NL("sum","Production Order","Quantity","Source No.",$D896,"Equipment Code",$L896,"due date",H$8)/-12</t>
  </si>
  <si>
    <t>=NL("sum","Production Order","Quantity","Source No.",$D896,"Equipment Code",$L896,"due date",I$8)/-12</t>
  </si>
  <si>
    <t>=NL("sum","Production Order","Quantity","Source No.",$D896,"Equipment Code",$L896,"due date",J$8)/$J$7</t>
  </si>
  <si>
    <t>=AVERAGE(I896:J896)</t>
  </si>
  <si>
    <t>=IF(K897=0,"hide","")</t>
  </si>
  <si>
    <t>=D896</t>
  </si>
  <si>
    <t>=NL("sum","Production Order","Quantity","Source No.",$D897,"Equipment Code",$L897,"due date",F$8)/-12</t>
  </si>
  <si>
    <t>=NL("sum","Production Order","Quantity","Source No.",$D897,"Equipment Code",$L897,"due date",G$8)/-12</t>
  </si>
  <si>
    <t>=NL("sum","Production Order","Quantity","Source No.",$D897,"Equipment Code",$L897,"due date",H$8)/-12</t>
  </si>
  <si>
    <t>=NL("sum","Production Order","Quantity","Source No.",$D897,"Equipment Code",$L897,"due date",I$8)/-12</t>
  </si>
  <si>
    <t>=NL("sum","Production Order","Quantity","Source No.",$D897,"Equipment Code",$L897,"due date",J$8)/$J$7</t>
  </si>
  <si>
    <t>=AVERAGE(I897:J897)</t>
  </si>
  <si>
    <t>=IF(K898=0,"hide","")</t>
  </si>
  <si>
    <t>=D897</t>
  </si>
  <si>
    <t>=NL("sum","Production Order","Quantity","Source No.",$D898,"Equipment Code",$L898,"due date",F$8)/-12</t>
  </si>
  <si>
    <t>=NL("sum","Production Order","Quantity","Source No.",$D898,"Equipment Code",$L898,"due date",G$8)/-12</t>
  </si>
  <si>
    <t>=NL("sum","Production Order","Quantity","Source No.",$D898,"Equipment Code",$L898,"due date",H$8)/-12</t>
  </si>
  <si>
    <t>=NL("sum","Production Order","Quantity","Source No.",$D898,"Equipment Code",$L898,"due date",I$8)/-12</t>
  </si>
  <si>
    <t>=NL("sum","Production Order","Quantity","Source No.",$D898,"Equipment Code",$L898,"due date",J$8)/$J$7</t>
  </si>
  <si>
    <t>=AVERAGE(I898:J898)</t>
  </si>
  <si>
    <t>=IF(K899=0,"hide","")</t>
  </si>
  <si>
    <t>=D898</t>
  </si>
  <si>
    <t>=NL("sum","Production Order","Quantity","Source No.",$D899,"Equipment Code",$L899,"due date",F$8)/-12</t>
  </si>
  <si>
    <t>=NL("sum","Production Order","Quantity","Source No.",$D899,"Equipment Code",$L899,"due date",G$8)/-12</t>
  </si>
  <si>
    <t>=NL("sum","Production Order","Quantity","Source No.",$D899,"Equipment Code",$L899,"due date",H$8)/-12</t>
  </si>
  <si>
    <t>=NL("sum","Production Order","Quantity","Source No.",$D899,"Equipment Code",$L899,"due date",I$8)/-12</t>
  </si>
  <si>
    <t>=NL("sum","Production Order","Quantity","Source No.",$D899,"Equipment Code",$L899,"due date",J$8)/$J$7</t>
  </si>
  <si>
    <t>=AVERAGE(I899:J899)</t>
  </si>
  <si>
    <t>=B896</t>
  </si>
  <si>
    <t>=B900</t>
  </si>
  <si>
    <t>=SUM(F896:F900)</t>
  </si>
  <si>
    <t>=SUM(G896:G900)</t>
  </si>
  <si>
    <t>=SUM(H896:H900)</t>
  </si>
  <si>
    <t>=SUM(I896:I900)</t>
  </si>
  <si>
    <t>=SUM(J896:J900)</t>
  </si>
  <si>
    <t>=IF(K902=0,"hide","")</t>
  </si>
  <si>
    <t>=NL("rows","Production BOM Version","Version Code","Production BOM No.",D902,"status","certified")</t>
  </si>
  <si>
    <t>=NL("sum","Item Ledger Entry","Quantity","Item No.",$D902,"Entry Type","Sale|Consumption","posting date","01/01/19..12/31/19")/-12</t>
  </si>
  <si>
    <t>=NL("sum","Item Ledger Entry","Quantity","Item No.",$D902,"Entry Type","Sale|Consumption","posting date","01/01/20..12/31/20")/-12</t>
  </si>
  <si>
    <t>=NL("sum","Item Ledger Entry","Quantity","Item No.",$D902,"Entry Type","Sale|Consumption","posting date","01/01/21..12/31/21")/-12</t>
  </si>
  <si>
    <t>=NL("sum","Item Ledger Entry","Quantity","Item No.",$D902,"Entry Type","Sale|Consumption","posting date","01/01/22..12/31/22")/-12</t>
  </si>
  <si>
    <t>=NL("sum","Item Ledger Entry","Quantity","Item No.",$D902,"Entry Type","Sale|Consumption","posting date","01/01/23..12/31/23")/$J$7</t>
  </si>
  <si>
    <t>=AVERAGE(I902:J902)</t>
  </si>
  <si>
    <t>=NL(1,"item",L$9,"no.",D902)</t>
  </si>
  <si>
    <t>=NL(1,"item",M$9,"no.",$D902)</t>
  </si>
  <si>
    <t>=NL(1,"item","Units Per Parcel","no.",$D902)</t>
  </si>
  <si>
    <t>=NL(1,"Prod. BOM Equipment","Fixed Prod. Time (Hours)","Production BOM No.",$D902,"version code",$E902,"Resource No.",O$9)</t>
  </si>
  <si>
    <t>=1/O902</t>
  </si>
  <si>
    <t>=IF(NL(1,"Prod. BOM Equipment","Variable Prod. Time (Hours)","Production BOM No.",$D902,"version code",$E902,"Resource No.",$O$9)="",1,NL(1,"Prod. BOM Equipment","Variable Prod. Time (Hours)","Production BOM No.",$D902,"version code",$E902,"Resource No.",$O$9))</t>
  </si>
  <si>
    <t>=1/Q902</t>
  </si>
  <si>
    <t>=R902*N902</t>
  </si>
  <si>
    <t>=IF(K903=0,"hide","")</t>
  </si>
  <si>
    <t>=D902</t>
  </si>
  <si>
    <t>=NL("sum","Production Order","Quantity","Source No.",$D903,"Equipment Code",$L903,"due date",F$8)/-12</t>
  </si>
  <si>
    <t>=NL("sum","Production Order","Quantity","Source No.",$D903,"Equipment Code",$L903,"due date",G$8)/-12</t>
  </si>
  <si>
    <t>=NL("sum","Production Order","Quantity","Source No.",$D903,"Equipment Code",$L903,"due date",H$8)/-12</t>
  </si>
  <si>
    <t>=NL("sum","Production Order","Quantity","Source No.",$D903,"Equipment Code",$L903,"due date",I$8)/-12</t>
  </si>
  <si>
    <t>=NL("sum","Production Order","Quantity","Source No.",$D903,"Equipment Code",$L903,"due date",J$8)/$J$7</t>
  </si>
  <si>
    <t>=AVERAGE(I903:J903)</t>
  </si>
  <si>
    <t>=IF(K904=0,"hide","")</t>
  </si>
  <si>
    <t>=D903</t>
  </si>
  <si>
    <t>=NL("sum","Production Order","Quantity","Source No.",$D904,"Equipment Code",$L904,"due date",F$8)/-12</t>
  </si>
  <si>
    <t>=NL("sum","Production Order","Quantity","Source No.",$D904,"Equipment Code",$L904,"due date",G$8)/-12</t>
  </si>
  <si>
    <t>=NL("sum","Production Order","Quantity","Source No.",$D904,"Equipment Code",$L904,"due date",H$8)/-12</t>
  </si>
  <si>
    <t>=NL("sum","Production Order","Quantity","Source No.",$D904,"Equipment Code",$L904,"due date",I$8)/-12</t>
  </si>
  <si>
    <t>=NL("sum","Production Order","Quantity","Source No.",$D904,"Equipment Code",$L904,"due date",J$8)/$J$7</t>
  </si>
  <si>
    <t>=AVERAGE(I904:J904)</t>
  </si>
  <si>
    <t>=IF(K905=0,"hide","")</t>
  </si>
  <si>
    <t>=D904</t>
  </si>
  <si>
    <t>=NL("sum","Production Order","Quantity","Source No.",$D905,"Equipment Code",$L905,"due date",F$8)/-12</t>
  </si>
  <si>
    <t>=NL("sum","Production Order","Quantity","Source No.",$D905,"Equipment Code",$L905,"due date",G$8)/-12</t>
  </si>
  <si>
    <t>=NL("sum","Production Order","Quantity","Source No.",$D905,"Equipment Code",$L905,"due date",H$8)/-12</t>
  </si>
  <si>
    <t>=NL("sum","Production Order","Quantity","Source No.",$D905,"Equipment Code",$L905,"due date",I$8)/-12</t>
  </si>
  <si>
    <t>=NL("sum","Production Order","Quantity","Source No.",$D905,"Equipment Code",$L905,"due date",J$8)/$J$7</t>
  </si>
  <si>
    <t>=AVERAGE(I905:J905)</t>
  </si>
  <si>
    <t>=IF(K906=0,"hide","")</t>
  </si>
  <si>
    <t>=D905</t>
  </si>
  <si>
    <t>=NL("sum","Production Order","Quantity","Source No.",$D906,"Equipment Code",$L906,"due date",F$8)/-12</t>
  </si>
  <si>
    <t>=NL("sum","Production Order","Quantity","Source No.",$D906,"Equipment Code",$L906,"due date",G$8)/-12</t>
  </si>
  <si>
    <t>=NL("sum","Production Order","Quantity","Source No.",$D906,"Equipment Code",$L906,"due date",H$8)/-12</t>
  </si>
  <si>
    <t>=NL("sum","Production Order","Quantity","Source No.",$D906,"Equipment Code",$L906,"due date",I$8)/-12</t>
  </si>
  <si>
    <t>=NL("sum","Production Order","Quantity","Source No.",$D906,"Equipment Code",$L906,"due date",J$8)/$J$7</t>
  </si>
  <si>
    <t>=AVERAGE(I906:J906)</t>
  </si>
  <si>
    <t>=B903</t>
  </si>
  <si>
    <t>=B907</t>
  </si>
  <si>
    <t>=SUM(F903:F907)</t>
  </si>
  <si>
    <t>=SUM(G903:G907)</t>
  </si>
  <si>
    <t>=SUM(H903:H907)</t>
  </si>
  <si>
    <t>=SUM(I903:I907)</t>
  </si>
  <si>
    <t>=SUM(J903:J907)</t>
  </si>
  <si>
    <t>=IF(K909=0,"hide","")</t>
  </si>
  <si>
    <t>=NL("rows","Production BOM Version","Version Code","Production BOM No.",D909,"status","certified")</t>
  </si>
  <si>
    <t>=NL("sum","Item Ledger Entry","Quantity","Item No.",$D909,"Entry Type","Sale|Consumption","posting date","01/01/19..12/31/19")/-12</t>
  </si>
  <si>
    <t>=NL("sum","Item Ledger Entry","Quantity","Item No.",$D909,"Entry Type","Sale|Consumption","posting date","01/01/20..12/31/20")/-12</t>
  </si>
  <si>
    <t>=NL("sum","Item Ledger Entry","Quantity","Item No.",$D909,"Entry Type","Sale|Consumption","posting date","01/01/21..12/31/21")/-12</t>
  </si>
  <si>
    <t>=NL("sum","Item Ledger Entry","Quantity","Item No.",$D909,"Entry Type","Sale|Consumption","posting date","01/01/22..12/31/22")/-12</t>
  </si>
  <si>
    <t>=NL("sum","Item Ledger Entry","Quantity","Item No.",$D909,"Entry Type","Sale|Consumption","posting date","01/01/23..12/31/23")/$J$7</t>
  </si>
  <si>
    <t>=AVERAGE(I909:J909)</t>
  </si>
  <si>
    <t>=NL(1,"item",L$9,"no.",D909)</t>
  </si>
  <si>
    <t>=NL(1,"item",M$9,"no.",$D909)</t>
  </si>
  <si>
    <t>=NL(1,"item","Units Per Parcel","no.",$D909)</t>
  </si>
  <si>
    <t>=NL(1,"Prod. BOM Equipment","Fixed Prod. Time (Hours)","Production BOM No.",$D909,"version code",$E909,"Resource No.",O$9)</t>
  </si>
  <si>
    <t>=1/O909</t>
  </si>
  <si>
    <t>=IF(NL(1,"Prod. BOM Equipment","Variable Prod. Time (Hours)","Production BOM No.",$D909,"version code",$E909,"Resource No.",$O$9)="",1,NL(1,"Prod. BOM Equipment","Variable Prod. Time (Hours)","Production BOM No.",$D909,"version code",$E909,"Resource No.",$O$9))</t>
  </si>
  <si>
    <t>=1/Q909</t>
  </si>
  <si>
    <t>=R909*N909</t>
  </si>
  <si>
    <t>=IF(K910=0,"hide","")</t>
  </si>
  <si>
    <t>=D909</t>
  </si>
  <si>
    <t>=NL("sum","Production Order","Quantity","Source No.",$D910,"Equipment Code",$L910,"due date",F$8)/-12</t>
  </si>
  <si>
    <t>=NL("sum","Production Order","Quantity","Source No.",$D910,"Equipment Code",$L910,"due date",G$8)/-12</t>
  </si>
  <si>
    <t>=NL("sum","Production Order","Quantity","Source No.",$D910,"Equipment Code",$L910,"due date",H$8)/-12</t>
  </si>
  <si>
    <t>=NL("sum","Production Order","Quantity","Source No.",$D910,"Equipment Code",$L910,"due date",I$8)/-12</t>
  </si>
  <si>
    <t>=NL("sum","Production Order","Quantity","Source No.",$D910,"Equipment Code",$L910,"due date",J$8)/$J$7</t>
  </si>
  <si>
    <t>=AVERAGE(I910:J910)</t>
  </si>
  <si>
    <t>=IF(K911=0,"hide","")</t>
  </si>
  <si>
    <t>=D910</t>
  </si>
  <si>
    <t>=NL("sum","Production Order","Quantity","Source No.",$D911,"Equipment Code",$L911,"due date",F$8)/-12</t>
  </si>
  <si>
    <t>=NL("sum","Production Order","Quantity","Source No.",$D911,"Equipment Code",$L911,"due date",G$8)/-12</t>
  </si>
  <si>
    <t>=NL("sum","Production Order","Quantity","Source No.",$D911,"Equipment Code",$L911,"due date",H$8)/-12</t>
  </si>
  <si>
    <t>=NL("sum","Production Order","Quantity","Source No.",$D911,"Equipment Code",$L911,"due date",I$8)/-12</t>
  </si>
  <si>
    <t>=NL("sum","Production Order","Quantity","Source No.",$D911,"Equipment Code",$L911,"due date",J$8)/$J$7</t>
  </si>
  <si>
    <t>=AVERAGE(I911:J911)</t>
  </si>
  <si>
    <t>=IF(K912=0,"hide","")</t>
  </si>
  <si>
    <t>=D911</t>
  </si>
  <si>
    <t>=NL("sum","Production Order","Quantity","Source No.",$D912,"Equipment Code",$L912,"due date",F$8)/-12</t>
  </si>
  <si>
    <t>=NL("sum","Production Order","Quantity","Source No.",$D912,"Equipment Code",$L912,"due date",G$8)/-12</t>
  </si>
  <si>
    <t>=NL("sum","Production Order","Quantity","Source No.",$D912,"Equipment Code",$L912,"due date",H$8)/-12</t>
  </si>
  <si>
    <t>=NL("sum","Production Order","Quantity","Source No.",$D912,"Equipment Code",$L912,"due date",I$8)/-12</t>
  </si>
  <si>
    <t>=NL("sum","Production Order","Quantity","Source No.",$D912,"Equipment Code",$L912,"due date",J$8)/$J$7</t>
  </si>
  <si>
    <t>=AVERAGE(I912:J912)</t>
  </si>
  <si>
    <t>=IF(K913=0,"hide","")</t>
  </si>
  <si>
    <t>=D912</t>
  </si>
  <si>
    <t>=NL("sum","Production Order","Quantity","Source No.",$D913,"Equipment Code",$L913,"due date",F$8)/-12</t>
  </si>
  <si>
    <t>=NL("sum","Production Order","Quantity","Source No.",$D913,"Equipment Code",$L913,"due date",G$8)/-12</t>
  </si>
  <si>
    <t>=NL("sum","Production Order","Quantity","Source No.",$D913,"Equipment Code",$L913,"due date",H$8)/-12</t>
  </si>
  <si>
    <t>=NL("sum","Production Order","Quantity","Source No.",$D913,"Equipment Code",$L913,"due date",I$8)/-12</t>
  </si>
  <si>
    <t>=NL("sum","Production Order","Quantity","Source No.",$D913,"Equipment Code",$L913,"due date",J$8)/$J$7</t>
  </si>
  <si>
    <t>=AVERAGE(I913:J913)</t>
  </si>
  <si>
    <t>=B910</t>
  </si>
  <si>
    <t>=B914</t>
  </si>
  <si>
    <t>=SUM(F910:F914)</t>
  </si>
  <si>
    <t>=SUM(G910:G914)</t>
  </si>
  <si>
    <t>=SUM(H910:H914)</t>
  </si>
  <si>
    <t>=SUM(I910:I914)</t>
  </si>
  <si>
    <t>=SUM(J910:J914)</t>
  </si>
  <si>
    <t>=IF(K916=0,"hide","")</t>
  </si>
  <si>
    <t>=NL("rows","Production BOM Version","Version Code","Production BOM No.",D916,"status","certified")</t>
  </si>
  <si>
    <t>=NL("sum","Item Ledger Entry","Quantity","Item No.",$D916,"Entry Type","Sale|Consumption","posting date","01/01/19..12/31/19")/-12</t>
  </si>
  <si>
    <t>=NL("sum","Item Ledger Entry","Quantity","Item No.",$D916,"Entry Type","Sale|Consumption","posting date","01/01/20..12/31/20")/-12</t>
  </si>
  <si>
    <t>=NL("sum","Item Ledger Entry","Quantity","Item No.",$D916,"Entry Type","Sale|Consumption","posting date","01/01/21..12/31/21")/-12</t>
  </si>
  <si>
    <t>=NL("sum","Item Ledger Entry","Quantity","Item No.",$D916,"Entry Type","Sale|Consumption","posting date","01/01/22..12/31/22")/-12</t>
  </si>
  <si>
    <t>=NL("sum","Item Ledger Entry","Quantity","Item No.",$D916,"Entry Type","Sale|Consumption","posting date","01/01/23..12/31/23")/$J$7</t>
  </si>
  <si>
    <t>=AVERAGE(I916:J916)</t>
  </si>
  <si>
    <t>=NL(1,"item",L$9,"no.",D916)</t>
  </si>
  <si>
    <t>=NL(1,"item",M$9,"no.",$D916)</t>
  </si>
  <si>
    <t>=NL(1,"item","Units Per Parcel","no.",$D916)</t>
  </si>
  <si>
    <t>=NL(1,"Prod. BOM Equipment","Fixed Prod. Time (Hours)","Production BOM No.",$D916,"version code",$E916,"Resource No.",O$9)</t>
  </si>
  <si>
    <t>=1/O916</t>
  </si>
  <si>
    <t>=IF(NL(1,"Prod. BOM Equipment","Variable Prod. Time (Hours)","Production BOM No.",$D916,"version code",$E916,"Resource No.",$O$9)="",1,NL(1,"Prod. BOM Equipment","Variable Prod. Time (Hours)","Production BOM No.",$D916,"version code",$E916,"Resource No.",$O$9))</t>
  </si>
  <si>
    <t>=1/Q916</t>
  </si>
  <si>
    <t>=R916*N916</t>
  </si>
  <si>
    <t>=IF(K917=0,"hide","")</t>
  </si>
  <si>
    <t>=NL("sum","Item Ledger Entry","Quantity","Item No.",$D917,"Entry Type","Sale|Consumption","posting date","01/01/19..12/31/19")/-12</t>
  </si>
  <si>
    <t>=NL("sum","Item Ledger Entry","Quantity","Item No.",$D917,"Entry Type","Sale|Consumption","posting date","01/01/20..12/31/20")/-12</t>
  </si>
  <si>
    <t>=NL("sum","Item Ledger Entry","Quantity","Item No.",$D917,"Entry Type","Sale|Consumption","posting date","01/01/21..12/31/21")/-12</t>
  </si>
  <si>
    <t>=NL("sum","Item Ledger Entry","Quantity","Item No.",$D917,"Entry Type","Sale|Consumption","posting date","01/01/22..12/31/22")/-12</t>
  </si>
  <si>
    <t>=NL("sum","Item Ledger Entry","Quantity","Item No.",$D917,"Entry Type","Sale|Consumption","posting date","01/01/23..12/31/23")/$J$7</t>
  </si>
  <si>
    <t>=AVERAGE(I917:J917)</t>
  </si>
  <si>
    <t>=NL(1,"item",L$9,"no.",D917)</t>
  </si>
  <si>
    <t>=NL(1,"item",M$9,"no.",$D917)</t>
  </si>
  <si>
    <t>=NL(1,"item","Units Per Parcel","no.",$D917)</t>
  </si>
  <si>
    <t>=NL(1,"Prod. BOM Equipment","Fixed Prod. Time (Hours)","Production BOM No.",$D917,"version code",$E917,"Resource No.",O$9)</t>
  </si>
  <si>
    <t>=1/O917</t>
  </si>
  <si>
    <t>=IF(NL(1,"Prod. BOM Equipment","Variable Prod. Time (Hours)","Production BOM No.",$D917,"version code",$E917,"Resource No.",$O$9)="",1,NL(1,"Prod. BOM Equipment","Variable Prod. Time (Hours)","Production BOM No.",$D917,"version code",$E917,"Resource No.",$O$9))</t>
  </si>
  <si>
    <t>=1/Q917</t>
  </si>
  <si>
    <t>=R917*N917</t>
  </si>
  <si>
    <t>=IF(K918=0,"hide","")</t>
  </si>
  <si>
    <t>=D916</t>
  </si>
  <si>
    <t>=NL("sum","Production Order","Quantity","Source No.",$D918,"Equipment Code",$L918,"due date",F$8)/-12</t>
  </si>
  <si>
    <t>=NL("sum","Production Order","Quantity","Source No.",$D918,"Equipment Code",$L918,"due date",G$8)/-12</t>
  </si>
  <si>
    <t>=NL("sum","Production Order","Quantity","Source No.",$D918,"Equipment Code",$L918,"due date",H$8)/-12</t>
  </si>
  <si>
    <t>=NL("sum","Production Order","Quantity","Source No.",$D918,"Equipment Code",$L918,"due date",I$8)/-12</t>
  </si>
  <si>
    <t>=NL("sum","Production Order","Quantity","Source No.",$D918,"Equipment Code",$L918,"due date",J$8)/$J$7</t>
  </si>
  <si>
    <t>=AVERAGE(I918:J918)</t>
  </si>
  <si>
    <t>=IF(K919=0,"hide","")</t>
  </si>
  <si>
    <t>=D917</t>
  </si>
  <si>
    <t>=NL("sum","Production Order","Quantity","Source No.",$D919,"Equipment Code",$L919,"due date",F$8)/-12</t>
  </si>
  <si>
    <t>=NL("sum","Production Order","Quantity","Source No.",$D919,"Equipment Code",$L919,"due date",G$8)/-12</t>
  </si>
  <si>
    <t>=NL("sum","Production Order","Quantity","Source No.",$D919,"Equipment Code",$L919,"due date",H$8)/-12</t>
  </si>
  <si>
    <t>=NL("sum","Production Order","Quantity","Source No.",$D919,"Equipment Code",$L919,"due date",I$8)/-12</t>
  </si>
  <si>
    <t>=NL("sum","Production Order","Quantity","Source No.",$D919,"Equipment Code",$L919,"due date",J$8)/$J$7</t>
  </si>
  <si>
    <t>=AVERAGE(I919:J919)</t>
  </si>
  <si>
    <t>=IF(K920=0,"hide","")</t>
  </si>
  <si>
    <t>=D918</t>
  </si>
  <si>
    <t>=NL("sum","Production Order","Quantity","Source No.",$D920,"Equipment Code",$L920,"due date",F$8)/-12</t>
  </si>
  <si>
    <t>=NL("sum","Production Order","Quantity","Source No.",$D920,"Equipment Code",$L920,"due date",G$8)/-12</t>
  </si>
  <si>
    <t>=NL("sum","Production Order","Quantity","Source No.",$D920,"Equipment Code",$L920,"due date",H$8)/-12</t>
  </si>
  <si>
    <t>=NL("sum","Production Order","Quantity","Source No.",$D920,"Equipment Code",$L920,"due date",I$8)/-12</t>
  </si>
  <si>
    <t>=NL("sum","Production Order","Quantity","Source No.",$D920,"Equipment Code",$L920,"due date",J$8)/$J$7</t>
  </si>
  <si>
    <t>=AVERAGE(I920:J920)</t>
  </si>
  <si>
    <t>=IF(K921=0,"hide","")</t>
  </si>
  <si>
    <t>=D919</t>
  </si>
  <si>
    <t>=NL("sum","Production Order","Quantity","Source No.",$D921,"Equipment Code",$L921,"due date",F$8)/-12</t>
  </si>
  <si>
    <t>=NL("sum","Production Order","Quantity","Source No.",$D921,"Equipment Code",$L921,"due date",G$8)/-12</t>
  </si>
  <si>
    <t>=NL("sum","Production Order","Quantity","Source No.",$D921,"Equipment Code",$L921,"due date",H$8)/-12</t>
  </si>
  <si>
    <t>=NL("sum","Production Order","Quantity","Source No.",$D921,"Equipment Code",$L921,"due date",I$8)/-12</t>
  </si>
  <si>
    <t>=NL("sum","Production Order","Quantity","Source No.",$D921,"Equipment Code",$L921,"due date",J$8)/$J$7</t>
  </si>
  <si>
    <t>=AVERAGE(I921:J921)</t>
  </si>
  <si>
    <t>=B918</t>
  </si>
  <si>
    <t>=B922</t>
  </si>
  <si>
    <t>=SUM(F918:F922)</t>
  </si>
  <si>
    <t>=SUM(G918:G922)</t>
  </si>
  <si>
    <t>=SUM(H918:H922)</t>
  </si>
  <si>
    <t>=SUM(I918:I922)</t>
  </si>
  <si>
    <t>=SUM(J918:J922)</t>
  </si>
  <si>
    <t>=IF(K924=0,"hide","")</t>
  </si>
  <si>
    <t>=NL("rows","Production BOM Version","Version Code","Production BOM No.",D924,"status","certified")</t>
  </si>
  <si>
    <t>=NL("sum","Item Ledger Entry","Quantity","Item No.",$D924,"Entry Type","Sale|Consumption","posting date","01/01/19..12/31/19")/-12</t>
  </si>
  <si>
    <t>=NL("sum","Item Ledger Entry","Quantity","Item No.",$D924,"Entry Type","Sale|Consumption","posting date","01/01/20..12/31/20")/-12</t>
  </si>
  <si>
    <t>=NL("sum","Item Ledger Entry","Quantity","Item No.",$D924,"Entry Type","Sale|Consumption","posting date","01/01/21..12/31/21")/-12</t>
  </si>
  <si>
    <t>=NL("sum","Item Ledger Entry","Quantity","Item No.",$D924,"Entry Type","Sale|Consumption","posting date","01/01/22..12/31/22")/-12</t>
  </si>
  <si>
    <t>=NL("sum","Item Ledger Entry","Quantity","Item No.",$D924,"Entry Type","Sale|Consumption","posting date","01/01/23..12/31/23")/$J$7</t>
  </si>
  <si>
    <t>=AVERAGE(I924:J924)</t>
  </si>
  <si>
    <t>=NL(1,"item",L$9,"no.",D924)</t>
  </si>
  <si>
    <t>=NL(1,"item",M$9,"no.",$D924)</t>
  </si>
  <si>
    <t>=NL(1,"item","Units Per Parcel","no.",$D924)</t>
  </si>
  <si>
    <t>=NL(1,"Prod. BOM Equipment","Fixed Prod. Time (Hours)","Production BOM No.",$D924,"version code",$E924,"Resource No.",O$9)</t>
  </si>
  <si>
    <t>=1/O924</t>
  </si>
  <si>
    <t>=IF(NL(1,"Prod. BOM Equipment","Variable Prod. Time (Hours)","Production BOM No.",$D924,"version code",$E924,"Resource No.",$O$9)="",1,NL(1,"Prod. BOM Equipment","Variable Prod. Time (Hours)","Production BOM No.",$D924,"version code",$E924,"Resource No.",$O$9))</t>
  </si>
  <si>
    <t>=1/Q924</t>
  </si>
  <si>
    <t>=R924*N924</t>
  </si>
  <si>
    <t>=IF(K925=0,"hide","")</t>
  </si>
  <si>
    <t>=D924</t>
  </si>
  <si>
    <t>=NL("sum","Production Order","Quantity","Source No.",$D925,"Equipment Code",$L925,"due date",F$8)/-12</t>
  </si>
  <si>
    <t>=NL("sum","Production Order","Quantity","Source No.",$D925,"Equipment Code",$L925,"due date",G$8)/-12</t>
  </si>
  <si>
    <t>=NL("sum","Production Order","Quantity","Source No.",$D925,"Equipment Code",$L925,"due date",H$8)/-12</t>
  </si>
  <si>
    <t>=NL("sum","Production Order","Quantity","Source No.",$D925,"Equipment Code",$L925,"due date",I$8)/-12</t>
  </si>
  <si>
    <t>=NL("sum","Production Order","Quantity","Source No.",$D925,"Equipment Code",$L925,"due date",J$8)/$J$7</t>
  </si>
  <si>
    <t>=AVERAGE(I925:J925)</t>
  </si>
  <si>
    <t>=IF(K926=0,"hide","")</t>
  </si>
  <si>
    <t>=D925</t>
  </si>
  <si>
    <t>=NL("sum","Production Order","Quantity","Source No.",$D926,"Equipment Code",$L926,"due date",F$8)/-12</t>
  </si>
  <si>
    <t>=NL("sum","Production Order","Quantity","Source No.",$D926,"Equipment Code",$L926,"due date",G$8)/-12</t>
  </si>
  <si>
    <t>=NL("sum","Production Order","Quantity","Source No.",$D926,"Equipment Code",$L926,"due date",H$8)/-12</t>
  </si>
  <si>
    <t>=NL("sum","Production Order","Quantity","Source No.",$D926,"Equipment Code",$L926,"due date",I$8)/-12</t>
  </si>
  <si>
    <t>=NL("sum","Production Order","Quantity","Source No.",$D926,"Equipment Code",$L926,"due date",J$8)/$J$7</t>
  </si>
  <si>
    <t>=AVERAGE(I926:J926)</t>
  </si>
  <si>
    <t>=IF(K927=0,"hide","")</t>
  </si>
  <si>
    <t>=D926</t>
  </si>
  <si>
    <t>=NL("sum","Production Order","Quantity","Source No.",$D927,"Equipment Code",$L927,"due date",F$8)/-12</t>
  </si>
  <si>
    <t>=NL("sum","Production Order","Quantity","Source No.",$D927,"Equipment Code",$L927,"due date",G$8)/-12</t>
  </si>
  <si>
    <t>=NL("sum","Production Order","Quantity","Source No.",$D927,"Equipment Code",$L927,"due date",H$8)/-12</t>
  </si>
  <si>
    <t>=NL("sum","Production Order","Quantity","Source No.",$D927,"Equipment Code",$L927,"due date",I$8)/-12</t>
  </si>
  <si>
    <t>=NL("sum","Production Order","Quantity","Source No.",$D927,"Equipment Code",$L927,"due date",J$8)/$J$7</t>
  </si>
  <si>
    <t>=AVERAGE(I927:J927)</t>
  </si>
  <si>
    <t>=IF(K928=0,"hide","")</t>
  </si>
  <si>
    <t>=D927</t>
  </si>
  <si>
    <t>=NL("sum","Production Order","Quantity","Source No.",$D928,"Equipment Code",$L928,"due date",F$8)/-12</t>
  </si>
  <si>
    <t>=NL("sum","Production Order","Quantity","Source No.",$D928,"Equipment Code",$L928,"due date",G$8)/-12</t>
  </si>
  <si>
    <t>=NL("sum","Production Order","Quantity","Source No.",$D928,"Equipment Code",$L928,"due date",H$8)/-12</t>
  </si>
  <si>
    <t>=NL("sum","Production Order","Quantity","Source No.",$D928,"Equipment Code",$L928,"due date",I$8)/-12</t>
  </si>
  <si>
    <t>=NL("sum","Production Order","Quantity","Source No.",$D928,"Equipment Code",$L928,"due date",J$8)/$J$7</t>
  </si>
  <si>
    <t>=AVERAGE(I928:J928)</t>
  </si>
  <si>
    <t>=B925</t>
  </si>
  <si>
    <t>=B929</t>
  </si>
  <si>
    <t>=SUM(F925:F929)</t>
  </si>
  <si>
    <t>=SUM(G925:G929)</t>
  </si>
  <si>
    <t>=SUM(H925:H929)</t>
  </si>
  <si>
    <t>=SUM(I925:I929)</t>
  </si>
  <si>
    <t>=SUM(J925:J929)</t>
  </si>
  <si>
    <t>=IF(K931=0,"hide","")</t>
  </si>
  <si>
    <t>="07861"</t>
  </si>
  <si>
    <t>=NL("rows","Production BOM Version","Version Code","Production BOM No.",D931,"status","certified")</t>
  </si>
  <si>
    <t>=NL("sum","Item Ledger Entry","Quantity","Item No.",$D931,"Entry Type","Sale|Consumption","posting date","01/01/19..12/31/19")/-12</t>
  </si>
  <si>
    <t>=NL("sum","Item Ledger Entry","Quantity","Item No.",$D931,"Entry Type","Sale|Consumption","posting date","01/01/20..12/31/20")/-12</t>
  </si>
  <si>
    <t>=NL("sum","Item Ledger Entry","Quantity","Item No.",$D931,"Entry Type","Sale|Consumption","posting date","01/01/21..12/31/21")/-12</t>
  </si>
  <si>
    <t>=NL("sum","Item Ledger Entry","Quantity","Item No.",$D931,"Entry Type","Sale|Consumption","posting date","01/01/22..12/31/22")/-12</t>
  </si>
  <si>
    <t>=NL("sum","Item Ledger Entry","Quantity","Item No.",$D931,"Entry Type","Sale|Consumption","posting date","01/01/23..12/31/23")/$J$7</t>
  </si>
  <si>
    <t>=AVERAGE(I931:J931)</t>
  </si>
  <si>
    <t>=NL(1,"item",L$9,"no.",D931)</t>
  </si>
  <si>
    <t>=NL(1,"item",M$9,"no.",$D931)</t>
  </si>
  <si>
    <t>=NL(1,"item","Units Per Parcel","no.",$D931)</t>
  </si>
  <si>
    <t>=NL(1,"Prod. BOM Equipment","Fixed Prod. Time (Hours)","Production BOM No.",$D931,"version code",$E931,"Resource No.",O$9)</t>
  </si>
  <si>
    <t>=1/O931</t>
  </si>
  <si>
    <t>=IF(NL(1,"Prod. BOM Equipment","Variable Prod. Time (Hours)","Production BOM No.",$D931,"version code",$E931,"Resource No.",$O$9)="",1,NL(1,"Prod. BOM Equipment","Variable Prod. Time (Hours)","Production BOM No.",$D931,"version code",$E931,"Resource No.",$O$9))</t>
  </si>
  <si>
    <t>=1/Q931</t>
  </si>
  <si>
    <t>=R931*N931</t>
  </si>
  <si>
    <t>=IF(K932=0,"hide","")</t>
  </si>
  <si>
    <t>=D931</t>
  </si>
  <si>
    <t>=NL("sum","Production Order","Quantity","Source No.",$D932,"Equipment Code",$L932,"due date",F$8)/-12</t>
  </si>
  <si>
    <t>=NL("sum","Production Order","Quantity","Source No.",$D932,"Equipment Code",$L932,"due date",G$8)/-12</t>
  </si>
  <si>
    <t>=NL("sum","Production Order","Quantity","Source No.",$D932,"Equipment Code",$L932,"due date",H$8)/-12</t>
  </si>
  <si>
    <t>=NL("sum","Production Order","Quantity","Source No.",$D932,"Equipment Code",$L932,"due date",I$8)/-12</t>
  </si>
  <si>
    <t>=NL("sum","Production Order","Quantity","Source No.",$D932,"Equipment Code",$L932,"due date",J$8)/$J$7</t>
  </si>
  <si>
    <t>=AVERAGE(I932:J932)</t>
  </si>
  <si>
    <t>=IF(K933=0,"hide","")</t>
  </si>
  <si>
    <t>=D932</t>
  </si>
  <si>
    <t>=NL("sum","Production Order","Quantity","Source No.",$D933,"Equipment Code",$L933,"due date",F$8)/-12</t>
  </si>
  <si>
    <t>=NL("sum","Production Order","Quantity","Source No.",$D933,"Equipment Code",$L933,"due date",G$8)/-12</t>
  </si>
  <si>
    <t>=NL("sum","Production Order","Quantity","Source No.",$D933,"Equipment Code",$L933,"due date",H$8)/-12</t>
  </si>
  <si>
    <t>=NL("sum","Production Order","Quantity","Source No.",$D933,"Equipment Code",$L933,"due date",I$8)/-12</t>
  </si>
  <si>
    <t>=NL("sum","Production Order","Quantity","Source No.",$D933,"Equipment Code",$L933,"due date",J$8)/$J$7</t>
  </si>
  <si>
    <t>=AVERAGE(I933:J933)</t>
  </si>
  <si>
    <t>=IF(K934=0,"hide","")</t>
  </si>
  <si>
    <t>=D933</t>
  </si>
  <si>
    <t>=NL("sum","Production Order","Quantity","Source No.",$D934,"Equipment Code",$L934,"due date",F$8)/-12</t>
  </si>
  <si>
    <t>=NL("sum","Production Order","Quantity","Source No.",$D934,"Equipment Code",$L934,"due date",G$8)/-12</t>
  </si>
  <si>
    <t>=NL("sum","Production Order","Quantity","Source No.",$D934,"Equipment Code",$L934,"due date",H$8)/-12</t>
  </si>
  <si>
    <t>=NL("sum","Production Order","Quantity","Source No.",$D934,"Equipment Code",$L934,"due date",I$8)/-12</t>
  </si>
  <si>
    <t>=NL("sum","Production Order","Quantity","Source No.",$D934,"Equipment Code",$L934,"due date",J$8)/$J$7</t>
  </si>
  <si>
    <t>=AVERAGE(I934:J934)</t>
  </si>
  <si>
    <t>=IF(K935=0,"hide","")</t>
  </si>
  <si>
    <t>=D934</t>
  </si>
  <si>
    <t>=NL("sum","Production Order","Quantity","Source No.",$D935,"Equipment Code",$L935,"due date",F$8)/-12</t>
  </si>
  <si>
    <t>=NL("sum","Production Order","Quantity","Source No.",$D935,"Equipment Code",$L935,"due date",G$8)/-12</t>
  </si>
  <si>
    <t>=NL("sum","Production Order","Quantity","Source No.",$D935,"Equipment Code",$L935,"due date",H$8)/-12</t>
  </si>
  <si>
    <t>=NL("sum","Production Order","Quantity","Source No.",$D935,"Equipment Code",$L935,"due date",I$8)/-12</t>
  </si>
  <si>
    <t>=NL("sum","Production Order","Quantity","Source No.",$D935,"Equipment Code",$L935,"due date",J$8)/$J$7</t>
  </si>
  <si>
    <t>=AVERAGE(I935:J935)</t>
  </si>
  <si>
    <t>=B932</t>
  </si>
  <si>
    <t>=B936</t>
  </si>
  <si>
    <t>=SUM(F932:F936)</t>
  </si>
  <si>
    <t>=SUM(G932:G936)</t>
  </si>
  <si>
    <t>=SUM(H932:H936)</t>
  </si>
  <si>
    <t>=SUM(I932:I936)</t>
  </si>
  <si>
    <t>=SUM(J932:J936)</t>
  </si>
  <si>
    <t>=IF(K938=0,"hide","")</t>
  </si>
  <si>
    <t>=NL("rows","Production BOM Version","Version Code","Production BOM No.",D938,"status","certified")</t>
  </si>
  <si>
    <t>=NL("sum","Item Ledger Entry","Quantity","Item No.",$D938,"Entry Type","Sale|Consumption","posting date","01/01/19..12/31/19")/-12</t>
  </si>
  <si>
    <t>=NL("sum","Item Ledger Entry","Quantity","Item No.",$D938,"Entry Type","Sale|Consumption","posting date","01/01/20..12/31/20")/-12</t>
  </si>
  <si>
    <t>=NL("sum","Item Ledger Entry","Quantity","Item No.",$D938,"Entry Type","Sale|Consumption","posting date","01/01/21..12/31/21")/-12</t>
  </si>
  <si>
    <t>=NL("sum","Item Ledger Entry","Quantity","Item No.",$D938,"Entry Type","Sale|Consumption","posting date","01/01/22..12/31/22")/-12</t>
  </si>
  <si>
    <t>=NL("sum","Item Ledger Entry","Quantity","Item No.",$D938,"Entry Type","Sale|Consumption","posting date","01/01/23..12/31/23")/$J$7</t>
  </si>
  <si>
    <t>=AVERAGE(I938:J938)</t>
  </si>
  <si>
    <t>=NL(1,"item",L$9,"no.",D938)</t>
  </si>
  <si>
    <t>=NL(1,"item",M$9,"no.",$D938)</t>
  </si>
  <si>
    <t>=NL(1,"item","Units Per Parcel","no.",$D938)</t>
  </si>
  <si>
    <t>=NL(1,"Prod. BOM Equipment","Fixed Prod. Time (Hours)","Production BOM No.",$D938,"version code",$E938,"Resource No.",O$9)</t>
  </si>
  <si>
    <t>=1/O938</t>
  </si>
  <si>
    <t>=IF(NL(1,"Prod. BOM Equipment","Variable Prod. Time (Hours)","Production BOM No.",$D938,"version code",$E938,"Resource No.",$O$9)="",1,NL(1,"Prod. BOM Equipment","Variable Prod. Time (Hours)","Production BOM No.",$D938,"version code",$E938,"Resource No.",$O$9))</t>
  </si>
  <si>
    <t>=1/Q938</t>
  </si>
  <si>
    <t>=R938*N938</t>
  </si>
  <si>
    <t>=IF(K939=0,"hide","")</t>
  </si>
  <si>
    <t>=D938</t>
  </si>
  <si>
    <t>=NL("sum","Production Order","Quantity","Source No.",$D939,"Equipment Code",$L939,"due date",F$8)/-12</t>
  </si>
  <si>
    <t>=NL("sum","Production Order","Quantity","Source No.",$D939,"Equipment Code",$L939,"due date",G$8)/-12</t>
  </si>
  <si>
    <t>=NL("sum","Production Order","Quantity","Source No.",$D939,"Equipment Code",$L939,"due date",H$8)/-12</t>
  </si>
  <si>
    <t>=NL("sum","Production Order","Quantity","Source No.",$D939,"Equipment Code",$L939,"due date",I$8)/-12</t>
  </si>
  <si>
    <t>=NL("sum","Production Order","Quantity","Source No.",$D939,"Equipment Code",$L939,"due date",J$8)/$J$7</t>
  </si>
  <si>
    <t>=AVERAGE(I939:J939)</t>
  </si>
  <si>
    <t>=IF(K940=0,"hide","")</t>
  </si>
  <si>
    <t>=D939</t>
  </si>
  <si>
    <t>=NL("sum","Production Order","Quantity","Source No.",$D940,"Equipment Code",$L940,"due date",F$8)/-12</t>
  </si>
  <si>
    <t>=NL("sum","Production Order","Quantity","Source No.",$D940,"Equipment Code",$L940,"due date",G$8)/-12</t>
  </si>
  <si>
    <t>=NL("sum","Production Order","Quantity","Source No.",$D940,"Equipment Code",$L940,"due date",H$8)/-12</t>
  </si>
  <si>
    <t>=NL("sum","Production Order","Quantity","Source No.",$D940,"Equipment Code",$L940,"due date",I$8)/-12</t>
  </si>
  <si>
    <t>=NL("sum","Production Order","Quantity","Source No.",$D940,"Equipment Code",$L940,"due date",J$8)/$J$7</t>
  </si>
  <si>
    <t>=AVERAGE(I940:J940)</t>
  </si>
  <si>
    <t>=IF(K941=0,"hide","")</t>
  </si>
  <si>
    <t>=D940</t>
  </si>
  <si>
    <t>=NL("sum","Production Order","Quantity","Source No.",$D941,"Equipment Code",$L941,"due date",F$8)/-12</t>
  </si>
  <si>
    <t>=NL("sum","Production Order","Quantity","Source No.",$D941,"Equipment Code",$L941,"due date",G$8)/-12</t>
  </si>
  <si>
    <t>=NL("sum","Production Order","Quantity","Source No.",$D941,"Equipment Code",$L941,"due date",H$8)/-12</t>
  </si>
  <si>
    <t>=NL("sum","Production Order","Quantity","Source No.",$D941,"Equipment Code",$L941,"due date",I$8)/-12</t>
  </si>
  <si>
    <t>=NL("sum","Production Order","Quantity","Source No.",$D941,"Equipment Code",$L941,"due date",J$8)/$J$7</t>
  </si>
  <si>
    <t>=AVERAGE(I941:J941)</t>
  </si>
  <si>
    <t>=IF(K942=0,"hide","")</t>
  </si>
  <si>
    <t>=D941</t>
  </si>
  <si>
    <t>=NL("sum","Production Order","Quantity","Source No.",$D942,"Equipment Code",$L942,"due date",F$8)/-12</t>
  </si>
  <si>
    <t>=NL("sum","Production Order","Quantity","Source No.",$D942,"Equipment Code",$L942,"due date",G$8)/-12</t>
  </si>
  <si>
    <t>=NL("sum","Production Order","Quantity","Source No.",$D942,"Equipment Code",$L942,"due date",H$8)/-12</t>
  </si>
  <si>
    <t>=NL("sum","Production Order","Quantity","Source No.",$D942,"Equipment Code",$L942,"due date",I$8)/-12</t>
  </si>
  <si>
    <t>=NL("sum","Production Order","Quantity","Source No.",$D942,"Equipment Code",$L942,"due date",J$8)/$J$7</t>
  </si>
  <si>
    <t>=AVERAGE(I942:J942)</t>
  </si>
  <si>
    <t>=B939</t>
  </si>
  <si>
    <t>=B943</t>
  </si>
  <si>
    <t>=SUM(F939:F943)</t>
  </si>
  <si>
    <t>=SUM(G939:G943)</t>
  </si>
  <si>
    <t>=SUM(H939:H943)</t>
  </si>
  <si>
    <t>=SUM(I939:I943)</t>
  </si>
  <si>
    <t>=SUM(J939:J943)</t>
  </si>
  <si>
    <t>=IF(K945=0,"hide","")</t>
  </si>
  <si>
    <t>=NL("rows","Production BOM Version","Version Code","Production BOM No.",D945,"status","certified")</t>
  </si>
  <si>
    <t>=NL("sum","Item Ledger Entry","Quantity","Item No.",$D945,"Entry Type","Sale|Consumption","posting date","01/01/19..12/31/19")/-12</t>
  </si>
  <si>
    <t>=NL("sum","Item Ledger Entry","Quantity","Item No.",$D945,"Entry Type","Sale|Consumption","posting date","01/01/20..12/31/20")/-12</t>
  </si>
  <si>
    <t>=NL("sum","Item Ledger Entry","Quantity","Item No.",$D945,"Entry Type","Sale|Consumption","posting date","01/01/21..12/31/21")/-12</t>
  </si>
  <si>
    <t>=NL("sum","Item Ledger Entry","Quantity","Item No.",$D945,"Entry Type","Sale|Consumption","posting date","01/01/22..12/31/22")/-12</t>
  </si>
  <si>
    <t>=NL("sum","Item Ledger Entry","Quantity","Item No.",$D945,"Entry Type","Sale|Consumption","posting date","01/01/23..12/31/23")/$J$7</t>
  </si>
  <si>
    <t>=AVERAGE(I945:J945)</t>
  </si>
  <si>
    <t>=NL(1,"item",L$9,"no.",D945)</t>
  </si>
  <si>
    <t>=NL(1,"item",M$9,"no.",$D945)</t>
  </si>
  <si>
    <t>=NL(1,"item","Units Per Parcel","no.",$D945)</t>
  </si>
  <si>
    <t>=NL(1,"Prod. BOM Equipment","Fixed Prod. Time (Hours)","Production BOM No.",$D945,"version code",$E945,"Resource No.",O$9)</t>
  </si>
  <si>
    <t>=1/O945</t>
  </si>
  <si>
    <t>=IF(NL(1,"Prod. BOM Equipment","Variable Prod. Time (Hours)","Production BOM No.",$D945,"version code",$E945,"Resource No.",$O$9)="",1,NL(1,"Prod. BOM Equipment","Variable Prod. Time (Hours)","Production BOM No.",$D945,"version code",$E945,"Resource No.",$O$9))</t>
  </si>
  <si>
    <t>=1/Q945</t>
  </si>
  <si>
    <t>=R945*N945</t>
  </si>
  <si>
    <t>=IF(K946=0,"hide","")</t>
  </si>
  <si>
    <t>=D945</t>
  </si>
  <si>
    <t>=NL("sum","Production Order","Quantity","Source No.",$D946,"Equipment Code",$L946,"due date",F$8)/-12</t>
  </si>
  <si>
    <t>=NL("sum","Production Order","Quantity","Source No.",$D946,"Equipment Code",$L946,"due date",G$8)/-12</t>
  </si>
  <si>
    <t>=NL("sum","Production Order","Quantity","Source No.",$D946,"Equipment Code",$L946,"due date",H$8)/-12</t>
  </si>
  <si>
    <t>=NL("sum","Production Order","Quantity","Source No.",$D946,"Equipment Code",$L946,"due date",I$8)/-12</t>
  </si>
  <si>
    <t>=NL("sum","Production Order","Quantity","Source No.",$D946,"Equipment Code",$L946,"due date",J$8)/$J$7</t>
  </si>
  <si>
    <t>=AVERAGE(I946:J946)</t>
  </si>
  <si>
    <t>=IF(K947=0,"hide","")</t>
  </si>
  <si>
    <t>=D946</t>
  </si>
  <si>
    <t>=NL("sum","Production Order","Quantity","Source No.",$D947,"Equipment Code",$L947,"due date",F$8)/-12</t>
  </si>
  <si>
    <t>=NL("sum","Production Order","Quantity","Source No.",$D947,"Equipment Code",$L947,"due date",G$8)/-12</t>
  </si>
  <si>
    <t>=NL("sum","Production Order","Quantity","Source No.",$D947,"Equipment Code",$L947,"due date",H$8)/-12</t>
  </si>
  <si>
    <t>=NL("sum","Production Order","Quantity","Source No.",$D947,"Equipment Code",$L947,"due date",I$8)/-12</t>
  </si>
  <si>
    <t>=NL("sum","Production Order","Quantity","Source No.",$D947,"Equipment Code",$L947,"due date",J$8)/$J$7</t>
  </si>
  <si>
    <t>=AVERAGE(I947:J947)</t>
  </si>
  <si>
    <t>=IF(K948=0,"hide","")</t>
  </si>
  <si>
    <t>=D947</t>
  </si>
  <si>
    <t>=NL("sum","Production Order","Quantity","Source No.",$D948,"Equipment Code",$L948,"due date",F$8)/-12</t>
  </si>
  <si>
    <t>=NL("sum","Production Order","Quantity","Source No.",$D948,"Equipment Code",$L948,"due date",G$8)/-12</t>
  </si>
  <si>
    <t>=NL("sum","Production Order","Quantity","Source No.",$D948,"Equipment Code",$L948,"due date",H$8)/-12</t>
  </si>
  <si>
    <t>=NL("sum","Production Order","Quantity","Source No.",$D948,"Equipment Code",$L948,"due date",I$8)/-12</t>
  </si>
  <si>
    <t>=NL("sum","Production Order","Quantity","Source No.",$D948,"Equipment Code",$L948,"due date",J$8)/$J$7</t>
  </si>
  <si>
    <t>=AVERAGE(I948:J948)</t>
  </si>
  <si>
    <t>=IF(K949=0,"hide","")</t>
  </si>
  <si>
    <t>=D948</t>
  </si>
  <si>
    <t>=NL("sum","Production Order","Quantity","Source No.",$D949,"Equipment Code",$L949,"due date",F$8)/-12</t>
  </si>
  <si>
    <t>=NL("sum","Production Order","Quantity","Source No.",$D949,"Equipment Code",$L949,"due date",G$8)/-12</t>
  </si>
  <si>
    <t>=NL("sum","Production Order","Quantity","Source No.",$D949,"Equipment Code",$L949,"due date",H$8)/-12</t>
  </si>
  <si>
    <t>=NL("sum","Production Order","Quantity","Source No.",$D949,"Equipment Code",$L949,"due date",I$8)/-12</t>
  </si>
  <si>
    <t>=NL("sum","Production Order","Quantity","Source No.",$D949,"Equipment Code",$L949,"due date",J$8)/$J$7</t>
  </si>
  <si>
    <t>=AVERAGE(I949:J949)</t>
  </si>
  <si>
    <t>=B946</t>
  </si>
  <si>
    <t>=B950</t>
  </si>
  <si>
    <t>=SUM(F946:F950)</t>
  </si>
  <si>
    <t>=SUM(G946:G950)</t>
  </si>
  <si>
    <t>=SUM(H946:H950)</t>
  </si>
  <si>
    <t>=SUM(I946:I950)</t>
  </si>
  <si>
    <t>=SUM(J946:J950)</t>
  </si>
  <si>
    <t>=IF(K952=0,"hide","")</t>
  </si>
  <si>
    <t>=NL("rows","Production BOM Version","Version Code","Production BOM No.",D952,"status","certified")</t>
  </si>
  <si>
    <t>=NL("sum","Item Ledger Entry","Quantity","Item No.",$D952,"Entry Type","Sale|Consumption","posting date","01/01/19..12/31/19")/-12</t>
  </si>
  <si>
    <t>=NL("sum","Item Ledger Entry","Quantity","Item No.",$D952,"Entry Type","Sale|Consumption","posting date","01/01/20..12/31/20")/-12</t>
  </si>
  <si>
    <t>=NL("sum","Item Ledger Entry","Quantity","Item No.",$D952,"Entry Type","Sale|Consumption","posting date","01/01/21..12/31/21")/-12</t>
  </si>
  <si>
    <t>=NL("sum","Item Ledger Entry","Quantity","Item No.",$D952,"Entry Type","Sale|Consumption","posting date","01/01/22..12/31/22")/-12</t>
  </si>
  <si>
    <t>=NL("sum","Item Ledger Entry","Quantity","Item No.",$D952,"Entry Type","Sale|Consumption","posting date","01/01/23..12/31/23")/$J$7</t>
  </si>
  <si>
    <t>=AVERAGE(I952:J952)</t>
  </si>
  <si>
    <t>=NL(1,"item",L$9,"no.",D952)</t>
  </si>
  <si>
    <t>=NL(1,"item",M$9,"no.",$D952)</t>
  </si>
  <si>
    <t>=NL(1,"item","Units Per Parcel","no.",$D952)</t>
  </si>
  <si>
    <t>=NL(1,"Prod. BOM Equipment","Fixed Prod. Time (Hours)","Production BOM No.",$D952,"version code",$E952,"Resource No.",O$9)</t>
  </si>
  <si>
    <t>=1/O952</t>
  </si>
  <si>
    <t>=IF(NL(1,"Prod. BOM Equipment","Variable Prod. Time (Hours)","Production BOM No.",$D952,"version code",$E952,"Resource No.",$O$9)="",1,NL(1,"Prod. BOM Equipment","Variable Prod. Time (Hours)","Production BOM No.",$D952,"version code",$E952,"Resource No.",$O$9))</t>
  </si>
  <si>
    <t>=1/Q952</t>
  </si>
  <si>
    <t>=R952*N952</t>
  </si>
  <si>
    <t>=IF(K953=0,"hide","")</t>
  </si>
  <si>
    <t>=D952</t>
  </si>
  <si>
    <t>=NL("sum","Production Order","Quantity","Source No.",$D953,"Equipment Code",$L953,"due date",F$8)/-12</t>
  </si>
  <si>
    <t>=NL("sum","Production Order","Quantity","Source No.",$D953,"Equipment Code",$L953,"due date",G$8)/-12</t>
  </si>
  <si>
    <t>=NL("sum","Production Order","Quantity","Source No.",$D953,"Equipment Code",$L953,"due date",H$8)/-12</t>
  </si>
  <si>
    <t>=NL("sum","Production Order","Quantity","Source No.",$D953,"Equipment Code",$L953,"due date",I$8)/-12</t>
  </si>
  <si>
    <t>=NL("sum","Production Order","Quantity","Source No.",$D953,"Equipment Code",$L953,"due date",J$8)/$J$7</t>
  </si>
  <si>
    <t>=AVERAGE(I953:J953)</t>
  </si>
  <si>
    <t>=IF(K954=0,"hide","")</t>
  </si>
  <si>
    <t>=D953</t>
  </si>
  <si>
    <t>=NL("sum","Production Order","Quantity","Source No.",$D954,"Equipment Code",$L954,"due date",F$8)/-12</t>
  </si>
  <si>
    <t>=NL("sum","Production Order","Quantity","Source No.",$D954,"Equipment Code",$L954,"due date",G$8)/-12</t>
  </si>
  <si>
    <t>=NL("sum","Production Order","Quantity","Source No.",$D954,"Equipment Code",$L954,"due date",H$8)/-12</t>
  </si>
  <si>
    <t>=NL("sum","Production Order","Quantity","Source No.",$D954,"Equipment Code",$L954,"due date",I$8)/-12</t>
  </si>
  <si>
    <t>=NL("sum","Production Order","Quantity","Source No.",$D954,"Equipment Code",$L954,"due date",J$8)/$J$7</t>
  </si>
  <si>
    <t>=AVERAGE(I954:J954)</t>
  </si>
  <si>
    <t>=IF(K955=0,"hide","")</t>
  </si>
  <si>
    <t>=D954</t>
  </si>
  <si>
    <t>=NL("sum","Production Order","Quantity","Source No.",$D955,"Equipment Code",$L955,"due date",F$8)/-12</t>
  </si>
  <si>
    <t>=NL("sum","Production Order","Quantity","Source No.",$D955,"Equipment Code",$L955,"due date",G$8)/-12</t>
  </si>
  <si>
    <t>=NL("sum","Production Order","Quantity","Source No.",$D955,"Equipment Code",$L955,"due date",H$8)/-12</t>
  </si>
  <si>
    <t>=NL("sum","Production Order","Quantity","Source No.",$D955,"Equipment Code",$L955,"due date",I$8)/-12</t>
  </si>
  <si>
    <t>=NL("sum","Production Order","Quantity","Source No.",$D955,"Equipment Code",$L955,"due date",J$8)/$J$7</t>
  </si>
  <si>
    <t>=AVERAGE(I955:J955)</t>
  </si>
  <si>
    <t>=IF(K956=0,"hide","")</t>
  </si>
  <si>
    <t>=D955</t>
  </si>
  <si>
    <t>=NL("sum","Production Order","Quantity","Source No.",$D956,"Equipment Code",$L956,"due date",F$8)/-12</t>
  </si>
  <si>
    <t>=NL("sum","Production Order","Quantity","Source No.",$D956,"Equipment Code",$L956,"due date",G$8)/-12</t>
  </si>
  <si>
    <t>=NL("sum","Production Order","Quantity","Source No.",$D956,"Equipment Code",$L956,"due date",H$8)/-12</t>
  </si>
  <si>
    <t>=NL("sum","Production Order","Quantity","Source No.",$D956,"Equipment Code",$L956,"due date",I$8)/-12</t>
  </si>
  <si>
    <t>=NL("sum","Production Order","Quantity","Source No.",$D956,"Equipment Code",$L956,"due date",J$8)/$J$7</t>
  </si>
  <si>
    <t>=AVERAGE(I956:J956)</t>
  </si>
  <si>
    <t>=B953</t>
  </si>
  <si>
    <t>=B957</t>
  </si>
  <si>
    <t>=SUM(F953:F957)</t>
  </si>
  <si>
    <t>=SUM(G953:G957)</t>
  </si>
  <si>
    <t>=SUM(H953:H957)</t>
  </si>
  <si>
    <t>=SUM(I953:I957)</t>
  </si>
  <si>
    <t>=SUM(J953:J957)</t>
  </si>
  <si>
    <t>=IF(K959=0,"hide","")</t>
  </si>
  <si>
    <t>=NL("rows","Production BOM Version","Version Code","Production BOM No.",D959,"status","certified")</t>
  </si>
  <si>
    <t>=NL("sum","Item Ledger Entry","Quantity","Item No.",$D959,"Entry Type","Sale|Consumption","posting date","01/01/19..12/31/19")/-12</t>
  </si>
  <si>
    <t>=NL("sum","Item Ledger Entry","Quantity","Item No.",$D959,"Entry Type","Sale|Consumption","posting date","01/01/20..12/31/20")/-12</t>
  </si>
  <si>
    <t>=NL("sum","Item Ledger Entry","Quantity","Item No.",$D959,"Entry Type","Sale|Consumption","posting date","01/01/21..12/31/21")/-12</t>
  </si>
  <si>
    <t>=NL("sum","Item Ledger Entry","Quantity","Item No.",$D959,"Entry Type","Sale|Consumption","posting date","01/01/22..12/31/22")/-12</t>
  </si>
  <si>
    <t>=NL("sum","Item Ledger Entry","Quantity","Item No.",$D959,"Entry Type","Sale|Consumption","posting date","01/01/23..12/31/23")/$J$7</t>
  </si>
  <si>
    <t>=AVERAGE(I959:J959)</t>
  </si>
  <si>
    <t>=NL(1,"item",L$9,"no.",D959)</t>
  </si>
  <si>
    <t>=NL(1,"item",M$9,"no.",$D959)</t>
  </si>
  <si>
    <t>=NL(1,"item","Units Per Parcel","no.",$D959)</t>
  </si>
  <si>
    <t>=NL(1,"Prod. BOM Equipment","Fixed Prod. Time (Hours)","Production BOM No.",$D959,"version code",$E959,"Resource No.",O$9)</t>
  </si>
  <si>
    <t>=1/O959</t>
  </si>
  <si>
    <t>=IF(NL(1,"Prod. BOM Equipment","Variable Prod. Time (Hours)","Production BOM No.",$D959,"version code",$E959,"Resource No.",$O$9)="",1,NL(1,"Prod. BOM Equipment","Variable Prod. Time (Hours)","Production BOM No.",$D959,"version code",$E959,"Resource No.",$O$9))</t>
  </si>
  <si>
    <t>=1/Q959</t>
  </si>
  <si>
    <t>=R959*N959</t>
  </si>
  <si>
    <t>=IF(K960=0,"hide","")</t>
  </si>
  <si>
    <t>=D959</t>
  </si>
  <si>
    <t>=NL("sum","Production Order","Quantity","Source No.",$D960,"Equipment Code",$L960,"due date",F$8)/-12</t>
  </si>
  <si>
    <t>=NL("sum","Production Order","Quantity","Source No.",$D960,"Equipment Code",$L960,"due date",G$8)/-12</t>
  </si>
  <si>
    <t>=NL("sum","Production Order","Quantity","Source No.",$D960,"Equipment Code",$L960,"due date",H$8)/-12</t>
  </si>
  <si>
    <t>=NL("sum","Production Order","Quantity","Source No.",$D960,"Equipment Code",$L960,"due date",I$8)/-12</t>
  </si>
  <si>
    <t>=NL("sum","Production Order","Quantity","Source No.",$D960,"Equipment Code",$L960,"due date",J$8)/$J$7</t>
  </si>
  <si>
    <t>=AVERAGE(I960:J960)</t>
  </si>
  <si>
    <t>=IF(K961=0,"hide","")</t>
  </si>
  <si>
    <t>=D960</t>
  </si>
  <si>
    <t>=NL("sum","Production Order","Quantity","Source No.",$D961,"Equipment Code",$L961,"due date",F$8)/-12</t>
  </si>
  <si>
    <t>=NL("sum","Production Order","Quantity","Source No.",$D961,"Equipment Code",$L961,"due date",G$8)/-12</t>
  </si>
  <si>
    <t>=NL("sum","Production Order","Quantity","Source No.",$D961,"Equipment Code",$L961,"due date",H$8)/-12</t>
  </si>
  <si>
    <t>=NL("sum","Production Order","Quantity","Source No.",$D961,"Equipment Code",$L961,"due date",I$8)/-12</t>
  </si>
  <si>
    <t>=NL("sum","Production Order","Quantity","Source No.",$D961,"Equipment Code",$L961,"due date",J$8)/$J$7</t>
  </si>
  <si>
    <t>=AVERAGE(I961:J961)</t>
  </si>
  <si>
    <t>=IF(K962=0,"hide","")</t>
  </si>
  <si>
    <t>=D961</t>
  </si>
  <si>
    <t>=NL("sum","Production Order","Quantity","Source No.",$D962,"Equipment Code",$L962,"due date",F$8)/-12</t>
  </si>
  <si>
    <t>=NL("sum","Production Order","Quantity","Source No.",$D962,"Equipment Code",$L962,"due date",G$8)/-12</t>
  </si>
  <si>
    <t>=NL("sum","Production Order","Quantity","Source No.",$D962,"Equipment Code",$L962,"due date",H$8)/-12</t>
  </si>
  <si>
    <t>=NL("sum","Production Order","Quantity","Source No.",$D962,"Equipment Code",$L962,"due date",I$8)/-12</t>
  </si>
  <si>
    <t>=NL("sum","Production Order","Quantity","Source No.",$D962,"Equipment Code",$L962,"due date",J$8)/$J$7</t>
  </si>
  <si>
    <t>=AVERAGE(I962:J962)</t>
  </si>
  <si>
    <t>=IF(K963=0,"hide","")</t>
  </si>
  <si>
    <t>=D962</t>
  </si>
  <si>
    <t>=NL("sum","Production Order","Quantity","Source No.",$D963,"Equipment Code",$L963,"due date",F$8)/-12</t>
  </si>
  <si>
    <t>=NL("sum","Production Order","Quantity","Source No.",$D963,"Equipment Code",$L963,"due date",G$8)/-12</t>
  </si>
  <si>
    <t>=NL("sum","Production Order","Quantity","Source No.",$D963,"Equipment Code",$L963,"due date",H$8)/-12</t>
  </si>
  <si>
    <t>=NL("sum","Production Order","Quantity","Source No.",$D963,"Equipment Code",$L963,"due date",I$8)/-12</t>
  </si>
  <si>
    <t>=NL("sum","Production Order","Quantity","Source No.",$D963,"Equipment Code",$L963,"due date",J$8)/$J$7</t>
  </si>
  <si>
    <t>=AVERAGE(I963:J963)</t>
  </si>
  <si>
    <t>=B960</t>
  </si>
  <si>
    <t>=B964</t>
  </si>
  <si>
    <t>=SUM(F960:F964)</t>
  </si>
  <si>
    <t>=SUM(G960:G964)</t>
  </si>
  <si>
    <t>=SUM(H960:H964)</t>
  </si>
  <si>
    <t>=SUM(I960:I964)</t>
  </si>
  <si>
    <t>=SUM(J960:J964)</t>
  </si>
  <si>
    <t>=IF(K966=0,"hide","")</t>
  </si>
  <si>
    <t>=NL("rows","Production BOM Version","Version Code","Production BOM No.",D966,"status","certified")</t>
  </si>
  <si>
    <t>=NL("sum","Item Ledger Entry","Quantity","Item No.",$D966,"Entry Type","Sale|Consumption","posting date","01/01/19..12/31/19")/-12</t>
  </si>
  <si>
    <t>=NL("sum","Item Ledger Entry","Quantity","Item No.",$D966,"Entry Type","Sale|Consumption","posting date","01/01/20..12/31/20")/-12</t>
  </si>
  <si>
    <t>=NL("sum","Item Ledger Entry","Quantity","Item No.",$D966,"Entry Type","Sale|Consumption","posting date","01/01/21..12/31/21")/-12</t>
  </si>
  <si>
    <t>=NL("sum","Item Ledger Entry","Quantity","Item No.",$D966,"Entry Type","Sale|Consumption","posting date","01/01/22..12/31/22")/-12</t>
  </si>
  <si>
    <t>=NL("sum","Item Ledger Entry","Quantity","Item No.",$D966,"Entry Type","Sale|Consumption","posting date","01/01/23..12/31/23")/$J$7</t>
  </si>
  <si>
    <t>=AVERAGE(I966:J966)</t>
  </si>
  <si>
    <t>=NL(1,"item",L$9,"no.",D966)</t>
  </si>
  <si>
    <t>=NL(1,"item",M$9,"no.",$D966)</t>
  </si>
  <si>
    <t>=NL(1,"item","Units Per Parcel","no.",$D966)</t>
  </si>
  <si>
    <t>=NL(1,"Prod. BOM Equipment","Fixed Prod. Time (Hours)","Production BOM No.",$D966,"version code",$E966,"Resource No.",O$9)</t>
  </si>
  <si>
    <t>=1/O966</t>
  </si>
  <si>
    <t>=IF(NL(1,"Prod. BOM Equipment","Variable Prod. Time (Hours)","Production BOM No.",$D966,"version code",$E966,"Resource No.",$O$9)="",1,NL(1,"Prod. BOM Equipment","Variable Prod. Time (Hours)","Production BOM No.",$D966,"version code",$E966,"Resource No.",$O$9))</t>
  </si>
  <si>
    <t>=1/Q966</t>
  </si>
  <si>
    <t>=R966*N966</t>
  </si>
  <si>
    <t>=IF(K967=0,"hide","")</t>
  </si>
  <si>
    <t>=D966</t>
  </si>
  <si>
    <t>=NL("sum","Production Order","Quantity","Source No.",$D967,"Equipment Code",$L967,"due date",F$8)/-12</t>
  </si>
  <si>
    <t>=NL("sum","Production Order","Quantity","Source No.",$D967,"Equipment Code",$L967,"due date",G$8)/-12</t>
  </si>
  <si>
    <t>=NL("sum","Production Order","Quantity","Source No.",$D967,"Equipment Code",$L967,"due date",H$8)/-12</t>
  </si>
  <si>
    <t>=NL("sum","Production Order","Quantity","Source No.",$D967,"Equipment Code",$L967,"due date",I$8)/-12</t>
  </si>
  <si>
    <t>=NL("sum","Production Order","Quantity","Source No.",$D967,"Equipment Code",$L967,"due date",J$8)/$J$7</t>
  </si>
  <si>
    <t>=AVERAGE(I967:J967)</t>
  </si>
  <si>
    <t>=IF(K968=0,"hide","")</t>
  </si>
  <si>
    <t>=D967</t>
  </si>
  <si>
    <t>=NL("sum","Production Order","Quantity","Source No.",$D968,"Equipment Code",$L968,"due date",F$8)/-12</t>
  </si>
  <si>
    <t>=NL("sum","Production Order","Quantity","Source No.",$D968,"Equipment Code",$L968,"due date",G$8)/-12</t>
  </si>
  <si>
    <t>=NL("sum","Production Order","Quantity","Source No.",$D968,"Equipment Code",$L968,"due date",H$8)/-12</t>
  </si>
  <si>
    <t>=NL("sum","Production Order","Quantity","Source No.",$D968,"Equipment Code",$L968,"due date",I$8)/-12</t>
  </si>
  <si>
    <t>=NL("sum","Production Order","Quantity","Source No.",$D968,"Equipment Code",$L968,"due date",J$8)/$J$7</t>
  </si>
  <si>
    <t>=AVERAGE(I968:J968)</t>
  </si>
  <si>
    <t>=IF(K969=0,"hide","")</t>
  </si>
  <si>
    <t>=D968</t>
  </si>
  <si>
    <t>=NL("sum","Production Order","Quantity","Source No.",$D969,"Equipment Code",$L969,"due date",F$8)/-12</t>
  </si>
  <si>
    <t>=NL("sum","Production Order","Quantity","Source No.",$D969,"Equipment Code",$L969,"due date",G$8)/-12</t>
  </si>
  <si>
    <t>=NL("sum","Production Order","Quantity","Source No.",$D969,"Equipment Code",$L969,"due date",H$8)/-12</t>
  </si>
  <si>
    <t>=NL("sum","Production Order","Quantity","Source No.",$D969,"Equipment Code",$L969,"due date",I$8)/-12</t>
  </si>
  <si>
    <t>=NL("sum","Production Order","Quantity","Source No.",$D969,"Equipment Code",$L969,"due date",J$8)/$J$7</t>
  </si>
  <si>
    <t>=AVERAGE(I969:J969)</t>
  </si>
  <si>
    <t>=IF(K970=0,"hide","")</t>
  </si>
  <si>
    <t>=D969</t>
  </si>
  <si>
    <t>=NL("sum","Production Order","Quantity","Source No.",$D970,"Equipment Code",$L970,"due date",F$8)/-12</t>
  </si>
  <si>
    <t>=NL("sum","Production Order","Quantity","Source No.",$D970,"Equipment Code",$L970,"due date",G$8)/-12</t>
  </si>
  <si>
    <t>=NL("sum","Production Order","Quantity","Source No.",$D970,"Equipment Code",$L970,"due date",H$8)/-12</t>
  </si>
  <si>
    <t>=NL("sum","Production Order","Quantity","Source No.",$D970,"Equipment Code",$L970,"due date",I$8)/-12</t>
  </si>
  <si>
    <t>=NL("sum","Production Order","Quantity","Source No.",$D970,"Equipment Code",$L970,"due date",J$8)/$J$7</t>
  </si>
  <si>
    <t>=AVERAGE(I970:J970)</t>
  </si>
  <si>
    <t>=B967</t>
  </si>
  <si>
    <t>=B971</t>
  </si>
  <si>
    <t>=SUM(F967:F971)</t>
  </si>
  <si>
    <t>=SUM(G967:G971)</t>
  </si>
  <si>
    <t>=SUM(H967:H971)</t>
  </si>
  <si>
    <t>=SUM(I967:I971)</t>
  </si>
  <si>
    <t>=SUM(J967:J971)</t>
  </si>
  <si>
    <t>=IF(K973=0,"hide","")</t>
  </si>
  <si>
    <t>=NL("rows","Production BOM Version","Version Code","Production BOM No.",D973,"status","certified")</t>
  </si>
  <si>
    <t>=NL("sum","Item Ledger Entry","Quantity","Item No.",$D973,"Entry Type","Sale|Consumption","posting date","01/01/19..12/31/19")/-12</t>
  </si>
  <si>
    <t>=NL("sum","Item Ledger Entry","Quantity","Item No.",$D973,"Entry Type","Sale|Consumption","posting date","01/01/20..12/31/20")/-12</t>
  </si>
  <si>
    <t>=NL("sum","Item Ledger Entry","Quantity","Item No.",$D973,"Entry Type","Sale|Consumption","posting date","01/01/21..12/31/21")/-12</t>
  </si>
  <si>
    <t>=NL("sum","Item Ledger Entry","Quantity","Item No.",$D973,"Entry Type","Sale|Consumption","posting date","01/01/22..12/31/22")/-12</t>
  </si>
  <si>
    <t>=NL("sum","Item Ledger Entry","Quantity","Item No.",$D973,"Entry Type","Sale|Consumption","posting date","01/01/23..12/31/23")/$J$7</t>
  </si>
  <si>
    <t>=AVERAGE(I973:J973)</t>
  </si>
  <si>
    <t>=NL(1,"item",L$9,"no.",D973)</t>
  </si>
  <si>
    <t>=NL(1,"item",M$9,"no.",$D973)</t>
  </si>
  <si>
    <t>=NL(1,"item","Units Per Parcel","no.",$D973)</t>
  </si>
  <si>
    <t>=NL(1,"Prod. BOM Equipment","Fixed Prod. Time (Hours)","Production BOM No.",$D973,"version code",$E973,"Resource No.",O$9)</t>
  </si>
  <si>
    <t>=1/O973</t>
  </si>
  <si>
    <t>=IF(NL(1,"Prod. BOM Equipment","Variable Prod. Time (Hours)","Production BOM No.",$D973,"version code",$E973,"Resource No.",$O$9)="",1,NL(1,"Prod. BOM Equipment","Variable Prod. Time (Hours)","Production BOM No.",$D973,"version code",$E973,"Resource No.",$O$9))</t>
  </si>
  <si>
    <t>=1/Q973</t>
  </si>
  <si>
    <t>=R973*N973</t>
  </si>
  <si>
    <t>=IF(K974=0,"hide","")</t>
  </si>
  <si>
    <t>=D973</t>
  </si>
  <si>
    <t>=NL("sum","Production Order","Quantity","Source No.",$D974,"Equipment Code",$L974,"due date",F$8)/-12</t>
  </si>
  <si>
    <t>=NL("sum","Production Order","Quantity","Source No.",$D974,"Equipment Code",$L974,"due date",G$8)/-12</t>
  </si>
  <si>
    <t>=NL("sum","Production Order","Quantity","Source No.",$D974,"Equipment Code",$L974,"due date",H$8)/-12</t>
  </si>
  <si>
    <t>=NL("sum","Production Order","Quantity","Source No.",$D974,"Equipment Code",$L974,"due date",I$8)/-12</t>
  </si>
  <si>
    <t>=NL("sum","Production Order","Quantity","Source No.",$D974,"Equipment Code",$L974,"due date",J$8)/$J$7</t>
  </si>
  <si>
    <t>=AVERAGE(I974:J974)</t>
  </si>
  <si>
    <t>=IF(K975=0,"hide","")</t>
  </si>
  <si>
    <t>=D974</t>
  </si>
  <si>
    <t>=NL("sum","Production Order","Quantity","Source No.",$D975,"Equipment Code",$L975,"due date",F$8)/-12</t>
  </si>
  <si>
    <t>=NL("sum","Production Order","Quantity","Source No.",$D975,"Equipment Code",$L975,"due date",G$8)/-12</t>
  </si>
  <si>
    <t>=NL("sum","Production Order","Quantity","Source No.",$D975,"Equipment Code",$L975,"due date",H$8)/-12</t>
  </si>
  <si>
    <t>=NL("sum","Production Order","Quantity","Source No.",$D975,"Equipment Code",$L975,"due date",I$8)/-12</t>
  </si>
  <si>
    <t>=NL("sum","Production Order","Quantity","Source No.",$D975,"Equipment Code",$L975,"due date",J$8)/$J$7</t>
  </si>
  <si>
    <t>=AVERAGE(I975:J975)</t>
  </si>
  <si>
    <t>=IF(K976=0,"hide","")</t>
  </si>
  <si>
    <t>=D975</t>
  </si>
  <si>
    <t>=NL("sum","Production Order","Quantity","Source No.",$D976,"Equipment Code",$L976,"due date",F$8)/-12</t>
  </si>
  <si>
    <t>=NL("sum","Production Order","Quantity","Source No.",$D976,"Equipment Code",$L976,"due date",G$8)/-12</t>
  </si>
  <si>
    <t>=NL("sum","Production Order","Quantity","Source No.",$D976,"Equipment Code",$L976,"due date",H$8)/-12</t>
  </si>
  <si>
    <t>=NL("sum","Production Order","Quantity","Source No.",$D976,"Equipment Code",$L976,"due date",I$8)/-12</t>
  </si>
  <si>
    <t>=NL("sum","Production Order","Quantity","Source No.",$D976,"Equipment Code",$L976,"due date",J$8)/$J$7</t>
  </si>
  <si>
    <t>=AVERAGE(I976:J976)</t>
  </si>
  <si>
    <t>=IF(K977=0,"hide","")</t>
  </si>
  <si>
    <t>=D976</t>
  </si>
  <si>
    <t>=NL("sum","Production Order","Quantity","Source No.",$D977,"Equipment Code",$L977,"due date",F$8)/-12</t>
  </si>
  <si>
    <t>=NL("sum","Production Order","Quantity","Source No.",$D977,"Equipment Code",$L977,"due date",G$8)/-12</t>
  </si>
  <si>
    <t>=NL("sum","Production Order","Quantity","Source No.",$D977,"Equipment Code",$L977,"due date",H$8)/-12</t>
  </si>
  <si>
    <t>=NL("sum","Production Order","Quantity","Source No.",$D977,"Equipment Code",$L977,"due date",I$8)/-12</t>
  </si>
  <si>
    <t>=NL("sum","Production Order","Quantity","Source No.",$D977,"Equipment Code",$L977,"due date",J$8)/$J$7</t>
  </si>
  <si>
    <t>=AVERAGE(I977:J977)</t>
  </si>
  <si>
    <t>=B974</t>
  </si>
  <si>
    <t>=B978</t>
  </si>
  <si>
    <t>=SUM(F974:F978)</t>
  </si>
  <si>
    <t>=SUM(G974:G978)</t>
  </si>
  <si>
    <t>=SUM(H974:H978)</t>
  </si>
  <si>
    <t>=SUM(I974:I978)</t>
  </si>
  <si>
    <t>=SUM(J974:J978)</t>
  </si>
  <si>
    <t>=IF(K980=0,"hide","")</t>
  </si>
  <si>
    <t>=NL("rows","Production BOM Version","Version Code","Production BOM No.",D980,"status","certified")</t>
  </si>
  <si>
    <t>=NL("sum","Item Ledger Entry","Quantity","Item No.",$D980,"Entry Type","Sale|Consumption","posting date","01/01/19..12/31/19")/-12</t>
  </si>
  <si>
    <t>=NL("sum","Item Ledger Entry","Quantity","Item No.",$D980,"Entry Type","Sale|Consumption","posting date","01/01/20..12/31/20")/-12</t>
  </si>
  <si>
    <t>=NL("sum","Item Ledger Entry","Quantity","Item No.",$D980,"Entry Type","Sale|Consumption","posting date","01/01/21..12/31/21")/-12</t>
  </si>
  <si>
    <t>=NL("sum","Item Ledger Entry","Quantity","Item No.",$D980,"Entry Type","Sale|Consumption","posting date","01/01/22..12/31/22")/-12</t>
  </si>
  <si>
    <t>=NL("sum","Item Ledger Entry","Quantity","Item No.",$D980,"Entry Type","Sale|Consumption","posting date","01/01/23..12/31/23")/$J$7</t>
  </si>
  <si>
    <t>=AVERAGE(I980:J980)</t>
  </si>
  <si>
    <t>=NL(1,"item",L$9,"no.",D980)</t>
  </si>
  <si>
    <t>=NL(1,"item",M$9,"no.",$D980)</t>
  </si>
  <si>
    <t>=NL(1,"item","Units Per Parcel","no.",$D980)</t>
  </si>
  <si>
    <t>=NL(1,"Prod. BOM Equipment","Fixed Prod. Time (Hours)","Production BOM No.",$D980,"version code",$E980,"Resource No.",O$9)</t>
  </si>
  <si>
    <t>=1/O980</t>
  </si>
  <si>
    <t>=IF(NL(1,"Prod. BOM Equipment","Variable Prod. Time (Hours)","Production BOM No.",$D980,"version code",$E980,"Resource No.",$O$9)="",1,NL(1,"Prod. BOM Equipment","Variable Prod. Time (Hours)","Production BOM No.",$D980,"version code",$E980,"Resource No.",$O$9))</t>
  </si>
  <si>
    <t>=1/Q980</t>
  </si>
  <si>
    <t>=R980*N980</t>
  </si>
  <si>
    <t>=IF(K981=0,"hide","")</t>
  </si>
  <si>
    <t>=D980</t>
  </si>
  <si>
    <t>=NL("sum","Production Order","Quantity","Source No.",$D981,"Equipment Code",$L981,"due date",F$8)/-12</t>
  </si>
  <si>
    <t>=NL("sum","Production Order","Quantity","Source No.",$D981,"Equipment Code",$L981,"due date",G$8)/-12</t>
  </si>
  <si>
    <t>=NL("sum","Production Order","Quantity","Source No.",$D981,"Equipment Code",$L981,"due date",H$8)/-12</t>
  </si>
  <si>
    <t>=NL("sum","Production Order","Quantity","Source No.",$D981,"Equipment Code",$L981,"due date",I$8)/-12</t>
  </si>
  <si>
    <t>=NL("sum","Production Order","Quantity","Source No.",$D981,"Equipment Code",$L981,"due date",J$8)/$J$7</t>
  </si>
  <si>
    <t>=AVERAGE(I981:J981)</t>
  </si>
  <si>
    <t>=IF(K982=0,"hide","")</t>
  </si>
  <si>
    <t>=D981</t>
  </si>
  <si>
    <t>=NL("sum","Production Order","Quantity","Source No.",$D982,"Equipment Code",$L982,"due date",F$8)/-12</t>
  </si>
  <si>
    <t>=NL("sum","Production Order","Quantity","Source No.",$D982,"Equipment Code",$L982,"due date",G$8)/-12</t>
  </si>
  <si>
    <t>=NL("sum","Production Order","Quantity","Source No.",$D982,"Equipment Code",$L982,"due date",H$8)/-12</t>
  </si>
  <si>
    <t>=NL("sum","Production Order","Quantity","Source No.",$D982,"Equipment Code",$L982,"due date",I$8)/-12</t>
  </si>
  <si>
    <t>=NL("sum","Production Order","Quantity","Source No.",$D982,"Equipment Code",$L982,"due date",J$8)/$J$7</t>
  </si>
  <si>
    <t>=AVERAGE(I982:J982)</t>
  </si>
  <si>
    <t>=IF(K983=0,"hide","")</t>
  </si>
  <si>
    <t>=D982</t>
  </si>
  <si>
    <t>=NL("sum","Production Order","Quantity","Source No.",$D983,"Equipment Code",$L983,"due date",F$8)/-12</t>
  </si>
  <si>
    <t>=NL("sum","Production Order","Quantity","Source No.",$D983,"Equipment Code",$L983,"due date",G$8)/-12</t>
  </si>
  <si>
    <t>=NL("sum","Production Order","Quantity","Source No.",$D983,"Equipment Code",$L983,"due date",H$8)/-12</t>
  </si>
  <si>
    <t>=NL("sum","Production Order","Quantity","Source No.",$D983,"Equipment Code",$L983,"due date",I$8)/-12</t>
  </si>
  <si>
    <t>=NL("sum","Production Order","Quantity","Source No.",$D983,"Equipment Code",$L983,"due date",J$8)/$J$7</t>
  </si>
  <si>
    <t>=AVERAGE(I983:J983)</t>
  </si>
  <si>
    <t>=IF(K984=0,"hide","")</t>
  </si>
  <si>
    <t>=D983</t>
  </si>
  <si>
    <t>=NL("sum","Production Order","Quantity","Source No.",$D984,"Equipment Code",$L984,"due date",F$8)/-12</t>
  </si>
  <si>
    <t>=NL("sum","Production Order","Quantity","Source No.",$D984,"Equipment Code",$L984,"due date",G$8)/-12</t>
  </si>
  <si>
    <t>=NL("sum","Production Order","Quantity","Source No.",$D984,"Equipment Code",$L984,"due date",H$8)/-12</t>
  </si>
  <si>
    <t>=NL("sum","Production Order","Quantity","Source No.",$D984,"Equipment Code",$L984,"due date",I$8)/-12</t>
  </si>
  <si>
    <t>=NL("sum","Production Order","Quantity","Source No.",$D984,"Equipment Code",$L984,"due date",J$8)/$J$7</t>
  </si>
  <si>
    <t>=AVERAGE(I984:J984)</t>
  </si>
  <si>
    <t>=B981</t>
  </si>
  <si>
    <t>=B985</t>
  </si>
  <si>
    <t>=SUM(F981:F985)</t>
  </si>
  <si>
    <t>=SUM(G981:G985)</t>
  </si>
  <si>
    <t>=SUM(H981:H985)</t>
  </si>
  <si>
    <t>=SUM(I981:I985)</t>
  </si>
  <si>
    <t>=SUM(J981:J985)</t>
  </si>
  <si>
    <t>=IF(K987=0,"hide","")</t>
  </si>
  <si>
    <t>=NL("rows","Production BOM Version","Version Code","Production BOM No.",D987,"status","certified")</t>
  </si>
  <si>
    <t>=NL("sum","Item Ledger Entry","Quantity","Item No.",$D987,"Entry Type","Sale|Consumption","posting date","01/01/19..12/31/19")/-12</t>
  </si>
  <si>
    <t>=NL("sum","Item Ledger Entry","Quantity","Item No.",$D987,"Entry Type","Sale|Consumption","posting date","01/01/20..12/31/20")/-12</t>
  </si>
  <si>
    <t>=NL("sum","Item Ledger Entry","Quantity","Item No.",$D987,"Entry Type","Sale|Consumption","posting date","01/01/21..12/31/21")/-12</t>
  </si>
  <si>
    <t>=NL("sum","Item Ledger Entry","Quantity","Item No.",$D987,"Entry Type","Sale|Consumption","posting date","01/01/22..12/31/22")/-12</t>
  </si>
  <si>
    <t>=NL("sum","Item Ledger Entry","Quantity","Item No.",$D987,"Entry Type","Sale|Consumption","posting date","01/01/23..12/31/23")/$J$7</t>
  </si>
  <si>
    <t>=AVERAGE(I987:J987)</t>
  </si>
  <si>
    <t>=NL(1,"item",L$9,"no.",D987)</t>
  </si>
  <si>
    <t>=NL(1,"item",M$9,"no.",$D987)</t>
  </si>
  <si>
    <t>=NL(1,"item","Units Per Parcel","no.",$D987)</t>
  </si>
  <si>
    <t>=NL(1,"Prod. BOM Equipment","Fixed Prod. Time (Hours)","Production BOM No.",$D987,"version code",$E987,"Resource No.",O$9)</t>
  </si>
  <si>
    <t>=1/O987</t>
  </si>
  <si>
    <t>=IF(NL(1,"Prod. BOM Equipment","Variable Prod. Time (Hours)","Production BOM No.",$D987,"version code",$E987,"Resource No.",$O$9)="",1,NL(1,"Prod. BOM Equipment","Variable Prod. Time (Hours)","Production BOM No.",$D987,"version code",$E987,"Resource No.",$O$9))</t>
  </si>
  <si>
    <t>=1/Q987</t>
  </si>
  <si>
    <t>=R987*N987</t>
  </si>
  <si>
    <t>=IF(K988=0,"hide","")</t>
  </si>
  <si>
    <t>=D987</t>
  </si>
  <si>
    <t>=NL("sum","Production Order","Quantity","Source No.",$D988,"Equipment Code",$L988,"due date",F$8)/-12</t>
  </si>
  <si>
    <t>=NL("sum","Production Order","Quantity","Source No.",$D988,"Equipment Code",$L988,"due date",G$8)/-12</t>
  </si>
  <si>
    <t>=NL("sum","Production Order","Quantity","Source No.",$D988,"Equipment Code",$L988,"due date",H$8)/-12</t>
  </si>
  <si>
    <t>=NL("sum","Production Order","Quantity","Source No.",$D988,"Equipment Code",$L988,"due date",I$8)/-12</t>
  </si>
  <si>
    <t>=NL("sum","Production Order","Quantity","Source No.",$D988,"Equipment Code",$L988,"due date",J$8)/$J$7</t>
  </si>
  <si>
    <t>=AVERAGE(I988:J988)</t>
  </si>
  <si>
    <t>=IF(K989=0,"hide","")</t>
  </si>
  <si>
    <t>=D988</t>
  </si>
  <si>
    <t>=NL("sum","Production Order","Quantity","Source No.",$D989,"Equipment Code",$L989,"due date",F$8)/-12</t>
  </si>
  <si>
    <t>=NL("sum","Production Order","Quantity","Source No.",$D989,"Equipment Code",$L989,"due date",G$8)/-12</t>
  </si>
  <si>
    <t>=NL("sum","Production Order","Quantity","Source No.",$D989,"Equipment Code",$L989,"due date",H$8)/-12</t>
  </si>
  <si>
    <t>=NL("sum","Production Order","Quantity","Source No.",$D989,"Equipment Code",$L989,"due date",I$8)/-12</t>
  </si>
  <si>
    <t>=NL("sum","Production Order","Quantity","Source No.",$D989,"Equipment Code",$L989,"due date",J$8)/$J$7</t>
  </si>
  <si>
    <t>=AVERAGE(I989:J989)</t>
  </si>
  <si>
    <t>=IF(K990=0,"hide","")</t>
  </si>
  <si>
    <t>=D989</t>
  </si>
  <si>
    <t>=NL("sum","Production Order","Quantity","Source No.",$D990,"Equipment Code",$L990,"due date",F$8)/-12</t>
  </si>
  <si>
    <t>=NL("sum","Production Order","Quantity","Source No.",$D990,"Equipment Code",$L990,"due date",G$8)/-12</t>
  </si>
  <si>
    <t>=NL("sum","Production Order","Quantity","Source No.",$D990,"Equipment Code",$L990,"due date",H$8)/-12</t>
  </si>
  <si>
    <t>=NL("sum","Production Order","Quantity","Source No.",$D990,"Equipment Code",$L990,"due date",I$8)/-12</t>
  </si>
  <si>
    <t>=NL("sum","Production Order","Quantity","Source No.",$D990,"Equipment Code",$L990,"due date",J$8)/$J$7</t>
  </si>
  <si>
    <t>=AVERAGE(I990:J990)</t>
  </si>
  <si>
    <t>=IF(K991=0,"hide","")</t>
  </si>
  <si>
    <t>=D990</t>
  </si>
  <si>
    <t>=NL("sum","Production Order","Quantity","Source No.",$D991,"Equipment Code",$L991,"due date",F$8)/-12</t>
  </si>
  <si>
    <t>=NL("sum","Production Order","Quantity","Source No.",$D991,"Equipment Code",$L991,"due date",G$8)/-12</t>
  </si>
  <si>
    <t>=NL("sum","Production Order","Quantity","Source No.",$D991,"Equipment Code",$L991,"due date",H$8)/-12</t>
  </si>
  <si>
    <t>=NL("sum","Production Order","Quantity","Source No.",$D991,"Equipment Code",$L991,"due date",I$8)/-12</t>
  </si>
  <si>
    <t>=NL("sum","Production Order","Quantity","Source No.",$D991,"Equipment Code",$L991,"due date",J$8)/$J$7</t>
  </si>
  <si>
    <t>=AVERAGE(I991:J991)</t>
  </si>
  <si>
    <t>=B988</t>
  </si>
  <si>
    <t>=B992</t>
  </si>
  <si>
    <t>=SUM(F988:F992)</t>
  </si>
  <si>
    <t>=SUM(G988:G992)</t>
  </si>
  <si>
    <t>=SUM(H988:H992)</t>
  </si>
  <si>
    <t>=SUM(I988:I992)</t>
  </si>
  <si>
    <t>=SUM(J988:J992)</t>
  </si>
  <si>
    <t>=IF(K994=0,"hide","")</t>
  </si>
  <si>
    <t>="100661"</t>
  </si>
  <si>
    <t>=NL("rows","Production BOM Version","Version Code","Production BOM No.",D994,"status","certified")</t>
  </si>
  <si>
    <t>=NL("sum","Item Ledger Entry","Quantity","Item No.",$D994,"Entry Type","Sale|Consumption","posting date","01/01/19..12/31/19")/-12</t>
  </si>
  <si>
    <t>=NL("sum","Item Ledger Entry","Quantity","Item No.",$D994,"Entry Type","Sale|Consumption","posting date","01/01/20..12/31/20")/-12</t>
  </si>
  <si>
    <t>=NL("sum","Item Ledger Entry","Quantity","Item No.",$D994,"Entry Type","Sale|Consumption","posting date","01/01/21..12/31/21")/-12</t>
  </si>
  <si>
    <t>=NL("sum","Item Ledger Entry","Quantity","Item No.",$D994,"Entry Type","Sale|Consumption","posting date","01/01/22..12/31/22")/-12</t>
  </si>
  <si>
    <t>=NL("sum","Item Ledger Entry","Quantity","Item No.",$D994,"Entry Type","Sale|Consumption","posting date","01/01/23..12/31/23")/$J$7</t>
  </si>
  <si>
    <t>=AVERAGE(I994:J994)</t>
  </si>
  <si>
    <t>=NL(1,"item",L$9,"no.",D994)</t>
  </si>
  <si>
    <t>=NL(1,"item",M$9,"no.",$D994)</t>
  </si>
  <si>
    <t>=NL(1,"item","Units Per Parcel","no.",$D994)</t>
  </si>
  <si>
    <t>=NL(1,"Prod. BOM Equipment","Fixed Prod. Time (Hours)","Production BOM No.",$D994,"version code",$E994,"Resource No.",O$9)</t>
  </si>
  <si>
    <t>=1/O994</t>
  </si>
  <si>
    <t>=IF(NL(1,"Prod. BOM Equipment","Variable Prod. Time (Hours)","Production BOM No.",$D994,"version code",$E994,"Resource No.",$O$9)="",1,NL(1,"Prod. BOM Equipment","Variable Prod. Time (Hours)","Production BOM No.",$D994,"version code",$E994,"Resource No.",$O$9))</t>
  </si>
  <si>
    <t>=1/Q994</t>
  </si>
  <si>
    <t>=R994*N994</t>
  </si>
  <si>
    <t>=IF(K995=0,"hide","")</t>
  </si>
  <si>
    <t>=D994</t>
  </si>
  <si>
    <t>=NL("sum","Production Order","Quantity","Source No.",$D995,"Equipment Code",$L995,"due date",F$8)/-12</t>
  </si>
  <si>
    <t>=NL("sum","Production Order","Quantity","Source No.",$D995,"Equipment Code",$L995,"due date",G$8)/-12</t>
  </si>
  <si>
    <t>=NL("sum","Production Order","Quantity","Source No.",$D995,"Equipment Code",$L995,"due date",H$8)/-12</t>
  </si>
  <si>
    <t>=NL("sum","Production Order","Quantity","Source No.",$D995,"Equipment Code",$L995,"due date",I$8)/-12</t>
  </si>
  <si>
    <t>=NL("sum","Production Order","Quantity","Source No.",$D995,"Equipment Code",$L995,"due date",J$8)/$J$7</t>
  </si>
  <si>
    <t>=AVERAGE(I995:J995)</t>
  </si>
  <si>
    <t>=IF(K996=0,"hide","")</t>
  </si>
  <si>
    <t>=D995</t>
  </si>
  <si>
    <t>=NL("sum","Production Order","Quantity","Source No.",$D996,"Equipment Code",$L996,"due date",F$8)/-12</t>
  </si>
  <si>
    <t>=NL("sum","Production Order","Quantity","Source No.",$D996,"Equipment Code",$L996,"due date",G$8)/-12</t>
  </si>
  <si>
    <t>=NL("sum","Production Order","Quantity","Source No.",$D996,"Equipment Code",$L996,"due date",H$8)/-12</t>
  </si>
  <si>
    <t>=NL("sum","Production Order","Quantity","Source No.",$D996,"Equipment Code",$L996,"due date",I$8)/-12</t>
  </si>
  <si>
    <t>=NL("sum","Production Order","Quantity","Source No.",$D996,"Equipment Code",$L996,"due date",J$8)/$J$7</t>
  </si>
  <si>
    <t>=AVERAGE(I996:J996)</t>
  </si>
  <si>
    <t>=IF(K997=0,"hide","")</t>
  </si>
  <si>
    <t>=D996</t>
  </si>
  <si>
    <t>=NL("sum","Production Order","Quantity","Source No.",$D997,"Equipment Code",$L997,"due date",F$8)/-12</t>
  </si>
  <si>
    <t>=NL("sum","Production Order","Quantity","Source No.",$D997,"Equipment Code",$L997,"due date",G$8)/-12</t>
  </si>
  <si>
    <t>=NL("sum","Production Order","Quantity","Source No.",$D997,"Equipment Code",$L997,"due date",H$8)/-12</t>
  </si>
  <si>
    <t>=NL("sum","Production Order","Quantity","Source No.",$D997,"Equipment Code",$L997,"due date",I$8)/-12</t>
  </si>
  <si>
    <t>=NL("sum","Production Order","Quantity","Source No.",$D997,"Equipment Code",$L997,"due date",J$8)/$J$7</t>
  </si>
  <si>
    <t>=AVERAGE(I997:J997)</t>
  </si>
  <si>
    <t>=IF(K998=0,"hide","")</t>
  </si>
  <si>
    <t>=D997</t>
  </si>
  <si>
    <t>=NL("sum","Production Order","Quantity","Source No.",$D998,"Equipment Code",$L998,"due date",F$8)/-12</t>
  </si>
  <si>
    <t>=NL("sum","Production Order","Quantity","Source No.",$D998,"Equipment Code",$L998,"due date",G$8)/-12</t>
  </si>
  <si>
    <t>=NL("sum","Production Order","Quantity","Source No.",$D998,"Equipment Code",$L998,"due date",H$8)/-12</t>
  </si>
  <si>
    <t>=NL("sum","Production Order","Quantity","Source No.",$D998,"Equipment Code",$L998,"due date",I$8)/-12</t>
  </si>
  <si>
    <t>=NL("sum","Production Order","Quantity","Source No.",$D998,"Equipment Code",$L998,"due date",J$8)/$J$7</t>
  </si>
  <si>
    <t>=AVERAGE(I998:J998)</t>
  </si>
  <si>
    <t>=B995</t>
  </si>
  <si>
    <t>=B999</t>
  </si>
  <si>
    <t>=SUM(F995:F999)</t>
  </si>
  <si>
    <t>=SUM(G995:G999)</t>
  </si>
  <si>
    <t>=SUM(H995:H999)</t>
  </si>
  <si>
    <t>=SUM(I995:I999)</t>
  </si>
  <si>
    <t>=SUM(J995:J999)</t>
  </si>
  <si>
    <t>=IF(K1001=0,"hide","")</t>
  </si>
  <si>
    <t>="102661"</t>
  </si>
  <si>
    <t>=NL("rows","Production BOM Version","Version Code","Production BOM No.",D1001,"status","certified")</t>
  </si>
  <si>
    <t>=NL("sum","Item Ledger Entry","Quantity","Item No.",$D1001,"Entry Type","Sale|Consumption","posting date","01/01/19..12/31/19")/-12</t>
  </si>
  <si>
    <t>=NL("sum","Item Ledger Entry","Quantity","Item No.",$D1001,"Entry Type","Sale|Consumption","posting date","01/01/20..12/31/20")/-12</t>
  </si>
  <si>
    <t>=NL("sum","Item Ledger Entry","Quantity","Item No.",$D1001,"Entry Type","Sale|Consumption","posting date","01/01/21..12/31/21")/-12</t>
  </si>
  <si>
    <t>=NL("sum","Item Ledger Entry","Quantity","Item No.",$D1001,"Entry Type","Sale|Consumption","posting date","01/01/22..12/31/22")/-12</t>
  </si>
  <si>
    <t>=NL("sum","Item Ledger Entry","Quantity","Item No.",$D1001,"Entry Type","Sale|Consumption","posting date","01/01/23..12/31/23")/$J$7</t>
  </si>
  <si>
    <t>=AVERAGE(I1001:J1001)</t>
  </si>
  <si>
    <t>=NL(1,"item",L$9,"no.",D1001)</t>
  </si>
  <si>
    <t>=NL(1,"item",M$9,"no.",$D1001)</t>
  </si>
  <si>
    <t>=NL(1,"item","Units Per Parcel","no.",$D1001)</t>
  </si>
  <si>
    <t>=NL(1,"Prod. BOM Equipment","Fixed Prod. Time (Hours)","Production BOM No.",$D1001,"version code",$E1001,"Resource No.",O$9)</t>
  </si>
  <si>
    <t>=1/O1001</t>
  </si>
  <si>
    <t>=IF(NL(1,"Prod. BOM Equipment","Variable Prod. Time (Hours)","Production BOM No.",$D1001,"version code",$E1001,"Resource No.",$O$9)="",1,NL(1,"Prod. BOM Equipment","Variable Prod. Time (Hours)","Production BOM No.",$D1001,"version code",$E1001,"Resource No.",$O$9))</t>
  </si>
  <si>
    <t>=1/Q1001</t>
  </si>
  <si>
    <t>=R1001*N1001</t>
  </si>
  <si>
    <t>=IF(K1002=0,"hide","")</t>
  </si>
  <si>
    <t>=D1001</t>
  </si>
  <si>
    <t>=NL("sum","Production Order","Quantity","Source No.",$D1002,"Equipment Code",$L1002,"due date",F$8)/-12</t>
  </si>
  <si>
    <t>=NL("sum","Production Order","Quantity","Source No.",$D1002,"Equipment Code",$L1002,"due date",G$8)/-12</t>
  </si>
  <si>
    <t>=NL("sum","Production Order","Quantity","Source No.",$D1002,"Equipment Code",$L1002,"due date",H$8)/-12</t>
  </si>
  <si>
    <t>=NL("sum","Production Order","Quantity","Source No.",$D1002,"Equipment Code",$L1002,"due date",I$8)/-12</t>
  </si>
  <si>
    <t>=NL("sum","Production Order","Quantity","Source No.",$D1002,"Equipment Code",$L1002,"due date",J$8)/$J$7</t>
  </si>
  <si>
    <t>=AVERAGE(I1002:J1002)</t>
  </si>
  <si>
    <t>=IF(K1003=0,"hide","")</t>
  </si>
  <si>
    <t>=D1002</t>
  </si>
  <si>
    <t>=NL("sum","Production Order","Quantity","Source No.",$D1003,"Equipment Code",$L1003,"due date",F$8)/-12</t>
  </si>
  <si>
    <t>=NL("sum","Production Order","Quantity","Source No.",$D1003,"Equipment Code",$L1003,"due date",G$8)/-12</t>
  </si>
  <si>
    <t>=NL("sum","Production Order","Quantity","Source No.",$D1003,"Equipment Code",$L1003,"due date",H$8)/-12</t>
  </si>
  <si>
    <t>=NL("sum","Production Order","Quantity","Source No.",$D1003,"Equipment Code",$L1003,"due date",I$8)/-12</t>
  </si>
  <si>
    <t>=NL("sum","Production Order","Quantity","Source No.",$D1003,"Equipment Code",$L1003,"due date",J$8)/$J$7</t>
  </si>
  <si>
    <t>=AVERAGE(I1003:J1003)</t>
  </si>
  <si>
    <t>=IF(K1004=0,"hide","")</t>
  </si>
  <si>
    <t>=D1003</t>
  </si>
  <si>
    <t>=NL("sum","Production Order","Quantity","Source No.",$D1004,"Equipment Code",$L1004,"due date",F$8)/-12</t>
  </si>
  <si>
    <t>=NL("sum","Production Order","Quantity","Source No.",$D1004,"Equipment Code",$L1004,"due date",G$8)/-12</t>
  </si>
  <si>
    <t>=NL("sum","Production Order","Quantity","Source No.",$D1004,"Equipment Code",$L1004,"due date",H$8)/-12</t>
  </si>
  <si>
    <t>=NL("sum","Production Order","Quantity","Source No.",$D1004,"Equipment Code",$L1004,"due date",I$8)/-12</t>
  </si>
  <si>
    <t>=NL("sum","Production Order","Quantity","Source No.",$D1004,"Equipment Code",$L1004,"due date",J$8)/$J$7</t>
  </si>
  <si>
    <t>=AVERAGE(I1004:J1004)</t>
  </si>
  <si>
    <t>=IF(K1005=0,"hide","")</t>
  </si>
  <si>
    <t>=D1004</t>
  </si>
  <si>
    <t>=NL("sum","Production Order","Quantity","Source No.",$D1005,"Equipment Code",$L1005,"due date",F$8)/-12</t>
  </si>
  <si>
    <t>=NL("sum","Production Order","Quantity","Source No.",$D1005,"Equipment Code",$L1005,"due date",G$8)/-12</t>
  </si>
  <si>
    <t>=NL("sum","Production Order","Quantity","Source No.",$D1005,"Equipment Code",$L1005,"due date",H$8)/-12</t>
  </si>
  <si>
    <t>=NL("sum","Production Order","Quantity","Source No.",$D1005,"Equipment Code",$L1005,"due date",I$8)/-12</t>
  </si>
  <si>
    <t>=NL("sum","Production Order","Quantity","Source No.",$D1005,"Equipment Code",$L1005,"due date",J$8)/$J$7</t>
  </si>
  <si>
    <t>=AVERAGE(I1005:J1005)</t>
  </si>
  <si>
    <t>=B1002</t>
  </si>
  <si>
    <t>=B1006</t>
  </si>
  <si>
    <t>=SUM(F1002:F1006)</t>
  </si>
  <si>
    <t>=SUM(G1002:G1006)</t>
  </si>
  <si>
    <t>=SUM(H1002:H1006)</t>
  </si>
  <si>
    <t>=SUM(I1002:I1006)</t>
  </si>
  <si>
    <t>=SUM(J1002:J1006)</t>
  </si>
  <si>
    <t>=IF(K1008=0,"hide","")</t>
  </si>
  <si>
    <t>="102675"</t>
  </si>
  <si>
    <t>=NL("rows","Production BOM Version","Version Code","Production BOM No.",D1008,"status","certified")</t>
  </si>
  <si>
    <t>=NL("sum","Item Ledger Entry","Quantity","Item No.",$D1008,"Entry Type","Sale|Consumption","posting date","01/01/19..12/31/19")/-12</t>
  </si>
  <si>
    <t>=NL("sum","Item Ledger Entry","Quantity","Item No.",$D1008,"Entry Type","Sale|Consumption","posting date","01/01/20..12/31/20")/-12</t>
  </si>
  <si>
    <t>=NL("sum","Item Ledger Entry","Quantity","Item No.",$D1008,"Entry Type","Sale|Consumption","posting date","01/01/21..12/31/21")/-12</t>
  </si>
  <si>
    <t>=NL("sum","Item Ledger Entry","Quantity","Item No.",$D1008,"Entry Type","Sale|Consumption","posting date","01/01/22..12/31/22")/-12</t>
  </si>
  <si>
    <t>=NL("sum","Item Ledger Entry","Quantity","Item No.",$D1008,"Entry Type","Sale|Consumption","posting date","01/01/23..12/31/23")/$J$7</t>
  </si>
  <si>
    <t>=AVERAGE(I1008:J1008)</t>
  </si>
  <si>
    <t>=NL(1,"item",L$9,"no.",D1008)</t>
  </si>
  <si>
    <t>=NL(1,"item",M$9,"no.",$D1008)</t>
  </si>
  <si>
    <t>=NL(1,"item","Units Per Parcel","no.",$D1008)</t>
  </si>
  <si>
    <t>=NL(1,"Prod. BOM Equipment","Fixed Prod. Time (Hours)","Production BOM No.",$D1008,"version code",$E1008,"Resource No.",O$9)</t>
  </si>
  <si>
    <t>=1/O1008</t>
  </si>
  <si>
    <t>=IF(NL(1,"Prod. BOM Equipment","Variable Prod. Time (Hours)","Production BOM No.",$D1008,"version code",$E1008,"Resource No.",$O$9)="",1,NL(1,"Prod. BOM Equipment","Variable Prod. Time (Hours)","Production BOM No.",$D1008,"version code",$E1008,"Resource No.",$O$9))</t>
  </si>
  <si>
    <t>=1/Q1008</t>
  </si>
  <si>
    <t>=R1008*N1008</t>
  </si>
  <si>
    <t>=IF(K1009=0,"hide","")</t>
  </si>
  <si>
    <t>=D1008</t>
  </si>
  <si>
    <t>=NL("sum","Production Order","Quantity","Source No.",$D1009,"Equipment Code",$L1009,"due date",F$8)/-12</t>
  </si>
  <si>
    <t>=NL("sum","Production Order","Quantity","Source No.",$D1009,"Equipment Code",$L1009,"due date",G$8)/-12</t>
  </si>
  <si>
    <t>=NL("sum","Production Order","Quantity","Source No.",$D1009,"Equipment Code",$L1009,"due date",H$8)/-12</t>
  </si>
  <si>
    <t>=NL("sum","Production Order","Quantity","Source No.",$D1009,"Equipment Code",$L1009,"due date",I$8)/-12</t>
  </si>
  <si>
    <t>=NL("sum","Production Order","Quantity","Source No.",$D1009,"Equipment Code",$L1009,"due date",J$8)/$J$7</t>
  </si>
  <si>
    <t>=AVERAGE(I1009:J1009)</t>
  </si>
  <si>
    <t>=IF(K1010=0,"hide","")</t>
  </si>
  <si>
    <t>=D1009</t>
  </si>
  <si>
    <t>=NL("sum","Production Order","Quantity","Source No.",$D1010,"Equipment Code",$L1010,"due date",F$8)/-12</t>
  </si>
  <si>
    <t>=NL("sum","Production Order","Quantity","Source No.",$D1010,"Equipment Code",$L1010,"due date",G$8)/-12</t>
  </si>
  <si>
    <t>=NL("sum","Production Order","Quantity","Source No.",$D1010,"Equipment Code",$L1010,"due date",H$8)/-12</t>
  </si>
  <si>
    <t>=NL("sum","Production Order","Quantity","Source No.",$D1010,"Equipment Code",$L1010,"due date",I$8)/-12</t>
  </si>
  <si>
    <t>=NL("sum","Production Order","Quantity","Source No.",$D1010,"Equipment Code",$L1010,"due date",J$8)/$J$7</t>
  </si>
  <si>
    <t>=AVERAGE(I1010:J1010)</t>
  </si>
  <si>
    <t>=IF(K1011=0,"hide","")</t>
  </si>
  <si>
    <t>=D1010</t>
  </si>
  <si>
    <t>=NL("sum","Production Order","Quantity","Source No.",$D1011,"Equipment Code",$L1011,"due date",F$8)/-12</t>
  </si>
  <si>
    <t>=NL("sum","Production Order","Quantity","Source No.",$D1011,"Equipment Code",$L1011,"due date",G$8)/-12</t>
  </si>
  <si>
    <t>=NL("sum","Production Order","Quantity","Source No.",$D1011,"Equipment Code",$L1011,"due date",H$8)/-12</t>
  </si>
  <si>
    <t>=NL("sum","Production Order","Quantity","Source No.",$D1011,"Equipment Code",$L1011,"due date",I$8)/-12</t>
  </si>
  <si>
    <t>=NL("sum","Production Order","Quantity","Source No.",$D1011,"Equipment Code",$L1011,"due date",J$8)/$J$7</t>
  </si>
  <si>
    <t>=AVERAGE(I1011:J1011)</t>
  </si>
  <si>
    <t>=IF(K1012=0,"hide","")</t>
  </si>
  <si>
    <t>=D1011</t>
  </si>
  <si>
    <t>=NL("sum","Production Order","Quantity","Source No.",$D1012,"Equipment Code",$L1012,"due date",F$8)/-12</t>
  </si>
  <si>
    <t>=NL("sum","Production Order","Quantity","Source No.",$D1012,"Equipment Code",$L1012,"due date",G$8)/-12</t>
  </si>
  <si>
    <t>=NL("sum","Production Order","Quantity","Source No.",$D1012,"Equipment Code",$L1012,"due date",H$8)/-12</t>
  </si>
  <si>
    <t>=NL("sum","Production Order","Quantity","Source No.",$D1012,"Equipment Code",$L1012,"due date",I$8)/-12</t>
  </si>
  <si>
    <t>=NL("sum","Production Order","Quantity","Source No.",$D1012,"Equipment Code",$L1012,"due date",J$8)/$J$7</t>
  </si>
  <si>
    <t>=AVERAGE(I1012:J1012)</t>
  </si>
  <si>
    <t>=B1009</t>
  </si>
  <si>
    <t>=B1013</t>
  </si>
  <si>
    <t>=SUM(F1009:F1013)</t>
  </si>
  <si>
    <t>=SUM(G1009:G1013)</t>
  </si>
  <si>
    <t>=SUM(H1009:H1013)</t>
  </si>
  <si>
    <t>=SUM(I1009:I1013)</t>
  </si>
  <si>
    <t>=SUM(J1009:J1013)</t>
  </si>
  <si>
    <t>=IF(K1015=0,"hide","")</t>
  </si>
  <si>
    <t>="103658"</t>
  </si>
  <si>
    <t>=NL("rows","Production BOM Version","Version Code","Production BOM No.",D1015,"status","certified")</t>
  </si>
  <si>
    <t>=NL("sum","Item Ledger Entry","Quantity","Item No.",$D1015,"Entry Type","Sale|Consumption","posting date","01/01/19..12/31/19")/-12</t>
  </si>
  <si>
    <t>=NL("sum","Item Ledger Entry","Quantity","Item No.",$D1015,"Entry Type","Sale|Consumption","posting date","01/01/20..12/31/20")/-12</t>
  </si>
  <si>
    <t>=NL("sum","Item Ledger Entry","Quantity","Item No.",$D1015,"Entry Type","Sale|Consumption","posting date","01/01/21..12/31/21")/-12</t>
  </si>
  <si>
    <t>=NL("sum","Item Ledger Entry","Quantity","Item No.",$D1015,"Entry Type","Sale|Consumption","posting date","01/01/22..12/31/22")/-12</t>
  </si>
  <si>
    <t>=NL("sum","Item Ledger Entry","Quantity","Item No.",$D1015,"Entry Type","Sale|Consumption","posting date","01/01/23..12/31/23")/$J$7</t>
  </si>
  <si>
    <t>=AVERAGE(I1015:J1015)</t>
  </si>
  <si>
    <t>=NL(1,"item",L$9,"no.",D1015)</t>
  </si>
  <si>
    <t>=NL(1,"item",M$9,"no.",$D1015)</t>
  </si>
  <si>
    <t>=NL(1,"item","Units Per Parcel","no.",$D1015)</t>
  </si>
  <si>
    <t>=NL(1,"Prod. BOM Equipment","Fixed Prod. Time (Hours)","Production BOM No.",$D1015,"version code",$E1015,"Resource No.",O$9)</t>
  </si>
  <si>
    <t>=1/O1015</t>
  </si>
  <si>
    <t>=IF(NL(1,"Prod. BOM Equipment","Variable Prod. Time (Hours)","Production BOM No.",$D1015,"version code",$E1015,"Resource No.",$O$9)="",1,NL(1,"Prod. BOM Equipment","Variable Prod. Time (Hours)","Production BOM No.",$D1015,"version code",$E1015,"Resource No.",$O$9))</t>
  </si>
  <si>
    <t>=1/Q1015</t>
  </si>
  <si>
    <t>=R1015*N1015</t>
  </si>
  <si>
    <t>=IF(K1016=0,"hide","")</t>
  </si>
  <si>
    <t>=D1015</t>
  </si>
  <si>
    <t>=NL("sum","Production Order","Quantity","Source No.",$D1016,"Equipment Code",$L1016,"due date",F$8)/-12</t>
  </si>
  <si>
    <t>=NL("sum","Production Order","Quantity","Source No.",$D1016,"Equipment Code",$L1016,"due date",G$8)/-12</t>
  </si>
  <si>
    <t>=NL("sum","Production Order","Quantity","Source No.",$D1016,"Equipment Code",$L1016,"due date",H$8)/-12</t>
  </si>
  <si>
    <t>=NL("sum","Production Order","Quantity","Source No.",$D1016,"Equipment Code",$L1016,"due date",I$8)/-12</t>
  </si>
  <si>
    <t>=NL("sum","Production Order","Quantity","Source No.",$D1016,"Equipment Code",$L1016,"due date",J$8)/$J$7</t>
  </si>
  <si>
    <t>=AVERAGE(I1016:J1016)</t>
  </si>
  <si>
    <t>=IF(K1017=0,"hide","")</t>
  </si>
  <si>
    <t>=D1016</t>
  </si>
  <si>
    <t>=NL("sum","Production Order","Quantity","Source No.",$D1017,"Equipment Code",$L1017,"due date",F$8)/-12</t>
  </si>
  <si>
    <t>=NL("sum","Production Order","Quantity","Source No.",$D1017,"Equipment Code",$L1017,"due date",G$8)/-12</t>
  </si>
  <si>
    <t>=NL("sum","Production Order","Quantity","Source No.",$D1017,"Equipment Code",$L1017,"due date",H$8)/-12</t>
  </si>
  <si>
    <t>=NL("sum","Production Order","Quantity","Source No.",$D1017,"Equipment Code",$L1017,"due date",I$8)/-12</t>
  </si>
  <si>
    <t>=NL("sum","Production Order","Quantity","Source No.",$D1017,"Equipment Code",$L1017,"due date",J$8)/$J$7</t>
  </si>
  <si>
    <t>=AVERAGE(I1017:J1017)</t>
  </si>
  <si>
    <t>=IF(K1018=0,"hide","")</t>
  </si>
  <si>
    <t>=D1017</t>
  </si>
  <si>
    <t>=NL("sum","Production Order","Quantity","Source No.",$D1018,"Equipment Code",$L1018,"due date",F$8)/-12</t>
  </si>
  <si>
    <t>=NL("sum","Production Order","Quantity","Source No.",$D1018,"Equipment Code",$L1018,"due date",G$8)/-12</t>
  </si>
  <si>
    <t>=NL("sum","Production Order","Quantity","Source No.",$D1018,"Equipment Code",$L1018,"due date",H$8)/-12</t>
  </si>
  <si>
    <t>=NL("sum","Production Order","Quantity","Source No.",$D1018,"Equipment Code",$L1018,"due date",I$8)/-12</t>
  </si>
  <si>
    <t>=NL("sum","Production Order","Quantity","Source No.",$D1018,"Equipment Code",$L1018,"due date",J$8)/$J$7</t>
  </si>
  <si>
    <t>=AVERAGE(I1018:J1018)</t>
  </si>
  <si>
    <t>=IF(K1019=0,"hide","")</t>
  </si>
  <si>
    <t>=D1018</t>
  </si>
  <si>
    <t>=NL("sum","Production Order","Quantity","Source No.",$D1019,"Equipment Code",$L1019,"due date",F$8)/-12</t>
  </si>
  <si>
    <t>=NL("sum","Production Order","Quantity","Source No.",$D1019,"Equipment Code",$L1019,"due date",G$8)/-12</t>
  </si>
  <si>
    <t>=NL("sum","Production Order","Quantity","Source No.",$D1019,"Equipment Code",$L1019,"due date",H$8)/-12</t>
  </si>
  <si>
    <t>=NL("sum","Production Order","Quantity","Source No.",$D1019,"Equipment Code",$L1019,"due date",I$8)/-12</t>
  </si>
  <si>
    <t>=NL("sum","Production Order","Quantity","Source No.",$D1019,"Equipment Code",$L1019,"due date",J$8)/$J$7</t>
  </si>
  <si>
    <t>=AVERAGE(I1019:J1019)</t>
  </si>
  <si>
    <t>=B1016</t>
  </si>
  <si>
    <t>=B1020</t>
  </si>
  <si>
    <t>=SUM(F1016:F1020)</t>
  </si>
  <si>
    <t>=SUM(G1016:G1020)</t>
  </si>
  <si>
    <t>=SUM(H1016:H1020)</t>
  </si>
  <si>
    <t>=SUM(I1016:I1020)</t>
  </si>
  <si>
    <t>=SUM(J1016:J1020)</t>
  </si>
  <si>
    <t>=IF(K1022=0,"hide","")</t>
  </si>
  <si>
    <t>="103766"</t>
  </si>
  <si>
    <t>=NL("rows","Production BOM Version","Version Code","Production BOM No.",D1022,"status","certified")</t>
  </si>
  <si>
    <t>=NL("sum","Item Ledger Entry","Quantity","Item No.",$D1022,"Entry Type","Sale|Consumption","posting date","01/01/19..12/31/19")/-12</t>
  </si>
  <si>
    <t>=NL("sum","Item Ledger Entry","Quantity","Item No.",$D1022,"Entry Type","Sale|Consumption","posting date","01/01/20..12/31/20")/-12</t>
  </si>
  <si>
    <t>=NL("sum","Item Ledger Entry","Quantity","Item No.",$D1022,"Entry Type","Sale|Consumption","posting date","01/01/21..12/31/21")/-12</t>
  </si>
  <si>
    <t>=NL("sum","Item Ledger Entry","Quantity","Item No.",$D1022,"Entry Type","Sale|Consumption","posting date","01/01/22..12/31/22")/-12</t>
  </si>
  <si>
    <t>=NL("sum","Item Ledger Entry","Quantity","Item No.",$D1022,"Entry Type","Sale|Consumption","posting date","01/01/23..12/31/23")/$J$7</t>
  </si>
  <si>
    <t>=AVERAGE(I1022:J1022)</t>
  </si>
  <si>
    <t>=NL(1,"item",L$9,"no.",D1022)</t>
  </si>
  <si>
    <t>=NL(1,"item",M$9,"no.",$D1022)</t>
  </si>
  <si>
    <t>=NL(1,"item","Units Per Parcel","no.",$D1022)</t>
  </si>
  <si>
    <t>=NL(1,"Prod. BOM Equipment","Fixed Prod. Time (Hours)","Production BOM No.",$D1022,"version code",$E1022,"Resource No.",O$9)</t>
  </si>
  <si>
    <t>=1/O1022</t>
  </si>
  <si>
    <t>=IF(NL(1,"Prod. BOM Equipment","Variable Prod. Time (Hours)","Production BOM No.",$D1022,"version code",$E1022,"Resource No.",$O$9)="",1,NL(1,"Prod. BOM Equipment","Variable Prod. Time (Hours)","Production BOM No.",$D1022,"version code",$E1022,"Resource No.",$O$9))</t>
  </si>
  <si>
    <t>=1/Q1022</t>
  </si>
  <si>
    <t>=R1022*N1022</t>
  </si>
  <si>
    <t>=IF(K1023=0,"hide","")</t>
  </si>
  <si>
    <t>=D1022</t>
  </si>
  <si>
    <t>=NL("sum","Production Order","Quantity","Source No.",$D1023,"Equipment Code",$L1023,"due date",F$8)/-12</t>
  </si>
  <si>
    <t>=NL("sum","Production Order","Quantity","Source No.",$D1023,"Equipment Code",$L1023,"due date",G$8)/-12</t>
  </si>
  <si>
    <t>=NL("sum","Production Order","Quantity","Source No.",$D1023,"Equipment Code",$L1023,"due date",H$8)/-12</t>
  </si>
  <si>
    <t>=NL("sum","Production Order","Quantity","Source No.",$D1023,"Equipment Code",$L1023,"due date",I$8)/-12</t>
  </si>
  <si>
    <t>=NL("sum","Production Order","Quantity","Source No.",$D1023,"Equipment Code",$L1023,"due date",J$8)/$J$7</t>
  </si>
  <si>
    <t>=AVERAGE(I1023:J1023)</t>
  </si>
  <si>
    <t>=IF(K1024=0,"hide","")</t>
  </si>
  <si>
    <t>=D1023</t>
  </si>
  <si>
    <t>=NL("sum","Production Order","Quantity","Source No.",$D1024,"Equipment Code",$L1024,"due date",F$8)/-12</t>
  </si>
  <si>
    <t>=NL("sum","Production Order","Quantity","Source No.",$D1024,"Equipment Code",$L1024,"due date",G$8)/-12</t>
  </si>
  <si>
    <t>=NL("sum","Production Order","Quantity","Source No.",$D1024,"Equipment Code",$L1024,"due date",H$8)/-12</t>
  </si>
  <si>
    <t>=NL("sum","Production Order","Quantity","Source No.",$D1024,"Equipment Code",$L1024,"due date",I$8)/-12</t>
  </si>
  <si>
    <t>=NL("sum","Production Order","Quantity","Source No.",$D1024,"Equipment Code",$L1024,"due date",J$8)/$J$7</t>
  </si>
  <si>
    <t>=AVERAGE(I1024:J1024)</t>
  </si>
  <si>
    <t>=IF(K1025=0,"hide","")</t>
  </si>
  <si>
    <t>=D1024</t>
  </si>
  <si>
    <t>=NL("sum","Production Order","Quantity","Source No.",$D1025,"Equipment Code",$L1025,"due date",F$8)/-12</t>
  </si>
  <si>
    <t>=NL("sum","Production Order","Quantity","Source No.",$D1025,"Equipment Code",$L1025,"due date",G$8)/-12</t>
  </si>
  <si>
    <t>=NL("sum","Production Order","Quantity","Source No.",$D1025,"Equipment Code",$L1025,"due date",H$8)/-12</t>
  </si>
  <si>
    <t>=NL("sum","Production Order","Quantity","Source No.",$D1025,"Equipment Code",$L1025,"due date",I$8)/-12</t>
  </si>
  <si>
    <t>=NL("sum","Production Order","Quantity","Source No.",$D1025,"Equipment Code",$L1025,"due date",J$8)/$J$7</t>
  </si>
  <si>
    <t>=AVERAGE(I1025:J1025)</t>
  </si>
  <si>
    <t>=IF(K1026=0,"hide","")</t>
  </si>
  <si>
    <t>=D1025</t>
  </si>
  <si>
    <t>=NL("sum","Production Order","Quantity","Source No.",$D1026,"Equipment Code",$L1026,"due date",F$8)/-12</t>
  </si>
  <si>
    <t>=NL("sum","Production Order","Quantity","Source No.",$D1026,"Equipment Code",$L1026,"due date",G$8)/-12</t>
  </si>
  <si>
    <t>=NL("sum","Production Order","Quantity","Source No.",$D1026,"Equipment Code",$L1026,"due date",H$8)/-12</t>
  </si>
  <si>
    <t>=NL("sum","Production Order","Quantity","Source No.",$D1026,"Equipment Code",$L1026,"due date",I$8)/-12</t>
  </si>
  <si>
    <t>=NL("sum","Production Order","Quantity","Source No.",$D1026,"Equipment Code",$L1026,"due date",J$8)/$J$7</t>
  </si>
  <si>
    <t>=AVERAGE(I1026:J1026)</t>
  </si>
  <si>
    <t>=B1023</t>
  </si>
  <si>
    <t>=B1027</t>
  </si>
  <si>
    <t>=SUM(F1023:F1027)</t>
  </si>
  <si>
    <t>=SUM(G1023:G1027)</t>
  </si>
  <si>
    <t>=SUM(H1023:H1027)</t>
  </si>
  <si>
    <t>=SUM(I1023:I1027)</t>
  </si>
  <si>
    <t>=SUM(J1023:J1027)</t>
  </si>
  <si>
    <t>=IF(K1029=0,"hide","")</t>
  </si>
  <si>
    <t>="103775"</t>
  </si>
  <si>
    <t>=NL("rows","Production BOM Version","Version Code","Production BOM No.",D1029,"status","certified")</t>
  </si>
  <si>
    <t>=NL("sum","Item Ledger Entry","Quantity","Item No.",$D1029,"Entry Type","Sale|Consumption","posting date","01/01/19..12/31/19")/-12</t>
  </si>
  <si>
    <t>=NL("sum","Item Ledger Entry","Quantity","Item No.",$D1029,"Entry Type","Sale|Consumption","posting date","01/01/20..12/31/20")/-12</t>
  </si>
  <si>
    <t>=NL("sum","Item Ledger Entry","Quantity","Item No.",$D1029,"Entry Type","Sale|Consumption","posting date","01/01/21..12/31/21")/-12</t>
  </si>
  <si>
    <t>=NL("sum","Item Ledger Entry","Quantity","Item No.",$D1029,"Entry Type","Sale|Consumption","posting date","01/01/22..12/31/22")/-12</t>
  </si>
  <si>
    <t>=NL("sum","Item Ledger Entry","Quantity","Item No.",$D1029,"Entry Type","Sale|Consumption","posting date","01/01/23..12/31/23")/$J$7</t>
  </si>
  <si>
    <t>=AVERAGE(I1029:J1029)</t>
  </si>
  <si>
    <t>=NL(1,"item",L$9,"no.",D1029)</t>
  </si>
  <si>
    <t>=NL(1,"item",M$9,"no.",$D1029)</t>
  </si>
  <si>
    <t>=NL(1,"item","Units Per Parcel","no.",$D1029)</t>
  </si>
  <si>
    <t>=NL(1,"Prod. BOM Equipment","Fixed Prod. Time (Hours)","Production BOM No.",$D1029,"version code",$E1029,"Resource No.",O$9)</t>
  </si>
  <si>
    <t>=1/O1029</t>
  </si>
  <si>
    <t>=IF(NL(1,"Prod. BOM Equipment","Variable Prod. Time (Hours)","Production BOM No.",$D1029,"version code",$E1029,"Resource No.",$O$9)="",1,NL(1,"Prod. BOM Equipment","Variable Prod. Time (Hours)","Production BOM No.",$D1029,"version code",$E1029,"Resource No.",$O$9))</t>
  </si>
  <si>
    <t>=1/Q1029</t>
  </si>
  <si>
    <t>=R1029*N1029</t>
  </si>
  <si>
    <t>=IF(K1030=0,"hide","")</t>
  </si>
  <si>
    <t>=D1029</t>
  </si>
  <si>
    <t>=NL("sum","Production Order","Quantity","Source No.",$D1030,"Equipment Code",$L1030,"due date",F$8)/-12</t>
  </si>
  <si>
    <t>=NL("sum","Production Order","Quantity","Source No.",$D1030,"Equipment Code",$L1030,"due date",G$8)/-12</t>
  </si>
  <si>
    <t>=NL("sum","Production Order","Quantity","Source No.",$D1030,"Equipment Code",$L1030,"due date",H$8)/-12</t>
  </si>
  <si>
    <t>=NL("sum","Production Order","Quantity","Source No.",$D1030,"Equipment Code",$L1030,"due date",I$8)/-12</t>
  </si>
  <si>
    <t>=NL("sum","Production Order","Quantity","Source No.",$D1030,"Equipment Code",$L1030,"due date",J$8)/$J$7</t>
  </si>
  <si>
    <t>=AVERAGE(I1030:J1030)</t>
  </si>
  <si>
    <t>=IF(K1031=0,"hide","")</t>
  </si>
  <si>
    <t>=D1030</t>
  </si>
  <si>
    <t>=NL("sum","Production Order","Quantity","Source No.",$D1031,"Equipment Code",$L1031,"due date",F$8)/-12</t>
  </si>
  <si>
    <t>=NL("sum","Production Order","Quantity","Source No.",$D1031,"Equipment Code",$L1031,"due date",G$8)/-12</t>
  </si>
  <si>
    <t>=NL("sum","Production Order","Quantity","Source No.",$D1031,"Equipment Code",$L1031,"due date",H$8)/-12</t>
  </si>
  <si>
    <t>=NL("sum","Production Order","Quantity","Source No.",$D1031,"Equipment Code",$L1031,"due date",I$8)/-12</t>
  </si>
  <si>
    <t>=NL("sum","Production Order","Quantity","Source No.",$D1031,"Equipment Code",$L1031,"due date",J$8)/$J$7</t>
  </si>
  <si>
    <t>=AVERAGE(I1031:J1031)</t>
  </si>
  <si>
    <t>=IF(K1032=0,"hide","")</t>
  </si>
  <si>
    <t>=D1031</t>
  </si>
  <si>
    <t>=NL("sum","Production Order","Quantity","Source No.",$D1032,"Equipment Code",$L1032,"due date",F$8)/-12</t>
  </si>
  <si>
    <t>=NL("sum","Production Order","Quantity","Source No.",$D1032,"Equipment Code",$L1032,"due date",G$8)/-12</t>
  </si>
  <si>
    <t>=NL("sum","Production Order","Quantity","Source No.",$D1032,"Equipment Code",$L1032,"due date",H$8)/-12</t>
  </si>
  <si>
    <t>=NL("sum","Production Order","Quantity","Source No.",$D1032,"Equipment Code",$L1032,"due date",I$8)/-12</t>
  </si>
  <si>
    <t>=NL("sum","Production Order","Quantity","Source No.",$D1032,"Equipment Code",$L1032,"due date",J$8)/$J$7</t>
  </si>
  <si>
    <t>=AVERAGE(I1032:J1032)</t>
  </si>
  <si>
    <t>=IF(K1033=0,"hide","")</t>
  </si>
  <si>
    <t>=D1032</t>
  </si>
  <si>
    <t>=NL("sum","Production Order","Quantity","Source No.",$D1033,"Equipment Code",$L1033,"due date",F$8)/-12</t>
  </si>
  <si>
    <t>=NL("sum","Production Order","Quantity","Source No.",$D1033,"Equipment Code",$L1033,"due date",G$8)/-12</t>
  </si>
  <si>
    <t>=NL("sum","Production Order","Quantity","Source No.",$D1033,"Equipment Code",$L1033,"due date",H$8)/-12</t>
  </si>
  <si>
    <t>=NL("sum","Production Order","Quantity","Source No.",$D1033,"Equipment Code",$L1033,"due date",I$8)/-12</t>
  </si>
  <si>
    <t>=NL("sum","Production Order","Quantity","Source No.",$D1033,"Equipment Code",$L1033,"due date",J$8)/$J$7</t>
  </si>
  <si>
    <t>=AVERAGE(I1033:J1033)</t>
  </si>
  <si>
    <t>=B1030</t>
  </si>
  <si>
    <t>=B1034</t>
  </si>
  <si>
    <t>=SUM(F1030:F1034)</t>
  </si>
  <si>
    <t>=SUM(G1030:G1034)</t>
  </si>
  <si>
    <t>=SUM(H1030:H1034)</t>
  </si>
  <si>
    <t>=SUM(I1030:I1034)</t>
  </si>
  <si>
    <t>=SUM(J1030:J1034)</t>
  </si>
  <si>
    <t>=IF(K1036=0,"hide","")</t>
  </si>
  <si>
    <t>="10405"</t>
  </si>
  <si>
    <t>=NL("rows","Production BOM Version","Version Code","Production BOM No.",D1036,"status","certified")</t>
  </si>
  <si>
    <t>=NL("sum","Item Ledger Entry","Quantity","Item No.",$D1036,"Entry Type","Sale|Consumption","posting date","01/01/19..12/31/19")/-12</t>
  </si>
  <si>
    <t>=NL("sum","Item Ledger Entry","Quantity","Item No.",$D1036,"Entry Type","Sale|Consumption","posting date","01/01/20..12/31/20")/-12</t>
  </si>
  <si>
    <t>=NL("sum","Item Ledger Entry","Quantity","Item No.",$D1036,"Entry Type","Sale|Consumption","posting date","01/01/21..12/31/21")/-12</t>
  </si>
  <si>
    <t>=NL("sum","Item Ledger Entry","Quantity","Item No.",$D1036,"Entry Type","Sale|Consumption","posting date","01/01/22..12/31/22")/-12</t>
  </si>
  <si>
    <t>=NL("sum","Item Ledger Entry","Quantity","Item No.",$D1036,"Entry Type","Sale|Consumption","posting date","01/01/23..12/31/23")/$J$7</t>
  </si>
  <si>
    <t>=AVERAGE(I1036:J1036)</t>
  </si>
  <si>
    <t>=NL(1,"item",L$9,"no.",D1036)</t>
  </si>
  <si>
    <t>=NL(1,"item",M$9,"no.",$D1036)</t>
  </si>
  <si>
    <t>=NL(1,"item","Units Per Parcel","no.",$D1036)</t>
  </si>
  <si>
    <t>=NL(1,"Prod. BOM Equipment","Fixed Prod. Time (Hours)","Production BOM No.",$D1036,"version code",$E1036,"Resource No.",O$9)</t>
  </si>
  <si>
    <t>=1/O1036</t>
  </si>
  <si>
    <t>=IF(NL(1,"Prod. BOM Equipment","Variable Prod. Time (Hours)","Production BOM No.",$D1036,"version code",$E1036,"Resource No.",$O$9)="",1,NL(1,"Prod. BOM Equipment","Variable Prod. Time (Hours)","Production BOM No.",$D1036,"version code",$E1036,"Resource No.",$O$9))</t>
  </si>
  <si>
    <t>=1/Q1036</t>
  </si>
  <si>
    <t>=R1036*N1036</t>
  </si>
  <si>
    <t>=IF(K1037=0,"hide","")</t>
  </si>
  <si>
    <t>=D1036</t>
  </si>
  <si>
    <t>=NL("sum","Production Order","Quantity","Source No.",$D1037,"Equipment Code",$L1037,"due date",F$8)/-12</t>
  </si>
  <si>
    <t>=NL("sum","Production Order","Quantity","Source No.",$D1037,"Equipment Code",$L1037,"due date",G$8)/-12</t>
  </si>
  <si>
    <t>=NL("sum","Production Order","Quantity","Source No.",$D1037,"Equipment Code",$L1037,"due date",H$8)/-12</t>
  </si>
  <si>
    <t>=NL("sum","Production Order","Quantity","Source No.",$D1037,"Equipment Code",$L1037,"due date",I$8)/-12</t>
  </si>
  <si>
    <t>=NL("sum","Production Order","Quantity","Source No.",$D1037,"Equipment Code",$L1037,"due date",J$8)/$J$7</t>
  </si>
  <si>
    <t>=AVERAGE(I1037:J1037)</t>
  </si>
  <si>
    <t>=IF(K1038=0,"hide","")</t>
  </si>
  <si>
    <t>=D1037</t>
  </si>
  <si>
    <t>=NL("sum","Production Order","Quantity","Source No.",$D1038,"Equipment Code",$L1038,"due date",F$8)/-12</t>
  </si>
  <si>
    <t>=NL("sum","Production Order","Quantity","Source No.",$D1038,"Equipment Code",$L1038,"due date",G$8)/-12</t>
  </si>
  <si>
    <t>=NL("sum","Production Order","Quantity","Source No.",$D1038,"Equipment Code",$L1038,"due date",H$8)/-12</t>
  </si>
  <si>
    <t>=NL("sum","Production Order","Quantity","Source No.",$D1038,"Equipment Code",$L1038,"due date",I$8)/-12</t>
  </si>
  <si>
    <t>=NL("sum","Production Order","Quantity","Source No.",$D1038,"Equipment Code",$L1038,"due date",J$8)/$J$7</t>
  </si>
  <si>
    <t>=AVERAGE(I1038:J1038)</t>
  </si>
  <si>
    <t>=IF(K1039=0,"hide","")</t>
  </si>
  <si>
    <t>=D1038</t>
  </si>
  <si>
    <t>=NL("sum","Production Order","Quantity","Source No.",$D1039,"Equipment Code",$L1039,"due date",F$8)/-12</t>
  </si>
  <si>
    <t>=NL("sum","Production Order","Quantity","Source No.",$D1039,"Equipment Code",$L1039,"due date",G$8)/-12</t>
  </si>
  <si>
    <t>=NL("sum","Production Order","Quantity","Source No.",$D1039,"Equipment Code",$L1039,"due date",H$8)/-12</t>
  </si>
  <si>
    <t>=NL("sum","Production Order","Quantity","Source No.",$D1039,"Equipment Code",$L1039,"due date",I$8)/-12</t>
  </si>
  <si>
    <t>=NL("sum","Production Order","Quantity","Source No.",$D1039,"Equipment Code",$L1039,"due date",J$8)/$J$7</t>
  </si>
  <si>
    <t>=AVERAGE(I1039:J1039)</t>
  </si>
  <si>
    <t>=IF(K1040=0,"hide","")</t>
  </si>
  <si>
    <t>=D1039</t>
  </si>
  <si>
    <t>=NL("sum","Production Order","Quantity","Source No.",$D1040,"Equipment Code",$L1040,"due date",F$8)/-12</t>
  </si>
  <si>
    <t>=NL("sum","Production Order","Quantity","Source No.",$D1040,"Equipment Code",$L1040,"due date",G$8)/-12</t>
  </si>
  <si>
    <t>=NL("sum","Production Order","Quantity","Source No.",$D1040,"Equipment Code",$L1040,"due date",H$8)/-12</t>
  </si>
  <si>
    <t>=NL("sum","Production Order","Quantity","Source No.",$D1040,"Equipment Code",$L1040,"due date",I$8)/-12</t>
  </si>
  <si>
    <t>=NL("sum","Production Order","Quantity","Source No.",$D1040,"Equipment Code",$L1040,"due date",J$8)/$J$7</t>
  </si>
  <si>
    <t>=AVERAGE(I1040:J1040)</t>
  </si>
  <si>
    <t>=B1037</t>
  </si>
  <si>
    <t>=B1041</t>
  </si>
  <si>
    <t>=SUM(F1037:F1041)</t>
  </si>
  <si>
    <t>=SUM(G1037:G1041)</t>
  </si>
  <si>
    <t>=SUM(H1037:H1041)</t>
  </si>
  <si>
    <t>=SUM(I1037:I1041)</t>
  </si>
  <si>
    <t>=SUM(J1037:J1041)</t>
  </si>
  <si>
    <t>=IF(K1043=0,"hide","")</t>
  </si>
  <si>
    <t>="10425"</t>
  </si>
  <si>
    <t>=NL("rows","Production BOM Version","Version Code","Production BOM No.",D1043,"status","certified")</t>
  </si>
  <si>
    <t>=NL("sum","Item Ledger Entry","Quantity","Item No.",$D1043,"Entry Type","Sale|Consumption","posting date","01/01/19..12/31/19")/-12</t>
  </si>
  <si>
    <t>=NL("sum","Item Ledger Entry","Quantity","Item No.",$D1043,"Entry Type","Sale|Consumption","posting date","01/01/20..12/31/20")/-12</t>
  </si>
  <si>
    <t>=NL("sum","Item Ledger Entry","Quantity","Item No.",$D1043,"Entry Type","Sale|Consumption","posting date","01/01/21..12/31/21")/-12</t>
  </si>
  <si>
    <t>=NL("sum","Item Ledger Entry","Quantity","Item No.",$D1043,"Entry Type","Sale|Consumption","posting date","01/01/22..12/31/22")/-12</t>
  </si>
  <si>
    <t>=NL("sum","Item Ledger Entry","Quantity","Item No.",$D1043,"Entry Type","Sale|Consumption","posting date","01/01/23..12/31/23")/$J$7</t>
  </si>
  <si>
    <t>=AVERAGE(I1043:J1043)</t>
  </si>
  <si>
    <t>=NL(1,"item",L$9,"no.",D1043)</t>
  </si>
  <si>
    <t>=NL(1,"item",M$9,"no.",$D1043)</t>
  </si>
  <si>
    <t>=NL(1,"item","Units Per Parcel","no.",$D1043)</t>
  </si>
  <si>
    <t>=NL(1,"Prod. BOM Equipment","Fixed Prod. Time (Hours)","Production BOM No.",$D1043,"version code",$E1043,"Resource No.",O$9)</t>
  </si>
  <si>
    <t>=1/O1043</t>
  </si>
  <si>
    <t>=IF(NL(1,"Prod. BOM Equipment","Variable Prod. Time (Hours)","Production BOM No.",$D1043,"version code",$E1043,"Resource No.",$O$9)="",1,NL(1,"Prod. BOM Equipment","Variable Prod. Time (Hours)","Production BOM No.",$D1043,"version code",$E1043,"Resource No.",$O$9))</t>
  </si>
  <si>
    <t>=1/Q1043</t>
  </si>
  <si>
    <t>=R1043*N1043</t>
  </si>
  <si>
    <t>=IF(K1044=0,"hide","")</t>
  </si>
  <si>
    <t>=D1043</t>
  </si>
  <si>
    <t>=NL("sum","Production Order","Quantity","Source No.",$D1044,"Equipment Code",$L1044,"due date",F$8)/-12</t>
  </si>
  <si>
    <t>=NL("sum","Production Order","Quantity","Source No.",$D1044,"Equipment Code",$L1044,"due date",G$8)/-12</t>
  </si>
  <si>
    <t>=NL("sum","Production Order","Quantity","Source No.",$D1044,"Equipment Code",$L1044,"due date",H$8)/-12</t>
  </si>
  <si>
    <t>=NL("sum","Production Order","Quantity","Source No.",$D1044,"Equipment Code",$L1044,"due date",I$8)/-12</t>
  </si>
  <si>
    <t>=NL("sum","Production Order","Quantity","Source No.",$D1044,"Equipment Code",$L1044,"due date",J$8)/$J$7</t>
  </si>
  <si>
    <t>=AVERAGE(I1044:J1044)</t>
  </si>
  <si>
    <t>=IF(K1045=0,"hide","")</t>
  </si>
  <si>
    <t>=D1044</t>
  </si>
  <si>
    <t>=NL("sum","Production Order","Quantity","Source No.",$D1045,"Equipment Code",$L1045,"due date",F$8)/-12</t>
  </si>
  <si>
    <t>=NL("sum","Production Order","Quantity","Source No.",$D1045,"Equipment Code",$L1045,"due date",G$8)/-12</t>
  </si>
  <si>
    <t>=NL("sum","Production Order","Quantity","Source No.",$D1045,"Equipment Code",$L1045,"due date",H$8)/-12</t>
  </si>
  <si>
    <t>=NL("sum","Production Order","Quantity","Source No.",$D1045,"Equipment Code",$L1045,"due date",I$8)/-12</t>
  </si>
  <si>
    <t>=NL("sum","Production Order","Quantity","Source No.",$D1045,"Equipment Code",$L1045,"due date",J$8)/$J$7</t>
  </si>
  <si>
    <t>=AVERAGE(I1045:J1045)</t>
  </si>
  <si>
    <t>=IF(K1046=0,"hide","")</t>
  </si>
  <si>
    <t>=D1045</t>
  </si>
  <si>
    <t>=NL("sum","Production Order","Quantity","Source No.",$D1046,"Equipment Code",$L1046,"due date",F$8)/-12</t>
  </si>
  <si>
    <t>=NL("sum","Production Order","Quantity","Source No.",$D1046,"Equipment Code",$L1046,"due date",G$8)/-12</t>
  </si>
  <si>
    <t>=NL("sum","Production Order","Quantity","Source No.",$D1046,"Equipment Code",$L1046,"due date",H$8)/-12</t>
  </si>
  <si>
    <t>=NL("sum","Production Order","Quantity","Source No.",$D1046,"Equipment Code",$L1046,"due date",I$8)/-12</t>
  </si>
  <si>
    <t>=NL("sum","Production Order","Quantity","Source No.",$D1046,"Equipment Code",$L1046,"due date",J$8)/$J$7</t>
  </si>
  <si>
    <t>=AVERAGE(I1046:J1046)</t>
  </si>
  <si>
    <t>=IF(K1047=0,"hide","")</t>
  </si>
  <si>
    <t>=D1046</t>
  </si>
  <si>
    <t>=NL("sum","Production Order","Quantity","Source No.",$D1047,"Equipment Code",$L1047,"due date",F$8)/-12</t>
  </si>
  <si>
    <t>=NL("sum","Production Order","Quantity","Source No.",$D1047,"Equipment Code",$L1047,"due date",G$8)/-12</t>
  </si>
  <si>
    <t>=NL("sum","Production Order","Quantity","Source No.",$D1047,"Equipment Code",$L1047,"due date",H$8)/-12</t>
  </si>
  <si>
    <t>=NL("sum","Production Order","Quantity","Source No.",$D1047,"Equipment Code",$L1047,"due date",I$8)/-12</t>
  </si>
  <si>
    <t>=NL("sum","Production Order","Quantity","Source No.",$D1047,"Equipment Code",$L1047,"due date",J$8)/$J$7</t>
  </si>
  <si>
    <t>=AVERAGE(I1047:J1047)</t>
  </si>
  <si>
    <t>=B1044</t>
  </si>
  <si>
    <t>=B1048</t>
  </si>
  <si>
    <t>=SUM(F1044:F1048)</t>
  </si>
  <si>
    <t>=SUM(G1044:G1048)</t>
  </si>
  <si>
    <t>=SUM(H1044:H1048)</t>
  </si>
  <si>
    <t>=SUM(I1044:I1048)</t>
  </si>
  <si>
    <t>=SUM(J1044:J1048)</t>
  </si>
  <si>
    <t>=IF(K1050=0,"hide","")</t>
  </si>
  <si>
    <t>="105625"</t>
  </si>
  <si>
    <t>=NL("rows","Production BOM Version","Version Code","Production BOM No.",D1050,"status","certified")</t>
  </si>
  <si>
    <t>=NL("sum","Item Ledger Entry","Quantity","Item No.",$D1050,"Entry Type","Sale|Consumption","posting date","01/01/19..12/31/19")/-12</t>
  </si>
  <si>
    <t>=NL("sum","Item Ledger Entry","Quantity","Item No.",$D1050,"Entry Type","Sale|Consumption","posting date","01/01/20..12/31/20")/-12</t>
  </si>
  <si>
    <t>=NL("sum","Item Ledger Entry","Quantity","Item No.",$D1050,"Entry Type","Sale|Consumption","posting date","01/01/21..12/31/21")/-12</t>
  </si>
  <si>
    <t>=NL("sum","Item Ledger Entry","Quantity","Item No.",$D1050,"Entry Type","Sale|Consumption","posting date","01/01/22..12/31/22")/-12</t>
  </si>
  <si>
    <t>=NL("sum","Item Ledger Entry","Quantity","Item No.",$D1050,"Entry Type","Sale|Consumption","posting date","01/01/23..12/31/23")/$J$7</t>
  </si>
  <si>
    <t>=AVERAGE(I1050:J1050)</t>
  </si>
  <si>
    <t>=NL(1,"item",L$9,"no.",D1050)</t>
  </si>
  <si>
    <t>=NL(1,"item",M$9,"no.",$D1050)</t>
  </si>
  <si>
    <t>=NL(1,"item","Units Per Parcel","no.",$D1050)</t>
  </si>
  <si>
    <t>=NL(1,"Prod. BOM Equipment","Fixed Prod. Time (Hours)","Production BOM No.",$D1050,"version code",$E1050,"Resource No.",O$9)</t>
  </si>
  <si>
    <t>=1/O1050</t>
  </si>
  <si>
    <t>=IF(NL(1,"Prod. BOM Equipment","Variable Prod. Time (Hours)","Production BOM No.",$D1050,"version code",$E1050,"Resource No.",$O$9)="",1,NL(1,"Prod. BOM Equipment","Variable Prod. Time (Hours)","Production BOM No.",$D1050,"version code",$E1050,"Resource No.",$O$9))</t>
  </si>
  <si>
    <t>=1/Q1050</t>
  </si>
  <si>
    <t>=R1050*N1050</t>
  </si>
  <si>
    <t>=IF(K1051=0,"hide","")</t>
  </si>
  <si>
    <t>=D1050</t>
  </si>
  <si>
    <t>=NL("sum","Production Order","Quantity","Source No.",$D1051,"Equipment Code",$L1051,"due date",F$8)/-12</t>
  </si>
  <si>
    <t>=NL("sum","Production Order","Quantity","Source No.",$D1051,"Equipment Code",$L1051,"due date",G$8)/-12</t>
  </si>
  <si>
    <t>=NL("sum","Production Order","Quantity","Source No.",$D1051,"Equipment Code",$L1051,"due date",H$8)/-12</t>
  </si>
  <si>
    <t>=NL("sum","Production Order","Quantity","Source No.",$D1051,"Equipment Code",$L1051,"due date",I$8)/-12</t>
  </si>
  <si>
    <t>=NL("sum","Production Order","Quantity","Source No.",$D1051,"Equipment Code",$L1051,"due date",J$8)/$J$7</t>
  </si>
  <si>
    <t>=AVERAGE(I1051:J1051)</t>
  </si>
  <si>
    <t>=IF(K1052=0,"hide","")</t>
  </si>
  <si>
    <t>=D1051</t>
  </si>
  <si>
    <t>=NL("sum","Production Order","Quantity","Source No.",$D1052,"Equipment Code",$L1052,"due date",F$8)/-12</t>
  </si>
  <si>
    <t>=NL("sum","Production Order","Quantity","Source No.",$D1052,"Equipment Code",$L1052,"due date",G$8)/-12</t>
  </si>
  <si>
    <t>=NL("sum","Production Order","Quantity","Source No.",$D1052,"Equipment Code",$L1052,"due date",H$8)/-12</t>
  </si>
  <si>
    <t>=NL("sum","Production Order","Quantity","Source No.",$D1052,"Equipment Code",$L1052,"due date",I$8)/-12</t>
  </si>
  <si>
    <t>=NL("sum","Production Order","Quantity","Source No.",$D1052,"Equipment Code",$L1052,"due date",J$8)/$J$7</t>
  </si>
  <si>
    <t>=AVERAGE(I1052:J1052)</t>
  </si>
  <si>
    <t>=IF(K1053=0,"hide","")</t>
  </si>
  <si>
    <t>=D1052</t>
  </si>
  <si>
    <t>=NL("sum","Production Order","Quantity","Source No.",$D1053,"Equipment Code",$L1053,"due date",F$8)/-12</t>
  </si>
  <si>
    <t>=NL("sum","Production Order","Quantity","Source No.",$D1053,"Equipment Code",$L1053,"due date",G$8)/-12</t>
  </si>
  <si>
    <t>=NL("sum","Production Order","Quantity","Source No.",$D1053,"Equipment Code",$L1053,"due date",H$8)/-12</t>
  </si>
  <si>
    <t>=NL("sum","Production Order","Quantity","Source No.",$D1053,"Equipment Code",$L1053,"due date",I$8)/-12</t>
  </si>
  <si>
    <t>=NL("sum","Production Order","Quantity","Source No.",$D1053,"Equipment Code",$L1053,"due date",J$8)/$J$7</t>
  </si>
  <si>
    <t>=AVERAGE(I1053:J1053)</t>
  </si>
  <si>
    <t>=IF(K1054=0,"hide","")</t>
  </si>
  <si>
    <t>=D1053</t>
  </si>
  <si>
    <t>=NL("sum","Production Order","Quantity","Source No.",$D1054,"Equipment Code",$L1054,"due date",F$8)/-12</t>
  </si>
  <si>
    <t>=NL("sum","Production Order","Quantity","Source No.",$D1054,"Equipment Code",$L1054,"due date",G$8)/-12</t>
  </si>
  <si>
    <t>=NL("sum","Production Order","Quantity","Source No.",$D1054,"Equipment Code",$L1054,"due date",H$8)/-12</t>
  </si>
  <si>
    <t>=NL("sum","Production Order","Quantity","Source No.",$D1054,"Equipment Code",$L1054,"due date",I$8)/-12</t>
  </si>
  <si>
    <t>=NL("sum","Production Order","Quantity","Source No.",$D1054,"Equipment Code",$L1054,"due date",J$8)/$J$7</t>
  </si>
  <si>
    <t>=AVERAGE(I1054:J1054)</t>
  </si>
  <si>
    <t>=B1051</t>
  </si>
  <si>
    <t>=B1055</t>
  </si>
  <si>
    <t>=SUM(F1051:F1055)</t>
  </si>
  <si>
    <t>=SUM(G1051:G1055)</t>
  </si>
  <si>
    <t>=SUM(H1051:H1055)</t>
  </si>
  <si>
    <t>=SUM(I1051:I1055)</t>
  </si>
  <si>
    <t>=SUM(J1051:J1055)</t>
  </si>
  <si>
    <t>=IF(K1057=0,"hide","")</t>
  </si>
  <si>
    <t>="106675"</t>
  </si>
  <si>
    <t>=NL("rows","Production BOM Version","Version Code","Production BOM No.",D1057,"status","certified")</t>
  </si>
  <si>
    <t>=NL("sum","Item Ledger Entry","Quantity","Item No.",$D1057,"Entry Type","Sale|Consumption","posting date","01/01/19..12/31/19")/-12</t>
  </si>
  <si>
    <t>=NL("sum","Item Ledger Entry","Quantity","Item No.",$D1057,"Entry Type","Sale|Consumption","posting date","01/01/20..12/31/20")/-12</t>
  </si>
  <si>
    <t>=NL("sum","Item Ledger Entry","Quantity","Item No.",$D1057,"Entry Type","Sale|Consumption","posting date","01/01/21..12/31/21")/-12</t>
  </si>
  <si>
    <t>=NL("sum","Item Ledger Entry","Quantity","Item No.",$D1057,"Entry Type","Sale|Consumption","posting date","01/01/22..12/31/22")/-12</t>
  </si>
  <si>
    <t>=NL("sum","Item Ledger Entry","Quantity","Item No.",$D1057,"Entry Type","Sale|Consumption","posting date","01/01/23..12/31/23")/$J$7</t>
  </si>
  <si>
    <t>=AVERAGE(I1057:J1057)</t>
  </si>
  <si>
    <t>=NL(1,"item",L$9,"no.",D1057)</t>
  </si>
  <si>
    <t>=NL(1,"item",M$9,"no.",$D1057)</t>
  </si>
  <si>
    <t>=NL(1,"item","Units Per Parcel","no.",$D1057)</t>
  </si>
  <si>
    <t>=NL(1,"Prod. BOM Equipment","Fixed Prod. Time (Hours)","Production BOM No.",$D1057,"version code",$E1057,"Resource No.",O$9)</t>
  </si>
  <si>
    <t>=1/O1057</t>
  </si>
  <si>
    <t>=IF(NL(1,"Prod. BOM Equipment","Variable Prod. Time (Hours)","Production BOM No.",$D1057,"version code",$E1057,"Resource No.",$O$9)="",1,NL(1,"Prod. BOM Equipment","Variable Prod. Time (Hours)","Production BOM No.",$D1057,"version code",$E1057,"Resource No.",$O$9))</t>
  </si>
  <si>
    <t>=1/Q1057</t>
  </si>
  <si>
    <t>=R1057*N1057</t>
  </si>
  <si>
    <t>=IF(K1058=0,"hide","")</t>
  </si>
  <si>
    <t>=D1057</t>
  </si>
  <si>
    <t>=NL("sum","Production Order","Quantity","Source No.",$D1058,"Equipment Code",$L1058,"due date",F$8)/-12</t>
  </si>
  <si>
    <t>=NL("sum","Production Order","Quantity","Source No.",$D1058,"Equipment Code",$L1058,"due date",G$8)/-12</t>
  </si>
  <si>
    <t>=NL("sum","Production Order","Quantity","Source No.",$D1058,"Equipment Code",$L1058,"due date",H$8)/-12</t>
  </si>
  <si>
    <t>=NL("sum","Production Order","Quantity","Source No.",$D1058,"Equipment Code",$L1058,"due date",I$8)/-12</t>
  </si>
  <si>
    <t>=NL("sum","Production Order","Quantity","Source No.",$D1058,"Equipment Code",$L1058,"due date",J$8)/$J$7</t>
  </si>
  <si>
    <t>=AVERAGE(I1058:J1058)</t>
  </si>
  <si>
    <t>=IF(K1059=0,"hide","")</t>
  </si>
  <si>
    <t>=D1058</t>
  </si>
  <si>
    <t>=NL("sum","Production Order","Quantity","Source No.",$D1059,"Equipment Code",$L1059,"due date",F$8)/-12</t>
  </si>
  <si>
    <t>=NL("sum","Production Order","Quantity","Source No.",$D1059,"Equipment Code",$L1059,"due date",G$8)/-12</t>
  </si>
  <si>
    <t>=NL("sum","Production Order","Quantity","Source No.",$D1059,"Equipment Code",$L1059,"due date",H$8)/-12</t>
  </si>
  <si>
    <t>=NL("sum","Production Order","Quantity","Source No.",$D1059,"Equipment Code",$L1059,"due date",I$8)/-12</t>
  </si>
  <si>
    <t>=NL("sum","Production Order","Quantity","Source No.",$D1059,"Equipment Code",$L1059,"due date",J$8)/$J$7</t>
  </si>
  <si>
    <t>=AVERAGE(I1059:J1059)</t>
  </si>
  <si>
    <t>=IF(K1060=0,"hide","")</t>
  </si>
  <si>
    <t>=D1059</t>
  </si>
  <si>
    <t>=NL("sum","Production Order","Quantity","Source No.",$D1060,"Equipment Code",$L1060,"due date",F$8)/-12</t>
  </si>
  <si>
    <t>=NL("sum","Production Order","Quantity","Source No.",$D1060,"Equipment Code",$L1060,"due date",G$8)/-12</t>
  </si>
  <si>
    <t>=NL("sum","Production Order","Quantity","Source No.",$D1060,"Equipment Code",$L1060,"due date",H$8)/-12</t>
  </si>
  <si>
    <t>=NL("sum","Production Order","Quantity","Source No.",$D1060,"Equipment Code",$L1060,"due date",I$8)/-12</t>
  </si>
  <si>
    <t>=NL("sum","Production Order","Quantity","Source No.",$D1060,"Equipment Code",$L1060,"due date",J$8)/$J$7</t>
  </si>
  <si>
    <t>=AVERAGE(I1060:J1060)</t>
  </si>
  <si>
    <t>=IF(K1061=0,"hide","")</t>
  </si>
  <si>
    <t>=D1060</t>
  </si>
  <si>
    <t>=NL("sum","Production Order","Quantity","Source No.",$D1061,"Equipment Code",$L1061,"due date",F$8)/-12</t>
  </si>
  <si>
    <t>=NL("sum","Production Order","Quantity","Source No.",$D1061,"Equipment Code",$L1061,"due date",G$8)/-12</t>
  </si>
  <si>
    <t>=NL("sum","Production Order","Quantity","Source No.",$D1061,"Equipment Code",$L1061,"due date",H$8)/-12</t>
  </si>
  <si>
    <t>=NL("sum","Production Order","Quantity","Source No.",$D1061,"Equipment Code",$L1061,"due date",I$8)/-12</t>
  </si>
  <si>
    <t>=NL("sum","Production Order","Quantity","Source No.",$D1061,"Equipment Code",$L1061,"due date",J$8)/$J$7</t>
  </si>
  <si>
    <t>=AVERAGE(I1061:J1061)</t>
  </si>
  <si>
    <t>=B1058</t>
  </si>
  <si>
    <t>=B1062</t>
  </si>
  <si>
    <t>=SUM(F1058:F1062)</t>
  </si>
  <si>
    <t>=SUM(G1058:G1062)</t>
  </si>
  <si>
    <t>=SUM(H1058:H1062)</t>
  </si>
  <si>
    <t>=SUM(I1058:I1062)</t>
  </si>
  <si>
    <t>=SUM(J1058:J1062)</t>
  </si>
  <si>
    <t>=IF(K1064=0,"hide","")</t>
  </si>
  <si>
    <t>="106688"</t>
  </si>
  <si>
    <t>=NL("rows","Production BOM Version","Version Code","Production BOM No.",D1064,"status","certified")</t>
  </si>
  <si>
    <t>=NL("sum","Item Ledger Entry","Quantity","Item No.",$D1064,"Entry Type","Sale|Consumption","posting date","01/01/19..12/31/19")/-12</t>
  </si>
  <si>
    <t>=NL("sum","Item Ledger Entry","Quantity","Item No.",$D1064,"Entry Type","Sale|Consumption","posting date","01/01/20..12/31/20")/-12</t>
  </si>
  <si>
    <t>=NL("sum","Item Ledger Entry","Quantity","Item No.",$D1064,"Entry Type","Sale|Consumption","posting date","01/01/21..12/31/21")/-12</t>
  </si>
  <si>
    <t>=NL("sum","Item Ledger Entry","Quantity","Item No.",$D1064,"Entry Type","Sale|Consumption","posting date","01/01/22..12/31/22")/-12</t>
  </si>
  <si>
    <t>=NL("sum","Item Ledger Entry","Quantity","Item No.",$D1064,"Entry Type","Sale|Consumption","posting date","01/01/23..12/31/23")/$J$7</t>
  </si>
  <si>
    <t>=AVERAGE(I1064:J1064)</t>
  </si>
  <si>
    <t>=NL(1,"item",L$9,"no.",D1064)</t>
  </si>
  <si>
    <t>=NL(1,"item",M$9,"no.",$D1064)</t>
  </si>
  <si>
    <t>=NL(1,"item","Units Per Parcel","no.",$D1064)</t>
  </si>
  <si>
    <t>=NL(1,"Prod. BOM Equipment","Fixed Prod. Time (Hours)","Production BOM No.",$D1064,"version code",$E1064,"Resource No.",O$9)</t>
  </si>
  <si>
    <t>=1/O1064</t>
  </si>
  <si>
    <t>=IF(NL(1,"Prod. BOM Equipment","Variable Prod. Time (Hours)","Production BOM No.",$D1064,"version code",$E1064,"Resource No.",$O$9)="",1,NL(1,"Prod. BOM Equipment","Variable Prod. Time (Hours)","Production BOM No.",$D1064,"version code",$E1064,"Resource No.",$O$9))</t>
  </si>
  <si>
    <t>=1/Q1064</t>
  </si>
  <si>
    <t>=R1064*N1064</t>
  </si>
  <si>
    <t>=IF(K1065=0,"hide","")</t>
  </si>
  <si>
    <t>=D1064</t>
  </si>
  <si>
    <t>=NL("sum","Production Order","Quantity","Source No.",$D1065,"Equipment Code",$L1065,"due date",F$8)/-12</t>
  </si>
  <si>
    <t>=NL("sum","Production Order","Quantity","Source No.",$D1065,"Equipment Code",$L1065,"due date",G$8)/-12</t>
  </si>
  <si>
    <t>=NL("sum","Production Order","Quantity","Source No.",$D1065,"Equipment Code",$L1065,"due date",H$8)/-12</t>
  </si>
  <si>
    <t>=NL("sum","Production Order","Quantity","Source No.",$D1065,"Equipment Code",$L1065,"due date",I$8)/-12</t>
  </si>
  <si>
    <t>=NL("sum","Production Order","Quantity","Source No.",$D1065,"Equipment Code",$L1065,"due date",J$8)/$J$7</t>
  </si>
  <si>
    <t>=AVERAGE(I1065:J1065)</t>
  </si>
  <si>
    <t>=IF(K1066=0,"hide","")</t>
  </si>
  <si>
    <t>=D1065</t>
  </si>
  <si>
    <t>=NL("sum","Production Order","Quantity","Source No.",$D1066,"Equipment Code",$L1066,"due date",F$8)/-12</t>
  </si>
  <si>
    <t>=NL("sum","Production Order","Quantity","Source No.",$D1066,"Equipment Code",$L1066,"due date",G$8)/-12</t>
  </si>
  <si>
    <t>=NL("sum","Production Order","Quantity","Source No.",$D1066,"Equipment Code",$L1066,"due date",H$8)/-12</t>
  </si>
  <si>
    <t>=NL("sum","Production Order","Quantity","Source No.",$D1066,"Equipment Code",$L1066,"due date",I$8)/-12</t>
  </si>
  <si>
    <t>=NL("sum","Production Order","Quantity","Source No.",$D1066,"Equipment Code",$L1066,"due date",J$8)/$J$7</t>
  </si>
  <si>
    <t>=AVERAGE(I1066:J1066)</t>
  </si>
  <si>
    <t>=IF(K1067=0,"hide","")</t>
  </si>
  <si>
    <t>=D1066</t>
  </si>
  <si>
    <t>=NL("sum","Production Order","Quantity","Source No.",$D1067,"Equipment Code",$L1067,"due date",F$8)/-12</t>
  </si>
  <si>
    <t>=NL("sum","Production Order","Quantity","Source No.",$D1067,"Equipment Code",$L1067,"due date",G$8)/-12</t>
  </si>
  <si>
    <t>=NL("sum","Production Order","Quantity","Source No.",$D1067,"Equipment Code",$L1067,"due date",H$8)/-12</t>
  </si>
  <si>
    <t>=NL("sum","Production Order","Quantity","Source No.",$D1067,"Equipment Code",$L1067,"due date",I$8)/-12</t>
  </si>
  <si>
    <t>=NL("sum","Production Order","Quantity","Source No.",$D1067,"Equipment Code",$L1067,"due date",J$8)/$J$7</t>
  </si>
  <si>
    <t>=AVERAGE(I1067:J1067)</t>
  </si>
  <si>
    <t>=IF(K1068=0,"hide","")</t>
  </si>
  <si>
    <t>=D1067</t>
  </si>
  <si>
    <t>=NL("sum","Production Order","Quantity","Source No.",$D1068,"Equipment Code",$L1068,"due date",F$8)/-12</t>
  </si>
  <si>
    <t>=NL("sum","Production Order","Quantity","Source No.",$D1068,"Equipment Code",$L1068,"due date",G$8)/-12</t>
  </si>
  <si>
    <t>=NL("sum","Production Order","Quantity","Source No.",$D1068,"Equipment Code",$L1068,"due date",H$8)/-12</t>
  </si>
  <si>
    <t>=NL("sum","Production Order","Quantity","Source No.",$D1068,"Equipment Code",$L1068,"due date",I$8)/-12</t>
  </si>
  <si>
    <t>=NL("sum","Production Order","Quantity","Source No.",$D1068,"Equipment Code",$L1068,"due date",J$8)/$J$7</t>
  </si>
  <si>
    <t>=AVERAGE(I1068:J1068)</t>
  </si>
  <si>
    <t>=B1065</t>
  </si>
  <si>
    <t>=B1069</t>
  </si>
  <si>
    <t>=SUM(F1065:F1069)</t>
  </si>
  <si>
    <t>=SUM(G1065:G1069)</t>
  </si>
  <si>
    <t>=SUM(H1065:H1069)</t>
  </si>
  <si>
    <t>=SUM(I1065:I1069)</t>
  </si>
  <si>
    <t>=SUM(J1065:J1069)</t>
  </si>
  <si>
    <t>=IF(K1071=0,"hide","")</t>
  </si>
  <si>
    <t>="107430"</t>
  </si>
  <si>
    <t>=NL("rows","Production BOM Version","Version Code","Production BOM No.",D1071,"status","certified")</t>
  </si>
  <si>
    <t>=NL("sum","Item Ledger Entry","Quantity","Item No.",$D1071,"Entry Type","Sale|Consumption","posting date","01/01/19..12/31/19")/-12</t>
  </si>
  <si>
    <t>=NL("sum","Item Ledger Entry","Quantity","Item No.",$D1071,"Entry Type","Sale|Consumption","posting date","01/01/20..12/31/20")/-12</t>
  </si>
  <si>
    <t>=NL("sum","Item Ledger Entry","Quantity","Item No.",$D1071,"Entry Type","Sale|Consumption","posting date","01/01/21..12/31/21")/-12</t>
  </si>
  <si>
    <t>=NL("sum","Item Ledger Entry","Quantity","Item No.",$D1071,"Entry Type","Sale|Consumption","posting date","01/01/22..12/31/22")/-12</t>
  </si>
  <si>
    <t>=NL("sum","Item Ledger Entry","Quantity","Item No.",$D1071,"Entry Type","Sale|Consumption","posting date","01/01/23..12/31/23")/$J$7</t>
  </si>
  <si>
    <t>=AVERAGE(I1071:J1071)</t>
  </si>
  <si>
    <t>=NL(1,"item",L$9,"no.",D1071)</t>
  </si>
  <si>
    <t>=NL(1,"item",M$9,"no.",$D1071)</t>
  </si>
  <si>
    <t>=NL(1,"item","Units Per Parcel","no.",$D1071)</t>
  </si>
  <si>
    <t>=NL(1,"Prod. BOM Equipment","Fixed Prod. Time (Hours)","Production BOM No.",$D1071,"version code",$E1071,"Resource No.",O$9)</t>
  </si>
  <si>
    <t>=1/O1071</t>
  </si>
  <si>
    <t>=IF(NL(1,"Prod. BOM Equipment","Variable Prod. Time (Hours)","Production BOM No.",$D1071,"version code",$E1071,"Resource No.",$O$9)="",1,NL(1,"Prod. BOM Equipment","Variable Prod. Time (Hours)","Production BOM No.",$D1071,"version code",$E1071,"Resource No.",$O$9))</t>
  </si>
  <si>
    <t>=1/Q1071</t>
  </si>
  <si>
    <t>=R1071*N1071</t>
  </si>
  <si>
    <t>=IF(K1072=0,"hide","")</t>
  </si>
  <si>
    <t>=D1071</t>
  </si>
  <si>
    <t>=NL("sum","Production Order","Quantity","Source No.",$D1072,"Equipment Code",$L1072,"due date",F$8)/-12</t>
  </si>
  <si>
    <t>=NL("sum","Production Order","Quantity","Source No.",$D1072,"Equipment Code",$L1072,"due date",G$8)/-12</t>
  </si>
  <si>
    <t>=NL("sum","Production Order","Quantity","Source No.",$D1072,"Equipment Code",$L1072,"due date",H$8)/-12</t>
  </si>
  <si>
    <t>=NL("sum","Production Order","Quantity","Source No.",$D1072,"Equipment Code",$L1072,"due date",I$8)/-12</t>
  </si>
  <si>
    <t>=NL("sum","Production Order","Quantity","Source No.",$D1072,"Equipment Code",$L1072,"due date",J$8)/$J$7</t>
  </si>
  <si>
    <t>=AVERAGE(I1072:J1072)</t>
  </si>
  <si>
    <t>=IF(K1073=0,"hide","")</t>
  </si>
  <si>
    <t>=D1072</t>
  </si>
  <si>
    <t>=NL("sum","Production Order","Quantity","Source No.",$D1073,"Equipment Code",$L1073,"due date",F$8)/-12</t>
  </si>
  <si>
    <t>=NL("sum","Production Order","Quantity","Source No.",$D1073,"Equipment Code",$L1073,"due date",G$8)/-12</t>
  </si>
  <si>
    <t>=NL("sum","Production Order","Quantity","Source No.",$D1073,"Equipment Code",$L1073,"due date",H$8)/-12</t>
  </si>
  <si>
    <t>=NL("sum","Production Order","Quantity","Source No.",$D1073,"Equipment Code",$L1073,"due date",I$8)/-12</t>
  </si>
  <si>
    <t>=NL("sum","Production Order","Quantity","Source No.",$D1073,"Equipment Code",$L1073,"due date",J$8)/$J$7</t>
  </si>
  <si>
    <t>=AVERAGE(I1073:J1073)</t>
  </si>
  <si>
    <t>=IF(K1074=0,"hide","")</t>
  </si>
  <si>
    <t>=D1073</t>
  </si>
  <si>
    <t>=NL("sum","Production Order","Quantity","Source No.",$D1074,"Equipment Code",$L1074,"due date",F$8)/-12</t>
  </si>
  <si>
    <t>=NL("sum","Production Order","Quantity","Source No.",$D1074,"Equipment Code",$L1074,"due date",G$8)/-12</t>
  </si>
  <si>
    <t>=NL("sum","Production Order","Quantity","Source No.",$D1074,"Equipment Code",$L1074,"due date",H$8)/-12</t>
  </si>
  <si>
    <t>=NL("sum","Production Order","Quantity","Source No.",$D1074,"Equipment Code",$L1074,"due date",I$8)/-12</t>
  </si>
  <si>
    <t>=NL("sum","Production Order","Quantity","Source No.",$D1074,"Equipment Code",$L1074,"due date",J$8)/$J$7</t>
  </si>
  <si>
    <t>=AVERAGE(I1074:J1074)</t>
  </si>
  <si>
    <t>=IF(K1075=0,"hide","")</t>
  </si>
  <si>
    <t>=D1074</t>
  </si>
  <si>
    <t>=NL("sum","Production Order","Quantity","Source No.",$D1075,"Equipment Code",$L1075,"due date",F$8)/-12</t>
  </si>
  <si>
    <t>=NL("sum","Production Order","Quantity","Source No.",$D1075,"Equipment Code",$L1075,"due date",G$8)/-12</t>
  </si>
  <si>
    <t>=NL("sum","Production Order","Quantity","Source No.",$D1075,"Equipment Code",$L1075,"due date",H$8)/-12</t>
  </si>
  <si>
    <t>=NL("sum","Production Order","Quantity","Source No.",$D1075,"Equipment Code",$L1075,"due date",I$8)/-12</t>
  </si>
  <si>
    <t>=NL("sum","Production Order","Quantity","Source No.",$D1075,"Equipment Code",$L1075,"due date",J$8)/$J$7</t>
  </si>
  <si>
    <t>=AVERAGE(I1075:J1075)</t>
  </si>
  <si>
    <t>=B1072</t>
  </si>
  <si>
    <t>=B1076</t>
  </si>
  <si>
    <t>=SUM(F1072:F1076)</t>
  </si>
  <si>
    <t>=SUM(G1072:G1076)</t>
  </si>
  <si>
    <t>=SUM(H1072:H1076)</t>
  </si>
  <si>
    <t>=SUM(I1072:I1076)</t>
  </si>
  <si>
    <t>=SUM(J1072:J1076)</t>
  </si>
  <si>
    <t>=IF(K1078=0,"hide","")</t>
  </si>
  <si>
    <t>="109658"</t>
  </si>
  <si>
    <t>=NL("rows","Production BOM Version","Version Code","Production BOM No.",D1078,"status","certified")</t>
  </si>
  <si>
    <t>=NL("sum","Item Ledger Entry","Quantity","Item No.",$D1078,"Entry Type","Sale|Consumption","posting date","01/01/19..12/31/19")/-12</t>
  </si>
  <si>
    <t>=NL("sum","Item Ledger Entry","Quantity","Item No.",$D1078,"Entry Type","Sale|Consumption","posting date","01/01/20..12/31/20")/-12</t>
  </si>
  <si>
    <t>=NL("sum","Item Ledger Entry","Quantity","Item No.",$D1078,"Entry Type","Sale|Consumption","posting date","01/01/21..12/31/21")/-12</t>
  </si>
  <si>
    <t>=NL("sum","Item Ledger Entry","Quantity","Item No.",$D1078,"Entry Type","Sale|Consumption","posting date","01/01/22..12/31/22")/-12</t>
  </si>
  <si>
    <t>=NL("sum","Item Ledger Entry","Quantity","Item No.",$D1078,"Entry Type","Sale|Consumption","posting date","01/01/23..12/31/23")/$J$7</t>
  </si>
  <si>
    <t>=AVERAGE(I1078:J1078)</t>
  </si>
  <si>
    <t>=NL(1,"item",L$9,"no.",D1078)</t>
  </si>
  <si>
    <t>=NL(1,"item",M$9,"no.",$D1078)</t>
  </si>
  <si>
    <t>=NL(1,"item","Units Per Parcel","no.",$D1078)</t>
  </si>
  <si>
    <t>=NL(1,"Prod. BOM Equipment","Fixed Prod. Time (Hours)","Production BOM No.",$D1078,"version code",$E1078,"Resource No.",O$9)</t>
  </si>
  <si>
    <t>=1/O1078</t>
  </si>
  <si>
    <t>=IF(NL(1,"Prod. BOM Equipment","Variable Prod. Time (Hours)","Production BOM No.",$D1078,"version code",$E1078,"Resource No.",$O$9)="",1,NL(1,"Prod. BOM Equipment","Variable Prod. Time (Hours)","Production BOM No.",$D1078,"version code",$E1078,"Resource No.",$O$9))</t>
  </si>
  <si>
    <t>=1/Q1078</t>
  </si>
  <si>
    <t>=R1078*N1078</t>
  </si>
  <si>
    <t>=IF(K1079=0,"hide","")</t>
  </si>
  <si>
    <t>=D1078</t>
  </si>
  <si>
    <t>=NL("sum","Production Order","Quantity","Source No.",$D1079,"Equipment Code",$L1079,"due date",F$8)/-12</t>
  </si>
  <si>
    <t>=NL("sum","Production Order","Quantity","Source No.",$D1079,"Equipment Code",$L1079,"due date",G$8)/-12</t>
  </si>
  <si>
    <t>=NL("sum","Production Order","Quantity","Source No.",$D1079,"Equipment Code",$L1079,"due date",H$8)/-12</t>
  </si>
  <si>
    <t>=NL("sum","Production Order","Quantity","Source No.",$D1079,"Equipment Code",$L1079,"due date",I$8)/-12</t>
  </si>
  <si>
    <t>=NL("sum","Production Order","Quantity","Source No.",$D1079,"Equipment Code",$L1079,"due date",J$8)/$J$7</t>
  </si>
  <si>
    <t>=AVERAGE(I1079:J1079)</t>
  </si>
  <si>
    <t>=IF(K1080=0,"hide","")</t>
  </si>
  <si>
    <t>=D1079</t>
  </si>
  <si>
    <t>=NL("sum","Production Order","Quantity","Source No.",$D1080,"Equipment Code",$L1080,"due date",F$8)/-12</t>
  </si>
  <si>
    <t>=NL("sum","Production Order","Quantity","Source No.",$D1080,"Equipment Code",$L1080,"due date",G$8)/-12</t>
  </si>
  <si>
    <t>=NL("sum","Production Order","Quantity","Source No.",$D1080,"Equipment Code",$L1080,"due date",H$8)/-12</t>
  </si>
  <si>
    <t>=NL("sum","Production Order","Quantity","Source No.",$D1080,"Equipment Code",$L1080,"due date",I$8)/-12</t>
  </si>
  <si>
    <t>=NL("sum","Production Order","Quantity","Source No.",$D1080,"Equipment Code",$L1080,"due date",J$8)/$J$7</t>
  </si>
  <si>
    <t>=AVERAGE(I1080:J1080)</t>
  </si>
  <si>
    <t>=IF(K1081=0,"hide","")</t>
  </si>
  <si>
    <t>=D1080</t>
  </si>
  <si>
    <t>=NL("sum","Production Order","Quantity","Source No.",$D1081,"Equipment Code",$L1081,"due date",F$8)/-12</t>
  </si>
  <si>
    <t>=NL("sum","Production Order","Quantity","Source No.",$D1081,"Equipment Code",$L1081,"due date",G$8)/-12</t>
  </si>
  <si>
    <t>=NL("sum","Production Order","Quantity","Source No.",$D1081,"Equipment Code",$L1081,"due date",H$8)/-12</t>
  </si>
  <si>
    <t>=NL("sum","Production Order","Quantity","Source No.",$D1081,"Equipment Code",$L1081,"due date",I$8)/-12</t>
  </si>
  <si>
    <t>=NL("sum","Production Order","Quantity","Source No.",$D1081,"Equipment Code",$L1081,"due date",J$8)/$J$7</t>
  </si>
  <si>
    <t>=AVERAGE(I1081:J1081)</t>
  </si>
  <si>
    <t>=IF(K1082=0,"hide","")</t>
  </si>
  <si>
    <t>=D1081</t>
  </si>
  <si>
    <t>=NL("sum","Production Order","Quantity","Source No.",$D1082,"Equipment Code",$L1082,"due date",F$8)/-12</t>
  </si>
  <si>
    <t>=NL("sum","Production Order","Quantity","Source No.",$D1082,"Equipment Code",$L1082,"due date",G$8)/-12</t>
  </si>
  <si>
    <t>=NL("sum","Production Order","Quantity","Source No.",$D1082,"Equipment Code",$L1082,"due date",H$8)/-12</t>
  </si>
  <si>
    <t>=NL("sum","Production Order","Quantity","Source No.",$D1082,"Equipment Code",$L1082,"due date",I$8)/-12</t>
  </si>
  <si>
    <t>=NL("sum","Production Order","Quantity","Source No.",$D1082,"Equipment Code",$L1082,"due date",J$8)/$J$7</t>
  </si>
  <si>
    <t>=AVERAGE(I1082:J1082)</t>
  </si>
  <si>
    <t>=B1079</t>
  </si>
  <si>
    <t>=B1083</t>
  </si>
  <si>
    <t>=SUM(F1079:F1083)</t>
  </si>
  <si>
    <t>=SUM(G1079:G1083)</t>
  </si>
  <si>
    <t>=SUM(H1079:H1083)</t>
  </si>
  <si>
    <t>=SUM(I1079:I1083)</t>
  </si>
  <si>
    <t>=SUM(J1079:J1083)</t>
  </si>
  <si>
    <t>=IF(K1085=0,"hide","")</t>
  </si>
  <si>
    <t>="109770"</t>
  </si>
  <si>
    <t>=NL("rows","Production BOM Version","Version Code","Production BOM No.",D1085,"status","certified")</t>
  </si>
  <si>
    <t>=NL("sum","Item Ledger Entry","Quantity","Item No.",$D1085,"Entry Type","Sale|Consumption","posting date","01/01/19..12/31/19")/-12</t>
  </si>
  <si>
    <t>=NL("sum","Item Ledger Entry","Quantity","Item No.",$D1085,"Entry Type","Sale|Consumption","posting date","01/01/20..12/31/20")/-12</t>
  </si>
  <si>
    <t>=NL("sum","Item Ledger Entry","Quantity","Item No.",$D1085,"Entry Type","Sale|Consumption","posting date","01/01/21..12/31/21")/-12</t>
  </si>
  <si>
    <t>=NL("sum","Item Ledger Entry","Quantity","Item No.",$D1085,"Entry Type","Sale|Consumption","posting date","01/01/22..12/31/22")/-12</t>
  </si>
  <si>
    <t>=NL("sum","Item Ledger Entry","Quantity","Item No.",$D1085,"Entry Type","Sale|Consumption","posting date","01/01/23..12/31/23")/$J$7</t>
  </si>
  <si>
    <t>=AVERAGE(I1085:J1085)</t>
  </si>
  <si>
    <t>=NL(1,"item",L$9,"no.",D1085)</t>
  </si>
  <si>
    <t>=NL(1,"item",M$9,"no.",$D1085)</t>
  </si>
  <si>
    <t>=NL(1,"item","Units Per Parcel","no.",$D1085)</t>
  </si>
  <si>
    <t>=NL(1,"Prod. BOM Equipment","Fixed Prod. Time (Hours)","Production BOM No.",$D1085,"version code",$E1085,"Resource No.",O$9)</t>
  </si>
  <si>
    <t>=1/O1085</t>
  </si>
  <si>
    <t>=IF(NL(1,"Prod. BOM Equipment","Variable Prod. Time (Hours)","Production BOM No.",$D1085,"version code",$E1085,"Resource No.",$O$9)="",1,NL(1,"Prod. BOM Equipment","Variable Prod. Time (Hours)","Production BOM No.",$D1085,"version code",$E1085,"Resource No.",$O$9))</t>
  </si>
  <si>
    <t>=1/Q1085</t>
  </si>
  <si>
    <t>=R1085*N1085</t>
  </si>
  <si>
    <t>=IF(K1086=0,"hide","")</t>
  </si>
  <si>
    <t>=D1085</t>
  </si>
  <si>
    <t>=NL("sum","Production Order","Quantity","Source No.",$D1086,"Equipment Code",$L1086,"due date",F$8)/-12</t>
  </si>
  <si>
    <t>=NL("sum","Production Order","Quantity","Source No.",$D1086,"Equipment Code",$L1086,"due date",G$8)/-12</t>
  </si>
  <si>
    <t>=NL("sum","Production Order","Quantity","Source No.",$D1086,"Equipment Code",$L1086,"due date",H$8)/-12</t>
  </si>
  <si>
    <t>=NL("sum","Production Order","Quantity","Source No.",$D1086,"Equipment Code",$L1086,"due date",I$8)/-12</t>
  </si>
  <si>
    <t>=NL("sum","Production Order","Quantity","Source No.",$D1086,"Equipment Code",$L1086,"due date",J$8)/$J$7</t>
  </si>
  <si>
    <t>=AVERAGE(I1086:J1086)</t>
  </si>
  <si>
    <t>=IF(K1087=0,"hide","")</t>
  </si>
  <si>
    <t>=D1086</t>
  </si>
  <si>
    <t>=NL("sum","Production Order","Quantity","Source No.",$D1087,"Equipment Code",$L1087,"due date",F$8)/-12</t>
  </si>
  <si>
    <t>=NL("sum","Production Order","Quantity","Source No.",$D1087,"Equipment Code",$L1087,"due date",G$8)/-12</t>
  </si>
  <si>
    <t>=NL("sum","Production Order","Quantity","Source No.",$D1087,"Equipment Code",$L1087,"due date",H$8)/-12</t>
  </si>
  <si>
    <t>=NL("sum","Production Order","Quantity","Source No.",$D1087,"Equipment Code",$L1087,"due date",I$8)/-12</t>
  </si>
  <si>
    <t>=NL("sum","Production Order","Quantity","Source No.",$D1087,"Equipment Code",$L1087,"due date",J$8)/$J$7</t>
  </si>
  <si>
    <t>=AVERAGE(I1087:J1087)</t>
  </si>
  <si>
    <t>=IF(K1088=0,"hide","")</t>
  </si>
  <si>
    <t>=D1087</t>
  </si>
  <si>
    <t>=NL("sum","Production Order","Quantity","Source No.",$D1088,"Equipment Code",$L1088,"due date",F$8)/-12</t>
  </si>
  <si>
    <t>=NL("sum","Production Order","Quantity","Source No.",$D1088,"Equipment Code",$L1088,"due date",G$8)/-12</t>
  </si>
  <si>
    <t>=NL("sum","Production Order","Quantity","Source No.",$D1088,"Equipment Code",$L1088,"due date",H$8)/-12</t>
  </si>
  <si>
    <t>=NL("sum","Production Order","Quantity","Source No.",$D1088,"Equipment Code",$L1088,"due date",I$8)/-12</t>
  </si>
  <si>
    <t>=NL("sum","Production Order","Quantity","Source No.",$D1088,"Equipment Code",$L1088,"due date",J$8)/$J$7</t>
  </si>
  <si>
    <t>=AVERAGE(I1088:J1088)</t>
  </si>
  <si>
    <t>=IF(K1089=0,"hide","")</t>
  </si>
  <si>
    <t>=D1088</t>
  </si>
  <si>
    <t>=NL("sum","Production Order","Quantity","Source No.",$D1089,"Equipment Code",$L1089,"due date",F$8)/-12</t>
  </si>
  <si>
    <t>=NL("sum","Production Order","Quantity","Source No.",$D1089,"Equipment Code",$L1089,"due date",G$8)/-12</t>
  </si>
  <si>
    <t>=NL("sum","Production Order","Quantity","Source No.",$D1089,"Equipment Code",$L1089,"due date",H$8)/-12</t>
  </si>
  <si>
    <t>=NL("sum","Production Order","Quantity","Source No.",$D1089,"Equipment Code",$L1089,"due date",I$8)/-12</t>
  </si>
  <si>
    <t>=NL("sum","Production Order","Quantity","Source No.",$D1089,"Equipment Code",$L1089,"due date",J$8)/$J$7</t>
  </si>
  <si>
    <t>=AVERAGE(I1089:J1089)</t>
  </si>
  <si>
    <t>=B1086</t>
  </si>
  <si>
    <t>=B1090</t>
  </si>
  <si>
    <t>=SUM(F1086:F1090)</t>
  </si>
  <si>
    <t>=SUM(G1086:G1090)</t>
  </si>
  <si>
    <t>=SUM(H1086:H1090)</t>
  </si>
  <si>
    <t>=SUM(I1086:I1090)</t>
  </si>
  <si>
    <t>=SUM(J1086:J1090)</t>
  </si>
  <si>
    <t>=IF(K1092=0,"hide","")</t>
  </si>
  <si>
    <t>="11051"</t>
  </si>
  <si>
    <t>=NL("rows","Production BOM Version","Version Code","Production BOM No.",D1092,"status","certified")</t>
  </si>
  <si>
    <t>=NL("sum","Item Ledger Entry","Quantity","Item No.",$D1092,"Entry Type","Sale|Consumption","posting date","01/01/19..12/31/19")/-12</t>
  </si>
  <si>
    <t>=NL("sum","Item Ledger Entry","Quantity","Item No.",$D1092,"Entry Type","Sale|Consumption","posting date","01/01/20..12/31/20")/-12</t>
  </si>
  <si>
    <t>=NL("sum","Item Ledger Entry","Quantity","Item No.",$D1092,"Entry Type","Sale|Consumption","posting date","01/01/21..12/31/21")/-12</t>
  </si>
  <si>
    <t>=NL("sum","Item Ledger Entry","Quantity","Item No.",$D1092,"Entry Type","Sale|Consumption","posting date","01/01/22..12/31/22")/-12</t>
  </si>
  <si>
    <t>=NL("sum","Item Ledger Entry","Quantity","Item No.",$D1092,"Entry Type","Sale|Consumption","posting date","01/01/23..12/31/23")/$J$7</t>
  </si>
  <si>
    <t>=AVERAGE(I1092:J1092)</t>
  </si>
  <si>
    <t>=NL(1,"item",L$9,"no.",D1092)</t>
  </si>
  <si>
    <t>=NL(1,"item",M$9,"no.",$D1092)</t>
  </si>
  <si>
    <t>=NL(1,"item","Units Per Parcel","no.",$D1092)</t>
  </si>
  <si>
    <t>=NL(1,"Prod. BOM Equipment","Fixed Prod. Time (Hours)","Production BOM No.",$D1092,"version code",$E1092,"Resource No.",O$9)</t>
  </si>
  <si>
    <t>=1/O1092</t>
  </si>
  <si>
    <t>=IF(NL(1,"Prod. BOM Equipment","Variable Prod. Time (Hours)","Production BOM No.",$D1092,"version code",$E1092,"Resource No.",$O$9)="",1,NL(1,"Prod. BOM Equipment","Variable Prod. Time (Hours)","Production BOM No.",$D1092,"version code",$E1092,"Resource No.",$O$9))</t>
  </si>
  <si>
    <t>=1/Q1092</t>
  </si>
  <si>
    <t>=R1092*N1092</t>
  </si>
  <si>
    <t>=IF(K1093=0,"hide","")</t>
  </si>
  <si>
    <t>=D1092</t>
  </si>
  <si>
    <t>=NL("sum","Production Order","Quantity","Source No.",$D1093,"Equipment Code",$L1093,"due date",F$8)/-12</t>
  </si>
  <si>
    <t>=NL("sum","Production Order","Quantity","Source No.",$D1093,"Equipment Code",$L1093,"due date",G$8)/-12</t>
  </si>
  <si>
    <t>=NL("sum","Production Order","Quantity","Source No.",$D1093,"Equipment Code",$L1093,"due date",H$8)/-12</t>
  </si>
  <si>
    <t>=NL("sum","Production Order","Quantity","Source No.",$D1093,"Equipment Code",$L1093,"due date",I$8)/-12</t>
  </si>
  <si>
    <t>=NL("sum","Production Order","Quantity","Source No.",$D1093,"Equipment Code",$L1093,"due date",J$8)/$J$7</t>
  </si>
  <si>
    <t>=AVERAGE(I1093:J1093)</t>
  </si>
  <si>
    <t>=IF(K1094=0,"hide","")</t>
  </si>
  <si>
    <t>=D1093</t>
  </si>
  <si>
    <t>=NL("sum","Production Order","Quantity","Source No.",$D1094,"Equipment Code",$L1094,"due date",F$8)/-12</t>
  </si>
  <si>
    <t>=NL("sum","Production Order","Quantity","Source No.",$D1094,"Equipment Code",$L1094,"due date",G$8)/-12</t>
  </si>
  <si>
    <t>=NL("sum","Production Order","Quantity","Source No.",$D1094,"Equipment Code",$L1094,"due date",H$8)/-12</t>
  </si>
  <si>
    <t>=NL("sum","Production Order","Quantity","Source No.",$D1094,"Equipment Code",$L1094,"due date",I$8)/-12</t>
  </si>
  <si>
    <t>=NL("sum","Production Order","Quantity","Source No.",$D1094,"Equipment Code",$L1094,"due date",J$8)/$J$7</t>
  </si>
  <si>
    <t>=AVERAGE(I1094:J1094)</t>
  </si>
  <si>
    <t>=IF(K1095=0,"hide","")</t>
  </si>
  <si>
    <t>=D1094</t>
  </si>
  <si>
    <t>=NL("sum","Production Order","Quantity","Source No.",$D1095,"Equipment Code",$L1095,"due date",F$8)/-12</t>
  </si>
  <si>
    <t>=NL("sum","Production Order","Quantity","Source No.",$D1095,"Equipment Code",$L1095,"due date",G$8)/-12</t>
  </si>
  <si>
    <t>=NL("sum","Production Order","Quantity","Source No.",$D1095,"Equipment Code",$L1095,"due date",H$8)/-12</t>
  </si>
  <si>
    <t>=NL("sum","Production Order","Quantity","Source No.",$D1095,"Equipment Code",$L1095,"due date",I$8)/-12</t>
  </si>
  <si>
    <t>=NL("sum","Production Order","Quantity","Source No.",$D1095,"Equipment Code",$L1095,"due date",J$8)/$J$7</t>
  </si>
  <si>
    <t>=AVERAGE(I1095:J1095)</t>
  </si>
  <si>
    <t>=IF(K1096=0,"hide","")</t>
  </si>
  <si>
    <t>=D1095</t>
  </si>
  <si>
    <t>=NL("sum","Production Order","Quantity","Source No.",$D1096,"Equipment Code",$L1096,"due date",F$8)/-12</t>
  </si>
  <si>
    <t>=NL("sum","Production Order","Quantity","Source No.",$D1096,"Equipment Code",$L1096,"due date",G$8)/-12</t>
  </si>
  <si>
    <t>=NL("sum","Production Order","Quantity","Source No.",$D1096,"Equipment Code",$L1096,"due date",H$8)/-12</t>
  </si>
  <si>
    <t>=NL("sum","Production Order","Quantity","Source No.",$D1096,"Equipment Code",$L1096,"due date",I$8)/-12</t>
  </si>
  <si>
    <t>=NL("sum","Production Order","Quantity","Source No.",$D1096,"Equipment Code",$L1096,"due date",J$8)/$J$7</t>
  </si>
  <si>
    <t>=AVERAGE(I1096:J1096)</t>
  </si>
  <si>
    <t>=B1093</t>
  </si>
  <si>
    <t>=B1097</t>
  </si>
  <si>
    <t>=SUM(F1093:F1097)</t>
  </si>
  <si>
    <t>=SUM(G1093:G1097)</t>
  </si>
  <si>
    <t>=SUM(H1093:H1097)</t>
  </si>
  <si>
    <t>=SUM(I1093:I1097)</t>
  </si>
  <si>
    <t>=SUM(J1093:J1097)</t>
  </si>
  <si>
    <t>=IF(K1099=0,"hide","")</t>
  </si>
  <si>
    <t>="11065"</t>
  </si>
  <si>
    <t>=NL("rows","Production BOM Version","Version Code","Production BOM No.",D1099,"status","certified")</t>
  </si>
  <si>
    <t>=NL("sum","Item Ledger Entry","Quantity","Item No.",$D1099,"Entry Type","Sale|Consumption","posting date","01/01/19..12/31/19")/-12</t>
  </si>
  <si>
    <t>=NL("sum","Item Ledger Entry","Quantity","Item No.",$D1099,"Entry Type","Sale|Consumption","posting date","01/01/20..12/31/20")/-12</t>
  </si>
  <si>
    <t>=NL("sum","Item Ledger Entry","Quantity","Item No.",$D1099,"Entry Type","Sale|Consumption","posting date","01/01/21..12/31/21")/-12</t>
  </si>
  <si>
    <t>=NL("sum","Item Ledger Entry","Quantity","Item No.",$D1099,"Entry Type","Sale|Consumption","posting date","01/01/22..12/31/22")/-12</t>
  </si>
  <si>
    <t>=NL("sum","Item Ledger Entry","Quantity","Item No.",$D1099,"Entry Type","Sale|Consumption","posting date","01/01/23..12/31/23")/$J$7</t>
  </si>
  <si>
    <t>=AVERAGE(I1099:J1099)</t>
  </si>
  <si>
    <t>=NL(1,"item",L$9,"no.",D1099)</t>
  </si>
  <si>
    <t>=NL(1,"item",M$9,"no.",$D1099)</t>
  </si>
  <si>
    <t>=NL(1,"item","Units Per Parcel","no.",$D1099)</t>
  </si>
  <si>
    <t>=NL(1,"Prod. BOM Equipment","Fixed Prod. Time (Hours)","Production BOM No.",$D1099,"version code",$E1099,"Resource No.",O$9)</t>
  </si>
  <si>
    <t>=1/O1099</t>
  </si>
  <si>
    <t>=IF(NL(1,"Prod. BOM Equipment","Variable Prod. Time (Hours)","Production BOM No.",$D1099,"version code",$E1099,"Resource No.",$O$9)="",1,NL(1,"Prod. BOM Equipment","Variable Prod. Time (Hours)","Production BOM No.",$D1099,"version code",$E1099,"Resource No.",$O$9))</t>
  </si>
  <si>
    <t>=1/Q1099</t>
  </si>
  <si>
    <t>=R1099*N1099</t>
  </si>
  <si>
    <t>=IF(K1100=0,"hide","")</t>
  </si>
  <si>
    <t>=D1099</t>
  </si>
  <si>
    <t>=NL("sum","Production Order","Quantity","Source No.",$D1100,"Equipment Code",$L1100,"due date",F$8)/-12</t>
  </si>
  <si>
    <t>=NL("sum","Production Order","Quantity","Source No.",$D1100,"Equipment Code",$L1100,"due date",G$8)/-12</t>
  </si>
  <si>
    <t>=NL("sum","Production Order","Quantity","Source No.",$D1100,"Equipment Code",$L1100,"due date",H$8)/-12</t>
  </si>
  <si>
    <t>=NL("sum","Production Order","Quantity","Source No.",$D1100,"Equipment Code",$L1100,"due date",I$8)/-12</t>
  </si>
  <si>
    <t>=NL("sum","Production Order","Quantity","Source No.",$D1100,"Equipment Code",$L1100,"due date",J$8)/$J$7</t>
  </si>
  <si>
    <t>=AVERAGE(I1100:J1100)</t>
  </si>
  <si>
    <t>=IF(K1101=0,"hide","")</t>
  </si>
  <si>
    <t>=D1100</t>
  </si>
  <si>
    <t>=NL("sum","Production Order","Quantity","Source No.",$D1101,"Equipment Code",$L1101,"due date",F$8)/-12</t>
  </si>
  <si>
    <t>=NL("sum","Production Order","Quantity","Source No.",$D1101,"Equipment Code",$L1101,"due date",G$8)/-12</t>
  </si>
  <si>
    <t>=NL("sum","Production Order","Quantity","Source No.",$D1101,"Equipment Code",$L1101,"due date",H$8)/-12</t>
  </si>
  <si>
    <t>=NL("sum","Production Order","Quantity","Source No.",$D1101,"Equipment Code",$L1101,"due date",I$8)/-12</t>
  </si>
  <si>
    <t>=NL("sum","Production Order","Quantity","Source No.",$D1101,"Equipment Code",$L1101,"due date",J$8)/$J$7</t>
  </si>
  <si>
    <t>=AVERAGE(I1101:J1101)</t>
  </si>
  <si>
    <t>=IF(K1102=0,"hide","")</t>
  </si>
  <si>
    <t>=D1101</t>
  </si>
  <si>
    <t>=NL("sum","Production Order","Quantity","Source No.",$D1102,"Equipment Code",$L1102,"due date",F$8)/-12</t>
  </si>
  <si>
    <t>=NL("sum","Production Order","Quantity","Source No.",$D1102,"Equipment Code",$L1102,"due date",G$8)/-12</t>
  </si>
  <si>
    <t>=NL("sum","Production Order","Quantity","Source No.",$D1102,"Equipment Code",$L1102,"due date",H$8)/-12</t>
  </si>
  <si>
    <t>=NL("sum","Production Order","Quantity","Source No.",$D1102,"Equipment Code",$L1102,"due date",I$8)/-12</t>
  </si>
  <si>
    <t>=NL("sum","Production Order","Quantity","Source No.",$D1102,"Equipment Code",$L1102,"due date",J$8)/$J$7</t>
  </si>
  <si>
    <t>=AVERAGE(I1102:J1102)</t>
  </si>
  <si>
    <t>=IF(K1103=0,"hide","")</t>
  </si>
  <si>
    <t>=D1102</t>
  </si>
  <si>
    <t>=NL("sum","Production Order","Quantity","Source No.",$D1103,"Equipment Code",$L1103,"due date",F$8)/-12</t>
  </si>
  <si>
    <t>=NL("sum","Production Order","Quantity","Source No.",$D1103,"Equipment Code",$L1103,"due date",G$8)/-12</t>
  </si>
  <si>
    <t>=NL("sum","Production Order","Quantity","Source No.",$D1103,"Equipment Code",$L1103,"due date",H$8)/-12</t>
  </si>
  <si>
    <t>=NL("sum","Production Order","Quantity","Source No.",$D1103,"Equipment Code",$L1103,"due date",I$8)/-12</t>
  </si>
  <si>
    <t>=NL("sum","Production Order","Quantity","Source No.",$D1103,"Equipment Code",$L1103,"due date",J$8)/$J$7</t>
  </si>
  <si>
    <t>=AVERAGE(I1103:J1103)</t>
  </si>
  <si>
    <t>=B1100</t>
  </si>
  <si>
    <t>=B1104</t>
  </si>
  <si>
    <t>=SUM(F1100:F1104)</t>
  </si>
  <si>
    <t>=SUM(G1100:G1104)</t>
  </si>
  <si>
    <t>=SUM(H1100:H1104)</t>
  </si>
  <si>
    <t>=SUM(I1100:I1104)</t>
  </si>
  <si>
    <t>=SUM(J1100:J1104)</t>
  </si>
  <si>
    <t>=IF(K1106=0,"hide","")</t>
  </si>
  <si>
    <t>="11068"</t>
  </si>
  <si>
    <t>=NL("rows","Production BOM Version","Version Code","Production BOM No.",D1106,"status","certified")</t>
  </si>
  <si>
    <t>=NL("sum","Item Ledger Entry","Quantity","Item No.",$D1106,"Entry Type","Sale|Consumption","posting date","01/01/19..12/31/19")/-12</t>
  </si>
  <si>
    <t>=NL("sum","Item Ledger Entry","Quantity","Item No.",$D1106,"Entry Type","Sale|Consumption","posting date","01/01/20..12/31/20")/-12</t>
  </si>
  <si>
    <t>=NL("sum","Item Ledger Entry","Quantity","Item No.",$D1106,"Entry Type","Sale|Consumption","posting date","01/01/21..12/31/21")/-12</t>
  </si>
  <si>
    <t>=NL("sum","Item Ledger Entry","Quantity","Item No.",$D1106,"Entry Type","Sale|Consumption","posting date","01/01/22..12/31/22")/-12</t>
  </si>
  <si>
    <t>=NL("sum","Item Ledger Entry","Quantity","Item No.",$D1106,"Entry Type","Sale|Consumption","posting date","01/01/23..12/31/23")/$J$7</t>
  </si>
  <si>
    <t>=AVERAGE(I1106:J1106)</t>
  </si>
  <si>
    <t>=NL(1,"item",L$9,"no.",D1106)</t>
  </si>
  <si>
    <t>=NL(1,"item",M$9,"no.",$D1106)</t>
  </si>
  <si>
    <t>=NL(1,"item","Units Per Parcel","no.",$D1106)</t>
  </si>
  <si>
    <t>=NL(1,"Prod. BOM Equipment","Fixed Prod. Time (Hours)","Production BOM No.",$D1106,"version code",$E1106,"Resource No.",O$9)</t>
  </si>
  <si>
    <t>=1/O1106</t>
  </si>
  <si>
    <t>=IF(NL(1,"Prod. BOM Equipment","Variable Prod. Time (Hours)","Production BOM No.",$D1106,"version code",$E1106,"Resource No.",$O$9)="",1,NL(1,"Prod. BOM Equipment","Variable Prod. Time (Hours)","Production BOM No.",$D1106,"version code",$E1106,"Resource No.",$O$9))</t>
  </si>
  <si>
    <t>=1/Q1106</t>
  </si>
  <si>
    <t>=R1106*N1106</t>
  </si>
  <si>
    <t>=IF(K1107=0,"hide","")</t>
  </si>
  <si>
    <t>=D1106</t>
  </si>
  <si>
    <t>=NL("sum","Production Order","Quantity","Source No.",$D1107,"Equipment Code",$L1107,"due date",F$8)/-12</t>
  </si>
  <si>
    <t>=NL("sum","Production Order","Quantity","Source No.",$D1107,"Equipment Code",$L1107,"due date",G$8)/-12</t>
  </si>
  <si>
    <t>=NL("sum","Production Order","Quantity","Source No.",$D1107,"Equipment Code",$L1107,"due date",H$8)/-12</t>
  </si>
  <si>
    <t>=NL("sum","Production Order","Quantity","Source No.",$D1107,"Equipment Code",$L1107,"due date",I$8)/-12</t>
  </si>
  <si>
    <t>=NL("sum","Production Order","Quantity","Source No.",$D1107,"Equipment Code",$L1107,"due date",J$8)/$J$7</t>
  </si>
  <si>
    <t>=AVERAGE(I1107:J1107)</t>
  </si>
  <si>
    <t>=IF(K1108=0,"hide","")</t>
  </si>
  <si>
    <t>=D1107</t>
  </si>
  <si>
    <t>=NL("sum","Production Order","Quantity","Source No.",$D1108,"Equipment Code",$L1108,"due date",F$8)/-12</t>
  </si>
  <si>
    <t>=NL("sum","Production Order","Quantity","Source No.",$D1108,"Equipment Code",$L1108,"due date",G$8)/-12</t>
  </si>
  <si>
    <t>=NL("sum","Production Order","Quantity","Source No.",$D1108,"Equipment Code",$L1108,"due date",H$8)/-12</t>
  </si>
  <si>
    <t>=NL("sum","Production Order","Quantity","Source No.",$D1108,"Equipment Code",$L1108,"due date",I$8)/-12</t>
  </si>
  <si>
    <t>=NL("sum","Production Order","Quantity","Source No.",$D1108,"Equipment Code",$L1108,"due date",J$8)/$J$7</t>
  </si>
  <si>
    <t>=AVERAGE(I1108:J1108)</t>
  </si>
  <si>
    <t>=IF(K1109=0,"hide","")</t>
  </si>
  <si>
    <t>=D1108</t>
  </si>
  <si>
    <t>=NL("sum","Production Order","Quantity","Source No.",$D1109,"Equipment Code",$L1109,"due date",F$8)/-12</t>
  </si>
  <si>
    <t>=NL("sum","Production Order","Quantity","Source No.",$D1109,"Equipment Code",$L1109,"due date",G$8)/-12</t>
  </si>
  <si>
    <t>=NL("sum","Production Order","Quantity","Source No.",$D1109,"Equipment Code",$L1109,"due date",H$8)/-12</t>
  </si>
  <si>
    <t>=NL("sum","Production Order","Quantity","Source No.",$D1109,"Equipment Code",$L1109,"due date",I$8)/-12</t>
  </si>
  <si>
    <t>=NL("sum","Production Order","Quantity","Source No.",$D1109,"Equipment Code",$L1109,"due date",J$8)/$J$7</t>
  </si>
  <si>
    <t>=AVERAGE(I1109:J1109)</t>
  </si>
  <si>
    <t>=IF(K1110=0,"hide","")</t>
  </si>
  <si>
    <t>=D1109</t>
  </si>
  <si>
    <t>=NL("sum","Production Order","Quantity","Source No.",$D1110,"Equipment Code",$L1110,"due date",F$8)/-12</t>
  </si>
  <si>
    <t>=NL("sum","Production Order","Quantity","Source No.",$D1110,"Equipment Code",$L1110,"due date",G$8)/-12</t>
  </si>
  <si>
    <t>=NL("sum","Production Order","Quantity","Source No.",$D1110,"Equipment Code",$L1110,"due date",H$8)/-12</t>
  </si>
  <si>
    <t>=NL("sum","Production Order","Quantity","Source No.",$D1110,"Equipment Code",$L1110,"due date",I$8)/-12</t>
  </si>
  <si>
    <t>=NL("sum","Production Order","Quantity","Source No.",$D1110,"Equipment Code",$L1110,"due date",J$8)/$J$7</t>
  </si>
  <si>
    <t>=AVERAGE(I1110:J1110)</t>
  </si>
  <si>
    <t>=B1107</t>
  </si>
  <si>
    <t>=B1111</t>
  </si>
  <si>
    <t>=SUM(F1107:F1111)</t>
  </si>
  <si>
    <t>=SUM(G1107:G1111)</t>
  </si>
  <si>
    <t>=SUM(H1107:H1111)</t>
  </si>
  <si>
    <t>=SUM(I1107:I1111)</t>
  </si>
  <si>
    <t>=SUM(J1107:J1111)</t>
  </si>
  <si>
    <t>=IF(K1113=0,"hide","")</t>
  </si>
  <si>
    <t>="11201"</t>
  </si>
  <si>
    <t>=NL("rows","Production BOM Version","Version Code","Production BOM No.",D1113,"status","certified")</t>
  </si>
  <si>
    <t>=NL("sum","Item Ledger Entry","Quantity","Item No.",$D1113,"Entry Type","Sale|Consumption","posting date","01/01/19..12/31/19")/-12</t>
  </si>
  <si>
    <t>=NL("sum","Item Ledger Entry","Quantity","Item No.",$D1113,"Entry Type","Sale|Consumption","posting date","01/01/20..12/31/20")/-12</t>
  </si>
  <si>
    <t>=NL("sum","Item Ledger Entry","Quantity","Item No.",$D1113,"Entry Type","Sale|Consumption","posting date","01/01/21..12/31/21")/-12</t>
  </si>
  <si>
    <t>=NL("sum","Item Ledger Entry","Quantity","Item No.",$D1113,"Entry Type","Sale|Consumption","posting date","01/01/22..12/31/22")/-12</t>
  </si>
  <si>
    <t>=NL("sum","Item Ledger Entry","Quantity","Item No.",$D1113,"Entry Type","Sale|Consumption","posting date","01/01/23..12/31/23")/$J$7</t>
  </si>
  <si>
    <t>=AVERAGE(I1113:J1113)</t>
  </si>
  <si>
    <t>=NL(1,"item",L$9,"no.",D1113)</t>
  </si>
  <si>
    <t>=NL(1,"item",M$9,"no.",$D1113)</t>
  </si>
  <si>
    <t>=NL(1,"item","Units Per Parcel","no.",$D1113)</t>
  </si>
  <si>
    <t>=NL(1,"Prod. BOM Equipment","Fixed Prod. Time (Hours)","Production BOM No.",$D1113,"version code",$E1113,"Resource No.",O$9)</t>
  </si>
  <si>
    <t>=1/O1113</t>
  </si>
  <si>
    <t>=IF(NL(1,"Prod. BOM Equipment","Variable Prod. Time (Hours)","Production BOM No.",$D1113,"version code",$E1113,"Resource No.",$O$9)="",1,NL(1,"Prod. BOM Equipment","Variable Prod. Time (Hours)","Production BOM No.",$D1113,"version code",$E1113,"Resource No.",$O$9))</t>
  </si>
  <si>
    <t>=1/Q1113</t>
  </si>
  <si>
    <t>=R1113*N1113</t>
  </si>
  <si>
    <t>=IF(K1114=0,"hide","")</t>
  </si>
  <si>
    <t>=D1113</t>
  </si>
  <si>
    <t>=NL("sum","Production Order","Quantity","Source No.",$D1114,"Equipment Code",$L1114,"due date",F$8)/-12</t>
  </si>
  <si>
    <t>=NL("sum","Production Order","Quantity","Source No.",$D1114,"Equipment Code",$L1114,"due date",G$8)/-12</t>
  </si>
  <si>
    <t>=NL("sum","Production Order","Quantity","Source No.",$D1114,"Equipment Code",$L1114,"due date",H$8)/-12</t>
  </si>
  <si>
    <t>=NL("sum","Production Order","Quantity","Source No.",$D1114,"Equipment Code",$L1114,"due date",I$8)/-12</t>
  </si>
  <si>
    <t>=NL("sum","Production Order","Quantity","Source No.",$D1114,"Equipment Code",$L1114,"due date",J$8)/$J$7</t>
  </si>
  <si>
    <t>=AVERAGE(I1114:J1114)</t>
  </si>
  <si>
    <t>=IF(K1115=0,"hide","")</t>
  </si>
  <si>
    <t>=D1114</t>
  </si>
  <si>
    <t>=NL("sum","Production Order","Quantity","Source No.",$D1115,"Equipment Code",$L1115,"due date",F$8)/-12</t>
  </si>
  <si>
    <t>=NL("sum","Production Order","Quantity","Source No.",$D1115,"Equipment Code",$L1115,"due date",G$8)/-12</t>
  </si>
  <si>
    <t>=NL("sum","Production Order","Quantity","Source No.",$D1115,"Equipment Code",$L1115,"due date",H$8)/-12</t>
  </si>
  <si>
    <t>=NL("sum","Production Order","Quantity","Source No.",$D1115,"Equipment Code",$L1115,"due date",I$8)/-12</t>
  </si>
  <si>
    <t>=NL("sum","Production Order","Quantity","Source No.",$D1115,"Equipment Code",$L1115,"due date",J$8)/$J$7</t>
  </si>
  <si>
    <t>=AVERAGE(I1115:J1115)</t>
  </si>
  <si>
    <t>=IF(K1116=0,"hide","")</t>
  </si>
  <si>
    <t>=D1115</t>
  </si>
  <si>
    <t>=NL("sum","Production Order","Quantity","Source No.",$D1116,"Equipment Code",$L1116,"due date",F$8)/-12</t>
  </si>
  <si>
    <t>=NL("sum","Production Order","Quantity","Source No.",$D1116,"Equipment Code",$L1116,"due date",G$8)/-12</t>
  </si>
  <si>
    <t>=NL("sum","Production Order","Quantity","Source No.",$D1116,"Equipment Code",$L1116,"due date",H$8)/-12</t>
  </si>
  <si>
    <t>=NL("sum","Production Order","Quantity","Source No.",$D1116,"Equipment Code",$L1116,"due date",I$8)/-12</t>
  </si>
  <si>
    <t>=NL("sum","Production Order","Quantity","Source No.",$D1116,"Equipment Code",$L1116,"due date",J$8)/$J$7</t>
  </si>
  <si>
    <t>=AVERAGE(I1116:J1116)</t>
  </si>
  <si>
    <t>=IF(K1117=0,"hide","")</t>
  </si>
  <si>
    <t>=D1116</t>
  </si>
  <si>
    <t>=NL("sum","Production Order","Quantity","Source No.",$D1117,"Equipment Code",$L1117,"due date",F$8)/-12</t>
  </si>
  <si>
    <t>=NL("sum","Production Order","Quantity","Source No.",$D1117,"Equipment Code",$L1117,"due date",G$8)/-12</t>
  </si>
  <si>
    <t>=NL("sum","Production Order","Quantity","Source No.",$D1117,"Equipment Code",$L1117,"due date",H$8)/-12</t>
  </si>
  <si>
    <t>=NL("sum","Production Order","Quantity","Source No.",$D1117,"Equipment Code",$L1117,"due date",I$8)/-12</t>
  </si>
  <si>
    <t>=NL("sum","Production Order","Quantity","Source No.",$D1117,"Equipment Code",$L1117,"due date",J$8)/$J$7</t>
  </si>
  <si>
    <t>=AVERAGE(I1117:J1117)</t>
  </si>
  <si>
    <t>=B1114</t>
  </si>
  <si>
    <t>=B1118</t>
  </si>
  <si>
    <t>=SUM(F1114:F1118)</t>
  </si>
  <si>
    <t>=SUM(G1114:G1118)</t>
  </si>
  <si>
    <t>=SUM(H1114:H1118)</t>
  </si>
  <si>
    <t>=SUM(I1114:I1118)</t>
  </si>
  <si>
    <t>=SUM(J1114:J1118)</t>
  </si>
  <si>
    <t>=IF(K1120=0,"hide","")</t>
  </si>
  <si>
    <t>="11205"</t>
  </si>
  <si>
    <t>=NL("rows","Production BOM Version","Version Code","Production BOM No.",D1120,"status","certified")</t>
  </si>
  <si>
    <t>=NL("sum","Item Ledger Entry","Quantity","Item No.",$D1120,"Entry Type","Sale|Consumption","posting date","01/01/19..12/31/19")/-12</t>
  </si>
  <si>
    <t>=NL("sum","Item Ledger Entry","Quantity","Item No.",$D1120,"Entry Type","Sale|Consumption","posting date","01/01/20..12/31/20")/-12</t>
  </si>
  <si>
    <t>=NL("sum","Item Ledger Entry","Quantity","Item No.",$D1120,"Entry Type","Sale|Consumption","posting date","01/01/21..12/31/21")/-12</t>
  </si>
  <si>
    <t>=NL("sum","Item Ledger Entry","Quantity","Item No.",$D1120,"Entry Type","Sale|Consumption","posting date","01/01/22..12/31/22")/-12</t>
  </si>
  <si>
    <t>=NL("sum","Item Ledger Entry","Quantity","Item No.",$D1120,"Entry Type","Sale|Consumption","posting date","01/01/23..12/31/23")/$J$7</t>
  </si>
  <si>
    <t>=AVERAGE(I1120:J1120)</t>
  </si>
  <si>
    <t>=NL(1,"item",L$9,"no.",D1120)</t>
  </si>
  <si>
    <t>=NL(1,"item",M$9,"no.",$D1120)</t>
  </si>
  <si>
    <t>=NL(1,"item","Units Per Parcel","no.",$D1120)</t>
  </si>
  <si>
    <t>=NL(1,"Prod. BOM Equipment","Fixed Prod. Time (Hours)","Production BOM No.",$D1120,"version code",$E1120,"Resource No.",O$9)</t>
  </si>
  <si>
    <t>=1/O1120</t>
  </si>
  <si>
    <t>=IF(NL(1,"Prod. BOM Equipment","Variable Prod. Time (Hours)","Production BOM No.",$D1120,"version code",$E1120,"Resource No.",$O$9)="",1,NL(1,"Prod. BOM Equipment","Variable Prod. Time (Hours)","Production BOM No.",$D1120,"version code",$E1120,"Resource No.",$O$9))</t>
  </si>
  <si>
    <t>=1/Q1120</t>
  </si>
  <si>
    <t>=R1120*N1120</t>
  </si>
  <si>
    <t>=IF(K1121=0,"hide","")</t>
  </si>
  <si>
    <t>=D1120</t>
  </si>
  <si>
    <t>=NL("sum","Production Order","Quantity","Source No.",$D1121,"Equipment Code",$L1121,"due date",F$8)/-12</t>
  </si>
  <si>
    <t>=NL("sum","Production Order","Quantity","Source No.",$D1121,"Equipment Code",$L1121,"due date",G$8)/-12</t>
  </si>
  <si>
    <t>=NL("sum","Production Order","Quantity","Source No.",$D1121,"Equipment Code",$L1121,"due date",H$8)/-12</t>
  </si>
  <si>
    <t>=NL("sum","Production Order","Quantity","Source No.",$D1121,"Equipment Code",$L1121,"due date",I$8)/-12</t>
  </si>
  <si>
    <t>=NL("sum","Production Order","Quantity","Source No.",$D1121,"Equipment Code",$L1121,"due date",J$8)/$J$7</t>
  </si>
  <si>
    <t>=AVERAGE(I1121:J1121)</t>
  </si>
  <si>
    <t>=IF(K1122=0,"hide","")</t>
  </si>
  <si>
    <t>=D1121</t>
  </si>
  <si>
    <t>=NL("sum","Production Order","Quantity","Source No.",$D1122,"Equipment Code",$L1122,"due date",F$8)/-12</t>
  </si>
  <si>
    <t>=NL("sum","Production Order","Quantity","Source No.",$D1122,"Equipment Code",$L1122,"due date",G$8)/-12</t>
  </si>
  <si>
    <t>=NL("sum","Production Order","Quantity","Source No.",$D1122,"Equipment Code",$L1122,"due date",H$8)/-12</t>
  </si>
  <si>
    <t>=NL("sum","Production Order","Quantity","Source No.",$D1122,"Equipment Code",$L1122,"due date",I$8)/-12</t>
  </si>
  <si>
    <t>=NL("sum","Production Order","Quantity","Source No.",$D1122,"Equipment Code",$L1122,"due date",J$8)/$J$7</t>
  </si>
  <si>
    <t>=AVERAGE(I1122:J1122)</t>
  </si>
  <si>
    <t>=IF(K1123=0,"hide","")</t>
  </si>
  <si>
    <t>=D1122</t>
  </si>
  <si>
    <t>=NL("sum","Production Order","Quantity","Source No.",$D1123,"Equipment Code",$L1123,"due date",F$8)/-12</t>
  </si>
  <si>
    <t>=NL("sum","Production Order","Quantity","Source No.",$D1123,"Equipment Code",$L1123,"due date",G$8)/-12</t>
  </si>
  <si>
    <t>=NL("sum","Production Order","Quantity","Source No.",$D1123,"Equipment Code",$L1123,"due date",H$8)/-12</t>
  </si>
  <si>
    <t>=NL("sum","Production Order","Quantity","Source No.",$D1123,"Equipment Code",$L1123,"due date",I$8)/-12</t>
  </si>
  <si>
    <t>=NL("sum","Production Order","Quantity","Source No.",$D1123,"Equipment Code",$L1123,"due date",J$8)/$J$7</t>
  </si>
  <si>
    <t>=AVERAGE(I1123:J1123)</t>
  </si>
  <si>
    <t>=IF(K1124=0,"hide","")</t>
  </si>
  <si>
    <t>=D1123</t>
  </si>
  <si>
    <t>=NL("sum","Production Order","Quantity","Source No.",$D1124,"Equipment Code",$L1124,"due date",F$8)/-12</t>
  </si>
  <si>
    <t>=NL("sum","Production Order","Quantity","Source No.",$D1124,"Equipment Code",$L1124,"due date",G$8)/-12</t>
  </si>
  <si>
    <t>=NL("sum","Production Order","Quantity","Source No.",$D1124,"Equipment Code",$L1124,"due date",H$8)/-12</t>
  </si>
  <si>
    <t>=NL("sum","Production Order","Quantity","Source No.",$D1124,"Equipment Code",$L1124,"due date",I$8)/-12</t>
  </si>
  <si>
    <t>=NL("sum","Production Order","Quantity","Source No.",$D1124,"Equipment Code",$L1124,"due date",J$8)/$J$7</t>
  </si>
  <si>
    <t>=AVERAGE(I1124:J1124)</t>
  </si>
  <si>
    <t>=B1121</t>
  </si>
  <si>
    <t>=B1125</t>
  </si>
  <si>
    <t>=SUM(F1121:F1125)</t>
  </si>
  <si>
    <t>=SUM(G1121:G1125)</t>
  </si>
  <si>
    <t>=SUM(H1121:H1125)</t>
  </si>
  <si>
    <t>=SUM(I1121:I1125)</t>
  </si>
  <si>
    <t>=SUM(J1121:J1125)</t>
  </si>
  <si>
    <t>=IF(K1127=0,"hide","")</t>
  </si>
  <si>
    <t>="11206"</t>
  </si>
  <si>
    <t>=NL("rows","Production BOM Version","Version Code","Production BOM No.",D1127,"status","certified")</t>
  </si>
  <si>
    <t>=NL("sum","Item Ledger Entry","Quantity","Item No.",$D1127,"Entry Type","Sale|Consumption","posting date","01/01/19..12/31/19")/-12</t>
  </si>
  <si>
    <t>=NL("sum","Item Ledger Entry","Quantity","Item No.",$D1127,"Entry Type","Sale|Consumption","posting date","01/01/20..12/31/20")/-12</t>
  </si>
  <si>
    <t>=NL("sum","Item Ledger Entry","Quantity","Item No.",$D1127,"Entry Type","Sale|Consumption","posting date","01/01/21..12/31/21")/-12</t>
  </si>
  <si>
    <t>=NL("sum","Item Ledger Entry","Quantity","Item No.",$D1127,"Entry Type","Sale|Consumption","posting date","01/01/22..12/31/22")/-12</t>
  </si>
  <si>
    <t>=NL("sum","Item Ledger Entry","Quantity","Item No.",$D1127,"Entry Type","Sale|Consumption","posting date","01/01/23..12/31/23")/$J$7</t>
  </si>
  <si>
    <t>=AVERAGE(I1127:J1127)</t>
  </si>
  <si>
    <t>=NL(1,"item",L$9,"no.",D1127)</t>
  </si>
  <si>
    <t>=NL(1,"item",M$9,"no.",$D1127)</t>
  </si>
  <si>
    <t>=NL(1,"item","Units Per Parcel","no.",$D1127)</t>
  </si>
  <si>
    <t>=NL(1,"Prod. BOM Equipment","Fixed Prod. Time (Hours)","Production BOM No.",$D1127,"version code",$E1127,"Resource No.",O$9)</t>
  </si>
  <si>
    <t>=1/O1127</t>
  </si>
  <si>
    <t>=IF(NL(1,"Prod. BOM Equipment","Variable Prod. Time (Hours)","Production BOM No.",$D1127,"version code",$E1127,"Resource No.",$O$9)="",1,NL(1,"Prod. BOM Equipment","Variable Prod. Time (Hours)","Production BOM No.",$D1127,"version code",$E1127,"Resource No.",$O$9))</t>
  </si>
  <si>
    <t>=1/Q1127</t>
  </si>
  <si>
    <t>=R1127*N1127</t>
  </si>
  <si>
    <t>=IF(K1128=0,"hide","")</t>
  </si>
  <si>
    <t>=D1127</t>
  </si>
  <si>
    <t>=NL("sum","Production Order","Quantity","Source No.",$D1128,"Equipment Code",$L1128,"due date",F$8)/-12</t>
  </si>
  <si>
    <t>=NL("sum","Production Order","Quantity","Source No.",$D1128,"Equipment Code",$L1128,"due date",G$8)/-12</t>
  </si>
  <si>
    <t>=NL("sum","Production Order","Quantity","Source No.",$D1128,"Equipment Code",$L1128,"due date",H$8)/-12</t>
  </si>
  <si>
    <t>=NL("sum","Production Order","Quantity","Source No.",$D1128,"Equipment Code",$L1128,"due date",I$8)/-12</t>
  </si>
  <si>
    <t>=NL("sum","Production Order","Quantity","Source No.",$D1128,"Equipment Code",$L1128,"due date",J$8)/$J$7</t>
  </si>
  <si>
    <t>=AVERAGE(I1128:J1128)</t>
  </si>
  <si>
    <t>=IF(K1129=0,"hide","")</t>
  </si>
  <si>
    <t>=D1128</t>
  </si>
  <si>
    <t>=NL("sum","Production Order","Quantity","Source No.",$D1129,"Equipment Code",$L1129,"due date",F$8)/-12</t>
  </si>
  <si>
    <t>=NL("sum","Production Order","Quantity","Source No.",$D1129,"Equipment Code",$L1129,"due date",G$8)/-12</t>
  </si>
  <si>
    <t>=NL("sum","Production Order","Quantity","Source No.",$D1129,"Equipment Code",$L1129,"due date",H$8)/-12</t>
  </si>
  <si>
    <t>=NL("sum","Production Order","Quantity","Source No.",$D1129,"Equipment Code",$L1129,"due date",I$8)/-12</t>
  </si>
  <si>
    <t>=NL("sum","Production Order","Quantity","Source No.",$D1129,"Equipment Code",$L1129,"due date",J$8)/$J$7</t>
  </si>
  <si>
    <t>=AVERAGE(I1129:J1129)</t>
  </si>
  <si>
    <t>=IF(K1130=0,"hide","")</t>
  </si>
  <si>
    <t>=D1129</t>
  </si>
  <si>
    <t>=NL("sum","Production Order","Quantity","Source No.",$D1130,"Equipment Code",$L1130,"due date",F$8)/-12</t>
  </si>
  <si>
    <t>=NL("sum","Production Order","Quantity","Source No.",$D1130,"Equipment Code",$L1130,"due date",G$8)/-12</t>
  </si>
  <si>
    <t>=NL("sum","Production Order","Quantity","Source No.",$D1130,"Equipment Code",$L1130,"due date",H$8)/-12</t>
  </si>
  <si>
    <t>=NL("sum","Production Order","Quantity","Source No.",$D1130,"Equipment Code",$L1130,"due date",I$8)/-12</t>
  </si>
  <si>
    <t>=NL("sum","Production Order","Quantity","Source No.",$D1130,"Equipment Code",$L1130,"due date",J$8)/$J$7</t>
  </si>
  <si>
    <t>=AVERAGE(I1130:J1130)</t>
  </si>
  <si>
    <t>=IF(K1131=0,"hide","")</t>
  </si>
  <si>
    <t>=D1130</t>
  </si>
  <si>
    <t>=NL("sum","Production Order","Quantity","Source No.",$D1131,"Equipment Code",$L1131,"due date",F$8)/-12</t>
  </si>
  <si>
    <t>=NL("sum","Production Order","Quantity","Source No.",$D1131,"Equipment Code",$L1131,"due date",G$8)/-12</t>
  </si>
  <si>
    <t>=NL("sum","Production Order","Quantity","Source No.",$D1131,"Equipment Code",$L1131,"due date",H$8)/-12</t>
  </si>
  <si>
    <t>=NL("sum","Production Order","Quantity","Source No.",$D1131,"Equipment Code",$L1131,"due date",I$8)/-12</t>
  </si>
  <si>
    <t>=NL("sum","Production Order","Quantity","Source No.",$D1131,"Equipment Code",$L1131,"due date",J$8)/$J$7</t>
  </si>
  <si>
    <t>=AVERAGE(I1131:J1131)</t>
  </si>
  <si>
    <t>=B1128</t>
  </si>
  <si>
    <t>=B1132</t>
  </si>
  <si>
    <t>=SUM(F1128:F1132)</t>
  </si>
  <si>
    <t>=SUM(G1128:G1132)</t>
  </si>
  <si>
    <t>=SUM(H1128:H1132)</t>
  </si>
  <si>
    <t>=SUM(I1128:I1132)</t>
  </si>
  <si>
    <t>=SUM(J1128:J1132)</t>
  </si>
  <si>
    <t>=IF(K1134=0,"hide","")</t>
  </si>
  <si>
    <t>="11210"</t>
  </si>
  <si>
    <t>=NL("rows","Production BOM Version","Version Code","Production BOM No.",D1134,"status","certified")</t>
  </si>
  <si>
    <t>=NL("sum","Item Ledger Entry","Quantity","Item No.",$D1134,"Entry Type","Sale|Consumption","posting date","01/01/19..12/31/19")/-12</t>
  </si>
  <si>
    <t>=NL("sum","Item Ledger Entry","Quantity","Item No.",$D1134,"Entry Type","Sale|Consumption","posting date","01/01/20..12/31/20")/-12</t>
  </si>
  <si>
    <t>=NL("sum","Item Ledger Entry","Quantity","Item No.",$D1134,"Entry Type","Sale|Consumption","posting date","01/01/21..12/31/21")/-12</t>
  </si>
  <si>
    <t>=NL("sum","Item Ledger Entry","Quantity","Item No.",$D1134,"Entry Type","Sale|Consumption","posting date","01/01/22..12/31/22")/-12</t>
  </si>
  <si>
    <t>=NL("sum","Item Ledger Entry","Quantity","Item No.",$D1134,"Entry Type","Sale|Consumption","posting date","01/01/23..12/31/23")/$J$7</t>
  </si>
  <si>
    <t>=AVERAGE(I1134:J1134)</t>
  </si>
  <si>
    <t>=NL(1,"item",L$9,"no.",D1134)</t>
  </si>
  <si>
    <t>=NL(1,"item",M$9,"no.",$D1134)</t>
  </si>
  <si>
    <t>=NL(1,"item","Units Per Parcel","no.",$D1134)</t>
  </si>
  <si>
    <t>=NL(1,"Prod. BOM Equipment","Fixed Prod. Time (Hours)","Production BOM No.",$D1134,"version code",$E1134,"Resource No.",O$9)</t>
  </si>
  <si>
    <t>=1/O1134</t>
  </si>
  <si>
    <t>=IF(NL(1,"Prod. BOM Equipment","Variable Prod. Time (Hours)","Production BOM No.",$D1134,"version code",$E1134,"Resource No.",$O$9)="",1,NL(1,"Prod. BOM Equipment","Variable Prod. Time (Hours)","Production BOM No.",$D1134,"version code",$E1134,"Resource No.",$O$9))</t>
  </si>
  <si>
    <t>=1/Q1134</t>
  </si>
  <si>
    <t>=R1134*N1134</t>
  </si>
  <si>
    <t>=IF(K1135=0,"hide","")</t>
  </si>
  <si>
    <t>=D1134</t>
  </si>
  <si>
    <t>=NL("sum","Production Order","Quantity","Source No.",$D1135,"Equipment Code",$L1135,"due date",F$8)/-12</t>
  </si>
  <si>
    <t>=NL("sum","Production Order","Quantity","Source No.",$D1135,"Equipment Code",$L1135,"due date",G$8)/-12</t>
  </si>
  <si>
    <t>=NL("sum","Production Order","Quantity","Source No.",$D1135,"Equipment Code",$L1135,"due date",H$8)/-12</t>
  </si>
  <si>
    <t>=NL("sum","Production Order","Quantity","Source No.",$D1135,"Equipment Code",$L1135,"due date",I$8)/-12</t>
  </si>
  <si>
    <t>=NL("sum","Production Order","Quantity","Source No.",$D1135,"Equipment Code",$L1135,"due date",J$8)/$J$7</t>
  </si>
  <si>
    <t>=AVERAGE(I1135:J1135)</t>
  </si>
  <si>
    <t>=IF(K1136=0,"hide","")</t>
  </si>
  <si>
    <t>=D1135</t>
  </si>
  <si>
    <t>=NL("sum","Production Order","Quantity","Source No.",$D1136,"Equipment Code",$L1136,"due date",F$8)/-12</t>
  </si>
  <si>
    <t>=NL("sum","Production Order","Quantity","Source No.",$D1136,"Equipment Code",$L1136,"due date",G$8)/-12</t>
  </si>
  <si>
    <t>=NL("sum","Production Order","Quantity","Source No.",$D1136,"Equipment Code",$L1136,"due date",H$8)/-12</t>
  </si>
  <si>
    <t>=NL("sum","Production Order","Quantity","Source No.",$D1136,"Equipment Code",$L1136,"due date",I$8)/-12</t>
  </si>
  <si>
    <t>=NL("sum","Production Order","Quantity","Source No.",$D1136,"Equipment Code",$L1136,"due date",J$8)/$J$7</t>
  </si>
  <si>
    <t>=AVERAGE(I1136:J1136)</t>
  </si>
  <si>
    <t>=IF(K1137=0,"hide","")</t>
  </si>
  <si>
    <t>=D1136</t>
  </si>
  <si>
    <t>=NL("sum","Production Order","Quantity","Source No.",$D1137,"Equipment Code",$L1137,"due date",F$8)/-12</t>
  </si>
  <si>
    <t>=NL("sum","Production Order","Quantity","Source No.",$D1137,"Equipment Code",$L1137,"due date",G$8)/-12</t>
  </si>
  <si>
    <t>=NL("sum","Production Order","Quantity","Source No.",$D1137,"Equipment Code",$L1137,"due date",H$8)/-12</t>
  </si>
  <si>
    <t>=NL("sum","Production Order","Quantity","Source No.",$D1137,"Equipment Code",$L1137,"due date",I$8)/-12</t>
  </si>
  <si>
    <t>=NL("sum","Production Order","Quantity","Source No.",$D1137,"Equipment Code",$L1137,"due date",J$8)/$J$7</t>
  </si>
  <si>
    <t>=AVERAGE(I1137:J1137)</t>
  </si>
  <si>
    <t>=IF(K1138=0,"hide","")</t>
  </si>
  <si>
    <t>=D1137</t>
  </si>
  <si>
    <t>=NL("sum","Production Order","Quantity","Source No.",$D1138,"Equipment Code",$L1138,"due date",F$8)/-12</t>
  </si>
  <si>
    <t>=NL("sum","Production Order","Quantity","Source No.",$D1138,"Equipment Code",$L1138,"due date",G$8)/-12</t>
  </si>
  <si>
    <t>=NL("sum","Production Order","Quantity","Source No.",$D1138,"Equipment Code",$L1138,"due date",H$8)/-12</t>
  </si>
  <si>
    <t>=NL("sum","Production Order","Quantity","Source No.",$D1138,"Equipment Code",$L1138,"due date",I$8)/-12</t>
  </si>
  <si>
    <t>=NL("sum","Production Order","Quantity","Source No.",$D1138,"Equipment Code",$L1138,"due date",J$8)/$J$7</t>
  </si>
  <si>
    <t>=AVERAGE(I1138:J1138)</t>
  </si>
  <si>
    <t>=B1135</t>
  </si>
  <si>
    <t>=B1139</t>
  </si>
  <si>
    <t>=SUM(F1135:F1139)</t>
  </si>
  <si>
    <t>=SUM(G1135:G1139)</t>
  </si>
  <si>
    <t>=SUM(H1135:H1139)</t>
  </si>
  <si>
    <t>=SUM(I1135:I1139)</t>
  </si>
  <si>
    <t>=SUM(J1135:J1139)</t>
  </si>
  <si>
    <t>=IF(K1141=0,"hide","")</t>
  </si>
  <si>
    <t>="11222"</t>
  </si>
  <si>
    <t>=NL("rows","Production BOM Version","Version Code","Production BOM No.",D1141,"status","certified")</t>
  </si>
  <si>
    <t>=NL("sum","Item Ledger Entry","Quantity","Item No.",$D1141,"Entry Type","Sale|Consumption","posting date","01/01/19..12/31/19")/-12</t>
  </si>
  <si>
    <t>=NL("sum","Item Ledger Entry","Quantity","Item No.",$D1141,"Entry Type","Sale|Consumption","posting date","01/01/20..12/31/20")/-12</t>
  </si>
  <si>
    <t>=NL("sum","Item Ledger Entry","Quantity","Item No.",$D1141,"Entry Type","Sale|Consumption","posting date","01/01/21..12/31/21")/-12</t>
  </si>
  <si>
    <t>=NL("sum","Item Ledger Entry","Quantity","Item No.",$D1141,"Entry Type","Sale|Consumption","posting date","01/01/22..12/31/22")/-12</t>
  </si>
  <si>
    <t>=NL("sum","Item Ledger Entry","Quantity","Item No.",$D1141,"Entry Type","Sale|Consumption","posting date","01/01/23..12/31/23")/$J$7</t>
  </si>
  <si>
    <t>=AVERAGE(I1141:J1141)</t>
  </si>
  <si>
    <t>=NL(1,"item",L$9,"no.",D1141)</t>
  </si>
  <si>
    <t>=NL(1,"item",M$9,"no.",$D1141)</t>
  </si>
  <si>
    <t>=NL(1,"item","Units Per Parcel","no.",$D1141)</t>
  </si>
  <si>
    <t>=NL(1,"Prod. BOM Equipment","Fixed Prod. Time (Hours)","Production BOM No.",$D1141,"version code",$E1141,"Resource No.",O$9)</t>
  </si>
  <si>
    <t>=1/O1141</t>
  </si>
  <si>
    <t>=IF(NL(1,"Prod. BOM Equipment","Variable Prod. Time (Hours)","Production BOM No.",$D1141,"version code",$E1141,"Resource No.",$O$9)="",1,NL(1,"Prod. BOM Equipment","Variable Prod. Time (Hours)","Production BOM No.",$D1141,"version code",$E1141,"Resource No.",$O$9))</t>
  </si>
  <si>
    <t>=1/Q1141</t>
  </si>
  <si>
    <t>=R1141*N1141</t>
  </si>
  <si>
    <t>=IF(K1142=0,"hide","")</t>
  </si>
  <si>
    <t>=D1141</t>
  </si>
  <si>
    <t>=NL("sum","Production Order","Quantity","Source No.",$D1142,"Equipment Code",$L1142,"due date",F$8)/-12</t>
  </si>
  <si>
    <t>=NL("sum","Production Order","Quantity","Source No.",$D1142,"Equipment Code",$L1142,"due date",G$8)/-12</t>
  </si>
  <si>
    <t>=NL("sum","Production Order","Quantity","Source No.",$D1142,"Equipment Code",$L1142,"due date",H$8)/-12</t>
  </si>
  <si>
    <t>=NL("sum","Production Order","Quantity","Source No.",$D1142,"Equipment Code",$L1142,"due date",I$8)/-12</t>
  </si>
  <si>
    <t>=NL("sum","Production Order","Quantity","Source No.",$D1142,"Equipment Code",$L1142,"due date",J$8)/$J$7</t>
  </si>
  <si>
    <t>=AVERAGE(I1142:J1142)</t>
  </si>
  <si>
    <t>=IF(K1143=0,"hide","")</t>
  </si>
  <si>
    <t>=D1142</t>
  </si>
  <si>
    <t>=NL("sum","Production Order","Quantity","Source No.",$D1143,"Equipment Code",$L1143,"due date",F$8)/-12</t>
  </si>
  <si>
    <t>=NL("sum","Production Order","Quantity","Source No.",$D1143,"Equipment Code",$L1143,"due date",G$8)/-12</t>
  </si>
  <si>
    <t>=NL("sum","Production Order","Quantity","Source No.",$D1143,"Equipment Code",$L1143,"due date",H$8)/-12</t>
  </si>
  <si>
    <t>=NL("sum","Production Order","Quantity","Source No.",$D1143,"Equipment Code",$L1143,"due date",I$8)/-12</t>
  </si>
  <si>
    <t>=NL("sum","Production Order","Quantity","Source No.",$D1143,"Equipment Code",$L1143,"due date",J$8)/$J$7</t>
  </si>
  <si>
    <t>=AVERAGE(I1143:J1143)</t>
  </si>
  <si>
    <t>=IF(K1144=0,"hide","")</t>
  </si>
  <si>
    <t>=D1143</t>
  </si>
  <si>
    <t>=NL("sum","Production Order","Quantity","Source No.",$D1144,"Equipment Code",$L1144,"due date",F$8)/-12</t>
  </si>
  <si>
    <t>=NL("sum","Production Order","Quantity","Source No.",$D1144,"Equipment Code",$L1144,"due date",G$8)/-12</t>
  </si>
  <si>
    <t>=NL("sum","Production Order","Quantity","Source No.",$D1144,"Equipment Code",$L1144,"due date",H$8)/-12</t>
  </si>
  <si>
    <t>=NL("sum","Production Order","Quantity","Source No.",$D1144,"Equipment Code",$L1144,"due date",I$8)/-12</t>
  </si>
  <si>
    <t>=NL("sum","Production Order","Quantity","Source No.",$D1144,"Equipment Code",$L1144,"due date",J$8)/$J$7</t>
  </si>
  <si>
    <t>=AVERAGE(I1144:J1144)</t>
  </si>
  <si>
    <t>=IF(K1145=0,"hide","")</t>
  </si>
  <si>
    <t>=D1144</t>
  </si>
  <si>
    <t>=NL("sum","Production Order","Quantity","Source No.",$D1145,"Equipment Code",$L1145,"due date",F$8)/-12</t>
  </si>
  <si>
    <t>=NL("sum","Production Order","Quantity","Source No.",$D1145,"Equipment Code",$L1145,"due date",G$8)/-12</t>
  </si>
  <si>
    <t>=NL("sum","Production Order","Quantity","Source No.",$D1145,"Equipment Code",$L1145,"due date",H$8)/-12</t>
  </si>
  <si>
    <t>=NL("sum","Production Order","Quantity","Source No.",$D1145,"Equipment Code",$L1145,"due date",I$8)/-12</t>
  </si>
  <si>
    <t>=NL("sum","Production Order","Quantity","Source No.",$D1145,"Equipment Code",$L1145,"due date",J$8)/$J$7</t>
  </si>
  <si>
    <t>=AVERAGE(I1145:J1145)</t>
  </si>
  <si>
    <t>=B1142</t>
  </si>
  <si>
    <t>=B1146</t>
  </si>
  <si>
    <t>=SUM(F1142:F1146)</t>
  </si>
  <si>
    <t>=SUM(G1142:G1146)</t>
  </si>
  <si>
    <t>=SUM(H1142:H1146)</t>
  </si>
  <si>
    <t>=SUM(I1142:I1146)</t>
  </si>
  <si>
    <t>=SUM(J1142:J1146)</t>
  </si>
  <si>
    <t>=IF(K1148=0,"hide","")</t>
  </si>
  <si>
    <t>="11251"</t>
  </si>
  <si>
    <t>=NL("rows","Production BOM Version","Version Code","Production BOM No.",D1148,"status","certified")</t>
  </si>
  <si>
    <t>=NL("sum","Item Ledger Entry","Quantity","Item No.",$D1148,"Entry Type","Sale|Consumption","posting date","01/01/19..12/31/19")/-12</t>
  </si>
  <si>
    <t>=NL("sum","Item Ledger Entry","Quantity","Item No.",$D1148,"Entry Type","Sale|Consumption","posting date","01/01/20..12/31/20")/-12</t>
  </si>
  <si>
    <t>=NL("sum","Item Ledger Entry","Quantity","Item No.",$D1148,"Entry Type","Sale|Consumption","posting date","01/01/21..12/31/21")/-12</t>
  </si>
  <si>
    <t>=NL("sum","Item Ledger Entry","Quantity","Item No.",$D1148,"Entry Type","Sale|Consumption","posting date","01/01/22..12/31/22")/-12</t>
  </si>
  <si>
    <t>=NL("sum","Item Ledger Entry","Quantity","Item No.",$D1148,"Entry Type","Sale|Consumption","posting date","01/01/23..12/31/23")/$J$7</t>
  </si>
  <si>
    <t>=AVERAGE(I1148:J1148)</t>
  </si>
  <si>
    <t>=NL(1,"item",L$9,"no.",D1148)</t>
  </si>
  <si>
    <t>=NL(1,"item",M$9,"no.",$D1148)</t>
  </si>
  <si>
    <t>=NL(1,"item","Units Per Parcel","no.",$D1148)</t>
  </si>
  <si>
    <t>=NL(1,"Prod. BOM Equipment","Fixed Prod. Time (Hours)","Production BOM No.",$D1148,"version code",$E1148,"Resource No.",O$9)</t>
  </si>
  <si>
    <t>=1/O1148</t>
  </si>
  <si>
    <t>=IF(NL(1,"Prod. BOM Equipment","Variable Prod. Time (Hours)","Production BOM No.",$D1148,"version code",$E1148,"Resource No.",$O$9)="",1,NL(1,"Prod. BOM Equipment","Variable Prod. Time (Hours)","Production BOM No.",$D1148,"version code",$E1148,"Resource No.",$O$9))</t>
  </si>
  <si>
    <t>=1/Q1148</t>
  </si>
  <si>
    <t>=R1148*N1148</t>
  </si>
  <si>
    <t>=IF(K1149=0,"hide","")</t>
  </si>
  <si>
    <t>=D1148</t>
  </si>
  <si>
    <t>=NL("sum","Production Order","Quantity","Source No.",$D1149,"Equipment Code",$L1149,"due date",F$8)/-12</t>
  </si>
  <si>
    <t>=NL("sum","Production Order","Quantity","Source No.",$D1149,"Equipment Code",$L1149,"due date",G$8)/-12</t>
  </si>
  <si>
    <t>=NL("sum","Production Order","Quantity","Source No.",$D1149,"Equipment Code",$L1149,"due date",H$8)/-12</t>
  </si>
  <si>
    <t>=NL("sum","Production Order","Quantity","Source No.",$D1149,"Equipment Code",$L1149,"due date",I$8)/-12</t>
  </si>
  <si>
    <t>=NL("sum","Production Order","Quantity","Source No.",$D1149,"Equipment Code",$L1149,"due date",J$8)/$J$7</t>
  </si>
  <si>
    <t>=AVERAGE(I1149:J1149)</t>
  </si>
  <si>
    <t>=IF(K1150=0,"hide","")</t>
  </si>
  <si>
    <t>=D1149</t>
  </si>
  <si>
    <t>=NL("sum","Production Order","Quantity","Source No.",$D1150,"Equipment Code",$L1150,"due date",F$8)/-12</t>
  </si>
  <si>
    <t>=NL("sum","Production Order","Quantity","Source No.",$D1150,"Equipment Code",$L1150,"due date",G$8)/-12</t>
  </si>
  <si>
    <t>=NL("sum","Production Order","Quantity","Source No.",$D1150,"Equipment Code",$L1150,"due date",H$8)/-12</t>
  </si>
  <si>
    <t>=NL("sum","Production Order","Quantity","Source No.",$D1150,"Equipment Code",$L1150,"due date",I$8)/-12</t>
  </si>
  <si>
    <t>=NL("sum","Production Order","Quantity","Source No.",$D1150,"Equipment Code",$L1150,"due date",J$8)/$J$7</t>
  </si>
  <si>
    <t>=AVERAGE(I1150:J1150)</t>
  </si>
  <si>
    <t>=IF(K1151=0,"hide","")</t>
  </si>
  <si>
    <t>=D1150</t>
  </si>
  <si>
    <t>=NL("sum","Production Order","Quantity","Source No.",$D1151,"Equipment Code",$L1151,"due date",F$8)/-12</t>
  </si>
  <si>
    <t>=NL("sum","Production Order","Quantity","Source No.",$D1151,"Equipment Code",$L1151,"due date",G$8)/-12</t>
  </si>
  <si>
    <t>=NL("sum","Production Order","Quantity","Source No.",$D1151,"Equipment Code",$L1151,"due date",H$8)/-12</t>
  </si>
  <si>
    <t>=NL("sum","Production Order","Quantity","Source No.",$D1151,"Equipment Code",$L1151,"due date",I$8)/-12</t>
  </si>
  <si>
    <t>=NL("sum","Production Order","Quantity","Source No.",$D1151,"Equipment Code",$L1151,"due date",J$8)/$J$7</t>
  </si>
  <si>
    <t>=AVERAGE(I1151:J1151)</t>
  </si>
  <si>
    <t>=IF(K1152=0,"hide","")</t>
  </si>
  <si>
    <t>=D1151</t>
  </si>
  <si>
    <t>=NL("sum","Production Order","Quantity","Source No.",$D1152,"Equipment Code",$L1152,"due date",F$8)/-12</t>
  </si>
  <si>
    <t>=NL("sum","Production Order","Quantity","Source No.",$D1152,"Equipment Code",$L1152,"due date",G$8)/-12</t>
  </si>
  <si>
    <t>=NL("sum","Production Order","Quantity","Source No.",$D1152,"Equipment Code",$L1152,"due date",H$8)/-12</t>
  </si>
  <si>
    <t>=NL("sum","Production Order","Quantity","Source No.",$D1152,"Equipment Code",$L1152,"due date",I$8)/-12</t>
  </si>
  <si>
    <t>=NL("sum","Production Order","Quantity","Source No.",$D1152,"Equipment Code",$L1152,"due date",J$8)/$J$7</t>
  </si>
  <si>
    <t>=AVERAGE(I1152:J1152)</t>
  </si>
  <si>
    <t>=B1149</t>
  </si>
  <si>
    <t>=B1153</t>
  </si>
  <si>
    <t>=SUM(F1149:F1153)</t>
  </si>
  <si>
    <t>=SUM(G1149:G1153)</t>
  </si>
  <si>
    <t>=SUM(H1149:H1153)</t>
  </si>
  <si>
    <t>=SUM(I1149:I1153)</t>
  </si>
  <si>
    <t>=SUM(J1149:J1153)</t>
  </si>
  <si>
    <t>=IF(K1155=0,"hide","")</t>
  </si>
  <si>
    <t>="11275"</t>
  </si>
  <si>
    <t>=NL("rows","Production BOM Version","Version Code","Production BOM No.",D1155,"status","certified")</t>
  </si>
  <si>
    <t>=NL("sum","Item Ledger Entry","Quantity","Item No.",$D1155,"Entry Type","Sale|Consumption","posting date","01/01/19..12/31/19")/-12</t>
  </si>
  <si>
    <t>=NL("sum","Item Ledger Entry","Quantity","Item No.",$D1155,"Entry Type","Sale|Consumption","posting date","01/01/20..12/31/20")/-12</t>
  </si>
  <si>
    <t>=NL("sum","Item Ledger Entry","Quantity","Item No.",$D1155,"Entry Type","Sale|Consumption","posting date","01/01/21..12/31/21")/-12</t>
  </si>
  <si>
    <t>=NL("sum","Item Ledger Entry","Quantity","Item No.",$D1155,"Entry Type","Sale|Consumption","posting date","01/01/22..12/31/22")/-12</t>
  </si>
  <si>
    <t>=NL("sum","Item Ledger Entry","Quantity","Item No.",$D1155,"Entry Type","Sale|Consumption","posting date","01/01/23..12/31/23")/$J$7</t>
  </si>
  <si>
    <t>=AVERAGE(I1155:J1155)</t>
  </si>
  <si>
    <t>=NL(1,"item",L$9,"no.",D1155)</t>
  </si>
  <si>
    <t>=NL(1,"item",M$9,"no.",$D1155)</t>
  </si>
  <si>
    <t>=NL(1,"item","Units Per Parcel","no.",$D1155)</t>
  </si>
  <si>
    <t>=NL(1,"Prod. BOM Equipment","Fixed Prod. Time (Hours)","Production BOM No.",$D1155,"version code",$E1155,"Resource No.",O$9)</t>
  </si>
  <si>
    <t>=1/O1155</t>
  </si>
  <si>
    <t>=IF(NL(1,"Prod. BOM Equipment","Variable Prod. Time (Hours)","Production BOM No.",$D1155,"version code",$E1155,"Resource No.",$O$9)="",1,NL(1,"Prod. BOM Equipment","Variable Prod. Time (Hours)","Production BOM No.",$D1155,"version code",$E1155,"Resource No.",$O$9))</t>
  </si>
  <si>
    <t>=1/Q1155</t>
  </si>
  <si>
    <t>=R1155*N1155</t>
  </si>
  <si>
    <t>=IF(K1156=0,"hide","")</t>
  </si>
  <si>
    <t>=D1155</t>
  </si>
  <si>
    <t>=NL("sum","Production Order","Quantity","Source No.",$D1156,"Equipment Code",$L1156,"due date",F$8)/-12</t>
  </si>
  <si>
    <t>=NL("sum","Production Order","Quantity","Source No.",$D1156,"Equipment Code",$L1156,"due date",G$8)/-12</t>
  </si>
  <si>
    <t>=NL("sum","Production Order","Quantity","Source No.",$D1156,"Equipment Code",$L1156,"due date",H$8)/-12</t>
  </si>
  <si>
    <t>=NL("sum","Production Order","Quantity","Source No.",$D1156,"Equipment Code",$L1156,"due date",I$8)/-12</t>
  </si>
  <si>
    <t>=NL("sum","Production Order","Quantity","Source No.",$D1156,"Equipment Code",$L1156,"due date",J$8)/$J$7</t>
  </si>
  <si>
    <t>=AVERAGE(I1156:J1156)</t>
  </si>
  <si>
    <t>=IF(K1157=0,"hide","")</t>
  </si>
  <si>
    <t>=D1156</t>
  </si>
  <si>
    <t>=NL("sum","Production Order","Quantity","Source No.",$D1157,"Equipment Code",$L1157,"due date",F$8)/-12</t>
  </si>
  <si>
    <t>=NL("sum","Production Order","Quantity","Source No.",$D1157,"Equipment Code",$L1157,"due date",G$8)/-12</t>
  </si>
  <si>
    <t>=NL("sum","Production Order","Quantity","Source No.",$D1157,"Equipment Code",$L1157,"due date",H$8)/-12</t>
  </si>
  <si>
    <t>=NL("sum","Production Order","Quantity","Source No.",$D1157,"Equipment Code",$L1157,"due date",I$8)/-12</t>
  </si>
  <si>
    <t>=NL("sum","Production Order","Quantity","Source No.",$D1157,"Equipment Code",$L1157,"due date",J$8)/$J$7</t>
  </si>
  <si>
    <t>=AVERAGE(I1157:J1157)</t>
  </si>
  <si>
    <t>=IF(K1158=0,"hide","")</t>
  </si>
  <si>
    <t>=D1157</t>
  </si>
  <si>
    <t>=NL("sum","Production Order","Quantity","Source No.",$D1158,"Equipment Code",$L1158,"due date",F$8)/-12</t>
  </si>
  <si>
    <t>=NL("sum","Production Order","Quantity","Source No.",$D1158,"Equipment Code",$L1158,"due date",G$8)/-12</t>
  </si>
  <si>
    <t>=NL("sum","Production Order","Quantity","Source No.",$D1158,"Equipment Code",$L1158,"due date",H$8)/-12</t>
  </si>
  <si>
    <t>=NL("sum","Production Order","Quantity","Source No.",$D1158,"Equipment Code",$L1158,"due date",I$8)/-12</t>
  </si>
  <si>
    <t>=NL("sum","Production Order","Quantity","Source No.",$D1158,"Equipment Code",$L1158,"due date",J$8)/$J$7</t>
  </si>
  <si>
    <t>=AVERAGE(I1158:J1158)</t>
  </si>
  <si>
    <t>=IF(K1159=0,"hide","")</t>
  </si>
  <si>
    <t>=D1158</t>
  </si>
  <si>
    <t>=NL("sum","Production Order","Quantity","Source No.",$D1159,"Equipment Code",$L1159,"due date",F$8)/-12</t>
  </si>
  <si>
    <t>=NL("sum","Production Order","Quantity","Source No.",$D1159,"Equipment Code",$L1159,"due date",G$8)/-12</t>
  </si>
  <si>
    <t>=NL("sum","Production Order","Quantity","Source No.",$D1159,"Equipment Code",$L1159,"due date",H$8)/-12</t>
  </si>
  <si>
    <t>=NL("sum","Production Order","Quantity","Source No.",$D1159,"Equipment Code",$L1159,"due date",I$8)/-12</t>
  </si>
  <si>
    <t>=NL("sum","Production Order","Quantity","Source No.",$D1159,"Equipment Code",$L1159,"due date",J$8)/$J$7</t>
  </si>
  <si>
    <t>=AVERAGE(I1159:J1159)</t>
  </si>
  <si>
    <t>=B1156</t>
  </si>
  <si>
    <t>=B1160</t>
  </si>
  <si>
    <t>=SUM(F1156:F1160)</t>
  </si>
  <si>
    <t>=SUM(G1156:G1160)</t>
  </si>
  <si>
    <t>=SUM(H1156:H1160)</t>
  </si>
  <si>
    <t>=SUM(I1156:I1160)</t>
  </si>
  <si>
    <t>=SUM(J1156:J1160)</t>
  </si>
  <si>
    <t>=IF(K1162=0,"hide","")</t>
  </si>
  <si>
    <t>="11901"</t>
  </si>
  <si>
    <t>=NL("rows","Production BOM Version","Version Code","Production BOM No.",D1162,"status","certified")</t>
  </si>
  <si>
    <t>=NL("sum","Item Ledger Entry","Quantity","Item No.",$D1162,"Entry Type","Sale|Consumption","posting date","01/01/19..12/31/19")/-12</t>
  </si>
  <si>
    <t>=NL("sum","Item Ledger Entry","Quantity","Item No.",$D1162,"Entry Type","Sale|Consumption","posting date","01/01/20..12/31/20")/-12</t>
  </si>
  <si>
    <t>=NL("sum","Item Ledger Entry","Quantity","Item No.",$D1162,"Entry Type","Sale|Consumption","posting date","01/01/21..12/31/21")/-12</t>
  </si>
  <si>
    <t>=NL("sum","Item Ledger Entry","Quantity","Item No.",$D1162,"Entry Type","Sale|Consumption","posting date","01/01/22..12/31/22")/-12</t>
  </si>
  <si>
    <t>=NL("sum","Item Ledger Entry","Quantity","Item No.",$D1162,"Entry Type","Sale|Consumption","posting date","01/01/23..12/31/23")/$J$7</t>
  </si>
  <si>
    <t>=AVERAGE(I1162:J1162)</t>
  </si>
  <si>
    <t>=NL(1,"item",L$9,"no.",D1162)</t>
  </si>
  <si>
    <t>=NL(1,"item",M$9,"no.",$D1162)</t>
  </si>
  <si>
    <t>=NL(1,"item","Units Per Parcel","no.",$D1162)</t>
  </si>
  <si>
    <t>=NL(1,"Prod. BOM Equipment","Fixed Prod. Time (Hours)","Production BOM No.",$D1162,"version code",$E1162,"Resource No.",O$9)</t>
  </si>
  <si>
    <t>=1/O1162</t>
  </si>
  <si>
    <t>=IF(NL(1,"Prod. BOM Equipment","Variable Prod. Time (Hours)","Production BOM No.",$D1162,"version code",$E1162,"Resource No.",$O$9)="",1,NL(1,"Prod. BOM Equipment","Variable Prod. Time (Hours)","Production BOM No.",$D1162,"version code",$E1162,"Resource No.",$O$9))</t>
  </si>
  <si>
    <t>=1/Q1162</t>
  </si>
  <si>
    <t>=R1162*N1162</t>
  </si>
  <si>
    <t>=IF(K1163=0,"hide","")</t>
  </si>
  <si>
    <t>=D1162</t>
  </si>
  <si>
    <t>=NL("sum","Production Order","Quantity","Source No.",$D1163,"Equipment Code",$L1163,"due date",F$8)/-12</t>
  </si>
  <si>
    <t>=NL("sum","Production Order","Quantity","Source No.",$D1163,"Equipment Code",$L1163,"due date",G$8)/-12</t>
  </si>
  <si>
    <t>=NL("sum","Production Order","Quantity","Source No.",$D1163,"Equipment Code",$L1163,"due date",H$8)/-12</t>
  </si>
  <si>
    <t>=NL("sum","Production Order","Quantity","Source No.",$D1163,"Equipment Code",$L1163,"due date",I$8)/-12</t>
  </si>
  <si>
    <t>=NL("sum","Production Order","Quantity","Source No.",$D1163,"Equipment Code",$L1163,"due date",J$8)/$J$7</t>
  </si>
  <si>
    <t>=AVERAGE(I1163:J1163)</t>
  </si>
  <si>
    <t>=IF(K1164=0,"hide","")</t>
  </si>
  <si>
    <t>=D1163</t>
  </si>
  <si>
    <t>=NL("sum","Production Order","Quantity","Source No.",$D1164,"Equipment Code",$L1164,"due date",F$8)/-12</t>
  </si>
  <si>
    <t>=NL("sum","Production Order","Quantity","Source No.",$D1164,"Equipment Code",$L1164,"due date",G$8)/-12</t>
  </si>
  <si>
    <t>=NL("sum","Production Order","Quantity","Source No.",$D1164,"Equipment Code",$L1164,"due date",H$8)/-12</t>
  </si>
  <si>
    <t>=NL("sum","Production Order","Quantity","Source No.",$D1164,"Equipment Code",$L1164,"due date",I$8)/-12</t>
  </si>
  <si>
    <t>=NL("sum","Production Order","Quantity","Source No.",$D1164,"Equipment Code",$L1164,"due date",J$8)/$J$7</t>
  </si>
  <si>
    <t>=AVERAGE(I1164:J1164)</t>
  </si>
  <si>
    <t>=IF(K1165=0,"hide","")</t>
  </si>
  <si>
    <t>=D1164</t>
  </si>
  <si>
    <t>=NL("sum","Production Order","Quantity","Source No.",$D1165,"Equipment Code",$L1165,"due date",F$8)/-12</t>
  </si>
  <si>
    <t>=NL("sum","Production Order","Quantity","Source No.",$D1165,"Equipment Code",$L1165,"due date",G$8)/-12</t>
  </si>
  <si>
    <t>=NL("sum","Production Order","Quantity","Source No.",$D1165,"Equipment Code",$L1165,"due date",H$8)/-12</t>
  </si>
  <si>
    <t>=NL("sum","Production Order","Quantity","Source No.",$D1165,"Equipment Code",$L1165,"due date",I$8)/-12</t>
  </si>
  <si>
    <t>=NL("sum","Production Order","Quantity","Source No.",$D1165,"Equipment Code",$L1165,"due date",J$8)/$J$7</t>
  </si>
  <si>
    <t>=AVERAGE(I1165:J1165)</t>
  </si>
  <si>
    <t>=IF(K1166=0,"hide","")</t>
  </si>
  <si>
    <t>=D1165</t>
  </si>
  <si>
    <t>=NL("sum","Production Order","Quantity","Source No.",$D1166,"Equipment Code",$L1166,"due date",F$8)/-12</t>
  </si>
  <si>
    <t>=NL("sum","Production Order","Quantity","Source No.",$D1166,"Equipment Code",$L1166,"due date",G$8)/-12</t>
  </si>
  <si>
    <t>=NL("sum","Production Order","Quantity","Source No.",$D1166,"Equipment Code",$L1166,"due date",H$8)/-12</t>
  </si>
  <si>
    <t>=NL("sum","Production Order","Quantity","Source No.",$D1166,"Equipment Code",$L1166,"due date",I$8)/-12</t>
  </si>
  <si>
    <t>=NL("sum","Production Order","Quantity","Source No.",$D1166,"Equipment Code",$L1166,"due date",J$8)/$J$7</t>
  </si>
  <si>
    <t>=AVERAGE(I1166:J1166)</t>
  </si>
  <si>
    <t>=B1163</t>
  </si>
  <si>
    <t>=B1167</t>
  </si>
  <si>
    <t>=SUM(F1163:F1167)</t>
  </si>
  <si>
    <t>=SUM(G1163:G1167)</t>
  </si>
  <si>
    <t>=SUM(H1163:H1167)</t>
  </si>
  <si>
    <t>=SUM(I1163:I1167)</t>
  </si>
  <si>
    <t>=SUM(J1163:J1167)</t>
  </si>
  <si>
    <t>=IF(K1169=0,"hide","")</t>
  </si>
  <si>
    <t>="11905"</t>
  </si>
  <si>
    <t>=NL("rows","Production BOM Version","Version Code","Production BOM No.",D1169,"status","certified")</t>
  </si>
  <si>
    <t>=NL("sum","Item Ledger Entry","Quantity","Item No.",$D1169,"Entry Type","Sale|Consumption","posting date","01/01/19..12/31/19")/-12</t>
  </si>
  <si>
    <t>=NL("sum","Item Ledger Entry","Quantity","Item No.",$D1169,"Entry Type","Sale|Consumption","posting date","01/01/20..12/31/20")/-12</t>
  </si>
  <si>
    <t>=NL("sum","Item Ledger Entry","Quantity","Item No.",$D1169,"Entry Type","Sale|Consumption","posting date","01/01/21..12/31/21")/-12</t>
  </si>
  <si>
    <t>=NL("sum","Item Ledger Entry","Quantity","Item No.",$D1169,"Entry Type","Sale|Consumption","posting date","01/01/22..12/31/22")/-12</t>
  </si>
  <si>
    <t>=NL("sum","Item Ledger Entry","Quantity","Item No.",$D1169,"Entry Type","Sale|Consumption","posting date","01/01/23..12/31/23")/$J$7</t>
  </si>
  <si>
    <t>=AVERAGE(I1169:J1169)</t>
  </si>
  <si>
    <t>=NL(1,"item",L$9,"no.",D1169)</t>
  </si>
  <si>
    <t>=NL(1,"item",M$9,"no.",$D1169)</t>
  </si>
  <si>
    <t>=NL(1,"item","Units Per Parcel","no.",$D1169)</t>
  </si>
  <si>
    <t>=NL(1,"Prod. BOM Equipment","Fixed Prod. Time (Hours)","Production BOM No.",$D1169,"version code",$E1169,"Resource No.",O$9)</t>
  </si>
  <si>
    <t>=1/O1169</t>
  </si>
  <si>
    <t>=IF(NL(1,"Prod. BOM Equipment","Variable Prod. Time (Hours)","Production BOM No.",$D1169,"version code",$E1169,"Resource No.",$O$9)="",1,NL(1,"Prod. BOM Equipment","Variable Prod. Time (Hours)","Production BOM No.",$D1169,"version code",$E1169,"Resource No.",$O$9))</t>
  </si>
  <si>
    <t>=1/Q1169</t>
  </si>
  <si>
    <t>=R1169*N1169</t>
  </si>
  <si>
    <t>=IF(K1170=0,"hide","")</t>
  </si>
  <si>
    <t>=D1169</t>
  </si>
  <si>
    <t>=NL("sum","Production Order","Quantity","Source No.",$D1170,"Equipment Code",$L1170,"due date",F$8)/-12</t>
  </si>
  <si>
    <t>=NL("sum","Production Order","Quantity","Source No.",$D1170,"Equipment Code",$L1170,"due date",G$8)/-12</t>
  </si>
  <si>
    <t>=NL("sum","Production Order","Quantity","Source No.",$D1170,"Equipment Code",$L1170,"due date",H$8)/-12</t>
  </si>
  <si>
    <t>=NL("sum","Production Order","Quantity","Source No.",$D1170,"Equipment Code",$L1170,"due date",I$8)/-12</t>
  </si>
  <si>
    <t>=NL("sum","Production Order","Quantity","Source No.",$D1170,"Equipment Code",$L1170,"due date",J$8)/$J$7</t>
  </si>
  <si>
    <t>=AVERAGE(I1170:J1170)</t>
  </si>
  <si>
    <t>=IF(K1171=0,"hide","")</t>
  </si>
  <si>
    <t>=D1170</t>
  </si>
  <si>
    <t>=NL("sum","Production Order","Quantity","Source No.",$D1171,"Equipment Code",$L1171,"due date",F$8)/-12</t>
  </si>
  <si>
    <t>=NL("sum","Production Order","Quantity","Source No.",$D1171,"Equipment Code",$L1171,"due date",G$8)/-12</t>
  </si>
  <si>
    <t>=NL("sum","Production Order","Quantity","Source No.",$D1171,"Equipment Code",$L1171,"due date",H$8)/-12</t>
  </si>
  <si>
    <t>=NL("sum","Production Order","Quantity","Source No.",$D1171,"Equipment Code",$L1171,"due date",I$8)/-12</t>
  </si>
  <si>
    <t>=NL("sum","Production Order","Quantity","Source No.",$D1171,"Equipment Code",$L1171,"due date",J$8)/$J$7</t>
  </si>
  <si>
    <t>=AVERAGE(I1171:J1171)</t>
  </si>
  <si>
    <t>=IF(K1172=0,"hide","")</t>
  </si>
  <si>
    <t>=D1171</t>
  </si>
  <si>
    <t>=NL("sum","Production Order","Quantity","Source No.",$D1172,"Equipment Code",$L1172,"due date",F$8)/-12</t>
  </si>
  <si>
    <t>=NL("sum","Production Order","Quantity","Source No.",$D1172,"Equipment Code",$L1172,"due date",G$8)/-12</t>
  </si>
  <si>
    <t>=NL("sum","Production Order","Quantity","Source No.",$D1172,"Equipment Code",$L1172,"due date",H$8)/-12</t>
  </si>
  <si>
    <t>=NL("sum","Production Order","Quantity","Source No.",$D1172,"Equipment Code",$L1172,"due date",I$8)/-12</t>
  </si>
  <si>
    <t>=NL("sum","Production Order","Quantity","Source No.",$D1172,"Equipment Code",$L1172,"due date",J$8)/$J$7</t>
  </si>
  <si>
    <t>=AVERAGE(I1172:J1172)</t>
  </si>
  <si>
    <t>=IF(K1173=0,"hide","")</t>
  </si>
  <si>
    <t>=D1172</t>
  </si>
  <si>
    <t>=NL("sum","Production Order","Quantity","Source No.",$D1173,"Equipment Code",$L1173,"due date",F$8)/-12</t>
  </si>
  <si>
    <t>=NL("sum","Production Order","Quantity","Source No.",$D1173,"Equipment Code",$L1173,"due date",G$8)/-12</t>
  </si>
  <si>
    <t>=NL("sum","Production Order","Quantity","Source No.",$D1173,"Equipment Code",$L1173,"due date",H$8)/-12</t>
  </si>
  <si>
    <t>=NL("sum","Production Order","Quantity","Source No.",$D1173,"Equipment Code",$L1173,"due date",I$8)/-12</t>
  </si>
  <si>
    <t>=NL("sum","Production Order","Quantity","Source No.",$D1173,"Equipment Code",$L1173,"due date",J$8)/$J$7</t>
  </si>
  <si>
    <t>=AVERAGE(I1173:J1173)</t>
  </si>
  <si>
    <t>=B1170</t>
  </si>
  <si>
    <t>=B1174</t>
  </si>
  <si>
    <t>=SUM(F1170:F1174)</t>
  </si>
  <si>
    <t>=SUM(G1170:G1174)</t>
  </si>
  <si>
    <t>=SUM(H1170:H1174)</t>
  </si>
  <si>
    <t>=SUM(I1170:I1174)</t>
  </si>
  <si>
    <t>=SUM(J1170:J1174)</t>
  </si>
  <si>
    <t>=IF(K1176=0,"hide","")</t>
  </si>
  <si>
    <t>="11925"</t>
  </si>
  <si>
    <t>=NL("rows","Production BOM Version","Version Code","Production BOM No.",D1176,"status","certified")</t>
  </si>
  <si>
    <t>=NL("sum","Item Ledger Entry","Quantity","Item No.",$D1176,"Entry Type","Sale|Consumption","posting date","01/01/19..12/31/19")/-12</t>
  </si>
  <si>
    <t>=NL("sum","Item Ledger Entry","Quantity","Item No.",$D1176,"Entry Type","Sale|Consumption","posting date","01/01/20..12/31/20")/-12</t>
  </si>
  <si>
    <t>=NL("sum","Item Ledger Entry","Quantity","Item No.",$D1176,"Entry Type","Sale|Consumption","posting date","01/01/21..12/31/21")/-12</t>
  </si>
  <si>
    <t>=NL("sum","Item Ledger Entry","Quantity","Item No.",$D1176,"Entry Type","Sale|Consumption","posting date","01/01/22..12/31/22")/-12</t>
  </si>
  <si>
    <t>=NL("sum","Item Ledger Entry","Quantity","Item No.",$D1176,"Entry Type","Sale|Consumption","posting date","01/01/23..12/31/23")/$J$7</t>
  </si>
  <si>
    <t>=AVERAGE(I1176:J1176)</t>
  </si>
  <si>
    <t>=NL(1,"item",L$9,"no.",D1176)</t>
  </si>
  <si>
    <t>=NL(1,"item",M$9,"no.",$D1176)</t>
  </si>
  <si>
    <t>=NL(1,"item","Units Per Parcel","no.",$D1176)</t>
  </si>
  <si>
    <t>=NL(1,"Prod. BOM Equipment","Fixed Prod. Time (Hours)","Production BOM No.",$D1176,"version code",$E1176,"Resource No.",O$9)</t>
  </si>
  <si>
    <t>=1/O1176</t>
  </si>
  <si>
    <t>=IF(NL(1,"Prod. BOM Equipment","Variable Prod. Time (Hours)","Production BOM No.",$D1176,"version code",$E1176,"Resource No.",$O$9)="",1,NL(1,"Prod. BOM Equipment","Variable Prod. Time (Hours)","Production BOM No.",$D1176,"version code",$E1176,"Resource No.",$O$9))</t>
  </si>
  <si>
    <t>=1/Q1176</t>
  </si>
  <si>
    <t>=R1176*N1176</t>
  </si>
  <si>
    <t>=IF(K1177=0,"hide","")</t>
  </si>
  <si>
    <t>=D1176</t>
  </si>
  <si>
    <t>=NL("sum","Production Order","Quantity","Source No.",$D1177,"Equipment Code",$L1177,"due date",F$8)/-12</t>
  </si>
  <si>
    <t>=NL("sum","Production Order","Quantity","Source No.",$D1177,"Equipment Code",$L1177,"due date",G$8)/-12</t>
  </si>
  <si>
    <t>=NL("sum","Production Order","Quantity","Source No.",$D1177,"Equipment Code",$L1177,"due date",H$8)/-12</t>
  </si>
  <si>
    <t>=NL("sum","Production Order","Quantity","Source No.",$D1177,"Equipment Code",$L1177,"due date",I$8)/-12</t>
  </si>
  <si>
    <t>=NL("sum","Production Order","Quantity","Source No.",$D1177,"Equipment Code",$L1177,"due date",J$8)/$J$7</t>
  </si>
  <si>
    <t>=AVERAGE(I1177:J1177)</t>
  </si>
  <si>
    <t>=IF(K1178=0,"hide","")</t>
  </si>
  <si>
    <t>=D1177</t>
  </si>
  <si>
    <t>=NL("sum","Production Order","Quantity","Source No.",$D1178,"Equipment Code",$L1178,"due date",F$8)/-12</t>
  </si>
  <si>
    <t>=NL("sum","Production Order","Quantity","Source No.",$D1178,"Equipment Code",$L1178,"due date",G$8)/-12</t>
  </si>
  <si>
    <t>=NL("sum","Production Order","Quantity","Source No.",$D1178,"Equipment Code",$L1178,"due date",H$8)/-12</t>
  </si>
  <si>
    <t>=NL("sum","Production Order","Quantity","Source No.",$D1178,"Equipment Code",$L1178,"due date",I$8)/-12</t>
  </si>
  <si>
    <t>=NL("sum","Production Order","Quantity","Source No.",$D1178,"Equipment Code",$L1178,"due date",J$8)/$J$7</t>
  </si>
  <si>
    <t>=AVERAGE(I1178:J1178)</t>
  </si>
  <si>
    <t>=IF(K1179=0,"hide","")</t>
  </si>
  <si>
    <t>=D1178</t>
  </si>
  <si>
    <t>=NL("sum","Production Order","Quantity","Source No.",$D1179,"Equipment Code",$L1179,"due date",F$8)/-12</t>
  </si>
  <si>
    <t>=NL("sum","Production Order","Quantity","Source No.",$D1179,"Equipment Code",$L1179,"due date",G$8)/-12</t>
  </si>
  <si>
    <t>=NL("sum","Production Order","Quantity","Source No.",$D1179,"Equipment Code",$L1179,"due date",H$8)/-12</t>
  </si>
  <si>
    <t>=NL("sum","Production Order","Quantity","Source No.",$D1179,"Equipment Code",$L1179,"due date",I$8)/-12</t>
  </si>
  <si>
    <t>=NL("sum","Production Order","Quantity","Source No.",$D1179,"Equipment Code",$L1179,"due date",J$8)/$J$7</t>
  </si>
  <si>
    <t>=AVERAGE(I1179:J1179)</t>
  </si>
  <si>
    <t>=IF(K1180=0,"hide","")</t>
  </si>
  <si>
    <t>=D1179</t>
  </si>
  <si>
    <t>=NL("sum","Production Order","Quantity","Source No.",$D1180,"Equipment Code",$L1180,"due date",F$8)/-12</t>
  </si>
  <si>
    <t>=NL("sum","Production Order","Quantity","Source No.",$D1180,"Equipment Code",$L1180,"due date",G$8)/-12</t>
  </si>
  <si>
    <t>=NL("sum","Production Order","Quantity","Source No.",$D1180,"Equipment Code",$L1180,"due date",H$8)/-12</t>
  </si>
  <si>
    <t>=NL("sum","Production Order","Quantity","Source No.",$D1180,"Equipment Code",$L1180,"due date",I$8)/-12</t>
  </si>
  <si>
    <t>=NL("sum","Production Order","Quantity","Source No.",$D1180,"Equipment Code",$L1180,"due date",J$8)/$J$7</t>
  </si>
  <si>
    <t>=AVERAGE(I1180:J1180)</t>
  </si>
  <si>
    <t>=B1177</t>
  </si>
  <si>
    <t>=B1181</t>
  </si>
  <si>
    <t>=SUM(F1177:F1181)</t>
  </si>
  <si>
    <t>=SUM(G1177:G1181)</t>
  </si>
  <si>
    <t>=SUM(H1177:H1181)</t>
  </si>
  <si>
    <t>=SUM(I1177:I1181)</t>
  </si>
  <si>
    <t>=SUM(J1177:J1181)</t>
  </si>
  <si>
    <t>=IF(K1183=0,"hide","")</t>
  </si>
  <si>
    <t>="11951"</t>
  </si>
  <si>
    <t>=NL("rows","Production BOM Version","Version Code","Production BOM No.",D1183,"status","certified")</t>
  </si>
  <si>
    <t>=NL("sum","Item Ledger Entry","Quantity","Item No.",$D1183,"Entry Type","Sale|Consumption","posting date","01/01/19..12/31/19")/-12</t>
  </si>
  <si>
    <t>=NL("sum","Item Ledger Entry","Quantity","Item No.",$D1183,"Entry Type","Sale|Consumption","posting date","01/01/20..12/31/20")/-12</t>
  </si>
  <si>
    <t>=NL("sum","Item Ledger Entry","Quantity","Item No.",$D1183,"Entry Type","Sale|Consumption","posting date","01/01/21..12/31/21")/-12</t>
  </si>
  <si>
    <t>=NL("sum","Item Ledger Entry","Quantity","Item No.",$D1183,"Entry Type","Sale|Consumption","posting date","01/01/22..12/31/22")/-12</t>
  </si>
  <si>
    <t>=NL("sum","Item Ledger Entry","Quantity","Item No.",$D1183,"Entry Type","Sale|Consumption","posting date","01/01/23..12/31/23")/$J$7</t>
  </si>
  <si>
    <t>=AVERAGE(I1183:J1183)</t>
  </si>
  <si>
    <t>=NL(1,"item",L$9,"no.",D1183)</t>
  </si>
  <si>
    <t>=NL(1,"item",M$9,"no.",$D1183)</t>
  </si>
  <si>
    <t>=NL(1,"item","Units Per Parcel","no.",$D1183)</t>
  </si>
  <si>
    <t>=NL(1,"Prod. BOM Equipment","Fixed Prod. Time (Hours)","Production BOM No.",$D1183,"version code",$E1183,"Resource No.",O$9)</t>
  </si>
  <si>
    <t>=1/O1183</t>
  </si>
  <si>
    <t>=IF(NL(1,"Prod. BOM Equipment","Variable Prod. Time (Hours)","Production BOM No.",$D1183,"version code",$E1183,"Resource No.",$O$9)="",1,NL(1,"Prod. BOM Equipment","Variable Prod. Time (Hours)","Production BOM No.",$D1183,"version code",$E1183,"Resource No.",$O$9))</t>
  </si>
  <si>
    <t>=1/Q1183</t>
  </si>
  <si>
    <t>=R1183*N1183</t>
  </si>
  <si>
    <t>=IF(K1184=0,"hide","")</t>
  </si>
  <si>
    <t>=D1183</t>
  </si>
  <si>
    <t>=NL("sum","Production Order","Quantity","Source No.",$D1184,"Equipment Code",$L1184,"due date",F$8)/-12</t>
  </si>
  <si>
    <t>=NL("sum","Production Order","Quantity","Source No.",$D1184,"Equipment Code",$L1184,"due date",G$8)/-12</t>
  </si>
  <si>
    <t>=NL("sum","Production Order","Quantity","Source No.",$D1184,"Equipment Code",$L1184,"due date",H$8)/-12</t>
  </si>
  <si>
    <t>=NL("sum","Production Order","Quantity","Source No.",$D1184,"Equipment Code",$L1184,"due date",I$8)/-12</t>
  </si>
  <si>
    <t>=NL("sum","Production Order","Quantity","Source No.",$D1184,"Equipment Code",$L1184,"due date",J$8)/$J$7</t>
  </si>
  <si>
    <t>=AVERAGE(I1184:J1184)</t>
  </si>
  <si>
    <t>=IF(K1185=0,"hide","")</t>
  </si>
  <si>
    <t>=D1184</t>
  </si>
  <si>
    <t>=NL("sum","Production Order","Quantity","Source No.",$D1185,"Equipment Code",$L1185,"due date",F$8)/-12</t>
  </si>
  <si>
    <t>=NL("sum","Production Order","Quantity","Source No.",$D1185,"Equipment Code",$L1185,"due date",G$8)/-12</t>
  </si>
  <si>
    <t>=NL("sum","Production Order","Quantity","Source No.",$D1185,"Equipment Code",$L1185,"due date",H$8)/-12</t>
  </si>
  <si>
    <t>=NL("sum","Production Order","Quantity","Source No.",$D1185,"Equipment Code",$L1185,"due date",I$8)/-12</t>
  </si>
  <si>
    <t>=NL("sum","Production Order","Quantity","Source No.",$D1185,"Equipment Code",$L1185,"due date",J$8)/$J$7</t>
  </si>
  <si>
    <t>=AVERAGE(I1185:J1185)</t>
  </si>
  <si>
    <t>=IF(K1186=0,"hide","")</t>
  </si>
  <si>
    <t>=D1185</t>
  </si>
  <si>
    <t>=NL("sum","Production Order","Quantity","Source No.",$D1186,"Equipment Code",$L1186,"due date",F$8)/-12</t>
  </si>
  <si>
    <t>=NL("sum","Production Order","Quantity","Source No.",$D1186,"Equipment Code",$L1186,"due date",G$8)/-12</t>
  </si>
  <si>
    <t>=NL("sum","Production Order","Quantity","Source No.",$D1186,"Equipment Code",$L1186,"due date",H$8)/-12</t>
  </si>
  <si>
    <t>=NL("sum","Production Order","Quantity","Source No.",$D1186,"Equipment Code",$L1186,"due date",I$8)/-12</t>
  </si>
  <si>
    <t>=NL("sum","Production Order","Quantity","Source No.",$D1186,"Equipment Code",$L1186,"due date",J$8)/$J$7</t>
  </si>
  <si>
    <t>=AVERAGE(I1186:J1186)</t>
  </si>
  <si>
    <t>=IF(K1187=0,"hide","")</t>
  </si>
  <si>
    <t>=D1186</t>
  </si>
  <si>
    <t>=NL("sum","Production Order","Quantity","Source No.",$D1187,"Equipment Code",$L1187,"due date",F$8)/-12</t>
  </si>
  <si>
    <t>=NL("sum","Production Order","Quantity","Source No.",$D1187,"Equipment Code",$L1187,"due date",G$8)/-12</t>
  </si>
  <si>
    <t>=NL("sum","Production Order","Quantity","Source No.",$D1187,"Equipment Code",$L1187,"due date",H$8)/-12</t>
  </si>
  <si>
    <t>=NL("sum","Production Order","Quantity","Source No.",$D1187,"Equipment Code",$L1187,"due date",I$8)/-12</t>
  </si>
  <si>
    <t>=NL("sum","Production Order","Quantity","Source No.",$D1187,"Equipment Code",$L1187,"due date",J$8)/$J$7</t>
  </si>
  <si>
    <t>=AVERAGE(I1187:J1187)</t>
  </si>
  <si>
    <t>=B1184</t>
  </si>
  <si>
    <t>=B1188</t>
  </si>
  <si>
    <t>=SUM(F1184:F1188)</t>
  </si>
  <si>
    <t>=SUM(G1184:G1188)</t>
  </si>
  <si>
    <t>=SUM(H1184:H1188)</t>
  </si>
  <si>
    <t>=SUM(I1184:I1188)</t>
  </si>
  <si>
    <t>=SUM(J1184:J1188)</t>
  </si>
  <si>
    <t>=IF(K1190=0,"hide","")</t>
  </si>
  <si>
    <t>="11965"</t>
  </si>
  <si>
    <t>=NL("rows","Production BOM Version","Version Code","Production BOM No.",D1190,"status","certified")</t>
  </si>
  <si>
    <t>=NL("sum","Item Ledger Entry","Quantity","Item No.",$D1190,"Entry Type","Sale|Consumption","posting date","01/01/19..12/31/19")/-12</t>
  </si>
  <si>
    <t>=NL("sum","Item Ledger Entry","Quantity","Item No.",$D1190,"Entry Type","Sale|Consumption","posting date","01/01/20..12/31/20")/-12</t>
  </si>
  <si>
    <t>=NL("sum","Item Ledger Entry","Quantity","Item No.",$D1190,"Entry Type","Sale|Consumption","posting date","01/01/21..12/31/21")/-12</t>
  </si>
  <si>
    <t>=NL("sum","Item Ledger Entry","Quantity","Item No.",$D1190,"Entry Type","Sale|Consumption","posting date","01/01/22..12/31/22")/-12</t>
  </si>
  <si>
    <t>=NL("sum","Item Ledger Entry","Quantity","Item No.",$D1190,"Entry Type","Sale|Consumption","posting date","01/01/23..12/31/23")/$J$7</t>
  </si>
  <si>
    <t>=AVERAGE(I1190:J1190)</t>
  </si>
  <si>
    <t>=NL(1,"item",L$9,"no.",D1190)</t>
  </si>
  <si>
    <t>=NL(1,"item",M$9,"no.",$D1190)</t>
  </si>
  <si>
    <t>=NL(1,"item","Units Per Parcel","no.",$D1190)</t>
  </si>
  <si>
    <t>=NL(1,"Prod. BOM Equipment","Fixed Prod. Time (Hours)","Production BOM No.",$D1190,"version code",$E1190,"Resource No.",O$9)</t>
  </si>
  <si>
    <t>=1/O1190</t>
  </si>
  <si>
    <t>=IF(NL(1,"Prod. BOM Equipment","Variable Prod. Time (Hours)","Production BOM No.",$D1190,"version code",$E1190,"Resource No.",$O$9)="",1,NL(1,"Prod. BOM Equipment","Variable Prod. Time (Hours)","Production BOM No.",$D1190,"version code",$E1190,"Resource No.",$O$9))</t>
  </si>
  <si>
    <t>=1/Q1190</t>
  </si>
  <si>
    <t>=R1190*N1190</t>
  </si>
  <si>
    <t>=IF(K1191=0,"hide","")</t>
  </si>
  <si>
    <t>=D1190</t>
  </si>
  <si>
    <t>=NL("sum","Production Order","Quantity","Source No.",$D1191,"Equipment Code",$L1191,"due date",F$8)/-12</t>
  </si>
  <si>
    <t>=NL("sum","Production Order","Quantity","Source No.",$D1191,"Equipment Code",$L1191,"due date",G$8)/-12</t>
  </si>
  <si>
    <t>=NL("sum","Production Order","Quantity","Source No.",$D1191,"Equipment Code",$L1191,"due date",H$8)/-12</t>
  </si>
  <si>
    <t>=NL("sum","Production Order","Quantity","Source No.",$D1191,"Equipment Code",$L1191,"due date",I$8)/-12</t>
  </si>
  <si>
    <t>=NL("sum","Production Order","Quantity","Source No.",$D1191,"Equipment Code",$L1191,"due date",J$8)/$J$7</t>
  </si>
  <si>
    <t>=AVERAGE(I1191:J1191)</t>
  </si>
  <si>
    <t>=IF(K1192=0,"hide","")</t>
  </si>
  <si>
    <t>=D1191</t>
  </si>
  <si>
    <t>=NL("sum","Production Order","Quantity","Source No.",$D1192,"Equipment Code",$L1192,"due date",F$8)/-12</t>
  </si>
  <si>
    <t>=NL("sum","Production Order","Quantity","Source No.",$D1192,"Equipment Code",$L1192,"due date",G$8)/-12</t>
  </si>
  <si>
    <t>=NL("sum","Production Order","Quantity","Source No.",$D1192,"Equipment Code",$L1192,"due date",H$8)/-12</t>
  </si>
  <si>
    <t>=NL("sum","Production Order","Quantity","Source No.",$D1192,"Equipment Code",$L1192,"due date",I$8)/-12</t>
  </si>
  <si>
    <t>=NL("sum","Production Order","Quantity","Source No.",$D1192,"Equipment Code",$L1192,"due date",J$8)/$J$7</t>
  </si>
  <si>
    <t>=AVERAGE(I1192:J1192)</t>
  </si>
  <si>
    <t>=IF(K1193=0,"hide","")</t>
  </si>
  <si>
    <t>=D1192</t>
  </si>
  <si>
    <t>=NL("sum","Production Order","Quantity","Source No.",$D1193,"Equipment Code",$L1193,"due date",F$8)/-12</t>
  </si>
  <si>
    <t>=NL("sum","Production Order","Quantity","Source No.",$D1193,"Equipment Code",$L1193,"due date",G$8)/-12</t>
  </si>
  <si>
    <t>=NL("sum","Production Order","Quantity","Source No.",$D1193,"Equipment Code",$L1193,"due date",H$8)/-12</t>
  </si>
  <si>
    <t>=NL("sum","Production Order","Quantity","Source No.",$D1193,"Equipment Code",$L1193,"due date",I$8)/-12</t>
  </si>
  <si>
    <t>=NL("sum","Production Order","Quantity","Source No.",$D1193,"Equipment Code",$L1193,"due date",J$8)/$J$7</t>
  </si>
  <si>
    <t>=AVERAGE(I1193:J1193)</t>
  </si>
  <si>
    <t>=IF(K1194=0,"hide","")</t>
  </si>
  <si>
    <t>=D1193</t>
  </si>
  <si>
    <t>=NL("sum","Production Order","Quantity","Source No.",$D1194,"Equipment Code",$L1194,"due date",F$8)/-12</t>
  </si>
  <si>
    <t>=NL("sum","Production Order","Quantity","Source No.",$D1194,"Equipment Code",$L1194,"due date",G$8)/-12</t>
  </si>
  <si>
    <t>=NL("sum","Production Order","Quantity","Source No.",$D1194,"Equipment Code",$L1194,"due date",H$8)/-12</t>
  </si>
  <si>
    <t>=NL("sum","Production Order","Quantity","Source No.",$D1194,"Equipment Code",$L1194,"due date",I$8)/-12</t>
  </si>
  <si>
    <t>=NL("sum","Production Order","Quantity","Source No.",$D1194,"Equipment Code",$L1194,"due date",J$8)/$J$7</t>
  </si>
  <si>
    <t>=AVERAGE(I1194:J1194)</t>
  </si>
  <si>
    <t>=B1191</t>
  </si>
  <si>
    <t>=B1195</t>
  </si>
  <si>
    <t>=SUM(F1191:F1195)</t>
  </si>
  <si>
    <t>=SUM(G1191:G1195)</t>
  </si>
  <si>
    <t>=SUM(H1191:H1195)</t>
  </si>
  <si>
    <t>=SUM(I1191:I1195)</t>
  </si>
  <si>
    <t>=SUM(J1191:J1195)</t>
  </si>
  <si>
    <t>=IF(K1197=0,"hide","")</t>
  </si>
  <si>
    <t>="12028"</t>
  </si>
  <si>
    <t>=NL("rows","Production BOM Version","Version Code","Production BOM No.",D1197,"status","certified")</t>
  </si>
  <si>
    <t>=NL("sum","Item Ledger Entry","Quantity","Item No.",$D1197,"Entry Type","Sale|Consumption","posting date","01/01/19..12/31/19")/-12</t>
  </si>
  <si>
    <t>=NL("sum","Item Ledger Entry","Quantity","Item No.",$D1197,"Entry Type","Sale|Consumption","posting date","01/01/20..12/31/20")/-12</t>
  </si>
  <si>
    <t>=NL("sum","Item Ledger Entry","Quantity","Item No.",$D1197,"Entry Type","Sale|Consumption","posting date","01/01/21..12/31/21")/-12</t>
  </si>
  <si>
    <t>=NL("sum","Item Ledger Entry","Quantity","Item No.",$D1197,"Entry Type","Sale|Consumption","posting date","01/01/22..12/31/22")/-12</t>
  </si>
  <si>
    <t>=NL("sum","Item Ledger Entry","Quantity","Item No.",$D1197,"Entry Type","Sale|Consumption","posting date","01/01/23..12/31/23")/$J$7</t>
  </si>
  <si>
    <t>=AVERAGE(I1197:J1197)</t>
  </si>
  <si>
    <t>=NL(1,"item",L$9,"no.",D1197)</t>
  </si>
  <si>
    <t>=NL(1,"item",M$9,"no.",$D1197)</t>
  </si>
  <si>
    <t>=NL(1,"item","Units Per Parcel","no.",$D1197)</t>
  </si>
  <si>
    <t>=NL(1,"Prod. BOM Equipment","Fixed Prod. Time (Hours)","Production BOM No.",$D1197,"version code",$E1197,"Resource No.",O$9)</t>
  </si>
  <si>
    <t>=1/O1197</t>
  </si>
  <si>
    <t>=IF(NL(1,"Prod. BOM Equipment","Variable Prod. Time (Hours)","Production BOM No.",$D1197,"version code",$E1197,"Resource No.",$O$9)="",1,NL(1,"Prod. BOM Equipment","Variable Prod. Time (Hours)","Production BOM No.",$D1197,"version code",$E1197,"Resource No.",$O$9))</t>
  </si>
  <si>
    <t>=1/Q1197</t>
  </si>
  <si>
    <t>=R1197*N1197</t>
  </si>
  <si>
    <t>=IF(K1198=0,"hide","")</t>
  </si>
  <si>
    <t>=D1197</t>
  </si>
  <si>
    <t>=NL("sum","Production Order","Quantity","Source No.",$D1198,"Equipment Code",$L1198,"due date",F$8)/-12</t>
  </si>
  <si>
    <t>=NL("sum","Production Order","Quantity","Source No.",$D1198,"Equipment Code",$L1198,"due date",G$8)/-12</t>
  </si>
  <si>
    <t>=NL("sum","Production Order","Quantity","Source No.",$D1198,"Equipment Code",$L1198,"due date",H$8)/-12</t>
  </si>
  <si>
    <t>=NL("sum","Production Order","Quantity","Source No.",$D1198,"Equipment Code",$L1198,"due date",I$8)/-12</t>
  </si>
  <si>
    <t>=NL("sum","Production Order","Quantity","Source No.",$D1198,"Equipment Code",$L1198,"due date",J$8)/$J$7</t>
  </si>
  <si>
    <t>=AVERAGE(I1198:J1198)</t>
  </si>
  <si>
    <t>=IF(K1199=0,"hide","")</t>
  </si>
  <si>
    <t>=D1198</t>
  </si>
  <si>
    <t>=NL("sum","Production Order","Quantity","Source No.",$D1199,"Equipment Code",$L1199,"due date",F$8)/-12</t>
  </si>
  <si>
    <t>=NL("sum","Production Order","Quantity","Source No.",$D1199,"Equipment Code",$L1199,"due date",G$8)/-12</t>
  </si>
  <si>
    <t>=NL("sum","Production Order","Quantity","Source No.",$D1199,"Equipment Code",$L1199,"due date",H$8)/-12</t>
  </si>
  <si>
    <t>=NL("sum","Production Order","Quantity","Source No.",$D1199,"Equipment Code",$L1199,"due date",I$8)/-12</t>
  </si>
  <si>
    <t>=NL("sum","Production Order","Quantity","Source No.",$D1199,"Equipment Code",$L1199,"due date",J$8)/$J$7</t>
  </si>
  <si>
    <t>=AVERAGE(I1199:J1199)</t>
  </si>
  <si>
    <t>=IF(K1200=0,"hide","")</t>
  </si>
  <si>
    <t>=D1199</t>
  </si>
  <si>
    <t>=NL("sum","Production Order","Quantity","Source No.",$D1200,"Equipment Code",$L1200,"due date",F$8)/-12</t>
  </si>
  <si>
    <t>=NL("sum","Production Order","Quantity","Source No.",$D1200,"Equipment Code",$L1200,"due date",G$8)/-12</t>
  </si>
  <si>
    <t>=NL("sum","Production Order","Quantity","Source No.",$D1200,"Equipment Code",$L1200,"due date",H$8)/-12</t>
  </si>
  <si>
    <t>=NL("sum","Production Order","Quantity","Source No.",$D1200,"Equipment Code",$L1200,"due date",I$8)/-12</t>
  </si>
  <si>
    <t>=NL("sum","Production Order","Quantity","Source No.",$D1200,"Equipment Code",$L1200,"due date",J$8)/$J$7</t>
  </si>
  <si>
    <t>=AVERAGE(I1200:J1200)</t>
  </si>
  <si>
    <t>=IF(K1201=0,"hide","")</t>
  </si>
  <si>
    <t>=D1200</t>
  </si>
  <si>
    <t>=NL("sum","Production Order","Quantity","Source No.",$D1201,"Equipment Code",$L1201,"due date",F$8)/-12</t>
  </si>
  <si>
    <t>=NL("sum","Production Order","Quantity","Source No.",$D1201,"Equipment Code",$L1201,"due date",G$8)/-12</t>
  </si>
  <si>
    <t>=NL("sum","Production Order","Quantity","Source No.",$D1201,"Equipment Code",$L1201,"due date",H$8)/-12</t>
  </si>
  <si>
    <t>=NL("sum","Production Order","Quantity","Source No.",$D1201,"Equipment Code",$L1201,"due date",I$8)/-12</t>
  </si>
  <si>
    <t>=NL("sum","Production Order","Quantity","Source No.",$D1201,"Equipment Code",$L1201,"due date",J$8)/$J$7</t>
  </si>
  <si>
    <t>=AVERAGE(I1201:J1201)</t>
  </si>
  <si>
    <t>=B1198</t>
  </si>
  <si>
    <t>=B1202</t>
  </si>
  <si>
    <t>=SUM(F1198:F1202)</t>
  </si>
  <si>
    <t>=SUM(G1198:G1202)</t>
  </si>
  <si>
    <t>=SUM(H1198:H1202)</t>
  </si>
  <si>
    <t>=SUM(I1198:I1202)</t>
  </si>
  <si>
    <t>=SUM(J1198:J1202)</t>
  </si>
  <si>
    <t>=IF(K1204=0,"hide","")</t>
  </si>
  <si>
    <t>=NL("rows","Production BOM Version","Version Code","Production BOM No.",D1204,"status","certified")</t>
  </si>
  <si>
    <t>=NL("sum","Item Ledger Entry","Quantity","Item No.",$D1204,"Entry Type","Sale|Consumption","posting date","01/01/19..12/31/19")/-12</t>
  </si>
  <si>
    <t>=NL("sum","Item Ledger Entry","Quantity","Item No.",$D1204,"Entry Type","Sale|Consumption","posting date","01/01/20..12/31/20")/-12</t>
  </si>
  <si>
    <t>=NL("sum","Item Ledger Entry","Quantity","Item No.",$D1204,"Entry Type","Sale|Consumption","posting date","01/01/21..12/31/21")/-12</t>
  </si>
  <si>
    <t>=NL("sum","Item Ledger Entry","Quantity","Item No.",$D1204,"Entry Type","Sale|Consumption","posting date","01/01/22..12/31/22")/-12</t>
  </si>
  <si>
    <t>=NL("sum","Item Ledger Entry","Quantity","Item No.",$D1204,"Entry Type","Sale|Consumption","posting date","01/01/23..12/31/23")/$J$7</t>
  </si>
  <si>
    <t>=AVERAGE(I1204:J1204)</t>
  </si>
  <si>
    <t>=NL(1,"item",L$9,"no.",D1204)</t>
  </si>
  <si>
    <t>=NL(1,"item",M$9,"no.",$D1204)</t>
  </si>
  <si>
    <t>=NL(1,"item","Units Per Parcel","no.",$D1204)</t>
  </si>
  <si>
    <t>=NL(1,"Prod. BOM Equipment","Fixed Prod. Time (Hours)","Production BOM No.",$D1204,"version code",$E1204,"Resource No.",O$9)</t>
  </si>
  <si>
    <t>=1/O1204</t>
  </si>
  <si>
    <t>=IF(NL(1,"Prod. BOM Equipment","Variable Prod. Time (Hours)","Production BOM No.",$D1204,"version code",$E1204,"Resource No.",$O$9)="",1,NL(1,"Prod. BOM Equipment","Variable Prod. Time (Hours)","Production BOM No.",$D1204,"version code",$E1204,"Resource No.",$O$9))</t>
  </si>
  <si>
    <t>=1/Q1204</t>
  </si>
  <si>
    <t>=R1204*N1204</t>
  </si>
  <si>
    <t>=IF(K1205=0,"hide","")</t>
  </si>
  <si>
    <t>=D1204</t>
  </si>
  <si>
    <t>=NL("sum","Production Order","Quantity","Source No.",$D1205,"Equipment Code",$L1205,"due date",F$8)/-12</t>
  </si>
  <si>
    <t>=NL("sum","Production Order","Quantity","Source No.",$D1205,"Equipment Code",$L1205,"due date",G$8)/-12</t>
  </si>
  <si>
    <t>=NL("sum","Production Order","Quantity","Source No.",$D1205,"Equipment Code",$L1205,"due date",H$8)/-12</t>
  </si>
  <si>
    <t>=NL("sum","Production Order","Quantity","Source No.",$D1205,"Equipment Code",$L1205,"due date",I$8)/-12</t>
  </si>
  <si>
    <t>=NL("sum","Production Order","Quantity","Source No.",$D1205,"Equipment Code",$L1205,"due date",J$8)/$J$7</t>
  </si>
  <si>
    <t>=AVERAGE(I1205:J1205)</t>
  </si>
  <si>
    <t>=IF(K1206=0,"hide","")</t>
  </si>
  <si>
    <t>=D1205</t>
  </si>
  <si>
    <t>=NL("sum","Production Order","Quantity","Source No.",$D1206,"Equipment Code",$L1206,"due date",F$8)/-12</t>
  </si>
  <si>
    <t>=NL("sum","Production Order","Quantity","Source No.",$D1206,"Equipment Code",$L1206,"due date",G$8)/-12</t>
  </si>
  <si>
    <t>=NL("sum","Production Order","Quantity","Source No.",$D1206,"Equipment Code",$L1206,"due date",H$8)/-12</t>
  </si>
  <si>
    <t>=NL("sum","Production Order","Quantity","Source No.",$D1206,"Equipment Code",$L1206,"due date",I$8)/-12</t>
  </si>
  <si>
    <t>=NL("sum","Production Order","Quantity","Source No.",$D1206,"Equipment Code",$L1206,"due date",J$8)/$J$7</t>
  </si>
  <si>
    <t>=AVERAGE(I1206:J1206)</t>
  </si>
  <si>
    <t>=IF(K1207=0,"hide","")</t>
  </si>
  <si>
    <t>=D1206</t>
  </si>
  <si>
    <t>=NL("sum","Production Order","Quantity","Source No.",$D1207,"Equipment Code",$L1207,"due date",F$8)/-12</t>
  </si>
  <si>
    <t>=NL("sum","Production Order","Quantity","Source No.",$D1207,"Equipment Code",$L1207,"due date",G$8)/-12</t>
  </si>
  <si>
    <t>=NL("sum","Production Order","Quantity","Source No.",$D1207,"Equipment Code",$L1207,"due date",H$8)/-12</t>
  </si>
  <si>
    <t>=NL("sum","Production Order","Quantity","Source No.",$D1207,"Equipment Code",$L1207,"due date",I$8)/-12</t>
  </si>
  <si>
    <t>=NL("sum","Production Order","Quantity","Source No.",$D1207,"Equipment Code",$L1207,"due date",J$8)/$J$7</t>
  </si>
  <si>
    <t>=AVERAGE(I1207:J1207)</t>
  </si>
  <si>
    <t>=IF(K1208=0,"hide","")</t>
  </si>
  <si>
    <t>=D1207</t>
  </si>
  <si>
    <t>=NL("sum","Production Order","Quantity","Source No.",$D1208,"Equipment Code",$L1208,"due date",F$8)/-12</t>
  </si>
  <si>
    <t>=NL("sum","Production Order","Quantity","Source No.",$D1208,"Equipment Code",$L1208,"due date",G$8)/-12</t>
  </si>
  <si>
    <t>=NL("sum","Production Order","Quantity","Source No.",$D1208,"Equipment Code",$L1208,"due date",H$8)/-12</t>
  </si>
  <si>
    <t>=NL("sum","Production Order","Quantity","Source No.",$D1208,"Equipment Code",$L1208,"due date",I$8)/-12</t>
  </si>
  <si>
    <t>=NL("sum","Production Order","Quantity","Source No.",$D1208,"Equipment Code",$L1208,"due date",J$8)/$J$7</t>
  </si>
  <si>
    <t>=AVERAGE(I1208:J1208)</t>
  </si>
  <si>
    <t>=B1205</t>
  </si>
  <si>
    <t>=B1209</t>
  </si>
  <si>
    <t>=SUM(F1205:F1209)</t>
  </si>
  <si>
    <t>=SUM(G1205:G1209)</t>
  </si>
  <si>
    <t>=SUM(H1205:H1209)</t>
  </si>
  <si>
    <t>=SUM(I1205:I1209)</t>
  </si>
  <si>
    <t>=SUM(J1205:J1209)</t>
  </si>
  <si>
    <t>=IF(K1211=0,"hide","")</t>
  </si>
  <si>
    <t>=NL("rows","Production BOM Version","Version Code","Production BOM No.",D1211,"status","certified")</t>
  </si>
  <si>
    <t>=NL("sum","Item Ledger Entry","Quantity","Item No.",$D1211,"Entry Type","Sale|Consumption","posting date","01/01/19..12/31/19")/-12</t>
  </si>
  <si>
    <t>=NL("sum","Item Ledger Entry","Quantity","Item No.",$D1211,"Entry Type","Sale|Consumption","posting date","01/01/20..12/31/20")/-12</t>
  </si>
  <si>
    <t>=NL("sum","Item Ledger Entry","Quantity","Item No.",$D1211,"Entry Type","Sale|Consumption","posting date","01/01/21..12/31/21")/-12</t>
  </si>
  <si>
    <t>=NL("sum","Item Ledger Entry","Quantity","Item No.",$D1211,"Entry Type","Sale|Consumption","posting date","01/01/22..12/31/22")/-12</t>
  </si>
  <si>
    <t>=NL("sum","Item Ledger Entry","Quantity","Item No.",$D1211,"Entry Type","Sale|Consumption","posting date","01/01/23..12/31/23")/$J$7</t>
  </si>
  <si>
    <t>=AVERAGE(I1211:J1211)</t>
  </si>
  <si>
    <t>=NL(1,"item",L$9,"no.",D1211)</t>
  </si>
  <si>
    <t>=NL(1,"item",M$9,"no.",$D1211)</t>
  </si>
  <si>
    <t>=NL(1,"item","Units Per Parcel","no.",$D1211)</t>
  </si>
  <si>
    <t>=NL(1,"Prod. BOM Equipment","Fixed Prod. Time (Hours)","Production BOM No.",$D1211,"version code",$E1211,"Resource No.",O$9)</t>
  </si>
  <si>
    <t>=1/O1211</t>
  </si>
  <si>
    <t>=IF(NL(1,"Prod. BOM Equipment","Variable Prod. Time (Hours)","Production BOM No.",$D1211,"version code",$E1211,"Resource No.",$O$9)="",1,NL(1,"Prod. BOM Equipment","Variable Prod. Time (Hours)","Production BOM No.",$D1211,"version code",$E1211,"Resource No.",$O$9))</t>
  </si>
  <si>
    <t>=1/Q1211</t>
  </si>
  <si>
    <t>=R1211*N1211</t>
  </si>
  <si>
    <t>=IF(K1212=0,"hide","")</t>
  </si>
  <si>
    <t>=D1211</t>
  </si>
  <si>
    <t>=NL("sum","Production Order","Quantity","Source No.",$D1212,"Equipment Code",$L1212,"due date",F$8)/-12</t>
  </si>
  <si>
    <t>=NL("sum","Production Order","Quantity","Source No.",$D1212,"Equipment Code",$L1212,"due date",G$8)/-12</t>
  </si>
  <si>
    <t>=NL("sum","Production Order","Quantity","Source No.",$D1212,"Equipment Code",$L1212,"due date",H$8)/-12</t>
  </si>
  <si>
    <t>=NL("sum","Production Order","Quantity","Source No.",$D1212,"Equipment Code",$L1212,"due date",I$8)/-12</t>
  </si>
  <si>
    <t>=NL("sum","Production Order","Quantity","Source No.",$D1212,"Equipment Code",$L1212,"due date",J$8)/$J$7</t>
  </si>
  <si>
    <t>=AVERAGE(I1212:J1212)</t>
  </si>
  <si>
    <t>=IF(K1213=0,"hide","")</t>
  </si>
  <si>
    <t>=D1212</t>
  </si>
  <si>
    <t>=NL("sum","Production Order","Quantity","Source No.",$D1213,"Equipment Code",$L1213,"due date",F$8)/-12</t>
  </si>
  <si>
    <t>=NL("sum","Production Order","Quantity","Source No.",$D1213,"Equipment Code",$L1213,"due date",G$8)/-12</t>
  </si>
  <si>
    <t>=NL("sum","Production Order","Quantity","Source No.",$D1213,"Equipment Code",$L1213,"due date",H$8)/-12</t>
  </si>
  <si>
    <t>=NL("sum","Production Order","Quantity","Source No.",$D1213,"Equipment Code",$L1213,"due date",I$8)/-12</t>
  </si>
  <si>
    <t>=NL("sum","Production Order","Quantity","Source No.",$D1213,"Equipment Code",$L1213,"due date",J$8)/$J$7</t>
  </si>
  <si>
    <t>=AVERAGE(I1213:J1213)</t>
  </si>
  <si>
    <t>=IF(K1214=0,"hide","")</t>
  </si>
  <si>
    <t>=D1213</t>
  </si>
  <si>
    <t>=NL("sum","Production Order","Quantity","Source No.",$D1214,"Equipment Code",$L1214,"due date",F$8)/-12</t>
  </si>
  <si>
    <t>=NL("sum","Production Order","Quantity","Source No.",$D1214,"Equipment Code",$L1214,"due date",G$8)/-12</t>
  </si>
  <si>
    <t>=NL("sum","Production Order","Quantity","Source No.",$D1214,"Equipment Code",$L1214,"due date",H$8)/-12</t>
  </si>
  <si>
    <t>=NL("sum","Production Order","Quantity","Source No.",$D1214,"Equipment Code",$L1214,"due date",I$8)/-12</t>
  </si>
  <si>
    <t>=NL("sum","Production Order","Quantity","Source No.",$D1214,"Equipment Code",$L1214,"due date",J$8)/$J$7</t>
  </si>
  <si>
    <t>=AVERAGE(I1214:J1214)</t>
  </si>
  <si>
    <t>=IF(K1215=0,"hide","")</t>
  </si>
  <si>
    <t>=D1214</t>
  </si>
  <si>
    <t>=NL("sum","Production Order","Quantity","Source No.",$D1215,"Equipment Code",$L1215,"due date",F$8)/-12</t>
  </si>
  <si>
    <t>=NL("sum","Production Order","Quantity","Source No.",$D1215,"Equipment Code",$L1215,"due date",G$8)/-12</t>
  </si>
  <si>
    <t>=NL("sum","Production Order","Quantity","Source No.",$D1215,"Equipment Code",$L1215,"due date",H$8)/-12</t>
  </si>
  <si>
    <t>=NL("sum","Production Order","Quantity","Source No.",$D1215,"Equipment Code",$L1215,"due date",I$8)/-12</t>
  </si>
  <si>
    <t>=NL("sum","Production Order","Quantity","Source No.",$D1215,"Equipment Code",$L1215,"due date",J$8)/$J$7</t>
  </si>
  <si>
    <t>=AVERAGE(I1215:J1215)</t>
  </si>
  <si>
    <t>=B1212</t>
  </si>
  <si>
    <t>=B1216</t>
  </si>
  <si>
    <t>=SUM(F1212:F1216)</t>
  </si>
  <si>
    <t>=SUM(G1212:G1216)</t>
  </si>
  <si>
    <t>=SUM(H1212:H1216)</t>
  </si>
  <si>
    <t>=SUM(I1212:I1216)</t>
  </si>
  <si>
    <t>=SUM(J1212:J1216)</t>
  </si>
  <si>
    <t>=IF(K1218=0,"hide","")</t>
  </si>
  <si>
    <t>=NL("rows","Production BOM Version","Version Code","Production BOM No.",D1218,"status","certified")</t>
  </si>
  <si>
    <t>=NL("sum","Item Ledger Entry","Quantity","Item No.",$D1218,"Entry Type","Sale|Consumption","posting date","01/01/19..12/31/19")/-12</t>
  </si>
  <si>
    <t>=NL("sum","Item Ledger Entry","Quantity","Item No.",$D1218,"Entry Type","Sale|Consumption","posting date","01/01/20..12/31/20")/-12</t>
  </si>
  <si>
    <t>=NL("sum","Item Ledger Entry","Quantity","Item No.",$D1218,"Entry Type","Sale|Consumption","posting date","01/01/21..12/31/21")/-12</t>
  </si>
  <si>
    <t>=NL("sum","Item Ledger Entry","Quantity","Item No.",$D1218,"Entry Type","Sale|Consumption","posting date","01/01/22..12/31/22")/-12</t>
  </si>
  <si>
    <t>=NL("sum","Item Ledger Entry","Quantity","Item No.",$D1218,"Entry Type","Sale|Consumption","posting date","01/01/23..12/31/23")/$J$7</t>
  </si>
  <si>
    <t>=AVERAGE(I1218:J1218)</t>
  </si>
  <si>
    <t>=NL(1,"item",L$9,"no.",D1218)</t>
  </si>
  <si>
    <t>=NL(1,"item",M$9,"no.",$D1218)</t>
  </si>
  <si>
    <t>=NL(1,"item","Units Per Parcel","no.",$D1218)</t>
  </si>
  <si>
    <t>=NL(1,"Prod. BOM Equipment","Fixed Prod. Time (Hours)","Production BOM No.",$D1218,"version code",$E1218,"Resource No.",O$9)</t>
  </si>
  <si>
    <t>=1/O1218</t>
  </si>
  <si>
    <t>=IF(NL(1,"Prod. BOM Equipment","Variable Prod. Time (Hours)","Production BOM No.",$D1218,"version code",$E1218,"Resource No.",$O$9)="",1,NL(1,"Prod. BOM Equipment","Variable Prod. Time (Hours)","Production BOM No.",$D1218,"version code",$E1218,"Resource No.",$O$9))</t>
  </si>
  <si>
    <t>=1/Q1218</t>
  </si>
  <si>
    <t>=R1218*N1218</t>
  </si>
  <si>
    <t>=IF(K1219=0,"hide","")</t>
  </si>
  <si>
    <t>=D1218</t>
  </si>
  <si>
    <t>=NL("sum","Production Order","Quantity","Source No.",$D1219,"Equipment Code",$L1219,"due date",F$8)/-12</t>
  </si>
  <si>
    <t>=NL("sum","Production Order","Quantity","Source No.",$D1219,"Equipment Code",$L1219,"due date",G$8)/-12</t>
  </si>
  <si>
    <t>=NL("sum","Production Order","Quantity","Source No.",$D1219,"Equipment Code",$L1219,"due date",H$8)/-12</t>
  </si>
  <si>
    <t>=NL("sum","Production Order","Quantity","Source No.",$D1219,"Equipment Code",$L1219,"due date",I$8)/-12</t>
  </si>
  <si>
    <t>=NL("sum","Production Order","Quantity","Source No.",$D1219,"Equipment Code",$L1219,"due date",J$8)/$J$7</t>
  </si>
  <si>
    <t>=AVERAGE(I1219:J1219)</t>
  </si>
  <si>
    <t>=IF(K1220=0,"hide","")</t>
  </si>
  <si>
    <t>=D1219</t>
  </si>
  <si>
    <t>=NL("sum","Production Order","Quantity","Source No.",$D1220,"Equipment Code",$L1220,"due date",F$8)/-12</t>
  </si>
  <si>
    <t>=NL("sum","Production Order","Quantity","Source No.",$D1220,"Equipment Code",$L1220,"due date",G$8)/-12</t>
  </si>
  <si>
    <t>=NL("sum","Production Order","Quantity","Source No.",$D1220,"Equipment Code",$L1220,"due date",H$8)/-12</t>
  </si>
  <si>
    <t>=NL("sum","Production Order","Quantity","Source No.",$D1220,"Equipment Code",$L1220,"due date",I$8)/-12</t>
  </si>
  <si>
    <t>=NL("sum","Production Order","Quantity","Source No.",$D1220,"Equipment Code",$L1220,"due date",J$8)/$J$7</t>
  </si>
  <si>
    <t>=AVERAGE(I1220:J1220)</t>
  </si>
  <si>
    <t>=IF(K1221=0,"hide","")</t>
  </si>
  <si>
    <t>=D1220</t>
  </si>
  <si>
    <t>=NL("sum","Production Order","Quantity","Source No.",$D1221,"Equipment Code",$L1221,"due date",F$8)/-12</t>
  </si>
  <si>
    <t>=NL("sum","Production Order","Quantity","Source No.",$D1221,"Equipment Code",$L1221,"due date",G$8)/-12</t>
  </si>
  <si>
    <t>=NL("sum","Production Order","Quantity","Source No.",$D1221,"Equipment Code",$L1221,"due date",H$8)/-12</t>
  </si>
  <si>
    <t>=NL("sum","Production Order","Quantity","Source No.",$D1221,"Equipment Code",$L1221,"due date",I$8)/-12</t>
  </si>
  <si>
    <t>=NL("sum","Production Order","Quantity","Source No.",$D1221,"Equipment Code",$L1221,"due date",J$8)/$J$7</t>
  </si>
  <si>
    <t>=AVERAGE(I1221:J1221)</t>
  </si>
  <si>
    <t>=IF(K1222=0,"hide","")</t>
  </si>
  <si>
    <t>=D1221</t>
  </si>
  <si>
    <t>=NL("sum","Production Order","Quantity","Source No.",$D1222,"Equipment Code",$L1222,"due date",F$8)/-12</t>
  </si>
  <si>
    <t>=NL("sum","Production Order","Quantity","Source No.",$D1222,"Equipment Code",$L1222,"due date",G$8)/-12</t>
  </si>
  <si>
    <t>=NL("sum","Production Order","Quantity","Source No.",$D1222,"Equipment Code",$L1222,"due date",H$8)/-12</t>
  </si>
  <si>
    <t>=NL("sum","Production Order","Quantity","Source No.",$D1222,"Equipment Code",$L1222,"due date",I$8)/-12</t>
  </si>
  <si>
    <t>=NL("sum","Production Order","Quantity","Source No.",$D1222,"Equipment Code",$L1222,"due date",J$8)/$J$7</t>
  </si>
  <si>
    <t>=AVERAGE(I1222:J1222)</t>
  </si>
  <si>
    <t>=B1219</t>
  </si>
  <si>
    <t>=B1223</t>
  </si>
  <si>
    <t>=SUM(F1219:F1223)</t>
  </si>
  <si>
    <t>=SUM(G1219:G1223)</t>
  </si>
  <si>
    <t>=SUM(H1219:H1223)</t>
  </si>
  <si>
    <t>=SUM(I1219:I1223)</t>
  </si>
  <si>
    <t>=SUM(J1219:J1223)</t>
  </si>
  <si>
    <t>=IF(K1225=0,"hide","")</t>
  </si>
  <si>
    <t>=NL("rows","Production BOM Version","Version Code","Production BOM No.",D1225,"status","certified")</t>
  </si>
  <si>
    <t>=NL("sum","Item Ledger Entry","Quantity","Item No.",$D1225,"Entry Type","Sale|Consumption","posting date","01/01/19..12/31/19")/-12</t>
  </si>
  <si>
    <t>=NL("sum","Item Ledger Entry","Quantity","Item No.",$D1225,"Entry Type","Sale|Consumption","posting date","01/01/20..12/31/20")/-12</t>
  </si>
  <si>
    <t>=NL("sum","Item Ledger Entry","Quantity","Item No.",$D1225,"Entry Type","Sale|Consumption","posting date","01/01/21..12/31/21")/-12</t>
  </si>
  <si>
    <t>=NL("sum","Item Ledger Entry","Quantity","Item No.",$D1225,"Entry Type","Sale|Consumption","posting date","01/01/22..12/31/22")/-12</t>
  </si>
  <si>
    <t>=NL("sum","Item Ledger Entry","Quantity","Item No.",$D1225,"Entry Type","Sale|Consumption","posting date","01/01/23..12/31/23")/$J$7</t>
  </si>
  <si>
    <t>=AVERAGE(I1225:J1225)</t>
  </si>
  <si>
    <t>=NL(1,"item",L$9,"no.",D1225)</t>
  </si>
  <si>
    <t>=NL(1,"item",M$9,"no.",$D1225)</t>
  </si>
  <si>
    <t>=NL(1,"item","Units Per Parcel","no.",$D1225)</t>
  </si>
  <si>
    <t>=NL(1,"Prod. BOM Equipment","Fixed Prod. Time (Hours)","Production BOM No.",$D1225,"version code",$E1225,"Resource No.",O$9)</t>
  </si>
  <si>
    <t>=1/O1225</t>
  </si>
  <si>
    <t>=IF(NL(1,"Prod. BOM Equipment","Variable Prod. Time (Hours)","Production BOM No.",$D1225,"version code",$E1225,"Resource No.",$O$9)="",1,NL(1,"Prod. BOM Equipment","Variable Prod. Time (Hours)","Production BOM No.",$D1225,"version code",$E1225,"Resource No.",$O$9))</t>
  </si>
  <si>
    <t>=1/Q1225</t>
  </si>
  <si>
    <t>=R1225*N1225</t>
  </si>
  <si>
    <t>=IF(K1226=0,"hide","")</t>
  </si>
  <si>
    <t>=D1225</t>
  </si>
  <si>
    <t>=NL("sum","Production Order","Quantity","Source No.",$D1226,"Equipment Code",$L1226,"due date",F$8)/-12</t>
  </si>
  <si>
    <t>=NL("sum","Production Order","Quantity","Source No.",$D1226,"Equipment Code",$L1226,"due date",G$8)/-12</t>
  </si>
  <si>
    <t>=NL("sum","Production Order","Quantity","Source No.",$D1226,"Equipment Code",$L1226,"due date",H$8)/-12</t>
  </si>
  <si>
    <t>=NL("sum","Production Order","Quantity","Source No.",$D1226,"Equipment Code",$L1226,"due date",I$8)/-12</t>
  </si>
  <si>
    <t>=NL("sum","Production Order","Quantity","Source No.",$D1226,"Equipment Code",$L1226,"due date",J$8)/$J$7</t>
  </si>
  <si>
    <t>=AVERAGE(I1226:J1226)</t>
  </si>
  <si>
    <t>=IF(K1227=0,"hide","")</t>
  </si>
  <si>
    <t>=D1226</t>
  </si>
  <si>
    <t>=NL("sum","Production Order","Quantity","Source No.",$D1227,"Equipment Code",$L1227,"due date",F$8)/-12</t>
  </si>
  <si>
    <t>=NL("sum","Production Order","Quantity","Source No.",$D1227,"Equipment Code",$L1227,"due date",G$8)/-12</t>
  </si>
  <si>
    <t>=NL("sum","Production Order","Quantity","Source No.",$D1227,"Equipment Code",$L1227,"due date",H$8)/-12</t>
  </si>
  <si>
    <t>=NL("sum","Production Order","Quantity","Source No.",$D1227,"Equipment Code",$L1227,"due date",I$8)/-12</t>
  </si>
  <si>
    <t>=NL("sum","Production Order","Quantity","Source No.",$D1227,"Equipment Code",$L1227,"due date",J$8)/$J$7</t>
  </si>
  <si>
    <t>=AVERAGE(I1227:J1227)</t>
  </si>
  <si>
    <t>=IF(K1228=0,"hide","")</t>
  </si>
  <si>
    <t>=D1227</t>
  </si>
  <si>
    <t>=NL("sum","Production Order","Quantity","Source No.",$D1228,"Equipment Code",$L1228,"due date",F$8)/-12</t>
  </si>
  <si>
    <t>=NL("sum","Production Order","Quantity","Source No.",$D1228,"Equipment Code",$L1228,"due date",G$8)/-12</t>
  </si>
  <si>
    <t>=NL("sum","Production Order","Quantity","Source No.",$D1228,"Equipment Code",$L1228,"due date",H$8)/-12</t>
  </si>
  <si>
    <t>=NL("sum","Production Order","Quantity","Source No.",$D1228,"Equipment Code",$L1228,"due date",I$8)/-12</t>
  </si>
  <si>
    <t>=NL("sum","Production Order","Quantity","Source No.",$D1228,"Equipment Code",$L1228,"due date",J$8)/$J$7</t>
  </si>
  <si>
    <t>=AVERAGE(I1228:J1228)</t>
  </si>
  <si>
    <t>=IF(K1229=0,"hide","")</t>
  </si>
  <si>
    <t>=D1228</t>
  </si>
  <si>
    <t>=NL("sum","Production Order","Quantity","Source No.",$D1229,"Equipment Code",$L1229,"due date",F$8)/-12</t>
  </si>
  <si>
    <t>=NL("sum","Production Order","Quantity","Source No.",$D1229,"Equipment Code",$L1229,"due date",G$8)/-12</t>
  </si>
  <si>
    <t>=NL("sum","Production Order","Quantity","Source No.",$D1229,"Equipment Code",$L1229,"due date",H$8)/-12</t>
  </si>
  <si>
    <t>=NL("sum","Production Order","Quantity","Source No.",$D1229,"Equipment Code",$L1229,"due date",I$8)/-12</t>
  </si>
  <si>
    <t>=NL("sum","Production Order","Quantity","Source No.",$D1229,"Equipment Code",$L1229,"due date",J$8)/$J$7</t>
  </si>
  <si>
    <t>=AVERAGE(I1229:J1229)</t>
  </si>
  <si>
    <t>=B1226</t>
  </si>
  <si>
    <t>=B1230</t>
  </si>
  <si>
    <t>=SUM(F1226:F1230)</t>
  </si>
  <si>
    <t>=SUM(G1226:G1230)</t>
  </si>
  <si>
    <t>=SUM(H1226:H1230)</t>
  </si>
  <si>
    <t>=SUM(I1226:I1230)</t>
  </si>
  <si>
    <t>=SUM(J1226:J1230)</t>
  </si>
  <si>
    <t>=IF(K1232=0,"hide","")</t>
  </si>
  <si>
    <t>=NL("rows","Production BOM Version","Version Code","Production BOM No.",D1232,"status","certified")</t>
  </si>
  <si>
    <t>=NL("sum","Item Ledger Entry","Quantity","Item No.",$D1232,"Entry Type","Sale|Consumption","posting date","01/01/19..12/31/19")/-12</t>
  </si>
  <si>
    <t>=NL("sum","Item Ledger Entry","Quantity","Item No.",$D1232,"Entry Type","Sale|Consumption","posting date","01/01/20..12/31/20")/-12</t>
  </si>
  <si>
    <t>=NL("sum","Item Ledger Entry","Quantity","Item No.",$D1232,"Entry Type","Sale|Consumption","posting date","01/01/21..12/31/21")/-12</t>
  </si>
  <si>
    <t>=NL("sum","Item Ledger Entry","Quantity","Item No.",$D1232,"Entry Type","Sale|Consumption","posting date","01/01/22..12/31/22")/-12</t>
  </si>
  <si>
    <t>=NL("sum","Item Ledger Entry","Quantity","Item No.",$D1232,"Entry Type","Sale|Consumption","posting date","01/01/23..12/31/23")/$J$7</t>
  </si>
  <si>
    <t>=AVERAGE(I1232:J1232)</t>
  </si>
  <si>
    <t>=NL(1,"item",L$9,"no.",D1232)</t>
  </si>
  <si>
    <t>=NL(1,"item",M$9,"no.",$D1232)</t>
  </si>
  <si>
    <t>=NL(1,"item","Units Per Parcel","no.",$D1232)</t>
  </si>
  <si>
    <t>=NL(1,"Prod. BOM Equipment","Fixed Prod. Time (Hours)","Production BOM No.",$D1232,"version code",$E1232,"Resource No.",O$9)</t>
  </si>
  <si>
    <t>=1/O1232</t>
  </si>
  <si>
    <t>=IF(NL(1,"Prod. BOM Equipment","Variable Prod. Time (Hours)","Production BOM No.",$D1232,"version code",$E1232,"Resource No.",$O$9)="",1,NL(1,"Prod. BOM Equipment","Variable Prod. Time (Hours)","Production BOM No.",$D1232,"version code",$E1232,"Resource No.",$O$9))</t>
  </si>
  <si>
    <t>=1/Q1232</t>
  </si>
  <si>
    <t>=R1232*N1232</t>
  </si>
  <si>
    <t>=IF(K1233=0,"hide","")</t>
  </si>
  <si>
    <t>=D1232</t>
  </si>
  <si>
    <t>=NL("sum","Production Order","Quantity","Source No.",$D1233,"Equipment Code",$L1233,"due date",F$8)/-12</t>
  </si>
  <si>
    <t>=NL("sum","Production Order","Quantity","Source No.",$D1233,"Equipment Code",$L1233,"due date",G$8)/-12</t>
  </si>
  <si>
    <t>=NL("sum","Production Order","Quantity","Source No.",$D1233,"Equipment Code",$L1233,"due date",H$8)/-12</t>
  </si>
  <si>
    <t>=NL("sum","Production Order","Quantity","Source No.",$D1233,"Equipment Code",$L1233,"due date",I$8)/-12</t>
  </si>
  <si>
    <t>=NL("sum","Production Order","Quantity","Source No.",$D1233,"Equipment Code",$L1233,"due date",J$8)/$J$7</t>
  </si>
  <si>
    <t>=AVERAGE(I1233:J1233)</t>
  </si>
  <si>
    <t>=IF(K1234=0,"hide","")</t>
  </si>
  <si>
    <t>=D1233</t>
  </si>
  <si>
    <t>=NL("sum","Production Order","Quantity","Source No.",$D1234,"Equipment Code",$L1234,"due date",F$8)/-12</t>
  </si>
  <si>
    <t>=NL("sum","Production Order","Quantity","Source No.",$D1234,"Equipment Code",$L1234,"due date",G$8)/-12</t>
  </si>
  <si>
    <t>=NL("sum","Production Order","Quantity","Source No.",$D1234,"Equipment Code",$L1234,"due date",H$8)/-12</t>
  </si>
  <si>
    <t>=NL("sum","Production Order","Quantity","Source No.",$D1234,"Equipment Code",$L1234,"due date",I$8)/-12</t>
  </si>
  <si>
    <t>=NL("sum","Production Order","Quantity","Source No.",$D1234,"Equipment Code",$L1234,"due date",J$8)/$J$7</t>
  </si>
  <si>
    <t>=AVERAGE(I1234:J1234)</t>
  </si>
  <si>
    <t>=IF(K1235=0,"hide","")</t>
  </si>
  <si>
    <t>=D1234</t>
  </si>
  <si>
    <t>=NL("sum","Production Order","Quantity","Source No.",$D1235,"Equipment Code",$L1235,"due date",F$8)/-12</t>
  </si>
  <si>
    <t>=NL("sum","Production Order","Quantity","Source No.",$D1235,"Equipment Code",$L1235,"due date",G$8)/-12</t>
  </si>
  <si>
    <t>=NL("sum","Production Order","Quantity","Source No.",$D1235,"Equipment Code",$L1235,"due date",H$8)/-12</t>
  </si>
  <si>
    <t>=NL("sum","Production Order","Quantity","Source No.",$D1235,"Equipment Code",$L1235,"due date",I$8)/-12</t>
  </si>
  <si>
    <t>=NL("sum","Production Order","Quantity","Source No.",$D1235,"Equipment Code",$L1235,"due date",J$8)/$J$7</t>
  </si>
  <si>
    <t>=AVERAGE(I1235:J1235)</t>
  </si>
  <si>
    <t>=IF(K1236=0,"hide","")</t>
  </si>
  <si>
    <t>=D1235</t>
  </si>
  <si>
    <t>=NL("sum","Production Order","Quantity","Source No.",$D1236,"Equipment Code",$L1236,"due date",F$8)/-12</t>
  </si>
  <si>
    <t>=NL("sum","Production Order","Quantity","Source No.",$D1236,"Equipment Code",$L1236,"due date",G$8)/-12</t>
  </si>
  <si>
    <t>=NL("sum","Production Order","Quantity","Source No.",$D1236,"Equipment Code",$L1236,"due date",H$8)/-12</t>
  </si>
  <si>
    <t>=NL("sum","Production Order","Quantity","Source No.",$D1236,"Equipment Code",$L1236,"due date",I$8)/-12</t>
  </si>
  <si>
    <t>=NL("sum","Production Order","Quantity","Source No.",$D1236,"Equipment Code",$L1236,"due date",J$8)/$J$7</t>
  </si>
  <si>
    <t>=AVERAGE(I1236:J1236)</t>
  </si>
  <si>
    <t>=B1233</t>
  </si>
  <si>
    <t>=B1237</t>
  </si>
  <si>
    <t>=SUM(F1233:F1237)</t>
  </si>
  <si>
    <t>=SUM(G1233:G1237)</t>
  </si>
  <si>
    <t>=SUM(H1233:H1237)</t>
  </si>
  <si>
    <t>=SUM(I1233:I1237)</t>
  </si>
  <si>
    <t>=SUM(J1233:J1237)</t>
  </si>
  <si>
    <t>=IF(K1239=0,"hide","")</t>
  </si>
  <si>
    <t>=NL("rows","Production BOM Version","Version Code","Production BOM No.",D1239,"status","certified")</t>
  </si>
  <si>
    <t>=NL("sum","Item Ledger Entry","Quantity","Item No.",$D1239,"Entry Type","Sale|Consumption","posting date","01/01/19..12/31/19")/-12</t>
  </si>
  <si>
    <t>=NL("sum","Item Ledger Entry","Quantity","Item No.",$D1239,"Entry Type","Sale|Consumption","posting date","01/01/20..12/31/20")/-12</t>
  </si>
  <si>
    <t>=NL("sum","Item Ledger Entry","Quantity","Item No.",$D1239,"Entry Type","Sale|Consumption","posting date","01/01/21..12/31/21")/-12</t>
  </si>
  <si>
    <t>=NL("sum","Item Ledger Entry","Quantity","Item No.",$D1239,"Entry Type","Sale|Consumption","posting date","01/01/22..12/31/22")/-12</t>
  </si>
  <si>
    <t>=NL("sum","Item Ledger Entry","Quantity","Item No.",$D1239,"Entry Type","Sale|Consumption","posting date","01/01/23..12/31/23")/$J$7</t>
  </si>
  <si>
    <t>=AVERAGE(I1239:J1239)</t>
  </si>
  <si>
    <t>=NL(1,"item",L$9,"no.",D1239)</t>
  </si>
  <si>
    <t>=NL(1,"item",M$9,"no.",$D1239)</t>
  </si>
  <si>
    <t>=NL(1,"item","Units Per Parcel","no.",$D1239)</t>
  </si>
  <si>
    <t>=NL(1,"Prod. BOM Equipment","Fixed Prod. Time (Hours)","Production BOM No.",$D1239,"version code",$E1239,"Resource No.",O$9)</t>
  </si>
  <si>
    <t>=1/O1239</t>
  </si>
  <si>
    <t>=IF(NL(1,"Prod. BOM Equipment","Variable Prod. Time (Hours)","Production BOM No.",$D1239,"version code",$E1239,"Resource No.",$O$9)="",1,NL(1,"Prod. BOM Equipment","Variable Prod. Time (Hours)","Production BOM No.",$D1239,"version code",$E1239,"Resource No.",$O$9))</t>
  </si>
  <si>
    <t>=1/Q1239</t>
  </si>
  <si>
    <t>=R1239*N1239</t>
  </si>
  <si>
    <t>=IF(K1240=0,"hide","")</t>
  </si>
  <si>
    <t>=D1239</t>
  </si>
  <si>
    <t>=NL("sum","Production Order","Quantity","Source No.",$D1240,"Equipment Code",$L1240,"due date",F$8)/-12</t>
  </si>
  <si>
    <t>=NL("sum","Production Order","Quantity","Source No.",$D1240,"Equipment Code",$L1240,"due date",G$8)/-12</t>
  </si>
  <si>
    <t>=NL("sum","Production Order","Quantity","Source No.",$D1240,"Equipment Code",$L1240,"due date",H$8)/-12</t>
  </si>
  <si>
    <t>=NL("sum","Production Order","Quantity","Source No.",$D1240,"Equipment Code",$L1240,"due date",I$8)/-12</t>
  </si>
  <si>
    <t>=NL("sum","Production Order","Quantity","Source No.",$D1240,"Equipment Code",$L1240,"due date",J$8)/$J$7</t>
  </si>
  <si>
    <t>=AVERAGE(I1240:J1240)</t>
  </si>
  <si>
    <t>=IF(K1241=0,"hide","")</t>
  </si>
  <si>
    <t>=D1240</t>
  </si>
  <si>
    <t>=NL("sum","Production Order","Quantity","Source No.",$D1241,"Equipment Code",$L1241,"due date",F$8)/-12</t>
  </si>
  <si>
    <t>=NL("sum","Production Order","Quantity","Source No.",$D1241,"Equipment Code",$L1241,"due date",G$8)/-12</t>
  </si>
  <si>
    <t>=NL("sum","Production Order","Quantity","Source No.",$D1241,"Equipment Code",$L1241,"due date",H$8)/-12</t>
  </si>
  <si>
    <t>=NL("sum","Production Order","Quantity","Source No.",$D1241,"Equipment Code",$L1241,"due date",I$8)/-12</t>
  </si>
  <si>
    <t>=NL("sum","Production Order","Quantity","Source No.",$D1241,"Equipment Code",$L1241,"due date",J$8)/$J$7</t>
  </si>
  <si>
    <t>=AVERAGE(I1241:J1241)</t>
  </si>
  <si>
    <t>=IF(K1242=0,"hide","")</t>
  </si>
  <si>
    <t>=D1241</t>
  </si>
  <si>
    <t>=NL("sum","Production Order","Quantity","Source No.",$D1242,"Equipment Code",$L1242,"due date",F$8)/-12</t>
  </si>
  <si>
    <t>=NL("sum","Production Order","Quantity","Source No.",$D1242,"Equipment Code",$L1242,"due date",G$8)/-12</t>
  </si>
  <si>
    <t>=NL("sum","Production Order","Quantity","Source No.",$D1242,"Equipment Code",$L1242,"due date",H$8)/-12</t>
  </si>
  <si>
    <t>=NL("sum","Production Order","Quantity","Source No.",$D1242,"Equipment Code",$L1242,"due date",I$8)/-12</t>
  </si>
  <si>
    <t>=NL("sum","Production Order","Quantity","Source No.",$D1242,"Equipment Code",$L1242,"due date",J$8)/$J$7</t>
  </si>
  <si>
    <t>=AVERAGE(I1242:J1242)</t>
  </si>
  <si>
    <t>=IF(K1243=0,"hide","")</t>
  </si>
  <si>
    <t>=D1242</t>
  </si>
  <si>
    <t>=NL("sum","Production Order","Quantity","Source No.",$D1243,"Equipment Code",$L1243,"due date",F$8)/-12</t>
  </si>
  <si>
    <t>=NL("sum","Production Order","Quantity","Source No.",$D1243,"Equipment Code",$L1243,"due date",G$8)/-12</t>
  </si>
  <si>
    <t>=NL("sum","Production Order","Quantity","Source No.",$D1243,"Equipment Code",$L1243,"due date",H$8)/-12</t>
  </si>
  <si>
    <t>=NL("sum","Production Order","Quantity","Source No.",$D1243,"Equipment Code",$L1243,"due date",I$8)/-12</t>
  </si>
  <si>
    <t>=NL("sum","Production Order","Quantity","Source No.",$D1243,"Equipment Code",$L1243,"due date",J$8)/$J$7</t>
  </si>
  <si>
    <t>=AVERAGE(I1243:J1243)</t>
  </si>
  <si>
    <t>=B1240</t>
  </si>
  <si>
    <t>=B1244</t>
  </si>
  <si>
    <t>=SUM(F1240:F1244)</t>
  </si>
  <si>
    <t>=SUM(G1240:G1244)</t>
  </si>
  <si>
    <t>=SUM(H1240:H1244)</t>
  </si>
  <si>
    <t>=SUM(I1240:I1244)</t>
  </si>
  <si>
    <t>=SUM(J1240:J1244)</t>
  </si>
  <si>
    <t>=IF(K1246=0,"hide","")</t>
  </si>
  <si>
    <t>=NL("rows","Production BOM Version","Version Code","Production BOM No.",D1246,"status","certified")</t>
  </si>
  <si>
    <t>=NL("sum","Item Ledger Entry","Quantity","Item No.",$D1246,"Entry Type","Sale|Consumption","posting date","01/01/19..12/31/19")/-12</t>
  </si>
  <si>
    <t>=NL("sum","Item Ledger Entry","Quantity","Item No.",$D1246,"Entry Type","Sale|Consumption","posting date","01/01/20..12/31/20")/-12</t>
  </si>
  <si>
    <t>=NL("sum","Item Ledger Entry","Quantity","Item No.",$D1246,"Entry Type","Sale|Consumption","posting date","01/01/21..12/31/21")/-12</t>
  </si>
  <si>
    <t>=NL("sum","Item Ledger Entry","Quantity","Item No.",$D1246,"Entry Type","Sale|Consumption","posting date","01/01/22..12/31/22")/-12</t>
  </si>
  <si>
    <t>=NL("sum","Item Ledger Entry","Quantity","Item No.",$D1246,"Entry Type","Sale|Consumption","posting date","01/01/23..12/31/23")/$J$7</t>
  </si>
  <si>
    <t>=AVERAGE(I1246:J1246)</t>
  </si>
  <si>
    <t>=NL(1,"item",L$9,"no.",D1246)</t>
  </si>
  <si>
    <t>=NL(1,"item",M$9,"no.",$D1246)</t>
  </si>
  <si>
    <t>=NL(1,"item","Units Per Parcel","no.",$D1246)</t>
  </si>
  <si>
    <t>=NL(1,"Prod. BOM Equipment","Fixed Prod. Time (Hours)","Production BOM No.",$D1246,"version code",$E1246,"Resource No.",O$9)</t>
  </si>
  <si>
    <t>=1/O1246</t>
  </si>
  <si>
    <t>=IF(NL(1,"Prod. BOM Equipment","Variable Prod. Time (Hours)","Production BOM No.",$D1246,"version code",$E1246,"Resource No.",$O$9)="",1,NL(1,"Prod. BOM Equipment","Variable Prod. Time (Hours)","Production BOM No.",$D1246,"version code",$E1246,"Resource No.",$O$9))</t>
  </si>
  <si>
    <t>=1/Q1246</t>
  </si>
  <si>
    <t>=R1246*N1246</t>
  </si>
  <si>
    <t>=IF(K1247=0,"hide","")</t>
  </si>
  <si>
    <t>=D1246</t>
  </si>
  <si>
    <t>=NL("sum","Production Order","Quantity","Source No.",$D1247,"Equipment Code",$L1247,"due date",F$8)/-12</t>
  </si>
  <si>
    <t>=NL("sum","Production Order","Quantity","Source No.",$D1247,"Equipment Code",$L1247,"due date",G$8)/-12</t>
  </si>
  <si>
    <t>=NL("sum","Production Order","Quantity","Source No.",$D1247,"Equipment Code",$L1247,"due date",H$8)/-12</t>
  </si>
  <si>
    <t>=NL("sum","Production Order","Quantity","Source No.",$D1247,"Equipment Code",$L1247,"due date",I$8)/-12</t>
  </si>
  <si>
    <t>=NL("sum","Production Order","Quantity","Source No.",$D1247,"Equipment Code",$L1247,"due date",J$8)/$J$7</t>
  </si>
  <si>
    <t>=AVERAGE(I1247:J1247)</t>
  </si>
  <si>
    <t>=IF(K1248=0,"hide","")</t>
  </si>
  <si>
    <t>=D1247</t>
  </si>
  <si>
    <t>=NL("sum","Production Order","Quantity","Source No.",$D1248,"Equipment Code",$L1248,"due date",F$8)/-12</t>
  </si>
  <si>
    <t>=NL("sum","Production Order","Quantity","Source No.",$D1248,"Equipment Code",$L1248,"due date",G$8)/-12</t>
  </si>
  <si>
    <t>=NL("sum","Production Order","Quantity","Source No.",$D1248,"Equipment Code",$L1248,"due date",H$8)/-12</t>
  </si>
  <si>
    <t>=NL("sum","Production Order","Quantity","Source No.",$D1248,"Equipment Code",$L1248,"due date",I$8)/-12</t>
  </si>
  <si>
    <t>=NL("sum","Production Order","Quantity","Source No.",$D1248,"Equipment Code",$L1248,"due date",J$8)/$J$7</t>
  </si>
  <si>
    <t>=AVERAGE(I1248:J1248)</t>
  </si>
  <si>
    <t>=IF(K1249=0,"hide","")</t>
  </si>
  <si>
    <t>=D1248</t>
  </si>
  <si>
    <t>=NL("sum","Production Order","Quantity","Source No.",$D1249,"Equipment Code",$L1249,"due date",F$8)/-12</t>
  </si>
  <si>
    <t>=NL("sum","Production Order","Quantity","Source No.",$D1249,"Equipment Code",$L1249,"due date",G$8)/-12</t>
  </si>
  <si>
    <t>=NL("sum","Production Order","Quantity","Source No.",$D1249,"Equipment Code",$L1249,"due date",H$8)/-12</t>
  </si>
  <si>
    <t>=NL("sum","Production Order","Quantity","Source No.",$D1249,"Equipment Code",$L1249,"due date",I$8)/-12</t>
  </si>
  <si>
    <t>=NL("sum","Production Order","Quantity","Source No.",$D1249,"Equipment Code",$L1249,"due date",J$8)/$J$7</t>
  </si>
  <si>
    <t>=AVERAGE(I1249:J1249)</t>
  </si>
  <si>
    <t>=IF(K1250=0,"hide","")</t>
  </si>
  <si>
    <t>=D1249</t>
  </si>
  <si>
    <t>=NL("sum","Production Order","Quantity","Source No.",$D1250,"Equipment Code",$L1250,"due date",F$8)/-12</t>
  </si>
  <si>
    <t>=NL("sum","Production Order","Quantity","Source No.",$D1250,"Equipment Code",$L1250,"due date",G$8)/-12</t>
  </si>
  <si>
    <t>=NL("sum","Production Order","Quantity","Source No.",$D1250,"Equipment Code",$L1250,"due date",H$8)/-12</t>
  </si>
  <si>
    <t>=NL("sum","Production Order","Quantity","Source No.",$D1250,"Equipment Code",$L1250,"due date",I$8)/-12</t>
  </si>
  <si>
    <t>=NL("sum","Production Order","Quantity","Source No.",$D1250,"Equipment Code",$L1250,"due date",J$8)/$J$7</t>
  </si>
  <si>
    <t>=AVERAGE(I1250:J1250)</t>
  </si>
  <si>
    <t>=B1247</t>
  </si>
  <si>
    <t>=B1251</t>
  </si>
  <si>
    <t>=SUM(F1247:F1251)</t>
  </si>
  <si>
    <t>=SUM(G1247:G1251)</t>
  </si>
  <si>
    <t>=SUM(H1247:H1251)</t>
  </si>
  <si>
    <t>=SUM(I1247:I1251)</t>
  </si>
  <si>
    <t>=SUM(J1247:J1251)</t>
  </si>
  <si>
    <t>=IF(K1253=0,"hide","")</t>
  </si>
  <si>
    <t>=NL("rows","Production BOM Version","Version Code","Production BOM No.",D1253,"status","certified")</t>
  </si>
  <si>
    <t>=NL("sum","Item Ledger Entry","Quantity","Item No.",$D1253,"Entry Type","Sale|Consumption","posting date","01/01/19..12/31/19")/-12</t>
  </si>
  <si>
    <t>=NL("sum","Item Ledger Entry","Quantity","Item No.",$D1253,"Entry Type","Sale|Consumption","posting date","01/01/20..12/31/20")/-12</t>
  </si>
  <si>
    <t>=NL("sum","Item Ledger Entry","Quantity","Item No.",$D1253,"Entry Type","Sale|Consumption","posting date","01/01/21..12/31/21")/-12</t>
  </si>
  <si>
    <t>=NL("sum","Item Ledger Entry","Quantity","Item No.",$D1253,"Entry Type","Sale|Consumption","posting date","01/01/22..12/31/22")/-12</t>
  </si>
  <si>
    <t>=NL("sum","Item Ledger Entry","Quantity","Item No.",$D1253,"Entry Type","Sale|Consumption","posting date","01/01/23..12/31/23")/$J$7</t>
  </si>
  <si>
    <t>=AVERAGE(I1253:J1253)</t>
  </si>
  <si>
    <t>=NL(1,"item",L$9,"no.",D1253)</t>
  </si>
  <si>
    <t>=NL(1,"item",M$9,"no.",$D1253)</t>
  </si>
  <si>
    <t>=NL(1,"item","Units Per Parcel","no.",$D1253)</t>
  </si>
  <si>
    <t>=NL(1,"Prod. BOM Equipment","Fixed Prod. Time (Hours)","Production BOM No.",$D1253,"version code",$E1253,"Resource No.",O$9)</t>
  </si>
  <si>
    <t>=1/O1253</t>
  </si>
  <si>
    <t>=IF(NL(1,"Prod. BOM Equipment","Variable Prod. Time (Hours)","Production BOM No.",$D1253,"version code",$E1253,"Resource No.",$O$9)="",1,NL(1,"Prod. BOM Equipment","Variable Prod. Time (Hours)","Production BOM No.",$D1253,"version code",$E1253,"Resource No.",$O$9))</t>
  </si>
  <si>
    <t>=1/Q1253</t>
  </si>
  <si>
    <t>=R1253*N1253</t>
  </si>
  <si>
    <t>=IF(K1254=0,"hide","")</t>
  </si>
  <si>
    <t>=D1253</t>
  </si>
  <si>
    <t>=NL("sum","Production Order","Quantity","Source No.",$D1254,"Equipment Code",$L1254,"due date",F$8)/-12</t>
  </si>
  <si>
    <t>=NL("sum","Production Order","Quantity","Source No.",$D1254,"Equipment Code",$L1254,"due date",G$8)/-12</t>
  </si>
  <si>
    <t>=NL("sum","Production Order","Quantity","Source No.",$D1254,"Equipment Code",$L1254,"due date",H$8)/-12</t>
  </si>
  <si>
    <t>=NL("sum","Production Order","Quantity","Source No.",$D1254,"Equipment Code",$L1254,"due date",I$8)/-12</t>
  </si>
  <si>
    <t>=NL("sum","Production Order","Quantity","Source No.",$D1254,"Equipment Code",$L1254,"due date",J$8)/$J$7</t>
  </si>
  <si>
    <t>=AVERAGE(I1254:J1254)</t>
  </si>
  <si>
    <t>=IF(K1255=0,"hide","")</t>
  </si>
  <si>
    <t>=D1254</t>
  </si>
  <si>
    <t>=NL("sum","Production Order","Quantity","Source No.",$D1255,"Equipment Code",$L1255,"due date",F$8)/-12</t>
  </si>
  <si>
    <t>=NL("sum","Production Order","Quantity","Source No.",$D1255,"Equipment Code",$L1255,"due date",G$8)/-12</t>
  </si>
  <si>
    <t>=NL("sum","Production Order","Quantity","Source No.",$D1255,"Equipment Code",$L1255,"due date",H$8)/-12</t>
  </si>
  <si>
    <t>=NL("sum","Production Order","Quantity","Source No.",$D1255,"Equipment Code",$L1255,"due date",I$8)/-12</t>
  </si>
  <si>
    <t>=NL("sum","Production Order","Quantity","Source No.",$D1255,"Equipment Code",$L1255,"due date",J$8)/$J$7</t>
  </si>
  <si>
    <t>=AVERAGE(I1255:J1255)</t>
  </si>
  <si>
    <t>=IF(K1256=0,"hide","")</t>
  </si>
  <si>
    <t>=D1255</t>
  </si>
  <si>
    <t>=NL("sum","Production Order","Quantity","Source No.",$D1256,"Equipment Code",$L1256,"due date",F$8)/-12</t>
  </si>
  <si>
    <t>=NL("sum","Production Order","Quantity","Source No.",$D1256,"Equipment Code",$L1256,"due date",G$8)/-12</t>
  </si>
  <si>
    <t>=NL("sum","Production Order","Quantity","Source No.",$D1256,"Equipment Code",$L1256,"due date",H$8)/-12</t>
  </si>
  <si>
    <t>=NL("sum","Production Order","Quantity","Source No.",$D1256,"Equipment Code",$L1256,"due date",I$8)/-12</t>
  </si>
  <si>
    <t>=NL("sum","Production Order","Quantity","Source No.",$D1256,"Equipment Code",$L1256,"due date",J$8)/$J$7</t>
  </si>
  <si>
    <t>=AVERAGE(I1256:J1256)</t>
  </si>
  <si>
    <t>=IF(K1257=0,"hide","")</t>
  </si>
  <si>
    <t>=D1256</t>
  </si>
  <si>
    <t>=NL("sum","Production Order","Quantity","Source No.",$D1257,"Equipment Code",$L1257,"due date",F$8)/-12</t>
  </si>
  <si>
    <t>=NL("sum","Production Order","Quantity","Source No.",$D1257,"Equipment Code",$L1257,"due date",G$8)/-12</t>
  </si>
  <si>
    <t>=NL("sum","Production Order","Quantity","Source No.",$D1257,"Equipment Code",$L1257,"due date",H$8)/-12</t>
  </si>
  <si>
    <t>=NL("sum","Production Order","Quantity","Source No.",$D1257,"Equipment Code",$L1257,"due date",I$8)/-12</t>
  </si>
  <si>
    <t>=NL("sum","Production Order","Quantity","Source No.",$D1257,"Equipment Code",$L1257,"due date",J$8)/$J$7</t>
  </si>
  <si>
    <t>=AVERAGE(I1257:J1257)</t>
  </si>
  <si>
    <t>=B1254</t>
  </si>
  <si>
    <t>=B1258</t>
  </si>
  <si>
    <t>=SUM(F1254:F1258)</t>
  </si>
  <si>
    <t>=SUM(G1254:G1258)</t>
  </si>
  <si>
    <t>=SUM(H1254:H1258)</t>
  </si>
  <si>
    <t>=SUM(I1254:I1258)</t>
  </si>
  <si>
    <t>=SUM(J1254:J1258)</t>
  </si>
  <si>
    <t>=IF(K1260=0,"hide","")</t>
  </si>
  <si>
    <t>=NL("rows","Production BOM Version","Version Code","Production BOM No.",D1260,"status","certified")</t>
  </si>
  <si>
    <t>=NL("sum","Item Ledger Entry","Quantity","Item No.",$D1260,"Entry Type","Sale|Consumption","posting date","01/01/19..12/31/19")/-12</t>
  </si>
  <si>
    <t>=NL("sum","Item Ledger Entry","Quantity","Item No.",$D1260,"Entry Type","Sale|Consumption","posting date","01/01/20..12/31/20")/-12</t>
  </si>
  <si>
    <t>=NL("sum","Item Ledger Entry","Quantity","Item No.",$D1260,"Entry Type","Sale|Consumption","posting date","01/01/21..12/31/21")/-12</t>
  </si>
  <si>
    <t>=NL("sum","Item Ledger Entry","Quantity","Item No.",$D1260,"Entry Type","Sale|Consumption","posting date","01/01/22..12/31/22")/-12</t>
  </si>
  <si>
    <t>=NL("sum","Item Ledger Entry","Quantity","Item No.",$D1260,"Entry Type","Sale|Consumption","posting date","01/01/23..12/31/23")/$J$7</t>
  </si>
  <si>
    <t>=AVERAGE(I1260:J1260)</t>
  </si>
  <si>
    <t>=NL(1,"item",L$9,"no.",D1260)</t>
  </si>
  <si>
    <t>=NL(1,"item",M$9,"no.",$D1260)</t>
  </si>
  <si>
    <t>=NL(1,"item","Units Per Parcel","no.",$D1260)</t>
  </si>
  <si>
    <t>=NL(1,"Prod. BOM Equipment","Fixed Prod. Time (Hours)","Production BOM No.",$D1260,"version code",$E1260,"Resource No.",O$9)</t>
  </si>
  <si>
    <t>=1/O1260</t>
  </si>
  <si>
    <t>=IF(NL(1,"Prod. BOM Equipment","Variable Prod. Time (Hours)","Production BOM No.",$D1260,"version code",$E1260,"Resource No.",$O$9)="",1,NL(1,"Prod. BOM Equipment","Variable Prod. Time (Hours)","Production BOM No.",$D1260,"version code",$E1260,"Resource No.",$O$9))</t>
  </si>
  <si>
    <t>=1/Q1260</t>
  </si>
  <si>
    <t>=R1260*N1260</t>
  </si>
  <si>
    <t>=IF(K1261=0,"hide","")</t>
  </si>
  <si>
    <t>=D1260</t>
  </si>
  <si>
    <t>=NL("sum","Production Order","Quantity","Source No.",$D1261,"Equipment Code",$L1261,"due date",F$8)/-12</t>
  </si>
  <si>
    <t>=NL("sum","Production Order","Quantity","Source No.",$D1261,"Equipment Code",$L1261,"due date",G$8)/-12</t>
  </si>
  <si>
    <t>=NL("sum","Production Order","Quantity","Source No.",$D1261,"Equipment Code",$L1261,"due date",H$8)/-12</t>
  </si>
  <si>
    <t>=NL("sum","Production Order","Quantity","Source No.",$D1261,"Equipment Code",$L1261,"due date",I$8)/-12</t>
  </si>
  <si>
    <t>=NL("sum","Production Order","Quantity","Source No.",$D1261,"Equipment Code",$L1261,"due date",J$8)/$J$7</t>
  </si>
  <si>
    <t>=AVERAGE(I1261:J1261)</t>
  </si>
  <si>
    <t>=IF(K1262=0,"hide","")</t>
  </si>
  <si>
    <t>=D1261</t>
  </si>
  <si>
    <t>=NL("sum","Production Order","Quantity","Source No.",$D1262,"Equipment Code",$L1262,"due date",F$8)/-12</t>
  </si>
  <si>
    <t>=NL("sum","Production Order","Quantity","Source No.",$D1262,"Equipment Code",$L1262,"due date",G$8)/-12</t>
  </si>
  <si>
    <t>=NL("sum","Production Order","Quantity","Source No.",$D1262,"Equipment Code",$L1262,"due date",H$8)/-12</t>
  </si>
  <si>
    <t>=NL("sum","Production Order","Quantity","Source No.",$D1262,"Equipment Code",$L1262,"due date",I$8)/-12</t>
  </si>
  <si>
    <t>=NL("sum","Production Order","Quantity","Source No.",$D1262,"Equipment Code",$L1262,"due date",J$8)/$J$7</t>
  </si>
  <si>
    <t>=AVERAGE(I1262:J1262)</t>
  </si>
  <si>
    <t>=IF(K1263=0,"hide","")</t>
  </si>
  <si>
    <t>=D1262</t>
  </si>
  <si>
    <t>=NL("sum","Production Order","Quantity","Source No.",$D1263,"Equipment Code",$L1263,"due date",F$8)/-12</t>
  </si>
  <si>
    <t>=NL("sum","Production Order","Quantity","Source No.",$D1263,"Equipment Code",$L1263,"due date",G$8)/-12</t>
  </si>
  <si>
    <t>=NL("sum","Production Order","Quantity","Source No.",$D1263,"Equipment Code",$L1263,"due date",H$8)/-12</t>
  </si>
  <si>
    <t>=NL("sum","Production Order","Quantity","Source No.",$D1263,"Equipment Code",$L1263,"due date",I$8)/-12</t>
  </si>
  <si>
    <t>=NL("sum","Production Order","Quantity","Source No.",$D1263,"Equipment Code",$L1263,"due date",J$8)/$J$7</t>
  </si>
  <si>
    <t>=AVERAGE(I1263:J1263)</t>
  </si>
  <si>
    <t>=IF(K1264=0,"hide","")</t>
  </si>
  <si>
    <t>=D1263</t>
  </si>
  <si>
    <t>=NL("sum","Production Order","Quantity","Source No.",$D1264,"Equipment Code",$L1264,"due date",F$8)/-12</t>
  </si>
  <si>
    <t>=NL("sum","Production Order","Quantity","Source No.",$D1264,"Equipment Code",$L1264,"due date",G$8)/-12</t>
  </si>
  <si>
    <t>=NL("sum","Production Order","Quantity","Source No.",$D1264,"Equipment Code",$L1264,"due date",H$8)/-12</t>
  </si>
  <si>
    <t>=NL("sum","Production Order","Quantity","Source No.",$D1264,"Equipment Code",$L1264,"due date",I$8)/-12</t>
  </si>
  <si>
    <t>=NL("sum","Production Order","Quantity","Source No.",$D1264,"Equipment Code",$L1264,"due date",J$8)/$J$7</t>
  </si>
  <si>
    <t>=AVERAGE(I1264:J1264)</t>
  </si>
  <si>
    <t>=B1261</t>
  </si>
  <si>
    <t>=B1265</t>
  </si>
  <si>
    <t>=SUM(F1261:F1265)</t>
  </si>
  <si>
    <t>=SUM(G1261:G1265)</t>
  </si>
  <si>
    <t>=SUM(H1261:H1265)</t>
  </si>
  <si>
    <t>=SUM(I1261:I1265)</t>
  </si>
  <si>
    <t>=SUM(J1261:J1265)</t>
  </si>
  <si>
    <t>=IF(K1267=0,"hide","")</t>
  </si>
  <si>
    <t>="13629"</t>
  </si>
  <si>
    <t>=NL("rows","Production BOM Version","Version Code","Production BOM No.",D1267,"status","certified")</t>
  </si>
  <si>
    <t>=NL("sum","Item Ledger Entry","Quantity","Item No.",$D1267,"Entry Type","Sale|Consumption","posting date","01/01/19..12/31/19")/-12</t>
  </si>
  <si>
    <t>=NL("sum","Item Ledger Entry","Quantity","Item No.",$D1267,"Entry Type","Sale|Consumption","posting date","01/01/20..12/31/20")/-12</t>
  </si>
  <si>
    <t>=NL("sum","Item Ledger Entry","Quantity","Item No.",$D1267,"Entry Type","Sale|Consumption","posting date","01/01/21..12/31/21")/-12</t>
  </si>
  <si>
    <t>=NL("sum","Item Ledger Entry","Quantity","Item No.",$D1267,"Entry Type","Sale|Consumption","posting date","01/01/22..12/31/22")/-12</t>
  </si>
  <si>
    <t>=NL("sum","Item Ledger Entry","Quantity","Item No.",$D1267,"Entry Type","Sale|Consumption","posting date","01/01/23..12/31/23")/$J$7</t>
  </si>
  <si>
    <t>=AVERAGE(I1267:J1267)</t>
  </si>
  <si>
    <t>=NL(1,"item",L$9,"no.",D1267)</t>
  </si>
  <si>
    <t>=NL(1,"item",M$9,"no.",$D1267)</t>
  </si>
  <si>
    <t>=NL(1,"item","Units Per Parcel","no.",$D1267)</t>
  </si>
  <si>
    <t>=NL(1,"Prod. BOM Equipment","Fixed Prod. Time (Hours)","Production BOM No.",$D1267,"version code",$E1267,"Resource No.",O$9)</t>
  </si>
  <si>
    <t>=1/O1267</t>
  </si>
  <si>
    <t>=IF(NL(1,"Prod. BOM Equipment","Variable Prod. Time (Hours)","Production BOM No.",$D1267,"version code",$E1267,"Resource No.",$O$9)="",1,NL(1,"Prod. BOM Equipment","Variable Prod. Time (Hours)","Production BOM No.",$D1267,"version code",$E1267,"Resource No.",$O$9))</t>
  </si>
  <si>
    <t>=1/Q1267</t>
  </si>
  <si>
    <t>=R1267*N1267</t>
  </si>
  <si>
    <t>=IF(K1268=0,"hide","")</t>
  </si>
  <si>
    <t>=D1267</t>
  </si>
  <si>
    <t>=NL("sum","Production Order","Quantity","Source No.",$D1268,"Equipment Code",$L1268,"due date",F$8)/-12</t>
  </si>
  <si>
    <t>=NL("sum","Production Order","Quantity","Source No.",$D1268,"Equipment Code",$L1268,"due date",G$8)/-12</t>
  </si>
  <si>
    <t>=NL("sum","Production Order","Quantity","Source No.",$D1268,"Equipment Code",$L1268,"due date",H$8)/-12</t>
  </si>
  <si>
    <t>=NL("sum","Production Order","Quantity","Source No.",$D1268,"Equipment Code",$L1268,"due date",I$8)/-12</t>
  </si>
  <si>
    <t>=NL("sum","Production Order","Quantity","Source No.",$D1268,"Equipment Code",$L1268,"due date",J$8)/$J$7</t>
  </si>
  <si>
    <t>=AVERAGE(I1268:J1268)</t>
  </si>
  <si>
    <t>=IF(K1269=0,"hide","")</t>
  </si>
  <si>
    <t>=D1268</t>
  </si>
  <si>
    <t>=NL("sum","Production Order","Quantity","Source No.",$D1269,"Equipment Code",$L1269,"due date",F$8)/-12</t>
  </si>
  <si>
    <t>=NL("sum","Production Order","Quantity","Source No.",$D1269,"Equipment Code",$L1269,"due date",G$8)/-12</t>
  </si>
  <si>
    <t>=NL("sum","Production Order","Quantity","Source No.",$D1269,"Equipment Code",$L1269,"due date",H$8)/-12</t>
  </si>
  <si>
    <t>=NL("sum","Production Order","Quantity","Source No.",$D1269,"Equipment Code",$L1269,"due date",I$8)/-12</t>
  </si>
  <si>
    <t>=NL("sum","Production Order","Quantity","Source No.",$D1269,"Equipment Code",$L1269,"due date",J$8)/$J$7</t>
  </si>
  <si>
    <t>=AVERAGE(I1269:J1269)</t>
  </si>
  <si>
    <t>=IF(K1270=0,"hide","")</t>
  </si>
  <si>
    <t>=D1269</t>
  </si>
  <si>
    <t>=NL("sum","Production Order","Quantity","Source No.",$D1270,"Equipment Code",$L1270,"due date",F$8)/-12</t>
  </si>
  <si>
    <t>=NL("sum","Production Order","Quantity","Source No.",$D1270,"Equipment Code",$L1270,"due date",G$8)/-12</t>
  </si>
  <si>
    <t>=NL("sum","Production Order","Quantity","Source No.",$D1270,"Equipment Code",$L1270,"due date",H$8)/-12</t>
  </si>
  <si>
    <t>=NL("sum","Production Order","Quantity","Source No.",$D1270,"Equipment Code",$L1270,"due date",I$8)/-12</t>
  </si>
  <si>
    <t>=NL("sum","Production Order","Quantity","Source No.",$D1270,"Equipment Code",$L1270,"due date",J$8)/$J$7</t>
  </si>
  <si>
    <t>=AVERAGE(I1270:J1270)</t>
  </si>
  <si>
    <t>=IF(K1271=0,"hide","")</t>
  </si>
  <si>
    <t>=D1270</t>
  </si>
  <si>
    <t>=NL("sum","Production Order","Quantity","Source No.",$D1271,"Equipment Code",$L1271,"due date",F$8)/-12</t>
  </si>
  <si>
    <t>=NL("sum","Production Order","Quantity","Source No.",$D1271,"Equipment Code",$L1271,"due date",G$8)/-12</t>
  </si>
  <si>
    <t>=NL("sum","Production Order","Quantity","Source No.",$D1271,"Equipment Code",$L1271,"due date",H$8)/-12</t>
  </si>
  <si>
    <t>=NL("sum","Production Order","Quantity","Source No.",$D1271,"Equipment Code",$L1271,"due date",I$8)/-12</t>
  </si>
  <si>
    <t>=NL("sum","Production Order","Quantity","Source No.",$D1271,"Equipment Code",$L1271,"due date",J$8)/$J$7</t>
  </si>
  <si>
    <t>=AVERAGE(I1271:J1271)</t>
  </si>
  <si>
    <t>=B1268</t>
  </si>
  <si>
    <t>=B1272</t>
  </si>
  <si>
    <t>=SUM(F1268:F1272)</t>
  </si>
  <si>
    <t>=SUM(G1268:G1272)</t>
  </si>
  <si>
    <t>=SUM(H1268:H1272)</t>
  </si>
  <si>
    <t>=SUM(I1268:I1272)</t>
  </si>
  <si>
    <t>=SUM(J1268:J1272)</t>
  </si>
  <si>
    <t>=IF(K1274=0,"hide","")</t>
  </si>
  <si>
    <t>=NL("rows","Production BOM Version","Version Code","Production BOM No.",D1274,"status","certified")</t>
  </si>
  <si>
    <t>=NL("sum","Item Ledger Entry","Quantity","Item No.",$D1274,"Entry Type","Sale|Consumption","posting date","01/01/19..12/31/19")/-12</t>
  </si>
  <si>
    <t>=NL("sum","Item Ledger Entry","Quantity","Item No.",$D1274,"Entry Type","Sale|Consumption","posting date","01/01/20..12/31/20")/-12</t>
  </si>
  <si>
    <t>=NL("sum","Item Ledger Entry","Quantity","Item No.",$D1274,"Entry Type","Sale|Consumption","posting date","01/01/21..12/31/21")/-12</t>
  </si>
  <si>
    <t>=NL("sum","Item Ledger Entry","Quantity","Item No.",$D1274,"Entry Type","Sale|Consumption","posting date","01/01/22..12/31/22")/-12</t>
  </si>
  <si>
    <t>=NL("sum","Item Ledger Entry","Quantity","Item No.",$D1274,"Entry Type","Sale|Consumption","posting date","01/01/23..12/31/23")/$J$7</t>
  </si>
  <si>
    <t>=AVERAGE(I1274:J1274)</t>
  </si>
  <si>
    <t>=NL(1,"item",L$9,"no.",D1274)</t>
  </si>
  <si>
    <t>=NL(1,"item",M$9,"no.",$D1274)</t>
  </si>
  <si>
    <t>=NL(1,"item","Units Per Parcel","no.",$D1274)</t>
  </si>
  <si>
    <t>=NL(1,"Prod. BOM Equipment","Fixed Prod. Time (Hours)","Production BOM No.",$D1274,"version code",$E1274,"Resource No.",O$9)</t>
  </si>
  <si>
    <t>=1/O1274</t>
  </si>
  <si>
    <t>=IF(NL(1,"Prod. BOM Equipment","Variable Prod. Time (Hours)","Production BOM No.",$D1274,"version code",$E1274,"Resource No.",$O$9)="",1,NL(1,"Prod. BOM Equipment","Variable Prod. Time (Hours)","Production BOM No.",$D1274,"version code",$E1274,"Resource No.",$O$9))</t>
  </si>
  <si>
    <t>=1/Q1274</t>
  </si>
  <si>
    <t>=R1274*N1274</t>
  </si>
  <si>
    <t>=IF(K1275=0,"hide","")</t>
  </si>
  <si>
    <t>=D1274</t>
  </si>
  <si>
    <t>=NL("sum","Production Order","Quantity","Source No.",$D1275,"Equipment Code",$L1275,"due date",F$8)/-12</t>
  </si>
  <si>
    <t>=NL("sum","Production Order","Quantity","Source No.",$D1275,"Equipment Code",$L1275,"due date",G$8)/-12</t>
  </si>
  <si>
    <t>=NL("sum","Production Order","Quantity","Source No.",$D1275,"Equipment Code",$L1275,"due date",H$8)/-12</t>
  </si>
  <si>
    <t>=NL("sum","Production Order","Quantity","Source No.",$D1275,"Equipment Code",$L1275,"due date",I$8)/-12</t>
  </si>
  <si>
    <t>=NL("sum","Production Order","Quantity","Source No.",$D1275,"Equipment Code",$L1275,"due date",J$8)/$J$7</t>
  </si>
  <si>
    <t>=AVERAGE(I1275:J1275)</t>
  </si>
  <si>
    <t>=IF(K1276=0,"hide","")</t>
  </si>
  <si>
    <t>=D1275</t>
  </si>
  <si>
    <t>=NL("sum","Production Order","Quantity","Source No.",$D1276,"Equipment Code",$L1276,"due date",F$8)/-12</t>
  </si>
  <si>
    <t>=NL("sum","Production Order","Quantity","Source No.",$D1276,"Equipment Code",$L1276,"due date",G$8)/-12</t>
  </si>
  <si>
    <t>=NL("sum","Production Order","Quantity","Source No.",$D1276,"Equipment Code",$L1276,"due date",H$8)/-12</t>
  </si>
  <si>
    <t>=NL("sum","Production Order","Quantity","Source No.",$D1276,"Equipment Code",$L1276,"due date",I$8)/-12</t>
  </si>
  <si>
    <t>=NL("sum","Production Order","Quantity","Source No.",$D1276,"Equipment Code",$L1276,"due date",J$8)/$J$7</t>
  </si>
  <si>
    <t>=AVERAGE(I1276:J1276)</t>
  </si>
  <si>
    <t>=IF(K1277=0,"hide","")</t>
  </si>
  <si>
    <t>=D1276</t>
  </si>
  <si>
    <t>=NL("sum","Production Order","Quantity","Source No.",$D1277,"Equipment Code",$L1277,"due date",F$8)/-12</t>
  </si>
  <si>
    <t>=NL("sum","Production Order","Quantity","Source No.",$D1277,"Equipment Code",$L1277,"due date",G$8)/-12</t>
  </si>
  <si>
    <t>=NL("sum","Production Order","Quantity","Source No.",$D1277,"Equipment Code",$L1277,"due date",H$8)/-12</t>
  </si>
  <si>
    <t>=NL("sum","Production Order","Quantity","Source No.",$D1277,"Equipment Code",$L1277,"due date",I$8)/-12</t>
  </si>
  <si>
    <t>=NL("sum","Production Order","Quantity","Source No.",$D1277,"Equipment Code",$L1277,"due date",J$8)/$J$7</t>
  </si>
  <si>
    <t>=AVERAGE(I1277:J1277)</t>
  </si>
  <si>
    <t>=IF(K1278=0,"hide","")</t>
  </si>
  <si>
    <t>=D1277</t>
  </si>
  <si>
    <t>=NL("sum","Production Order","Quantity","Source No.",$D1278,"Equipment Code",$L1278,"due date",F$8)/-12</t>
  </si>
  <si>
    <t>=NL("sum","Production Order","Quantity","Source No.",$D1278,"Equipment Code",$L1278,"due date",G$8)/-12</t>
  </si>
  <si>
    <t>=NL("sum","Production Order","Quantity","Source No.",$D1278,"Equipment Code",$L1278,"due date",H$8)/-12</t>
  </si>
  <si>
    <t>=NL("sum","Production Order","Quantity","Source No.",$D1278,"Equipment Code",$L1278,"due date",I$8)/-12</t>
  </si>
  <si>
    <t>=NL("sum","Production Order","Quantity","Source No.",$D1278,"Equipment Code",$L1278,"due date",J$8)/$J$7</t>
  </si>
  <si>
    <t>=AVERAGE(I1278:J1278)</t>
  </si>
  <si>
    <t>=B1275</t>
  </si>
  <si>
    <t>=B1279</t>
  </si>
  <si>
    <t>=SUM(F1275:F1279)</t>
  </si>
  <si>
    <t>=SUM(G1275:G1279)</t>
  </si>
  <si>
    <t>=SUM(H1275:H1279)</t>
  </si>
  <si>
    <t>=SUM(I1275:I1279)</t>
  </si>
  <si>
    <t>=SUM(J1275:J1279)</t>
  </si>
  <si>
    <t>=IF(K1281=0,"hide","")</t>
  </si>
  <si>
    <t>=NL("rows","Production BOM Version","Version Code","Production BOM No.",D1281,"status","certified")</t>
  </si>
  <si>
    <t>=NL("sum","Item Ledger Entry","Quantity","Item No.",$D1281,"Entry Type","Sale|Consumption","posting date","01/01/19..12/31/19")/-12</t>
  </si>
  <si>
    <t>=NL("sum","Item Ledger Entry","Quantity","Item No.",$D1281,"Entry Type","Sale|Consumption","posting date","01/01/20..12/31/20")/-12</t>
  </si>
  <si>
    <t>=NL("sum","Item Ledger Entry","Quantity","Item No.",$D1281,"Entry Type","Sale|Consumption","posting date","01/01/21..12/31/21")/-12</t>
  </si>
  <si>
    <t>=NL("sum","Item Ledger Entry","Quantity","Item No.",$D1281,"Entry Type","Sale|Consumption","posting date","01/01/22..12/31/22")/-12</t>
  </si>
  <si>
    <t>=NL("sum","Item Ledger Entry","Quantity","Item No.",$D1281,"Entry Type","Sale|Consumption","posting date","01/01/23..12/31/23")/$J$7</t>
  </si>
  <si>
    <t>=AVERAGE(I1281:J1281)</t>
  </si>
  <si>
    <t>=NL(1,"item",L$9,"no.",D1281)</t>
  </si>
  <si>
    <t>=NL(1,"item",M$9,"no.",$D1281)</t>
  </si>
  <si>
    <t>=NL(1,"item","Units Per Parcel","no.",$D1281)</t>
  </si>
  <si>
    <t>=NL(1,"Prod. BOM Equipment","Fixed Prod. Time (Hours)","Production BOM No.",$D1281,"version code",$E1281,"Resource No.",O$9)</t>
  </si>
  <si>
    <t>=1/O1281</t>
  </si>
  <si>
    <t>=IF(NL(1,"Prod. BOM Equipment","Variable Prod. Time (Hours)","Production BOM No.",$D1281,"version code",$E1281,"Resource No.",$O$9)="",1,NL(1,"Prod. BOM Equipment","Variable Prod. Time (Hours)","Production BOM No.",$D1281,"version code",$E1281,"Resource No.",$O$9))</t>
  </si>
  <si>
    <t>=1/Q1281</t>
  </si>
  <si>
    <t>=R1281*N1281</t>
  </si>
  <si>
    <t>=IF(K1282=0,"hide","")</t>
  </si>
  <si>
    <t>=D1281</t>
  </si>
  <si>
    <t>=NL("sum","Production Order","Quantity","Source No.",$D1282,"Equipment Code",$L1282,"due date",F$8)/-12</t>
  </si>
  <si>
    <t>=NL("sum","Production Order","Quantity","Source No.",$D1282,"Equipment Code",$L1282,"due date",G$8)/-12</t>
  </si>
  <si>
    <t>=NL("sum","Production Order","Quantity","Source No.",$D1282,"Equipment Code",$L1282,"due date",H$8)/-12</t>
  </si>
  <si>
    <t>=NL("sum","Production Order","Quantity","Source No.",$D1282,"Equipment Code",$L1282,"due date",I$8)/-12</t>
  </si>
  <si>
    <t>=NL("sum","Production Order","Quantity","Source No.",$D1282,"Equipment Code",$L1282,"due date",J$8)/$J$7</t>
  </si>
  <si>
    <t>=AVERAGE(I1282:J1282)</t>
  </si>
  <si>
    <t>=IF(K1283=0,"hide","")</t>
  </si>
  <si>
    <t>=D1282</t>
  </si>
  <si>
    <t>=NL("sum","Production Order","Quantity","Source No.",$D1283,"Equipment Code",$L1283,"due date",F$8)/-12</t>
  </si>
  <si>
    <t>=NL("sum","Production Order","Quantity","Source No.",$D1283,"Equipment Code",$L1283,"due date",G$8)/-12</t>
  </si>
  <si>
    <t>=NL("sum","Production Order","Quantity","Source No.",$D1283,"Equipment Code",$L1283,"due date",H$8)/-12</t>
  </si>
  <si>
    <t>=NL("sum","Production Order","Quantity","Source No.",$D1283,"Equipment Code",$L1283,"due date",I$8)/-12</t>
  </si>
  <si>
    <t>=NL("sum","Production Order","Quantity","Source No.",$D1283,"Equipment Code",$L1283,"due date",J$8)/$J$7</t>
  </si>
  <si>
    <t>=AVERAGE(I1283:J1283)</t>
  </si>
  <si>
    <t>=IF(K1284=0,"hide","")</t>
  </si>
  <si>
    <t>=D1283</t>
  </si>
  <si>
    <t>=NL("sum","Production Order","Quantity","Source No.",$D1284,"Equipment Code",$L1284,"due date",F$8)/-12</t>
  </si>
  <si>
    <t>=NL("sum","Production Order","Quantity","Source No.",$D1284,"Equipment Code",$L1284,"due date",G$8)/-12</t>
  </si>
  <si>
    <t>=NL("sum","Production Order","Quantity","Source No.",$D1284,"Equipment Code",$L1284,"due date",H$8)/-12</t>
  </si>
  <si>
    <t>=NL("sum","Production Order","Quantity","Source No.",$D1284,"Equipment Code",$L1284,"due date",I$8)/-12</t>
  </si>
  <si>
    <t>=NL("sum","Production Order","Quantity","Source No.",$D1284,"Equipment Code",$L1284,"due date",J$8)/$J$7</t>
  </si>
  <si>
    <t>=AVERAGE(I1284:J1284)</t>
  </si>
  <si>
    <t>=IF(K1285=0,"hide","")</t>
  </si>
  <si>
    <t>=D1284</t>
  </si>
  <si>
    <t>=NL("sum","Production Order","Quantity","Source No.",$D1285,"Equipment Code",$L1285,"due date",F$8)/-12</t>
  </si>
  <si>
    <t>=NL("sum","Production Order","Quantity","Source No.",$D1285,"Equipment Code",$L1285,"due date",G$8)/-12</t>
  </si>
  <si>
    <t>=NL("sum","Production Order","Quantity","Source No.",$D1285,"Equipment Code",$L1285,"due date",H$8)/-12</t>
  </si>
  <si>
    <t>=NL("sum","Production Order","Quantity","Source No.",$D1285,"Equipment Code",$L1285,"due date",I$8)/-12</t>
  </si>
  <si>
    <t>=NL("sum","Production Order","Quantity","Source No.",$D1285,"Equipment Code",$L1285,"due date",J$8)/$J$7</t>
  </si>
  <si>
    <t>=AVERAGE(I1285:J1285)</t>
  </si>
  <si>
    <t>=B1282</t>
  </si>
  <si>
    <t>=B1286</t>
  </si>
  <si>
    <t>=SUM(F1282:F1286)</t>
  </si>
  <si>
    <t>=SUM(G1282:G1286)</t>
  </si>
  <si>
    <t>=SUM(H1282:H1286)</t>
  </si>
  <si>
    <t>=SUM(I1282:I1286)</t>
  </si>
  <si>
    <t>=SUM(J1282:J1286)</t>
  </si>
  <si>
    <t>=IF(K1288=0,"hide","")</t>
  </si>
  <si>
    <t>="14328"</t>
  </si>
  <si>
    <t>=NL("rows","Production BOM Version","Version Code","Production BOM No.",D1288,"status","certified")</t>
  </si>
  <si>
    <t>=NL("sum","Item Ledger Entry","Quantity","Item No.",$D1288,"Entry Type","Sale|Consumption","posting date","01/01/19..12/31/19")/-12</t>
  </si>
  <si>
    <t>=NL("sum","Item Ledger Entry","Quantity","Item No.",$D1288,"Entry Type","Sale|Consumption","posting date","01/01/20..12/31/20")/-12</t>
  </si>
  <si>
    <t>=NL("sum","Item Ledger Entry","Quantity","Item No.",$D1288,"Entry Type","Sale|Consumption","posting date","01/01/21..12/31/21")/-12</t>
  </si>
  <si>
    <t>=NL("sum","Item Ledger Entry","Quantity","Item No.",$D1288,"Entry Type","Sale|Consumption","posting date","01/01/22..12/31/22")/-12</t>
  </si>
  <si>
    <t>=NL("sum","Item Ledger Entry","Quantity","Item No.",$D1288,"Entry Type","Sale|Consumption","posting date","01/01/23..12/31/23")/$J$7</t>
  </si>
  <si>
    <t>=AVERAGE(I1288:J1288)</t>
  </si>
  <si>
    <t>=NL(1,"item",L$9,"no.",D1288)</t>
  </si>
  <si>
    <t>=NL(1,"item",M$9,"no.",$D1288)</t>
  </si>
  <si>
    <t>=NL(1,"item","Units Per Parcel","no.",$D1288)</t>
  </si>
  <si>
    <t>=NL(1,"Prod. BOM Equipment","Fixed Prod. Time (Hours)","Production BOM No.",$D1288,"version code",$E1288,"Resource No.",O$9)</t>
  </si>
  <si>
    <t>=1/O1288</t>
  </si>
  <si>
    <t>=IF(NL(1,"Prod. BOM Equipment","Variable Prod. Time (Hours)","Production BOM No.",$D1288,"version code",$E1288,"Resource No.",$O$9)="",1,NL(1,"Prod. BOM Equipment","Variable Prod. Time (Hours)","Production BOM No.",$D1288,"version code",$E1288,"Resource No.",$O$9))</t>
  </si>
  <si>
    <t>=1/Q1288</t>
  </si>
  <si>
    <t>=R1288*N1288</t>
  </si>
  <si>
    <t>=IF(K1289=0,"hide","")</t>
  </si>
  <si>
    <t>=D1288</t>
  </si>
  <si>
    <t>=NL("sum","Production Order","Quantity","Source No.",$D1289,"Equipment Code",$L1289,"due date",F$8)/-12</t>
  </si>
  <si>
    <t>=NL("sum","Production Order","Quantity","Source No.",$D1289,"Equipment Code",$L1289,"due date",G$8)/-12</t>
  </si>
  <si>
    <t>=NL("sum","Production Order","Quantity","Source No.",$D1289,"Equipment Code",$L1289,"due date",H$8)/-12</t>
  </si>
  <si>
    <t>=NL("sum","Production Order","Quantity","Source No.",$D1289,"Equipment Code",$L1289,"due date",I$8)/-12</t>
  </si>
  <si>
    <t>=NL("sum","Production Order","Quantity","Source No.",$D1289,"Equipment Code",$L1289,"due date",J$8)/$J$7</t>
  </si>
  <si>
    <t>=AVERAGE(I1289:J1289)</t>
  </si>
  <si>
    <t>=IF(K1290=0,"hide","")</t>
  </si>
  <si>
    <t>=D1289</t>
  </si>
  <si>
    <t>=NL("sum","Production Order","Quantity","Source No.",$D1290,"Equipment Code",$L1290,"due date",F$8)/-12</t>
  </si>
  <si>
    <t>=NL("sum","Production Order","Quantity","Source No.",$D1290,"Equipment Code",$L1290,"due date",G$8)/-12</t>
  </si>
  <si>
    <t>=NL("sum","Production Order","Quantity","Source No.",$D1290,"Equipment Code",$L1290,"due date",H$8)/-12</t>
  </si>
  <si>
    <t>=NL("sum","Production Order","Quantity","Source No.",$D1290,"Equipment Code",$L1290,"due date",I$8)/-12</t>
  </si>
  <si>
    <t>=NL("sum","Production Order","Quantity","Source No.",$D1290,"Equipment Code",$L1290,"due date",J$8)/$J$7</t>
  </si>
  <si>
    <t>=AVERAGE(I1290:J1290)</t>
  </si>
  <si>
    <t>=IF(K1291=0,"hide","")</t>
  </si>
  <si>
    <t>=D1290</t>
  </si>
  <si>
    <t>=NL("sum","Production Order","Quantity","Source No.",$D1291,"Equipment Code",$L1291,"due date",F$8)/-12</t>
  </si>
  <si>
    <t>=NL("sum","Production Order","Quantity","Source No.",$D1291,"Equipment Code",$L1291,"due date",G$8)/-12</t>
  </si>
  <si>
    <t>=NL("sum","Production Order","Quantity","Source No.",$D1291,"Equipment Code",$L1291,"due date",H$8)/-12</t>
  </si>
  <si>
    <t>=NL("sum","Production Order","Quantity","Source No.",$D1291,"Equipment Code",$L1291,"due date",I$8)/-12</t>
  </si>
  <si>
    <t>=NL("sum","Production Order","Quantity","Source No.",$D1291,"Equipment Code",$L1291,"due date",J$8)/$J$7</t>
  </si>
  <si>
    <t>=AVERAGE(I1291:J1291)</t>
  </si>
  <si>
    <t>=IF(K1292=0,"hide","")</t>
  </si>
  <si>
    <t>=D1291</t>
  </si>
  <si>
    <t>=NL("sum","Production Order","Quantity","Source No.",$D1292,"Equipment Code",$L1292,"due date",F$8)/-12</t>
  </si>
  <si>
    <t>=NL("sum","Production Order","Quantity","Source No.",$D1292,"Equipment Code",$L1292,"due date",G$8)/-12</t>
  </si>
  <si>
    <t>=NL("sum","Production Order","Quantity","Source No.",$D1292,"Equipment Code",$L1292,"due date",H$8)/-12</t>
  </si>
  <si>
    <t>=NL("sum","Production Order","Quantity","Source No.",$D1292,"Equipment Code",$L1292,"due date",I$8)/-12</t>
  </si>
  <si>
    <t>=NL("sum","Production Order","Quantity","Source No.",$D1292,"Equipment Code",$L1292,"due date",J$8)/$J$7</t>
  </si>
  <si>
    <t>=AVERAGE(I1292:J1292)</t>
  </si>
  <si>
    <t>=B1289</t>
  </si>
  <si>
    <t>=B1293</t>
  </si>
  <si>
    <t>=SUM(F1289:F1293)</t>
  </si>
  <si>
    <t>=SUM(G1289:G1293)</t>
  </si>
  <si>
    <t>=SUM(H1289:H1293)</t>
  </si>
  <si>
    <t>=SUM(I1289:I1293)</t>
  </si>
  <si>
    <t>=SUM(J1289:J1293)</t>
  </si>
  <si>
    <t>=IF(K1295=0,"hide","")</t>
  </si>
  <si>
    <t>="14358"</t>
  </si>
  <si>
    <t>=NL("rows","Production BOM Version","Version Code","Production BOM No.",D1295,"status","certified")</t>
  </si>
  <si>
    <t>=NL("sum","Item Ledger Entry","Quantity","Item No.",$D1295,"Entry Type","Sale|Consumption","posting date","01/01/19..12/31/19")/-12</t>
  </si>
  <si>
    <t>=NL("sum","Item Ledger Entry","Quantity","Item No.",$D1295,"Entry Type","Sale|Consumption","posting date","01/01/20..12/31/20")/-12</t>
  </si>
  <si>
    <t>=NL("sum","Item Ledger Entry","Quantity","Item No.",$D1295,"Entry Type","Sale|Consumption","posting date","01/01/21..12/31/21")/-12</t>
  </si>
  <si>
    <t>=NL("sum","Item Ledger Entry","Quantity","Item No.",$D1295,"Entry Type","Sale|Consumption","posting date","01/01/22..12/31/22")/-12</t>
  </si>
  <si>
    <t>=NL("sum","Item Ledger Entry","Quantity","Item No.",$D1295,"Entry Type","Sale|Consumption","posting date","01/01/23..12/31/23")/$J$7</t>
  </si>
  <si>
    <t>=AVERAGE(I1295:J1295)</t>
  </si>
  <si>
    <t>=NL(1,"item",L$9,"no.",D1295)</t>
  </si>
  <si>
    <t>=NL(1,"item",M$9,"no.",$D1295)</t>
  </si>
  <si>
    <t>=NL(1,"item","Units Per Parcel","no.",$D1295)</t>
  </si>
  <si>
    <t>=NL(1,"Prod. BOM Equipment","Fixed Prod. Time (Hours)","Production BOM No.",$D1295,"version code",$E1295,"Resource No.",O$9)</t>
  </si>
  <si>
    <t>=1/O1295</t>
  </si>
  <si>
    <t>=IF(NL(1,"Prod. BOM Equipment","Variable Prod. Time (Hours)","Production BOM No.",$D1295,"version code",$E1295,"Resource No.",$O$9)="",1,NL(1,"Prod. BOM Equipment","Variable Prod. Time (Hours)","Production BOM No.",$D1295,"version code",$E1295,"Resource No.",$O$9))</t>
  </si>
  <si>
    <t>=1/Q1295</t>
  </si>
  <si>
    <t>=R1295*N1295</t>
  </si>
  <si>
    <t>=IF(K1296=0,"hide","")</t>
  </si>
  <si>
    <t>=D1295</t>
  </si>
  <si>
    <t>=NL("sum","Production Order","Quantity","Source No.",$D1296,"Equipment Code",$L1296,"due date",F$8)/-12</t>
  </si>
  <si>
    <t>=NL("sum","Production Order","Quantity","Source No.",$D1296,"Equipment Code",$L1296,"due date",G$8)/-12</t>
  </si>
  <si>
    <t>=NL("sum","Production Order","Quantity","Source No.",$D1296,"Equipment Code",$L1296,"due date",H$8)/-12</t>
  </si>
  <si>
    <t>=NL("sum","Production Order","Quantity","Source No.",$D1296,"Equipment Code",$L1296,"due date",I$8)/-12</t>
  </si>
  <si>
    <t>=NL("sum","Production Order","Quantity","Source No.",$D1296,"Equipment Code",$L1296,"due date",J$8)/$J$7</t>
  </si>
  <si>
    <t>=AVERAGE(I1296:J1296)</t>
  </si>
  <si>
    <t>=IF(K1297=0,"hide","")</t>
  </si>
  <si>
    <t>=D1296</t>
  </si>
  <si>
    <t>=NL("sum","Production Order","Quantity","Source No.",$D1297,"Equipment Code",$L1297,"due date",F$8)/-12</t>
  </si>
  <si>
    <t>=NL("sum","Production Order","Quantity","Source No.",$D1297,"Equipment Code",$L1297,"due date",G$8)/-12</t>
  </si>
  <si>
    <t>=NL("sum","Production Order","Quantity","Source No.",$D1297,"Equipment Code",$L1297,"due date",H$8)/-12</t>
  </si>
  <si>
    <t>=NL("sum","Production Order","Quantity","Source No.",$D1297,"Equipment Code",$L1297,"due date",I$8)/-12</t>
  </si>
  <si>
    <t>=NL("sum","Production Order","Quantity","Source No.",$D1297,"Equipment Code",$L1297,"due date",J$8)/$J$7</t>
  </si>
  <si>
    <t>=AVERAGE(I1297:J1297)</t>
  </si>
  <si>
    <t>=IF(K1298=0,"hide","")</t>
  </si>
  <si>
    <t>=D1297</t>
  </si>
  <si>
    <t>=NL("sum","Production Order","Quantity","Source No.",$D1298,"Equipment Code",$L1298,"due date",F$8)/-12</t>
  </si>
  <si>
    <t>=NL("sum","Production Order","Quantity","Source No.",$D1298,"Equipment Code",$L1298,"due date",G$8)/-12</t>
  </si>
  <si>
    <t>=NL("sum","Production Order","Quantity","Source No.",$D1298,"Equipment Code",$L1298,"due date",H$8)/-12</t>
  </si>
  <si>
    <t>=NL("sum","Production Order","Quantity","Source No.",$D1298,"Equipment Code",$L1298,"due date",I$8)/-12</t>
  </si>
  <si>
    <t>=NL("sum","Production Order","Quantity","Source No.",$D1298,"Equipment Code",$L1298,"due date",J$8)/$J$7</t>
  </si>
  <si>
    <t>=AVERAGE(I1298:J1298)</t>
  </si>
  <si>
    <t>=IF(K1299=0,"hide","")</t>
  </si>
  <si>
    <t>=D1298</t>
  </si>
  <si>
    <t>=NL("sum","Production Order","Quantity","Source No.",$D1299,"Equipment Code",$L1299,"due date",F$8)/-12</t>
  </si>
  <si>
    <t>=NL("sum","Production Order","Quantity","Source No.",$D1299,"Equipment Code",$L1299,"due date",G$8)/-12</t>
  </si>
  <si>
    <t>=NL("sum","Production Order","Quantity","Source No.",$D1299,"Equipment Code",$L1299,"due date",H$8)/-12</t>
  </si>
  <si>
    <t>=NL("sum","Production Order","Quantity","Source No.",$D1299,"Equipment Code",$L1299,"due date",I$8)/-12</t>
  </si>
  <si>
    <t>=NL("sum","Production Order","Quantity","Source No.",$D1299,"Equipment Code",$L1299,"due date",J$8)/$J$7</t>
  </si>
  <si>
    <t>=AVERAGE(I1299:J1299)</t>
  </si>
  <si>
    <t>=B1296</t>
  </si>
  <si>
    <t>=B1300</t>
  </si>
  <si>
    <t>=SUM(F1296:F1300)</t>
  </si>
  <si>
    <t>=SUM(G1296:G1300)</t>
  </si>
  <si>
    <t>=SUM(H1296:H1300)</t>
  </si>
  <si>
    <t>=SUM(I1296:I1300)</t>
  </si>
  <si>
    <t>=SUM(J1296:J1300)</t>
  </si>
  <si>
    <t>=IF(K1302=0,"hide","")</t>
  </si>
  <si>
    <t>="14801"</t>
  </si>
  <si>
    <t>=NL("rows","Production BOM Version","Version Code","Production BOM No.",D1302,"status","certified")</t>
  </si>
  <si>
    <t>=NL("sum","Item Ledger Entry","Quantity","Item No.",$D1302,"Entry Type","Sale|Consumption","posting date","01/01/19..12/31/19")/-12</t>
  </si>
  <si>
    <t>=NL("sum","Item Ledger Entry","Quantity","Item No.",$D1302,"Entry Type","Sale|Consumption","posting date","01/01/20..12/31/20")/-12</t>
  </si>
  <si>
    <t>=NL("sum","Item Ledger Entry","Quantity","Item No.",$D1302,"Entry Type","Sale|Consumption","posting date","01/01/21..12/31/21")/-12</t>
  </si>
  <si>
    <t>=NL("sum","Item Ledger Entry","Quantity","Item No.",$D1302,"Entry Type","Sale|Consumption","posting date","01/01/22..12/31/22")/-12</t>
  </si>
  <si>
    <t>=NL("sum","Item Ledger Entry","Quantity","Item No.",$D1302,"Entry Type","Sale|Consumption","posting date","01/01/23..12/31/23")/$J$7</t>
  </si>
  <si>
    <t>=AVERAGE(I1302:J1302)</t>
  </si>
  <si>
    <t>=NL(1,"item",L$9,"no.",D1302)</t>
  </si>
  <si>
    <t>=NL(1,"item",M$9,"no.",$D1302)</t>
  </si>
  <si>
    <t>=NL(1,"item","Units Per Parcel","no.",$D1302)</t>
  </si>
  <si>
    <t>=NL(1,"Prod. BOM Equipment","Fixed Prod. Time (Hours)","Production BOM No.",$D1302,"version code",$E1302,"Resource No.",O$9)</t>
  </si>
  <si>
    <t>=1/O1302</t>
  </si>
  <si>
    <t>=IF(NL(1,"Prod. BOM Equipment","Variable Prod. Time (Hours)","Production BOM No.",$D1302,"version code",$E1302,"Resource No.",$O$9)="",1,NL(1,"Prod. BOM Equipment","Variable Prod. Time (Hours)","Production BOM No.",$D1302,"version code",$E1302,"Resource No.",$O$9))</t>
  </si>
  <si>
    <t>=1/Q1302</t>
  </si>
  <si>
    <t>=R1302*N1302</t>
  </si>
  <si>
    <t>=IF(K1303=0,"hide","")</t>
  </si>
  <si>
    <t>=D1302</t>
  </si>
  <si>
    <t>=NL("sum","Production Order","Quantity","Source No.",$D1303,"Equipment Code",$L1303,"due date",F$8)/-12</t>
  </si>
  <si>
    <t>=NL("sum","Production Order","Quantity","Source No.",$D1303,"Equipment Code",$L1303,"due date",G$8)/-12</t>
  </si>
  <si>
    <t>=NL("sum","Production Order","Quantity","Source No.",$D1303,"Equipment Code",$L1303,"due date",H$8)/-12</t>
  </si>
  <si>
    <t>=NL("sum","Production Order","Quantity","Source No.",$D1303,"Equipment Code",$L1303,"due date",I$8)/-12</t>
  </si>
  <si>
    <t>=NL("sum","Production Order","Quantity","Source No.",$D1303,"Equipment Code",$L1303,"due date",J$8)/$J$7</t>
  </si>
  <si>
    <t>=AVERAGE(I1303:J1303)</t>
  </si>
  <si>
    <t>=IF(K1304=0,"hide","")</t>
  </si>
  <si>
    <t>=D1303</t>
  </si>
  <si>
    <t>=NL("sum","Production Order","Quantity","Source No.",$D1304,"Equipment Code",$L1304,"due date",F$8)/-12</t>
  </si>
  <si>
    <t>=NL("sum","Production Order","Quantity","Source No.",$D1304,"Equipment Code",$L1304,"due date",G$8)/-12</t>
  </si>
  <si>
    <t>=NL("sum","Production Order","Quantity","Source No.",$D1304,"Equipment Code",$L1304,"due date",H$8)/-12</t>
  </si>
  <si>
    <t>=NL("sum","Production Order","Quantity","Source No.",$D1304,"Equipment Code",$L1304,"due date",I$8)/-12</t>
  </si>
  <si>
    <t>=NL("sum","Production Order","Quantity","Source No.",$D1304,"Equipment Code",$L1304,"due date",J$8)/$J$7</t>
  </si>
  <si>
    <t>=AVERAGE(I1304:J1304)</t>
  </si>
  <si>
    <t>=IF(K1305=0,"hide","")</t>
  </si>
  <si>
    <t>=D1304</t>
  </si>
  <si>
    <t>=NL("sum","Production Order","Quantity","Source No.",$D1305,"Equipment Code",$L1305,"due date",F$8)/-12</t>
  </si>
  <si>
    <t>=NL("sum","Production Order","Quantity","Source No.",$D1305,"Equipment Code",$L1305,"due date",G$8)/-12</t>
  </si>
  <si>
    <t>=NL("sum","Production Order","Quantity","Source No.",$D1305,"Equipment Code",$L1305,"due date",H$8)/-12</t>
  </si>
  <si>
    <t>=NL("sum","Production Order","Quantity","Source No.",$D1305,"Equipment Code",$L1305,"due date",I$8)/-12</t>
  </si>
  <si>
    <t>=NL("sum","Production Order","Quantity","Source No.",$D1305,"Equipment Code",$L1305,"due date",J$8)/$J$7</t>
  </si>
  <si>
    <t>=AVERAGE(I1305:J1305)</t>
  </si>
  <si>
    <t>=IF(K1306=0,"hide","")</t>
  </si>
  <si>
    <t>=D1305</t>
  </si>
  <si>
    <t>=NL("sum","Production Order","Quantity","Source No.",$D1306,"Equipment Code",$L1306,"due date",F$8)/-12</t>
  </si>
  <si>
    <t>=NL("sum","Production Order","Quantity","Source No.",$D1306,"Equipment Code",$L1306,"due date",G$8)/-12</t>
  </si>
  <si>
    <t>=NL("sum","Production Order","Quantity","Source No.",$D1306,"Equipment Code",$L1306,"due date",H$8)/-12</t>
  </si>
  <si>
    <t>=NL("sum","Production Order","Quantity","Source No.",$D1306,"Equipment Code",$L1306,"due date",I$8)/-12</t>
  </si>
  <si>
    <t>=NL("sum","Production Order","Quantity","Source No.",$D1306,"Equipment Code",$L1306,"due date",J$8)/$J$7</t>
  </si>
  <si>
    <t>=AVERAGE(I1306:J1306)</t>
  </si>
  <si>
    <t>=B1303</t>
  </si>
  <si>
    <t>=B1307</t>
  </si>
  <si>
    <t>=SUM(F1303:F1307)</t>
  </si>
  <si>
    <t>=SUM(G1303:G1307)</t>
  </si>
  <si>
    <t>=SUM(H1303:H1307)</t>
  </si>
  <si>
    <t>=SUM(I1303:I1307)</t>
  </si>
  <si>
    <t>=SUM(J1303:J1307)</t>
  </si>
  <si>
    <t>=IF(K1309=0,"hide","")</t>
  </si>
  <si>
    <t>=NL("rows","Production BOM Version","Version Code","Production BOM No.",D1309,"status","certified")</t>
  </si>
  <si>
    <t>=NL("sum","Item Ledger Entry","Quantity","Item No.",$D1309,"Entry Type","Sale|Consumption","posting date","01/01/19..12/31/19")/-12</t>
  </si>
  <si>
    <t>=NL("sum","Item Ledger Entry","Quantity","Item No.",$D1309,"Entry Type","Sale|Consumption","posting date","01/01/20..12/31/20")/-12</t>
  </si>
  <si>
    <t>=NL("sum","Item Ledger Entry","Quantity","Item No.",$D1309,"Entry Type","Sale|Consumption","posting date","01/01/21..12/31/21")/-12</t>
  </si>
  <si>
    <t>=NL("sum","Item Ledger Entry","Quantity","Item No.",$D1309,"Entry Type","Sale|Consumption","posting date","01/01/22..12/31/22")/-12</t>
  </si>
  <si>
    <t>=NL("sum","Item Ledger Entry","Quantity","Item No.",$D1309,"Entry Type","Sale|Consumption","posting date","01/01/23..12/31/23")/$J$7</t>
  </si>
  <si>
    <t>=AVERAGE(I1309:J1309)</t>
  </si>
  <si>
    <t>=NL(1,"item",L$9,"no.",D1309)</t>
  </si>
  <si>
    <t>=NL(1,"item",M$9,"no.",$D1309)</t>
  </si>
  <si>
    <t>=NL(1,"item","Units Per Parcel","no.",$D1309)</t>
  </si>
  <si>
    <t>=NL(1,"Prod. BOM Equipment","Fixed Prod. Time (Hours)","Production BOM No.",$D1309,"version code",$E1309,"Resource No.",O$9)</t>
  </si>
  <si>
    <t>=1/O1309</t>
  </si>
  <si>
    <t>=IF(NL(1,"Prod. BOM Equipment","Variable Prod. Time (Hours)","Production BOM No.",$D1309,"version code",$E1309,"Resource No.",$O$9)="",1,NL(1,"Prod. BOM Equipment","Variable Prod. Time (Hours)","Production BOM No.",$D1309,"version code",$E1309,"Resource No.",$O$9))</t>
  </si>
  <si>
    <t>=1/Q1309</t>
  </si>
  <si>
    <t>=R1309*N1309</t>
  </si>
  <si>
    <t>=IF(K1310=0,"hide","")</t>
  </si>
  <si>
    <t>=D1309</t>
  </si>
  <si>
    <t>=NL("sum","Production Order","Quantity","Source No.",$D1310,"Equipment Code",$L1310,"due date",F$8)/-12</t>
  </si>
  <si>
    <t>=NL("sum","Production Order","Quantity","Source No.",$D1310,"Equipment Code",$L1310,"due date",G$8)/-12</t>
  </si>
  <si>
    <t>=NL("sum","Production Order","Quantity","Source No.",$D1310,"Equipment Code",$L1310,"due date",H$8)/-12</t>
  </si>
  <si>
    <t>=NL("sum","Production Order","Quantity","Source No.",$D1310,"Equipment Code",$L1310,"due date",I$8)/-12</t>
  </si>
  <si>
    <t>=NL("sum","Production Order","Quantity","Source No.",$D1310,"Equipment Code",$L1310,"due date",J$8)/$J$7</t>
  </si>
  <si>
    <t>=AVERAGE(I1310:J1310)</t>
  </si>
  <si>
    <t>=IF(K1311=0,"hide","")</t>
  </si>
  <si>
    <t>=D1310</t>
  </si>
  <si>
    <t>=NL("sum","Production Order","Quantity","Source No.",$D1311,"Equipment Code",$L1311,"due date",F$8)/-12</t>
  </si>
  <si>
    <t>=NL("sum","Production Order","Quantity","Source No.",$D1311,"Equipment Code",$L1311,"due date",G$8)/-12</t>
  </si>
  <si>
    <t>=NL("sum","Production Order","Quantity","Source No.",$D1311,"Equipment Code",$L1311,"due date",H$8)/-12</t>
  </si>
  <si>
    <t>=NL("sum","Production Order","Quantity","Source No.",$D1311,"Equipment Code",$L1311,"due date",I$8)/-12</t>
  </si>
  <si>
    <t>=NL("sum","Production Order","Quantity","Source No.",$D1311,"Equipment Code",$L1311,"due date",J$8)/$J$7</t>
  </si>
  <si>
    <t>=AVERAGE(I1311:J1311)</t>
  </si>
  <si>
    <t>=IF(K1312=0,"hide","")</t>
  </si>
  <si>
    <t>=D1311</t>
  </si>
  <si>
    <t>=NL("sum","Production Order","Quantity","Source No.",$D1312,"Equipment Code",$L1312,"due date",F$8)/-12</t>
  </si>
  <si>
    <t>=NL("sum","Production Order","Quantity","Source No.",$D1312,"Equipment Code",$L1312,"due date",G$8)/-12</t>
  </si>
  <si>
    <t>=NL("sum","Production Order","Quantity","Source No.",$D1312,"Equipment Code",$L1312,"due date",H$8)/-12</t>
  </si>
  <si>
    <t>=NL("sum","Production Order","Quantity","Source No.",$D1312,"Equipment Code",$L1312,"due date",I$8)/-12</t>
  </si>
  <si>
    <t>=NL("sum","Production Order","Quantity","Source No.",$D1312,"Equipment Code",$L1312,"due date",J$8)/$J$7</t>
  </si>
  <si>
    <t>=AVERAGE(I1312:J1312)</t>
  </si>
  <si>
    <t>=IF(K1313=0,"hide","")</t>
  </si>
  <si>
    <t>=D1312</t>
  </si>
  <si>
    <t>=NL("sum","Production Order","Quantity","Source No.",$D1313,"Equipment Code",$L1313,"due date",F$8)/-12</t>
  </si>
  <si>
    <t>=NL("sum","Production Order","Quantity","Source No.",$D1313,"Equipment Code",$L1313,"due date",G$8)/-12</t>
  </si>
  <si>
    <t>=NL("sum","Production Order","Quantity","Source No.",$D1313,"Equipment Code",$L1313,"due date",H$8)/-12</t>
  </si>
  <si>
    <t>=NL("sum","Production Order","Quantity","Source No.",$D1313,"Equipment Code",$L1313,"due date",I$8)/-12</t>
  </si>
  <si>
    <t>=NL("sum","Production Order","Quantity","Source No.",$D1313,"Equipment Code",$L1313,"due date",J$8)/$J$7</t>
  </si>
  <si>
    <t>=AVERAGE(I1313:J1313)</t>
  </si>
  <si>
    <t>=B1310</t>
  </si>
  <si>
    <t>=B1314</t>
  </si>
  <si>
    <t>=SUM(F1310:F1314)</t>
  </si>
  <si>
    <t>=SUM(G1310:G1314)</t>
  </si>
  <si>
    <t>=SUM(H1310:H1314)</t>
  </si>
  <si>
    <t>=SUM(I1310:I1314)</t>
  </si>
  <si>
    <t>=SUM(J1310:J1314)</t>
  </si>
  <si>
    <t>=IF(K1316=0,"hide","")</t>
  </si>
  <si>
    <t>=NL("rows","Production BOM Version","Version Code","Production BOM No.",D1316,"status","certified")</t>
  </si>
  <si>
    <t>=NL("sum","Item Ledger Entry","Quantity","Item No.",$D1316,"Entry Type","Sale|Consumption","posting date","01/01/19..12/31/19")/-12</t>
  </si>
  <si>
    <t>=NL("sum","Item Ledger Entry","Quantity","Item No.",$D1316,"Entry Type","Sale|Consumption","posting date","01/01/20..12/31/20")/-12</t>
  </si>
  <si>
    <t>=NL("sum","Item Ledger Entry","Quantity","Item No.",$D1316,"Entry Type","Sale|Consumption","posting date","01/01/21..12/31/21")/-12</t>
  </si>
  <si>
    <t>=NL("sum","Item Ledger Entry","Quantity","Item No.",$D1316,"Entry Type","Sale|Consumption","posting date","01/01/22..12/31/22")/-12</t>
  </si>
  <si>
    <t>=NL("sum","Item Ledger Entry","Quantity","Item No.",$D1316,"Entry Type","Sale|Consumption","posting date","01/01/23..12/31/23")/$J$7</t>
  </si>
  <si>
    <t>=AVERAGE(I1316:J1316)</t>
  </si>
  <si>
    <t>=NL(1,"item",L$9,"no.",D1316)</t>
  </si>
  <si>
    <t>=NL(1,"item",M$9,"no.",$D1316)</t>
  </si>
  <si>
    <t>=NL(1,"item","Units Per Parcel","no.",$D1316)</t>
  </si>
  <si>
    <t>=NL(1,"Prod. BOM Equipment","Fixed Prod. Time (Hours)","Production BOM No.",$D1316,"version code",$E1316,"Resource No.",O$9)</t>
  </si>
  <si>
    <t>=1/O1316</t>
  </si>
  <si>
    <t>=IF(NL(1,"Prod. BOM Equipment","Variable Prod. Time (Hours)","Production BOM No.",$D1316,"version code",$E1316,"Resource No.",$O$9)="",1,NL(1,"Prod. BOM Equipment","Variable Prod. Time (Hours)","Production BOM No.",$D1316,"version code",$E1316,"Resource No.",$O$9))</t>
  </si>
  <si>
    <t>=1/Q1316</t>
  </si>
  <si>
    <t>=R1316*N1316</t>
  </si>
  <si>
    <t>=IF(K1317=0,"hide","")</t>
  </si>
  <si>
    <t>=D1316</t>
  </si>
  <si>
    <t>=NL("sum","Production Order","Quantity","Source No.",$D1317,"Equipment Code",$L1317,"due date",F$8)/-12</t>
  </si>
  <si>
    <t>=NL("sum","Production Order","Quantity","Source No.",$D1317,"Equipment Code",$L1317,"due date",G$8)/-12</t>
  </si>
  <si>
    <t>=NL("sum","Production Order","Quantity","Source No.",$D1317,"Equipment Code",$L1317,"due date",H$8)/-12</t>
  </si>
  <si>
    <t>=NL("sum","Production Order","Quantity","Source No.",$D1317,"Equipment Code",$L1317,"due date",I$8)/-12</t>
  </si>
  <si>
    <t>=NL("sum","Production Order","Quantity","Source No.",$D1317,"Equipment Code",$L1317,"due date",J$8)/$J$7</t>
  </si>
  <si>
    <t>=AVERAGE(I1317:J1317)</t>
  </si>
  <si>
    <t>=IF(K1318=0,"hide","")</t>
  </si>
  <si>
    <t>=D1317</t>
  </si>
  <si>
    <t>=NL("sum","Production Order","Quantity","Source No.",$D1318,"Equipment Code",$L1318,"due date",F$8)/-12</t>
  </si>
  <si>
    <t>=NL("sum","Production Order","Quantity","Source No.",$D1318,"Equipment Code",$L1318,"due date",G$8)/-12</t>
  </si>
  <si>
    <t>=NL("sum","Production Order","Quantity","Source No.",$D1318,"Equipment Code",$L1318,"due date",H$8)/-12</t>
  </si>
  <si>
    <t>=NL("sum","Production Order","Quantity","Source No.",$D1318,"Equipment Code",$L1318,"due date",I$8)/-12</t>
  </si>
  <si>
    <t>=NL("sum","Production Order","Quantity","Source No.",$D1318,"Equipment Code",$L1318,"due date",J$8)/$J$7</t>
  </si>
  <si>
    <t>=AVERAGE(I1318:J1318)</t>
  </si>
  <si>
    <t>=IF(K1319=0,"hide","")</t>
  </si>
  <si>
    <t>=D1318</t>
  </si>
  <si>
    <t>=NL("sum","Production Order","Quantity","Source No.",$D1319,"Equipment Code",$L1319,"due date",F$8)/-12</t>
  </si>
  <si>
    <t>=NL("sum","Production Order","Quantity","Source No.",$D1319,"Equipment Code",$L1319,"due date",G$8)/-12</t>
  </si>
  <si>
    <t>=NL("sum","Production Order","Quantity","Source No.",$D1319,"Equipment Code",$L1319,"due date",H$8)/-12</t>
  </si>
  <si>
    <t>=NL("sum","Production Order","Quantity","Source No.",$D1319,"Equipment Code",$L1319,"due date",I$8)/-12</t>
  </si>
  <si>
    <t>=NL("sum","Production Order","Quantity","Source No.",$D1319,"Equipment Code",$L1319,"due date",J$8)/$J$7</t>
  </si>
  <si>
    <t>=AVERAGE(I1319:J1319)</t>
  </si>
  <si>
    <t>=IF(K1320=0,"hide","")</t>
  </si>
  <si>
    <t>=D1319</t>
  </si>
  <si>
    <t>=NL("sum","Production Order","Quantity","Source No.",$D1320,"Equipment Code",$L1320,"due date",F$8)/-12</t>
  </si>
  <si>
    <t>=NL("sum","Production Order","Quantity","Source No.",$D1320,"Equipment Code",$L1320,"due date",G$8)/-12</t>
  </si>
  <si>
    <t>=NL("sum","Production Order","Quantity","Source No.",$D1320,"Equipment Code",$L1320,"due date",H$8)/-12</t>
  </si>
  <si>
    <t>=NL("sum","Production Order","Quantity","Source No.",$D1320,"Equipment Code",$L1320,"due date",I$8)/-12</t>
  </si>
  <si>
    <t>=NL("sum","Production Order","Quantity","Source No.",$D1320,"Equipment Code",$L1320,"due date",J$8)/$J$7</t>
  </si>
  <si>
    <t>=AVERAGE(I1320:J1320)</t>
  </si>
  <si>
    <t>=B1317</t>
  </si>
  <si>
    <t>=B1321</t>
  </si>
  <si>
    <t>=SUM(F1317:F1321)</t>
  </si>
  <si>
    <t>=SUM(G1317:G1321)</t>
  </si>
  <si>
    <t>=SUM(H1317:H1321)</t>
  </si>
  <si>
    <t>=SUM(I1317:I1321)</t>
  </si>
  <si>
    <t>=SUM(J1317:J1321)</t>
  </si>
  <si>
    <t>=IF(K1323=0,"hide","")</t>
  </si>
  <si>
    <t>=NL("rows","Production BOM Version","Version Code","Production BOM No.",D1323,"status","certified")</t>
  </si>
  <si>
    <t>=NL("sum","Item Ledger Entry","Quantity","Item No.",$D1323,"Entry Type","Sale|Consumption","posting date","01/01/19..12/31/19")/-12</t>
  </si>
  <si>
    <t>=NL("sum","Item Ledger Entry","Quantity","Item No.",$D1323,"Entry Type","Sale|Consumption","posting date","01/01/20..12/31/20")/-12</t>
  </si>
  <si>
    <t>=NL("sum","Item Ledger Entry","Quantity","Item No.",$D1323,"Entry Type","Sale|Consumption","posting date","01/01/21..12/31/21")/-12</t>
  </si>
  <si>
    <t>=NL("sum","Item Ledger Entry","Quantity","Item No.",$D1323,"Entry Type","Sale|Consumption","posting date","01/01/22..12/31/22")/-12</t>
  </si>
  <si>
    <t>=NL("sum","Item Ledger Entry","Quantity","Item No.",$D1323,"Entry Type","Sale|Consumption","posting date","01/01/23..12/31/23")/$J$7</t>
  </si>
  <si>
    <t>=AVERAGE(I1323:J1323)</t>
  </si>
  <si>
    <t>=NL(1,"item",L$9,"no.",D1323)</t>
  </si>
  <si>
    <t>=NL(1,"item",M$9,"no.",$D1323)</t>
  </si>
  <si>
    <t>=NL(1,"item","Units Per Parcel","no.",$D1323)</t>
  </si>
  <si>
    <t>=NL(1,"Prod. BOM Equipment","Fixed Prod. Time (Hours)","Production BOM No.",$D1323,"version code",$E1323,"Resource No.",O$9)</t>
  </si>
  <si>
    <t>=1/O1323</t>
  </si>
  <si>
    <t>=IF(NL(1,"Prod. BOM Equipment","Variable Prod. Time (Hours)","Production BOM No.",$D1323,"version code",$E1323,"Resource No.",$O$9)="",1,NL(1,"Prod. BOM Equipment","Variable Prod. Time (Hours)","Production BOM No.",$D1323,"version code",$E1323,"Resource No.",$O$9))</t>
  </si>
  <si>
    <t>=1/Q1323</t>
  </si>
  <si>
    <t>=R1323*N1323</t>
  </si>
  <si>
    <t>=IF(K1324=0,"hide","")</t>
  </si>
  <si>
    <t>=D1323</t>
  </si>
  <si>
    <t>=NL("sum","Production Order","Quantity","Source No.",$D1324,"Equipment Code",$L1324,"due date",F$8)/-12</t>
  </si>
  <si>
    <t>=NL("sum","Production Order","Quantity","Source No.",$D1324,"Equipment Code",$L1324,"due date",G$8)/-12</t>
  </si>
  <si>
    <t>=NL("sum","Production Order","Quantity","Source No.",$D1324,"Equipment Code",$L1324,"due date",H$8)/-12</t>
  </si>
  <si>
    <t>=NL("sum","Production Order","Quantity","Source No.",$D1324,"Equipment Code",$L1324,"due date",I$8)/-12</t>
  </si>
  <si>
    <t>=NL("sum","Production Order","Quantity","Source No.",$D1324,"Equipment Code",$L1324,"due date",J$8)/$J$7</t>
  </si>
  <si>
    <t>=AVERAGE(I1324:J1324)</t>
  </si>
  <si>
    <t>=IF(K1325=0,"hide","")</t>
  </si>
  <si>
    <t>=D1324</t>
  </si>
  <si>
    <t>=NL("sum","Production Order","Quantity","Source No.",$D1325,"Equipment Code",$L1325,"due date",F$8)/-12</t>
  </si>
  <si>
    <t>=NL("sum","Production Order","Quantity","Source No.",$D1325,"Equipment Code",$L1325,"due date",G$8)/-12</t>
  </si>
  <si>
    <t>=NL("sum","Production Order","Quantity","Source No.",$D1325,"Equipment Code",$L1325,"due date",H$8)/-12</t>
  </si>
  <si>
    <t>=NL("sum","Production Order","Quantity","Source No.",$D1325,"Equipment Code",$L1325,"due date",I$8)/-12</t>
  </si>
  <si>
    <t>=NL("sum","Production Order","Quantity","Source No.",$D1325,"Equipment Code",$L1325,"due date",J$8)/$J$7</t>
  </si>
  <si>
    <t>=AVERAGE(I1325:J1325)</t>
  </si>
  <si>
    <t>=IF(K1326=0,"hide","")</t>
  </si>
  <si>
    <t>=D1325</t>
  </si>
  <si>
    <t>=NL("sum","Production Order","Quantity","Source No.",$D1326,"Equipment Code",$L1326,"due date",F$8)/-12</t>
  </si>
  <si>
    <t>=NL("sum","Production Order","Quantity","Source No.",$D1326,"Equipment Code",$L1326,"due date",G$8)/-12</t>
  </si>
  <si>
    <t>=NL("sum","Production Order","Quantity","Source No.",$D1326,"Equipment Code",$L1326,"due date",H$8)/-12</t>
  </si>
  <si>
    <t>=NL("sum","Production Order","Quantity","Source No.",$D1326,"Equipment Code",$L1326,"due date",I$8)/-12</t>
  </si>
  <si>
    <t>=NL("sum","Production Order","Quantity","Source No.",$D1326,"Equipment Code",$L1326,"due date",J$8)/$J$7</t>
  </si>
  <si>
    <t>=AVERAGE(I1326:J1326)</t>
  </si>
  <si>
    <t>=IF(K1327=0,"hide","")</t>
  </si>
  <si>
    <t>=D1326</t>
  </si>
  <si>
    <t>=NL("sum","Production Order","Quantity","Source No.",$D1327,"Equipment Code",$L1327,"due date",F$8)/-12</t>
  </si>
  <si>
    <t>=NL("sum","Production Order","Quantity","Source No.",$D1327,"Equipment Code",$L1327,"due date",G$8)/-12</t>
  </si>
  <si>
    <t>=NL("sum","Production Order","Quantity","Source No.",$D1327,"Equipment Code",$L1327,"due date",H$8)/-12</t>
  </si>
  <si>
    <t>=NL("sum","Production Order","Quantity","Source No.",$D1327,"Equipment Code",$L1327,"due date",I$8)/-12</t>
  </si>
  <si>
    <t>=NL("sum","Production Order","Quantity","Source No.",$D1327,"Equipment Code",$L1327,"due date",J$8)/$J$7</t>
  </si>
  <si>
    <t>=AVERAGE(I1327:J1327)</t>
  </si>
  <si>
    <t>=B1324</t>
  </si>
  <si>
    <t>=B1328</t>
  </si>
  <si>
    <t>=SUM(F1324:F1328)</t>
  </si>
  <si>
    <t>=SUM(G1324:G1328)</t>
  </si>
  <si>
    <t>=SUM(H1324:H1328)</t>
  </si>
  <si>
    <t>=SUM(I1324:I1328)</t>
  </si>
  <si>
    <t>=SUM(J1324:J1328)</t>
  </si>
  <si>
    <t>=IF(K1330=0,"hide","")</t>
  </si>
  <si>
    <t>="15258"</t>
  </si>
  <si>
    <t>=NL("rows","Production BOM Version","Version Code","Production BOM No.",D1330,"status","certified")</t>
  </si>
  <si>
    <t>=NL("sum","Item Ledger Entry","Quantity","Item No.",$D1330,"Entry Type","Sale|Consumption","posting date","01/01/19..12/31/19")/-12</t>
  </si>
  <si>
    <t>=NL("sum","Item Ledger Entry","Quantity","Item No.",$D1330,"Entry Type","Sale|Consumption","posting date","01/01/20..12/31/20")/-12</t>
  </si>
  <si>
    <t>=NL("sum","Item Ledger Entry","Quantity","Item No.",$D1330,"Entry Type","Sale|Consumption","posting date","01/01/21..12/31/21")/-12</t>
  </si>
  <si>
    <t>=NL("sum","Item Ledger Entry","Quantity","Item No.",$D1330,"Entry Type","Sale|Consumption","posting date","01/01/22..12/31/22")/-12</t>
  </si>
  <si>
    <t>=NL("sum","Item Ledger Entry","Quantity","Item No.",$D1330,"Entry Type","Sale|Consumption","posting date","01/01/23..12/31/23")/$J$7</t>
  </si>
  <si>
    <t>=AVERAGE(I1330:J1330)</t>
  </si>
  <si>
    <t>=NL(1,"item",L$9,"no.",D1330)</t>
  </si>
  <si>
    <t>=NL(1,"item",M$9,"no.",$D1330)</t>
  </si>
  <si>
    <t>=NL(1,"item","Units Per Parcel","no.",$D1330)</t>
  </si>
  <si>
    <t>=NL(1,"Prod. BOM Equipment","Fixed Prod. Time (Hours)","Production BOM No.",$D1330,"version code",$E1330,"Resource No.",O$9)</t>
  </si>
  <si>
    <t>=1/O1330</t>
  </si>
  <si>
    <t>=IF(NL(1,"Prod. BOM Equipment","Variable Prod. Time (Hours)","Production BOM No.",$D1330,"version code",$E1330,"Resource No.",$O$9)="",1,NL(1,"Prod. BOM Equipment","Variable Prod. Time (Hours)","Production BOM No.",$D1330,"version code",$E1330,"Resource No.",$O$9))</t>
  </si>
  <si>
    <t>=1/Q1330</t>
  </si>
  <si>
    <t>=R1330*N1330</t>
  </si>
  <si>
    <t>=IF(K1331=0,"hide","")</t>
  </si>
  <si>
    <t>=D1330</t>
  </si>
  <si>
    <t>=NL("sum","Production Order","Quantity","Source No.",$D1331,"Equipment Code",$L1331,"due date",F$8)/-12</t>
  </si>
  <si>
    <t>=NL("sum","Production Order","Quantity","Source No.",$D1331,"Equipment Code",$L1331,"due date",G$8)/-12</t>
  </si>
  <si>
    <t>=NL("sum","Production Order","Quantity","Source No.",$D1331,"Equipment Code",$L1331,"due date",H$8)/-12</t>
  </si>
  <si>
    <t>=NL("sum","Production Order","Quantity","Source No.",$D1331,"Equipment Code",$L1331,"due date",I$8)/-12</t>
  </si>
  <si>
    <t>=NL("sum","Production Order","Quantity","Source No.",$D1331,"Equipment Code",$L1331,"due date",J$8)/$J$7</t>
  </si>
  <si>
    <t>=AVERAGE(I1331:J1331)</t>
  </si>
  <si>
    <t>=IF(K1332=0,"hide","")</t>
  </si>
  <si>
    <t>=D1331</t>
  </si>
  <si>
    <t>=NL("sum","Production Order","Quantity","Source No.",$D1332,"Equipment Code",$L1332,"due date",F$8)/-12</t>
  </si>
  <si>
    <t>=NL("sum","Production Order","Quantity","Source No.",$D1332,"Equipment Code",$L1332,"due date",G$8)/-12</t>
  </si>
  <si>
    <t>=NL("sum","Production Order","Quantity","Source No.",$D1332,"Equipment Code",$L1332,"due date",H$8)/-12</t>
  </si>
  <si>
    <t>=NL("sum","Production Order","Quantity","Source No.",$D1332,"Equipment Code",$L1332,"due date",I$8)/-12</t>
  </si>
  <si>
    <t>=NL("sum","Production Order","Quantity","Source No.",$D1332,"Equipment Code",$L1332,"due date",J$8)/$J$7</t>
  </si>
  <si>
    <t>=AVERAGE(I1332:J1332)</t>
  </si>
  <si>
    <t>=IF(K1333=0,"hide","")</t>
  </si>
  <si>
    <t>=D1332</t>
  </si>
  <si>
    <t>=NL("sum","Production Order","Quantity","Source No.",$D1333,"Equipment Code",$L1333,"due date",F$8)/-12</t>
  </si>
  <si>
    <t>=NL("sum","Production Order","Quantity","Source No.",$D1333,"Equipment Code",$L1333,"due date",G$8)/-12</t>
  </si>
  <si>
    <t>=NL("sum","Production Order","Quantity","Source No.",$D1333,"Equipment Code",$L1333,"due date",H$8)/-12</t>
  </si>
  <si>
    <t>=NL("sum","Production Order","Quantity","Source No.",$D1333,"Equipment Code",$L1333,"due date",I$8)/-12</t>
  </si>
  <si>
    <t>=NL("sum","Production Order","Quantity","Source No.",$D1333,"Equipment Code",$L1333,"due date",J$8)/$J$7</t>
  </si>
  <si>
    <t>=AVERAGE(I1333:J1333)</t>
  </si>
  <si>
    <t>=IF(K1334=0,"hide","")</t>
  </si>
  <si>
    <t>=D1333</t>
  </si>
  <si>
    <t>=NL("sum","Production Order","Quantity","Source No.",$D1334,"Equipment Code",$L1334,"due date",F$8)/-12</t>
  </si>
  <si>
    <t>=NL("sum","Production Order","Quantity","Source No.",$D1334,"Equipment Code",$L1334,"due date",G$8)/-12</t>
  </si>
  <si>
    <t>=NL("sum","Production Order","Quantity","Source No.",$D1334,"Equipment Code",$L1334,"due date",H$8)/-12</t>
  </si>
  <si>
    <t>=NL("sum","Production Order","Quantity","Source No.",$D1334,"Equipment Code",$L1334,"due date",I$8)/-12</t>
  </si>
  <si>
    <t>=NL("sum","Production Order","Quantity","Source No.",$D1334,"Equipment Code",$L1334,"due date",J$8)/$J$7</t>
  </si>
  <si>
    <t>=AVERAGE(I1334:J1334)</t>
  </si>
  <si>
    <t>=B1331</t>
  </si>
  <si>
    <t>=B1335</t>
  </si>
  <si>
    <t>=SUM(F1331:F1335)</t>
  </si>
  <si>
    <t>=SUM(G1331:G1335)</t>
  </si>
  <si>
    <t>=SUM(H1331:H1335)</t>
  </si>
  <si>
    <t>=SUM(I1331:I1335)</t>
  </si>
  <si>
    <t>=SUM(J1331:J1335)</t>
  </si>
  <si>
    <t>=IF(K1337=0,"hide","")</t>
  </si>
  <si>
    <t>="15401"</t>
  </si>
  <si>
    <t>=NL("rows","Production BOM Version","Version Code","Production BOM No.",D1337,"status","certified")</t>
  </si>
  <si>
    <t>=NL("sum","Item Ledger Entry","Quantity","Item No.",$D1337,"Entry Type","Sale|Consumption","posting date","01/01/19..12/31/19")/-12</t>
  </si>
  <si>
    <t>=NL("sum","Item Ledger Entry","Quantity","Item No.",$D1337,"Entry Type","Sale|Consumption","posting date","01/01/20..12/31/20")/-12</t>
  </si>
  <si>
    <t>=NL("sum","Item Ledger Entry","Quantity","Item No.",$D1337,"Entry Type","Sale|Consumption","posting date","01/01/21..12/31/21")/-12</t>
  </si>
  <si>
    <t>=NL("sum","Item Ledger Entry","Quantity","Item No.",$D1337,"Entry Type","Sale|Consumption","posting date","01/01/22..12/31/22")/-12</t>
  </si>
  <si>
    <t>=NL("sum","Item Ledger Entry","Quantity","Item No.",$D1337,"Entry Type","Sale|Consumption","posting date","01/01/23..12/31/23")/$J$7</t>
  </si>
  <si>
    <t>=AVERAGE(I1337:J1337)</t>
  </si>
  <si>
    <t>=NL(1,"item",L$9,"no.",D1337)</t>
  </si>
  <si>
    <t>=NL(1,"item",M$9,"no.",$D1337)</t>
  </si>
  <si>
    <t>=NL(1,"item","Units Per Parcel","no.",$D1337)</t>
  </si>
  <si>
    <t>=NL(1,"Prod. BOM Equipment","Fixed Prod. Time (Hours)","Production BOM No.",$D1337,"version code",$E1337,"Resource No.",O$9)</t>
  </si>
  <si>
    <t>=1/O1337</t>
  </si>
  <si>
    <t>=IF(NL(1,"Prod. BOM Equipment","Variable Prod. Time (Hours)","Production BOM No.",$D1337,"version code",$E1337,"Resource No.",$O$9)="",1,NL(1,"Prod. BOM Equipment","Variable Prod. Time (Hours)","Production BOM No.",$D1337,"version code",$E1337,"Resource No.",$O$9))</t>
  </si>
  <si>
    <t>=1/Q1337</t>
  </si>
  <si>
    <t>=R1337*N1337</t>
  </si>
  <si>
    <t>=IF(K1338=0,"hide","")</t>
  </si>
  <si>
    <t>=D1337</t>
  </si>
  <si>
    <t>=NL("sum","Production Order","Quantity","Source No.",$D1338,"Equipment Code",$L1338,"due date",F$8)/-12</t>
  </si>
  <si>
    <t>=NL("sum","Production Order","Quantity","Source No.",$D1338,"Equipment Code",$L1338,"due date",G$8)/-12</t>
  </si>
  <si>
    <t>=NL("sum","Production Order","Quantity","Source No.",$D1338,"Equipment Code",$L1338,"due date",H$8)/-12</t>
  </si>
  <si>
    <t>=NL("sum","Production Order","Quantity","Source No.",$D1338,"Equipment Code",$L1338,"due date",I$8)/-12</t>
  </si>
  <si>
    <t>=NL("sum","Production Order","Quantity","Source No.",$D1338,"Equipment Code",$L1338,"due date",J$8)/$J$7</t>
  </si>
  <si>
    <t>=AVERAGE(I1338:J1338)</t>
  </si>
  <si>
    <t>=IF(K1339=0,"hide","")</t>
  </si>
  <si>
    <t>=D1338</t>
  </si>
  <si>
    <t>=NL("sum","Production Order","Quantity","Source No.",$D1339,"Equipment Code",$L1339,"due date",F$8)/-12</t>
  </si>
  <si>
    <t>=NL("sum","Production Order","Quantity","Source No.",$D1339,"Equipment Code",$L1339,"due date",G$8)/-12</t>
  </si>
  <si>
    <t>=NL("sum","Production Order","Quantity","Source No.",$D1339,"Equipment Code",$L1339,"due date",H$8)/-12</t>
  </si>
  <si>
    <t>=NL("sum","Production Order","Quantity","Source No.",$D1339,"Equipment Code",$L1339,"due date",I$8)/-12</t>
  </si>
  <si>
    <t>=NL("sum","Production Order","Quantity","Source No.",$D1339,"Equipment Code",$L1339,"due date",J$8)/$J$7</t>
  </si>
  <si>
    <t>=AVERAGE(I1339:J1339)</t>
  </si>
  <si>
    <t>=IF(K1340=0,"hide","")</t>
  </si>
  <si>
    <t>=D1339</t>
  </si>
  <si>
    <t>=NL("sum","Production Order","Quantity","Source No.",$D1340,"Equipment Code",$L1340,"due date",F$8)/-12</t>
  </si>
  <si>
    <t>=NL("sum","Production Order","Quantity","Source No.",$D1340,"Equipment Code",$L1340,"due date",G$8)/-12</t>
  </si>
  <si>
    <t>=NL("sum","Production Order","Quantity","Source No.",$D1340,"Equipment Code",$L1340,"due date",H$8)/-12</t>
  </si>
  <si>
    <t>=NL("sum","Production Order","Quantity","Source No.",$D1340,"Equipment Code",$L1340,"due date",I$8)/-12</t>
  </si>
  <si>
    <t>=NL("sum","Production Order","Quantity","Source No.",$D1340,"Equipment Code",$L1340,"due date",J$8)/$J$7</t>
  </si>
  <si>
    <t>=AVERAGE(I1340:J1340)</t>
  </si>
  <si>
    <t>=IF(K1341=0,"hide","")</t>
  </si>
  <si>
    <t>=D1340</t>
  </si>
  <si>
    <t>=NL("sum","Production Order","Quantity","Source No.",$D1341,"Equipment Code",$L1341,"due date",F$8)/-12</t>
  </si>
  <si>
    <t>=NL("sum","Production Order","Quantity","Source No.",$D1341,"Equipment Code",$L1341,"due date",G$8)/-12</t>
  </si>
  <si>
    <t>=NL("sum","Production Order","Quantity","Source No.",$D1341,"Equipment Code",$L1341,"due date",H$8)/-12</t>
  </si>
  <si>
    <t>=NL("sum","Production Order","Quantity","Source No.",$D1341,"Equipment Code",$L1341,"due date",I$8)/-12</t>
  </si>
  <si>
    <t>=NL("sum","Production Order","Quantity","Source No.",$D1341,"Equipment Code",$L1341,"due date",J$8)/$J$7</t>
  </si>
  <si>
    <t>=AVERAGE(I1341:J1341)</t>
  </si>
  <si>
    <t>=B1338</t>
  </si>
  <si>
    <t>=B1342</t>
  </si>
  <si>
    <t>=SUM(F1338:F1342)</t>
  </si>
  <si>
    <t>=SUM(G1338:G1342)</t>
  </si>
  <si>
    <t>=SUM(H1338:H1342)</t>
  </si>
  <si>
    <t>=SUM(I1338:I1342)</t>
  </si>
  <si>
    <t>=SUM(J1338:J1342)</t>
  </si>
  <si>
    <t>=IF(K1344=0,"hide","")</t>
  </si>
  <si>
    <t>="15405"</t>
  </si>
  <si>
    <t>=NL("rows","Production BOM Version","Version Code","Production BOM No.",D1344,"status","certified")</t>
  </si>
  <si>
    <t>=NL("sum","Item Ledger Entry","Quantity","Item No.",$D1344,"Entry Type","Sale|Consumption","posting date","01/01/19..12/31/19")/-12</t>
  </si>
  <si>
    <t>=NL("sum","Item Ledger Entry","Quantity","Item No.",$D1344,"Entry Type","Sale|Consumption","posting date","01/01/20..12/31/20")/-12</t>
  </si>
  <si>
    <t>=NL("sum","Item Ledger Entry","Quantity","Item No.",$D1344,"Entry Type","Sale|Consumption","posting date","01/01/21..12/31/21")/-12</t>
  </si>
  <si>
    <t>=NL("sum","Item Ledger Entry","Quantity","Item No.",$D1344,"Entry Type","Sale|Consumption","posting date","01/01/22..12/31/22")/-12</t>
  </si>
  <si>
    <t>=NL("sum","Item Ledger Entry","Quantity","Item No.",$D1344,"Entry Type","Sale|Consumption","posting date","01/01/23..12/31/23")/$J$7</t>
  </si>
  <si>
    <t>=AVERAGE(I1344:J1344)</t>
  </si>
  <si>
    <t>=NL(1,"item",L$9,"no.",D1344)</t>
  </si>
  <si>
    <t>=NL(1,"item",M$9,"no.",$D1344)</t>
  </si>
  <si>
    <t>=NL(1,"item","Units Per Parcel","no.",$D1344)</t>
  </si>
  <si>
    <t>=NL(1,"Prod. BOM Equipment","Fixed Prod. Time (Hours)","Production BOM No.",$D1344,"version code",$E1344,"Resource No.",O$9)</t>
  </si>
  <si>
    <t>=1/O1344</t>
  </si>
  <si>
    <t>=IF(NL(1,"Prod. BOM Equipment","Variable Prod. Time (Hours)","Production BOM No.",$D1344,"version code",$E1344,"Resource No.",$O$9)="",1,NL(1,"Prod. BOM Equipment","Variable Prod. Time (Hours)","Production BOM No.",$D1344,"version code",$E1344,"Resource No.",$O$9))</t>
  </si>
  <si>
    <t>=1/Q1344</t>
  </si>
  <si>
    <t>=R1344*N1344</t>
  </si>
  <si>
    <t>=IF(K1345=0,"hide","")</t>
  </si>
  <si>
    <t>=D1344</t>
  </si>
  <si>
    <t>=NL("sum","Production Order","Quantity","Source No.",$D1345,"Equipment Code",$L1345,"due date",F$8)/-12</t>
  </si>
  <si>
    <t>=NL("sum","Production Order","Quantity","Source No.",$D1345,"Equipment Code",$L1345,"due date",G$8)/-12</t>
  </si>
  <si>
    <t>=NL("sum","Production Order","Quantity","Source No.",$D1345,"Equipment Code",$L1345,"due date",H$8)/-12</t>
  </si>
  <si>
    <t>=NL("sum","Production Order","Quantity","Source No.",$D1345,"Equipment Code",$L1345,"due date",I$8)/-12</t>
  </si>
  <si>
    <t>=NL("sum","Production Order","Quantity","Source No.",$D1345,"Equipment Code",$L1345,"due date",J$8)/$J$7</t>
  </si>
  <si>
    <t>=AVERAGE(I1345:J1345)</t>
  </si>
  <si>
    <t>=IF(K1346=0,"hide","")</t>
  </si>
  <si>
    <t>=D1345</t>
  </si>
  <si>
    <t>=NL("sum","Production Order","Quantity","Source No.",$D1346,"Equipment Code",$L1346,"due date",F$8)/-12</t>
  </si>
  <si>
    <t>=NL("sum","Production Order","Quantity","Source No.",$D1346,"Equipment Code",$L1346,"due date",G$8)/-12</t>
  </si>
  <si>
    <t>=NL("sum","Production Order","Quantity","Source No.",$D1346,"Equipment Code",$L1346,"due date",H$8)/-12</t>
  </si>
  <si>
    <t>=NL("sum","Production Order","Quantity","Source No.",$D1346,"Equipment Code",$L1346,"due date",I$8)/-12</t>
  </si>
  <si>
    <t>=NL("sum","Production Order","Quantity","Source No.",$D1346,"Equipment Code",$L1346,"due date",J$8)/$J$7</t>
  </si>
  <si>
    <t>=AVERAGE(I1346:J1346)</t>
  </si>
  <si>
    <t>=IF(K1347=0,"hide","")</t>
  </si>
  <si>
    <t>=D1346</t>
  </si>
  <si>
    <t>=NL("sum","Production Order","Quantity","Source No.",$D1347,"Equipment Code",$L1347,"due date",F$8)/-12</t>
  </si>
  <si>
    <t>=NL("sum","Production Order","Quantity","Source No.",$D1347,"Equipment Code",$L1347,"due date",G$8)/-12</t>
  </si>
  <si>
    <t>=NL("sum","Production Order","Quantity","Source No.",$D1347,"Equipment Code",$L1347,"due date",H$8)/-12</t>
  </si>
  <si>
    <t>=NL("sum","Production Order","Quantity","Source No.",$D1347,"Equipment Code",$L1347,"due date",I$8)/-12</t>
  </si>
  <si>
    <t>=NL("sum","Production Order","Quantity","Source No.",$D1347,"Equipment Code",$L1347,"due date",J$8)/$J$7</t>
  </si>
  <si>
    <t>=AVERAGE(I1347:J1347)</t>
  </si>
  <si>
    <t>=IF(K1348=0,"hide","")</t>
  </si>
  <si>
    <t>=D1347</t>
  </si>
  <si>
    <t>=NL("sum","Production Order","Quantity","Source No.",$D1348,"Equipment Code",$L1348,"due date",F$8)/-12</t>
  </si>
  <si>
    <t>=NL("sum","Production Order","Quantity","Source No.",$D1348,"Equipment Code",$L1348,"due date",G$8)/-12</t>
  </si>
  <si>
    <t>=NL("sum","Production Order","Quantity","Source No.",$D1348,"Equipment Code",$L1348,"due date",H$8)/-12</t>
  </si>
  <si>
    <t>=NL("sum","Production Order","Quantity","Source No.",$D1348,"Equipment Code",$L1348,"due date",I$8)/-12</t>
  </si>
  <si>
    <t>=NL("sum","Production Order","Quantity","Source No.",$D1348,"Equipment Code",$L1348,"due date",J$8)/$J$7</t>
  </si>
  <si>
    <t>=AVERAGE(I1348:J1348)</t>
  </si>
  <si>
    <t>=B1345</t>
  </si>
  <si>
    <t>=B1349</t>
  </si>
  <si>
    <t>=SUM(F1345:F1349)</t>
  </si>
  <si>
    <t>=SUM(G1345:G1349)</t>
  </si>
  <si>
    <t>=SUM(H1345:H1349)</t>
  </si>
  <si>
    <t>=SUM(I1345:I1349)</t>
  </si>
  <si>
    <t>=SUM(J1345:J1349)</t>
  </si>
  <si>
    <t>=IF(K1351=0,"hide","")</t>
  </si>
  <si>
    <t>="15425"</t>
  </si>
  <si>
    <t>=NL("rows","Production BOM Version","Version Code","Production BOM No.",D1351,"status","certified")</t>
  </si>
  <si>
    <t>=NL("sum","Item Ledger Entry","Quantity","Item No.",$D1351,"Entry Type","Sale|Consumption","posting date","01/01/19..12/31/19")/-12</t>
  </si>
  <si>
    <t>=NL("sum","Item Ledger Entry","Quantity","Item No.",$D1351,"Entry Type","Sale|Consumption","posting date","01/01/20..12/31/20")/-12</t>
  </si>
  <si>
    <t>=NL("sum","Item Ledger Entry","Quantity","Item No.",$D1351,"Entry Type","Sale|Consumption","posting date","01/01/21..12/31/21")/-12</t>
  </si>
  <si>
    <t>=NL("sum","Item Ledger Entry","Quantity","Item No.",$D1351,"Entry Type","Sale|Consumption","posting date","01/01/22..12/31/22")/-12</t>
  </si>
  <si>
    <t>=NL("sum","Item Ledger Entry","Quantity","Item No.",$D1351,"Entry Type","Sale|Consumption","posting date","01/01/23..12/31/23")/$J$7</t>
  </si>
  <si>
    <t>=AVERAGE(I1351:J1351)</t>
  </si>
  <si>
    <t>=NL(1,"item",L$9,"no.",D1351)</t>
  </si>
  <si>
    <t>=NL(1,"item",M$9,"no.",$D1351)</t>
  </si>
  <si>
    <t>=NL(1,"item","Units Per Parcel","no.",$D1351)</t>
  </si>
  <si>
    <t>=NL(1,"Prod. BOM Equipment","Fixed Prod. Time (Hours)","Production BOM No.",$D1351,"version code",$E1351,"Resource No.",O$9)</t>
  </si>
  <si>
    <t>=1/O1351</t>
  </si>
  <si>
    <t>=IF(NL(1,"Prod. BOM Equipment","Variable Prod. Time (Hours)","Production BOM No.",$D1351,"version code",$E1351,"Resource No.",$O$9)="",1,NL(1,"Prod. BOM Equipment","Variable Prod. Time (Hours)","Production BOM No.",$D1351,"version code",$E1351,"Resource No.",$O$9))</t>
  </si>
  <si>
    <t>=1/Q1351</t>
  </si>
  <si>
    <t>=R1351*N1351</t>
  </si>
  <si>
    <t>=IF(K1352=0,"hide","")</t>
  </si>
  <si>
    <t>=D1351</t>
  </si>
  <si>
    <t>=NL("sum","Production Order","Quantity","Source No.",$D1352,"Equipment Code",$L1352,"due date",F$8)/-12</t>
  </si>
  <si>
    <t>=NL("sum","Production Order","Quantity","Source No.",$D1352,"Equipment Code",$L1352,"due date",G$8)/-12</t>
  </si>
  <si>
    <t>=NL("sum","Production Order","Quantity","Source No.",$D1352,"Equipment Code",$L1352,"due date",H$8)/-12</t>
  </si>
  <si>
    <t>=NL("sum","Production Order","Quantity","Source No.",$D1352,"Equipment Code",$L1352,"due date",I$8)/-12</t>
  </si>
  <si>
    <t>=NL("sum","Production Order","Quantity","Source No.",$D1352,"Equipment Code",$L1352,"due date",J$8)/$J$7</t>
  </si>
  <si>
    <t>=AVERAGE(I1352:J1352)</t>
  </si>
  <si>
    <t>=IF(K1353=0,"hide","")</t>
  </si>
  <si>
    <t>=D1352</t>
  </si>
  <si>
    <t>=NL("sum","Production Order","Quantity","Source No.",$D1353,"Equipment Code",$L1353,"due date",F$8)/-12</t>
  </si>
  <si>
    <t>=NL("sum","Production Order","Quantity","Source No.",$D1353,"Equipment Code",$L1353,"due date",G$8)/-12</t>
  </si>
  <si>
    <t>=NL("sum","Production Order","Quantity","Source No.",$D1353,"Equipment Code",$L1353,"due date",H$8)/-12</t>
  </si>
  <si>
    <t>=NL("sum","Production Order","Quantity","Source No.",$D1353,"Equipment Code",$L1353,"due date",I$8)/-12</t>
  </si>
  <si>
    <t>=NL("sum","Production Order","Quantity","Source No.",$D1353,"Equipment Code",$L1353,"due date",J$8)/$J$7</t>
  </si>
  <si>
    <t>=AVERAGE(I1353:J1353)</t>
  </si>
  <si>
    <t>=IF(K1354=0,"hide","")</t>
  </si>
  <si>
    <t>=D1353</t>
  </si>
  <si>
    <t>=NL("sum","Production Order","Quantity","Source No.",$D1354,"Equipment Code",$L1354,"due date",F$8)/-12</t>
  </si>
  <si>
    <t>=NL("sum","Production Order","Quantity","Source No.",$D1354,"Equipment Code",$L1354,"due date",G$8)/-12</t>
  </si>
  <si>
    <t>=NL("sum","Production Order","Quantity","Source No.",$D1354,"Equipment Code",$L1354,"due date",H$8)/-12</t>
  </si>
  <si>
    <t>=NL("sum","Production Order","Quantity","Source No.",$D1354,"Equipment Code",$L1354,"due date",I$8)/-12</t>
  </si>
  <si>
    <t>=NL("sum","Production Order","Quantity","Source No.",$D1354,"Equipment Code",$L1354,"due date",J$8)/$J$7</t>
  </si>
  <si>
    <t>=AVERAGE(I1354:J1354)</t>
  </si>
  <si>
    <t>=IF(K1355=0,"hide","")</t>
  </si>
  <si>
    <t>=D1354</t>
  </si>
  <si>
    <t>=NL("sum","Production Order","Quantity","Source No.",$D1355,"Equipment Code",$L1355,"due date",F$8)/-12</t>
  </si>
  <si>
    <t>=NL("sum","Production Order","Quantity","Source No.",$D1355,"Equipment Code",$L1355,"due date",G$8)/-12</t>
  </si>
  <si>
    <t>=NL("sum","Production Order","Quantity","Source No.",$D1355,"Equipment Code",$L1355,"due date",H$8)/-12</t>
  </si>
  <si>
    <t>=NL("sum","Production Order","Quantity","Source No.",$D1355,"Equipment Code",$L1355,"due date",I$8)/-12</t>
  </si>
  <si>
    <t>=NL("sum","Production Order","Quantity","Source No.",$D1355,"Equipment Code",$L1355,"due date",J$8)/$J$7</t>
  </si>
  <si>
    <t>=AVERAGE(I1355:J1355)</t>
  </si>
  <si>
    <t>=B1352</t>
  </si>
  <si>
    <t>=B1356</t>
  </si>
  <si>
    <t>=SUM(F1352:F1356)</t>
  </si>
  <si>
    <t>=SUM(G1352:G1356)</t>
  </si>
  <si>
    <t>=SUM(H1352:H1356)</t>
  </si>
  <si>
    <t>=SUM(I1352:I1356)</t>
  </si>
  <si>
    <t>=SUM(J1352:J1356)</t>
  </si>
  <si>
    <t>=IF(K1358=0,"hide","")</t>
  </si>
  <si>
    <t>="15430"</t>
  </si>
  <si>
    <t>=NL("rows","Production BOM Version","Version Code","Production BOM No.",D1358,"status","certified")</t>
  </si>
  <si>
    <t>=NL("sum","Item Ledger Entry","Quantity","Item No.",$D1358,"Entry Type","Sale|Consumption","posting date","01/01/19..12/31/19")/-12</t>
  </si>
  <si>
    <t>=NL("sum","Item Ledger Entry","Quantity","Item No.",$D1358,"Entry Type","Sale|Consumption","posting date","01/01/20..12/31/20")/-12</t>
  </si>
  <si>
    <t>=NL("sum","Item Ledger Entry","Quantity","Item No.",$D1358,"Entry Type","Sale|Consumption","posting date","01/01/21..12/31/21")/-12</t>
  </si>
  <si>
    <t>=NL("sum","Item Ledger Entry","Quantity","Item No.",$D1358,"Entry Type","Sale|Consumption","posting date","01/01/22..12/31/22")/-12</t>
  </si>
  <si>
    <t>=NL("sum","Item Ledger Entry","Quantity","Item No.",$D1358,"Entry Type","Sale|Consumption","posting date","01/01/23..12/31/23")/$J$7</t>
  </si>
  <si>
    <t>=AVERAGE(I1358:J1358)</t>
  </si>
  <si>
    <t>=NL(1,"item",L$9,"no.",D1358)</t>
  </si>
  <si>
    <t>=NL(1,"item",M$9,"no.",$D1358)</t>
  </si>
  <si>
    <t>=NL(1,"item","Units Per Parcel","no.",$D1358)</t>
  </si>
  <si>
    <t>=NL(1,"Prod. BOM Equipment","Fixed Prod. Time (Hours)","Production BOM No.",$D1358,"version code",$E1358,"Resource No.",O$9)</t>
  </si>
  <si>
    <t>=1/O1358</t>
  </si>
  <si>
    <t>=IF(NL(1,"Prod. BOM Equipment","Variable Prod. Time (Hours)","Production BOM No.",$D1358,"version code",$E1358,"Resource No.",$O$9)="",1,NL(1,"Prod. BOM Equipment","Variable Prod. Time (Hours)","Production BOM No.",$D1358,"version code",$E1358,"Resource No.",$O$9))</t>
  </si>
  <si>
    <t>=1/Q1358</t>
  </si>
  <si>
    <t>=R1358*N1358</t>
  </si>
  <si>
    <t>=IF(K1359=0,"hide","")</t>
  </si>
  <si>
    <t>=D1358</t>
  </si>
  <si>
    <t>=NL("sum","Production Order","Quantity","Source No.",$D1359,"Equipment Code",$L1359,"due date",F$8)/-12</t>
  </si>
  <si>
    <t>=NL("sum","Production Order","Quantity","Source No.",$D1359,"Equipment Code",$L1359,"due date",G$8)/-12</t>
  </si>
  <si>
    <t>=NL("sum","Production Order","Quantity","Source No.",$D1359,"Equipment Code",$L1359,"due date",H$8)/-12</t>
  </si>
  <si>
    <t>=NL("sum","Production Order","Quantity","Source No.",$D1359,"Equipment Code",$L1359,"due date",I$8)/-12</t>
  </si>
  <si>
    <t>=NL("sum","Production Order","Quantity","Source No.",$D1359,"Equipment Code",$L1359,"due date",J$8)/$J$7</t>
  </si>
  <si>
    <t>=AVERAGE(I1359:J1359)</t>
  </si>
  <si>
    <t>=IF(K1360=0,"hide","")</t>
  </si>
  <si>
    <t>=D1359</t>
  </si>
  <si>
    <t>=NL("sum","Production Order","Quantity","Source No.",$D1360,"Equipment Code",$L1360,"due date",F$8)/-12</t>
  </si>
  <si>
    <t>=NL("sum","Production Order","Quantity","Source No.",$D1360,"Equipment Code",$L1360,"due date",G$8)/-12</t>
  </si>
  <si>
    <t>=NL("sum","Production Order","Quantity","Source No.",$D1360,"Equipment Code",$L1360,"due date",H$8)/-12</t>
  </si>
  <si>
    <t>=NL("sum","Production Order","Quantity","Source No.",$D1360,"Equipment Code",$L1360,"due date",I$8)/-12</t>
  </si>
  <si>
    <t>=NL("sum","Production Order","Quantity","Source No.",$D1360,"Equipment Code",$L1360,"due date",J$8)/$J$7</t>
  </si>
  <si>
    <t>=AVERAGE(I1360:J1360)</t>
  </si>
  <si>
    <t>=IF(K1361=0,"hide","")</t>
  </si>
  <si>
    <t>=D1360</t>
  </si>
  <si>
    <t>=NL("sum","Production Order","Quantity","Source No.",$D1361,"Equipment Code",$L1361,"due date",F$8)/-12</t>
  </si>
  <si>
    <t>=NL("sum","Production Order","Quantity","Source No.",$D1361,"Equipment Code",$L1361,"due date",G$8)/-12</t>
  </si>
  <si>
    <t>=NL("sum","Production Order","Quantity","Source No.",$D1361,"Equipment Code",$L1361,"due date",H$8)/-12</t>
  </si>
  <si>
    <t>=NL("sum","Production Order","Quantity","Source No.",$D1361,"Equipment Code",$L1361,"due date",I$8)/-12</t>
  </si>
  <si>
    <t>=NL("sum","Production Order","Quantity","Source No.",$D1361,"Equipment Code",$L1361,"due date",J$8)/$J$7</t>
  </si>
  <si>
    <t>=AVERAGE(I1361:J1361)</t>
  </si>
  <si>
    <t>=IF(K1362=0,"hide","")</t>
  </si>
  <si>
    <t>=D1361</t>
  </si>
  <si>
    <t>=NL("sum","Production Order","Quantity","Source No.",$D1362,"Equipment Code",$L1362,"due date",F$8)/-12</t>
  </si>
  <si>
    <t>=NL("sum","Production Order","Quantity","Source No.",$D1362,"Equipment Code",$L1362,"due date",G$8)/-12</t>
  </si>
  <si>
    <t>=NL("sum","Production Order","Quantity","Source No.",$D1362,"Equipment Code",$L1362,"due date",H$8)/-12</t>
  </si>
  <si>
    <t>=NL("sum","Production Order","Quantity","Source No.",$D1362,"Equipment Code",$L1362,"due date",I$8)/-12</t>
  </si>
  <si>
    <t>=NL("sum","Production Order","Quantity","Source No.",$D1362,"Equipment Code",$L1362,"due date",J$8)/$J$7</t>
  </si>
  <si>
    <t>=AVERAGE(I1362:J1362)</t>
  </si>
  <si>
    <t>=B1359</t>
  </si>
  <si>
    <t>=B1363</t>
  </si>
  <si>
    <t>=SUM(F1359:F1363)</t>
  </si>
  <si>
    <t>=SUM(G1359:G1363)</t>
  </si>
  <si>
    <t>=SUM(H1359:H1363)</t>
  </si>
  <si>
    <t>=SUM(I1359:I1363)</t>
  </si>
  <si>
    <t>=SUM(J1359:J1363)</t>
  </si>
  <si>
    <t>=IF(K1365=0,"hide","")</t>
  </si>
  <si>
    <t>="15436"</t>
  </si>
  <si>
    <t>=NL("rows","Production BOM Version","Version Code","Production BOM No.",D1365,"status","certified")</t>
  </si>
  <si>
    <t>=NL("sum","Item Ledger Entry","Quantity","Item No.",$D1365,"Entry Type","Sale|Consumption","posting date","01/01/19..12/31/19")/-12</t>
  </si>
  <si>
    <t>=NL("sum","Item Ledger Entry","Quantity","Item No.",$D1365,"Entry Type","Sale|Consumption","posting date","01/01/20..12/31/20")/-12</t>
  </si>
  <si>
    <t>=NL("sum","Item Ledger Entry","Quantity","Item No.",$D1365,"Entry Type","Sale|Consumption","posting date","01/01/21..12/31/21")/-12</t>
  </si>
  <si>
    <t>=NL("sum","Item Ledger Entry","Quantity","Item No.",$D1365,"Entry Type","Sale|Consumption","posting date","01/01/22..12/31/22")/-12</t>
  </si>
  <si>
    <t>=NL("sum","Item Ledger Entry","Quantity","Item No.",$D1365,"Entry Type","Sale|Consumption","posting date","01/01/23..12/31/23")/$J$7</t>
  </si>
  <si>
    <t>=AVERAGE(I1365:J1365)</t>
  </si>
  <si>
    <t>=NL(1,"item",L$9,"no.",D1365)</t>
  </si>
  <si>
    <t>=NL(1,"item",M$9,"no.",$D1365)</t>
  </si>
  <si>
    <t>=NL(1,"item","Units Per Parcel","no.",$D1365)</t>
  </si>
  <si>
    <t>=NL(1,"Prod. BOM Equipment","Fixed Prod. Time (Hours)","Production BOM No.",$D1365,"version code",$E1365,"Resource No.",O$9)</t>
  </si>
  <si>
    <t>=1/O1365</t>
  </si>
  <si>
    <t>=IF(NL(1,"Prod. BOM Equipment","Variable Prod. Time (Hours)","Production BOM No.",$D1365,"version code",$E1365,"Resource No.",$O$9)="",1,NL(1,"Prod. BOM Equipment","Variable Prod. Time (Hours)","Production BOM No.",$D1365,"version code",$E1365,"Resource No.",$O$9))</t>
  </si>
  <si>
    <t>=1/Q1365</t>
  </si>
  <si>
    <t>=R1365*N1365</t>
  </si>
  <si>
    <t>=IF(K1366=0,"hide","")</t>
  </si>
  <si>
    <t>=D1365</t>
  </si>
  <si>
    <t>=NL("sum","Production Order","Quantity","Source No.",$D1366,"Equipment Code",$L1366,"due date",F$8)/-12</t>
  </si>
  <si>
    <t>=NL("sum","Production Order","Quantity","Source No.",$D1366,"Equipment Code",$L1366,"due date",G$8)/-12</t>
  </si>
  <si>
    <t>=NL("sum","Production Order","Quantity","Source No.",$D1366,"Equipment Code",$L1366,"due date",H$8)/-12</t>
  </si>
  <si>
    <t>=NL("sum","Production Order","Quantity","Source No.",$D1366,"Equipment Code",$L1366,"due date",I$8)/-12</t>
  </si>
  <si>
    <t>=NL("sum","Production Order","Quantity","Source No.",$D1366,"Equipment Code",$L1366,"due date",J$8)/$J$7</t>
  </si>
  <si>
    <t>=AVERAGE(I1366:J1366)</t>
  </si>
  <si>
    <t>=IF(K1367=0,"hide","")</t>
  </si>
  <si>
    <t>=D1366</t>
  </si>
  <si>
    <t>=NL("sum","Production Order","Quantity","Source No.",$D1367,"Equipment Code",$L1367,"due date",F$8)/-12</t>
  </si>
  <si>
    <t>=NL("sum","Production Order","Quantity","Source No.",$D1367,"Equipment Code",$L1367,"due date",G$8)/-12</t>
  </si>
  <si>
    <t>=NL("sum","Production Order","Quantity","Source No.",$D1367,"Equipment Code",$L1367,"due date",H$8)/-12</t>
  </si>
  <si>
    <t>=NL("sum","Production Order","Quantity","Source No.",$D1367,"Equipment Code",$L1367,"due date",I$8)/-12</t>
  </si>
  <si>
    <t>=NL("sum","Production Order","Quantity","Source No.",$D1367,"Equipment Code",$L1367,"due date",J$8)/$J$7</t>
  </si>
  <si>
    <t>=AVERAGE(I1367:J1367)</t>
  </si>
  <si>
    <t>=IF(K1368=0,"hide","")</t>
  </si>
  <si>
    <t>=D1367</t>
  </si>
  <si>
    <t>=NL("sum","Production Order","Quantity","Source No.",$D1368,"Equipment Code",$L1368,"due date",F$8)/-12</t>
  </si>
  <si>
    <t>=NL("sum","Production Order","Quantity","Source No.",$D1368,"Equipment Code",$L1368,"due date",G$8)/-12</t>
  </si>
  <si>
    <t>=NL("sum","Production Order","Quantity","Source No.",$D1368,"Equipment Code",$L1368,"due date",H$8)/-12</t>
  </si>
  <si>
    <t>=NL("sum","Production Order","Quantity","Source No.",$D1368,"Equipment Code",$L1368,"due date",I$8)/-12</t>
  </si>
  <si>
    <t>=NL("sum","Production Order","Quantity","Source No.",$D1368,"Equipment Code",$L1368,"due date",J$8)/$J$7</t>
  </si>
  <si>
    <t>=AVERAGE(I1368:J1368)</t>
  </si>
  <si>
    <t>=IF(K1369=0,"hide","")</t>
  </si>
  <si>
    <t>=D1368</t>
  </si>
  <si>
    <t>=NL("sum","Production Order","Quantity","Source No.",$D1369,"Equipment Code",$L1369,"due date",F$8)/-12</t>
  </si>
  <si>
    <t>=NL("sum","Production Order","Quantity","Source No.",$D1369,"Equipment Code",$L1369,"due date",G$8)/-12</t>
  </si>
  <si>
    <t>=NL("sum","Production Order","Quantity","Source No.",$D1369,"Equipment Code",$L1369,"due date",H$8)/-12</t>
  </si>
  <si>
    <t>=NL("sum","Production Order","Quantity","Source No.",$D1369,"Equipment Code",$L1369,"due date",I$8)/-12</t>
  </si>
  <si>
    <t>=NL("sum","Production Order","Quantity","Source No.",$D1369,"Equipment Code",$L1369,"due date",J$8)/$J$7</t>
  </si>
  <si>
    <t>=AVERAGE(I1369:J1369)</t>
  </si>
  <si>
    <t>=B1366</t>
  </si>
  <si>
    <t>=B1370</t>
  </si>
  <si>
    <t>=SUM(F1366:F1370)</t>
  </si>
  <si>
    <t>=SUM(G1366:G1370)</t>
  </si>
  <si>
    <t>=SUM(H1366:H1370)</t>
  </si>
  <si>
    <t>=SUM(I1366:I1370)</t>
  </si>
  <si>
    <t>=SUM(J1366:J1370)</t>
  </si>
  <si>
    <t>=IF(K1372=0,"hide","")</t>
  </si>
  <si>
    <t>="15505"</t>
  </si>
  <si>
    <t>=NL("rows","Production BOM Version","Version Code","Production BOM No.",D1372,"status","certified")</t>
  </si>
  <si>
    <t>=NL("sum","Item Ledger Entry","Quantity","Item No.",$D1372,"Entry Type","Sale|Consumption","posting date","01/01/19..12/31/19")/-12</t>
  </si>
  <si>
    <t>=NL("sum","Item Ledger Entry","Quantity","Item No.",$D1372,"Entry Type","Sale|Consumption","posting date","01/01/20..12/31/20")/-12</t>
  </si>
  <si>
    <t>=NL("sum","Item Ledger Entry","Quantity","Item No.",$D1372,"Entry Type","Sale|Consumption","posting date","01/01/21..12/31/21")/-12</t>
  </si>
  <si>
    <t>=NL("sum","Item Ledger Entry","Quantity","Item No.",$D1372,"Entry Type","Sale|Consumption","posting date","01/01/22..12/31/22")/-12</t>
  </si>
  <si>
    <t>=NL("sum","Item Ledger Entry","Quantity","Item No.",$D1372,"Entry Type","Sale|Consumption","posting date","01/01/23..12/31/23")/$J$7</t>
  </si>
  <si>
    <t>=AVERAGE(I1372:J1372)</t>
  </si>
  <si>
    <t>=NL(1,"item",L$9,"no.",D1372)</t>
  </si>
  <si>
    <t>=NL(1,"item",M$9,"no.",$D1372)</t>
  </si>
  <si>
    <t>=NL(1,"item","Units Per Parcel","no.",$D1372)</t>
  </si>
  <si>
    <t>=NL(1,"Prod. BOM Equipment","Fixed Prod. Time (Hours)","Production BOM No.",$D1372,"version code",$E1372,"Resource No.",O$9)</t>
  </si>
  <si>
    <t>=1/O1372</t>
  </si>
  <si>
    <t>=IF(NL(1,"Prod. BOM Equipment","Variable Prod. Time (Hours)","Production BOM No.",$D1372,"version code",$E1372,"Resource No.",$O$9)="",1,NL(1,"Prod. BOM Equipment","Variable Prod. Time (Hours)","Production BOM No.",$D1372,"version code",$E1372,"Resource No.",$O$9))</t>
  </si>
  <si>
    <t>=1/Q1372</t>
  </si>
  <si>
    <t>=R1372*N1372</t>
  </si>
  <si>
    <t>=IF(K1373=0,"hide","")</t>
  </si>
  <si>
    <t>=D1372</t>
  </si>
  <si>
    <t>=NL("sum","Production Order","Quantity","Source No.",$D1373,"Equipment Code",$L1373,"due date",F$8)/-12</t>
  </si>
  <si>
    <t>=NL("sum","Production Order","Quantity","Source No.",$D1373,"Equipment Code",$L1373,"due date",G$8)/-12</t>
  </si>
  <si>
    <t>=NL("sum","Production Order","Quantity","Source No.",$D1373,"Equipment Code",$L1373,"due date",H$8)/-12</t>
  </si>
  <si>
    <t>=NL("sum","Production Order","Quantity","Source No.",$D1373,"Equipment Code",$L1373,"due date",I$8)/-12</t>
  </si>
  <si>
    <t>=NL("sum","Production Order","Quantity","Source No.",$D1373,"Equipment Code",$L1373,"due date",J$8)/$J$7</t>
  </si>
  <si>
    <t>=AVERAGE(I1373:J1373)</t>
  </si>
  <si>
    <t>=IF(K1374=0,"hide","")</t>
  </si>
  <si>
    <t>=D1373</t>
  </si>
  <si>
    <t>=NL("sum","Production Order","Quantity","Source No.",$D1374,"Equipment Code",$L1374,"due date",F$8)/-12</t>
  </si>
  <si>
    <t>=NL("sum","Production Order","Quantity","Source No.",$D1374,"Equipment Code",$L1374,"due date",G$8)/-12</t>
  </si>
  <si>
    <t>=NL("sum","Production Order","Quantity","Source No.",$D1374,"Equipment Code",$L1374,"due date",H$8)/-12</t>
  </si>
  <si>
    <t>=NL("sum","Production Order","Quantity","Source No.",$D1374,"Equipment Code",$L1374,"due date",I$8)/-12</t>
  </si>
  <si>
    <t>=NL("sum","Production Order","Quantity","Source No.",$D1374,"Equipment Code",$L1374,"due date",J$8)/$J$7</t>
  </si>
  <si>
    <t>=AVERAGE(I1374:J1374)</t>
  </si>
  <si>
    <t>=IF(K1375=0,"hide","")</t>
  </si>
  <si>
    <t>=D1374</t>
  </si>
  <si>
    <t>=NL("sum","Production Order","Quantity","Source No.",$D1375,"Equipment Code",$L1375,"due date",F$8)/-12</t>
  </si>
  <si>
    <t>=NL("sum","Production Order","Quantity","Source No.",$D1375,"Equipment Code",$L1375,"due date",G$8)/-12</t>
  </si>
  <si>
    <t>=NL("sum","Production Order","Quantity","Source No.",$D1375,"Equipment Code",$L1375,"due date",H$8)/-12</t>
  </si>
  <si>
    <t>=NL("sum","Production Order","Quantity","Source No.",$D1375,"Equipment Code",$L1375,"due date",I$8)/-12</t>
  </si>
  <si>
    <t>=NL("sum","Production Order","Quantity","Source No.",$D1375,"Equipment Code",$L1375,"due date",J$8)/$J$7</t>
  </si>
  <si>
    <t>=AVERAGE(I1375:J1375)</t>
  </si>
  <si>
    <t>=IF(K1376=0,"hide","")</t>
  </si>
  <si>
    <t>=D1375</t>
  </si>
  <si>
    <t>=NL("sum","Production Order","Quantity","Source No.",$D1376,"Equipment Code",$L1376,"due date",F$8)/-12</t>
  </si>
  <si>
    <t>=NL("sum","Production Order","Quantity","Source No.",$D1376,"Equipment Code",$L1376,"due date",G$8)/-12</t>
  </si>
  <si>
    <t>=NL("sum","Production Order","Quantity","Source No.",$D1376,"Equipment Code",$L1376,"due date",H$8)/-12</t>
  </si>
  <si>
    <t>=NL("sum","Production Order","Quantity","Source No.",$D1376,"Equipment Code",$L1376,"due date",I$8)/-12</t>
  </si>
  <si>
    <t>=NL("sum","Production Order","Quantity","Source No.",$D1376,"Equipment Code",$L1376,"due date",J$8)/$J$7</t>
  </si>
  <si>
    <t>=AVERAGE(I1376:J1376)</t>
  </si>
  <si>
    <t>=B1373</t>
  </si>
  <si>
    <t>=B1377</t>
  </si>
  <si>
    <t>=SUM(F1373:F1377)</t>
  </si>
  <si>
    <t>=SUM(G1373:G1377)</t>
  </si>
  <si>
    <t>=SUM(H1373:H1377)</t>
  </si>
  <si>
    <t>=SUM(I1373:I1377)</t>
  </si>
  <si>
    <t>=SUM(J1373:J1377)</t>
  </si>
  <si>
    <t>=IF(K1379=0,"hide","")</t>
  </si>
  <si>
    <t>="15530"</t>
  </si>
  <si>
    <t>=NL("rows","Production BOM Version","Version Code","Production BOM No.",D1379,"status","certified")</t>
  </si>
  <si>
    <t>=NL("sum","Item Ledger Entry","Quantity","Item No.",$D1379,"Entry Type","Sale|Consumption","posting date","01/01/19..12/31/19")/-12</t>
  </si>
  <si>
    <t>=NL("sum","Item Ledger Entry","Quantity","Item No.",$D1379,"Entry Type","Sale|Consumption","posting date","01/01/20..12/31/20")/-12</t>
  </si>
  <si>
    <t>=NL("sum","Item Ledger Entry","Quantity","Item No.",$D1379,"Entry Type","Sale|Consumption","posting date","01/01/21..12/31/21")/-12</t>
  </si>
  <si>
    <t>=NL("sum","Item Ledger Entry","Quantity","Item No.",$D1379,"Entry Type","Sale|Consumption","posting date","01/01/22..12/31/22")/-12</t>
  </si>
  <si>
    <t>=NL("sum","Item Ledger Entry","Quantity","Item No.",$D1379,"Entry Type","Sale|Consumption","posting date","01/01/23..12/31/23")/$J$7</t>
  </si>
  <si>
    <t>=AVERAGE(I1379:J1379)</t>
  </si>
  <si>
    <t>=NL(1,"item",L$9,"no.",D1379)</t>
  </si>
  <si>
    <t>=NL(1,"item",M$9,"no.",$D1379)</t>
  </si>
  <si>
    <t>=NL(1,"item","Units Per Parcel","no.",$D1379)</t>
  </si>
  <si>
    <t>=NL(1,"Prod. BOM Equipment","Fixed Prod. Time (Hours)","Production BOM No.",$D1379,"version code",$E1379,"Resource No.",O$9)</t>
  </si>
  <si>
    <t>=1/O1379</t>
  </si>
  <si>
    <t>=IF(NL(1,"Prod. BOM Equipment","Variable Prod. Time (Hours)","Production BOM No.",$D1379,"version code",$E1379,"Resource No.",$O$9)="",1,NL(1,"Prod. BOM Equipment","Variable Prod. Time (Hours)","Production BOM No.",$D1379,"version code",$E1379,"Resource No.",$O$9))</t>
  </si>
  <si>
    <t>=1/Q1379</t>
  </si>
  <si>
    <t>=R1379*N1379</t>
  </si>
  <si>
    <t>=IF(K1380=0,"hide","")</t>
  </si>
  <si>
    <t>=D1379</t>
  </si>
  <si>
    <t>=NL("sum","Production Order","Quantity","Source No.",$D1380,"Equipment Code",$L1380,"due date",F$8)/-12</t>
  </si>
  <si>
    <t>=NL("sum","Production Order","Quantity","Source No.",$D1380,"Equipment Code",$L1380,"due date",G$8)/-12</t>
  </si>
  <si>
    <t>=NL("sum","Production Order","Quantity","Source No.",$D1380,"Equipment Code",$L1380,"due date",H$8)/-12</t>
  </si>
  <si>
    <t>=NL("sum","Production Order","Quantity","Source No.",$D1380,"Equipment Code",$L1380,"due date",I$8)/-12</t>
  </si>
  <si>
    <t>=NL("sum","Production Order","Quantity","Source No.",$D1380,"Equipment Code",$L1380,"due date",J$8)/$J$7</t>
  </si>
  <si>
    <t>=AVERAGE(I1380:J1380)</t>
  </si>
  <si>
    <t>=IF(K1381=0,"hide","")</t>
  </si>
  <si>
    <t>=D1380</t>
  </si>
  <si>
    <t>=NL("sum","Production Order","Quantity","Source No.",$D1381,"Equipment Code",$L1381,"due date",F$8)/-12</t>
  </si>
  <si>
    <t>=NL("sum","Production Order","Quantity","Source No.",$D1381,"Equipment Code",$L1381,"due date",G$8)/-12</t>
  </si>
  <si>
    <t>=NL("sum","Production Order","Quantity","Source No.",$D1381,"Equipment Code",$L1381,"due date",H$8)/-12</t>
  </si>
  <si>
    <t>=NL("sum","Production Order","Quantity","Source No.",$D1381,"Equipment Code",$L1381,"due date",I$8)/-12</t>
  </si>
  <si>
    <t>=NL("sum","Production Order","Quantity","Source No.",$D1381,"Equipment Code",$L1381,"due date",J$8)/$J$7</t>
  </si>
  <si>
    <t>=AVERAGE(I1381:J1381)</t>
  </si>
  <si>
    <t>=IF(K1382=0,"hide","")</t>
  </si>
  <si>
    <t>=D1381</t>
  </si>
  <si>
    <t>=NL("sum","Production Order","Quantity","Source No.",$D1382,"Equipment Code",$L1382,"due date",F$8)/-12</t>
  </si>
  <si>
    <t>=NL("sum","Production Order","Quantity","Source No.",$D1382,"Equipment Code",$L1382,"due date",G$8)/-12</t>
  </si>
  <si>
    <t>=NL("sum","Production Order","Quantity","Source No.",$D1382,"Equipment Code",$L1382,"due date",H$8)/-12</t>
  </si>
  <si>
    <t>=NL("sum","Production Order","Quantity","Source No.",$D1382,"Equipment Code",$L1382,"due date",I$8)/-12</t>
  </si>
  <si>
    <t>=NL("sum","Production Order","Quantity","Source No.",$D1382,"Equipment Code",$L1382,"due date",J$8)/$J$7</t>
  </si>
  <si>
    <t>=AVERAGE(I1382:J1382)</t>
  </si>
  <si>
    <t>=IF(K1383=0,"hide","")</t>
  </si>
  <si>
    <t>=D1382</t>
  </si>
  <si>
    <t>=NL("sum","Production Order","Quantity","Source No.",$D1383,"Equipment Code",$L1383,"due date",F$8)/-12</t>
  </si>
  <si>
    <t>=NL("sum","Production Order","Quantity","Source No.",$D1383,"Equipment Code",$L1383,"due date",G$8)/-12</t>
  </si>
  <si>
    <t>=NL("sum","Production Order","Quantity","Source No.",$D1383,"Equipment Code",$L1383,"due date",H$8)/-12</t>
  </si>
  <si>
    <t>=NL("sum","Production Order","Quantity","Source No.",$D1383,"Equipment Code",$L1383,"due date",I$8)/-12</t>
  </si>
  <si>
    <t>=NL("sum","Production Order","Quantity","Source No.",$D1383,"Equipment Code",$L1383,"due date",J$8)/$J$7</t>
  </si>
  <si>
    <t>=AVERAGE(I1383:J1383)</t>
  </si>
  <si>
    <t>=B1380</t>
  </si>
  <si>
    <t>=B1384</t>
  </si>
  <si>
    <t>=SUM(F1380:F1384)</t>
  </si>
  <si>
    <t>=SUM(G1380:G1384)</t>
  </si>
  <si>
    <t>=SUM(H1380:H1384)</t>
  </si>
  <si>
    <t>=SUM(I1380:I1384)</t>
  </si>
  <si>
    <t>=SUM(J1380:J1384)</t>
  </si>
  <si>
    <t>=IF(K1386=0,"hide","")</t>
  </si>
  <si>
    <t>="15605"</t>
  </si>
  <si>
    <t>=NL("rows","Production BOM Version","Version Code","Production BOM No.",D1386,"status","certified")</t>
  </si>
  <si>
    <t>=NL("sum","Item Ledger Entry","Quantity","Item No.",$D1386,"Entry Type","Sale|Consumption","posting date","01/01/19..12/31/19")/-12</t>
  </si>
  <si>
    <t>=NL("sum","Item Ledger Entry","Quantity","Item No.",$D1386,"Entry Type","Sale|Consumption","posting date","01/01/20..12/31/20")/-12</t>
  </si>
  <si>
    <t>=NL("sum","Item Ledger Entry","Quantity","Item No.",$D1386,"Entry Type","Sale|Consumption","posting date","01/01/21..12/31/21")/-12</t>
  </si>
  <si>
    <t>=NL("sum","Item Ledger Entry","Quantity","Item No.",$D1386,"Entry Type","Sale|Consumption","posting date","01/01/22..12/31/22")/-12</t>
  </si>
  <si>
    <t>=NL("sum","Item Ledger Entry","Quantity","Item No.",$D1386,"Entry Type","Sale|Consumption","posting date","01/01/23..12/31/23")/$J$7</t>
  </si>
  <si>
    <t>=AVERAGE(I1386:J1386)</t>
  </si>
  <si>
    <t>=NL(1,"item",L$9,"no.",D1386)</t>
  </si>
  <si>
    <t>=NL(1,"item",M$9,"no.",$D1386)</t>
  </si>
  <si>
    <t>=NL(1,"item","Units Per Parcel","no.",$D1386)</t>
  </si>
  <si>
    <t>=NL(1,"Prod. BOM Equipment","Fixed Prod. Time (Hours)","Production BOM No.",$D1386,"version code",$E1386,"Resource No.",O$9)</t>
  </si>
  <si>
    <t>=1/O1386</t>
  </si>
  <si>
    <t>=IF(NL(1,"Prod. BOM Equipment","Variable Prod. Time (Hours)","Production BOM No.",$D1386,"version code",$E1386,"Resource No.",$O$9)="",1,NL(1,"Prod. BOM Equipment","Variable Prod. Time (Hours)","Production BOM No.",$D1386,"version code",$E1386,"Resource No.",$O$9))</t>
  </si>
  <si>
    <t>=1/Q1386</t>
  </si>
  <si>
    <t>=R1386*N1386</t>
  </si>
  <si>
    <t>=IF(K1387=0,"hide","")</t>
  </si>
  <si>
    <t>=D1386</t>
  </si>
  <si>
    <t>=NL("sum","Production Order","Quantity","Source No.",$D1387,"Equipment Code",$L1387,"due date",F$8)/-12</t>
  </si>
  <si>
    <t>=NL("sum","Production Order","Quantity","Source No.",$D1387,"Equipment Code",$L1387,"due date",G$8)/-12</t>
  </si>
  <si>
    <t>=NL("sum","Production Order","Quantity","Source No.",$D1387,"Equipment Code",$L1387,"due date",H$8)/-12</t>
  </si>
  <si>
    <t>=NL("sum","Production Order","Quantity","Source No.",$D1387,"Equipment Code",$L1387,"due date",I$8)/-12</t>
  </si>
  <si>
    <t>=NL("sum","Production Order","Quantity","Source No.",$D1387,"Equipment Code",$L1387,"due date",J$8)/$J$7</t>
  </si>
  <si>
    <t>=AVERAGE(I1387:J1387)</t>
  </si>
  <si>
    <t>=IF(K1388=0,"hide","")</t>
  </si>
  <si>
    <t>=D1387</t>
  </si>
  <si>
    <t>=NL("sum","Production Order","Quantity","Source No.",$D1388,"Equipment Code",$L1388,"due date",F$8)/-12</t>
  </si>
  <si>
    <t>=NL("sum","Production Order","Quantity","Source No.",$D1388,"Equipment Code",$L1388,"due date",G$8)/-12</t>
  </si>
  <si>
    <t>=NL("sum","Production Order","Quantity","Source No.",$D1388,"Equipment Code",$L1388,"due date",H$8)/-12</t>
  </si>
  <si>
    <t>=NL("sum","Production Order","Quantity","Source No.",$D1388,"Equipment Code",$L1388,"due date",I$8)/-12</t>
  </si>
  <si>
    <t>=NL("sum","Production Order","Quantity","Source No.",$D1388,"Equipment Code",$L1388,"due date",J$8)/$J$7</t>
  </si>
  <si>
    <t>=AVERAGE(I1388:J1388)</t>
  </si>
  <si>
    <t>=IF(K1389=0,"hide","")</t>
  </si>
  <si>
    <t>=D1388</t>
  </si>
  <si>
    <t>=NL("sum","Production Order","Quantity","Source No.",$D1389,"Equipment Code",$L1389,"due date",F$8)/-12</t>
  </si>
  <si>
    <t>=NL("sum","Production Order","Quantity","Source No.",$D1389,"Equipment Code",$L1389,"due date",G$8)/-12</t>
  </si>
  <si>
    <t>=NL("sum","Production Order","Quantity","Source No.",$D1389,"Equipment Code",$L1389,"due date",H$8)/-12</t>
  </si>
  <si>
    <t>=NL("sum","Production Order","Quantity","Source No.",$D1389,"Equipment Code",$L1389,"due date",I$8)/-12</t>
  </si>
  <si>
    <t>=NL("sum","Production Order","Quantity","Source No.",$D1389,"Equipment Code",$L1389,"due date",J$8)/$J$7</t>
  </si>
  <si>
    <t>=AVERAGE(I1389:J1389)</t>
  </si>
  <si>
    <t>=IF(K1390=0,"hide","")</t>
  </si>
  <si>
    <t>=D1389</t>
  </si>
  <si>
    <t>=NL("sum","Production Order","Quantity","Source No.",$D1390,"Equipment Code",$L1390,"due date",F$8)/-12</t>
  </si>
  <si>
    <t>=NL("sum","Production Order","Quantity","Source No.",$D1390,"Equipment Code",$L1390,"due date",G$8)/-12</t>
  </si>
  <si>
    <t>=NL("sum","Production Order","Quantity","Source No.",$D1390,"Equipment Code",$L1390,"due date",H$8)/-12</t>
  </si>
  <si>
    <t>=NL("sum","Production Order","Quantity","Source No.",$D1390,"Equipment Code",$L1390,"due date",I$8)/-12</t>
  </si>
  <si>
    <t>=NL("sum","Production Order","Quantity","Source No.",$D1390,"Equipment Code",$L1390,"due date",J$8)/$J$7</t>
  </si>
  <si>
    <t>=AVERAGE(I1390:J1390)</t>
  </si>
  <si>
    <t>=B1387</t>
  </si>
  <si>
    <t>=B1391</t>
  </si>
  <si>
    <t>=SUM(F1387:F1391)</t>
  </si>
  <si>
    <t>=SUM(G1387:G1391)</t>
  </si>
  <si>
    <t>=SUM(H1387:H1391)</t>
  </si>
  <si>
    <t>=SUM(I1387:I1391)</t>
  </si>
  <si>
    <t>=SUM(J1387:J1391)</t>
  </si>
  <si>
    <t>=IF(K1393=0,"hide","")</t>
  </si>
  <si>
    <t>="16429"</t>
  </si>
  <si>
    <t>=NL("rows","Production BOM Version","Version Code","Production BOM No.",D1393,"status","certified")</t>
  </si>
  <si>
    <t>=NL("sum","Item Ledger Entry","Quantity","Item No.",$D1393,"Entry Type","Sale|Consumption","posting date","01/01/19..12/31/19")/-12</t>
  </si>
  <si>
    <t>=NL("sum","Item Ledger Entry","Quantity","Item No.",$D1393,"Entry Type","Sale|Consumption","posting date","01/01/20..12/31/20")/-12</t>
  </si>
  <si>
    <t>=NL("sum","Item Ledger Entry","Quantity","Item No.",$D1393,"Entry Type","Sale|Consumption","posting date","01/01/21..12/31/21")/-12</t>
  </si>
  <si>
    <t>=NL("sum","Item Ledger Entry","Quantity","Item No.",$D1393,"Entry Type","Sale|Consumption","posting date","01/01/22..12/31/22")/-12</t>
  </si>
  <si>
    <t>=NL("sum","Item Ledger Entry","Quantity","Item No.",$D1393,"Entry Type","Sale|Consumption","posting date","01/01/23..12/31/23")/$J$7</t>
  </si>
  <si>
    <t>=AVERAGE(I1393:J1393)</t>
  </si>
  <si>
    <t>=NL(1,"item",L$9,"no.",D1393)</t>
  </si>
  <si>
    <t>=NL(1,"item",M$9,"no.",$D1393)</t>
  </si>
  <si>
    <t>=NL(1,"item","Units Per Parcel","no.",$D1393)</t>
  </si>
  <si>
    <t>=NL(1,"Prod. BOM Equipment","Fixed Prod. Time (Hours)","Production BOM No.",$D1393,"version code",$E1393,"Resource No.",O$9)</t>
  </si>
  <si>
    <t>=1/O1393</t>
  </si>
  <si>
    <t>=IF(NL(1,"Prod. BOM Equipment","Variable Prod. Time (Hours)","Production BOM No.",$D1393,"version code",$E1393,"Resource No.",$O$9)="",1,NL(1,"Prod. BOM Equipment","Variable Prod. Time (Hours)","Production BOM No.",$D1393,"version code",$E1393,"Resource No.",$O$9))</t>
  </si>
  <si>
    <t>=1/Q1393</t>
  </si>
  <si>
    <t>=R1393*N1393</t>
  </si>
  <si>
    <t>=IF(K1394=0,"hide","")</t>
  </si>
  <si>
    <t>=D1393</t>
  </si>
  <si>
    <t>=NL("sum","Production Order","Quantity","Source No.",$D1394,"Equipment Code",$L1394,"due date",F$8)/-12</t>
  </si>
  <si>
    <t>=NL("sum","Production Order","Quantity","Source No.",$D1394,"Equipment Code",$L1394,"due date",G$8)/-12</t>
  </si>
  <si>
    <t>=NL("sum","Production Order","Quantity","Source No.",$D1394,"Equipment Code",$L1394,"due date",H$8)/-12</t>
  </si>
  <si>
    <t>=NL("sum","Production Order","Quantity","Source No.",$D1394,"Equipment Code",$L1394,"due date",I$8)/-12</t>
  </si>
  <si>
    <t>=NL("sum","Production Order","Quantity","Source No.",$D1394,"Equipment Code",$L1394,"due date",J$8)/$J$7</t>
  </si>
  <si>
    <t>=AVERAGE(I1394:J1394)</t>
  </si>
  <si>
    <t>=IF(K1395=0,"hide","")</t>
  </si>
  <si>
    <t>=D1394</t>
  </si>
  <si>
    <t>=NL("sum","Production Order","Quantity","Source No.",$D1395,"Equipment Code",$L1395,"due date",F$8)/-12</t>
  </si>
  <si>
    <t>=NL("sum","Production Order","Quantity","Source No.",$D1395,"Equipment Code",$L1395,"due date",G$8)/-12</t>
  </si>
  <si>
    <t>=NL("sum","Production Order","Quantity","Source No.",$D1395,"Equipment Code",$L1395,"due date",H$8)/-12</t>
  </si>
  <si>
    <t>=NL("sum","Production Order","Quantity","Source No.",$D1395,"Equipment Code",$L1395,"due date",I$8)/-12</t>
  </si>
  <si>
    <t>=NL("sum","Production Order","Quantity","Source No.",$D1395,"Equipment Code",$L1395,"due date",J$8)/$J$7</t>
  </si>
  <si>
    <t>=AVERAGE(I1395:J1395)</t>
  </si>
  <si>
    <t>=IF(K1396=0,"hide","")</t>
  </si>
  <si>
    <t>=D1395</t>
  </si>
  <si>
    <t>=NL("sum","Production Order","Quantity","Source No.",$D1396,"Equipment Code",$L1396,"due date",F$8)/-12</t>
  </si>
  <si>
    <t>=NL("sum","Production Order","Quantity","Source No.",$D1396,"Equipment Code",$L1396,"due date",G$8)/-12</t>
  </si>
  <si>
    <t>=NL("sum","Production Order","Quantity","Source No.",$D1396,"Equipment Code",$L1396,"due date",H$8)/-12</t>
  </si>
  <si>
    <t>=NL("sum","Production Order","Quantity","Source No.",$D1396,"Equipment Code",$L1396,"due date",I$8)/-12</t>
  </si>
  <si>
    <t>=NL("sum","Production Order","Quantity","Source No.",$D1396,"Equipment Code",$L1396,"due date",J$8)/$J$7</t>
  </si>
  <si>
    <t>=AVERAGE(I1396:J1396)</t>
  </si>
  <si>
    <t>=IF(K1397=0,"hide","")</t>
  </si>
  <si>
    <t>=D1396</t>
  </si>
  <si>
    <t>=NL("sum","Production Order","Quantity","Source No.",$D1397,"Equipment Code",$L1397,"due date",F$8)/-12</t>
  </si>
  <si>
    <t>=NL("sum","Production Order","Quantity","Source No.",$D1397,"Equipment Code",$L1397,"due date",G$8)/-12</t>
  </si>
  <si>
    <t>=NL("sum","Production Order","Quantity","Source No.",$D1397,"Equipment Code",$L1397,"due date",H$8)/-12</t>
  </si>
  <si>
    <t>=NL("sum","Production Order","Quantity","Source No.",$D1397,"Equipment Code",$L1397,"due date",I$8)/-12</t>
  </si>
  <si>
    <t>=NL("sum","Production Order","Quantity","Source No.",$D1397,"Equipment Code",$L1397,"due date",J$8)/$J$7</t>
  </si>
  <si>
    <t>=AVERAGE(I1397:J1397)</t>
  </si>
  <si>
    <t>=B1394</t>
  </si>
  <si>
    <t>=B1398</t>
  </si>
  <si>
    <t>=SUM(F1394:F1398)</t>
  </si>
  <si>
    <t>=SUM(G1394:G1398)</t>
  </si>
  <si>
    <t>=SUM(H1394:H1398)</t>
  </si>
  <si>
    <t>=SUM(I1394:I1398)</t>
  </si>
  <si>
    <t>=SUM(J1394:J1398)</t>
  </si>
  <si>
    <t>=IF(K1400=0,"hide","")</t>
  </si>
  <si>
    <t>="16619"</t>
  </si>
  <si>
    <t>=NL("rows","Production BOM Version","Version Code","Production BOM No.",D1400,"status","certified")</t>
  </si>
  <si>
    <t>=NL("sum","Item Ledger Entry","Quantity","Item No.",$D1400,"Entry Type","Sale|Consumption","posting date","01/01/19..12/31/19")/-12</t>
  </si>
  <si>
    <t>=NL("sum","Item Ledger Entry","Quantity","Item No.",$D1400,"Entry Type","Sale|Consumption","posting date","01/01/20..12/31/20")/-12</t>
  </si>
  <si>
    <t>=NL("sum","Item Ledger Entry","Quantity","Item No.",$D1400,"Entry Type","Sale|Consumption","posting date","01/01/21..12/31/21")/-12</t>
  </si>
  <si>
    <t>=NL("sum","Item Ledger Entry","Quantity","Item No.",$D1400,"Entry Type","Sale|Consumption","posting date","01/01/22..12/31/22")/-12</t>
  </si>
  <si>
    <t>=NL("sum","Item Ledger Entry","Quantity","Item No.",$D1400,"Entry Type","Sale|Consumption","posting date","01/01/23..12/31/23")/$J$7</t>
  </si>
  <si>
    <t>=AVERAGE(I1400:J1400)</t>
  </si>
  <si>
    <t>=NL(1,"item",L$9,"no.",D1400)</t>
  </si>
  <si>
    <t>=NL(1,"item",M$9,"no.",$D1400)</t>
  </si>
  <si>
    <t>=NL(1,"item","Units Per Parcel","no.",$D1400)</t>
  </si>
  <si>
    <t>=NL(1,"Prod. BOM Equipment","Fixed Prod. Time (Hours)","Production BOM No.",$D1400,"version code",$E1400,"Resource No.",O$9)</t>
  </si>
  <si>
    <t>=1/O1400</t>
  </si>
  <si>
    <t>=IF(NL(1,"Prod. BOM Equipment","Variable Prod. Time (Hours)","Production BOM No.",$D1400,"version code",$E1400,"Resource No.",$O$9)="",1,NL(1,"Prod. BOM Equipment","Variable Prod. Time (Hours)","Production BOM No.",$D1400,"version code",$E1400,"Resource No.",$O$9))</t>
  </si>
  <si>
    <t>=1/Q1400</t>
  </si>
  <si>
    <t>=R1400*N1400</t>
  </si>
  <si>
    <t>=IF(K1401=0,"hide","")</t>
  </si>
  <si>
    <t>=D1400</t>
  </si>
  <si>
    <t>=NL("sum","Production Order","Quantity","Source No.",$D1401,"Equipment Code",$L1401,"due date",F$8)/-12</t>
  </si>
  <si>
    <t>=NL("sum","Production Order","Quantity","Source No.",$D1401,"Equipment Code",$L1401,"due date",G$8)/-12</t>
  </si>
  <si>
    <t>=NL("sum","Production Order","Quantity","Source No.",$D1401,"Equipment Code",$L1401,"due date",H$8)/-12</t>
  </si>
  <si>
    <t>=NL("sum","Production Order","Quantity","Source No.",$D1401,"Equipment Code",$L1401,"due date",I$8)/-12</t>
  </si>
  <si>
    <t>=NL("sum","Production Order","Quantity","Source No.",$D1401,"Equipment Code",$L1401,"due date",J$8)/$J$7</t>
  </si>
  <si>
    <t>=AVERAGE(I1401:J1401)</t>
  </si>
  <si>
    <t>=IF(K1402=0,"hide","")</t>
  </si>
  <si>
    <t>=D1401</t>
  </si>
  <si>
    <t>=NL("sum","Production Order","Quantity","Source No.",$D1402,"Equipment Code",$L1402,"due date",F$8)/-12</t>
  </si>
  <si>
    <t>=NL("sum","Production Order","Quantity","Source No.",$D1402,"Equipment Code",$L1402,"due date",G$8)/-12</t>
  </si>
  <si>
    <t>=NL("sum","Production Order","Quantity","Source No.",$D1402,"Equipment Code",$L1402,"due date",H$8)/-12</t>
  </si>
  <si>
    <t>=NL("sum","Production Order","Quantity","Source No.",$D1402,"Equipment Code",$L1402,"due date",I$8)/-12</t>
  </si>
  <si>
    <t>=NL("sum","Production Order","Quantity","Source No.",$D1402,"Equipment Code",$L1402,"due date",J$8)/$J$7</t>
  </si>
  <si>
    <t>=AVERAGE(I1402:J1402)</t>
  </si>
  <si>
    <t>=IF(K1403=0,"hide","")</t>
  </si>
  <si>
    <t>=D1402</t>
  </si>
  <si>
    <t>=NL("sum","Production Order","Quantity","Source No.",$D1403,"Equipment Code",$L1403,"due date",F$8)/-12</t>
  </si>
  <si>
    <t>=NL("sum","Production Order","Quantity","Source No.",$D1403,"Equipment Code",$L1403,"due date",G$8)/-12</t>
  </si>
  <si>
    <t>=NL("sum","Production Order","Quantity","Source No.",$D1403,"Equipment Code",$L1403,"due date",H$8)/-12</t>
  </si>
  <si>
    <t>=NL("sum","Production Order","Quantity","Source No.",$D1403,"Equipment Code",$L1403,"due date",I$8)/-12</t>
  </si>
  <si>
    <t>=NL("sum","Production Order","Quantity","Source No.",$D1403,"Equipment Code",$L1403,"due date",J$8)/$J$7</t>
  </si>
  <si>
    <t>=AVERAGE(I1403:J1403)</t>
  </si>
  <si>
    <t>=IF(K1404=0,"hide","")</t>
  </si>
  <si>
    <t>=D1403</t>
  </si>
  <si>
    <t>=NL("sum","Production Order","Quantity","Source No.",$D1404,"Equipment Code",$L1404,"due date",F$8)/-12</t>
  </si>
  <si>
    <t>=NL("sum","Production Order","Quantity","Source No.",$D1404,"Equipment Code",$L1404,"due date",G$8)/-12</t>
  </si>
  <si>
    <t>=NL("sum","Production Order","Quantity","Source No.",$D1404,"Equipment Code",$L1404,"due date",H$8)/-12</t>
  </si>
  <si>
    <t>=NL("sum","Production Order","Quantity","Source No.",$D1404,"Equipment Code",$L1404,"due date",I$8)/-12</t>
  </si>
  <si>
    <t>=NL("sum","Production Order","Quantity","Source No.",$D1404,"Equipment Code",$L1404,"due date",J$8)/$J$7</t>
  </si>
  <si>
    <t>=AVERAGE(I1404:J1404)</t>
  </si>
  <si>
    <t>=B1401</t>
  </si>
  <si>
    <t>=B1405</t>
  </si>
  <si>
    <t>=SUM(F1401:F1405)</t>
  </si>
  <si>
    <t>=SUM(G1401:G1405)</t>
  </si>
  <si>
    <t>=SUM(H1401:H1405)</t>
  </si>
  <si>
    <t>=SUM(I1401:I1405)</t>
  </si>
  <si>
    <t>=SUM(J1401:J1405)</t>
  </si>
  <si>
    <t>=IF(K1407=0,"hide","")</t>
  </si>
  <si>
    <t>="16661"</t>
  </si>
  <si>
    <t>=NL("rows","Production BOM Version","Version Code","Production BOM No.",D1407,"status","certified")</t>
  </si>
  <si>
    <t>=NL("sum","Item Ledger Entry","Quantity","Item No.",$D1407,"Entry Type","Sale|Consumption","posting date","01/01/19..12/31/19")/-12</t>
  </si>
  <si>
    <t>=NL("sum","Item Ledger Entry","Quantity","Item No.",$D1407,"Entry Type","Sale|Consumption","posting date","01/01/20..12/31/20")/-12</t>
  </si>
  <si>
    <t>=NL("sum","Item Ledger Entry","Quantity","Item No.",$D1407,"Entry Type","Sale|Consumption","posting date","01/01/21..12/31/21")/-12</t>
  </si>
  <si>
    <t>=NL("sum","Item Ledger Entry","Quantity","Item No.",$D1407,"Entry Type","Sale|Consumption","posting date","01/01/22..12/31/22")/-12</t>
  </si>
  <si>
    <t>=NL("sum","Item Ledger Entry","Quantity","Item No.",$D1407,"Entry Type","Sale|Consumption","posting date","01/01/23..12/31/23")/$J$7</t>
  </si>
  <si>
    <t>=AVERAGE(I1407:J1407)</t>
  </si>
  <si>
    <t>=NL(1,"item",L$9,"no.",D1407)</t>
  </si>
  <si>
    <t>=NL(1,"item",M$9,"no.",$D1407)</t>
  </si>
  <si>
    <t>=NL(1,"item","Units Per Parcel","no.",$D1407)</t>
  </si>
  <si>
    <t>=NL(1,"Prod. BOM Equipment","Fixed Prod. Time (Hours)","Production BOM No.",$D1407,"version code",$E1407,"Resource No.",O$9)</t>
  </si>
  <si>
    <t>=1/O1407</t>
  </si>
  <si>
    <t>=IF(NL(1,"Prod. BOM Equipment","Variable Prod. Time (Hours)","Production BOM No.",$D1407,"version code",$E1407,"Resource No.",$O$9)="",1,NL(1,"Prod. BOM Equipment","Variable Prod. Time (Hours)","Production BOM No.",$D1407,"version code",$E1407,"Resource No.",$O$9))</t>
  </si>
  <si>
    <t>=1/Q1407</t>
  </si>
  <si>
    <t>=R1407*N1407</t>
  </si>
  <si>
    <t>=IF(K1408=0,"hide","")</t>
  </si>
  <si>
    <t>=D1407</t>
  </si>
  <si>
    <t>=NL("sum","Production Order","Quantity","Source No.",$D1408,"Equipment Code",$L1408,"due date",F$8)/-12</t>
  </si>
  <si>
    <t>=NL("sum","Production Order","Quantity","Source No.",$D1408,"Equipment Code",$L1408,"due date",G$8)/-12</t>
  </si>
  <si>
    <t>=NL("sum","Production Order","Quantity","Source No.",$D1408,"Equipment Code",$L1408,"due date",H$8)/-12</t>
  </si>
  <si>
    <t>=NL("sum","Production Order","Quantity","Source No.",$D1408,"Equipment Code",$L1408,"due date",I$8)/-12</t>
  </si>
  <si>
    <t>=NL("sum","Production Order","Quantity","Source No.",$D1408,"Equipment Code",$L1408,"due date",J$8)/$J$7</t>
  </si>
  <si>
    <t>=AVERAGE(I1408:J1408)</t>
  </si>
  <si>
    <t>=IF(K1409=0,"hide","")</t>
  </si>
  <si>
    <t>=D1408</t>
  </si>
  <si>
    <t>=NL("sum","Production Order","Quantity","Source No.",$D1409,"Equipment Code",$L1409,"due date",F$8)/-12</t>
  </si>
  <si>
    <t>=NL("sum","Production Order","Quantity","Source No.",$D1409,"Equipment Code",$L1409,"due date",G$8)/-12</t>
  </si>
  <si>
    <t>=NL("sum","Production Order","Quantity","Source No.",$D1409,"Equipment Code",$L1409,"due date",H$8)/-12</t>
  </si>
  <si>
    <t>=NL("sum","Production Order","Quantity","Source No.",$D1409,"Equipment Code",$L1409,"due date",I$8)/-12</t>
  </si>
  <si>
    <t>=NL("sum","Production Order","Quantity","Source No.",$D1409,"Equipment Code",$L1409,"due date",J$8)/$J$7</t>
  </si>
  <si>
    <t>=AVERAGE(I1409:J1409)</t>
  </si>
  <si>
    <t>=IF(K1410=0,"hide","")</t>
  </si>
  <si>
    <t>=D1409</t>
  </si>
  <si>
    <t>=NL("sum","Production Order","Quantity","Source No.",$D1410,"Equipment Code",$L1410,"due date",F$8)/-12</t>
  </si>
  <si>
    <t>=NL("sum","Production Order","Quantity","Source No.",$D1410,"Equipment Code",$L1410,"due date",G$8)/-12</t>
  </si>
  <si>
    <t>=NL("sum","Production Order","Quantity","Source No.",$D1410,"Equipment Code",$L1410,"due date",H$8)/-12</t>
  </si>
  <si>
    <t>=NL("sum","Production Order","Quantity","Source No.",$D1410,"Equipment Code",$L1410,"due date",I$8)/-12</t>
  </si>
  <si>
    <t>=NL("sum","Production Order","Quantity","Source No.",$D1410,"Equipment Code",$L1410,"due date",J$8)/$J$7</t>
  </si>
  <si>
    <t>=AVERAGE(I1410:J1410)</t>
  </si>
  <si>
    <t>=IF(K1411=0,"hide","")</t>
  </si>
  <si>
    <t>=D1410</t>
  </si>
  <si>
    <t>=NL("sum","Production Order","Quantity","Source No.",$D1411,"Equipment Code",$L1411,"due date",F$8)/-12</t>
  </si>
  <si>
    <t>=NL("sum","Production Order","Quantity","Source No.",$D1411,"Equipment Code",$L1411,"due date",G$8)/-12</t>
  </si>
  <si>
    <t>=NL("sum","Production Order","Quantity","Source No.",$D1411,"Equipment Code",$L1411,"due date",H$8)/-12</t>
  </si>
  <si>
    <t>=NL("sum","Production Order","Quantity","Source No.",$D1411,"Equipment Code",$L1411,"due date",I$8)/-12</t>
  </si>
  <si>
    <t>=NL("sum","Production Order","Quantity","Source No.",$D1411,"Equipment Code",$L1411,"due date",J$8)/$J$7</t>
  </si>
  <si>
    <t>=AVERAGE(I1411:J1411)</t>
  </si>
  <si>
    <t>=B1408</t>
  </si>
  <si>
    <t>=B1412</t>
  </si>
  <si>
    <t>=SUM(F1408:F1412)</t>
  </si>
  <si>
    <t>=SUM(G1408:G1412)</t>
  </si>
  <si>
    <t>=SUM(H1408:H1412)</t>
  </si>
  <si>
    <t>=SUM(I1408:I1412)</t>
  </si>
  <si>
    <t>=SUM(J1408:J1412)</t>
  </si>
  <si>
    <t>=IF(K1414=0,"hide","")</t>
  </si>
  <si>
    <t>="16812"</t>
  </si>
  <si>
    <t>=NL("rows","Production BOM Version","Version Code","Production BOM No.",D1414,"status","certified")</t>
  </si>
  <si>
    <t>=NL("sum","Item Ledger Entry","Quantity","Item No.",$D1414,"Entry Type","Sale|Consumption","posting date","01/01/19..12/31/19")/-12</t>
  </si>
  <si>
    <t>=NL("sum","Item Ledger Entry","Quantity","Item No.",$D1414,"Entry Type","Sale|Consumption","posting date","01/01/20..12/31/20")/-12</t>
  </si>
  <si>
    <t>=NL("sum","Item Ledger Entry","Quantity","Item No.",$D1414,"Entry Type","Sale|Consumption","posting date","01/01/21..12/31/21")/-12</t>
  </si>
  <si>
    <t>=NL("sum","Item Ledger Entry","Quantity","Item No.",$D1414,"Entry Type","Sale|Consumption","posting date","01/01/22..12/31/22")/-12</t>
  </si>
  <si>
    <t>=NL("sum","Item Ledger Entry","Quantity","Item No.",$D1414,"Entry Type","Sale|Consumption","posting date","01/01/23..12/31/23")/$J$7</t>
  </si>
  <si>
    <t>=AVERAGE(I1414:J1414)</t>
  </si>
  <si>
    <t>=NL(1,"item",L$9,"no.",D1414)</t>
  </si>
  <si>
    <t>=NL(1,"item",M$9,"no.",$D1414)</t>
  </si>
  <si>
    <t>=NL(1,"item","Units Per Parcel","no.",$D1414)</t>
  </si>
  <si>
    <t>=NL(1,"Prod. BOM Equipment","Fixed Prod. Time (Hours)","Production BOM No.",$D1414,"version code",$E1414,"Resource No.",O$9)</t>
  </si>
  <si>
    <t>=1/O1414</t>
  </si>
  <si>
    <t>=IF(NL(1,"Prod. BOM Equipment","Variable Prod. Time (Hours)","Production BOM No.",$D1414,"version code",$E1414,"Resource No.",$O$9)="",1,NL(1,"Prod. BOM Equipment","Variable Prod. Time (Hours)","Production BOM No.",$D1414,"version code",$E1414,"Resource No.",$O$9))</t>
  </si>
  <si>
    <t>=1/Q1414</t>
  </si>
  <si>
    <t>=R1414*N1414</t>
  </si>
  <si>
    <t>=IF(K1415=0,"hide","")</t>
  </si>
  <si>
    <t>=D1414</t>
  </si>
  <si>
    <t>=NL("sum","Production Order","Quantity","Source No.",$D1415,"Equipment Code",$L1415,"due date",F$8)/-12</t>
  </si>
  <si>
    <t>=NL("sum","Production Order","Quantity","Source No.",$D1415,"Equipment Code",$L1415,"due date",G$8)/-12</t>
  </si>
  <si>
    <t>=NL("sum","Production Order","Quantity","Source No.",$D1415,"Equipment Code",$L1415,"due date",H$8)/-12</t>
  </si>
  <si>
    <t>=NL("sum","Production Order","Quantity","Source No.",$D1415,"Equipment Code",$L1415,"due date",I$8)/-12</t>
  </si>
  <si>
    <t>=NL("sum","Production Order","Quantity","Source No.",$D1415,"Equipment Code",$L1415,"due date",J$8)/$J$7</t>
  </si>
  <si>
    <t>=AVERAGE(I1415:J1415)</t>
  </si>
  <si>
    <t>=IF(K1416=0,"hide","")</t>
  </si>
  <si>
    <t>=D1415</t>
  </si>
  <si>
    <t>=NL("sum","Production Order","Quantity","Source No.",$D1416,"Equipment Code",$L1416,"due date",F$8)/-12</t>
  </si>
  <si>
    <t>=NL("sum","Production Order","Quantity","Source No.",$D1416,"Equipment Code",$L1416,"due date",G$8)/-12</t>
  </si>
  <si>
    <t>=NL("sum","Production Order","Quantity","Source No.",$D1416,"Equipment Code",$L1416,"due date",H$8)/-12</t>
  </si>
  <si>
    <t>=NL("sum","Production Order","Quantity","Source No.",$D1416,"Equipment Code",$L1416,"due date",I$8)/-12</t>
  </si>
  <si>
    <t>=NL("sum","Production Order","Quantity","Source No.",$D1416,"Equipment Code",$L1416,"due date",J$8)/$J$7</t>
  </si>
  <si>
    <t>=AVERAGE(I1416:J1416)</t>
  </si>
  <si>
    <t>=IF(K1417=0,"hide","")</t>
  </si>
  <si>
    <t>=D1416</t>
  </si>
  <si>
    <t>=NL("sum","Production Order","Quantity","Source No.",$D1417,"Equipment Code",$L1417,"due date",F$8)/-12</t>
  </si>
  <si>
    <t>=NL("sum","Production Order","Quantity","Source No.",$D1417,"Equipment Code",$L1417,"due date",G$8)/-12</t>
  </si>
  <si>
    <t>=NL("sum","Production Order","Quantity","Source No.",$D1417,"Equipment Code",$L1417,"due date",H$8)/-12</t>
  </si>
  <si>
    <t>=NL("sum","Production Order","Quantity","Source No.",$D1417,"Equipment Code",$L1417,"due date",I$8)/-12</t>
  </si>
  <si>
    <t>=NL("sum","Production Order","Quantity","Source No.",$D1417,"Equipment Code",$L1417,"due date",J$8)/$J$7</t>
  </si>
  <si>
    <t>=AVERAGE(I1417:J1417)</t>
  </si>
  <si>
    <t>=IF(K1418=0,"hide","")</t>
  </si>
  <si>
    <t>=D1417</t>
  </si>
  <si>
    <t>=NL("sum","Production Order","Quantity","Source No.",$D1418,"Equipment Code",$L1418,"due date",F$8)/-12</t>
  </si>
  <si>
    <t>=NL("sum","Production Order","Quantity","Source No.",$D1418,"Equipment Code",$L1418,"due date",G$8)/-12</t>
  </si>
  <si>
    <t>=NL("sum","Production Order","Quantity","Source No.",$D1418,"Equipment Code",$L1418,"due date",H$8)/-12</t>
  </si>
  <si>
    <t>=NL("sum","Production Order","Quantity","Source No.",$D1418,"Equipment Code",$L1418,"due date",I$8)/-12</t>
  </si>
  <si>
    <t>=NL("sum","Production Order","Quantity","Source No.",$D1418,"Equipment Code",$L1418,"due date",J$8)/$J$7</t>
  </si>
  <si>
    <t>=AVERAGE(I1418:J1418)</t>
  </si>
  <si>
    <t>=B1415</t>
  </si>
  <si>
    <t>=B1419</t>
  </si>
  <si>
    <t>=SUM(F1415:F1419)</t>
  </si>
  <si>
    <t>=SUM(G1415:G1419)</t>
  </si>
  <si>
    <t>=SUM(H1415:H1419)</t>
  </si>
  <si>
    <t>=SUM(I1415:I1419)</t>
  </si>
  <si>
    <t>=SUM(J1415:J1419)</t>
  </si>
  <si>
    <t>=IF(K1421=0,"hide","")</t>
  </si>
  <si>
    <t>="16861"</t>
  </si>
  <si>
    <t>=NL("rows","Production BOM Version","Version Code","Production BOM No.",D1421,"status","certified")</t>
  </si>
  <si>
    <t>=NL("sum","Item Ledger Entry","Quantity","Item No.",$D1421,"Entry Type","Sale|Consumption","posting date","01/01/19..12/31/19")/-12</t>
  </si>
  <si>
    <t>=NL("sum","Item Ledger Entry","Quantity","Item No.",$D1421,"Entry Type","Sale|Consumption","posting date","01/01/20..12/31/20")/-12</t>
  </si>
  <si>
    <t>=NL("sum","Item Ledger Entry","Quantity","Item No.",$D1421,"Entry Type","Sale|Consumption","posting date","01/01/21..12/31/21")/-12</t>
  </si>
  <si>
    <t>=NL("sum","Item Ledger Entry","Quantity","Item No.",$D1421,"Entry Type","Sale|Consumption","posting date","01/01/22..12/31/22")/-12</t>
  </si>
  <si>
    <t>=NL("sum","Item Ledger Entry","Quantity","Item No.",$D1421,"Entry Type","Sale|Consumption","posting date","01/01/23..12/31/23")/$J$7</t>
  </si>
  <si>
    <t>=AVERAGE(I1421:J1421)</t>
  </si>
  <si>
    <t>=NL(1,"item",L$9,"no.",D1421)</t>
  </si>
  <si>
    <t>=NL(1,"item",M$9,"no.",$D1421)</t>
  </si>
  <si>
    <t>=NL(1,"item","Units Per Parcel","no.",$D1421)</t>
  </si>
  <si>
    <t>=NL(1,"Prod. BOM Equipment","Fixed Prod. Time (Hours)","Production BOM No.",$D1421,"version code",$E1421,"Resource No.",O$9)</t>
  </si>
  <si>
    <t>=1/O1421</t>
  </si>
  <si>
    <t>=IF(NL(1,"Prod. BOM Equipment","Variable Prod. Time (Hours)","Production BOM No.",$D1421,"version code",$E1421,"Resource No.",$O$9)="",1,NL(1,"Prod. BOM Equipment","Variable Prod. Time (Hours)","Production BOM No.",$D1421,"version code",$E1421,"Resource No.",$O$9))</t>
  </si>
  <si>
    <t>=1/Q1421</t>
  </si>
  <si>
    <t>=R1421*N1421</t>
  </si>
  <si>
    <t>=IF(K1422=0,"hide","")</t>
  </si>
  <si>
    <t>=D1421</t>
  </si>
  <si>
    <t>=NL("sum","Production Order","Quantity","Source No.",$D1422,"Equipment Code",$L1422,"due date",F$8)/-12</t>
  </si>
  <si>
    <t>=NL("sum","Production Order","Quantity","Source No.",$D1422,"Equipment Code",$L1422,"due date",G$8)/-12</t>
  </si>
  <si>
    <t>=NL("sum","Production Order","Quantity","Source No.",$D1422,"Equipment Code",$L1422,"due date",H$8)/-12</t>
  </si>
  <si>
    <t>=NL("sum","Production Order","Quantity","Source No.",$D1422,"Equipment Code",$L1422,"due date",I$8)/-12</t>
  </si>
  <si>
    <t>=NL("sum","Production Order","Quantity","Source No.",$D1422,"Equipment Code",$L1422,"due date",J$8)/$J$7</t>
  </si>
  <si>
    <t>=AVERAGE(I1422:J1422)</t>
  </si>
  <si>
    <t>=IF(K1423=0,"hide","")</t>
  </si>
  <si>
    <t>=D1422</t>
  </si>
  <si>
    <t>=NL("sum","Production Order","Quantity","Source No.",$D1423,"Equipment Code",$L1423,"due date",F$8)/-12</t>
  </si>
  <si>
    <t>=NL("sum","Production Order","Quantity","Source No.",$D1423,"Equipment Code",$L1423,"due date",G$8)/-12</t>
  </si>
  <si>
    <t>=NL("sum","Production Order","Quantity","Source No.",$D1423,"Equipment Code",$L1423,"due date",H$8)/-12</t>
  </si>
  <si>
    <t>=NL("sum","Production Order","Quantity","Source No.",$D1423,"Equipment Code",$L1423,"due date",I$8)/-12</t>
  </si>
  <si>
    <t>=NL("sum","Production Order","Quantity","Source No.",$D1423,"Equipment Code",$L1423,"due date",J$8)/$J$7</t>
  </si>
  <si>
    <t>=AVERAGE(I1423:J1423)</t>
  </si>
  <si>
    <t>=IF(K1424=0,"hide","")</t>
  </si>
  <si>
    <t>=D1423</t>
  </si>
  <si>
    <t>=NL("sum","Production Order","Quantity","Source No.",$D1424,"Equipment Code",$L1424,"due date",F$8)/-12</t>
  </si>
  <si>
    <t>=NL("sum","Production Order","Quantity","Source No.",$D1424,"Equipment Code",$L1424,"due date",G$8)/-12</t>
  </si>
  <si>
    <t>=NL("sum","Production Order","Quantity","Source No.",$D1424,"Equipment Code",$L1424,"due date",H$8)/-12</t>
  </si>
  <si>
    <t>=NL("sum","Production Order","Quantity","Source No.",$D1424,"Equipment Code",$L1424,"due date",I$8)/-12</t>
  </si>
  <si>
    <t>=NL("sum","Production Order","Quantity","Source No.",$D1424,"Equipment Code",$L1424,"due date",J$8)/$J$7</t>
  </si>
  <si>
    <t>=AVERAGE(I1424:J1424)</t>
  </si>
  <si>
    <t>=IF(K1425=0,"hide","")</t>
  </si>
  <si>
    <t>=D1424</t>
  </si>
  <si>
    <t>=NL("sum","Production Order","Quantity","Source No.",$D1425,"Equipment Code",$L1425,"due date",F$8)/-12</t>
  </si>
  <si>
    <t>=NL("sum","Production Order","Quantity","Source No.",$D1425,"Equipment Code",$L1425,"due date",G$8)/-12</t>
  </si>
  <si>
    <t>=NL("sum","Production Order","Quantity","Source No.",$D1425,"Equipment Code",$L1425,"due date",H$8)/-12</t>
  </si>
  <si>
    <t>=NL("sum","Production Order","Quantity","Source No.",$D1425,"Equipment Code",$L1425,"due date",I$8)/-12</t>
  </si>
  <si>
    <t>=NL("sum","Production Order","Quantity","Source No.",$D1425,"Equipment Code",$L1425,"due date",J$8)/$J$7</t>
  </si>
  <si>
    <t>=AVERAGE(I1425:J1425)</t>
  </si>
  <si>
    <t>=B1422</t>
  </si>
  <si>
    <t>=B1426</t>
  </si>
  <si>
    <t>=SUM(F1422:F1426)</t>
  </si>
  <si>
    <t>=SUM(G1422:G1426)</t>
  </si>
  <si>
    <t>=SUM(H1422:H1426)</t>
  </si>
  <si>
    <t>=SUM(I1422:I1426)</t>
  </si>
  <si>
    <t>=SUM(J1422:J1426)</t>
  </si>
  <si>
    <t>=IF(K1428=0,"hide","")</t>
  </si>
  <si>
    <t>="16865"</t>
  </si>
  <si>
    <t>=NL("rows","Production BOM Version","Version Code","Production BOM No.",D1428,"status","certified")</t>
  </si>
  <si>
    <t>=NL("sum","Item Ledger Entry","Quantity","Item No.",$D1428,"Entry Type","Sale|Consumption","posting date","01/01/19..12/31/19")/-12</t>
  </si>
  <si>
    <t>=NL("sum","Item Ledger Entry","Quantity","Item No.",$D1428,"Entry Type","Sale|Consumption","posting date","01/01/20..12/31/20")/-12</t>
  </si>
  <si>
    <t>=NL("sum","Item Ledger Entry","Quantity","Item No.",$D1428,"Entry Type","Sale|Consumption","posting date","01/01/21..12/31/21")/-12</t>
  </si>
  <si>
    <t>=NL("sum","Item Ledger Entry","Quantity","Item No.",$D1428,"Entry Type","Sale|Consumption","posting date","01/01/22..12/31/22")/-12</t>
  </si>
  <si>
    <t>=NL("sum","Item Ledger Entry","Quantity","Item No.",$D1428,"Entry Type","Sale|Consumption","posting date","01/01/23..12/31/23")/$J$7</t>
  </si>
  <si>
    <t>=AVERAGE(I1428:J1428)</t>
  </si>
  <si>
    <t>=NL(1,"item",L$9,"no.",D1428)</t>
  </si>
  <si>
    <t>=NL(1,"item",M$9,"no.",$D1428)</t>
  </si>
  <si>
    <t>=NL(1,"item","Units Per Parcel","no.",$D1428)</t>
  </si>
  <si>
    <t>=NL(1,"Prod. BOM Equipment","Fixed Prod. Time (Hours)","Production BOM No.",$D1428,"version code",$E1428,"Resource No.",O$9)</t>
  </si>
  <si>
    <t>=1/O1428</t>
  </si>
  <si>
    <t>=IF(NL(1,"Prod. BOM Equipment","Variable Prod. Time (Hours)","Production BOM No.",$D1428,"version code",$E1428,"Resource No.",$O$9)="",1,NL(1,"Prod. BOM Equipment","Variable Prod. Time (Hours)","Production BOM No.",$D1428,"version code",$E1428,"Resource No.",$O$9))</t>
  </si>
  <si>
    <t>=1/Q1428</t>
  </si>
  <si>
    <t>=R1428*N1428</t>
  </si>
  <si>
    <t>=IF(K1429=0,"hide","")</t>
  </si>
  <si>
    <t>=D1428</t>
  </si>
  <si>
    <t>=NL("sum","Production Order","Quantity","Source No.",$D1429,"Equipment Code",$L1429,"due date",F$8)/-12</t>
  </si>
  <si>
    <t>=NL("sum","Production Order","Quantity","Source No.",$D1429,"Equipment Code",$L1429,"due date",G$8)/-12</t>
  </si>
  <si>
    <t>=NL("sum","Production Order","Quantity","Source No.",$D1429,"Equipment Code",$L1429,"due date",H$8)/-12</t>
  </si>
  <si>
    <t>=NL("sum","Production Order","Quantity","Source No.",$D1429,"Equipment Code",$L1429,"due date",I$8)/-12</t>
  </si>
  <si>
    <t>=NL("sum","Production Order","Quantity","Source No.",$D1429,"Equipment Code",$L1429,"due date",J$8)/$J$7</t>
  </si>
  <si>
    <t>=AVERAGE(I1429:J1429)</t>
  </si>
  <si>
    <t>=IF(K1430=0,"hide","")</t>
  </si>
  <si>
    <t>=D1429</t>
  </si>
  <si>
    <t>=NL("sum","Production Order","Quantity","Source No.",$D1430,"Equipment Code",$L1430,"due date",F$8)/-12</t>
  </si>
  <si>
    <t>=NL("sum","Production Order","Quantity","Source No.",$D1430,"Equipment Code",$L1430,"due date",G$8)/-12</t>
  </si>
  <si>
    <t>=NL("sum","Production Order","Quantity","Source No.",$D1430,"Equipment Code",$L1430,"due date",H$8)/-12</t>
  </si>
  <si>
    <t>=NL("sum","Production Order","Quantity","Source No.",$D1430,"Equipment Code",$L1430,"due date",I$8)/-12</t>
  </si>
  <si>
    <t>=NL("sum","Production Order","Quantity","Source No.",$D1430,"Equipment Code",$L1430,"due date",J$8)/$J$7</t>
  </si>
  <si>
    <t>=AVERAGE(I1430:J1430)</t>
  </si>
  <si>
    <t>=IF(K1431=0,"hide","")</t>
  </si>
  <si>
    <t>=D1430</t>
  </si>
  <si>
    <t>=NL("sum","Production Order","Quantity","Source No.",$D1431,"Equipment Code",$L1431,"due date",F$8)/-12</t>
  </si>
  <si>
    <t>=NL("sum","Production Order","Quantity","Source No.",$D1431,"Equipment Code",$L1431,"due date",G$8)/-12</t>
  </si>
  <si>
    <t>=NL("sum","Production Order","Quantity","Source No.",$D1431,"Equipment Code",$L1431,"due date",H$8)/-12</t>
  </si>
  <si>
    <t>=NL("sum","Production Order","Quantity","Source No.",$D1431,"Equipment Code",$L1431,"due date",I$8)/-12</t>
  </si>
  <si>
    <t>=NL("sum","Production Order","Quantity","Source No.",$D1431,"Equipment Code",$L1431,"due date",J$8)/$J$7</t>
  </si>
  <si>
    <t>=AVERAGE(I1431:J1431)</t>
  </si>
  <si>
    <t>=IF(K1432=0,"hide","")</t>
  </si>
  <si>
    <t>=D1431</t>
  </si>
  <si>
    <t>=NL("sum","Production Order","Quantity","Source No.",$D1432,"Equipment Code",$L1432,"due date",F$8)/-12</t>
  </si>
  <si>
    <t>=NL("sum","Production Order","Quantity","Source No.",$D1432,"Equipment Code",$L1432,"due date",G$8)/-12</t>
  </si>
  <si>
    <t>=NL("sum","Production Order","Quantity","Source No.",$D1432,"Equipment Code",$L1432,"due date",H$8)/-12</t>
  </si>
  <si>
    <t>=NL("sum","Production Order","Quantity","Source No.",$D1432,"Equipment Code",$L1432,"due date",I$8)/-12</t>
  </si>
  <si>
    <t>=NL("sum","Production Order","Quantity","Source No.",$D1432,"Equipment Code",$L1432,"due date",J$8)/$J$7</t>
  </si>
  <si>
    <t>=AVERAGE(I1432:J1432)</t>
  </si>
  <si>
    <t>=B1429</t>
  </si>
  <si>
    <t>=B1433</t>
  </si>
  <si>
    <t>=SUM(F1429:F1433)</t>
  </si>
  <si>
    <t>=SUM(G1429:G1433)</t>
  </si>
  <si>
    <t>=SUM(H1429:H1433)</t>
  </si>
  <si>
    <t>=SUM(I1429:I1433)</t>
  </si>
  <si>
    <t>=SUM(J1429:J1433)</t>
  </si>
  <si>
    <t>=IF(K1435=0,"hide","")</t>
  </si>
  <si>
    <t>="16866"</t>
  </si>
  <si>
    <t>=NL("rows","Production BOM Version","Version Code","Production BOM No.",D1435,"status","certified")</t>
  </si>
  <si>
    <t>=NL("sum","Item Ledger Entry","Quantity","Item No.",$D1435,"Entry Type","Sale|Consumption","posting date","01/01/19..12/31/19")/-12</t>
  </si>
  <si>
    <t>=NL("sum","Item Ledger Entry","Quantity","Item No.",$D1435,"Entry Type","Sale|Consumption","posting date","01/01/20..12/31/20")/-12</t>
  </si>
  <si>
    <t>=NL("sum","Item Ledger Entry","Quantity","Item No.",$D1435,"Entry Type","Sale|Consumption","posting date","01/01/21..12/31/21")/-12</t>
  </si>
  <si>
    <t>=NL("sum","Item Ledger Entry","Quantity","Item No.",$D1435,"Entry Type","Sale|Consumption","posting date","01/01/22..12/31/22")/-12</t>
  </si>
  <si>
    <t>=NL("sum","Item Ledger Entry","Quantity","Item No.",$D1435,"Entry Type","Sale|Consumption","posting date","01/01/23..12/31/23")/$J$7</t>
  </si>
  <si>
    <t>=AVERAGE(I1435:J1435)</t>
  </si>
  <si>
    <t>=NL(1,"item",L$9,"no.",D1435)</t>
  </si>
  <si>
    <t>=NL(1,"item",M$9,"no.",$D1435)</t>
  </si>
  <si>
    <t>=NL(1,"item","Units Per Parcel","no.",$D1435)</t>
  </si>
  <si>
    <t>=NL(1,"Prod. BOM Equipment","Fixed Prod. Time (Hours)","Production BOM No.",$D1435,"version code",$E1435,"Resource No.",O$9)</t>
  </si>
  <si>
    <t>=1/O1435</t>
  </si>
  <si>
    <t>=IF(NL(1,"Prod. BOM Equipment","Variable Prod. Time (Hours)","Production BOM No.",$D1435,"version code",$E1435,"Resource No.",$O$9)="",1,NL(1,"Prod. BOM Equipment","Variable Prod. Time (Hours)","Production BOM No.",$D1435,"version code",$E1435,"Resource No.",$O$9))</t>
  </si>
  <si>
    <t>=1/Q1435</t>
  </si>
  <si>
    <t>=R1435*N1435</t>
  </si>
  <si>
    <t>=IF(K1436=0,"hide","")</t>
  </si>
  <si>
    <t>=D1435</t>
  </si>
  <si>
    <t>=NL("sum","Production Order","Quantity","Source No.",$D1436,"Equipment Code",$L1436,"due date",F$8)/-12</t>
  </si>
  <si>
    <t>=NL("sum","Production Order","Quantity","Source No.",$D1436,"Equipment Code",$L1436,"due date",G$8)/-12</t>
  </si>
  <si>
    <t>=NL("sum","Production Order","Quantity","Source No.",$D1436,"Equipment Code",$L1436,"due date",H$8)/-12</t>
  </si>
  <si>
    <t>=NL("sum","Production Order","Quantity","Source No.",$D1436,"Equipment Code",$L1436,"due date",I$8)/-12</t>
  </si>
  <si>
    <t>=NL("sum","Production Order","Quantity","Source No.",$D1436,"Equipment Code",$L1436,"due date",J$8)/$J$7</t>
  </si>
  <si>
    <t>=AVERAGE(I1436:J1436)</t>
  </si>
  <si>
    <t>=IF(K1437=0,"hide","")</t>
  </si>
  <si>
    <t>=D1436</t>
  </si>
  <si>
    <t>=NL("sum","Production Order","Quantity","Source No.",$D1437,"Equipment Code",$L1437,"due date",F$8)/-12</t>
  </si>
  <si>
    <t>=NL("sum","Production Order","Quantity","Source No.",$D1437,"Equipment Code",$L1437,"due date",G$8)/-12</t>
  </si>
  <si>
    <t>=NL("sum","Production Order","Quantity","Source No.",$D1437,"Equipment Code",$L1437,"due date",H$8)/-12</t>
  </si>
  <si>
    <t>=NL("sum","Production Order","Quantity","Source No.",$D1437,"Equipment Code",$L1437,"due date",I$8)/-12</t>
  </si>
  <si>
    <t>=NL("sum","Production Order","Quantity","Source No.",$D1437,"Equipment Code",$L1437,"due date",J$8)/$J$7</t>
  </si>
  <si>
    <t>=AVERAGE(I1437:J1437)</t>
  </si>
  <si>
    <t>=IF(K1438=0,"hide","")</t>
  </si>
  <si>
    <t>=D1437</t>
  </si>
  <si>
    <t>=NL("sum","Production Order","Quantity","Source No.",$D1438,"Equipment Code",$L1438,"due date",F$8)/-12</t>
  </si>
  <si>
    <t>=NL("sum","Production Order","Quantity","Source No.",$D1438,"Equipment Code",$L1438,"due date",G$8)/-12</t>
  </si>
  <si>
    <t>=NL("sum","Production Order","Quantity","Source No.",$D1438,"Equipment Code",$L1438,"due date",H$8)/-12</t>
  </si>
  <si>
    <t>=NL("sum","Production Order","Quantity","Source No.",$D1438,"Equipment Code",$L1438,"due date",I$8)/-12</t>
  </si>
  <si>
    <t>=NL("sum","Production Order","Quantity","Source No.",$D1438,"Equipment Code",$L1438,"due date",J$8)/$J$7</t>
  </si>
  <si>
    <t>=AVERAGE(I1438:J1438)</t>
  </si>
  <si>
    <t>=IF(K1439=0,"hide","")</t>
  </si>
  <si>
    <t>=D1438</t>
  </si>
  <si>
    <t>=NL("sum","Production Order","Quantity","Source No.",$D1439,"Equipment Code",$L1439,"due date",F$8)/-12</t>
  </si>
  <si>
    <t>=NL("sum","Production Order","Quantity","Source No.",$D1439,"Equipment Code",$L1439,"due date",G$8)/-12</t>
  </si>
  <si>
    <t>=NL("sum","Production Order","Quantity","Source No.",$D1439,"Equipment Code",$L1439,"due date",H$8)/-12</t>
  </si>
  <si>
    <t>=NL("sum","Production Order","Quantity","Source No.",$D1439,"Equipment Code",$L1439,"due date",I$8)/-12</t>
  </si>
  <si>
    <t>=NL("sum","Production Order","Quantity","Source No.",$D1439,"Equipment Code",$L1439,"due date",J$8)/$J$7</t>
  </si>
  <si>
    <t>=AVERAGE(I1439:J1439)</t>
  </si>
  <si>
    <t>=B1436</t>
  </si>
  <si>
    <t>=B1440</t>
  </si>
  <si>
    <t>=SUM(F1436:F1440)</t>
  </si>
  <si>
    <t>=SUM(G1436:G1440)</t>
  </si>
  <si>
    <t>=SUM(H1436:H1440)</t>
  </si>
  <si>
    <t>=SUM(I1436:I1440)</t>
  </si>
  <si>
    <t>=SUM(J1436:J1440)</t>
  </si>
  <si>
    <t>=IF(K1442=0,"hide","")</t>
  </si>
  <si>
    <t>="16869"</t>
  </si>
  <si>
    <t>=NL("rows","Production BOM Version","Version Code","Production BOM No.",D1442,"status","certified")</t>
  </si>
  <si>
    <t>=NL("sum","Item Ledger Entry","Quantity","Item No.",$D1442,"Entry Type","Sale|Consumption","posting date","01/01/19..12/31/19")/-12</t>
  </si>
  <si>
    <t>=NL("sum","Item Ledger Entry","Quantity","Item No.",$D1442,"Entry Type","Sale|Consumption","posting date","01/01/20..12/31/20")/-12</t>
  </si>
  <si>
    <t>=NL("sum","Item Ledger Entry","Quantity","Item No.",$D1442,"Entry Type","Sale|Consumption","posting date","01/01/21..12/31/21")/-12</t>
  </si>
  <si>
    <t>=NL("sum","Item Ledger Entry","Quantity","Item No.",$D1442,"Entry Type","Sale|Consumption","posting date","01/01/22..12/31/22")/-12</t>
  </si>
  <si>
    <t>=NL("sum","Item Ledger Entry","Quantity","Item No.",$D1442,"Entry Type","Sale|Consumption","posting date","01/01/23..12/31/23")/$J$7</t>
  </si>
  <si>
    <t>=AVERAGE(I1442:J1442)</t>
  </si>
  <si>
    <t>=NL(1,"item",L$9,"no.",D1442)</t>
  </si>
  <si>
    <t>=NL(1,"item",M$9,"no.",$D1442)</t>
  </si>
  <si>
    <t>=NL(1,"item","Units Per Parcel","no.",$D1442)</t>
  </si>
  <si>
    <t>=NL(1,"Prod. BOM Equipment","Fixed Prod. Time (Hours)","Production BOM No.",$D1442,"version code",$E1442,"Resource No.",O$9)</t>
  </si>
  <si>
    <t>=1/O1442</t>
  </si>
  <si>
    <t>=IF(NL(1,"Prod. BOM Equipment","Variable Prod. Time (Hours)","Production BOM No.",$D1442,"version code",$E1442,"Resource No.",$O$9)="",1,NL(1,"Prod. BOM Equipment","Variable Prod. Time (Hours)","Production BOM No.",$D1442,"version code",$E1442,"Resource No.",$O$9))</t>
  </si>
  <si>
    <t>=1/Q1442</t>
  </si>
  <si>
    <t>=R1442*N1442</t>
  </si>
  <si>
    <t>=IF(K1443=0,"hide","")</t>
  </si>
  <si>
    <t>=D1442</t>
  </si>
  <si>
    <t>=NL("sum","Production Order","Quantity","Source No.",$D1443,"Equipment Code",$L1443,"due date",F$8)/-12</t>
  </si>
  <si>
    <t>=NL("sum","Production Order","Quantity","Source No.",$D1443,"Equipment Code",$L1443,"due date",G$8)/-12</t>
  </si>
  <si>
    <t>=NL("sum","Production Order","Quantity","Source No.",$D1443,"Equipment Code",$L1443,"due date",H$8)/-12</t>
  </si>
  <si>
    <t>=NL("sum","Production Order","Quantity","Source No.",$D1443,"Equipment Code",$L1443,"due date",I$8)/-12</t>
  </si>
  <si>
    <t>=NL("sum","Production Order","Quantity","Source No.",$D1443,"Equipment Code",$L1443,"due date",J$8)/$J$7</t>
  </si>
  <si>
    <t>=AVERAGE(I1443:J1443)</t>
  </si>
  <si>
    <t>=IF(K1444=0,"hide","")</t>
  </si>
  <si>
    <t>=D1443</t>
  </si>
  <si>
    <t>=NL("sum","Production Order","Quantity","Source No.",$D1444,"Equipment Code",$L1444,"due date",F$8)/-12</t>
  </si>
  <si>
    <t>=NL("sum","Production Order","Quantity","Source No.",$D1444,"Equipment Code",$L1444,"due date",G$8)/-12</t>
  </si>
  <si>
    <t>=NL("sum","Production Order","Quantity","Source No.",$D1444,"Equipment Code",$L1444,"due date",H$8)/-12</t>
  </si>
  <si>
    <t>=NL("sum","Production Order","Quantity","Source No.",$D1444,"Equipment Code",$L1444,"due date",I$8)/-12</t>
  </si>
  <si>
    <t>=NL("sum","Production Order","Quantity","Source No.",$D1444,"Equipment Code",$L1444,"due date",J$8)/$J$7</t>
  </si>
  <si>
    <t>=AVERAGE(I1444:J1444)</t>
  </si>
  <si>
    <t>=IF(K1445=0,"hide","")</t>
  </si>
  <si>
    <t>=D1444</t>
  </si>
  <si>
    <t>=NL("sum","Production Order","Quantity","Source No.",$D1445,"Equipment Code",$L1445,"due date",F$8)/-12</t>
  </si>
  <si>
    <t>=NL("sum","Production Order","Quantity","Source No.",$D1445,"Equipment Code",$L1445,"due date",G$8)/-12</t>
  </si>
  <si>
    <t>=NL("sum","Production Order","Quantity","Source No.",$D1445,"Equipment Code",$L1445,"due date",H$8)/-12</t>
  </si>
  <si>
    <t>=NL("sum","Production Order","Quantity","Source No.",$D1445,"Equipment Code",$L1445,"due date",I$8)/-12</t>
  </si>
  <si>
    <t>=NL("sum","Production Order","Quantity","Source No.",$D1445,"Equipment Code",$L1445,"due date",J$8)/$J$7</t>
  </si>
  <si>
    <t>=AVERAGE(I1445:J1445)</t>
  </si>
  <si>
    <t>=IF(K1446=0,"hide","")</t>
  </si>
  <si>
    <t>=D1445</t>
  </si>
  <si>
    <t>=NL("sum","Production Order","Quantity","Source No.",$D1446,"Equipment Code",$L1446,"due date",F$8)/-12</t>
  </si>
  <si>
    <t>=NL("sum","Production Order","Quantity","Source No.",$D1446,"Equipment Code",$L1446,"due date",G$8)/-12</t>
  </si>
  <si>
    <t>=NL("sum","Production Order","Quantity","Source No.",$D1446,"Equipment Code",$L1446,"due date",H$8)/-12</t>
  </si>
  <si>
    <t>=NL("sum","Production Order","Quantity","Source No.",$D1446,"Equipment Code",$L1446,"due date",I$8)/-12</t>
  </si>
  <si>
    <t>=NL("sum","Production Order","Quantity","Source No.",$D1446,"Equipment Code",$L1446,"due date",J$8)/$J$7</t>
  </si>
  <si>
    <t>=AVERAGE(I1446:J1446)</t>
  </si>
  <si>
    <t>=B1443</t>
  </si>
  <si>
    <t>=B1447</t>
  </si>
  <si>
    <t>=SUM(F1443:F1447)</t>
  </si>
  <si>
    <t>=SUM(G1443:G1447)</t>
  </si>
  <si>
    <t>=SUM(H1443:H1447)</t>
  </si>
  <si>
    <t>=SUM(I1443:I1447)</t>
  </si>
  <si>
    <t>=SUM(J1443:J1447)</t>
  </si>
  <si>
    <t>=IF(K1449=0,"hide","")</t>
  </si>
  <si>
    <t>="16870"</t>
  </si>
  <si>
    <t>=NL("rows","Production BOM Version","Version Code","Production BOM No.",D1449,"status","certified")</t>
  </si>
  <si>
    <t>=NL("sum","Item Ledger Entry","Quantity","Item No.",$D1449,"Entry Type","Sale|Consumption","posting date","01/01/19..12/31/19")/-12</t>
  </si>
  <si>
    <t>=NL("sum","Item Ledger Entry","Quantity","Item No.",$D1449,"Entry Type","Sale|Consumption","posting date","01/01/20..12/31/20")/-12</t>
  </si>
  <si>
    <t>=NL("sum","Item Ledger Entry","Quantity","Item No.",$D1449,"Entry Type","Sale|Consumption","posting date","01/01/21..12/31/21")/-12</t>
  </si>
  <si>
    <t>=NL("sum","Item Ledger Entry","Quantity","Item No.",$D1449,"Entry Type","Sale|Consumption","posting date","01/01/22..12/31/22")/-12</t>
  </si>
  <si>
    <t>=NL("sum","Item Ledger Entry","Quantity","Item No.",$D1449,"Entry Type","Sale|Consumption","posting date","01/01/23..12/31/23")/$J$7</t>
  </si>
  <si>
    <t>=AVERAGE(I1449:J1449)</t>
  </si>
  <si>
    <t>=NL(1,"item",L$9,"no.",D1449)</t>
  </si>
  <si>
    <t>=NL(1,"item",M$9,"no.",$D1449)</t>
  </si>
  <si>
    <t>=NL(1,"item","Units Per Parcel","no.",$D1449)</t>
  </si>
  <si>
    <t>=NL(1,"Prod. BOM Equipment","Fixed Prod. Time (Hours)","Production BOM No.",$D1449,"version code",$E1449,"Resource No.",O$9)</t>
  </si>
  <si>
    <t>=1/O1449</t>
  </si>
  <si>
    <t>=IF(NL(1,"Prod. BOM Equipment","Variable Prod. Time (Hours)","Production BOM No.",$D1449,"version code",$E1449,"Resource No.",$O$9)="",1,NL(1,"Prod. BOM Equipment","Variable Prod. Time (Hours)","Production BOM No.",$D1449,"version code",$E1449,"Resource No.",$O$9))</t>
  </si>
  <si>
    <t>=1/Q1449</t>
  </si>
  <si>
    <t>=R1449*N1449</t>
  </si>
  <si>
    <t>=IF(K1450=0,"hide","")</t>
  </si>
  <si>
    <t>=D1449</t>
  </si>
  <si>
    <t>=NL("sum","Production Order","Quantity","Source No.",$D1450,"Equipment Code",$L1450,"due date",F$8)/-12</t>
  </si>
  <si>
    <t>=NL("sum","Production Order","Quantity","Source No.",$D1450,"Equipment Code",$L1450,"due date",G$8)/-12</t>
  </si>
  <si>
    <t>=NL("sum","Production Order","Quantity","Source No.",$D1450,"Equipment Code",$L1450,"due date",H$8)/-12</t>
  </si>
  <si>
    <t>=NL("sum","Production Order","Quantity","Source No.",$D1450,"Equipment Code",$L1450,"due date",I$8)/-12</t>
  </si>
  <si>
    <t>=NL("sum","Production Order","Quantity","Source No.",$D1450,"Equipment Code",$L1450,"due date",J$8)/$J$7</t>
  </si>
  <si>
    <t>=AVERAGE(I1450:J1450)</t>
  </si>
  <si>
    <t>=IF(K1451=0,"hide","")</t>
  </si>
  <si>
    <t>=D1450</t>
  </si>
  <si>
    <t>=NL("sum","Production Order","Quantity","Source No.",$D1451,"Equipment Code",$L1451,"due date",F$8)/-12</t>
  </si>
  <si>
    <t>=NL("sum","Production Order","Quantity","Source No.",$D1451,"Equipment Code",$L1451,"due date",G$8)/-12</t>
  </si>
  <si>
    <t>=NL("sum","Production Order","Quantity","Source No.",$D1451,"Equipment Code",$L1451,"due date",H$8)/-12</t>
  </si>
  <si>
    <t>=NL("sum","Production Order","Quantity","Source No.",$D1451,"Equipment Code",$L1451,"due date",I$8)/-12</t>
  </si>
  <si>
    <t>=NL("sum","Production Order","Quantity","Source No.",$D1451,"Equipment Code",$L1451,"due date",J$8)/$J$7</t>
  </si>
  <si>
    <t>=AVERAGE(I1451:J1451)</t>
  </si>
  <si>
    <t>=IF(K1452=0,"hide","")</t>
  </si>
  <si>
    <t>=D1451</t>
  </si>
  <si>
    <t>=NL("sum","Production Order","Quantity","Source No.",$D1452,"Equipment Code",$L1452,"due date",F$8)/-12</t>
  </si>
  <si>
    <t>=NL("sum","Production Order","Quantity","Source No.",$D1452,"Equipment Code",$L1452,"due date",G$8)/-12</t>
  </si>
  <si>
    <t>=NL("sum","Production Order","Quantity","Source No.",$D1452,"Equipment Code",$L1452,"due date",H$8)/-12</t>
  </si>
  <si>
    <t>=NL("sum","Production Order","Quantity","Source No.",$D1452,"Equipment Code",$L1452,"due date",I$8)/-12</t>
  </si>
  <si>
    <t>=NL("sum","Production Order","Quantity","Source No.",$D1452,"Equipment Code",$L1452,"due date",J$8)/$J$7</t>
  </si>
  <si>
    <t>=AVERAGE(I1452:J1452)</t>
  </si>
  <si>
    <t>=IF(K1453=0,"hide","")</t>
  </si>
  <si>
    <t>=D1452</t>
  </si>
  <si>
    <t>=NL("sum","Production Order","Quantity","Source No.",$D1453,"Equipment Code",$L1453,"due date",F$8)/-12</t>
  </si>
  <si>
    <t>=NL("sum","Production Order","Quantity","Source No.",$D1453,"Equipment Code",$L1453,"due date",G$8)/-12</t>
  </si>
  <si>
    <t>=NL("sum","Production Order","Quantity","Source No.",$D1453,"Equipment Code",$L1453,"due date",H$8)/-12</t>
  </si>
  <si>
    <t>=NL("sum","Production Order","Quantity","Source No.",$D1453,"Equipment Code",$L1453,"due date",I$8)/-12</t>
  </si>
  <si>
    <t>=NL("sum","Production Order","Quantity","Source No.",$D1453,"Equipment Code",$L1453,"due date",J$8)/$J$7</t>
  </si>
  <si>
    <t>=AVERAGE(I1453:J1453)</t>
  </si>
  <si>
    <t>=B1450</t>
  </si>
  <si>
    <t>=B1454</t>
  </si>
  <si>
    <t>=SUM(F1450:F1454)</t>
  </si>
  <si>
    <t>=SUM(G1450:G1454)</t>
  </si>
  <si>
    <t>=SUM(H1450:H1454)</t>
  </si>
  <si>
    <t>=SUM(I1450:I1454)</t>
  </si>
  <si>
    <t>=SUM(J1450:J1454)</t>
  </si>
  <si>
    <t>=IF(K1456=0,"hide","")</t>
  </si>
  <si>
    <t>="16873"</t>
  </si>
  <si>
    <t>=NL("rows","Production BOM Version","Version Code","Production BOM No.",D1456,"status","certified")</t>
  </si>
  <si>
    <t>=NL("sum","Item Ledger Entry","Quantity","Item No.",$D1456,"Entry Type","Sale|Consumption","posting date","01/01/19..12/31/19")/-12</t>
  </si>
  <si>
    <t>=NL("sum","Item Ledger Entry","Quantity","Item No.",$D1456,"Entry Type","Sale|Consumption","posting date","01/01/20..12/31/20")/-12</t>
  </si>
  <si>
    <t>=NL("sum","Item Ledger Entry","Quantity","Item No.",$D1456,"Entry Type","Sale|Consumption","posting date","01/01/21..12/31/21")/-12</t>
  </si>
  <si>
    <t>=NL("sum","Item Ledger Entry","Quantity","Item No.",$D1456,"Entry Type","Sale|Consumption","posting date","01/01/22..12/31/22")/-12</t>
  </si>
  <si>
    <t>=NL("sum","Item Ledger Entry","Quantity","Item No.",$D1456,"Entry Type","Sale|Consumption","posting date","01/01/23..12/31/23")/$J$7</t>
  </si>
  <si>
    <t>=AVERAGE(I1456:J1456)</t>
  </si>
  <si>
    <t>=NL(1,"item",L$9,"no.",D1456)</t>
  </si>
  <si>
    <t>=NL(1,"item",M$9,"no.",$D1456)</t>
  </si>
  <si>
    <t>=NL(1,"item","Units Per Parcel","no.",$D1456)</t>
  </si>
  <si>
    <t>=NL(1,"Prod. BOM Equipment","Fixed Prod. Time (Hours)","Production BOM No.",$D1456,"version code",$E1456,"Resource No.",O$9)</t>
  </si>
  <si>
    <t>=1/O1456</t>
  </si>
  <si>
    <t>=IF(NL(1,"Prod. BOM Equipment","Variable Prod. Time (Hours)","Production BOM No.",$D1456,"version code",$E1456,"Resource No.",$O$9)="",1,NL(1,"Prod. BOM Equipment","Variable Prod. Time (Hours)","Production BOM No.",$D1456,"version code",$E1456,"Resource No.",$O$9))</t>
  </si>
  <si>
    <t>=1/Q1456</t>
  </si>
  <si>
    <t>=R1456*N1456</t>
  </si>
  <si>
    <t>=IF(K1457=0,"hide","")</t>
  </si>
  <si>
    <t>=D1456</t>
  </si>
  <si>
    <t>=NL("sum","Production Order","Quantity","Source No.",$D1457,"Equipment Code",$L1457,"due date",F$8)/-12</t>
  </si>
  <si>
    <t>=NL("sum","Production Order","Quantity","Source No.",$D1457,"Equipment Code",$L1457,"due date",G$8)/-12</t>
  </si>
  <si>
    <t>=NL("sum","Production Order","Quantity","Source No.",$D1457,"Equipment Code",$L1457,"due date",H$8)/-12</t>
  </si>
  <si>
    <t>=NL("sum","Production Order","Quantity","Source No.",$D1457,"Equipment Code",$L1457,"due date",I$8)/-12</t>
  </si>
  <si>
    <t>=NL("sum","Production Order","Quantity","Source No.",$D1457,"Equipment Code",$L1457,"due date",J$8)/$J$7</t>
  </si>
  <si>
    <t>=AVERAGE(I1457:J1457)</t>
  </si>
  <si>
    <t>=IF(K1458=0,"hide","")</t>
  </si>
  <si>
    <t>=D1457</t>
  </si>
  <si>
    <t>=NL("sum","Production Order","Quantity","Source No.",$D1458,"Equipment Code",$L1458,"due date",F$8)/-12</t>
  </si>
  <si>
    <t>=NL("sum","Production Order","Quantity","Source No.",$D1458,"Equipment Code",$L1458,"due date",G$8)/-12</t>
  </si>
  <si>
    <t>=NL("sum","Production Order","Quantity","Source No.",$D1458,"Equipment Code",$L1458,"due date",H$8)/-12</t>
  </si>
  <si>
    <t>=NL("sum","Production Order","Quantity","Source No.",$D1458,"Equipment Code",$L1458,"due date",I$8)/-12</t>
  </si>
  <si>
    <t>=NL("sum","Production Order","Quantity","Source No.",$D1458,"Equipment Code",$L1458,"due date",J$8)/$J$7</t>
  </si>
  <si>
    <t>=AVERAGE(I1458:J1458)</t>
  </si>
  <si>
    <t>=IF(K1459=0,"hide","")</t>
  </si>
  <si>
    <t>=D1458</t>
  </si>
  <si>
    <t>=NL("sum","Production Order","Quantity","Source No.",$D1459,"Equipment Code",$L1459,"due date",F$8)/-12</t>
  </si>
  <si>
    <t>=NL("sum","Production Order","Quantity","Source No.",$D1459,"Equipment Code",$L1459,"due date",G$8)/-12</t>
  </si>
  <si>
    <t>=NL("sum","Production Order","Quantity","Source No.",$D1459,"Equipment Code",$L1459,"due date",H$8)/-12</t>
  </si>
  <si>
    <t>=NL("sum","Production Order","Quantity","Source No.",$D1459,"Equipment Code",$L1459,"due date",I$8)/-12</t>
  </si>
  <si>
    <t>=NL("sum","Production Order","Quantity","Source No.",$D1459,"Equipment Code",$L1459,"due date",J$8)/$J$7</t>
  </si>
  <si>
    <t>=AVERAGE(I1459:J1459)</t>
  </si>
  <si>
    <t>=IF(K1460=0,"hide","")</t>
  </si>
  <si>
    <t>=D1459</t>
  </si>
  <si>
    <t>=NL("sum","Production Order","Quantity","Source No.",$D1460,"Equipment Code",$L1460,"due date",F$8)/-12</t>
  </si>
  <si>
    <t>=NL("sum","Production Order","Quantity","Source No.",$D1460,"Equipment Code",$L1460,"due date",G$8)/-12</t>
  </si>
  <si>
    <t>=NL("sum","Production Order","Quantity","Source No.",$D1460,"Equipment Code",$L1460,"due date",H$8)/-12</t>
  </si>
  <si>
    <t>=NL("sum","Production Order","Quantity","Source No.",$D1460,"Equipment Code",$L1460,"due date",I$8)/-12</t>
  </si>
  <si>
    <t>=NL("sum","Production Order","Quantity","Source No.",$D1460,"Equipment Code",$L1460,"due date",J$8)/$J$7</t>
  </si>
  <si>
    <t>=AVERAGE(I1460:J1460)</t>
  </si>
  <si>
    <t>=B1457</t>
  </si>
  <si>
    <t>=B1461</t>
  </si>
  <si>
    <t>=SUM(F1457:F1461)</t>
  </si>
  <si>
    <t>=SUM(G1457:G1461)</t>
  </si>
  <si>
    <t>=SUM(H1457:H1461)</t>
  </si>
  <si>
    <t>=SUM(I1457:I1461)</t>
  </si>
  <si>
    <t>=SUM(J1457:J1461)</t>
  </si>
  <si>
    <t>=IF(K1463=0,"hide","")</t>
  </si>
  <si>
    <t>="16875"</t>
  </si>
  <si>
    <t>=NL("rows","Production BOM Version","Version Code","Production BOM No.",D1463,"status","certified")</t>
  </si>
  <si>
    <t>=NL("sum","Item Ledger Entry","Quantity","Item No.",$D1463,"Entry Type","Sale|Consumption","posting date","01/01/19..12/31/19")/-12</t>
  </si>
  <si>
    <t>=NL("sum","Item Ledger Entry","Quantity","Item No.",$D1463,"Entry Type","Sale|Consumption","posting date","01/01/20..12/31/20")/-12</t>
  </si>
  <si>
    <t>=NL("sum","Item Ledger Entry","Quantity","Item No.",$D1463,"Entry Type","Sale|Consumption","posting date","01/01/21..12/31/21")/-12</t>
  </si>
  <si>
    <t>=NL("sum","Item Ledger Entry","Quantity","Item No.",$D1463,"Entry Type","Sale|Consumption","posting date","01/01/22..12/31/22")/-12</t>
  </si>
  <si>
    <t>=NL("sum","Item Ledger Entry","Quantity","Item No.",$D1463,"Entry Type","Sale|Consumption","posting date","01/01/23..12/31/23")/$J$7</t>
  </si>
  <si>
    <t>=AVERAGE(I1463:J1463)</t>
  </si>
  <si>
    <t>=NL(1,"item",L$9,"no.",D1463)</t>
  </si>
  <si>
    <t>=NL(1,"item",M$9,"no.",$D1463)</t>
  </si>
  <si>
    <t>=NL(1,"item","Units Per Parcel","no.",$D1463)</t>
  </si>
  <si>
    <t>=NL(1,"Prod. BOM Equipment","Fixed Prod. Time (Hours)","Production BOM No.",$D1463,"version code",$E1463,"Resource No.",O$9)</t>
  </si>
  <si>
    <t>=1/O1463</t>
  </si>
  <si>
    <t>=IF(NL(1,"Prod. BOM Equipment","Variable Prod. Time (Hours)","Production BOM No.",$D1463,"version code",$E1463,"Resource No.",$O$9)="",1,NL(1,"Prod. BOM Equipment","Variable Prod. Time (Hours)","Production BOM No.",$D1463,"version code",$E1463,"Resource No.",$O$9))</t>
  </si>
  <si>
    <t>=1/Q1463</t>
  </si>
  <si>
    <t>=R1463*N1463</t>
  </si>
  <si>
    <t>=IF(K1464=0,"hide","")</t>
  </si>
  <si>
    <t>=D1463</t>
  </si>
  <si>
    <t>=NL("sum","Production Order","Quantity","Source No.",$D1464,"Equipment Code",$L1464,"due date",F$8)/-12</t>
  </si>
  <si>
    <t>=NL("sum","Production Order","Quantity","Source No.",$D1464,"Equipment Code",$L1464,"due date",G$8)/-12</t>
  </si>
  <si>
    <t>=NL("sum","Production Order","Quantity","Source No.",$D1464,"Equipment Code",$L1464,"due date",H$8)/-12</t>
  </si>
  <si>
    <t>=NL("sum","Production Order","Quantity","Source No.",$D1464,"Equipment Code",$L1464,"due date",I$8)/-12</t>
  </si>
  <si>
    <t>=NL("sum","Production Order","Quantity","Source No.",$D1464,"Equipment Code",$L1464,"due date",J$8)/$J$7</t>
  </si>
  <si>
    <t>=AVERAGE(I1464:J1464)</t>
  </si>
  <si>
    <t>=IF(K1465=0,"hide","")</t>
  </si>
  <si>
    <t>=D1464</t>
  </si>
  <si>
    <t>=NL("sum","Production Order","Quantity","Source No.",$D1465,"Equipment Code",$L1465,"due date",F$8)/-12</t>
  </si>
  <si>
    <t>=NL("sum","Production Order","Quantity","Source No.",$D1465,"Equipment Code",$L1465,"due date",G$8)/-12</t>
  </si>
  <si>
    <t>=NL("sum","Production Order","Quantity","Source No.",$D1465,"Equipment Code",$L1465,"due date",H$8)/-12</t>
  </si>
  <si>
    <t>=NL("sum","Production Order","Quantity","Source No.",$D1465,"Equipment Code",$L1465,"due date",I$8)/-12</t>
  </si>
  <si>
    <t>=NL("sum","Production Order","Quantity","Source No.",$D1465,"Equipment Code",$L1465,"due date",J$8)/$J$7</t>
  </si>
  <si>
    <t>=AVERAGE(I1465:J1465)</t>
  </si>
  <si>
    <t>=IF(K1466=0,"hide","")</t>
  </si>
  <si>
    <t>=D1465</t>
  </si>
  <si>
    <t>=NL("sum","Production Order","Quantity","Source No.",$D1466,"Equipment Code",$L1466,"due date",F$8)/-12</t>
  </si>
  <si>
    <t>=NL("sum","Production Order","Quantity","Source No.",$D1466,"Equipment Code",$L1466,"due date",G$8)/-12</t>
  </si>
  <si>
    <t>=NL("sum","Production Order","Quantity","Source No.",$D1466,"Equipment Code",$L1466,"due date",H$8)/-12</t>
  </si>
  <si>
    <t>=NL("sum","Production Order","Quantity","Source No.",$D1466,"Equipment Code",$L1466,"due date",I$8)/-12</t>
  </si>
  <si>
    <t>=NL("sum","Production Order","Quantity","Source No.",$D1466,"Equipment Code",$L1466,"due date",J$8)/$J$7</t>
  </si>
  <si>
    <t>=AVERAGE(I1466:J1466)</t>
  </si>
  <si>
    <t>=IF(K1467=0,"hide","")</t>
  </si>
  <si>
    <t>=D1466</t>
  </si>
  <si>
    <t>=NL("sum","Production Order","Quantity","Source No.",$D1467,"Equipment Code",$L1467,"due date",F$8)/-12</t>
  </si>
  <si>
    <t>=NL("sum","Production Order","Quantity","Source No.",$D1467,"Equipment Code",$L1467,"due date",G$8)/-12</t>
  </si>
  <si>
    <t>=NL("sum","Production Order","Quantity","Source No.",$D1467,"Equipment Code",$L1467,"due date",H$8)/-12</t>
  </si>
  <si>
    <t>=NL("sum","Production Order","Quantity","Source No.",$D1467,"Equipment Code",$L1467,"due date",I$8)/-12</t>
  </si>
  <si>
    <t>=NL("sum","Production Order","Quantity","Source No.",$D1467,"Equipment Code",$L1467,"due date",J$8)/$J$7</t>
  </si>
  <si>
    <t>=AVERAGE(I1467:J1467)</t>
  </si>
  <si>
    <t>=B1464</t>
  </si>
  <si>
    <t>=B1468</t>
  </si>
  <si>
    <t>=SUM(F1464:F1468)</t>
  </si>
  <si>
    <t>=SUM(G1464:G1468)</t>
  </si>
  <si>
    <t>=SUM(H1464:H1468)</t>
  </si>
  <si>
    <t>=SUM(I1464:I1468)</t>
  </si>
  <si>
    <t>=SUM(J1464:J1468)</t>
  </si>
  <si>
    <t>=IF(K1470=0,"hide","")</t>
  </si>
  <si>
    <t>="17005"</t>
  </si>
  <si>
    <t>=NL("rows","Production BOM Version","Version Code","Production BOM No.",D1470,"status","certified")</t>
  </si>
  <si>
    <t>=NL("sum","Item Ledger Entry","Quantity","Item No.",$D1470,"Entry Type","Sale|Consumption","posting date","01/01/19..12/31/19")/-12</t>
  </si>
  <si>
    <t>=NL("sum","Item Ledger Entry","Quantity","Item No.",$D1470,"Entry Type","Sale|Consumption","posting date","01/01/20..12/31/20")/-12</t>
  </si>
  <si>
    <t>=NL("sum","Item Ledger Entry","Quantity","Item No.",$D1470,"Entry Type","Sale|Consumption","posting date","01/01/21..12/31/21")/-12</t>
  </si>
  <si>
    <t>=NL("sum","Item Ledger Entry","Quantity","Item No.",$D1470,"Entry Type","Sale|Consumption","posting date","01/01/22..12/31/22")/-12</t>
  </si>
  <si>
    <t>=NL("sum","Item Ledger Entry","Quantity","Item No.",$D1470,"Entry Type","Sale|Consumption","posting date","01/01/23..12/31/23")/$J$7</t>
  </si>
  <si>
    <t>=AVERAGE(I1470:J1470)</t>
  </si>
  <si>
    <t>=NL(1,"item",L$9,"no.",D1470)</t>
  </si>
  <si>
    <t>=NL(1,"item",M$9,"no.",$D1470)</t>
  </si>
  <si>
    <t>=NL(1,"item","Units Per Parcel","no.",$D1470)</t>
  </si>
  <si>
    <t>=NL(1,"Prod. BOM Equipment","Fixed Prod. Time (Hours)","Production BOM No.",$D1470,"version code",$E1470,"Resource No.",O$9)</t>
  </si>
  <si>
    <t>=1/O1470</t>
  </si>
  <si>
    <t>=IF(NL(1,"Prod. BOM Equipment","Variable Prod. Time (Hours)","Production BOM No.",$D1470,"version code",$E1470,"Resource No.",$O$9)="",1,NL(1,"Prod. BOM Equipment","Variable Prod. Time (Hours)","Production BOM No.",$D1470,"version code",$E1470,"Resource No.",$O$9))</t>
  </si>
  <si>
    <t>=1/Q1470</t>
  </si>
  <si>
    <t>=R1470*N1470</t>
  </si>
  <si>
    <t>=IF(K1471=0,"hide","")</t>
  </si>
  <si>
    <t>=D1470</t>
  </si>
  <si>
    <t>=NL("sum","Production Order","Quantity","Source No.",$D1471,"Equipment Code",$L1471,"due date",F$8)/-12</t>
  </si>
  <si>
    <t>=NL("sum","Production Order","Quantity","Source No.",$D1471,"Equipment Code",$L1471,"due date",G$8)/-12</t>
  </si>
  <si>
    <t>=NL("sum","Production Order","Quantity","Source No.",$D1471,"Equipment Code",$L1471,"due date",H$8)/-12</t>
  </si>
  <si>
    <t>=NL("sum","Production Order","Quantity","Source No.",$D1471,"Equipment Code",$L1471,"due date",I$8)/-12</t>
  </si>
  <si>
    <t>=NL("sum","Production Order","Quantity","Source No.",$D1471,"Equipment Code",$L1471,"due date",J$8)/$J$7</t>
  </si>
  <si>
    <t>=AVERAGE(I1471:J1471)</t>
  </si>
  <si>
    <t>=IF(K1472=0,"hide","")</t>
  </si>
  <si>
    <t>=D1471</t>
  </si>
  <si>
    <t>=NL("sum","Production Order","Quantity","Source No.",$D1472,"Equipment Code",$L1472,"due date",F$8)/-12</t>
  </si>
  <si>
    <t>=NL("sum","Production Order","Quantity","Source No.",$D1472,"Equipment Code",$L1472,"due date",G$8)/-12</t>
  </si>
  <si>
    <t>=NL("sum","Production Order","Quantity","Source No.",$D1472,"Equipment Code",$L1472,"due date",H$8)/-12</t>
  </si>
  <si>
    <t>=NL("sum","Production Order","Quantity","Source No.",$D1472,"Equipment Code",$L1472,"due date",I$8)/-12</t>
  </si>
  <si>
    <t>=NL("sum","Production Order","Quantity","Source No.",$D1472,"Equipment Code",$L1472,"due date",J$8)/$J$7</t>
  </si>
  <si>
    <t>=AVERAGE(I1472:J1472)</t>
  </si>
  <si>
    <t>=IF(K1473=0,"hide","")</t>
  </si>
  <si>
    <t>=D1472</t>
  </si>
  <si>
    <t>=NL("sum","Production Order","Quantity","Source No.",$D1473,"Equipment Code",$L1473,"due date",F$8)/-12</t>
  </si>
  <si>
    <t>=NL("sum","Production Order","Quantity","Source No.",$D1473,"Equipment Code",$L1473,"due date",G$8)/-12</t>
  </si>
  <si>
    <t>=NL("sum","Production Order","Quantity","Source No.",$D1473,"Equipment Code",$L1473,"due date",H$8)/-12</t>
  </si>
  <si>
    <t>=NL("sum","Production Order","Quantity","Source No.",$D1473,"Equipment Code",$L1473,"due date",I$8)/-12</t>
  </si>
  <si>
    <t>=NL("sum","Production Order","Quantity","Source No.",$D1473,"Equipment Code",$L1473,"due date",J$8)/$J$7</t>
  </si>
  <si>
    <t>=AVERAGE(I1473:J1473)</t>
  </si>
  <si>
    <t>=IF(K1474=0,"hide","")</t>
  </si>
  <si>
    <t>=D1473</t>
  </si>
  <si>
    <t>=NL("sum","Production Order","Quantity","Source No.",$D1474,"Equipment Code",$L1474,"due date",F$8)/-12</t>
  </si>
  <si>
    <t>=NL("sum","Production Order","Quantity","Source No.",$D1474,"Equipment Code",$L1474,"due date",G$8)/-12</t>
  </si>
  <si>
    <t>=NL("sum","Production Order","Quantity","Source No.",$D1474,"Equipment Code",$L1474,"due date",H$8)/-12</t>
  </si>
  <si>
    <t>=NL("sum","Production Order","Quantity","Source No.",$D1474,"Equipment Code",$L1474,"due date",I$8)/-12</t>
  </si>
  <si>
    <t>=NL("sum","Production Order","Quantity","Source No.",$D1474,"Equipment Code",$L1474,"due date",J$8)/$J$7</t>
  </si>
  <si>
    <t>=AVERAGE(I1474:J1474)</t>
  </si>
  <si>
    <t>=B1471</t>
  </si>
  <si>
    <t>=B1475</t>
  </si>
  <si>
    <t>=SUM(F1471:F1475)</t>
  </si>
  <si>
    <t>=SUM(G1471:G1475)</t>
  </si>
  <si>
    <t>=SUM(H1471:H1475)</t>
  </si>
  <si>
    <t>=SUM(I1471:I1475)</t>
  </si>
  <si>
    <t>=SUM(J1471:J1475)</t>
  </si>
  <si>
    <t>=IF(K1477=0,"hide","")</t>
  </si>
  <si>
    <t>="17025"</t>
  </si>
  <si>
    <t>=NL("rows","Production BOM Version","Version Code","Production BOM No.",D1477,"status","certified")</t>
  </si>
  <si>
    <t>=NL("sum","Item Ledger Entry","Quantity","Item No.",$D1477,"Entry Type","Sale|Consumption","posting date","01/01/19..12/31/19")/-12</t>
  </si>
  <si>
    <t>=NL("sum","Item Ledger Entry","Quantity","Item No.",$D1477,"Entry Type","Sale|Consumption","posting date","01/01/20..12/31/20")/-12</t>
  </si>
  <si>
    <t>=NL("sum","Item Ledger Entry","Quantity","Item No.",$D1477,"Entry Type","Sale|Consumption","posting date","01/01/21..12/31/21")/-12</t>
  </si>
  <si>
    <t>=NL("sum","Item Ledger Entry","Quantity","Item No.",$D1477,"Entry Type","Sale|Consumption","posting date","01/01/22..12/31/22")/-12</t>
  </si>
  <si>
    <t>=NL("sum","Item Ledger Entry","Quantity","Item No.",$D1477,"Entry Type","Sale|Consumption","posting date","01/01/23..12/31/23")/$J$7</t>
  </si>
  <si>
    <t>=AVERAGE(I1477:J1477)</t>
  </si>
  <si>
    <t>=NL(1,"item",L$9,"no.",D1477)</t>
  </si>
  <si>
    <t>=NL(1,"item",M$9,"no.",$D1477)</t>
  </si>
  <si>
    <t>=NL(1,"item","Units Per Parcel","no.",$D1477)</t>
  </si>
  <si>
    <t>=NL(1,"Prod. BOM Equipment","Fixed Prod. Time (Hours)","Production BOM No.",$D1477,"version code",$E1477,"Resource No.",O$9)</t>
  </si>
  <si>
    <t>=1/O1477</t>
  </si>
  <si>
    <t>=IF(NL(1,"Prod. BOM Equipment","Variable Prod. Time (Hours)","Production BOM No.",$D1477,"version code",$E1477,"Resource No.",$O$9)="",1,NL(1,"Prod. BOM Equipment","Variable Prod. Time (Hours)","Production BOM No.",$D1477,"version code",$E1477,"Resource No.",$O$9))</t>
  </si>
  <si>
    <t>=1/Q1477</t>
  </si>
  <si>
    <t>=R1477*N1477</t>
  </si>
  <si>
    <t>=IF(K1478=0,"hide","")</t>
  </si>
  <si>
    <t>=D1477</t>
  </si>
  <si>
    <t>=NL("sum","Production Order","Quantity","Source No.",$D1478,"Equipment Code",$L1478,"due date",F$8)/-12</t>
  </si>
  <si>
    <t>=NL("sum","Production Order","Quantity","Source No.",$D1478,"Equipment Code",$L1478,"due date",G$8)/-12</t>
  </si>
  <si>
    <t>=NL("sum","Production Order","Quantity","Source No.",$D1478,"Equipment Code",$L1478,"due date",H$8)/-12</t>
  </si>
  <si>
    <t>=NL("sum","Production Order","Quantity","Source No.",$D1478,"Equipment Code",$L1478,"due date",I$8)/-12</t>
  </si>
  <si>
    <t>=NL("sum","Production Order","Quantity","Source No.",$D1478,"Equipment Code",$L1478,"due date",J$8)/$J$7</t>
  </si>
  <si>
    <t>=AVERAGE(I1478:J1478)</t>
  </si>
  <si>
    <t>=IF(K1479=0,"hide","")</t>
  </si>
  <si>
    <t>=D1478</t>
  </si>
  <si>
    <t>=NL("sum","Production Order","Quantity","Source No.",$D1479,"Equipment Code",$L1479,"due date",F$8)/-12</t>
  </si>
  <si>
    <t>=NL("sum","Production Order","Quantity","Source No.",$D1479,"Equipment Code",$L1479,"due date",G$8)/-12</t>
  </si>
  <si>
    <t>=NL("sum","Production Order","Quantity","Source No.",$D1479,"Equipment Code",$L1479,"due date",H$8)/-12</t>
  </si>
  <si>
    <t>=NL("sum","Production Order","Quantity","Source No.",$D1479,"Equipment Code",$L1479,"due date",I$8)/-12</t>
  </si>
  <si>
    <t>=NL("sum","Production Order","Quantity","Source No.",$D1479,"Equipment Code",$L1479,"due date",J$8)/$J$7</t>
  </si>
  <si>
    <t>=AVERAGE(I1479:J1479)</t>
  </si>
  <si>
    <t>=IF(K1480=0,"hide","")</t>
  </si>
  <si>
    <t>=D1479</t>
  </si>
  <si>
    <t>=NL("sum","Production Order","Quantity","Source No.",$D1480,"Equipment Code",$L1480,"due date",F$8)/-12</t>
  </si>
  <si>
    <t>=NL("sum","Production Order","Quantity","Source No.",$D1480,"Equipment Code",$L1480,"due date",G$8)/-12</t>
  </si>
  <si>
    <t>=NL("sum","Production Order","Quantity","Source No.",$D1480,"Equipment Code",$L1480,"due date",H$8)/-12</t>
  </si>
  <si>
    <t>=NL("sum","Production Order","Quantity","Source No.",$D1480,"Equipment Code",$L1480,"due date",I$8)/-12</t>
  </si>
  <si>
    <t>=NL("sum","Production Order","Quantity","Source No.",$D1480,"Equipment Code",$L1480,"due date",J$8)/$J$7</t>
  </si>
  <si>
    <t>=AVERAGE(I1480:J1480)</t>
  </si>
  <si>
    <t>=IF(K1481=0,"hide","")</t>
  </si>
  <si>
    <t>=D1480</t>
  </si>
  <si>
    <t>=NL("sum","Production Order","Quantity","Source No.",$D1481,"Equipment Code",$L1481,"due date",F$8)/-12</t>
  </si>
  <si>
    <t>=NL("sum","Production Order","Quantity","Source No.",$D1481,"Equipment Code",$L1481,"due date",G$8)/-12</t>
  </si>
  <si>
    <t>=NL("sum","Production Order","Quantity","Source No.",$D1481,"Equipment Code",$L1481,"due date",H$8)/-12</t>
  </si>
  <si>
    <t>=NL("sum","Production Order","Quantity","Source No.",$D1481,"Equipment Code",$L1481,"due date",I$8)/-12</t>
  </si>
  <si>
    <t>=NL("sum","Production Order","Quantity","Source No.",$D1481,"Equipment Code",$L1481,"due date",J$8)/$J$7</t>
  </si>
  <si>
    <t>=AVERAGE(I1481:J1481)</t>
  </si>
  <si>
    <t>=B1478</t>
  </si>
  <si>
    <t>=B1482</t>
  </si>
  <si>
    <t>=SUM(F1478:F1482)</t>
  </si>
  <si>
    <t>=SUM(G1478:G1482)</t>
  </si>
  <si>
    <t>=SUM(H1478:H1482)</t>
  </si>
  <si>
    <t>=SUM(I1478:I1482)</t>
  </si>
  <si>
    <t>=SUM(J1478:J1482)</t>
  </si>
  <si>
    <t>=IF(K1484=0,"hide","")</t>
  </si>
  <si>
    <t>="17405"</t>
  </si>
  <si>
    <t>=NL("rows","Production BOM Version","Version Code","Production BOM No.",D1484,"status","certified")</t>
  </si>
  <si>
    <t>=NL("sum","Item Ledger Entry","Quantity","Item No.",$D1484,"Entry Type","Sale|Consumption","posting date","01/01/19..12/31/19")/-12</t>
  </si>
  <si>
    <t>=NL("sum","Item Ledger Entry","Quantity","Item No.",$D1484,"Entry Type","Sale|Consumption","posting date","01/01/20..12/31/20")/-12</t>
  </si>
  <si>
    <t>=NL("sum","Item Ledger Entry","Quantity","Item No.",$D1484,"Entry Type","Sale|Consumption","posting date","01/01/21..12/31/21")/-12</t>
  </si>
  <si>
    <t>=NL("sum","Item Ledger Entry","Quantity","Item No.",$D1484,"Entry Type","Sale|Consumption","posting date","01/01/22..12/31/22")/-12</t>
  </si>
  <si>
    <t>=NL("sum","Item Ledger Entry","Quantity","Item No.",$D1484,"Entry Type","Sale|Consumption","posting date","01/01/23..12/31/23")/$J$7</t>
  </si>
  <si>
    <t>=AVERAGE(I1484:J1484)</t>
  </si>
  <si>
    <t>=NL(1,"item",L$9,"no.",D1484)</t>
  </si>
  <si>
    <t>=NL(1,"item",M$9,"no.",$D1484)</t>
  </si>
  <si>
    <t>=NL(1,"item","Units Per Parcel","no.",$D1484)</t>
  </si>
  <si>
    <t>=NL(1,"Prod. BOM Equipment","Fixed Prod. Time (Hours)","Production BOM No.",$D1484,"version code",$E1484,"Resource No.",O$9)</t>
  </si>
  <si>
    <t>=1/O1484</t>
  </si>
  <si>
    <t>=IF(NL(1,"Prod. BOM Equipment","Variable Prod. Time (Hours)","Production BOM No.",$D1484,"version code",$E1484,"Resource No.",$O$9)="",1,NL(1,"Prod. BOM Equipment","Variable Prod. Time (Hours)","Production BOM No.",$D1484,"version code",$E1484,"Resource No.",$O$9))</t>
  </si>
  <si>
    <t>=1/Q1484</t>
  </si>
  <si>
    <t>=R1484*N1484</t>
  </si>
  <si>
    <t>=IF(K1485=0,"hide","")</t>
  </si>
  <si>
    <t>=D1484</t>
  </si>
  <si>
    <t>=NL("sum","Production Order","Quantity","Source No.",$D1485,"Equipment Code",$L1485,"due date",F$8)/-12</t>
  </si>
  <si>
    <t>=NL("sum","Production Order","Quantity","Source No.",$D1485,"Equipment Code",$L1485,"due date",G$8)/-12</t>
  </si>
  <si>
    <t>=NL("sum","Production Order","Quantity","Source No.",$D1485,"Equipment Code",$L1485,"due date",H$8)/-12</t>
  </si>
  <si>
    <t>=NL("sum","Production Order","Quantity","Source No.",$D1485,"Equipment Code",$L1485,"due date",I$8)/-12</t>
  </si>
  <si>
    <t>=NL("sum","Production Order","Quantity","Source No.",$D1485,"Equipment Code",$L1485,"due date",J$8)/$J$7</t>
  </si>
  <si>
    <t>=AVERAGE(I1485:J1485)</t>
  </si>
  <si>
    <t>=IF(K1486=0,"hide","")</t>
  </si>
  <si>
    <t>=D1485</t>
  </si>
  <si>
    <t>=NL("sum","Production Order","Quantity","Source No.",$D1486,"Equipment Code",$L1486,"due date",F$8)/-12</t>
  </si>
  <si>
    <t>=NL("sum","Production Order","Quantity","Source No.",$D1486,"Equipment Code",$L1486,"due date",G$8)/-12</t>
  </si>
  <si>
    <t>=NL("sum","Production Order","Quantity","Source No.",$D1486,"Equipment Code",$L1486,"due date",H$8)/-12</t>
  </si>
  <si>
    <t>=NL("sum","Production Order","Quantity","Source No.",$D1486,"Equipment Code",$L1486,"due date",I$8)/-12</t>
  </si>
  <si>
    <t>=NL("sum","Production Order","Quantity","Source No.",$D1486,"Equipment Code",$L1486,"due date",J$8)/$J$7</t>
  </si>
  <si>
    <t>=AVERAGE(I1486:J1486)</t>
  </si>
  <si>
    <t>=IF(K1487=0,"hide","")</t>
  </si>
  <si>
    <t>=D1486</t>
  </si>
  <si>
    <t>=NL("sum","Production Order","Quantity","Source No.",$D1487,"Equipment Code",$L1487,"due date",F$8)/-12</t>
  </si>
  <si>
    <t>=NL("sum","Production Order","Quantity","Source No.",$D1487,"Equipment Code",$L1487,"due date",G$8)/-12</t>
  </si>
  <si>
    <t>=NL("sum","Production Order","Quantity","Source No.",$D1487,"Equipment Code",$L1487,"due date",H$8)/-12</t>
  </si>
  <si>
    <t>=NL("sum","Production Order","Quantity","Source No.",$D1487,"Equipment Code",$L1487,"due date",I$8)/-12</t>
  </si>
  <si>
    <t>=NL("sum","Production Order","Quantity","Source No.",$D1487,"Equipment Code",$L1487,"due date",J$8)/$J$7</t>
  </si>
  <si>
    <t>=AVERAGE(I1487:J1487)</t>
  </si>
  <si>
    <t>=IF(K1488=0,"hide","")</t>
  </si>
  <si>
    <t>=D1487</t>
  </si>
  <si>
    <t>=NL("sum","Production Order","Quantity","Source No.",$D1488,"Equipment Code",$L1488,"due date",F$8)/-12</t>
  </si>
  <si>
    <t>=NL("sum","Production Order","Quantity","Source No.",$D1488,"Equipment Code",$L1488,"due date",G$8)/-12</t>
  </si>
  <si>
    <t>=NL("sum","Production Order","Quantity","Source No.",$D1488,"Equipment Code",$L1488,"due date",H$8)/-12</t>
  </si>
  <si>
    <t>=NL("sum","Production Order","Quantity","Source No.",$D1488,"Equipment Code",$L1488,"due date",I$8)/-12</t>
  </si>
  <si>
    <t>=NL("sum","Production Order","Quantity","Source No.",$D1488,"Equipment Code",$L1488,"due date",J$8)/$J$7</t>
  </si>
  <si>
    <t>=AVERAGE(I1488:J1488)</t>
  </si>
  <si>
    <t>=B1485</t>
  </si>
  <si>
    <t>=B1489</t>
  </si>
  <si>
    <t>=SUM(F1485:F1489)</t>
  </si>
  <si>
    <t>=SUM(G1485:G1489)</t>
  </si>
  <si>
    <t>=SUM(H1485:H1489)</t>
  </si>
  <si>
    <t>=SUM(I1485:I1489)</t>
  </si>
  <si>
    <t>=SUM(J1485:J1489)</t>
  </si>
  <si>
    <t>=IF(K1491=0,"hide","")</t>
  </si>
  <si>
    <t>="17425"</t>
  </si>
  <si>
    <t>=NL("rows","Production BOM Version","Version Code","Production BOM No.",D1491,"status","certified")</t>
  </si>
  <si>
    <t>=NL("sum","Item Ledger Entry","Quantity","Item No.",$D1491,"Entry Type","Sale|Consumption","posting date","01/01/19..12/31/19")/-12</t>
  </si>
  <si>
    <t>=NL("sum","Item Ledger Entry","Quantity","Item No.",$D1491,"Entry Type","Sale|Consumption","posting date","01/01/20..12/31/20")/-12</t>
  </si>
  <si>
    <t>=NL("sum","Item Ledger Entry","Quantity","Item No.",$D1491,"Entry Type","Sale|Consumption","posting date","01/01/21..12/31/21")/-12</t>
  </si>
  <si>
    <t>=NL("sum","Item Ledger Entry","Quantity","Item No.",$D1491,"Entry Type","Sale|Consumption","posting date","01/01/22..12/31/22")/-12</t>
  </si>
  <si>
    <t>=NL("sum","Item Ledger Entry","Quantity","Item No.",$D1491,"Entry Type","Sale|Consumption","posting date","01/01/23..12/31/23")/$J$7</t>
  </si>
  <si>
    <t>=AVERAGE(I1491:J1491)</t>
  </si>
  <si>
    <t>=NL(1,"item",L$9,"no.",D1491)</t>
  </si>
  <si>
    <t>=NL(1,"item",M$9,"no.",$D1491)</t>
  </si>
  <si>
    <t>=NL(1,"item","Units Per Parcel","no.",$D1491)</t>
  </si>
  <si>
    <t>=NL(1,"Prod. BOM Equipment","Fixed Prod. Time (Hours)","Production BOM No.",$D1491,"version code",$E1491,"Resource No.",O$9)</t>
  </si>
  <si>
    <t>=1/O1491</t>
  </si>
  <si>
    <t>=IF(NL(1,"Prod. BOM Equipment","Variable Prod. Time (Hours)","Production BOM No.",$D1491,"version code",$E1491,"Resource No.",$O$9)="",1,NL(1,"Prod. BOM Equipment","Variable Prod. Time (Hours)","Production BOM No.",$D1491,"version code",$E1491,"Resource No.",$O$9))</t>
  </si>
  <si>
    <t>=1/Q1491</t>
  </si>
  <si>
    <t>=R1491*N1491</t>
  </si>
  <si>
    <t>=IF(K1492=0,"hide","")</t>
  </si>
  <si>
    <t>=D1491</t>
  </si>
  <si>
    <t>=NL("sum","Production Order","Quantity","Source No.",$D1492,"Equipment Code",$L1492,"due date",F$8)/-12</t>
  </si>
  <si>
    <t>=NL("sum","Production Order","Quantity","Source No.",$D1492,"Equipment Code",$L1492,"due date",G$8)/-12</t>
  </si>
  <si>
    <t>=NL("sum","Production Order","Quantity","Source No.",$D1492,"Equipment Code",$L1492,"due date",H$8)/-12</t>
  </si>
  <si>
    <t>=NL("sum","Production Order","Quantity","Source No.",$D1492,"Equipment Code",$L1492,"due date",I$8)/-12</t>
  </si>
  <si>
    <t>=NL("sum","Production Order","Quantity","Source No.",$D1492,"Equipment Code",$L1492,"due date",J$8)/$J$7</t>
  </si>
  <si>
    <t>=AVERAGE(I1492:J1492)</t>
  </si>
  <si>
    <t>=IF(K1493=0,"hide","")</t>
  </si>
  <si>
    <t>=D1492</t>
  </si>
  <si>
    <t>=NL("sum","Production Order","Quantity","Source No.",$D1493,"Equipment Code",$L1493,"due date",F$8)/-12</t>
  </si>
  <si>
    <t>=NL("sum","Production Order","Quantity","Source No.",$D1493,"Equipment Code",$L1493,"due date",G$8)/-12</t>
  </si>
  <si>
    <t>=NL("sum","Production Order","Quantity","Source No.",$D1493,"Equipment Code",$L1493,"due date",H$8)/-12</t>
  </si>
  <si>
    <t>=NL("sum","Production Order","Quantity","Source No.",$D1493,"Equipment Code",$L1493,"due date",I$8)/-12</t>
  </si>
  <si>
    <t>=NL("sum","Production Order","Quantity","Source No.",$D1493,"Equipment Code",$L1493,"due date",J$8)/$J$7</t>
  </si>
  <si>
    <t>=AVERAGE(I1493:J1493)</t>
  </si>
  <si>
    <t>=IF(K1494=0,"hide","")</t>
  </si>
  <si>
    <t>=D1493</t>
  </si>
  <si>
    <t>=NL("sum","Production Order","Quantity","Source No.",$D1494,"Equipment Code",$L1494,"due date",F$8)/-12</t>
  </si>
  <si>
    <t>=NL("sum","Production Order","Quantity","Source No.",$D1494,"Equipment Code",$L1494,"due date",G$8)/-12</t>
  </si>
  <si>
    <t>=NL("sum","Production Order","Quantity","Source No.",$D1494,"Equipment Code",$L1494,"due date",H$8)/-12</t>
  </si>
  <si>
    <t>=NL("sum","Production Order","Quantity","Source No.",$D1494,"Equipment Code",$L1494,"due date",I$8)/-12</t>
  </si>
  <si>
    <t>=NL("sum","Production Order","Quantity","Source No.",$D1494,"Equipment Code",$L1494,"due date",J$8)/$J$7</t>
  </si>
  <si>
    <t>=AVERAGE(I1494:J1494)</t>
  </si>
  <si>
    <t>=IF(K1495=0,"hide","")</t>
  </si>
  <si>
    <t>=D1494</t>
  </si>
  <si>
    <t>=NL("sum","Production Order","Quantity","Source No.",$D1495,"Equipment Code",$L1495,"due date",F$8)/-12</t>
  </si>
  <si>
    <t>=NL("sum","Production Order","Quantity","Source No.",$D1495,"Equipment Code",$L1495,"due date",G$8)/-12</t>
  </si>
  <si>
    <t>=NL("sum","Production Order","Quantity","Source No.",$D1495,"Equipment Code",$L1495,"due date",H$8)/-12</t>
  </si>
  <si>
    <t>=NL("sum","Production Order","Quantity","Source No.",$D1495,"Equipment Code",$L1495,"due date",I$8)/-12</t>
  </si>
  <si>
    <t>=NL("sum","Production Order","Quantity","Source No.",$D1495,"Equipment Code",$L1495,"due date",J$8)/$J$7</t>
  </si>
  <si>
    <t>=AVERAGE(I1495:J1495)</t>
  </si>
  <si>
    <t>=B1492</t>
  </si>
  <si>
    <t>=B1496</t>
  </si>
  <si>
    <t>=SUM(F1492:F1496)</t>
  </si>
  <si>
    <t>=SUM(G1492:G1496)</t>
  </si>
  <si>
    <t>=SUM(H1492:H1496)</t>
  </si>
  <si>
    <t>=SUM(I1492:I1496)</t>
  </si>
  <si>
    <t>=SUM(J1492:J1496)</t>
  </si>
  <si>
    <t>=IF(K1498=0,"hide","")</t>
  </si>
  <si>
    <t>="17435"</t>
  </si>
  <si>
    <t>=NL("rows","Production BOM Version","Version Code","Production BOM No.",D1498,"status","certified")</t>
  </si>
  <si>
    <t>=NL("sum","Item Ledger Entry","Quantity","Item No.",$D1498,"Entry Type","Sale|Consumption","posting date","01/01/19..12/31/19")/-12</t>
  </si>
  <si>
    <t>=NL("sum","Item Ledger Entry","Quantity","Item No.",$D1498,"Entry Type","Sale|Consumption","posting date","01/01/20..12/31/20")/-12</t>
  </si>
  <si>
    <t>=NL("sum","Item Ledger Entry","Quantity","Item No.",$D1498,"Entry Type","Sale|Consumption","posting date","01/01/21..12/31/21")/-12</t>
  </si>
  <si>
    <t>=NL("sum","Item Ledger Entry","Quantity","Item No.",$D1498,"Entry Type","Sale|Consumption","posting date","01/01/22..12/31/22")/-12</t>
  </si>
  <si>
    <t>=NL("sum","Item Ledger Entry","Quantity","Item No.",$D1498,"Entry Type","Sale|Consumption","posting date","01/01/23..12/31/23")/$J$7</t>
  </si>
  <si>
    <t>=AVERAGE(I1498:J1498)</t>
  </si>
  <si>
    <t>=NL(1,"item",L$9,"no.",D1498)</t>
  </si>
  <si>
    <t>=NL(1,"item",M$9,"no.",$D1498)</t>
  </si>
  <si>
    <t>=NL(1,"item","Units Per Parcel","no.",$D1498)</t>
  </si>
  <si>
    <t>=NL(1,"Prod. BOM Equipment","Fixed Prod. Time (Hours)","Production BOM No.",$D1498,"version code",$E1498,"Resource No.",O$9)</t>
  </si>
  <si>
    <t>=1/O1498</t>
  </si>
  <si>
    <t>=IF(NL(1,"Prod. BOM Equipment","Variable Prod. Time (Hours)","Production BOM No.",$D1498,"version code",$E1498,"Resource No.",$O$9)="",1,NL(1,"Prod. BOM Equipment","Variable Prod. Time (Hours)","Production BOM No.",$D1498,"version code",$E1498,"Resource No.",$O$9))</t>
  </si>
  <si>
    <t>=1/Q1498</t>
  </si>
  <si>
    <t>=R1498*N1498</t>
  </si>
  <si>
    <t>=IF(K1499=0,"hide","")</t>
  </si>
  <si>
    <t>=D1498</t>
  </si>
  <si>
    <t>=NL("sum","Production Order","Quantity","Source No.",$D1499,"Equipment Code",$L1499,"due date",F$8)/-12</t>
  </si>
  <si>
    <t>=NL("sum","Production Order","Quantity","Source No.",$D1499,"Equipment Code",$L1499,"due date",G$8)/-12</t>
  </si>
  <si>
    <t>=NL("sum","Production Order","Quantity","Source No.",$D1499,"Equipment Code",$L1499,"due date",H$8)/-12</t>
  </si>
  <si>
    <t>=NL("sum","Production Order","Quantity","Source No.",$D1499,"Equipment Code",$L1499,"due date",I$8)/-12</t>
  </si>
  <si>
    <t>=NL("sum","Production Order","Quantity","Source No.",$D1499,"Equipment Code",$L1499,"due date",J$8)/$J$7</t>
  </si>
  <si>
    <t>=AVERAGE(I1499:J1499)</t>
  </si>
  <si>
    <t>=IF(K1500=0,"hide","")</t>
  </si>
  <si>
    <t>=D1499</t>
  </si>
  <si>
    <t>=NL("sum","Production Order","Quantity","Source No.",$D1500,"Equipment Code",$L1500,"due date",F$8)/-12</t>
  </si>
  <si>
    <t>=NL("sum","Production Order","Quantity","Source No.",$D1500,"Equipment Code",$L1500,"due date",G$8)/-12</t>
  </si>
  <si>
    <t>=NL("sum","Production Order","Quantity","Source No.",$D1500,"Equipment Code",$L1500,"due date",H$8)/-12</t>
  </si>
  <si>
    <t>=NL("sum","Production Order","Quantity","Source No.",$D1500,"Equipment Code",$L1500,"due date",I$8)/-12</t>
  </si>
  <si>
    <t>=NL("sum","Production Order","Quantity","Source No.",$D1500,"Equipment Code",$L1500,"due date",J$8)/$J$7</t>
  </si>
  <si>
    <t>=AVERAGE(I1500:J1500)</t>
  </si>
  <si>
    <t>=IF(K1501=0,"hide","")</t>
  </si>
  <si>
    <t>=D1500</t>
  </si>
  <si>
    <t>=NL("sum","Production Order","Quantity","Source No.",$D1501,"Equipment Code",$L1501,"due date",F$8)/-12</t>
  </si>
  <si>
    <t>=NL("sum","Production Order","Quantity","Source No.",$D1501,"Equipment Code",$L1501,"due date",G$8)/-12</t>
  </si>
  <si>
    <t>=NL("sum","Production Order","Quantity","Source No.",$D1501,"Equipment Code",$L1501,"due date",H$8)/-12</t>
  </si>
  <si>
    <t>=NL("sum","Production Order","Quantity","Source No.",$D1501,"Equipment Code",$L1501,"due date",I$8)/-12</t>
  </si>
  <si>
    <t>=NL("sum","Production Order","Quantity","Source No.",$D1501,"Equipment Code",$L1501,"due date",J$8)/$J$7</t>
  </si>
  <si>
    <t>=AVERAGE(I1501:J1501)</t>
  </si>
  <si>
    <t>=IF(K1502=0,"hide","")</t>
  </si>
  <si>
    <t>=D1501</t>
  </si>
  <si>
    <t>=NL("sum","Production Order","Quantity","Source No.",$D1502,"Equipment Code",$L1502,"due date",F$8)/-12</t>
  </si>
  <si>
    <t>=NL("sum","Production Order","Quantity","Source No.",$D1502,"Equipment Code",$L1502,"due date",G$8)/-12</t>
  </si>
  <si>
    <t>=NL("sum","Production Order","Quantity","Source No.",$D1502,"Equipment Code",$L1502,"due date",H$8)/-12</t>
  </si>
  <si>
    <t>=NL("sum","Production Order","Quantity","Source No.",$D1502,"Equipment Code",$L1502,"due date",I$8)/-12</t>
  </si>
  <si>
    <t>=NL("sum","Production Order","Quantity","Source No.",$D1502,"Equipment Code",$L1502,"due date",J$8)/$J$7</t>
  </si>
  <si>
    <t>=AVERAGE(I1502:J1502)</t>
  </si>
  <si>
    <t>=B1499</t>
  </si>
  <si>
    <t>=B1503</t>
  </si>
  <si>
    <t>=SUM(F1499:F1503)</t>
  </si>
  <si>
    <t>=SUM(G1499:G1503)</t>
  </si>
  <si>
    <t>=SUM(H1499:H1503)</t>
  </si>
  <si>
    <t>=SUM(I1499:I1503)</t>
  </si>
  <si>
    <t>=SUM(J1499:J1503)</t>
  </si>
  <si>
    <t>=IF(K1505=0,"hide","")</t>
  </si>
  <si>
    <t>="17451"</t>
  </si>
  <si>
    <t>=NL("rows","Production BOM Version","Version Code","Production BOM No.",D1505,"status","certified")</t>
  </si>
  <si>
    <t>=NL("sum","Item Ledger Entry","Quantity","Item No.",$D1505,"Entry Type","Sale|Consumption","posting date","01/01/19..12/31/19")/-12</t>
  </si>
  <si>
    <t>=NL("sum","Item Ledger Entry","Quantity","Item No.",$D1505,"Entry Type","Sale|Consumption","posting date","01/01/20..12/31/20")/-12</t>
  </si>
  <si>
    <t>=NL("sum","Item Ledger Entry","Quantity","Item No.",$D1505,"Entry Type","Sale|Consumption","posting date","01/01/21..12/31/21")/-12</t>
  </si>
  <si>
    <t>=NL("sum","Item Ledger Entry","Quantity","Item No.",$D1505,"Entry Type","Sale|Consumption","posting date","01/01/22..12/31/22")/-12</t>
  </si>
  <si>
    <t>=NL("sum","Item Ledger Entry","Quantity","Item No.",$D1505,"Entry Type","Sale|Consumption","posting date","01/01/23..12/31/23")/$J$7</t>
  </si>
  <si>
    <t>=AVERAGE(I1505:J1505)</t>
  </si>
  <si>
    <t>=NL(1,"item",L$9,"no.",D1505)</t>
  </si>
  <si>
    <t>=NL(1,"item",M$9,"no.",$D1505)</t>
  </si>
  <si>
    <t>=NL(1,"item","Units Per Parcel","no.",$D1505)</t>
  </si>
  <si>
    <t>=NL(1,"Prod. BOM Equipment","Fixed Prod. Time (Hours)","Production BOM No.",$D1505,"version code",$E1505,"Resource No.",O$9)</t>
  </si>
  <si>
    <t>=1/O1505</t>
  </si>
  <si>
    <t>=IF(NL(1,"Prod. BOM Equipment","Variable Prod. Time (Hours)","Production BOM No.",$D1505,"version code",$E1505,"Resource No.",$O$9)="",1,NL(1,"Prod. BOM Equipment","Variable Prod. Time (Hours)","Production BOM No.",$D1505,"version code",$E1505,"Resource No.",$O$9))</t>
  </si>
  <si>
    <t>=1/Q1505</t>
  </si>
  <si>
    <t>=R1505*N1505</t>
  </si>
  <si>
    <t>=IF(K1506=0,"hide","")</t>
  </si>
  <si>
    <t>=D1505</t>
  </si>
  <si>
    <t>=NL("sum","Production Order","Quantity","Source No.",$D1506,"Equipment Code",$L1506,"due date",F$8)/-12</t>
  </si>
  <si>
    <t>=NL("sum","Production Order","Quantity","Source No.",$D1506,"Equipment Code",$L1506,"due date",G$8)/-12</t>
  </si>
  <si>
    <t>=NL("sum","Production Order","Quantity","Source No.",$D1506,"Equipment Code",$L1506,"due date",H$8)/-12</t>
  </si>
  <si>
    <t>=NL("sum","Production Order","Quantity","Source No.",$D1506,"Equipment Code",$L1506,"due date",I$8)/-12</t>
  </si>
  <si>
    <t>=NL("sum","Production Order","Quantity","Source No.",$D1506,"Equipment Code",$L1506,"due date",J$8)/$J$7</t>
  </si>
  <si>
    <t>=AVERAGE(I1506:J1506)</t>
  </si>
  <si>
    <t>=IF(K1507=0,"hide","")</t>
  </si>
  <si>
    <t>=D1506</t>
  </si>
  <si>
    <t>=NL("sum","Production Order","Quantity","Source No.",$D1507,"Equipment Code",$L1507,"due date",F$8)/-12</t>
  </si>
  <si>
    <t>=NL("sum","Production Order","Quantity","Source No.",$D1507,"Equipment Code",$L1507,"due date",G$8)/-12</t>
  </si>
  <si>
    <t>=NL("sum","Production Order","Quantity","Source No.",$D1507,"Equipment Code",$L1507,"due date",H$8)/-12</t>
  </si>
  <si>
    <t>=NL("sum","Production Order","Quantity","Source No.",$D1507,"Equipment Code",$L1507,"due date",I$8)/-12</t>
  </si>
  <si>
    <t>=NL("sum","Production Order","Quantity","Source No.",$D1507,"Equipment Code",$L1507,"due date",J$8)/$J$7</t>
  </si>
  <si>
    <t>=AVERAGE(I1507:J1507)</t>
  </si>
  <si>
    <t>=IF(K1508=0,"hide","")</t>
  </si>
  <si>
    <t>=D1507</t>
  </si>
  <si>
    <t>=NL("sum","Production Order","Quantity","Source No.",$D1508,"Equipment Code",$L1508,"due date",F$8)/-12</t>
  </si>
  <si>
    <t>=NL("sum","Production Order","Quantity","Source No.",$D1508,"Equipment Code",$L1508,"due date",G$8)/-12</t>
  </si>
  <si>
    <t>=NL("sum","Production Order","Quantity","Source No.",$D1508,"Equipment Code",$L1508,"due date",H$8)/-12</t>
  </si>
  <si>
    <t>=NL("sum","Production Order","Quantity","Source No.",$D1508,"Equipment Code",$L1508,"due date",I$8)/-12</t>
  </si>
  <si>
    <t>=NL("sum","Production Order","Quantity","Source No.",$D1508,"Equipment Code",$L1508,"due date",J$8)/$J$7</t>
  </si>
  <si>
    <t>=AVERAGE(I1508:J1508)</t>
  </si>
  <si>
    <t>=IF(K1509=0,"hide","")</t>
  </si>
  <si>
    <t>=D1508</t>
  </si>
  <si>
    <t>=NL("sum","Production Order","Quantity","Source No.",$D1509,"Equipment Code",$L1509,"due date",F$8)/-12</t>
  </si>
  <si>
    <t>=NL("sum","Production Order","Quantity","Source No.",$D1509,"Equipment Code",$L1509,"due date",G$8)/-12</t>
  </si>
  <si>
    <t>=NL("sum","Production Order","Quantity","Source No.",$D1509,"Equipment Code",$L1509,"due date",H$8)/-12</t>
  </si>
  <si>
    <t>=NL("sum","Production Order","Quantity","Source No.",$D1509,"Equipment Code",$L1509,"due date",I$8)/-12</t>
  </si>
  <si>
    <t>=NL("sum","Production Order","Quantity","Source No.",$D1509,"Equipment Code",$L1509,"due date",J$8)/$J$7</t>
  </si>
  <si>
    <t>=AVERAGE(I1509:J1509)</t>
  </si>
  <si>
    <t>=B1506</t>
  </si>
  <si>
    <t>=B1510</t>
  </si>
  <si>
    <t>=SUM(F1506:F1510)</t>
  </si>
  <si>
    <t>=SUM(G1506:G1510)</t>
  </si>
  <si>
    <t>=SUM(H1506:H1510)</t>
  </si>
  <si>
    <t>=SUM(I1506:I1510)</t>
  </si>
  <si>
    <t>=SUM(J1506:J1510)</t>
  </si>
  <si>
    <t>=IF(K1512=0,"hide","")</t>
  </si>
  <si>
    <t>="17501"</t>
  </si>
  <si>
    <t>=NL("rows","Production BOM Version","Version Code","Production BOM No.",D1512,"status","certified")</t>
  </si>
  <si>
    <t>=NL("sum","Item Ledger Entry","Quantity","Item No.",$D1512,"Entry Type","Sale|Consumption","posting date","01/01/19..12/31/19")/-12</t>
  </si>
  <si>
    <t>=NL("sum","Item Ledger Entry","Quantity","Item No.",$D1512,"Entry Type","Sale|Consumption","posting date","01/01/20..12/31/20")/-12</t>
  </si>
  <si>
    <t>=NL("sum","Item Ledger Entry","Quantity","Item No.",$D1512,"Entry Type","Sale|Consumption","posting date","01/01/21..12/31/21")/-12</t>
  </si>
  <si>
    <t>=NL("sum","Item Ledger Entry","Quantity","Item No.",$D1512,"Entry Type","Sale|Consumption","posting date","01/01/22..12/31/22")/-12</t>
  </si>
  <si>
    <t>=NL("sum","Item Ledger Entry","Quantity","Item No.",$D1512,"Entry Type","Sale|Consumption","posting date","01/01/23..12/31/23")/$J$7</t>
  </si>
  <si>
    <t>=AVERAGE(I1512:J1512)</t>
  </si>
  <si>
    <t>=NL(1,"item",L$9,"no.",D1512)</t>
  </si>
  <si>
    <t>=NL(1,"item",M$9,"no.",$D1512)</t>
  </si>
  <si>
    <t>=NL(1,"item","Units Per Parcel","no.",$D1512)</t>
  </si>
  <si>
    <t>=NL(1,"Prod. BOM Equipment","Fixed Prod. Time (Hours)","Production BOM No.",$D1512,"version code",$E1512,"Resource No.",O$9)</t>
  </si>
  <si>
    <t>=1/O1512</t>
  </si>
  <si>
    <t>=IF(NL(1,"Prod. BOM Equipment","Variable Prod. Time (Hours)","Production BOM No.",$D1512,"version code",$E1512,"Resource No.",$O$9)="",1,NL(1,"Prod. BOM Equipment","Variable Prod. Time (Hours)","Production BOM No.",$D1512,"version code",$E1512,"Resource No.",$O$9))</t>
  </si>
  <si>
    <t>=1/Q1512</t>
  </si>
  <si>
    <t>=R1512*N1512</t>
  </si>
  <si>
    <t>=IF(K1513=0,"hide","")</t>
  </si>
  <si>
    <t>=D1512</t>
  </si>
  <si>
    <t>=NL("sum","Production Order","Quantity","Source No.",$D1513,"Equipment Code",$L1513,"due date",F$8)/-12</t>
  </si>
  <si>
    <t>=NL("sum","Production Order","Quantity","Source No.",$D1513,"Equipment Code",$L1513,"due date",G$8)/-12</t>
  </si>
  <si>
    <t>=NL("sum","Production Order","Quantity","Source No.",$D1513,"Equipment Code",$L1513,"due date",H$8)/-12</t>
  </si>
  <si>
    <t>=NL("sum","Production Order","Quantity","Source No.",$D1513,"Equipment Code",$L1513,"due date",I$8)/-12</t>
  </si>
  <si>
    <t>=NL("sum","Production Order","Quantity","Source No.",$D1513,"Equipment Code",$L1513,"due date",J$8)/$J$7</t>
  </si>
  <si>
    <t>=AVERAGE(I1513:J1513)</t>
  </si>
  <si>
    <t>=IF(K1514=0,"hide","")</t>
  </si>
  <si>
    <t>=D1513</t>
  </si>
  <si>
    <t>=NL("sum","Production Order","Quantity","Source No.",$D1514,"Equipment Code",$L1514,"due date",F$8)/-12</t>
  </si>
  <si>
    <t>=NL("sum","Production Order","Quantity","Source No.",$D1514,"Equipment Code",$L1514,"due date",G$8)/-12</t>
  </si>
  <si>
    <t>=NL("sum","Production Order","Quantity","Source No.",$D1514,"Equipment Code",$L1514,"due date",H$8)/-12</t>
  </si>
  <si>
    <t>=NL("sum","Production Order","Quantity","Source No.",$D1514,"Equipment Code",$L1514,"due date",I$8)/-12</t>
  </si>
  <si>
    <t>=NL("sum","Production Order","Quantity","Source No.",$D1514,"Equipment Code",$L1514,"due date",J$8)/$J$7</t>
  </si>
  <si>
    <t>=AVERAGE(I1514:J1514)</t>
  </si>
  <si>
    <t>=IF(K1515=0,"hide","")</t>
  </si>
  <si>
    <t>=D1514</t>
  </si>
  <si>
    <t>=NL("sum","Production Order","Quantity","Source No.",$D1515,"Equipment Code",$L1515,"due date",F$8)/-12</t>
  </si>
  <si>
    <t>=NL("sum","Production Order","Quantity","Source No.",$D1515,"Equipment Code",$L1515,"due date",G$8)/-12</t>
  </si>
  <si>
    <t>=NL("sum","Production Order","Quantity","Source No.",$D1515,"Equipment Code",$L1515,"due date",H$8)/-12</t>
  </si>
  <si>
    <t>=NL("sum","Production Order","Quantity","Source No.",$D1515,"Equipment Code",$L1515,"due date",I$8)/-12</t>
  </si>
  <si>
    <t>=NL("sum","Production Order","Quantity","Source No.",$D1515,"Equipment Code",$L1515,"due date",J$8)/$J$7</t>
  </si>
  <si>
    <t>=AVERAGE(I1515:J1515)</t>
  </si>
  <si>
    <t>=IF(K1516=0,"hide","")</t>
  </si>
  <si>
    <t>=D1515</t>
  </si>
  <si>
    <t>=NL("sum","Production Order","Quantity","Source No.",$D1516,"Equipment Code",$L1516,"due date",F$8)/-12</t>
  </si>
  <si>
    <t>=NL("sum","Production Order","Quantity","Source No.",$D1516,"Equipment Code",$L1516,"due date",G$8)/-12</t>
  </si>
  <si>
    <t>=NL("sum","Production Order","Quantity","Source No.",$D1516,"Equipment Code",$L1516,"due date",H$8)/-12</t>
  </si>
  <si>
    <t>=NL("sum","Production Order","Quantity","Source No.",$D1516,"Equipment Code",$L1516,"due date",I$8)/-12</t>
  </si>
  <si>
    <t>=NL("sum","Production Order","Quantity","Source No.",$D1516,"Equipment Code",$L1516,"due date",J$8)/$J$7</t>
  </si>
  <si>
    <t>=AVERAGE(I1516:J1516)</t>
  </si>
  <si>
    <t>=B1513</t>
  </si>
  <si>
    <t>=B1517</t>
  </si>
  <si>
    <t>=SUM(F1513:F1517)</t>
  </si>
  <si>
    <t>=SUM(G1513:G1517)</t>
  </si>
  <si>
    <t>=SUM(H1513:H1517)</t>
  </si>
  <si>
    <t>=SUM(I1513:I1517)</t>
  </si>
  <si>
    <t>=SUM(J1513:J1517)</t>
  </si>
  <si>
    <t>=IF(K1519=0,"hide","")</t>
  </si>
  <si>
    <t>="17505"</t>
  </si>
  <si>
    <t>=NL("rows","Production BOM Version","Version Code","Production BOM No.",D1519,"status","certified")</t>
  </si>
  <si>
    <t>=NL("sum","Item Ledger Entry","Quantity","Item No.",$D1519,"Entry Type","Sale|Consumption","posting date","01/01/19..12/31/19")/-12</t>
  </si>
  <si>
    <t>=NL("sum","Item Ledger Entry","Quantity","Item No.",$D1519,"Entry Type","Sale|Consumption","posting date","01/01/20..12/31/20")/-12</t>
  </si>
  <si>
    <t>=NL("sum","Item Ledger Entry","Quantity","Item No.",$D1519,"Entry Type","Sale|Consumption","posting date","01/01/21..12/31/21")/-12</t>
  </si>
  <si>
    <t>=NL("sum","Item Ledger Entry","Quantity","Item No.",$D1519,"Entry Type","Sale|Consumption","posting date","01/01/22..12/31/22")/-12</t>
  </si>
  <si>
    <t>=NL("sum","Item Ledger Entry","Quantity","Item No.",$D1519,"Entry Type","Sale|Consumption","posting date","01/01/23..12/31/23")/$J$7</t>
  </si>
  <si>
    <t>=AVERAGE(I1519:J1519)</t>
  </si>
  <si>
    <t>=NL(1,"item",L$9,"no.",D1519)</t>
  </si>
  <si>
    <t>=NL(1,"item",M$9,"no.",$D1519)</t>
  </si>
  <si>
    <t>=NL(1,"item","Units Per Parcel","no.",$D1519)</t>
  </si>
  <si>
    <t>=NL(1,"Prod. BOM Equipment","Fixed Prod. Time (Hours)","Production BOM No.",$D1519,"version code",$E1519,"Resource No.",O$9)</t>
  </si>
  <si>
    <t>=1/O1519</t>
  </si>
  <si>
    <t>=IF(NL(1,"Prod. BOM Equipment","Variable Prod. Time (Hours)","Production BOM No.",$D1519,"version code",$E1519,"Resource No.",$O$9)="",1,NL(1,"Prod. BOM Equipment","Variable Prod. Time (Hours)","Production BOM No.",$D1519,"version code",$E1519,"Resource No.",$O$9))</t>
  </si>
  <si>
    <t>=1/Q1519</t>
  </si>
  <si>
    <t>=R1519*N1519</t>
  </si>
  <si>
    <t>=IF(K1520=0,"hide","")</t>
  </si>
  <si>
    <t>=D1519</t>
  </si>
  <si>
    <t>=NL("sum","Production Order","Quantity","Source No.",$D1520,"Equipment Code",$L1520,"due date",F$8)/-12</t>
  </si>
  <si>
    <t>=NL("sum","Production Order","Quantity","Source No.",$D1520,"Equipment Code",$L1520,"due date",G$8)/-12</t>
  </si>
  <si>
    <t>=NL("sum","Production Order","Quantity","Source No.",$D1520,"Equipment Code",$L1520,"due date",H$8)/-12</t>
  </si>
  <si>
    <t>=NL("sum","Production Order","Quantity","Source No.",$D1520,"Equipment Code",$L1520,"due date",I$8)/-12</t>
  </si>
  <si>
    <t>=NL("sum","Production Order","Quantity","Source No.",$D1520,"Equipment Code",$L1520,"due date",J$8)/$J$7</t>
  </si>
  <si>
    <t>=AVERAGE(I1520:J1520)</t>
  </si>
  <si>
    <t>=IF(K1521=0,"hide","")</t>
  </si>
  <si>
    <t>=D1520</t>
  </si>
  <si>
    <t>=NL("sum","Production Order","Quantity","Source No.",$D1521,"Equipment Code",$L1521,"due date",F$8)/-12</t>
  </si>
  <si>
    <t>=NL("sum","Production Order","Quantity","Source No.",$D1521,"Equipment Code",$L1521,"due date",G$8)/-12</t>
  </si>
  <si>
    <t>=NL("sum","Production Order","Quantity","Source No.",$D1521,"Equipment Code",$L1521,"due date",H$8)/-12</t>
  </si>
  <si>
    <t>=NL("sum","Production Order","Quantity","Source No.",$D1521,"Equipment Code",$L1521,"due date",I$8)/-12</t>
  </si>
  <si>
    <t>=NL("sum","Production Order","Quantity","Source No.",$D1521,"Equipment Code",$L1521,"due date",J$8)/$J$7</t>
  </si>
  <si>
    <t>=AVERAGE(I1521:J1521)</t>
  </si>
  <si>
    <t>=IF(K1522=0,"hide","")</t>
  </si>
  <si>
    <t>=D1521</t>
  </si>
  <si>
    <t>=NL("sum","Production Order","Quantity","Source No.",$D1522,"Equipment Code",$L1522,"due date",F$8)/-12</t>
  </si>
  <si>
    <t>=NL("sum","Production Order","Quantity","Source No.",$D1522,"Equipment Code",$L1522,"due date",G$8)/-12</t>
  </si>
  <si>
    <t>=NL("sum","Production Order","Quantity","Source No.",$D1522,"Equipment Code",$L1522,"due date",H$8)/-12</t>
  </si>
  <si>
    <t>=NL("sum","Production Order","Quantity","Source No.",$D1522,"Equipment Code",$L1522,"due date",I$8)/-12</t>
  </si>
  <si>
    <t>=NL("sum","Production Order","Quantity","Source No.",$D1522,"Equipment Code",$L1522,"due date",J$8)/$J$7</t>
  </si>
  <si>
    <t>=AVERAGE(I1522:J1522)</t>
  </si>
  <si>
    <t>=IF(K1523=0,"hide","")</t>
  </si>
  <si>
    <t>=D1522</t>
  </si>
  <si>
    <t>=NL("sum","Production Order","Quantity","Source No.",$D1523,"Equipment Code",$L1523,"due date",F$8)/-12</t>
  </si>
  <si>
    <t>=NL("sum","Production Order","Quantity","Source No.",$D1523,"Equipment Code",$L1523,"due date",G$8)/-12</t>
  </si>
  <si>
    <t>=NL("sum","Production Order","Quantity","Source No.",$D1523,"Equipment Code",$L1523,"due date",H$8)/-12</t>
  </si>
  <si>
    <t>=NL("sum","Production Order","Quantity","Source No.",$D1523,"Equipment Code",$L1523,"due date",I$8)/-12</t>
  </si>
  <si>
    <t>=NL("sum","Production Order","Quantity","Source No.",$D1523,"Equipment Code",$L1523,"due date",J$8)/$J$7</t>
  </si>
  <si>
    <t>=AVERAGE(I1523:J1523)</t>
  </si>
  <si>
    <t>=B1520</t>
  </si>
  <si>
    <t>=B1524</t>
  </si>
  <si>
    <t>=SUM(F1520:F1524)</t>
  </si>
  <si>
    <t>=SUM(G1520:G1524)</t>
  </si>
  <si>
    <t>=SUM(H1520:H1524)</t>
  </si>
  <si>
    <t>=SUM(I1520:I1524)</t>
  </si>
  <si>
    <t>=SUM(J1520:J1524)</t>
  </si>
  <si>
    <t>=IF(K1526=0,"hide","")</t>
  </si>
  <si>
    <t>="17551"</t>
  </si>
  <si>
    <t>=NL("rows","Production BOM Version","Version Code","Production BOM No.",D1526,"status","certified")</t>
  </si>
  <si>
    <t>=NL("sum","Item Ledger Entry","Quantity","Item No.",$D1526,"Entry Type","Sale|Consumption","posting date","01/01/19..12/31/19")/-12</t>
  </si>
  <si>
    <t>=NL("sum","Item Ledger Entry","Quantity","Item No.",$D1526,"Entry Type","Sale|Consumption","posting date","01/01/20..12/31/20")/-12</t>
  </si>
  <si>
    <t>=NL("sum","Item Ledger Entry","Quantity","Item No.",$D1526,"Entry Type","Sale|Consumption","posting date","01/01/21..12/31/21")/-12</t>
  </si>
  <si>
    <t>=NL("sum","Item Ledger Entry","Quantity","Item No.",$D1526,"Entry Type","Sale|Consumption","posting date","01/01/22..12/31/22")/-12</t>
  </si>
  <si>
    <t>=NL("sum","Item Ledger Entry","Quantity","Item No.",$D1526,"Entry Type","Sale|Consumption","posting date","01/01/23..12/31/23")/$J$7</t>
  </si>
  <si>
    <t>=AVERAGE(I1526:J1526)</t>
  </si>
  <si>
    <t>=NL(1,"item",L$9,"no.",D1526)</t>
  </si>
  <si>
    <t>=NL(1,"item",M$9,"no.",$D1526)</t>
  </si>
  <si>
    <t>=NL(1,"item","Units Per Parcel","no.",$D1526)</t>
  </si>
  <si>
    <t>=NL(1,"Prod. BOM Equipment","Fixed Prod. Time (Hours)","Production BOM No.",$D1526,"version code",$E1526,"Resource No.",O$9)</t>
  </si>
  <si>
    <t>=1/O1526</t>
  </si>
  <si>
    <t>=IF(NL(1,"Prod. BOM Equipment","Variable Prod. Time (Hours)","Production BOM No.",$D1526,"version code",$E1526,"Resource No.",$O$9)="",1,NL(1,"Prod. BOM Equipment","Variable Prod. Time (Hours)","Production BOM No.",$D1526,"version code",$E1526,"Resource No.",$O$9))</t>
  </si>
  <si>
    <t>=1/Q1526</t>
  </si>
  <si>
    <t>=R1526*N1526</t>
  </si>
  <si>
    <t>=IF(K1527=0,"hide","")</t>
  </si>
  <si>
    <t>=D1526</t>
  </si>
  <si>
    <t>=NL("sum","Production Order","Quantity","Source No.",$D1527,"Equipment Code",$L1527,"due date",F$8)/-12</t>
  </si>
  <si>
    <t>=NL("sum","Production Order","Quantity","Source No.",$D1527,"Equipment Code",$L1527,"due date",G$8)/-12</t>
  </si>
  <si>
    <t>=NL("sum","Production Order","Quantity","Source No.",$D1527,"Equipment Code",$L1527,"due date",H$8)/-12</t>
  </si>
  <si>
    <t>=NL("sum","Production Order","Quantity","Source No.",$D1527,"Equipment Code",$L1527,"due date",I$8)/-12</t>
  </si>
  <si>
    <t>=NL("sum","Production Order","Quantity","Source No.",$D1527,"Equipment Code",$L1527,"due date",J$8)/$J$7</t>
  </si>
  <si>
    <t>=AVERAGE(I1527:J1527)</t>
  </si>
  <si>
    <t>=IF(K1528=0,"hide","")</t>
  </si>
  <si>
    <t>=D1527</t>
  </si>
  <si>
    <t>=NL("sum","Production Order","Quantity","Source No.",$D1528,"Equipment Code",$L1528,"due date",F$8)/-12</t>
  </si>
  <si>
    <t>=NL("sum","Production Order","Quantity","Source No.",$D1528,"Equipment Code",$L1528,"due date",G$8)/-12</t>
  </si>
  <si>
    <t>=NL("sum","Production Order","Quantity","Source No.",$D1528,"Equipment Code",$L1528,"due date",H$8)/-12</t>
  </si>
  <si>
    <t>=NL("sum","Production Order","Quantity","Source No.",$D1528,"Equipment Code",$L1528,"due date",I$8)/-12</t>
  </si>
  <si>
    <t>=NL("sum","Production Order","Quantity","Source No.",$D1528,"Equipment Code",$L1528,"due date",J$8)/$J$7</t>
  </si>
  <si>
    <t>=AVERAGE(I1528:J1528)</t>
  </si>
  <si>
    <t>=IF(K1529=0,"hide","")</t>
  </si>
  <si>
    <t>=D1528</t>
  </si>
  <si>
    <t>=NL("sum","Production Order","Quantity","Source No.",$D1529,"Equipment Code",$L1529,"due date",F$8)/-12</t>
  </si>
  <si>
    <t>=NL("sum","Production Order","Quantity","Source No.",$D1529,"Equipment Code",$L1529,"due date",G$8)/-12</t>
  </si>
  <si>
    <t>=NL("sum","Production Order","Quantity","Source No.",$D1529,"Equipment Code",$L1529,"due date",H$8)/-12</t>
  </si>
  <si>
    <t>=NL("sum","Production Order","Quantity","Source No.",$D1529,"Equipment Code",$L1529,"due date",I$8)/-12</t>
  </si>
  <si>
    <t>=NL("sum","Production Order","Quantity","Source No.",$D1529,"Equipment Code",$L1529,"due date",J$8)/$J$7</t>
  </si>
  <si>
    <t>=AVERAGE(I1529:J1529)</t>
  </si>
  <si>
    <t>=IF(K1530=0,"hide","")</t>
  </si>
  <si>
    <t>=D1529</t>
  </si>
  <si>
    <t>=NL("sum","Production Order","Quantity","Source No.",$D1530,"Equipment Code",$L1530,"due date",F$8)/-12</t>
  </si>
  <si>
    <t>=NL("sum","Production Order","Quantity","Source No.",$D1530,"Equipment Code",$L1530,"due date",G$8)/-12</t>
  </si>
  <si>
    <t>=NL("sum","Production Order","Quantity","Source No.",$D1530,"Equipment Code",$L1530,"due date",H$8)/-12</t>
  </si>
  <si>
    <t>=NL("sum","Production Order","Quantity","Source No.",$D1530,"Equipment Code",$L1530,"due date",I$8)/-12</t>
  </si>
  <si>
    <t>=NL("sum","Production Order","Quantity","Source No.",$D1530,"Equipment Code",$L1530,"due date",J$8)/$J$7</t>
  </si>
  <si>
    <t>=AVERAGE(I1530:J1530)</t>
  </si>
  <si>
    <t>=B1527</t>
  </si>
  <si>
    <t>=B1531</t>
  </si>
  <si>
    <t>=SUM(F1527:F1531)</t>
  </si>
  <si>
    <t>=SUM(G1527:G1531)</t>
  </si>
  <si>
    <t>=SUM(H1527:H1531)</t>
  </si>
  <si>
    <t>=SUM(I1527:I1531)</t>
  </si>
  <si>
    <t>=SUM(J1527:J1531)</t>
  </si>
  <si>
    <t>=IF(K1533=0,"hide","")</t>
  </si>
  <si>
    <t>="17605"</t>
  </si>
  <si>
    <t>=NL("rows","Production BOM Version","Version Code","Production BOM No.",D1533,"status","certified")</t>
  </si>
  <si>
    <t>=NL("sum","Item Ledger Entry","Quantity","Item No.",$D1533,"Entry Type","Sale|Consumption","posting date","01/01/19..12/31/19")/-12</t>
  </si>
  <si>
    <t>=NL("sum","Item Ledger Entry","Quantity","Item No.",$D1533,"Entry Type","Sale|Consumption","posting date","01/01/20..12/31/20")/-12</t>
  </si>
  <si>
    <t>=NL("sum","Item Ledger Entry","Quantity","Item No.",$D1533,"Entry Type","Sale|Consumption","posting date","01/01/21..12/31/21")/-12</t>
  </si>
  <si>
    <t>=NL("sum","Item Ledger Entry","Quantity","Item No.",$D1533,"Entry Type","Sale|Consumption","posting date","01/01/22..12/31/22")/-12</t>
  </si>
  <si>
    <t>=NL("sum","Item Ledger Entry","Quantity","Item No.",$D1533,"Entry Type","Sale|Consumption","posting date","01/01/23..12/31/23")/$J$7</t>
  </si>
  <si>
    <t>=AVERAGE(I1533:J1533)</t>
  </si>
  <si>
    <t>=NL(1,"item",L$9,"no.",D1533)</t>
  </si>
  <si>
    <t>=NL(1,"item",M$9,"no.",$D1533)</t>
  </si>
  <si>
    <t>=NL(1,"item","Units Per Parcel","no.",$D1533)</t>
  </si>
  <si>
    <t>=NL(1,"Prod. BOM Equipment","Fixed Prod. Time (Hours)","Production BOM No.",$D1533,"version code",$E1533,"Resource No.",O$9)</t>
  </si>
  <si>
    <t>=1/O1533</t>
  </si>
  <si>
    <t>=IF(NL(1,"Prod. BOM Equipment","Variable Prod. Time (Hours)","Production BOM No.",$D1533,"version code",$E1533,"Resource No.",$O$9)="",1,NL(1,"Prod. BOM Equipment","Variable Prod. Time (Hours)","Production BOM No.",$D1533,"version code",$E1533,"Resource No.",$O$9))</t>
  </si>
  <si>
    <t>=1/Q1533</t>
  </si>
  <si>
    <t>=R1533*N1533</t>
  </si>
  <si>
    <t>=IF(K1534=0,"hide","")</t>
  </si>
  <si>
    <t>=D1533</t>
  </si>
  <si>
    <t>=NL("sum","Production Order","Quantity","Source No.",$D1534,"Equipment Code",$L1534,"due date",F$8)/-12</t>
  </si>
  <si>
    <t>=NL("sum","Production Order","Quantity","Source No.",$D1534,"Equipment Code",$L1534,"due date",G$8)/-12</t>
  </si>
  <si>
    <t>=NL("sum","Production Order","Quantity","Source No.",$D1534,"Equipment Code",$L1534,"due date",H$8)/-12</t>
  </si>
  <si>
    <t>=NL("sum","Production Order","Quantity","Source No.",$D1534,"Equipment Code",$L1534,"due date",I$8)/-12</t>
  </si>
  <si>
    <t>=NL("sum","Production Order","Quantity","Source No.",$D1534,"Equipment Code",$L1534,"due date",J$8)/$J$7</t>
  </si>
  <si>
    <t>=AVERAGE(I1534:J1534)</t>
  </si>
  <si>
    <t>=IF(K1535=0,"hide","")</t>
  </si>
  <si>
    <t>=D1534</t>
  </si>
  <si>
    <t>=NL("sum","Production Order","Quantity","Source No.",$D1535,"Equipment Code",$L1535,"due date",F$8)/-12</t>
  </si>
  <si>
    <t>=NL("sum","Production Order","Quantity","Source No.",$D1535,"Equipment Code",$L1535,"due date",G$8)/-12</t>
  </si>
  <si>
    <t>=NL("sum","Production Order","Quantity","Source No.",$D1535,"Equipment Code",$L1535,"due date",H$8)/-12</t>
  </si>
  <si>
    <t>=NL("sum","Production Order","Quantity","Source No.",$D1535,"Equipment Code",$L1535,"due date",I$8)/-12</t>
  </si>
  <si>
    <t>=NL("sum","Production Order","Quantity","Source No.",$D1535,"Equipment Code",$L1535,"due date",J$8)/$J$7</t>
  </si>
  <si>
    <t>=AVERAGE(I1535:J1535)</t>
  </si>
  <si>
    <t>=IF(K1536=0,"hide","")</t>
  </si>
  <si>
    <t>=D1535</t>
  </si>
  <si>
    <t>=NL("sum","Production Order","Quantity","Source No.",$D1536,"Equipment Code",$L1536,"due date",F$8)/-12</t>
  </si>
  <si>
    <t>=NL("sum","Production Order","Quantity","Source No.",$D1536,"Equipment Code",$L1536,"due date",G$8)/-12</t>
  </si>
  <si>
    <t>=NL("sum","Production Order","Quantity","Source No.",$D1536,"Equipment Code",$L1536,"due date",H$8)/-12</t>
  </si>
  <si>
    <t>=NL("sum","Production Order","Quantity","Source No.",$D1536,"Equipment Code",$L1536,"due date",I$8)/-12</t>
  </si>
  <si>
    <t>=NL("sum","Production Order","Quantity","Source No.",$D1536,"Equipment Code",$L1536,"due date",J$8)/$J$7</t>
  </si>
  <si>
    <t>=AVERAGE(I1536:J1536)</t>
  </si>
  <si>
    <t>=IF(K1537=0,"hide","")</t>
  </si>
  <si>
    <t>=D1536</t>
  </si>
  <si>
    <t>=NL("sum","Production Order","Quantity","Source No.",$D1537,"Equipment Code",$L1537,"due date",F$8)/-12</t>
  </si>
  <si>
    <t>=NL("sum","Production Order","Quantity","Source No.",$D1537,"Equipment Code",$L1537,"due date",G$8)/-12</t>
  </si>
  <si>
    <t>=NL("sum","Production Order","Quantity","Source No.",$D1537,"Equipment Code",$L1537,"due date",H$8)/-12</t>
  </si>
  <si>
    <t>=NL("sum","Production Order","Quantity","Source No.",$D1537,"Equipment Code",$L1537,"due date",I$8)/-12</t>
  </si>
  <si>
    <t>=NL("sum","Production Order","Quantity","Source No.",$D1537,"Equipment Code",$L1537,"due date",J$8)/$J$7</t>
  </si>
  <si>
    <t>=AVERAGE(I1537:J1537)</t>
  </si>
  <si>
    <t>=B1534</t>
  </si>
  <si>
    <t>=B1538</t>
  </si>
  <si>
    <t>=SUM(F1534:F1538)</t>
  </si>
  <si>
    <t>=SUM(G1534:G1538)</t>
  </si>
  <si>
    <t>=SUM(H1534:H1538)</t>
  </si>
  <si>
    <t>=SUM(I1534:I1538)</t>
  </si>
  <si>
    <t>=SUM(J1534:J1538)</t>
  </si>
  <si>
    <t>=IF(K1540=0,"hide","")</t>
  </si>
  <si>
    <t>="17625"</t>
  </si>
  <si>
    <t>=NL("rows","Production BOM Version","Version Code","Production BOM No.",D1540,"status","certified")</t>
  </si>
  <si>
    <t>=NL("sum","Item Ledger Entry","Quantity","Item No.",$D1540,"Entry Type","Sale|Consumption","posting date","01/01/19..12/31/19")/-12</t>
  </si>
  <si>
    <t>=NL("sum","Item Ledger Entry","Quantity","Item No.",$D1540,"Entry Type","Sale|Consumption","posting date","01/01/20..12/31/20")/-12</t>
  </si>
  <si>
    <t>=NL("sum","Item Ledger Entry","Quantity","Item No.",$D1540,"Entry Type","Sale|Consumption","posting date","01/01/21..12/31/21")/-12</t>
  </si>
  <si>
    <t>=NL("sum","Item Ledger Entry","Quantity","Item No.",$D1540,"Entry Type","Sale|Consumption","posting date","01/01/22..12/31/22")/-12</t>
  </si>
  <si>
    <t>=NL("sum","Item Ledger Entry","Quantity","Item No.",$D1540,"Entry Type","Sale|Consumption","posting date","01/01/23..12/31/23")/$J$7</t>
  </si>
  <si>
    <t>=AVERAGE(I1540:J1540)</t>
  </si>
  <si>
    <t>=NL(1,"item",L$9,"no.",D1540)</t>
  </si>
  <si>
    <t>=NL(1,"item",M$9,"no.",$D1540)</t>
  </si>
  <si>
    <t>=NL(1,"item","Units Per Parcel","no.",$D1540)</t>
  </si>
  <si>
    <t>=NL(1,"Prod. BOM Equipment","Fixed Prod. Time (Hours)","Production BOM No.",$D1540,"version code",$E1540,"Resource No.",O$9)</t>
  </si>
  <si>
    <t>=1/O1540</t>
  </si>
  <si>
    <t>=IF(NL(1,"Prod. BOM Equipment","Variable Prod. Time (Hours)","Production BOM No.",$D1540,"version code",$E1540,"Resource No.",$O$9)="",1,NL(1,"Prod. BOM Equipment","Variable Prod. Time (Hours)","Production BOM No.",$D1540,"version code",$E1540,"Resource No.",$O$9))</t>
  </si>
  <si>
    <t>=1/Q1540</t>
  </si>
  <si>
    <t>=R1540*N1540</t>
  </si>
  <si>
    <t>=IF(K1541=0,"hide","")</t>
  </si>
  <si>
    <t>=D1540</t>
  </si>
  <si>
    <t>=NL("sum","Production Order","Quantity","Source No.",$D1541,"Equipment Code",$L1541,"due date",F$8)/-12</t>
  </si>
  <si>
    <t>=NL("sum","Production Order","Quantity","Source No.",$D1541,"Equipment Code",$L1541,"due date",G$8)/-12</t>
  </si>
  <si>
    <t>=NL("sum","Production Order","Quantity","Source No.",$D1541,"Equipment Code",$L1541,"due date",H$8)/-12</t>
  </si>
  <si>
    <t>=NL("sum","Production Order","Quantity","Source No.",$D1541,"Equipment Code",$L1541,"due date",I$8)/-12</t>
  </si>
  <si>
    <t>=NL("sum","Production Order","Quantity","Source No.",$D1541,"Equipment Code",$L1541,"due date",J$8)/$J$7</t>
  </si>
  <si>
    <t>=AVERAGE(I1541:J1541)</t>
  </si>
  <si>
    <t>=IF(K1542=0,"hide","")</t>
  </si>
  <si>
    <t>=D1541</t>
  </si>
  <si>
    <t>=NL("sum","Production Order","Quantity","Source No.",$D1542,"Equipment Code",$L1542,"due date",F$8)/-12</t>
  </si>
  <si>
    <t>=NL("sum","Production Order","Quantity","Source No.",$D1542,"Equipment Code",$L1542,"due date",G$8)/-12</t>
  </si>
  <si>
    <t>=NL("sum","Production Order","Quantity","Source No.",$D1542,"Equipment Code",$L1542,"due date",H$8)/-12</t>
  </si>
  <si>
    <t>=NL("sum","Production Order","Quantity","Source No.",$D1542,"Equipment Code",$L1542,"due date",I$8)/-12</t>
  </si>
  <si>
    <t>=NL("sum","Production Order","Quantity","Source No.",$D1542,"Equipment Code",$L1542,"due date",J$8)/$J$7</t>
  </si>
  <si>
    <t>=AVERAGE(I1542:J1542)</t>
  </si>
  <si>
    <t>=IF(K1543=0,"hide","")</t>
  </si>
  <si>
    <t>=D1542</t>
  </si>
  <si>
    <t>=NL("sum","Production Order","Quantity","Source No.",$D1543,"Equipment Code",$L1543,"due date",F$8)/-12</t>
  </si>
  <si>
    <t>=NL("sum","Production Order","Quantity","Source No.",$D1543,"Equipment Code",$L1543,"due date",G$8)/-12</t>
  </si>
  <si>
    <t>=NL("sum","Production Order","Quantity","Source No.",$D1543,"Equipment Code",$L1543,"due date",H$8)/-12</t>
  </si>
  <si>
    <t>=NL("sum","Production Order","Quantity","Source No.",$D1543,"Equipment Code",$L1543,"due date",I$8)/-12</t>
  </si>
  <si>
    <t>=NL("sum","Production Order","Quantity","Source No.",$D1543,"Equipment Code",$L1543,"due date",J$8)/$J$7</t>
  </si>
  <si>
    <t>=AVERAGE(I1543:J1543)</t>
  </si>
  <si>
    <t>=IF(K1544=0,"hide","")</t>
  </si>
  <si>
    <t>=D1543</t>
  </si>
  <si>
    <t>=NL("sum","Production Order","Quantity","Source No.",$D1544,"Equipment Code",$L1544,"due date",F$8)/-12</t>
  </si>
  <si>
    <t>=NL("sum","Production Order","Quantity","Source No.",$D1544,"Equipment Code",$L1544,"due date",G$8)/-12</t>
  </si>
  <si>
    <t>=NL("sum","Production Order","Quantity","Source No.",$D1544,"Equipment Code",$L1544,"due date",H$8)/-12</t>
  </si>
  <si>
    <t>=NL("sum","Production Order","Quantity","Source No.",$D1544,"Equipment Code",$L1544,"due date",I$8)/-12</t>
  </si>
  <si>
    <t>=NL("sum","Production Order","Quantity","Source No.",$D1544,"Equipment Code",$L1544,"due date",J$8)/$J$7</t>
  </si>
  <si>
    <t>=AVERAGE(I1544:J1544)</t>
  </si>
  <si>
    <t>=B1541</t>
  </si>
  <si>
    <t>=B1545</t>
  </si>
  <si>
    <t>=SUM(F1541:F1545)</t>
  </si>
  <si>
    <t>=SUM(G1541:G1545)</t>
  </si>
  <si>
    <t>=SUM(H1541:H1545)</t>
  </si>
  <si>
    <t>=SUM(I1541:I1545)</t>
  </si>
  <si>
    <t>=SUM(J1541:J1545)</t>
  </si>
  <si>
    <t>=IF(K1547=0,"hide","")</t>
  </si>
  <si>
    <t>=NL("rows","Production BOM Version","Version Code","Production BOM No.",D1547,"status","certified")</t>
  </si>
  <si>
    <t>=NL("sum","Item Ledger Entry","Quantity","Item No.",$D1547,"Entry Type","Sale|Consumption","posting date","01/01/19..12/31/19")/-12</t>
  </si>
  <si>
    <t>=NL("sum","Item Ledger Entry","Quantity","Item No.",$D1547,"Entry Type","Sale|Consumption","posting date","01/01/20..12/31/20")/-12</t>
  </si>
  <si>
    <t>=NL("sum","Item Ledger Entry","Quantity","Item No.",$D1547,"Entry Type","Sale|Consumption","posting date","01/01/21..12/31/21")/-12</t>
  </si>
  <si>
    <t>=NL("sum","Item Ledger Entry","Quantity","Item No.",$D1547,"Entry Type","Sale|Consumption","posting date","01/01/22..12/31/22")/-12</t>
  </si>
  <si>
    <t>=NL("sum","Item Ledger Entry","Quantity","Item No.",$D1547,"Entry Type","Sale|Consumption","posting date","01/01/23..12/31/23")/$J$7</t>
  </si>
  <si>
    <t>=AVERAGE(I1547:J1547)</t>
  </si>
  <si>
    <t>=NL(1,"item",L$9,"no.",D1547)</t>
  </si>
  <si>
    <t>=NL(1,"item",M$9,"no.",$D1547)</t>
  </si>
  <si>
    <t>=NL(1,"item","Units Per Parcel","no.",$D1547)</t>
  </si>
  <si>
    <t>=NL(1,"Prod. BOM Equipment","Fixed Prod. Time (Hours)","Production BOM No.",$D1547,"version code",$E1547,"Resource No.",O$9)</t>
  </si>
  <si>
    <t>=1/O1547</t>
  </si>
  <si>
    <t>=IF(NL(1,"Prod. BOM Equipment","Variable Prod. Time (Hours)","Production BOM No.",$D1547,"version code",$E1547,"Resource No.",$O$9)="",1,NL(1,"Prod. BOM Equipment","Variable Prod. Time (Hours)","Production BOM No.",$D1547,"version code",$E1547,"Resource No.",$O$9))</t>
  </si>
  <si>
    <t>=1/Q1547</t>
  </si>
  <si>
    <t>=R1547*N1547</t>
  </si>
  <si>
    <t>=IF(K1548=0,"hide","")</t>
  </si>
  <si>
    <t>=D1547</t>
  </si>
  <si>
    <t>=NL("sum","Production Order","Quantity","Source No.",$D1548,"Equipment Code",$L1548,"due date",F$8)/-12</t>
  </si>
  <si>
    <t>=NL("sum","Production Order","Quantity","Source No.",$D1548,"Equipment Code",$L1548,"due date",G$8)/-12</t>
  </si>
  <si>
    <t>=NL("sum","Production Order","Quantity","Source No.",$D1548,"Equipment Code",$L1548,"due date",H$8)/-12</t>
  </si>
  <si>
    <t>=NL("sum","Production Order","Quantity","Source No.",$D1548,"Equipment Code",$L1548,"due date",I$8)/-12</t>
  </si>
  <si>
    <t>=NL("sum","Production Order","Quantity","Source No.",$D1548,"Equipment Code",$L1548,"due date",J$8)/$J$7</t>
  </si>
  <si>
    <t>=AVERAGE(I1548:J1548)</t>
  </si>
  <si>
    <t>=IF(K1549=0,"hide","")</t>
  </si>
  <si>
    <t>=D1548</t>
  </si>
  <si>
    <t>=NL("sum","Production Order","Quantity","Source No.",$D1549,"Equipment Code",$L1549,"due date",F$8)/-12</t>
  </si>
  <si>
    <t>=NL("sum","Production Order","Quantity","Source No.",$D1549,"Equipment Code",$L1549,"due date",G$8)/-12</t>
  </si>
  <si>
    <t>=NL("sum","Production Order","Quantity","Source No.",$D1549,"Equipment Code",$L1549,"due date",H$8)/-12</t>
  </si>
  <si>
    <t>=NL("sum","Production Order","Quantity","Source No.",$D1549,"Equipment Code",$L1549,"due date",I$8)/-12</t>
  </si>
  <si>
    <t>=NL("sum","Production Order","Quantity","Source No.",$D1549,"Equipment Code",$L1549,"due date",J$8)/$J$7</t>
  </si>
  <si>
    <t>=AVERAGE(I1549:J1549)</t>
  </si>
  <si>
    <t>=IF(K1550=0,"hide","")</t>
  </si>
  <si>
    <t>=D1549</t>
  </si>
  <si>
    <t>=NL("sum","Production Order","Quantity","Source No.",$D1550,"Equipment Code",$L1550,"due date",F$8)/-12</t>
  </si>
  <si>
    <t>=NL("sum","Production Order","Quantity","Source No.",$D1550,"Equipment Code",$L1550,"due date",G$8)/-12</t>
  </si>
  <si>
    <t>=NL("sum","Production Order","Quantity","Source No.",$D1550,"Equipment Code",$L1550,"due date",H$8)/-12</t>
  </si>
  <si>
    <t>=NL("sum","Production Order","Quantity","Source No.",$D1550,"Equipment Code",$L1550,"due date",I$8)/-12</t>
  </si>
  <si>
    <t>=NL("sum","Production Order","Quantity","Source No.",$D1550,"Equipment Code",$L1550,"due date",J$8)/$J$7</t>
  </si>
  <si>
    <t>=AVERAGE(I1550:J1550)</t>
  </si>
  <si>
    <t>=IF(K1551=0,"hide","")</t>
  </si>
  <si>
    <t>=D1550</t>
  </si>
  <si>
    <t>=NL("sum","Production Order","Quantity","Source No.",$D1551,"Equipment Code",$L1551,"due date",F$8)/-12</t>
  </si>
  <si>
    <t>=NL("sum","Production Order","Quantity","Source No.",$D1551,"Equipment Code",$L1551,"due date",G$8)/-12</t>
  </si>
  <si>
    <t>=NL("sum","Production Order","Quantity","Source No.",$D1551,"Equipment Code",$L1551,"due date",H$8)/-12</t>
  </si>
  <si>
    <t>=NL("sum","Production Order","Quantity","Source No.",$D1551,"Equipment Code",$L1551,"due date",I$8)/-12</t>
  </si>
  <si>
    <t>=NL("sum","Production Order","Quantity","Source No.",$D1551,"Equipment Code",$L1551,"due date",J$8)/$J$7</t>
  </si>
  <si>
    <t>=AVERAGE(I1551:J1551)</t>
  </si>
  <si>
    <t>=B1548</t>
  </si>
  <si>
    <t>=B1552</t>
  </si>
  <si>
    <t>=SUM(F1548:F1552)</t>
  </si>
  <si>
    <t>=SUM(G1548:G1552)</t>
  </si>
  <si>
    <t>=SUM(H1548:H1552)</t>
  </si>
  <si>
    <t>=SUM(I1548:I1552)</t>
  </si>
  <si>
    <t>=SUM(J1548:J1552)</t>
  </si>
  <si>
    <t>=IF(K1554=0,"hide","")</t>
  </si>
  <si>
    <t>="17965"</t>
  </si>
  <si>
    <t>=NL("rows","Production BOM Version","Version Code","Production BOM No.",D1554,"status","certified")</t>
  </si>
  <si>
    <t>=NL("sum","Item Ledger Entry","Quantity","Item No.",$D1554,"Entry Type","Sale|Consumption","posting date","01/01/19..12/31/19")/-12</t>
  </si>
  <si>
    <t>=NL("sum","Item Ledger Entry","Quantity","Item No.",$D1554,"Entry Type","Sale|Consumption","posting date","01/01/20..12/31/20")/-12</t>
  </si>
  <si>
    <t>=NL("sum","Item Ledger Entry","Quantity","Item No.",$D1554,"Entry Type","Sale|Consumption","posting date","01/01/21..12/31/21")/-12</t>
  </si>
  <si>
    <t>=NL("sum","Item Ledger Entry","Quantity","Item No.",$D1554,"Entry Type","Sale|Consumption","posting date","01/01/22..12/31/22")/-12</t>
  </si>
  <si>
    <t>=NL("sum","Item Ledger Entry","Quantity","Item No.",$D1554,"Entry Type","Sale|Consumption","posting date","01/01/23..12/31/23")/$J$7</t>
  </si>
  <si>
    <t>=AVERAGE(I1554:J1554)</t>
  </si>
  <si>
    <t>=NL(1,"item",L$9,"no.",D1554)</t>
  </si>
  <si>
    <t>=NL(1,"item",M$9,"no.",$D1554)</t>
  </si>
  <si>
    <t>=NL(1,"item","Units Per Parcel","no.",$D1554)</t>
  </si>
  <si>
    <t>=NL(1,"Prod. BOM Equipment","Fixed Prod. Time (Hours)","Production BOM No.",$D1554,"version code",$E1554,"Resource No.",O$9)</t>
  </si>
  <si>
    <t>=1/O1554</t>
  </si>
  <si>
    <t>=IF(NL(1,"Prod. BOM Equipment","Variable Prod. Time (Hours)","Production BOM No.",$D1554,"version code",$E1554,"Resource No.",$O$9)="",1,NL(1,"Prod. BOM Equipment","Variable Prod. Time (Hours)","Production BOM No.",$D1554,"version code",$E1554,"Resource No.",$O$9))</t>
  </si>
  <si>
    <t>=1/Q1554</t>
  </si>
  <si>
    <t>=R1554*N1554</t>
  </si>
  <si>
    <t>=IF(K1555=0,"hide","")</t>
  </si>
  <si>
    <t>=D1554</t>
  </si>
  <si>
    <t>=NL("sum","Production Order","Quantity","Source No.",$D1555,"Equipment Code",$L1555,"due date",F$8)/-12</t>
  </si>
  <si>
    <t>=NL("sum","Production Order","Quantity","Source No.",$D1555,"Equipment Code",$L1555,"due date",G$8)/-12</t>
  </si>
  <si>
    <t>=NL("sum","Production Order","Quantity","Source No.",$D1555,"Equipment Code",$L1555,"due date",H$8)/-12</t>
  </si>
  <si>
    <t>=NL("sum","Production Order","Quantity","Source No.",$D1555,"Equipment Code",$L1555,"due date",I$8)/-12</t>
  </si>
  <si>
    <t>=NL("sum","Production Order","Quantity","Source No.",$D1555,"Equipment Code",$L1555,"due date",J$8)/$J$7</t>
  </si>
  <si>
    <t>=AVERAGE(I1555:J1555)</t>
  </si>
  <si>
    <t>=IF(K1556=0,"hide","")</t>
  </si>
  <si>
    <t>=D1555</t>
  </si>
  <si>
    <t>=NL("sum","Production Order","Quantity","Source No.",$D1556,"Equipment Code",$L1556,"due date",F$8)/-12</t>
  </si>
  <si>
    <t>=NL("sum","Production Order","Quantity","Source No.",$D1556,"Equipment Code",$L1556,"due date",G$8)/-12</t>
  </si>
  <si>
    <t>=NL("sum","Production Order","Quantity","Source No.",$D1556,"Equipment Code",$L1556,"due date",H$8)/-12</t>
  </si>
  <si>
    <t>=NL("sum","Production Order","Quantity","Source No.",$D1556,"Equipment Code",$L1556,"due date",I$8)/-12</t>
  </si>
  <si>
    <t>=NL("sum","Production Order","Quantity","Source No.",$D1556,"Equipment Code",$L1556,"due date",J$8)/$J$7</t>
  </si>
  <si>
    <t>=AVERAGE(I1556:J1556)</t>
  </si>
  <si>
    <t>=IF(K1557=0,"hide","")</t>
  </si>
  <si>
    <t>=D1556</t>
  </si>
  <si>
    <t>=NL("sum","Production Order","Quantity","Source No.",$D1557,"Equipment Code",$L1557,"due date",F$8)/-12</t>
  </si>
  <si>
    <t>=NL("sum","Production Order","Quantity","Source No.",$D1557,"Equipment Code",$L1557,"due date",G$8)/-12</t>
  </si>
  <si>
    <t>=NL("sum","Production Order","Quantity","Source No.",$D1557,"Equipment Code",$L1557,"due date",H$8)/-12</t>
  </si>
  <si>
    <t>=NL("sum","Production Order","Quantity","Source No.",$D1557,"Equipment Code",$L1557,"due date",I$8)/-12</t>
  </si>
  <si>
    <t>=NL("sum","Production Order","Quantity","Source No.",$D1557,"Equipment Code",$L1557,"due date",J$8)/$J$7</t>
  </si>
  <si>
    <t>=AVERAGE(I1557:J1557)</t>
  </si>
  <si>
    <t>=IF(K1558=0,"hide","")</t>
  </si>
  <si>
    <t>=D1557</t>
  </si>
  <si>
    <t>=NL("sum","Production Order","Quantity","Source No.",$D1558,"Equipment Code",$L1558,"due date",F$8)/-12</t>
  </si>
  <si>
    <t>=NL("sum","Production Order","Quantity","Source No.",$D1558,"Equipment Code",$L1558,"due date",G$8)/-12</t>
  </si>
  <si>
    <t>=NL("sum","Production Order","Quantity","Source No.",$D1558,"Equipment Code",$L1558,"due date",H$8)/-12</t>
  </si>
  <si>
    <t>=NL("sum","Production Order","Quantity","Source No.",$D1558,"Equipment Code",$L1558,"due date",I$8)/-12</t>
  </si>
  <si>
    <t>=NL("sum","Production Order","Quantity","Source No.",$D1558,"Equipment Code",$L1558,"due date",J$8)/$J$7</t>
  </si>
  <si>
    <t>=AVERAGE(I1558:J1558)</t>
  </si>
  <si>
    <t>=B1555</t>
  </si>
  <si>
    <t>=B1559</t>
  </si>
  <si>
    <t>=SUM(F1555:F1559)</t>
  </si>
  <si>
    <t>=SUM(G1555:G1559)</t>
  </si>
  <si>
    <t>=SUM(H1555:H1559)</t>
  </si>
  <si>
    <t>=SUM(I1555:I1559)</t>
  </si>
  <si>
    <t>=SUM(J1555:J1559)</t>
  </si>
  <si>
    <t>=IF(K1561=0,"hide","")</t>
  </si>
  <si>
    <t>="17985"</t>
  </si>
  <si>
    <t>=NL("rows","Production BOM Version","Version Code","Production BOM No.",D1561,"status","certified")</t>
  </si>
  <si>
    <t>=NL("sum","Item Ledger Entry","Quantity","Item No.",$D1561,"Entry Type","Sale|Consumption","posting date","01/01/19..12/31/19")/-12</t>
  </si>
  <si>
    <t>=NL("sum","Item Ledger Entry","Quantity","Item No.",$D1561,"Entry Type","Sale|Consumption","posting date","01/01/20..12/31/20")/-12</t>
  </si>
  <si>
    <t>=NL("sum","Item Ledger Entry","Quantity","Item No.",$D1561,"Entry Type","Sale|Consumption","posting date","01/01/21..12/31/21")/-12</t>
  </si>
  <si>
    <t>=NL("sum","Item Ledger Entry","Quantity","Item No.",$D1561,"Entry Type","Sale|Consumption","posting date","01/01/22..12/31/22")/-12</t>
  </si>
  <si>
    <t>=NL("sum","Item Ledger Entry","Quantity","Item No.",$D1561,"Entry Type","Sale|Consumption","posting date","01/01/23..12/31/23")/$J$7</t>
  </si>
  <si>
    <t>=AVERAGE(I1561:J1561)</t>
  </si>
  <si>
    <t>=NL(1,"item",L$9,"no.",D1561)</t>
  </si>
  <si>
    <t>=NL(1,"item",M$9,"no.",$D1561)</t>
  </si>
  <si>
    <t>=NL(1,"item","Units Per Parcel","no.",$D1561)</t>
  </si>
  <si>
    <t>=NL(1,"Prod. BOM Equipment","Fixed Prod. Time (Hours)","Production BOM No.",$D1561,"version code",$E1561,"Resource No.",O$9)</t>
  </si>
  <si>
    <t>=1/O1561</t>
  </si>
  <si>
    <t>=IF(NL(1,"Prod. BOM Equipment","Variable Prod. Time (Hours)","Production BOM No.",$D1561,"version code",$E1561,"Resource No.",$O$9)="",1,NL(1,"Prod. BOM Equipment","Variable Prod. Time (Hours)","Production BOM No.",$D1561,"version code",$E1561,"Resource No.",$O$9))</t>
  </si>
  <si>
    <t>=1/Q1561</t>
  </si>
  <si>
    <t>=R1561*N1561</t>
  </si>
  <si>
    <t>=IF(K1562=0,"hide","")</t>
  </si>
  <si>
    <t>=D1561</t>
  </si>
  <si>
    <t>=NL("sum","Production Order","Quantity","Source No.",$D1562,"Equipment Code",$L1562,"due date",F$8)/-12</t>
  </si>
  <si>
    <t>=NL("sum","Production Order","Quantity","Source No.",$D1562,"Equipment Code",$L1562,"due date",G$8)/-12</t>
  </si>
  <si>
    <t>=NL("sum","Production Order","Quantity","Source No.",$D1562,"Equipment Code",$L1562,"due date",H$8)/-12</t>
  </si>
  <si>
    <t>=NL("sum","Production Order","Quantity","Source No.",$D1562,"Equipment Code",$L1562,"due date",I$8)/-12</t>
  </si>
  <si>
    <t>=NL("sum","Production Order","Quantity","Source No.",$D1562,"Equipment Code",$L1562,"due date",J$8)/$J$7</t>
  </si>
  <si>
    <t>=AVERAGE(I1562:J1562)</t>
  </si>
  <si>
    <t>=IF(K1563=0,"hide","")</t>
  </si>
  <si>
    <t>=D1562</t>
  </si>
  <si>
    <t>=NL("sum","Production Order","Quantity","Source No.",$D1563,"Equipment Code",$L1563,"due date",F$8)/-12</t>
  </si>
  <si>
    <t>=NL("sum","Production Order","Quantity","Source No.",$D1563,"Equipment Code",$L1563,"due date",G$8)/-12</t>
  </si>
  <si>
    <t>=NL("sum","Production Order","Quantity","Source No.",$D1563,"Equipment Code",$L1563,"due date",H$8)/-12</t>
  </si>
  <si>
    <t>=NL("sum","Production Order","Quantity","Source No.",$D1563,"Equipment Code",$L1563,"due date",I$8)/-12</t>
  </si>
  <si>
    <t>=NL("sum","Production Order","Quantity","Source No.",$D1563,"Equipment Code",$L1563,"due date",J$8)/$J$7</t>
  </si>
  <si>
    <t>=AVERAGE(I1563:J1563)</t>
  </si>
  <si>
    <t>=IF(K1564=0,"hide","")</t>
  </si>
  <si>
    <t>=D1563</t>
  </si>
  <si>
    <t>=NL("sum","Production Order","Quantity","Source No.",$D1564,"Equipment Code",$L1564,"due date",F$8)/-12</t>
  </si>
  <si>
    <t>=NL("sum","Production Order","Quantity","Source No.",$D1564,"Equipment Code",$L1564,"due date",G$8)/-12</t>
  </si>
  <si>
    <t>=NL("sum","Production Order","Quantity","Source No.",$D1564,"Equipment Code",$L1564,"due date",H$8)/-12</t>
  </si>
  <si>
    <t>=NL("sum","Production Order","Quantity","Source No.",$D1564,"Equipment Code",$L1564,"due date",I$8)/-12</t>
  </si>
  <si>
    <t>=NL("sum","Production Order","Quantity","Source No.",$D1564,"Equipment Code",$L1564,"due date",J$8)/$J$7</t>
  </si>
  <si>
    <t>=AVERAGE(I1564:J1564)</t>
  </si>
  <si>
    <t>=IF(K1565=0,"hide","")</t>
  </si>
  <si>
    <t>=D1564</t>
  </si>
  <si>
    <t>=NL("sum","Production Order","Quantity","Source No.",$D1565,"Equipment Code",$L1565,"due date",F$8)/-12</t>
  </si>
  <si>
    <t>=NL("sum","Production Order","Quantity","Source No.",$D1565,"Equipment Code",$L1565,"due date",G$8)/-12</t>
  </si>
  <si>
    <t>=NL("sum","Production Order","Quantity","Source No.",$D1565,"Equipment Code",$L1565,"due date",H$8)/-12</t>
  </si>
  <si>
    <t>=NL("sum","Production Order","Quantity","Source No.",$D1565,"Equipment Code",$L1565,"due date",I$8)/-12</t>
  </si>
  <si>
    <t>=NL("sum","Production Order","Quantity","Source No.",$D1565,"Equipment Code",$L1565,"due date",J$8)/$J$7</t>
  </si>
  <si>
    <t>=AVERAGE(I1565:J1565)</t>
  </si>
  <si>
    <t>=B1562</t>
  </si>
  <si>
    <t>=B1566</t>
  </si>
  <si>
    <t>=SUM(F1562:F1566)</t>
  </si>
  <si>
    <t>=SUM(G1562:G1566)</t>
  </si>
  <si>
    <t>=SUM(H1562:H1566)</t>
  </si>
  <si>
    <t>=SUM(I1562:I1566)</t>
  </si>
  <si>
    <t>=SUM(J1562:J1566)</t>
  </si>
  <si>
    <t>=IF(K1568=0,"hide","")</t>
  </si>
  <si>
    <t>="18065"</t>
  </si>
  <si>
    <t>=NL("rows","Production BOM Version","Version Code","Production BOM No.",D1568,"status","certified")</t>
  </si>
  <si>
    <t>=NL("sum","Item Ledger Entry","Quantity","Item No.",$D1568,"Entry Type","Sale|Consumption","posting date","01/01/19..12/31/19")/-12</t>
  </si>
  <si>
    <t>=NL("sum","Item Ledger Entry","Quantity","Item No.",$D1568,"Entry Type","Sale|Consumption","posting date","01/01/20..12/31/20")/-12</t>
  </si>
  <si>
    <t>=NL("sum","Item Ledger Entry","Quantity","Item No.",$D1568,"Entry Type","Sale|Consumption","posting date","01/01/21..12/31/21")/-12</t>
  </si>
  <si>
    <t>=NL("sum","Item Ledger Entry","Quantity","Item No.",$D1568,"Entry Type","Sale|Consumption","posting date","01/01/22..12/31/22")/-12</t>
  </si>
  <si>
    <t>=NL("sum","Item Ledger Entry","Quantity","Item No.",$D1568,"Entry Type","Sale|Consumption","posting date","01/01/23..12/31/23")/$J$7</t>
  </si>
  <si>
    <t>=AVERAGE(I1568:J1568)</t>
  </si>
  <si>
    <t>=NL(1,"item",L$9,"no.",D1568)</t>
  </si>
  <si>
    <t>=NL(1,"item",M$9,"no.",$D1568)</t>
  </si>
  <si>
    <t>=NL(1,"item","Units Per Parcel","no.",$D1568)</t>
  </si>
  <si>
    <t>=NL(1,"Prod. BOM Equipment","Fixed Prod. Time (Hours)","Production BOM No.",$D1568,"version code",$E1568,"Resource No.",O$9)</t>
  </si>
  <si>
    <t>=1/O1568</t>
  </si>
  <si>
    <t>=IF(NL(1,"Prod. BOM Equipment","Variable Prod. Time (Hours)","Production BOM No.",$D1568,"version code",$E1568,"Resource No.",$O$9)="",1,NL(1,"Prod. BOM Equipment","Variable Prod. Time (Hours)","Production BOM No.",$D1568,"version code",$E1568,"Resource No.",$O$9))</t>
  </si>
  <si>
    <t>=1/Q1568</t>
  </si>
  <si>
    <t>=R1568*N1568</t>
  </si>
  <si>
    <t>=IF(K1569=0,"hide","")</t>
  </si>
  <si>
    <t>=D1568</t>
  </si>
  <si>
    <t>=NL("sum","Production Order","Quantity","Source No.",$D1569,"Equipment Code",$L1569,"due date",F$8)/-12</t>
  </si>
  <si>
    <t>=NL("sum","Production Order","Quantity","Source No.",$D1569,"Equipment Code",$L1569,"due date",G$8)/-12</t>
  </si>
  <si>
    <t>=NL("sum","Production Order","Quantity","Source No.",$D1569,"Equipment Code",$L1569,"due date",H$8)/-12</t>
  </si>
  <si>
    <t>=NL("sum","Production Order","Quantity","Source No.",$D1569,"Equipment Code",$L1569,"due date",I$8)/-12</t>
  </si>
  <si>
    <t>=NL("sum","Production Order","Quantity","Source No.",$D1569,"Equipment Code",$L1569,"due date",J$8)/$J$7</t>
  </si>
  <si>
    <t>=AVERAGE(I1569:J1569)</t>
  </si>
  <si>
    <t>=IF(K1570=0,"hide","")</t>
  </si>
  <si>
    <t>=D1569</t>
  </si>
  <si>
    <t>=NL("sum","Production Order","Quantity","Source No.",$D1570,"Equipment Code",$L1570,"due date",F$8)/-12</t>
  </si>
  <si>
    <t>=NL("sum","Production Order","Quantity","Source No.",$D1570,"Equipment Code",$L1570,"due date",G$8)/-12</t>
  </si>
  <si>
    <t>=NL("sum","Production Order","Quantity","Source No.",$D1570,"Equipment Code",$L1570,"due date",H$8)/-12</t>
  </si>
  <si>
    <t>=NL("sum","Production Order","Quantity","Source No.",$D1570,"Equipment Code",$L1570,"due date",I$8)/-12</t>
  </si>
  <si>
    <t>=NL("sum","Production Order","Quantity","Source No.",$D1570,"Equipment Code",$L1570,"due date",J$8)/$J$7</t>
  </si>
  <si>
    <t>=AVERAGE(I1570:J1570)</t>
  </si>
  <si>
    <t>=IF(K1571=0,"hide","")</t>
  </si>
  <si>
    <t>=D1570</t>
  </si>
  <si>
    <t>=NL("sum","Production Order","Quantity","Source No.",$D1571,"Equipment Code",$L1571,"due date",F$8)/-12</t>
  </si>
  <si>
    <t>=NL("sum","Production Order","Quantity","Source No.",$D1571,"Equipment Code",$L1571,"due date",G$8)/-12</t>
  </si>
  <si>
    <t>=NL("sum","Production Order","Quantity","Source No.",$D1571,"Equipment Code",$L1571,"due date",H$8)/-12</t>
  </si>
  <si>
    <t>=NL("sum","Production Order","Quantity","Source No.",$D1571,"Equipment Code",$L1571,"due date",I$8)/-12</t>
  </si>
  <si>
    <t>=NL("sum","Production Order","Quantity","Source No.",$D1571,"Equipment Code",$L1571,"due date",J$8)/$J$7</t>
  </si>
  <si>
    <t>=AVERAGE(I1571:J1571)</t>
  </si>
  <si>
    <t>=IF(K1572=0,"hide","")</t>
  </si>
  <si>
    <t>=D1571</t>
  </si>
  <si>
    <t>=NL("sum","Production Order","Quantity","Source No.",$D1572,"Equipment Code",$L1572,"due date",F$8)/-12</t>
  </si>
  <si>
    <t>=NL("sum","Production Order","Quantity","Source No.",$D1572,"Equipment Code",$L1572,"due date",G$8)/-12</t>
  </si>
  <si>
    <t>=NL("sum","Production Order","Quantity","Source No.",$D1572,"Equipment Code",$L1572,"due date",H$8)/-12</t>
  </si>
  <si>
    <t>=NL("sum","Production Order","Quantity","Source No.",$D1572,"Equipment Code",$L1572,"due date",I$8)/-12</t>
  </si>
  <si>
    <t>=NL("sum","Production Order","Quantity","Source No.",$D1572,"Equipment Code",$L1572,"due date",J$8)/$J$7</t>
  </si>
  <si>
    <t>=AVERAGE(I1572:J1572)</t>
  </si>
  <si>
    <t>=B1569</t>
  </si>
  <si>
    <t>=B1573</t>
  </si>
  <si>
    <t>=SUM(F1569:F1573)</t>
  </si>
  <si>
    <t>=SUM(G1569:G1573)</t>
  </si>
  <si>
    <t>=SUM(H1569:H1573)</t>
  </si>
  <si>
    <t>=SUM(I1569:I1573)</t>
  </si>
  <si>
    <t>=SUM(J1569:J1573)</t>
  </si>
  <si>
    <t>=IF(K1575=0,"hide","")</t>
  </si>
  <si>
    <t>="18265"</t>
  </si>
  <si>
    <t>=NL("rows","Production BOM Version","Version Code","Production BOM No.",D1575,"status","certified")</t>
  </si>
  <si>
    <t>=NL("sum","Item Ledger Entry","Quantity","Item No.",$D1575,"Entry Type","Sale|Consumption","posting date","01/01/19..12/31/19")/-12</t>
  </si>
  <si>
    <t>=NL("sum","Item Ledger Entry","Quantity","Item No.",$D1575,"Entry Type","Sale|Consumption","posting date","01/01/20..12/31/20")/-12</t>
  </si>
  <si>
    <t>=NL("sum","Item Ledger Entry","Quantity","Item No.",$D1575,"Entry Type","Sale|Consumption","posting date","01/01/21..12/31/21")/-12</t>
  </si>
  <si>
    <t>=NL("sum","Item Ledger Entry","Quantity","Item No.",$D1575,"Entry Type","Sale|Consumption","posting date","01/01/22..12/31/22")/-12</t>
  </si>
  <si>
    <t>=NL("sum","Item Ledger Entry","Quantity","Item No.",$D1575,"Entry Type","Sale|Consumption","posting date","01/01/23..12/31/23")/$J$7</t>
  </si>
  <si>
    <t>=AVERAGE(I1575:J1575)</t>
  </si>
  <si>
    <t>=NL(1,"item",L$9,"no.",D1575)</t>
  </si>
  <si>
    <t>=NL(1,"item",M$9,"no.",$D1575)</t>
  </si>
  <si>
    <t>=NL(1,"item","Units Per Parcel","no.",$D1575)</t>
  </si>
  <si>
    <t>=NL(1,"Prod. BOM Equipment","Fixed Prod. Time (Hours)","Production BOM No.",$D1575,"version code",$E1575,"Resource No.",O$9)</t>
  </si>
  <si>
    <t>=1/O1575</t>
  </si>
  <si>
    <t>=IF(NL(1,"Prod. BOM Equipment","Variable Prod. Time (Hours)","Production BOM No.",$D1575,"version code",$E1575,"Resource No.",$O$9)="",1,NL(1,"Prod. BOM Equipment","Variable Prod. Time (Hours)","Production BOM No.",$D1575,"version code",$E1575,"Resource No.",$O$9))</t>
  </si>
  <si>
    <t>=1/Q1575</t>
  </si>
  <si>
    <t>=R1575*N1575</t>
  </si>
  <si>
    <t>=IF(K1576=0,"hide","")</t>
  </si>
  <si>
    <t>=D1575</t>
  </si>
  <si>
    <t>=NL("sum","Production Order","Quantity","Source No.",$D1576,"Equipment Code",$L1576,"due date",F$8)/-12</t>
  </si>
  <si>
    <t>=NL("sum","Production Order","Quantity","Source No.",$D1576,"Equipment Code",$L1576,"due date",G$8)/-12</t>
  </si>
  <si>
    <t>=NL("sum","Production Order","Quantity","Source No.",$D1576,"Equipment Code",$L1576,"due date",H$8)/-12</t>
  </si>
  <si>
    <t>=NL("sum","Production Order","Quantity","Source No.",$D1576,"Equipment Code",$L1576,"due date",I$8)/-12</t>
  </si>
  <si>
    <t>=NL("sum","Production Order","Quantity","Source No.",$D1576,"Equipment Code",$L1576,"due date",J$8)/$J$7</t>
  </si>
  <si>
    <t>=AVERAGE(I1576:J1576)</t>
  </si>
  <si>
    <t>=IF(K1577=0,"hide","")</t>
  </si>
  <si>
    <t>=D1576</t>
  </si>
  <si>
    <t>=NL("sum","Production Order","Quantity","Source No.",$D1577,"Equipment Code",$L1577,"due date",F$8)/-12</t>
  </si>
  <si>
    <t>=NL("sum","Production Order","Quantity","Source No.",$D1577,"Equipment Code",$L1577,"due date",G$8)/-12</t>
  </si>
  <si>
    <t>=NL("sum","Production Order","Quantity","Source No.",$D1577,"Equipment Code",$L1577,"due date",H$8)/-12</t>
  </si>
  <si>
    <t>=NL("sum","Production Order","Quantity","Source No.",$D1577,"Equipment Code",$L1577,"due date",I$8)/-12</t>
  </si>
  <si>
    <t>=NL("sum","Production Order","Quantity","Source No.",$D1577,"Equipment Code",$L1577,"due date",J$8)/$J$7</t>
  </si>
  <si>
    <t>=AVERAGE(I1577:J1577)</t>
  </si>
  <si>
    <t>=IF(K1578=0,"hide","")</t>
  </si>
  <si>
    <t>=D1577</t>
  </si>
  <si>
    <t>=NL("sum","Production Order","Quantity","Source No.",$D1578,"Equipment Code",$L1578,"due date",F$8)/-12</t>
  </si>
  <si>
    <t>=NL("sum","Production Order","Quantity","Source No.",$D1578,"Equipment Code",$L1578,"due date",G$8)/-12</t>
  </si>
  <si>
    <t>=NL("sum","Production Order","Quantity","Source No.",$D1578,"Equipment Code",$L1578,"due date",H$8)/-12</t>
  </si>
  <si>
    <t>=NL("sum","Production Order","Quantity","Source No.",$D1578,"Equipment Code",$L1578,"due date",I$8)/-12</t>
  </si>
  <si>
    <t>=NL("sum","Production Order","Quantity","Source No.",$D1578,"Equipment Code",$L1578,"due date",J$8)/$J$7</t>
  </si>
  <si>
    <t>=AVERAGE(I1578:J1578)</t>
  </si>
  <si>
    <t>=IF(K1579=0,"hide","")</t>
  </si>
  <si>
    <t>=D1578</t>
  </si>
  <si>
    <t>=NL("sum","Production Order","Quantity","Source No.",$D1579,"Equipment Code",$L1579,"due date",F$8)/-12</t>
  </si>
  <si>
    <t>=NL("sum","Production Order","Quantity","Source No.",$D1579,"Equipment Code",$L1579,"due date",G$8)/-12</t>
  </si>
  <si>
    <t>=NL("sum","Production Order","Quantity","Source No.",$D1579,"Equipment Code",$L1579,"due date",H$8)/-12</t>
  </si>
  <si>
    <t>=NL("sum","Production Order","Quantity","Source No.",$D1579,"Equipment Code",$L1579,"due date",I$8)/-12</t>
  </si>
  <si>
    <t>=NL("sum","Production Order","Quantity","Source No.",$D1579,"Equipment Code",$L1579,"due date",J$8)/$J$7</t>
  </si>
  <si>
    <t>=AVERAGE(I1579:J1579)</t>
  </si>
  <si>
    <t>=B1576</t>
  </si>
  <si>
    <t>=B1580</t>
  </si>
  <si>
    <t>=SUM(F1576:F1580)</t>
  </si>
  <si>
    <t>=SUM(G1576:G1580)</t>
  </si>
  <si>
    <t>=SUM(H1576:H1580)</t>
  </si>
  <si>
    <t>=SUM(I1576:I1580)</t>
  </si>
  <si>
    <t>=SUM(J1576:J1580)</t>
  </si>
  <si>
    <t>=IF(K1582=0,"hide","")</t>
  </si>
  <si>
    <t>="18305"</t>
  </si>
  <si>
    <t>=NL("rows","Production BOM Version","Version Code","Production BOM No.",D1582,"status","certified")</t>
  </si>
  <si>
    <t>=NL("sum","Item Ledger Entry","Quantity","Item No.",$D1582,"Entry Type","Sale|Consumption","posting date","01/01/19..12/31/19")/-12</t>
  </si>
  <si>
    <t>=NL("sum","Item Ledger Entry","Quantity","Item No.",$D1582,"Entry Type","Sale|Consumption","posting date","01/01/20..12/31/20")/-12</t>
  </si>
  <si>
    <t>=NL("sum","Item Ledger Entry","Quantity","Item No.",$D1582,"Entry Type","Sale|Consumption","posting date","01/01/21..12/31/21")/-12</t>
  </si>
  <si>
    <t>=NL("sum","Item Ledger Entry","Quantity","Item No.",$D1582,"Entry Type","Sale|Consumption","posting date","01/01/22..12/31/22")/-12</t>
  </si>
  <si>
    <t>=NL("sum","Item Ledger Entry","Quantity","Item No.",$D1582,"Entry Type","Sale|Consumption","posting date","01/01/23..12/31/23")/$J$7</t>
  </si>
  <si>
    <t>=AVERAGE(I1582:J1582)</t>
  </si>
  <si>
    <t>=NL(1,"item",L$9,"no.",D1582)</t>
  </si>
  <si>
    <t>=NL(1,"item",M$9,"no.",$D1582)</t>
  </si>
  <si>
    <t>=NL(1,"item","Units Per Parcel","no.",$D1582)</t>
  </si>
  <si>
    <t>=NL(1,"Prod. BOM Equipment","Fixed Prod. Time (Hours)","Production BOM No.",$D1582,"version code",$E1582,"Resource No.",O$9)</t>
  </si>
  <si>
    <t>=1/O1582</t>
  </si>
  <si>
    <t>=IF(NL(1,"Prod. BOM Equipment","Variable Prod. Time (Hours)","Production BOM No.",$D1582,"version code",$E1582,"Resource No.",$O$9)="",1,NL(1,"Prod. BOM Equipment","Variable Prod. Time (Hours)","Production BOM No.",$D1582,"version code",$E1582,"Resource No.",$O$9))</t>
  </si>
  <si>
    <t>=1/Q1582</t>
  </si>
  <si>
    <t>=R1582*N1582</t>
  </si>
  <si>
    <t>=IF(K1583=0,"hide","")</t>
  </si>
  <si>
    <t>=D1582</t>
  </si>
  <si>
    <t>=NL("sum","Production Order","Quantity","Source No.",$D1583,"Equipment Code",$L1583,"due date",F$8)/-12</t>
  </si>
  <si>
    <t>=NL("sum","Production Order","Quantity","Source No.",$D1583,"Equipment Code",$L1583,"due date",G$8)/-12</t>
  </si>
  <si>
    <t>=NL("sum","Production Order","Quantity","Source No.",$D1583,"Equipment Code",$L1583,"due date",H$8)/-12</t>
  </si>
  <si>
    <t>=NL("sum","Production Order","Quantity","Source No.",$D1583,"Equipment Code",$L1583,"due date",I$8)/-12</t>
  </si>
  <si>
    <t>=NL("sum","Production Order","Quantity","Source No.",$D1583,"Equipment Code",$L1583,"due date",J$8)/$J$7</t>
  </si>
  <si>
    <t>=AVERAGE(I1583:J1583)</t>
  </si>
  <si>
    <t>=IF(K1584=0,"hide","")</t>
  </si>
  <si>
    <t>=D1583</t>
  </si>
  <si>
    <t>=NL("sum","Production Order","Quantity","Source No.",$D1584,"Equipment Code",$L1584,"due date",F$8)/-12</t>
  </si>
  <si>
    <t>=NL("sum","Production Order","Quantity","Source No.",$D1584,"Equipment Code",$L1584,"due date",G$8)/-12</t>
  </si>
  <si>
    <t>=NL("sum","Production Order","Quantity","Source No.",$D1584,"Equipment Code",$L1584,"due date",H$8)/-12</t>
  </si>
  <si>
    <t>=NL("sum","Production Order","Quantity","Source No.",$D1584,"Equipment Code",$L1584,"due date",I$8)/-12</t>
  </si>
  <si>
    <t>=NL("sum","Production Order","Quantity","Source No.",$D1584,"Equipment Code",$L1584,"due date",J$8)/$J$7</t>
  </si>
  <si>
    <t>=AVERAGE(I1584:J1584)</t>
  </si>
  <si>
    <t>=IF(K1585=0,"hide","")</t>
  </si>
  <si>
    <t>=D1584</t>
  </si>
  <si>
    <t>=NL("sum","Production Order","Quantity","Source No.",$D1585,"Equipment Code",$L1585,"due date",F$8)/-12</t>
  </si>
  <si>
    <t>=NL("sum","Production Order","Quantity","Source No.",$D1585,"Equipment Code",$L1585,"due date",G$8)/-12</t>
  </si>
  <si>
    <t>=NL("sum","Production Order","Quantity","Source No.",$D1585,"Equipment Code",$L1585,"due date",H$8)/-12</t>
  </si>
  <si>
    <t>=NL("sum","Production Order","Quantity","Source No.",$D1585,"Equipment Code",$L1585,"due date",I$8)/-12</t>
  </si>
  <si>
    <t>=NL("sum","Production Order","Quantity","Source No.",$D1585,"Equipment Code",$L1585,"due date",J$8)/$J$7</t>
  </si>
  <si>
    <t>=AVERAGE(I1585:J1585)</t>
  </si>
  <si>
    <t>=IF(K1586=0,"hide","")</t>
  </si>
  <si>
    <t>=D1585</t>
  </si>
  <si>
    <t>=NL("sum","Production Order","Quantity","Source No.",$D1586,"Equipment Code",$L1586,"due date",F$8)/-12</t>
  </si>
  <si>
    <t>=NL("sum","Production Order","Quantity","Source No.",$D1586,"Equipment Code",$L1586,"due date",G$8)/-12</t>
  </si>
  <si>
    <t>=NL("sum","Production Order","Quantity","Source No.",$D1586,"Equipment Code",$L1586,"due date",H$8)/-12</t>
  </si>
  <si>
    <t>=NL("sum","Production Order","Quantity","Source No.",$D1586,"Equipment Code",$L1586,"due date",I$8)/-12</t>
  </si>
  <si>
    <t>=NL("sum","Production Order","Quantity","Source No.",$D1586,"Equipment Code",$L1586,"due date",J$8)/$J$7</t>
  </si>
  <si>
    <t>=AVERAGE(I1586:J1586)</t>
  </si>
  <si>
    <t>=B1583</t>
  </si>
  <si>
    <t>=B1587</t>
  </si>
  <si>
    <t>=SUM(F1583:F1587)</t>
  </si>
  <si>
    <t>=SUM(G1583:G1587)</t>
  </si>
  <si>
    <t>=SUM(H1583:H1587)</t>
  </si>
  <si>
    <t>=SUM(I1583:I1587)</t>
  </si>
  <si>
    <t>=SUM(J1583:J1587)</t>
  </si>
  <si>
    <t>=IF(K1589=0,"hide","")</t>
  </si>
  <si>
    <t>="18325"</t>
  </si>
  <si>
    <t>=NL("rows","Production BOM Version","Version Code","Production BOM No.",D1589,"status","certified")</t>
  </si>
  <si>
    <t>=NL("sum","Item Ledger Entry","Quantity","Item No.",$D1589,"Entry Type","Sale|Consumption","posting date","01/01/19..12/31/19")/-12</t>
  </si>
  <si>
    <t>=NL("sum","Item Ledger Entry","Quantity","Item No.",$D1589,"Entry Type","Sale|Consumption","posting date","01/01/20..12/31/20")/-12</t>
  </si>
  <si>
    <t>=NL("sum","Item Ledger Entry","Quantity","Item No.",$D1589,"Entry Type","Sale|Consumption","posting date","01/01/21..12/31/21")/-12</t>
  </si>
  <si>
    <t>=NL("sum","Item Ledger Entry","Quantity","Item No.",$D1589,"Entry Type","Sale|Consumption","posting date","01/01/22..12/31/22")/-12</t>
  </si>
  <si>
    <t>=NL("sum","Item Ledger Entry","Quantity","Item No.",$D1589,"Entry Type","Sale|Consumption","posting date","01/01/23..12/31/23")/$J$7</t>
  </si>
  <si>
    <t>=AVERAGE(I1589:J1589)</t>
  </si>
  <si>
    <t>=NL(1,"item",L$9,"no.",D1589)</t>
  </si>
  <si>
    <t>=NL(1,"item",M$9,"no.",$D1589)</t>
  </si>
  <si>
    <t>=NL(1,"item","Units Per Parcel","no.",$D1589)</t>
  </si>
  <si>
    <t>=NL(1,"Prod. BOM Equipment","Fixed Prod. Time (Hours)","Production BOM No.",$D1589,"version code",$E1589,"Resource No.",O$9)</t>
  </si>
  <si>
    <t>=1/O1589</t>
  </si>
  <si>
    <t>=IF(NL(1,"Prod. BOM Equipment","Variable Prod. Time (Hours)","Production BOM No.",$D1589,"version code",$E1589,"Resource No.",$O$9)="",1,NL(1,"Prod. BOM Equipment","Variable Prod. Time (Hours)","Production BOM No.",$D1589,"version code",$E1589,"Resource No.",$O$9))</t>
  </si>
  <si>
    <t>=1/Q1589</t>
  </si>
  <si>
    <t>=R1589*N1589</t>
  </si>
  <si>
    <t>=IF(K1590=0,"hide","")</t>
  </si>
  <si>
    <t>=D1589</t>
  </si>
  <si>
    <t>=NL("sum","Production Order","Quantity","Source No.",$D1590,"Equipment Code",$L1590,"due date",F$8)/-12</t>
  </si>
  <si>
    <t>=NL("sum","Production Order","Quantity","Source No.",$D1590,"Equipment Code",$L1590,"due date",G$8)/-12</t>
  </si>
  <si>
    <t>=NL("sum","Production Order","Quantity","Source No.",$D1590,"Equipment Code",$L1590,"due date",H$8)/-12</t>
  </si>
  <si>
    <t>=NL("sum","Production Order","Quantity","Source No.",$D1590,"Equipment Code",$L1590,"due date",I$8)/-12</t>
  </si>
  <si>
    <t>=NL("sum","Production Order","Quantity","Source No.",$D1590,"Equipment Code",$L1590,"due date",J$8)/$J$7</t>
  </si>
  <si>
    <t>=AVERAGE(I1590:J1590)</t>
  </si>
  <si>
    <t>=IF(K1591=0,"hide","")</t>
  </si>
  <si>
    <t>=D1590</t>
  </si>
  <si>
    <t>=NL("sum","Production Order","Quantity","Source No.",$D1591,"Equipment Code",$L1591,"due date",F$8)/-12</t>
  </si>
  <si>
    <t>=NL("sum","Production Order","Quantity","Source No.",$D1591,"Equipment Code",$L1591,"due date",G$8)/-12</t>
  </si>
  <si>
    <t>=NL("sum","Production Order","Quantity","Source No.",$D1591,"Equipment Code",$L1591,"due date",H$8)/-12</t>
  </si>
  <si>
    <t>=NL("sum","Production Order","Quantity","Source No.",$D1591,"Equipment Code",$L1591,"due date",I$8)/-12</t>
  </si>
  <si>
    <t>=NL("sum","Production Order","Quantity","Source No.",$D1591,"Equipment Code",$L1591,"due date",J$8)/$J$7</t>
  </si>
  <si>
    <t>=AVERAGE(I1591:J1591)</t>
  </si>
  <si>
    <t>=IF(K1592=0,"hide","")</t>
  </si>
  <si>
    <t>=D1591</t>
  </si>
  <si>
    <t>=NL("sum","Production Order","Quantity","Source No.",$D1592,"Equipment Code",$L1592,"due date",F$8)/-12</t>
  </si>
  <si>
    <t>=NL("sum","Production Order","Quantity","Source No.",$D1592,"Equipment Code",$L1592,"due date",G$8)/-12</t>
  </si>
  <si>
    <t>=NL("sum","Production Order","Quantity","Source No.",$D1592,"Equipment Code",$L1592,"due date",H$8)/-12</t>
  </si>
  <si>
    <t>=NL("sum","Production Order","Quantity","Source No.",$D1592,"Equipment Code",$L1592,"due date",I$8)/-12</t>
  </si>
  <si>
    <t>=NL("sum","Production Order","Quantity","Source No.",$D1592,"Equipment Code",$L1592,"due date",J$8)/$J$7</t>
  </si>
  <si>
    <t>=AVERAGE(I1592:J1592)</t>
  </si>
  <si>
    <t>=IF(K1593=0,"hide","")</t>
  </si>
  <si>
    <t>=D1592</t>
  </si>
  <si>
    <t>=NL("sum","Production Order","Quantity","Source No.",$D1593,"Equipment Code",$L1593,"due date",F$8)/-12</t>
  </si>
  <si>
    <t>=NL("sum","Production Order","Quantity","Source No.",$D1593,"Equipment Code",$L1593,"due date",G$8)/-12</t>
  </si>
  <si>
    <t>=NL("sum","Production Order","Quantity","Source No.",$D1593,"Equipment Code",$L1593,"due date",H$8)/-12</t>
  </si>
  <si>
    <t>=NL("sum","Production Order","Quantity","Source No.",$D1593,"Equipment Code",$L1593,"due date",I$8)/-12</t>
  </si>
  <si>
    <t>=NL("sum","Production Order","Quantity","Source No.",$D1593,"Equipment Code",$L1593,"due date",J$8)/$J$7</t>
  </si>
  <si>
    <t>=AVERAGE(I1593:J1593)</t>
  </si>
  <si>
    <t>=B1590</t>
  </si>
  <si>
    <t>=B1594</t>
  </si>
  <si>
    <t>=SUM(F1590:F1594)</t>
  </si>
  <si>
    <t>=SUM(G1590:G1594)</t>
  </si>
  <si>
    <t>=SUM(H1590:H1594)</t>
  </si>
  <si>
    <t>=SUM(I1590:I1594)</t>
  </si>
  <si>
    <t>=SUM(J1590:J1594)</t>
  </si>
  <si>
    <t>=IF(K1596=0,"hide","")</t>
  </si>
  <si>
    <t>="18374"</t>
  </si>
  <si>
    <t>=NL("rows","Production BOM Version","Version Code","Production BOM No.",D1596,"status","certified")</t>
  </si>
  <si>
    <t>=NL("sum","Item Ledger Entry","Quantity","Item No.",$D1596,"Entry Type","Sale|Consumption","posting date","01/01/19..12/31/19")/-12</t>
  </si>
  <si>
    <t>=NL("sum","Item Ledger Entry","Quantity","Item No.",$D1596,"Entry Type","Sale|Consumption","posting date","01/01/20..12/31/20")/-12</t>
  </si>
  <si>
    <t>=NL("sum","Item Ledger Entry","Quantity","Item No.",$D1596,"Entry Type","Sale|Consumption","posting date","01/01/21..12/31/21")/-12</t>
  </si>
  <si>
    <t>=NL("sum","Item Ledger Entry","Quantity","Item No.",$D1596,"Entry Type","Sale|Consumption","posting date","01/01/22..12/31/22")/-12</t>
  </si>
  <si>
    <t>=NL("sum","Item Ledger Entry","Quantity","Item No.",$D1596,"Entry Type","Sale|Consumption","posting date","01/01/23..12/31/23")/$J$7</t>
  </si>
  <si>
    <t>=AVERAGE(I1596:J1596)</t>
  </si>
  <si>
    <t>=NL(1,"item",L$9,"no.",D1596)</t>
  </si>
  <si>
    <t>=NL(1,"item",M$9,"no.",$D1596)</t>
  </si>
  <si>
    <t>=NL(1,"item","Units Per Parcel","no.",$D1596)</t>
  </si>
  <si>
    <t>=NL(1,"Prod. BOM Equipment","Fixed Prod. Time (Hours)","Production BOM No.",$D1596,"version code",$E1596,"Resource No.",O$9)</t>
  </si>
  <si>
    <t>=1/O1596</t>
  </si>
  <si>
    <t>=IF(NL(1,"Prod. BOM Equipment","Variable Prod. Time (Hours)","Production BOM No.",$D1596,"version code",$E1596,"Resource No.",$O$9)="",1,NL(1,"Prod. BOM Equipment","Variable Prod. Time (Hours)","Production BOM No.",$D1596,"version code",$E1596,"Resource No.",$O$9))</t>
  </si>
  <si>
    <t>=1/Q1596</t>
  </si>
  <si>
    <t>=R1596*N1596</t>
  </si>
  <si>
    <t>=IF(K1597=0,"hide","")</t>
  </si>
  <si>
    <t>=D1596</t>
  </si>
  <si>
    <t>=NL("sum","Production Order","Quantity","Source No.",$D1597,"Equipment Code",$L1597,"due date",F$8)/-12</t>
  </si>
  <si>
    <t>=NL("sum","Production Order","Quantity","Source No.",$D1597,"Equipment Code",$L1597,"due date",G$8)/-12</t>
  </si>
  <si>
    <t>=NL("sum","Production Order","Quantity","Source No.",$D1597,"Equipment Code",$L1597,"due date",H$8)/-12</t>
  </si>
  <si>
    <t>=NL("sum","Production Order","Quantity","Source No.",$D1597,"Equipment Code",$L1597,"due date",I$8)/-12</t>
  </si>
  <si>
    <t>=NL("sum","Production Order","Quantity","Source No.",$D1597,"Equipment Code",$L1597,"due date",J$8)/$J$7</t>
  </si>
  <si>
    <t>=AVERAGE(I1597:J1597)</t>
  </si>
  <si>
    <t>=IF(K1598=0,"hide","")</t>
  </si>
  <si>
    <t>=D1597</t>
  </si>
  <si>
    <t>=NL("sum","Production Order","Quantity","Source No.",$D1598,"Equipment Code",$L1598,"due date",F$8)/-12</t>
  </si>
  <si>
    <t>=NL("sum","Production Order","Quantity","Source No.",$D1598,"Equipment Code",$L1598,"due date",G$8)/-12</t>
  </si>
  <si>
    <t>=NL("sum","Production Order","Quantity","Source No.",$D1598,"Equipment Code",$L1598,"due date",H$8)/-12</t>
  </si>
  <si>
    <t>=NL("sum","Production Order","Quantity","Source No.",$D1598,"Equipment Code",$L1598,"due date",I$8)/-12</t>
  </si>
  <si>
    <t>=NL("sum","Production Order","Quantity","Source No.",$D1598,"Equipment Code",$L1598,"due date",J$8)/$J$7</t>
  </si>
  <si>
    <t>=AVERAGE(I1598:J1598)</t>
  </si>
  <si>
    <t>=IF(K1599=0,"hide","")</t>
  </si>
  <si>
    <t>=D1598</t>
  </si>
  <si>
    <t>=NL("sum","Production Order","Quantity","Source No.",$D1599,"Equipment Code",$L1599,"due date",F$8)/-12</t>
  </si>
  <si>
    <t>=NL("sum","Production Order","Quantity","Source No.",$D1599,"Equipment Code",$L1599,"due date",G$8)/-12</t>
  </si>
  <si>
    <t>=NL("sum","Production Order","Quantity","Source No.",$D1599,"Equipment Code",$L1599,"due date",H$8)/-12</t>
  </si>
  <si>
    <t>=NL("sum","Production Order","Quantity","Source No.",$D1599,"Equipment Code",$L1599,"due date",I$8)/-12</t>
  </si>
  <si>
    <t>=NL("sum","Production Order","Quantity","Source No.",$D1599,"Equipment Code",$L1599,"due date",J$8)/$J$7</t>
  </si>
  <si>
    <t>=AVERAGE(I1599:J1599)</t>
  </si>
  <si>
    <t>=IF(K1600=0,"hide","")</t>
  </si>
  <si>
    <t>=D1599</t>
  </si>
  <si>
    <t>=NL("sum","Production Order","Quantity","Source No.",$D1600,"Equipment Code",$L1600,"due date",F$8)/-12</t>
  </si>
  <si>
    <t>=NL("sum","Production Order","Quantity","Source No.",$D1600,"Equipment Code",$L1600,"due date",G$8)/-12</t>
  </si>
  <si>
    <t>=NL("sum","Production Order","Quantity","Source No.",$D1600,"Equipment Code",$L1600,"due date",H$8)/-12</t>
  </si>
  <si>
    <t>=NL("sum","Production Order","Quantity","Source No.",$D1600,"Equipment Code",$L1600,"due date",I$8)/-12</t>
  </si>
  <si>
    <t>=NL("sum","Production Order","Quantity","Source No.",$D1600,"Equipment Code",$L1600,"due date",J$8)/$J$7</t>
  </si>
  <si>
    <t>=AVERAGE(I1600:J1600)</t>
  </si>
  <si>
    <t>=B1597</t>
  </si>
  <si>
    <t>=B1601</t>
  </si>
  <si>
    <t>=SUM(F1597:F1601)</t>
  </si>
  <si>
    <t>=SUM(G1597:G1601)</t>
  </si>
  <si>
    <t>=SUM(H1597:H1601)</t>
  </si>
  <si>
    <t>=SUM(I1597:I1601)</t>
  </si>
  <si>
    <t>=SUM(J1597:J1601)</t>
  </si>
  <si>
    <t>=IF(K1603=0,"hide","")</t>
  </si>
  <si>
    <t>="18401"</t>
  </si>
  <si>
    <t>=NL("rows","Production BOM Version","Version Code","Production BOM No.",D1603,"status","certified")</t>
  </si>
  <si>
    <t>=NL("sum","Item Ledger Entry","Quantity","Item No.",$D1603,"Entry Type","Sale|Consumption","posting date","01/01/19..12/31/19")/-12</t>
  </si>
  <si>
    <t>=NL("sum","Item Ledger Entry","Quantity","Item No.",$D1603,"Entry Type","Sale|Consumption","posting date","01/01/20..12/31/20")/-12</t>
  </si>
  <si>
    <t>=NL("sum","Item Ledger Entry","Quantity","Item No.",$D1603,"Entry Type","Sale|Consumption","posting date","01/01/21..12/31/21")/-12</t>
  </si>
  <si>
    <t>=NL("sum","Item Ledger Entry","Quantity","Item No.",$D1603,"Entry Type","Sale|Consumption","posting date","01/01/22..12/31/22")/-12</t>
  </si>
  <si>
    <t>=NL("sum","Item Ledger Entry","Quantity","Item No.",$D1603,"Entry Type","Sale|Consumption","posting date","01/01/23..12/31/23")/$J$7</t>
  </si>
  <si>
    <t>=AVERAGE(I1603:J1603)</t>
  </si>
  <si>
    <t>=NL(1,"item",L$9,"no.",D1603)</t>
  </si>
  <si>
    <t>=NL(1,"item",M$9,"no.",$D1603)</t>
  </si>
  <si>
    <t>=NL(1,"item","Units Per Parcel","no.",$D1603)</t>
  </si>
  <si>
    <t>=NL(1,"Prod. BOM Equipment","Fixed Prod. Time (Hours)","Production BOM No.",$D1603,"version code",$E1603,"Resource No.",O$9)</t>
  </si>
  <si>
    <t>=1/O1603</t>
  </si>
  <si>
    <t>=IF(NL(1,"Prod. BOM Equipment","Variable Prod. Time (Hours)","Production BOM No.",$D1603,"version code",$E1603,"Resource No.",$O$9)="",1,NL(1,"Prod. BOM Equipment","Variable Prod. Time (Hours)","Production BOM No.",$D1603,"version code",$E1603,"Resource No.",$O$9))</t>
  </si>
  <si>
    <t>=1/Q1603</t>
  </si>
  <si>
    <t>=R1603*N1603</t>
  </si>
  <si>
    <t>=IF(K1604=0,"hide","")</t>
  </si>
  <si>
    <t>=D1603</t>
  </si>
  <si>
    <t>=NL("sum","Production Order","Quantity","Source No.",$D1604,"Equipment Code",$L1604,"due date",F$8)/-12</t>
  </si>
  <si>
    <t>=NL("sum","Production Order","Quantity","Source No.",$D1604,"Equipment Code",$L1604,"due date",G$8)/-12</t>
  </si>
  <si>
    <t>=NL("sum","Production Order","Quantity","Source No.",$D1604,"Equipment Code",$L1604,"due date",H$8)/-12</t>
  </si>
  <si>
    <t>=NL("sum","Production Order","Quantity","Source No.",$D1604,"Equipment Code",$L1604,"due date",I$8)/-12</t>
  </si>
  <si>
    <t>=NL("sum","Production Order","Quantity","Source No.",$D1604,"Equipment Code",$L1604,"due date",J$8)/$J$7</t>
  </si>
  <si>
    <t>=AVERAGE(I1604:J1604)</t>
  </si>
  <si>
    <t>=IF(K1605=0,"hide","")</t>
  </si>
  <si>
    <t>=D1604</t>
  </si>
  <si>
    <t>=NL("sum","Production Order","Quantity","Source No.",$D1605,"Equipment Code",$L1605,"due date",F$8)/-12</t>
  </si>
  <si>
    <t>=NL("sum","Production Order","Quantity","Source No.",$D1605,"Equipment Code",$L1605,"due date",G$8)/-12</t>
  </si>
  <si>
    <t>=NL("sum","Production Order","Quantity","Source No.",$D1605,"Equipment Code",$L1605,"due date",H$8)/-12</t>
  </si>
  <si>
    <t>=NL("sum","Production Order","Quantity","Source No.",$D1605,"Equipment Code",$L1605,"due date",I$8)/-12</t>
  </si>
  <si>
    <t>=NL("sum","Production Order","Quantity","Source No.",$D1605,"Equipment Code",$L1605,"due date",J$8)/$J$7</t>
  </si>
  <si>
    <t>=AVERAGE(I1605:J1605)</t>
  </si>
  <si>
    <t>=IF(K1606=0,"hide","")</t>
  </si>
  <si>
    <t>=D1605</t>
  </si>
  <si>
    <t>=NL("sum","Production Order","Quantity","Source No.",$D1606,"Equipment Code",$L1606,"due date",F$8)/-12</t>
  </si>
  <si>
    <t>=NL("sum","Production Order","Quantity","Source No.",$D1606,"Equipment Code",$L1606,"due date",G$8)/-12</t>
  </si>
  <si>
    <t>=NL("sum","Production Order","Quantity","Source No.",$D1606,"Equipment Code",$L1606,"due date",H$8)/-12</t>
  </si>
  <si>
    <t>=NL("sum","Production Order","Quantity","Source No.",$D1606,"Equipment Code",$L1606,"due date",I$8)/-12</t>
  </si>
  <si>
    <t>=NL("sum","Production Order","Quantity","Source No.",$D1606,"Equipment Code",$L1606,"due date",J$8)/$J$7</t>
  </si>
  <si>
    <t>=AVERAGE(I1606:J1606)</t>
  </si>
  <si>
    <t>=IF(K1607=0,"hide","")</t>
  </si>
  <si>
    <t>=D1606</t>
  </si>
  <si>
    <t>=NL("sum","Production Order","Quantity","Source No.",$D1607,"Equipment Code",$L1607,"due date",F$8)/-12</t>
  </si>
  <si>
    <t>=NL("sum","Production Order","Quantity","Source No.",$D1607,"Equipment Code",$L1607,"due date",G$8)/-12</t>
  </si>
  <si>
    <t>=NL("sum","Production Order","Quantity","Source No.",$D1607,"Equipment Code",$L1607,"due date",H$8)/-12</t>
  </si>
  <si>
    <t>=NL("sum","Production Order","Quantity","Source No.",$D1607,"Equipment Code",$L1607,"due date",I$8)/-12</t>
  </si>
  <si>
    <t>=NL("sum","Production Order","Quantity","Source No.",$D1607,"Equipment Code",$L1607,"due date",J$8)/$J$7</t>
  </si>
  <si>
    <t>=AVERAGE(I1607:J1607)</t>
  </si>
  <si>
    <t>=B1604</t>
  </si>
  <si>
    <t>=B1608</t>
  </si>
  <si>
    <t>=SUM(F1604:F1608)</t>
  </si>
  <si>
    <t>=SUM(G1604:G1608)</t>
  </si>
  <si>
    <t>=SUM(H1604:H1608)</t>
  </si>
  <si>
    <t>=SUM(I1604:I1608)</t>
  </si>
  <si>
    <t>=SUM(J1604:J1608)</t>
  </si>
  <si>
    <t>=IF(K1610=0,"hide","")</t>
  </si>
  <si>
    <t>="18405"</t>
  </si>
  <si>
    <t>=NL("rows","Production BOM Version","Version Code","Production BOM No.",D1610,"status","certified")</t>
  </si>
  <si>
    <t>=NL("sum","Item Ledger Entry","Quantity","Item No.",$D1610,"Entry Type","Sale|Consumption","posting date","01/01/19..12/31/19")/-12</t>
  </si>
  <si>
    <t>=NL("sum","Item Ledger Entry","Quantity","Item No.",$D1610,"Entry Type","Sale|Consumption","posting date","01/01/20..12/31/20")/-12</t>
  </si>
  <si>
    <t>=NL("sum","Item Ledger Entry","Quantity","Item No.",$D1610,"Entry Type","Sale|Consumption","posting date","01/01/21..12/31/21")/-12</t>
  </si>
  <si>
    <t>=NL("sum","Item Ledger Entry","Quantity","Item No.",$D1610,"Entry Type","Sale|Consumption","posting date","01/01/22..12/31/22")/-12</t>
  </si>
  <si>
    <t>=NL("sum","Item Ledger Entry","Quantity","Item No.",$D1610,"Entry Type","Sale|Consumption","posting date","01/01/23..12/31/23")/$J$7</t>
  </si>
  <si>
    <t>=AVERAGE(I1610:J1610)</t>
  </si>
  <si>
    <t>=NL(1,"item",L$9,"no.",D1610)</t>
  </si>
  <si>
    <t>=NL(1,"item",M$9,"no.",$D1610)</t>
  </si>
  <si>
    <t>=NL(1,"item","Units Per Parcel","no.",$D1610)</t>
  </si>
  <si>
    <t>=NL(1,"Prod. BOM Equipment","Fixed Prod. Time (Hours)","Production BOM No.",$D1610,"version code",$E1610,"Resource No.",O$9)</t>
  </si>
  <si>
    <t>=1/O1610</t>
  </si>
  <si>
    <t>=IF(NL(1,"Prod. BOM Equipment","Variable Prod. Time (Hours)","Production BOM No.",$D1610,"version code",$E1610,"Resource No.",$O$9)="",1,NL(1,"Prod. BOM Equipment","Variable Prod. Time (Hours)","Production BOM No.",$D1610,"version code",$E1610,"Resource No.",$O$9))</t>
  </si>
  <si>
    <t>=1/Q1610</t>
  </si>
  <si>
    <t>=R1610*N1610</t>
  </si>
  <si>
    <t>=IF(K1611=0,"hide","")</t>
  </si>
  <si>
    <t>=D1610</t>
  </si>
  <si>
    <t>=NL("sum","Production Order","Quantity","Source No.",$D1611,"Equipment Code",$L1611,"due date",F$8)/-12</t>
  </si>
  <si>
    <t>=NL("sum","Production Order","Quantity","Source No.",$D1611,"Equipment Code",$L1611,"due date",G$8)/-12</t>
  </si>
  <si>
    <t>=NL("sum","Production Order","Quantity","Source No.",$D1611,"Equipment Code",$L1611,"due date",H$8)/-12</t>
  </si>
  <si>
    <t>=NL("sum","Production Order","Quantity","Source No.",$D1611,"Equipment Code",$L1611,"due date",I$8)/-12</t>
  </si>
  <si>
    <t>=NL("sum","Production Order","Quantity","Source No.",$D1611,"Equipment Code",$L1611,"due date",J$8)/$J$7</t>
  </si>
  <si>
    <t>=AVERAGE(I1611:J1611)</t>
  </si>
  <si>
    <t>=IF(K1612=0,"hide","")</t>
  </si>
  <si>
    <t>=D1611</t>
  </si>
  <si>
    <t>=NL("sum","Production Order","Quantity","Source No.",$D1612,"Equipment Code",$L1612,"due date",F$8)/-12</t>
  </si>
  <si>
    <t>=NL("sum","Production Order","Quantity","Source No.",$D1612,"Equipment Code",$L1612,"due date",G$8)/-12</t>
  </si>
  <si>
    <t>=NL("sum","Production Order","Quantity","Source No.",$D1612,"Equipment Code",$L1612,"due date",H$8)/-12</t>
  </si>
  <si>
    <t>=NL("sum","Production Order","Quantity","Source No.",$D1612,"Equipment Code",$L1612,"due date",I$8)/-12</t>
  </si>
  <si>
    <t>=NL("sum","Production Order","Quantity","Source No.",$D1612,"Equipment Code",$L1612,"due date",J$8)/$J$7</t>
  </si>
  <si>
    <t>=AVERAGE(I1612:J1612)</t>
  </si>
  <si>
    <t>=IF(K1613=0,"hide","")</t>
  </si>
  <si>
    <t>=D1612</t>
  </si>
  <si>
    <t>=NL("sum","Production Order","Quantity","Source No.",$D1613,"Equipment Code",$L1613,"due date",F$8)/-12</t>
  </si>
  <si>
    <t>=NL("sum","Production Order","Quantity","Source No.",$D1613,"Equipment Code",$L1613,"due date",G$8)/-12</t>
  </si>
  <si>
    <t>=NL("sum","Production Order","Quantity","Source No.",$D1613,"Equipment Code",$L1613,"due date",H$8)/-12</t>
  </si>
  <si>
    <t>=NL("sum","Production Order","Quantity","Source No.",$D1613,"Equipment Code",$L1613,"due date",I$8)/-12</t>
  </si>
  <si>
    <t>=NL("sum","Production Order","Quantity","Source No.",$D1613,"Equipment Code",$L1613,"due date",J$8)/$J$7</t>
  </si>
  <si>
    <t>=AVERAGE(I1613:J1613)</t>
  </si>
  <si>
    <t>=IF(K1614=0,"hide","")</t>
  </si>
  <si>
    <t>=D1613</t>
  </si>
  <si>
    <t>=NL("sum","Production Order","Quantity","Source No.",$D1614,"Equipment Code",$L1614,"due date",F$8)/-12</t>
  </si>
  <si>
    <t>=NL("sum","Production Order","Quantity","Source No.",$D1614,"Equipment Code",$L1614,"due date",G$8)/-12</t>
  </si>
  <si>
    <t>=NL("sum","Production Order","Quantity","Source No.",$D1614,"Equipment Code",$L1614,"due date",H$8)/-12</t>
  </si>
  <si>
    <t>=NL("sum","Production Order","Quantity","Source No.",$D1614,"Equipment Code",$L1614,"due date",I$8)/-12</t>
  </si>
  <si>
    <t>=NL("sum","Production Order","Quantity","Source No.",$D1614,"Equipment Code",$L1614,"due date",J$8)/$J$7</t>
  </si>
  <si>
    <t>=AVERAGE(I1614:J1614)</t>
  </si>
  <si>
    <t>=B1611</t>
  </si>
  <si>
    <t>=B1615</t>
  </si>
  <si>
    <t>=SUM(F1611:F1615)</t>
  </si>
  <si>
    <t>=SUM(G1611:G1615)</t>
  </si>
  <si>
    <t>=SUM(H1611:H1615)</t>
  </si>
  <si>
    <t>=SUM(I1611:I1615)</t>
  </si>
  <si>
    <t>=SUM(J1611:J1615)</t>
  </si>
  <si>
    <t>=IF(K1617=0,"hide","")</t>
  </si>
  <si>
    <t>="18407"</t>
  </si>
  <si>
    <t>=NL("rows","Production BOM Version","Version Code","Production BOM No.",D1617,"status","certified")</t>
  </si>
  <si>
    <t>=NL("sum","Item Ledger Entry","Quantity","Item No.",$D1617,"Entry Type","Sale|Consumption","posting date","01/01/19..12/31/19")/-12</t>
  </si>
  <si>
    <t>=NL("sum","Item Ledger Entry","Quantity","Item No.",$D1617,"Entry Type","Sale|Consumption","posting date","01/01/20..12/31/20")/-12</t>
  </si>
  <si>
    <t>=NL("sum","Item Ledger Entry","Quantity","Item No.",$D1617,"Entry Type","Sale|Consumption","posting date","01/01/21..12/31/21")/-12</t>
  </si>
  <si>
    <t>=NL("sum","Item Ledger Entry","Quantity","Item No.",$D1617,"Entry Type","Sale|Consumption","posting date","01/01/22..12/31/22")/-12</t>
  </si>
  <si>
    <t>=NL("sum","Item Ledger Entry","Quantity","Item No.",$D1617,"Entry Type","Sale|Consumption","posting date","01/01/23..12/31/23")/$J$7</t>
  </si>
  <si>
    <t>=AVERAGE(I1617:J1617)</t>
  </si>
  <si>
    <t>=NL(1,"item",L$9,"no.",D1617)</t>
  </si>
  <si>
    <t>=NL(1,"item",M$9,"no.",$D1617)</t>
  </si>
  <si>
    <t>=NL(1,"item","Units Per Parcel","no.",$D1617)</t>
  </si>
  <si>
    <t>=NL(1,"Prod. BOM Equipment","Fixed Prod. Time (Hours)","Production BOM No.",$D1617,"version code",$E1617,"Resource No.",O$9)</t>
  </si>
  <si>
    <t>=1/O1617</t>
  </si>
  <si>
    <t>=IF(NL(1,"Prod. BOM Equipment","Variable Prod. Time (Hours)","Production BOM No.",$D1617,"version code",$E1617,"Resource No.",$O$9)="",1,NL(1,"Prod. BOM Equipment","Variable Prod. Time (Hours)","Production BOM No.",$D1617,"version code",$E1617,"Resource No.",$O$9))</t>
  </si>
  <si>
    <t>=1/Q1617</t>
  </si>
  <si>
    <t>=R1617*N1617</t>
  </si>
  <si>
    <t>=IF(K1618=0,"hide","")</t>
  </si>
  <si>
    <t>=D1617</t>
  </si>
  <si>
    <t>=NL("sum","Production Order","Quantity","Source No.",$D1618,"Equipment Code",$L1618,"due date",F$8)/-12</t>
  </si>
  <si>
    <t>=NL("sum","Production Order","Quantity","Source No.",$D1618,"Equipment Code",$L1618,"due date",G$8)/-12</t>
  </si>
  <si>
    <t>=NL("sum","Production Order","Quantity","Source No.",$D1618,"Equipment Code",$L1618,"due date",H$8)/-12</t>
  </si>
  <si>
    <t>=NL("sum","Production Order","Quantity","Source No.",$D1618,"Equipment Code",$L1618,"due date",I$8)/-12</t>
  </si>
  <si>
    <t>=NL("sum","Production Order","Quantity","Source No.",$D1618,"Equipment Code",$L1618,"due date",J$8)/$J$7</t>
  </si>
  <si>
    <t>=AVERAGE(I1618:J1618)</t>
  </si>
  <si>
    <t>=IF(K1619=0,"hide","")</t>
  </si>
  <si>
    <t>=D1618</t>
  </si>
  <si>
    <t>=NL("sum","Production Order","Quantity","Source No.",$D1619,"Equipment Code",$L1619,"due date",F$8)/-12</t>
  </si>
  <si>
    <t>=NL("sum","Production Order","Quantity","Source No.",$D1619,"Equipment Code",$L1619,"due date",G$8)/-12</t>
  </si>
  <si>
    <t>=NL("sum","Production Order","Quantity","Source No.",$D1619,"Equipment Code",$L1619,"due date",H$8)/-12</t>
  </si>
  <si>
    <t>=NL("sum","Production Order","Quantity","Source No.",$D1619,"Equipment Code",$L1619,"due date",I$8)/-12</t>
  </si>
  <si>
    <t>=NL("sum","Production Order","Quantity","Source No.",$D1619,"Equipment Code",$L1619,"due date",J$8)/$J$7</t>
  </si>
  <si>
    <t>=AVERAGE(I1619:J1619)</t>
  </si>
  <si>
    <t>=IF(K1620=0,"hide","")</t>
  </si>
  <si>
    <t>=D1619</t>
  </si>
  <si>
    <t>=NL("sum","Production Order","Quantity","Source No.",$D1620,"Equipment Code",$L1620,"due date",F$8)/-12</t>
  </si>
  <si>
    <t>=NL("sum","Production Order","Quantity","Source No.",$D1620,"Equipment Code",$L1620,"due date",G$8)/-12</t>
  </si>
  <si>
    <t>=NL("sum","Production Order","Quantity","Source No.",$D1620,"Equipment Code",$L1620,"due date",H$8)/-12</t>
  </si>
  <si>
    <t>=NL("sum","Production Order","Quantity","Source No.",$D1620,"Equipment Code",$L1620,"due date",I$8)/-12</t>
  </si>
  <si>
    <t>=NL("sum","Production Order","Quantity","Source No.",$D1620,"Equipment Code",$L1620,"due date",J$8)/$J$7</t>
  </si>
  <si>
    <t>=AVERAGE(I1620:J1620)</t>
  </si>
  <si>
    <t>=IF(K1621=0,"hide","")</t>
  </si>
  <si>
    <t>=D1620</t>
  </si>
  <si>
    <t>=NL("sum","Production Order","Quantity","Source No.",$D1621,"Equipment Code",$L1621,"due date",F$8)/-12</t>
  </si>
  <si>
    <t>=NL("sum","Production Order","Quantity","Source No.",$D1621,"Equipment Code",$L1621,"due date",G$8)/-12</t>
  </si>
  <si>
    <t>=NL("sum","Production Order","Quantity","Source No.",$D1621,"Equipment Code",$L1621,"due date",H$8)/-12</t>
  </si>
  <si>
    <t>=NL("sum","Production Order","Quantity","Source No.",$D1621,"Equipment Code",$L1621,"due date",I$8)/-12</t>
  </si>
  <si>
    <t>=NL("sum","Production Order","Quantity","Source No.",$D1621,"Equipment Code",$L1621,"due date",J$8)/$J$7</t>
  </si>
  <si>
    <t>=AVERAGE(I1621:J1621)</t>
  </si>
  <si>
    <t>=B1618</t>
  </si>
  <si>
    <t>=B1622</t>
  </si>
  <si>
    <t>=SUM(F1618:F1622)</t>
  </si>
  <si>
    <t>=SUM(G1618:G1622)</t>
  </si>
  <si>
    <t>=SUM(H1618:H1622)</t>
  </si>
  <si>
    <t>=SUM(I1618:I1622)</t>
  </si>
  <si>
    <t>=SUM(J1618:J1622)</t>
  </si>
  <si>
    <t>=IF(K1624=0,"hide","")</t>
  </si>
  <si>
    <t>="18425"</t>
  </si>
  <si>
    <t>=NL("rows","Production BOM Version","Version Code","Production BOM No.",D1624,"status","certified")</t>
  </si>
  <si>
    <t>=NL("sum","Item Ledger Entry","Quantity","Item No.",$D1624,"Entry Type","Sale|Consumption","posting date","01/01/19..12/31/19")/-12</t>
  </si>
  <si>
    <t>=NL("sum","Item Ledger Entry","Quantity","Item No.",$D1624,"Entry Type","Sale|Consumption","posting date","01/01/20..12/31/20")/-12</t>
  </si>
  <si>
    <t>=NL("sum","Item Ledger Entry","Quantity","Item No.",$D1624,"Entry Type","Sale|Consumption","posting date","01/01/21..12/31/21")/-12</t>
  </si>
  <si>
    <t>=NL("sum","Item Ledger Entry","Quantity","Item No.",$D1624,"Entry Type","Sale|Consumption","posting date","01/01/22..12/31/22")/-12</t>
  </si>
  <si>
    <t>=NL("sum","Item Ledger Entry","Quantity","Item No.",$D1624,"Entry Type","Sale|Consumption","posting date","01/01/23..12/31/23")/$J$7</t>
  </si>
  <si>
    <t>=AVERAGE(I1624:J1624)</t>
  </si>
  <si>
    <t>=NL(1,"item",L$9,"no.",D1624)</t>
  </si>
  <si>
    <t>=NL(1,"item",M$9,"no.",$D1624)</t>
  </si>
  <si>
    <t>=NL(1,"item","Units Per Parcel","no.",$D1624)</t>
  </si>
  <si>
    <t>=NL(1,"Prod. BOM Equipment","Fixed Prod. Time (Hours)","Production BOM No.",$D1624,"version code",$E1624,"Resource No.",O$9)</t>
  </si>
  <si>
    <t>=1/O1624</t>
  </si>
  <si>
    <t>=IF(NL(1,"Prod. BOM Equipment","Variable Prod. Time (Hours)","Production BOM No.",$D1624,"version code",$E1624,"Resource No.",$O$9)="",1,NL(1,"Prod. BOM Equipment","Variable Prod. Time (Hours)","Production BOM No.",$D1624,"version code",$E1624,"Resource No.",$O$9))</t>
  </si>
  <si>
    <t>=1/Q1624</t>
  </si>
  <si>
    <t>=R1624*N1624</t>
  </si>
  <si>
    <t>=IF(K1625=0,"hide","")</t>
  </si>
  <si>
    <t>=D1624</t>
  </si>
  <si>
    <t>=NL("sum","Production Order","Quantity","Source No.",$D1625,"Equipment Code",$L1625,"due date",F$8)/-12</t>
  </si>
  <si>
    <t>=NL("sum","Production Order","Quantity","Source No.",$D1625,"Equipment Code",$L1625,"due date",G$8)/-12</t>
  </si>
  <si>
    <t>=NL("sum","Production Order","Quantity","Source No.",$D1625,"Equipment Code",$L1625,"due date",H$8)/-12</t>
  </si>
  <si>
    <t>=NL("sum","Production Order","Quantity","Source No.",$D1625,"Equipment Code",$L1625,"due date",I$8)/-12</t>
  </si>
  <si>
    <t>=NL("sum","Production Order","Quantity","Source No.",$D1625,"Equipment Code",$L1625,"due date",J$8)/$J$7</t>
  </si>
  <si>
    <t>=AVERAGE(I1625:J1625)</t>
  </si>
  <si>
    <t>=IF(K1626=0,"hide","")</t>
  </si>
  <si>
    <t>=D1625</t>
  </si>
  <si>
    <t>=NL("sum","Production Order","Quantity","Source No.",$D1626,"Equipment Code",$L1626,"due date",F$8)/-12</t>
  </si>
  <si>
    <t>=NL("sum","Production Order","Quantity","Source No.",$D1626,"Equipment Code",$L1626,"due date",G$8)/-12</t>
  </si>
  <si>
    <t>=NL("sum","Production Order","Quantity","Source No.",$D1626,"Equipment Code",$L1626,"due date",H$8)/-12</t>
  </si>
  <si>
    <t>=NL("sum","Production Order","Quantity","Source No.",$D1626,"Equipment Code",$L1626,"due date",I$8)/-12</t>
  </si>
  <si>
    <t>=NL("sum","Production Order","Quantity","Source No.",$D1626,"Equipment Code",$L1626,"due date",J$8)/$J$7</t>
  </si>
  <si>
    <t>=AVERAGE(I1626:J1626)</t>
  </si>
  <si>
    <t>=IF(K1627=0,"hide","")</t>
  </si>
  <si>
    <t>=D1626</t>
  </si>
  <si>
    <t>=NL("sum","Production Order","Quantity","Source No.",$D1627,"Equipment Code",$L1627,"due date",F$8)/-12</t>
  </si>
  <si>
    <t>=NL("sum","Production Order","Quantity","Source No.",$D1627,"Equipment Code",$L1627,"due date",G$8)/-12</t>
  </si>
  <si>
    <t>=NL("sum","Production Order","Quantity","Source No.",$D1627,"Equipment Code",$L1627,"due date",H$8)/-12</t>
  </si>
  <si>
    <t>=NL("sum","Production Order","Quantity","Source No.",$D1627,"Equipment Code",$L1627,"due date",I$8)/-12</t>
  </si>
  <si>
    <t>=NL("sum","Production Order","Quantity","Source No.",$D1627,"Equipment Code",$L1627,"due date",J$8)/$J$7</t>
  </si>
  <si>
    <t>=AVERAGE(I1627:J1627)</t>
  </si>
  <si>
    <t>=IF(K1628=0,"hide","")</t>
  </si>
  <si>
    <t>=D1627</t>
  </si>
  <si>
    <t>=NL("sum","Production Order","Quantity","Source No.",$D1628,"Equipment Code",$L1628,"due date",F$8)/-12</t>
  </si>
  <si>
    <t>=NL("sum","Production Order","Quantity","Source No.",$D1628,"Equipment Code",$L1628,"due date",G$8)/-12</t>
  </si>
  <si>
    <t>=NL("sum","Production Order","Quantity","Source No.",$D1628,"Equipment Code",$L1628,"due date",H$8)/-12</t>
  </si>
  <si>
    <t>=NL("sum","Production Order","Quantity","Source No.",$D1628,"Equipment Code",$L1628,"due date",I$8)/-12</t>
  </si>
  <si>
    <t>=NL("sum","Production Order","Quantity","Source No.",$D1628,"Equipment Code",$L1628,"due date",J$8)/$J$7</t>
  </si>
  <si>
    <t>=AVERAGE(I1628:J1628)</t>
  </si>
  <si>
    <t>=B1625</t>
  </si>
  <si>
    <t>=B1629</t>
  </si>
  <si>
    <t>=SUM(F1625:F1629)</t>
  </si>
  <si>
    <t>=SUM(G1625:G1629)</t>
  </si>
  <si>
    <t>=SUM(H1625:H1629)</t>
  </si>
  <si>
    <t>=SUM(I1625:I1629)</t>
  </si>
  <si>
    <t>=SUM(J1625:J1629)</t>
  </si>
  <si>
    <t>=IF(K1631=0,"hide","")</t>
  </si>
  <si>
    <t>="18965"</t>
  </si>
  <si>
    <t>=NL("rows","Production BOM Version","Version Code","Production BOM No.",D1631,"status","certified")</t>
  </si>
  <si>
    <t>=NL("sum","Item Ledger Entry","Quantity","Item No.",$D1631,"Entry Type","Sale|Consumption","posting date","01/01/19..12/31/19")/-12</t>
  </si>
  <si>
    <t>=NL("sum","Item Ledger Entry","Quantity","Item No.",$D1631,"Entry Type","Sale|Consumption","posting date","01/01/20..12/31/20")/-12</t>
  </si>
  <si>
    <t>=NL("sum","Item Ledger Entry","Quantity","Item No.",$D1631,"Entry Type","Sale|Consumption","posting date","01/01/21..12/31/21")/-12</t>
  </si>
  <si>
    <t>=NL("sum","Item Ledger Entry","Quantity","Item No.",$D1631,"Entry Type","Sale|Consumption","posting date","01/01/22..12/31/22")/-12</t>
  </si>
  <si>
    <t>=NL("sum","Item Ledger Entry","Quantity","Item No.",$D1631,"Entry Type","Sale|Consumption","posting date","01/01/23..12/31/23")/$J$7</t>
  </si>
  <si>
    <t>=AVERAGE(I1631:J1631)</t>
  </si>
  <si>
    <t>=NL(1,"item",L$9,"no.",D1631)</t>
  </si>
  <si>
    <t>=NL(1,"item",M$9,"no.",$D1631)</t>
  </si>
  <si>
    <t>=NL(1,"item","Units Per Parcel","no.",$D1631)</t>
  </si>
  <si>
    <t>=NL(1,"Prod. BOM Equipment","Fixed Prod. Time (Hours)","Production BOM No.",$D1631,"version code",$E1631,"Resource No.",O$9)</t>
  </si>
  <si>
    <t>=1/O1631</t>
  </si>
  <si>
    <t>=IF(NL(1,"Prod. BOM Equipment","Variable Prod. Time (Hours)","Production BOM No.",$D1631,"version code",$E1631,"Resource No.",$O$9)="",1,NL(1,"Prod. BOM Equipment","Variable Prod. Time (Hours)","Production BOM No.",$D1631,"version code",$E1631,"Resource No.",$O$9))</t>
  </si>
  <si>
    <t>=1/Q1631</t>
  </si>
  <si>
    <t>=R1631*N1631</t>
  </si>
  <si>
    <t>=IF(K1632=0,"hide","")</t>
  </si>
  <si>
    <t>=D1631</t>
  </si>
  <si>
    <t>=NL("sum","Production Order","Quantity","Source No.",$D1632,"Equipment Code",$L1632,"due date",F$8)/-12</t>
  </si>
  <si>
    <t>=NL("sum","Production Order","Quantity","Source No.",$D1632,"Equipment Code",$L1632,"due date",G$8)/-12</t>
  </si>
  <si>
    <t>=NL("sum","Production Order","Quantity","Source No.",$D1632,"Equipment Code",$L1632,"due date",H$8)/-12</t>
  </si>
  <si>
    <t>=NL("sum","Production Order","Quantity","Source No.",$D1632,"Equipment Code",$L1632,"due date",I$8)/-12</t>
  </si>
  <si>
    <t>=NL("sum","Production Order","Quantity","Source No.",$D1632,"Equipment Code",$L1632,"due date",J$8)/$J$7</t>
  </si>
  <si>
    <t>=AVERAGE(I1632:J1632)</t>
  </si>
  <si>
    <t>=IF(K1633=0,"hide","")</t>
  </si>
  <si>
    <t>=D1632</t>
  </si>
  <si>
    <t>=NL("sum","Production Order","Quantity","Source No.",$D1633,"Equipment Code",$L1633,"due date",F$8)/-12</t>
  </si>
  <si>
    <t>=NL("sum","Production Order","Quantity","Source No.",$D1633,"Equipment Code",$L1633,"due date",G$8)/-12</t>
  </si>
  <si>
    <t>=NL("sum","Production Order","Quantity","Source No.",$D1633,"Equipment Code",$L1633,"due date",H$8)/-12</t>
  </si>
  <si>
    <t>=NL("sum","Production Order","Quantity","Source No.",$D1633,"Equipment Code",$L1633,"due date",I$8)/-12</t>
  </si>
  <si>
    <t>=NL("sum","Production Order","Quantity","Source No.",$D1633,"Equipment Code",$L1633,"due date",J$8)/$J$7</t>
  </si>
  <si>
    <t>=AVERAGE(I1633:J1633)</t>
  </si>
  <si>
    <t>=IF(K1634=0,"hide","")</t>
  </si>
  <si>
    <t>=D1633</t>
  </si>
  <si>
    <t>=NL("sum","Production Order","Quantity","Source No.",$D1634,"Equipment Code",$L1634,"due date",F$8)/-12</t>
  </si>
  <si>
    <t>=NL("sum","Production Order","Quantity","Source No.",$D1634,"Equipment Code",$L1634,"due date",G$8)/-12</t>
  </si>
  <si>
    <t>=NL("sum","Production Order","Quantity","Source No.",$D1634,"Equipment Code",$L1634,"due date",H$8)/-12</t>
  </si>
  <si>
    <t>=NL("sum","Production Order","Quantity","Source No.",$D1634,"Equipment Code",$L1634,"due date",I$8)/-12</t>
  </si>
  <si>
    <t>=NL("sum","Production Order","Quantity","Source No.",$D1634,"Equipment Code",$L1634,"due date",J$8)/$J$7</t>
  </si>
  <si>
    <t>=AVERAGE(I1634:J1634)</t>
  </si>
  <si>
    <t>=IF(K1635=0,"hide","")</t>
  </si>
  <si>
    <t>=D1634</t>
  </si>
  <si>
    <t>=NL("sum","Production Order","Quantity","Source No.",$D1635,"Equipment Code",$L1635,"due date",F$8)/-12</t>
  </si>
  <si>
    <t>=NL("sum","Production Order","Quantity","Source No.",$D1635,"Equipment Code",$L1635,"due date",G$8)/-12</t>
  </si>
  <si>
    <t>=NL("sum","Production Order","Quantity","Source No.",$D1635,"Equipment Code",$L1635,"due date",H$8)/-12</t>
  </si>
  <si>
    <t>=NL("sum","Production Order","Quantity","Source No.",$D1635,"Equipment Code",$L1635,"due date",I$8)/-12</t>
  </si>
  <si>
    <t>=NL("sum","Production Order","Quantity","Source No.",$D1635,"Equipment Code",$L1635,"due date",J$8)/$J$7</t>
  </si>
  <si>
    <t>=AVERAGE(I1635:J1635)</t>
  </si>
  <si>
    <t>=B1632</t>
  </si>
  <si>
    <t>=B1636</t>
  </si>
  <si>
    <t>=SUM(F1632:F1636)</t>
  </si>
  <si>
    <t>=SUM(G1632:G1636)</t>
  </si>
  <si>
    <t>=SUM(H1632:H1636)</t>
  </si>
  <si>
    <t>=SUM(I1632:I1636)</t>
  </si>
  <si>
    <t>=SUM(J1632:J1636)</t>
  </si>
  <si>
    <t>=IF(K1638=0,"hide","")</t>
  </si>
  <si>
    <t>="19101"</t>
  </si>
  <si>
    <t>=NL("rows","Production BOM Version","Version Code","Production BOM No.",D1638,"status","certified")</t>
  </si>
  <si>
    <t>=NL("sum","Item Ledger Entry","Quantity","Item No.",$D1638,"Entry Type","Sale|Consumption","posting date","01/01/19..12/31/19")/-12</t>
  </si>
  <si>
    <t>=NL("sum","Item Ledger Entry","Quantity","Item No.",$D1638,"Entry Type","Sale|Consumption","posting date","01/01/20..12/31/20")/-12</t>
  </si>
  <si>
    <t>=NL("sum","Item Ledger Entry","Quantity","Item No.",$D1638,"Entry Type","Sale|Consumption","posting date","01/01/21..12/31/21")/-12</t>
  </si>
  <si>
    <t>=NL("sum","Item Ledger Entry","Quantity","Item No.",$D1638,"Entry Type","Sale|Consumption","posting date","01/01/22..12/31/22")/-12</t>
  </si>
  <si>
    <t>=NL("sum","Item Ledger Entry","Quantity","Item No.",$D1638,"Entry Type","Sale|Consumption","posting date","01/01/23..12/31/23")/$J$7</t>
  </si>
  <si>
    <t>=AVERAGE(I1638:J1638)</t>
  </si>
  <si>
    <t>=NL(1,"item",L$9,"no.",D1638)</t>
  </si>
  <si>
    <t>=NL(1,"item",M$9,"no.",$D1638)</t>
  </si>
  <si>
    <t>=NL(1,"item","Units Per Parcel","no.",$D1638)</t>
  </si>
  <si>
    <t>=NL(1,"Prod. BOM Equipment","Fixed Prod. Time (Hours)","Production BOM No.",$D1638,"version code",$E1638,"Resource No.",O$9)</t>
  </si>
  <si>
    <t>=1/O1638</t>
  </si>
  <si>
    <t>=IF(NL(1,"Prod. BOM Equipment","Variable Prod. Time (Hours)","Production BOM No.",$D1638,"version code",$E1638,"Resource No.",$O$9)="",1,NL(1,"Prod. BOM Equipment","Variable Prod. Time (Hours)","Production BOM No.",$D1638,"version code",$E1638,"Resource No.",$O$9))</t>
  </si>
  <si>
    <t>=1/Q1638</t>
  </si>
  <si>
    <t>=R1638*N1638</t>
  </si>
  <si>
    <t>=IF(K1639=0,"hide","")</t>
  </si>
  <si>
    <t>=D1638</t>
  </si>
  <si>
    <t>=NL("sum","Production Order","Quantity","Source No.",$D1639,"Equipment Code",$L1639,"due date",F$8)/-12</t>
  </si>
  <si>
    <t>=NL("sum","Production Order","Quantity","Source No.",$D1639,"Equipment Code",$L1639,"due date",G$8)/-12</t>
  </si>
  <si>
    <t>=NL("sum","Production Order","Quantity","Source No.",$D1639,"Equipment Code",$L1639,"due date",H$8)/-12</t>
  </si>
  <si>
    <t>=NL("sum","Production Order","Quantity","Source No.",$D1639,"Equipment Code",$L1639,"due date",I$8)/-12</t>
  </si>
  <si>
    <t>=NL("sum","Production Order","Quantity","Source No.",$D1639,"Equipment Code",$L1639,"due date",J$8)/$J$7</t>
  </si>
  <si>
    <t>=AVERAGE(I1639:J1639)</t>
  </si>
  <si>
    <t>=IF(K1640=0,"hide","")</t>
  </si>
  <si>
    <t>=D1639</t>
  </si>
  <si>
    <t>=NL("sum","Production Order","Quantity","Source No.",$D1640,"Equipment Code",$L1640,"due date",F$8)/-12</t>
  </si>
  <si>
    <t>=NL("sum","Production Order","Quantity","Source No.",$D1640,"Equipment Code",$L1640,"due date",G$8)/-12</t>
  </si>
  <si>
    <t>=NL("sum","Production Order","Quantity","Source No.",$D1640,"Equipment Code",$L1640,"due date",H$8)/-12</t>
  </si>
  <si>
    <t>=NL("sum","Production Order","Quantity","Source No.",$D1640,"Equipment Code",$L1640,"due date",I$8)/-12</t>
  </si>
  <si>
    <t>=NL("sum","Production Order","Quantity","Source No.",$D1640,"Equipment Code",$L1640,"due date",J$8)/$J$7</t>
  </si>
  <si>
    <t>=AVERAGE(I1640:J1640)</t>
  </si>
  <si>
    <t>=IF(K1641=0,"hide","")</t>
  </si>
  <si>
    <t>=D1640</t>
  </si>
  <si>
    <t>=NL("sum","Production Order","Quantity","Source No.",$D1641,"Equipment Code",$L1641,"due date",F$8)/-12</t>
  </si>
  <si>
    <t>=NL("sum","Production Order","Quantity","Source No.",$D1641,"Equipment Code",$L1641,"due date",G$8)/-12</t>
  </si>
  <si>
    <t>=NL("sum","Production Order","Quantity","Source No.",$D1641,"Equipment Code",$L1641,"due date",H$8)/-12</t>
  </si>
  <si>
    <t>=NL("sum","Production Order","Quantity","Source No.",$D1641,"Equipment Code",$L1641,"due date",I$8)/-12</t>
  </si>
  <si>
    <t>=NL("sum","Production Order","Quantity","Source No.",$D1641,"Equipment Code",$L1641,"due date",J$8)/$J$7</t>
  </si>
  <si>
    <t>=AVERAGE(I1641:J1641)</t>
  </si>
  <si>
    <t>=IF(K1642=0,"hide","")</t>
  </si>
  <si>
    <t>=D1641</t>
  </si>
  <si>
    <t>=NL("sum","Production Order","Quantity","Source No.",$D1642,"Equipment Code",$L1642,"due date",F$8)/-12</t>
  </si>
  <si>
    <t>=NL("sum","Production Order","Quantity","Source No.",$D1642,"Equipment Code",$L1642,"due date",G$8)/-12</t>
  </si>
  <si>
    <t>=NL("sum","Production Order","Quantity","Source No.",$D1642,"Equipment Code",$L1642,"due date",H$8)/-12</t>
  </si>
  <si>
    <t>=NL("sum","Production Order","Quantity","Source No.",$D1642,"Equipment Code",$L1642,"due date",I$8)/-12</t>
  </si>
  <si>
    <t>=NL("sum","Production Order","Quantity","Source No.",$D1642,"Equipment Code",$L1642,"due date",J$8)/$J$7</t>
  </si>
  <si>
    <t>=AVERAGE(I1642:J1642)</t>
  </si>
  <si>
    <t>=B1639</t>
  </si>
  <si>
    <t>=B1643</t>
  </si>
  <si>
    <t>=SUM(F1639:F1643)</t>
  </si>
  <si>
    <t>=SUM(G1639:G1643)</t>
  </si>
  <si>
    <t>=SUM(H1639:H1643)</t>
  </si>
  <si>
    <t>=SUM(I1639:I1643)</t>
  </si>
  <si>
    <t>=SUM(J1639:J1643)</t>
  </si>
  <si>
    <t>=IF(K1645=0,"hide","")</t>
  </si>
  <si>
    <t>="19105"</t>
  </si>
  <si>
    <t>=NL("rows","Production BOM Version","Version Code","Production BOM No.",D1645,"status","certified")</t>
  </si>
  <si>
    <t>=NL("sum","Item Ledger Entry","Quantity","Item No.",$D1645,"Entry Type","Sale|Consumption","posting date","01/01/19..12/31/19")/-12</t>
  </si>
  <si>
    <t>=NL("sum","Item Ledger Entry","Quantity","Item No.",$D1645,"Entry Type","Sale|Consumption","posting date","01/01/20..12/31/20")/-12</t>
  </si>
  <si>
    <t>=NL("sum","Item Ledger Entry","Quantity","Item No.",$D1645,"Entry Type","Sale|Consumption","posting date","01/01/21..12/31/21")/-12</t>
  </si>
  <si>
    <t>=NL("sum","Item Ledger Entry","Quantity","Item No.",$D1645,"Entry Type","Sale|Consumption","posting date","01/01/22..12/31/22")/-12</t>
  </si>
  <si>
    <t>=NL("sum","Item Ledger Entry","Quantity","Item No.",$D1645,"Entry Type","Sale|Consumption","posting date","01/01/23..12/31/23")/$J$7</t>
  </si>
  <si>
    <t>=AVERAGE(I1645:J1645)</t>
  </si>
  <si>
    <t>=NL(1,"item",L$9,"no.",D1645)</t>
  </si>
  <si>
    <t>=NL(1,"item",M$9,"no.",$D1645)</t>
  </si>
  <si>
    <t>=NL(1,"item","Units Per Parcel","no.",$D1645)</t>
  </si>
  <si>
    <t>=NL(1,"Prod. BOM Equipment","Fixed Prod. Time (Hours)","Production BOM No.",$D1645,"version code",$E1645,"Resource No.",O$9)</t>
  </si>
  <si>
    <t>=1/O1645</t>
  </si>
  <si>
    <t>=IF(NL(1,"Prod. BOM Equipment","Variable Prod. Time (Hours)","Production BOM No.",$D1645,"version code",$E1645,"Resource No.",$O$9)="",1,NL(1,"Prod. BOM Equipment","Variable Prod. Time (Hours)","Production BOM No.",$D1645,"version code",$E1645,"Resource No.",$O$9))</t>
  </si>
  <si>
    <t>=1/Q1645</t>
  </si>
  <si>
    <t>=R1645*N1645</t>
  </si>
  <si>
    <t>=IF(K1646=0,"hide","")</t>
  </si>
  <si>
    <t>=D1645</t>
  </si>
  <si>
    <t>=NL("sum","Production Order","Quantity","Source No.",$D1646,"Equipment Code",$L1646,"due date",F$8)/-12</t>
  </si>
  <si>
    <t>=NL("sum","Production Order","Quantity","Source No.",$D1646,"Equipment Code",$L1646,"due date",G$8)/-12</t>
  </si>
  <si>
    <t>=NL("sum","Production Order","Quantity","Source No.",$D1646,"Equipment Code",$L1646,"due date",H$8)/-12</t>
  </si>
  <si>
    <t>=NL("sum","Production Order","Quantity","Source No.",$D1646,"Equipment Code",$L1646,"due date",I$8)/-12</t>
  </si>
  <si>
    <t>=NL("sum","Production Order","Quantity","Source No.",$D1646,"Equipment Code",$L1646,"due date",J$8)/$J$7</t>
  </si>
  <si>
    <t>=AVERAGE(I1646:J1646)</t>
  </si>
  <si>
    <t>=IF(K1647=0,"hide","")</t>
  </si>
  <si>
    <t>=D1646</t>
  </si>
  <si>
    <t>=NL("sum","Production Order","Quantity","Source No.",$D1647,"Equipment Code",$L1647,"due date",F$8)/-12</t>
  </si>
  <si>
    <t>=NL("sum","Production Order","Quantity","Source No.",$D1647,"Equipment Code",$L1647,"due date",G$8)/-12</t>
  </si>
  <si>
    <t>=NL("sum","Production Order","Quantity","Source No.",$D1647,"Equipment Code",$L1647,"due date",H$8)/-12</t>
  </si>
  <si>
    <t>=NL("sum","Production Order","Quantity","Source No.",$D1647,"Equipment Code",$L1647,"due date",I$8)/-12</t>
  </si>
  <si>
    <t>=NL("sum","Production Order","Quantity","Source No.",$D1647,"Equipment Code",$L1647,"due date",J$8)/$J$7</t>
  </si>
  <si>
    <t>=AVERAGE(I1647:J1647)</t>
  </si>
  <si>
    <t>=IF(K1648=0,"hide","")</t>
  </si>
  <si>
    <t>=D1647</t>
  </si>
  <si>
    <t>=NL("sum","Production Order","Quantity","Source No.",$D1648,"Equipment Code",$L1648,"due date",F$8)/-12</t>
  </si>
  <si>
    <t>=NL("sum","Production Order","Quantity","Source No.",$D1648,"Equipment Code",$L1648,"due date",G$8)/-12</t>
  </si>
  <si>
    <t>=NL("sum","Production Order","Quantity","Source No.",$D1648,"Equipment Code",$L1648,"due date",H$8)/-12</t>
  </si>
  <si>
    <t>=NL("sum","Production Order","Quantity","Source No.",$D1648,"Equipment Code",$L1648,"due date",I$8)/-12</t>
  </si>
  <si>
    <t>=NL("sum","Production Order","Quantity","Source No.",$D1648,"Equipment Code",$L1648,"due date",J$8)/$J$7</t>
  </si>
  <si>
    <t>=AVERAGE(I1648:J1648)</t>
  </si>
  <si>
    <t>=IF(K1649=0,"hide","")</t>
  </si>
  <si>
    <t>=D1648</t>
  </si>
  <si>
    <t>=NL("sum","Production Order","Quantity","Source No.",$D1649,"Equipment Code",$L1649,"due date",F$8)/-12</t>
  </si>
  <si>
    <t>=NL("sum","Production Order","Quantity","Source No.",$D1649,"Equipment Code",$L1649,"due date",G$8)/-12</t>
  </si>
  <si>
    <t>=NL("sum","Production Order","Quantity","Source No.",$D1649,"Equipment Code",$L1649,"due date",H$8)/-12</t>
  </si>
  <si>
    <t>=NL("sum","Production Order","Quantity","Source No.",$D1649,"Equipment Code",$L1649,"due date",I$8)/-12</t>
  </si>
  <si>
    <t>=NL("sum","Production Order","Quantity","Source No.",$D1649,"Equipment Code",$L1649,"due date",J$8)/$J$7</t>
  </si>
  <si>
    <t>=AVERAGE(I1649:J1649)</t>
  </si>
  <si>
    <t>=B1646</t>
  </si>
  <si>
    <t>=B1650</t>
  </si>
  <si>
    <t>=SUM(F1646:F1650)</t>
  </si>
  <si>
    <t>=SUM(G1646:G1650)</t>
  </si>
  <si>
    <t>=SUM(H1646:H1650)</t>
  </si>
  <si>
    <t>=SUM(I1646:I1650)</t>
  </si>
  <si>
    <t>=SUM(J1646:J1650)</t>
  </si>
  <si>
    <t>=IF(K1652=0,"hide","")</t>
  </si>
  <si>
    <t>="19106"</t>
  </si>
  <si>
    <t>=NL("rows","Production BOM Version","Version Code","Production BOM No.",D1652,"status","certified")</t>
  </si>
  <si>
    <t>=NL("sum","Item Ledger Entry","Quantity","Item No.",$D1652,"Entry Type","Sale|Consumption","posting date","01/01/19..12/31/19")/-12</t>
  </si>
  <si>
    <t>=NL("sum","Item Ledger Entry","Quantity","Item No.",$D1652,"Entry Type","Sale|Consumption","posting date","01/01/20..12/31/20")/-12</t>
  </si>
  <si>
    <t>=NL("sum","Item Ledger Entry","Quantity","Item No.",$D1652,"Entry Type","Sale|Consumption","posting date","01/01/21..12/31/21")/-12</t>
  </si>
  <si>
    <t>=NL("sum","Item Ledger Entry","Quantity","Item No.",$D1652,"Entry Type","Sale|Consumption","posting date","01/01/22..12/31/22")/-12</t>
  </si>
  <si>
    <t>=NL("sum","Item Ledger Entry","Quantity","Item No.",$D1652,"Entry Type","Sale|Consumption","posting date","01/01/23..12/31/23")/$J$7</t>
  </si>
  <si>
    <t>=AVERAGE(I1652:J1652)</t>
  </si>
  <si>
    <t>=NL(1,"item",L$9,"no.",D1652)</t>
  </si>
  <si>
    <t>=NL(1,"item",M$9,"no.",$D1652)</t>
  </si>
  <si>
    <t>=NL(1,"item","Units Per Parcel","no.",$D1652)</t>
  </si>
  <si>
    <t>=NL(1,"Prod. BOM Equipment","Fixed Prod. Time (Hours)","Production BOM No.",$D1652,"version code",$E1652,"Resource No.",O$9)</t>
  </si>
  <si>
    <t>=1/O1652</t>
  </si>
  <si>
    <t>=IF(NL(1,"Prod. BOM Equipment","Variable Prod. Time (Hours)","Production BOM No.",$D1652,"version code",$E1652,"Resource No.",$O$9)="",1,NL(1,"Prod. BOM Equipment","Variable Prod. Time (Hours)","Production BOM No.",$D1652,"version code",$E1652,"Resource No.",$O$9))</t>
  </si>
  <si>
    <t>=1/Q1652</t>
  </si>
  <si>
    <t>=R1652*N1652</t>
  </si>
  <si>
    <t>=IF(K1653=0,"hide","")</t>
  </si>
  <si>
    <t>=D1652</t>
  </si>
  <si>
    <t>=NL("sum","Production Order","Quantity","Source No.",$D1653,"Equipment Code",$L1653,"due date",F$8)/-12</t>
  </si>
  <si>
    <t>=NL("sum","Production Order","Quantity","Source No.",$D1653,"Equipment Code",$L1653,"due date",G$8)/-12</t>
  </si>
  <si>
    <t>=NL("sum","Production Order","Quantity","Source No.",$D1653,"Equipment Code",$L1653,"due date",H$8)/-12</t>
  </si>
  <si>
    <t>=NL("sum","Production Order","Quantity","Source No.",$D1653,"Equipment Code",$L1653,"due date",I$8)/-12</t>
  </si>
  <si>
    <t>=NL("sum","Production Order","Quantity","Source No.",$D1653,"Equipment Code",$L1653,"due date",J$8)/$J$7</t>
  </si>
  <si>
    <t>=AVERAGE(I1653:J1653)</t>
  </si>
  <si>
    <t>=IF(K1654=0,"hide","")</t>
  </si>
  <si>
    <t>=D1653</t>
  </si>
  <si>
    <t>=NL("sum","Production Order","Quantity","Source No.",$D1654,"Equipment Code",$L1654,"due date",F$8)/-12</t>
  </si>
  <si>
    <t>=NL("sum","Production Order","Quantity","Source No.",$D1654,"Equipment Code",$L1654,"due date",G$8)/-12</t>
  </si>
  <si>
    <t>=NL("sum","Production Order","Quantity","Source No.",$D1654,"Equipment Code",$L1654,"due date",H$8)/-12</t>
  </si>
  <si>
    <t>=NL("sum","Production Order","Quantity","Source No.",$D1654,"Equipment Code",$L1654,"due date",I$8)/-12</t>
  </si>
  <si>
    <t>=NL("sum","Production Order","Quantity","Source No.",$D1654,"Equipment Code",$L1654,"due date",J$8)/$J$7</t>
  </si>
  <si>
    <t>=AVERAGE(I1654:J1654)</t>
  </si>
  <si>
    <t>=IF(K1655=0,"hide","")</t>
  </si>
  <si>
    <t>=D1654</t>
  </si>
  <si>
    <t>=NL("sum","Production Order","Quantity","Source No.",$D1655,"Equipment Code",$L1655,"due date",F$8)/-12</t>
  </si>
  <si>
    <t>=NL("sum","Production Order","Quantity","Source No.",$D1655,"Equipment Code",$L1655,"due date",G$8)/-12</t>
  </si>
  <si>
    <t>=NL("sum","Production Order","Quantity","Source No.",$D1655,"Equipment Code",$L1655,"due date",H$8)/-12</t>
  </si>
  <si>
    <t>=NL("sum","Production Order","Quantity","Source No.",$D1655,"Equipment Code",$L1655,"due date",I$8)/-12</t>
  </si>
  <si>
    <t>=NL("sum","Production Order","Quantity","Source No.",$D1655,"Equipment Code",$L1655,"due date",J$8)/$J$7</t>
  </si>
  <si>
    <t>=AVERAGE(I1655:J1655)</t>
  </si>
  <si>
    <t>=IF(K1656=0,"hide","")</t>
  </si>
  <si>
    <t>=D1655</t>
  </si>
  <si>
    <t>=NL("sum","Production Order","Quantity","Source No.",$D1656,"Equipment Code",$L1656,"due date",F$8)/-12</t>
  </si>
  <si>
    <t>=NL("sum","Production Order","Quantity","Source No.",$D1656,"Equipment Code",$L1656,"due date",G$8)/-12</t>
  </si>
  <si>
    <t>=NL("sum","Production Order","Quantity","Source No.",$D1656,"Equipment Code",$L1656,"due date",H$8)/-12</t>
  </si>
  <si>
    <t>=NL("sum","Production Order","Quantity","Source No.",$D1656,"Equipment Code",$L1656,"due date",I$8)/-12</t>
  </si>
  <si>
    <t>=NL("sum","Production Order","Quantity","Source No.",$D1656,"Equipment Code",$L1656,"due date",J$8)/$J$7</t>
  </si>
  <si>
    <t>=AVERAGE(I1656:J1656)</t>
  </si>
  <si>
    <t>=B1653</t>
  </si>
  <si>
    <t>=B1657</t>
  </si>
  <si>
    <t>=SUM(F1653:F1657)</t>
  </si>
  <si>
    <t>=SUM(G1653:G1657)</t>
  </si>
  <si>
    <t>=SUM(H1653:H1657)</t>
  </si>
  <si>
    <t>=SUM(I1653:I1657)</t>
  </si>
  <si>
    <t>=SUM(J1653:J1657)</t>
  </si>
  <si>
    <t>=IF(K1659=0,"hide","")</t>
  </si>
  <si>
    <t>="19107"</t>
  </si>
  <si>
    <t>=NL("rows","Production BOM Version","Version Code","Production BOM No.",D1659,"status","certified")</t>
  </si>
  <si>
    <t>=NL("sum","Item Ledger Entry","Quantity","Item No.",$D1659,"Entry Type","Sale|Consumption","posting date","01/01/19..12/31/19")/-12</t>
  </si>
  <si>
    <t>=NL("sum","Item Ledger Entry","Quantity","Item No.",$D1659,"Entry Type","Sale|Consumption","posting date","01/01/20..12/31/20")/-12</t>
  </si>
  <si>
    <t>=NL("sum","Item Ledger Entry","Quantity","Item No.",$D1659,"Entry Type","Sale|Consumption","posting date","01/01/21..12/31/21")/-12</t>
  </si>
  <si>
    <t>=NL("sum","Item Ledger Entry","Quantity","Item No.",$D1659,"Entry Type","Sale|Consumption","posting date","01/01/22..12/31/22")/-12</t>
  </si>
  <si>
    <t>=NL("sum","Item Ledger Entry","Quantity","Item No.",$D1659,"Entry Type","Sale|Consumption","posting date","01/01/23..12/31/23")/$J$7</t>
  </si>
  <si>
    <t>=AVERAGE(I1659:J1659)</t>
  </si>
  <si>
    <t>=NL(1,"item",L$9,"no.",D1659)</t>
  </si>
  <si>
    <t>=NL(1,"item",M$9,"no.",$D1659)</t>
  </si>
  <si>
    <t>=NL(1,"item","Units Per Parcel","no.",$D1659)</t>
  </si>
  <si>
    <t>=NL(1,"Prod. BOM Equipment","Fixed Prod. Time (Hours)","Production BOM No.",$D1659,"version code",$E1659,"Resource No.",O$9)</t>
  </si>
  <si>
    <t>=1/O1659</t>
  </si>
  <si>
    <t>=IF(NL(1,"Prod. BOM Equipment","Variable Prod. Time (Hours)","Production BOM No.",$D1659,"version code",$E1659,"Resource No.",$O$9)="",1,NL(1,"Prod. BOM Equipment","Variable Prod. Time (Hours)","Production BOM No.",$D1659,"version code",$E1659,"Resource No.",$O$9))</t>
  </si>
  <si>
    <t>=1/Q1659</t>
  </si>
  <si>
    <t>=R1659*N1659</t>
  </si>
  <si>
    <t>=IF(K1660=0,"hide","")</t>
  </si>
  <si>
    <t>=D1659</t>
  </si>
  <si>
    <t>=NL("sum","Production Order","Quantity","Source No.",$D1660,"Equipment Code",$L1660,"due date",F$8)/-12</t>
  </si>
  <si>
    <t>=NL("sum","Production Order","Quantity","Source No.",$D1660,"Equipment Code",$L1660,"due date",G$8)/-12</t>
  </si>
  <si>
    <t>=NL("sum","Production Order","Quantity","Source No.",$D1660,"Equipment Code",$L1660,"due date",H$8)/-12</t>
  </si>
  <si>
    <t>=NL("sum","Production Order","Quantity","Source No.",$D1660,"Equipment Code",$L1660,"due date",I$8)/-12</t>
  </si>
  <si>
    <t>=NL("sum","Production Order","Quantity","Source No.",$D1660,"Equipment Code",$L1660,"due date",J$8)/$J$7</t>
  </si>
  <si>
    <t>=AVERAGE(I1660:J1660)</t>
  </si>
  <si>
    <t>=IF(K1661=0,"hide","")</t>
  </si>
  <si>
    <t>=D1660</t>
  </si>
  <si>
    <t>=NL("sum","Production Order","Quantity","Source No.",$D1661,"Equipment Code",$L1661,"due date",F$8)/-12</t>
  </si>
  <si>
    <t>=NL("sum","Production Order","Quantity","Source No.",$D1661,"Equipment Code",$L1661,"due date",G$8)/-12</t>
  </si>
  <si>
    <t>=NL("sum","Production Order","Quantity","Source No.",$D1661,"Equipment Code",$L1661,"due date",H$8)/-12</t>
  </si>
  <si>
    <t>=NL("sum","Production Order","Quantity","Source No.",$D1661,"Equipment Code",$L1661,"due date",I$8)/-12</t>
  </si>
  <si>
    <t>=NL("sum","Production Order","Quantity","Source No.",$D1661,"Equipment Code",$L1661,"due date",J$8)/$J$7</t>
  </si>
  <si>
    <t>=AVERAGE(I1661:J1661)</t>
  </si>
  <si>
    <t>=IF(K1662=0,"hide","")</t>
  </si>
  <si>
    <t>=D1661</t>
  </si>
  <si>
    <t>=NL("sum","Production Order","Quantity","Source No.",$D1662,"Equipment Code",$L1662,"due date",F$8)/-12</t>
  </si>
  <si>
    <t>=NL("sum","Production Order","Quantity","Source No.",$D1662,"Equipment Code",$L1662,"due date",G$8)/-12</t>
  </si>
  <si>
    <t>=NL("sum","Production Order","Quantity","Source No.",$D1662,"Equipment Code",$L1662,"due date",H$8)/-12</t>
  </si>
  <si>
    <t>=NL("sum","Production Order","Quantity","Source No.",$D1662,"Equipment Code",$L1662,"due date",I$8)/-12</t>
  </si>
  <si>
    <t>=NL("sum","Production Order","Quantity","Source No.",$D1662,"Equipment Code",$L1662,"due date",J$8)/$J$7</t>
  </si>
  <si>
    <t>=AVERAGE(I1662:J1662)</t>
  </si>
  <si>
    <t>=IF(K1663=0,"hide","")</t>
  </si>
  <si>
    <t>=D1662</t>
  </si>
  <si>
    <t>=NL("sum","Production Order","Quantity","Source No.",$D1663,"Equipment Code",$L1663,"due date",F$8)/-12</t>
  </si>
  <si>
    <t>=NL("sum","Production Order","Quantity","Source No.",$D1663,"Equipment Code",$L1663,"due date",G$8)/-12</t>
  </si>
  <si>
    <t>=NL("sum","Production Order","Quantity","Source No.",$D1663,"Equipment Code",$L1663,"due date",H$8)/-12</t>
  </si>
  <si>
    <t>=NL("sum","Production Order","Quantity","Source No.",$D1663,"Equipment Code",$L1663,"due date",I$8)/-12</t>
  </si>
  <si>
    <t>=NL("sum","Production Order","Quantity","Source No.",$D1663,"Equipment Code",$L1663,"due date",J$8)/$J$7</t>
  </si>
  <si>
    <t>=AVERAGE(I1663:J1663)</t>
  </si>
  <si>
    <t>=B1660</t>
  </si>
  <si>
    <t>=B1664</t>
  </si>
  <si>
    <t>=SUM(F1660:F1664)</t>
  </si>
  <si>
    <t>=SUM(G1660:G1664)</t>
  </si>
  <si>
    <t>=SUM(H1660:H1664)</t>
  </si>
  <si>
    <t>=SUM(I1660:I1664)</t>
  </si>
  <si>
    <t>=SUM(J1660:J1664)</t>
  </si>
  <si>
    <t>=IF(K1666=0,"hide","")</t>
  </si>
  <si>
    <t>="19112"</t>
  </si>
  <si>
    <t>=NL("rows","Production BOM Version","Version Code","Production BOM No.",D1666,"status","certified")</t>
  </si>
  <si>
    <t>=NL("sum","Item Ledger Entry","Quantity","Item No.",$D1666,"Entry Type","Sale|Consumption","posting date","01/01/19..12/31/19")/-12</t>
  </si>
  <si>
    <t>=NL("sum","Item Ledger Entry","Quantity","Item No.",$D1666,"Entry Type","Sale|Consumption","posting date","01/01/20..12/31/20")/-12</t>
  </si>
  <si>
    <t>=NL("sum","Item Ledger Entry","Quantity","Item No.",$D1666,"Entry Type","Sale|Consumption","posting date","01/01/21..12/31/21")/-12</t>
  </si>
  <si>
    <t>=NL("sum","Item Ledger Entry","Quantity","Item No.",$D1666,"Entry Type","Sale|Consumption","posting date","01/01/22..12/31/22")/-12</t>
  </si>
  <si>
    <t>=NL("sum","Item Ledger Entry","Quantity","Item No.",$D1666,"Entry Type","Sale|Consumption","posting date","01/01/23..12/31/23")/$J$7</t>
  </si>
  <si>
    <t>=AVERAGE(I1666:J1666)</t>
  </si>
  <si>
    <t>=NL(1,"item",L$9,"no.",D1666)</t>
  </si>
  <si>
    <t>=NL(1,"item",M$9,"no.",$D1666)</t>
  </si>
  <si>
    <t>=NL(1,"item","Units Per Parcel","no.",$D1666)</t>
  </si>
  <si>
    <t>=NL(1,"Prod. BOM Equipment","Fixed Prod. Time (Hours)","Production BOM No.",$D1666,"version code",$E1666,"Resource No.",O$9)</t>
  </si>
  <si>
    <t>=1/O1666</t>
  </si>
  <si>
    <t>=IF(NL(1,"Prod. BOM Equipment","Variable Prod. Time (Hours)","Production BOM No.",$D1666,"version code",$E1666,"Resource No.",$O$9)="",1,NL(1,"Prod. BOM Equipment","Variable Prod. Time (Hours)","Production BOM No.",$D1666,"version code",$E1666,"Resource No.",$O$9))</t>
  </si>
  <si>
    <t>=1/Q1666</t>
  </si>
  <si>
    <t>=R1666*N1666</t>
  </si>
  <si>
    <t>=IF(K1667=0,"hide","")</t>
  </si>
  <si>
    <t>=D1666</t>
  </si>
  <si>
    <t>=NL("sum","Production Order","Quantity","Source No.",$D1667,"Equipment Code",$L1667,"due date",F$8)/-12</t>
  </si>
  <si>
    <t>=NL("sum","Production Order","Quantity","Source No.",$D1667,"Equipment Code",$L1667,"due date",G$8)/-12</t>
  </si>
  <si>
    <t>=NL("sum","Production Order","Quantity","Source No.",$D1667,"Equipment Code",$L1667,"due date",H$8)/-12</t>
  </si>
  <si>
    <t>=NL("sum","Production Order","Quantity","Source No.",$D1667,"Equipment Code",$L1667,"due date",I$8)/-12</t>
  </si>
  <si>
    <t>=NL("sum","Production Order","Quantity","Source No.",$D1667,"Equipment Code",$L1667,"due date",J$8)/$J$7</t>
  </si>
  <si>
    <t>=AVERAGE(I1667:J1667)</t>
  </si>
  <si>
    <t>=IF(K1668=0,"hide","")</t>
  </si>
  <si>
    <t>=D1667</t>
  </si>
  <si>
    <t>=NL("sum","Production Order","Quantity","Source No.",$D1668,"Equipment Code",$L1668,"due date",F$8)/-12</t>
  </si>
  <si>
    <t>=NL("sum","Production Order","Quantity","Source No.",$D1668,"Equipment Code",$L1668,"due date",G$8)/-12</t>
  </si>
  <si>
    <t>=NL("sum","Production Order","Quantity","Source No.",$D1668,"Equipment Code",$L1668,"due date",H$8)/-12</t>
  </si>
  <si>
    <t>=NL("sum","Production Order","Quantity","Source No.",$D1668,"Equipment Code",$L1668,"due date",I$8)/-12</t>
  </si>
  <si>
    <t>=NL("sum","Production Order","Quantity","Source No.",$D1668,"Equipment Code",$L1668,"due date",J$8)/$J$7</t>
  </si>
  <si>
    <t>=AVERAGE(I1668:J1668)</t>
  </si>
  <si>
    <t>=IF(K1669=0,"hide","")</t>
  </si>
  <si>
    <t>=D1668</t>
  </si>
  <si>
    <t>=NL("sum","Production Order","Quantity","Source No.",$D1669,"Equipment Code",$L1669,"due date",F$8)/-12</t>
  </si>
  <si>
    <t>=NL("sum","Production Order","Quantity","Source No.",$D1669,"Equipment Code",$L1669,"due date",G$8)/-12</t>
  </si>
  <si>
    <t>=NL("sum","Production Order","Quantity","Source No.",$D1669,"Equipment Code",$L1669,"due date",H$8)/-12</t>
  </si>
  <si>
    <t>=NL("sum","Production Order","Quantity","Source No.",$D1669,"Equipment Code",$L1669,"due date",I$8)/-12</t>
  </si>
  <si>
    <t>=NL("sum","Production Order","Quantity","Source No.",$D1669,"Equipment Code",$L1669,"due date",J$8)/$J$7</t>
  </si>
  <si>
    <t>=AVERAGE(I1669:J1669)</t>
  </si>
  <si>
    <t>=IF(K1670=0,"hide","")</t>
  </si>
  <si>
    <t>=D1669</t>
  </si>
  <si>
    <t>=NL("sum","Production Order","Quantity","Source No.",$D1670,"Equipment Code",$L1670,"due date",F$8)/-12</t>
  </si>
  <si>
    <t>=NL("sum","Production Order","Quantity","Source No.",$D1670,"Equipment Code",$L1670,"due date",G$8)/-12</t>
  </si>
  <si>
    <t>=NL("sum","Production Order","Quantity","Source No.",$D1670,"Equipment Code",$L1670,"due date",H$8)/-12</t>
  </si>
  <si>
    <t>=NL("sum","Production Order","Quantity","Source No.",$D1670,"Equipment Code",$L1670,"due date",I$8)/-12</t>
  </si>
  <si>
    <t>=NL("sum","Production Order","Quantity","Source No.",$D1670,"Equipment Code",$L1670,"due date",J$8)/$J$7</t>
  </si>
  <si>
    <t>=AVERAGE(I1670:J1670)</t>
  </si>
  <si>
    <t>=B1667</t>
  </si>
  <si>
    <t>=B1671</t>
  </si>
  <si>
    <t>=SUM(F1667:F1671)</t>
  </si>
  <si>
    <t>=SUM(G1667:G1671)</t>
  </si>
  <si>
    <t>=SUM(H1667:H1671)</t>
  </si>
  <si>
    <t>=SUM(I1667:I1671)</t>
  </si>
  <si>
    <t>=SUM(J1667:J1671)</t>
  </si>
  <si>
    <t>=IF(K1673=0,"hide","")</t>
  </si>
  <si>
    <t>="20003"</t>
  </si>
  <si>
    <t>=NL("rows","Production BOM Version","Version Code","Production BOM No.",D1673,"status","certified")</t>
  </si>
  <si>
    <t>=NL("sum","Item Ledger Entry","Quantity","Item No.",$D1673,"Entry Type","Sale|Consumption","posting date","01/01/19..12/31/19")/-12</t>
  </si>
  <si>
    <t>=NL("sum","Item Ledger Entry","Quantity","Item No.",$D1673,"Entry Type","Sale|Consumption","posting date","01/01/20..12/31/20")/-12</t>
  </si>
  <si>
    <t>=NL("sum","Item Ledger Entry","Quantity","Item No.",$D1673,"Entry Type","Sale|Consumption","posting date","01/01/21..12/31/21")/-12</t>
  </si>
  <si>
    <t>=NL("sum","Item Ledger Entry","Quantity","Item No.",$D1673,"Entry Type","Sale|Consumption","posting date","01/01/22..12/31/22")/-12</t>
  </si>
  <si>
    <t>=NL("sum","Item Ledger Entry","Quantity","Item No.",$D1673,"Entry Type","Sale|Consumption","posting date","01/01/23..12/31/23")/$J$7</t>
  </si>
  <si>
    <t>=AVERAGE(I1673:J1673)</t>
  </si>
  <si>
    <t>=NL(1,"item",L$9,"no.",D1673)</t>
  </si>
  <si>
    <t>=NL(1,"item",M$9,"no.",$D1673)</t>
  </si>
  <si>
    <t>=NL(1,"item","Units Per Parcel","no.",$D1673)</t>
  </si>
  <si>
    <t>=NL(1,"Prod. BOM Equipment","Fixed Prod. Time (Hours)","Production BOM No.",$D1673,"version code",$E1673,"Resource No.",O$9)</t>
  </si>
  <si>
    <t>=1/O1673</t>
  </si>
  <si>
    <t>=IF(NL(1,"Prod. BOM Equipment","Variable Prod. Time (Hours)","Production BOM No.",$D1673,"version code",$E1673,"Resource No.",$O$9)="",1,NL(1,"Prod. BOM Equipment","Variable Prod. Time (Hours)","Production BOM No.",$D1673,"version code",$E1673,"Resource No.",$O$9))</t>
  </si>
  <si>
    <t>=1/Q1673</t>
  </si>
  <si>
    <t>=R1673*N1673</t>
  </si>
  <si>
    <t>=IF(K1674=0,"hide","")</t>
  </si>
  <si>
    <t>=D1673</t>
  </si>
  <si>
    <t>=NL("sum","Production Order","Quantity","Source No.",$D1674,"Equipment Code",$L1674,"due date",F$8)/-12</t>
  </si>
  <si>
    <t>=NL("sum","Production Order","Quantity","Source No.",$D1674,"Equipment Code",$L1674,"due date",G$8)/-12</t>
  </si>
  <si>
    <t>=NL("sum","Production Order","Quantity","Source No.",$D1674,"Equipment Code",$L1674,"due date",H$8)/-12</t>
  </si>
  <si>
    <t>=NL("sum","Production Order","Quantity","Source No.",$D1674,"Equipment Code",$L1674,"due date",I$8)/-12</t>
  </si>
  <si>
    <t>=NL("sum","Production Order","Quantity","Source No.",$D1674,"Equipment Code",$L1674,"due date",J$8)/$J$7</t>
  </si>
  <si>
    <t>=AVERAGE(I1674:J1674)</t>
  </si>
  <si>
    <t>=IF(K1675=0,"hide","")</t>
  </si>
  <si>
    <t>=D1674</t>
  </si>
  <si>
    <t>=NL("sum","Production Order","Quantity","Source No.",$D1675,"Equipment Code",$L1675,"due date",F$8)/-12</t>
  </si>
  <si>
    <t>=NL("sum","Production Order","Quantity","Source No.",$D1675,"Equipment Code",$L1675,"due date",G$8)/-12</t>
  </si>
  <si>
    <t>=NL("sum","Production Order","Quantity","Source No.",$D1675,"Equipment Code",$L1675,"due date",H$8)/-12</t>
  </si>
  <si>
    <t>=NL("sum","Production Order","Quantity","Source No.",$D1675,"Equipment Code",$L1675,"due date",I$8)/-12</t>
  </si>
  <si>
    <t>=NL("sum","Production Order","Quantity","Source No.",$D1675,"Equipment Code",$L1675,"due date",J$8)/$J$7</t>
  </si>
  <si>
    <t>=AVERAGE(I1675:J1675)</t>
  </si>
  <si>
    <t>=IF(K1676=0,"hide","")</t>
  </si>
  <si>
    <t>=D1675</t>
  </si>
  <si>
    <t>=NL("sum","Production Order","Quantity","Source No.",$D1676,"Equipment Code",$L1676,"due date",F$8)/-12</t>
  </si>
  <si>
    <t>=NL("sum","Production Order","Quantity","Source No.",$D1676,"Equipment Code",$L1676,"due date",G$8)/-12</t>
  </si>
  <si>
    <t>=NL("sum","Production Order","Quantity","Source No.",$D1676,"Equipment Code",$L1676,"due date",H$8)/-12</t>
  </si>
  <si>
    <t>=NL("sum","Production Order","Quantity","Source No.",$D1676,"Equipment Code",$L1676,"due date",I$8)/-12</t>
  </si>
  <si>
    <t>=NL("sum","Production Order","Quantity","Source No.",$D1676,"Equipment Code",$L1676,"due date",J$8)/$J$7</t>
  </si>
  <si>
    <t>=AVERAGE(I1676:J1676)</t>
  </si>
  <si>
    <t>=IF(K1677=0,"hide","")</t>
  </si>
  <si>
    <t>=D1676</t>
  </si>
  <si>
    <t>=NL("sum","Production Order","Quantity","Source No.",$D1677,"Equipment Code",$L1677,"due date",F$8)/-12</t>
  </si>
  <si>
    <t>=NL("sum","Production Order","Quantity","Source No.",$D1677,"Equipment Code",$L1677,"due date",G$8)/-12</t>
  </si>
  <si>
    <t>=NL("sum","Production Order","Quantity","Source No.",$D1677,"Equipment Code",$L1677,"due date",H$8)/-12</t>
  </si>
  <si>
    <t>=NL("sum","Production Order","Quantity","Source No.",$D1677,"Equipment Code",$L1677,"due date",I$8)/-12</t>
  </si>
  <si>
    <t>=NL("sum","Production Order","Quantity","Source No.",$D1677,"Equipment Code",$L1677,"due date",J$8)/$J$7</t>
  </si>
  <si>
    <t>=AVERAGE(I1677:J1677)</t>
  </si>
  <si>
    <t>=B1674</t>
  </si>
  <si>
    <t>=B1678</t>
  </si>
  <si>
    <t>=SUM(F1674:F1678)</t>
  </si>
  <si>
    <t>=SUM(G1674:G1678)</t>
  </si>
  <si>
    <t>=SUM(H1674:H1678)</t>
  </si>
  <si>
    <t>=SUM(I1674:I1678)</t>
  </si>
  <si>
    <t>=SUM(J1674:J1678)</t>
  </si>
  <si>
    <t>=IF(K1680=0,"hide","")</t>
  </si>
  <si>
    <t>="20006"</t>
  </si>
  <si>
    <t>=NL("rows","Production BOM Version","Version Code","Production BOM No.",D1680,"status","certified")</t>
  </si>
  <si>
    <t>=NL("sum","Item Ledger Entry","Quantity","Item No.",$D1680,"Entry Type","Sale|Consumption","posting date","01/01/19..12/31/19")/-12</t>
  </si>
  <si>
    <t>=NL("sum","Item Ledger Entry","Quantity","Item No.",$D1680,"Entry Type","Sale|Consumption","posting date","01/01/20..12/31/20")/-12</t>
  </si>
  <si>
    <t>=NL("sum","Item Ledger Entry","Quantity","Item No.",$D1680,"Entry Type","Sale|Consumption","posting date","01/01/21..12/31/21")/-12</t>
  </si>
  <si>
    <t>=NL("sum","Item Ledger Entry","Quantity","Item No.",$D1680,"Entry Type","Sale|Consumption","posting date","01/01/22..12/31/22")/-12</t>
  </si>
  <si>
    <t>=NL("sum","Item Ledger Entry","Quantity","Item No.",$D1680,"Entry Type","Sale|Consumption","posting date","01/01/23..12/31/23")/$J$7</t>
  </si>
  <si>
    <t>=AVERAGE(I1680:J1680)</t>
  </si>
  <si>
    <t>=NL(1,"item",L$9,"no.",D1680)</t>
  </si>
  <si>
    <t>=NL(1,"item",M$9,"no.",$D1680)</t>
  </si>
  <si>
    <t>=NL(1,"item","Units Per Parcel","no.",$D1680)</t>
  </si>
  <si>
    <t>=NL(1,"Prod. BOM Equipment","Fixed Prod. Time (Hours)","Production BOM No.",$D1680,"version code",$E1680,"Resource No.",O$9)</t>
  </si>
  <si>
    <t>=1/O1680</t>
  </si>
  <si>
    <t>=IF(NL(1,"Prod. BOM Equipment","Variable Prod. Time (Hours)","Production BOM No.",$D1680,"version code",$E1680,"Resource No.",$O$9)="",1,NL(1,"Prod. BOM Equipment","Variable Prod. Time (Hours)","Production BOM No.",$D1680,"version code",$E1680,"Resource No.",$O$9))</t>
  </si>
  <si>
    <t>=1/Q1680</t>
  </si>
  <si>
    <t>=R1680*N1680</t>
  </si>
  <si>
    <t>=IF(K1681=0,"hide","")</t>
  </si>
  <si>
    <t>=D1680</t>
  </si>
  <si>
    <t>=NL("sum","Production Order","Quantity","Source No.",$D1681,"Equipment Code",$L1681,"due date",F$8)/-12</t>
  </si>
  <si>
    <t>=NL("sum","Production Order","Quantity","Source No.",$D1681,"Equipment Code",$L1681,"due date",G$8)/-12</t>
  </si>
  <si>
    <t>=NL("sum","Production Order","Quantity","Source No.",$D1681,"Equipment Code",$L1681,"due date",H$8)/-12</t>
  </si>
  <si>
    <t>=NL("sum","Production Order","Quantity","Source No.",$D1681,"Equipment Code",$L1681,"due date",I$8)/-12</t>
  </si>
  <si>
    <t>=NL("sum","Production Order","Quantity","Source No.",$D1681,"Equipment Code",$L1681,"due date",J$8)/$J$7</t>
  </si>
  <si>
    <t>=AVERAGE(I1681:J1681)</t>
  </si>
  <si>
    <t>=IF(K1682=0,"hide","")</t>
  </si>
  <si>
    <t>=D1681</t>
  </si>
  <si>
    <t>=NL("sum","Production Order","Quantity","Source No.",$D1682,"Equipment Code",$L1682,"due date",F$8)/-12</t>
  </si>
  <si>
    <t>=NL("sum","Production Order","Quantity","Source No.",$D1682,"Equipment Code",$L1682,"due date",G$8)/-12</t>
  </si>
  <si>
    <t>=NL("sum","Production Order","Quantity","Source No.",$D1682,"Equipment Code",$L1682,"due date",H$8)/-12</t>
  </si>
  <si>
    <t>=NL("sum","Production Order","Quantity","Source No.",$D1682,"Equipment Code",$L1682,"due date",I$8)/-12</t>
  </si>
  <si>
    <t>=NL("sum","Production Order","Quantity","Source No.",$D1682,"Equipment Code",$L1682,"due date",J$8)/$J$7</t>
  </si>
  <si>
    <t>=AVERAGE(I1682:J1682)</t>
  </si>
  <si>
    <t>=IF(K1683=0,"hide","")</t>
  </si>
  <si>
    <t>=D1682</t>
  </si>
  <si>
    <t>=NL("sum","Production Order","Quantity","Source No.",$D1683,"Equipment Code",$L1683,"due date",F$8)/-12</t>
  </si>
  <si>
    <t>=NL("sum","Production Order","Quantity","Source No.",$D1683,"Equipment Code",$L1683,"due date",G$8)/-12</t>
  </si>
  <si>
    <t>=NL("sum","Production Order","Quantity","Source No.",$D1683,"Equipment Code",$L1683,"due date",H$8)/-12</t>
  </si>
  <si>
    <t>=NL("sum","Production Order","Quantity","Source No.",$D1683,"Equipment Code",$L1683,"due date",I$8)/-12</t>
  </si>
  <si>
    <t>=NL("sum","Production Order","Quantity","Source No.",$D1683,"Equipment Code",$L1683,"due date",J$8)/$J$7</t>
  </si>
  <si>
    <t>=AVERAGE(I1683:J1683)</t>
  </si>
  <si>
    <t>=IF(K1684=0,"hide","")</t>
  </si>
  <si>
    <t>=D1683</t>
  </si>
  <si>
    <t>=NL("sum","Production Order","Quantity","Source No.",$D1684,"Equipment Code",$L1684,"due date",F$8)/-12</t>
  </si>
  <si>
    <t>=NL("sum","Production Order","Quantity","Source No.",$D1684,"Equipment Code",$L1684,"due date",G$8)/-12</t>
  </si>
  <si>
    <t>=NL("sum","Production Order","Quantity","Source No.",$D1684,"Equipment Code",$L1684,"due date",H$8)/-12</t>
  </si>
  <si>
    <t>=NL("sum","Production Order","Quantity","Source No.",$D1684,"Equipment Code",$L1684,"due date",I$8)/-12</t>
  </si>
  <si>
    <t>=NL("sum","Production Order","Quantity","Source No.",$D1684,"Equipment Code",$L1684,"due date",J$8)/$J$7</t>
  </si>
  <si>
    <t>=AVERAGE(I1684:J1684)</t>
  </si>
  <si>
    <t>=B1681</t>
  </si>
  <si>
    <t>=B1685</t>
  </si>
  <si>
    <t>=SUM(F1681:F1685)</t>
  </si>
  <si>
    <t>=SUM(G1681:G1685)</t>
  </si>
  <si>
    <t>=SUM(H1681:H1685)</t>
  </si>
  <si>
    <t>=SUM(I1681:I1685)</t>
  </si>
  <si>
    <t>=SUM(J1681:J1685)</t>
  </si>
  <si>
    <t>=IF(K1687=0,"hide","")</t>
  </si>
  <si>
    <t>="20012"</t>
  </si>
  <si>
    <t>=NL("rows","Production BOM Version","Version Code","Production BOM No.",D1687,"status","certified")</t>
  </si>
  <si>
    <t>=NL("sum","Item Ledger Entry","Quantity","Item No.",$D1687,"Entry Type","Sale|Consumption","posting date","01/01/19..12/31/19")/-12</t>
  </si>
  <si>
    <t>=NL("sum","Item Ledger Entry","Quantity","Item No.",$D1687,"Entry Type","Sale|Consumption","posting date","01/01/20..12/31/20")/-12</t>
  </si>
  <si>
    <t>=NL("sum","Item Ledger Entry","Quantity","Item No.",$D1687,"Entry Type","Sale|Consumption","posting date","01/01/21..12/31/21")/-12</t>
  </si>
  <si>
    <t>=NL("sum","Item Ledger Entry","Quantity","Item No.",$D1687,"Entry Type","Sale|Consumption","posting date","01/01/22..12/31/22")/-12</t>
  </si>
  <si>
    <t>=NL("sum","Item Ledger Entry","Quantity","Item No.",$D1687,"Entry Type","Sale|Consumption","posting date","01/01/23..12/31/23")/$J$7</t>
  </si>
  <si>
    <t>=AVERAGE(I1687:J1687)</t>
  </si>
  <si>
    <t>=NL(1,"item",L$9,"no.",D1687)</t>
  </si>
  <si>
    <t>=NL(1,"item",M$9,"no.",$D1687)</t>
  </si>
  <si>
    <t>=NL(1,"item","Units Per Parcel","no.",$D1687)</t>
  </si>
  <si>
    <t>=NL(1,"Prod. BOM Equipment","Fixed Prod. Time (Hours)","Production BOM No.",$D1687,"version code",$E1687,"Resource No.",O$9)</t>
  </si>
  <si>
    <t>=1/O1687</t>
  </si>
  <si>
    <t>=IF(NL(1,"Prod. BOM Equipment","Variable Prod. Time (Hours)","Production BOM No.",$D1687,"version code",$E1687,"Resource No.",$O$9)="",1,NL(1,"Prod. BOM Equipment","Variable Prod. Time (Hours)","Production BOM No.",$D1687,"version code",$E1687,"Resource No.",$O$9))</t>
  </si>
  <si>
    <t>=1/Q1687</t>
  </si>
  <si>
    <t>=R1687*N1687</t>
  </si>
  <si>
    <t>=IF(K1688=0,"hide","")</t>
  </si>
  <si>
    <t>=D1687</t>
  </si>
  <si>
    <t>=NL("sum","Production Order","Quantity","Source No.",$D1688,"Equipment Code",$L1688,"due date",F$8)/-12</t>
  </si>
  <si>
    <t>=NL("sum","Production Order","Quantity","Source No.",$D1688,"Equipment Code",$L1688,"due date",G$8)/-12</t>
  </si>
  <si>
    <t>=NL("sum","Production Order","Quantity","Source No.",$D1688,"Equipment Code",$L1688,"due date",H$8)/-12</t>
  </si>
  <si>
    <t>=NL("sum","Production Order","Quantity","Source No.",$D1688,"Equipment Code",$L1688,"due date",I$8)/-12</t>
  </si>
  <si>
    <t>=NL("sum","Production Order","Quantity","Source No.",$D1688,"Equipment Code",$L1688,"due date",J$8)/$J$7</t>
  </si>
  <si>
    <t>=AVERAGE(I1688:J1688)</t>
  </si>
  <si>
    <t>=IF(K1689=0,"hide","")</t>
  </si>
  <si>
    <t>=D1688</t>
  </si>
  <si>
    <t>=NL("sum","Production Order","Quantity","Source No.",$D1689,"Equipment Code",$L1689,"due date",F$8)/-12</t>
  </si>
  <si>
    <t>=NL("sum","Production Order","Quantity","Source No.",$D1689,"Equipment Code",$L1689,"due date",G$8)/-12</t>
  </si>
  <si>
    <t>=NL("sum","Production Order","Quantity","Source No.",$D1689,"Equipment Code",$L1689,"due date",H$8)/-12</t>
  </si>
  <si>
    <t>=NL("sum","Production Order","Quantity","Source No.",$D1689,"Equipment Code",$L1689,"due date",I$8)/-12</t>
  </si>
  <si>
    <t>=NL("sum","Production Order","Quantity","Source No.",$D1689,"Equipment Code",$L1689,"due date",J$8)/$J$7</t>
  </si>
  <si>
    <t>=AVERAGE(I1689:J1689)</t>
  </si>
  <si>
    <t>=IF(K1690=0,"hide","")</t>
  </si>
  <si>
    <t>=D1689</t>
  </si>
  <si>
    <t>=NL("sum","Production Order","Quantity","Source No.",$D1690,"Equipment Code",$L1690,"due date",F$8)/-12</t>
  </si>
  <si>
    <t>=NL("sum","Production Order","Quantity","Source No.",$D1690,"Equipment Code",$L1690,"due date",G$8)/-12</t>
  </si>
  <si>
    <t>=NL("sum","Production Order","Quantity","Source No.",$D1690,"Equipment Code",$L1690,"due date",H$8)/-12</t>
  </si>
  <si>
    <t>=NL("sum","Production Order","Quantity","Source No.",$D1690,"Equipment Code",$L1690,"due date",I$8)/-12</t>
  </si>
  <si>
    <t>=NL("sum","Production Order","Quantity","Source No.",$D1690,"Equipment Code",$L1690,"due date",J$8)/$J$7</t>
  </si>
  <si>
    <t>=AVERAGE(I1690:J1690)</t>
  </si>
  <si>
    <t>=IF(K1691=0,"hide","")</t>
  </si>
  <si>
    <t>=D1690</t>
  </si>
  <si>
    <t>=NL("sum","Production Order","Quantity","Source No.",$D1691,"Equipment Code",$L1691,"due date",F$8)/-12</t>
  </si>
  <si>
    <t>=NL("sum","Production Order","Quantity","Source No.",$D1691,"Equipment Code",$L1691,"due date",G$8)/-12</t>
  </si>
  <si>
    <t>=NL("sum","Production Order","Quantity","Source No.",$D1691,"Equipment Code",$L1691,"due date",H$8)/-12</t>
  </si>
  <si>
    <t>=NL("sum","Production Order","Quantity","Source No.",$D1691,"Equipment Code",$L1691,"due date",I$8)/-12</t>
  </si>
  <si>
    <t>=NL("sum","Production Order","Quantity","Source No.",$D1691,"Equipment Code",$L1691,"due date",J$8)/$J$7</t>
  </si>
  <si>
    <t>=AVERAGE(I1691:J1691)</t>
  </si>
  <si>
    <t>=B1688</t>
  </si>
  <si>
    <t>=B1692</t>
  </si>
  <si>
    <t>=SUM(F1688:F1692)</t>
  </si>
  <si>
    <t>=SUM(G1688:G1692)</t>
  </si>
  <si>
    <t>=SUM(H1688:H1692)</t>
  </si>
  <si>
    <t>=SUM(I1688:I1692)</t>
  </si>
  <si>
    <t>=SUM(J1688:J1692)</t>
  </si>
  <si>
    <t>=IF(K1694=0,"hide","")</t>
  </si>
  <si>
    <t>=NL("rows","Production BOM Version","Version Code","Production BOM No.",D1694,"status","certified")</t>
  </si>
  <si>
    <t>=NL("sum","Item Ledger Entry","Quantity","Item No.",$D1694,"Entry Type","Sale|Consumption","posting date","01/01/19..12/31/19")/-12</t>
  </si>
  <si>
    <t>=NL("sum","Item Ledger Entry","Quantity","Item No.",$D1694,"Entry Type","Sale|Consumption","posting date","01/01/20..12/31/20")/-12</t>
  </si>
  <si>
    <t>=NL("sum","Item Ledger Entry","Quantity","Item No.",$D1694,"Entry Type","Sale|Consumption","posting date","01/01/21..12/31/21")/-12</t>
  </si>
  <si>
    <t>=NL("sum","Item Ledger Entry","Quantity","Item No.",$D1694,"Entry Type","Sale|Consumption","posting date","01/01/22..12/31/22")/-12</t>
  </si>
  <si>
    <t>=NL("sum","Item Ledger Entry","Quantity","Item No.",$D1694,"Entry Type","Sale|Consumption","posting date","01/01/23..12/31/23")/$J$7</t>
  </si>
  <si>
    <t>=AVERAGE(I1694:J1694)</t>
  </si>
  <si>
    <t>=NL(1,"item",L$9,"no.",D1694)</t>
  </si>
  <si>
    <t>=NL(1,"item",M$9,"no.",$D1694)</t>
  </si>
  <si>
    <t>=NL(1,"item","Units Per Parcel","no.",$D1694)</t>
  </si>
  <si>
    <t>=NL(1,"Prod. BOM Equipment","Fixed Prod. Time (Hours)","Production BOM No.",$D1694,"version code",$E1694,"Resource No.",O$9)</t>
  </si>
  <si>
    <t>=1/O1694</t>
  </si>
  <si>
    <t>=IF(NL(1,"Prod. BOM Equipment","Variable Prod. Time (Hours)","Production BOM No.",$D1694,"version code",$E1694,"Resource No.",$O$9)="",1,NL(1,"Prod. BOM Equipment","Variable Prod. Time (Hours)","Production BOM No.",$D1694,"version code",$E1694,"Resource No.",$O$9))</t>
  </si>
  <si>
    <t>=1/Q1694</t>
  </si>
  <si>
    <t>=R1694*N1694</t>
  </si>
  <si>
    <t>=IF(K1695=0,"hide","")</t>
  </si>
  <si>
    <t>=D1694</t>
  </si>
  <si>
    <t>=NL("sum","Production Order","Quantity","Source No.",$D1695,"Equipment Code",$L1695,"due date",F$8)/-12</t>
  </si>
  <si>
    <t>=NL("sum","Production Order","Quantity","Source No.",$D1695,"Equipment Code",$L1695,"due date",G$8)/-12</t>
  </si>
  <si>
    <t>=NL("sum","Production Order","Quantity","Source No.",$D1695,"Equipment Code",$L1695,"due date",H$8)/-12</t>
  </si>
  <si>
    <t>=NL("sum","Production Order","Quantity","Source No.",$D1695,"Equipment Code",$L1695,"due date",I$8)/-12</t>
  </si>
  <si>
    <t>=NL("sum","Production Order","Quantity","Source No.",$D1695,"Equipment Code",$L1695,"due date",J$8)/$J$7</t>
  </si>
  <si>
    <t>=AVERAGE(I1695:J1695)</t>
  </si>
  <si>
    <t>=IF(K1696=0,"hide","")</t>
  </si>
  <si>
    <t>=D1695</t>
  </si>
  <si>
    <t>=NL("sum","Production Order","Quantity","Source No.",$D1696,"Equipment Code",$L1696,"due date",F$8)/-12</t>
  </si>
  <si>
    <t>=NL("sum","Production Order","Quantity","Source No.",$D1696,"Equipment Code",$L1696,"due date",G$8)/-12</t>
  </si>
  <si>
    <t>=NL("sum","Production Order","Quantity","Source No.",$D1696,"Equipment Code",$L1696,"due date",H$8)/-12</t>
  </si>
  <si>
    <t>=NL("sum","Production Order","Quantity","Source No.",$D1696,"Equipment Code",$L1696,"due date",I$8)/-12</t>
  </si>
  <si>
    <t>=NL("sum","Production Order","Quantity","Source No.",$D1696,"Equipment Code",$L1696,"due date",J$8)/$J$7</t>
  </si>
  <si>
    <t>=AVERAGE(I1696:J1696)</t>
  </si>
  <si>
    <t>=IF(K1697=0,"hide","")</t>
  </si>
  <si>
    <t>=D1696</t>
  </si>
  <si>
    <t>=NL("sum","Production Order","Quantity","Source No.",$D1697,"Equipment Code",$L1697,"due date",F$8)/-12</t>
  </si>
  <si>
    <t>=NL("sum","Production Order","Quantity","Source No.",$D1697,"Equipment Code",$L1697,"due date",G$8)/-12</t>
  </si>
  <si>
    <t>=NL("sum","Production Order","Quantity","Source No.",$D1697,"Equipment Code",$L1697,"due date",H$8)/-12</t>
  </si>
  <si>
    <t>=NL("sum","Production Order","Quantity","Source No.",$D1697,"Equipment Code",$L1697,"due date",I$8)/-12</t>
  </si>
  <si>
    <t>=NL("sum","Production Order","Quantity","Source No.",$D1697,"Equipment Code",$L1697,"due date",J$8)/$J$7</t>
  </si>
  <si>
    <t>=AVERAGE(I1697:J1697)</t>
  </si>
  <si>
    <t>=IF(K1698=0,"hide","")</t>
  </si>
  <si>
    <t>=D1697</t>
  </si>
  <si>
    <t>=NL("sum","Production Order","Quantity","Source No.",$D1698,"Equipment Code",$L1698,"due date",F$8)/-12</t>
  </si>
  <si>
    <t>=NL("sum","Production Order","Quantity","Source No.",$D1698,"Equipment Code",$L1698,"due date",G$8)/-12</t>
  </si>
  <si>
    <t>=NL("sum","Production Order","Quantity","Source No.",$D1698,"Equipment Code",$L1698,"due date",H$8)/-12</t>
  </si>
  <si>
    <t>=NL("sum","Production Order","Quantity","Source No.",$D1698,"Equipment Code",$L1698,"due date",I$8)/-12</t>
  </si>
  <si>
    <t>=NL("sum","Production Order","Quantity","Source No.",$D1698,"Equipment Code",$L1698,"due date",J$8)/$J$7</t>
  </si>
  <si>
    <t>=AVERAGE(I1698:J1698)</t>
  </si>
  <si>
    <t>=B1695</t>
  </si>
  <si>
    <t>=B1699</t>
  </si>
  <si>
    <t>=SUM(F1695:F1699)</t>
  </si>
  <si>
    <t>=SUM(G1695:G1699)</t>
  </si>
  <si>
    <t>=SUM(H1695:H1699)</t>
  </si>
  <si>
    <t>=SUM(I1695:I1699)</t>
  </si>
  <si>
    <t>=SUM(J1695:J1699)</t>
  </si>
  <si>
    <t>=IF(K1701=0,"hide","")</t>
  </si>
  <si>
    <t>="20102"</t>
  </si>
  <si>
    <t>=NL("rows","Production BOM Version","Version Code","Production BOM No.",D1701,"status","certified")</t>
  </si>
  <si>
    <t>=NL("sum","Item Ledger Entry","Quantity","Item No.",$D1701,"Entry Type","Sale|Consumption","posting date","01/01/19..12/31/19")/-12</t>
  </si>
  <si>
    <t>=NL("sum","Item Ledger Entry","Quantity","Item No.",$D1701,"Entry Type","Sale|Consumption","posting date","01/01/20..12/31/20")/-12</t>
  </si>
  <si>
    <t>=NL("sum","Item Ledger Entry","Quantity","Item No.",$D1701,"Entry Type","Sale|Consumption","posting date","01/01/21..12/31/21")/-12</t>
  </si>
  <si>
    <t>=NL("sum","Item Ledger Entry","Quantity","Item No.",$D1701,"Entry Type","Sale|Consumption","posting date","01/01/22..12/31/22")/-12</t>
  </si>
  <si>
    <t>=NL("sum","Item Ledger Entry","Quantity","Item No.",$D1701,"Entry Type","Sale|Consumption","posting date","01/01/23..12/31/23")/$J$7</t>
  </si>
  <si>
    <t>=AVERAGE(I1701:J1701)</t>
  </si>
  <si>
    <t>=NL(1,"item",L$9,"no.",D1701)</t>
  </si>
  <si>
    <t>=NL(1,"item",M$9,"no.",$D1701)</t>
  </si>
  <si>
    <t>=NL(1,"item","Units Per Parcel","no.",$D1701)</t>
  </si>
  <si>
    <t>=NL(1,"Prod. BOM Equipment","Fixed Prod. Time (Hours)","Production BOM No.",$D1701,"version code",$E1701,"Resource No.",O$9)</t>
  </si>
  <si>
    <t>=1/O1701</t>
  </si>
  <si>
    <t>=IF(NL(1,"Prod. BOM Equipment","Variable Prod. Time (Hours)","Production BOM No.",$D1701,"version code",$E1701,"Resource No.",$O$9)="",1,NL(1,"Prod. BOM Equipment","Variable Prod. Time (Hours)","Production BOM No.",$D1701,"version code",$E1701,"Resource No.",$O$9))</t>
  </si>
  <si>
    <t>=1/Q1701</t>
  </si>
  <si>
    <t>=R1701*N1701</t>
  </si>
  <si>
    <t>=IF(K1702=0,"hide","")</t>
  </si>
  <si>
    <t>=D1701</t>
  </si>
  <si>
    <t>=NL("sum","Production Order","Quantity","Source No.",$D1702,"Equipment Code",$L1702,"due date",F$8)/-12</t>
  </si>
  <si>
    <t>=NL("sum","Production Order","Quantity","Source No.",$D1702,"Equipment Code",$L1702,"due date",G$8)/-12</t>
  </si>
  <si>
    <t>=NL("sum","Production Order","Quantity","Source No.",$D1702,"Equipment Code",$L1702,"due date",H$8)/-12</t>
  </si>
  <si>
    <t>=NL("sum","Production Order","Quantity","Source No.",$D1702,"Equipment Code",$L1702,"due date",I$8)/-12</t>
  </si>
  <si>
    <t>=NL("sum","Production Order","Quantity","Source No.",$D1702,"Equipment Code",$L1702,"due date",J$8)/$J$7</t>
  </si>
  <si>
    <t>=AVERAGE(I1702:J1702)</t>
  </si>
  <si>
    <t>=IF(K1703=0,"hide","")</t>
  </si>
  <si>
    <t>=D1702</t>
  </si>
  <si>
    <t>=NL("sum","Production Order","Quantity","Source No.",$D1703,"Equipment Code",$L1703,"due date",F$8)/-12</t>
  </si>
  <si>
    <t>=NL("sum","Production Order","Quantity","Source No.",$D1703,"Equipment Code",$L1703,"due date",G$8)/-12</t>
  </si>
  <si>
    <t>=NL("sum","Production Order","Quantity","Source No.",$D1703,"Equipment Code",$L1703,"due date",H$8)/-12</t>
  </si>
  <si>
    <t>=NL("sum","Production Order","Quantity","Source No.",$D1703,"Equipment Code",$L1703,"due date",I$8)/-12</t>
  </si>
  <si>
    <t>=NL("sum","Production Order","Quantity","Source No.",$D1703,"Equipment Code",$L1703,"due date",J$8)/$J$7</t>
  </si>
  <si>
    <t>=AVERAGE(I1703:J1703)</t>
  </si>
  <si>
    <t>=IF(K1704=0,"hide","")</t>
  </si>
  <si>
    <t>=D1703</t>
  </si>
  <si>
    <t>=NL("sum","Production Order","Quantity","Source No.",$D1704,"Equipment Code",$L1704,"due date",F$8)/-12</t>
  </si>
  <si>
    <t>=NL("sum","Production Order","Quantity","Source No.",$D1704,"Equipment Code",$L1704,"due date",G$8)/-12</t>
  </si>
  <si>
    <t>=NL("sum","Production Order","Quantity","Source No.",$D1704,"Equipment Code",$L1704,"due date",H$8)/-12</t>
  </si>
  <si>
    <t>=NL("sum","Production Order","Quantity","Source No.",$D1704,"Equipment Code",$L1704,"due date",I$8)/-12</t>
  </si>
  <si>
    <t>=NL("sum","Production Order","Quantity","Source No.",$D1704,"Equipment Code",$L1704,"due date",J$8)/$J$7</t>
  </si>
  <si>
    <t>=AVERAGE(I1704:J1704)</t>
  </si>
  <si>
    <t>=IF(K1705=0,"hide","")</t>
  </si>
  <si>
    <t>=D1704</t>
  </si>
  <si>
    <t>=NL("sum","Production Order","Quantity","Source No.",$D1705,"Equipment Code",$L1705,"due date",F$8)/-12</t>
  </si>
  <si>
    <t>=NL("sum","Production Order","Quantity","Source No.",$D1705,"Equipment Code",$L1705,"due date",G$8)/-12</t>
  </si>
  <si>
    <t>=NL("sum","Production Order","Quantity","Source No.",$D1705,"Equipment Code",$L1705,"due date",H$8)/-12</t>
  </si>
  <si>
    <t>=NL("sum","Production Order","Quantity","Source No.",$D1705,"Equipment Code",$L1705,"due date",I$8)/-12</t>
  </si>
  <si>
    <t>=NL("sum","Production Order","Quantity","Source No.",$D1705,"Equipment Code",$L1705,"due date",J$8)/$J$7</t>
  </si>
  <si>
    <t>=AVERAGE(I1705:J1705)</t>
  </si>
  <si>
    <t>=B1702</t>
  </si>
  <si>
    <t>=B1706</t>
  </si>
  <si>
    <t>=SUM(F1702:F1706)</t>
  </si>
  <si>
    <t>=SUM(G1702:G1706)</t>
  </si>
  <si>
    <t>=SUM(H1702:H1706)</t>
  </si>
  <si>
    <t>=SUM(I1702:I1706)</t>
  </si>
  <si>
    <t>=SUM(J1702:J1706)</t>
  </si>
  <si>
    <t>=IF(K1708=0,"hide","")</t>
  </si>
  <si>
    <t>="20103"</t>
  </si>
  <si>
    <t>=NL("rows","Production BOM Version","Version Code","Production BOM No.",D1708,"status","certified")</t>
  </si>
  <si>
    <t>=NL("sum","Item Ledger Entry","Quantity","Item No.",$D1708,"Entry Type","Sale|Consumption","posting date","01/01/19..12/31/19")/-12</t>
  </si>
  <si>
    <t>=NL("sum","Item Ledger Entry","Quantity","Item No.",$D1708,"Entry Type","Sale|Consumption","posting date","01/01/20..12/31/20")/-12</t>
  </si>
  <si>
    <t>=NL("sum","Item Ledger Entry","Quantity","Item No.",$D1708,"Entry Type","Sale|Consumption","posting date","01/01/21..12/31/21")/-12</t>
  </si>
  <si>
    <t>=NL("sum","Item Ledger Entry","Quantity","Item No.",$D1708,"Entry Type","Sale|Consumption","posting date","01/01/22..12/31/22")/-12</t>
  </si>
  <si>
    <t>=NL("sum","Item Ledger Entry","Quantity","Item No.",$D1708,"Entry Type","Sale|Consumption","posting date","01/01/23..12/31/23")/$J$7</t>
  </si>
  <si>
    <t>=AVERAGE(I1708:J1708)</t>
  </si>
  <si>
    <t>=NL(1,"item",L$9,"no.",D1708)</t>
  </si>
  <si>
    <t>=NL(1,"item",M$9,"no.",$D1708)</t>
  </si>
  <si>
    <t>=NL(1,"item","Units Per Parcel","no.",$D1708)</t>
  </si>
  <si>
    <t>=NL(1,"Prod. BOM Equipment","Fixed Prod. Time (Hours)","Production BOM No.",$D1708,"version code",$E1708,"Resource No.",O$9)</t>
  </si>
  <si>
    <t>=1/O1708</t>
  </si>
  <si>
    <t>=IF(NL(1,"Prod. BOM Equipment","Variable Prod. Time (Hours)","Production BOM No.",$D1708,"version code",$E1708,"Resource No.",$O$9)="",1,NL(1,"Prod. BOM Equipment","Variable Prod. Time (Hours)","Production BOM No.",$D1708,"version code",$E1708,"Resource No.",$O$9))</t>
  </si>
  <si>
    <t>=1/Q1708</t>
  </si>
  <si>
    <t>=R1708*N1708</t>
  </si>
  <si>
    <t>=IF(K1709=0,"hide","")</t>
  </si>
  <si>
    <t>=D1708</t>
  </si>
  <si>
    <t>=NL("sum","Production Order","Quantity","Source No.",$D1709,"Equipment Code",$L1709,"due date",F$8)/-12</t>
  </si>
  <si>
    <t>=NL("sum","Production Order","Quantity","Source No.",$D1709,"Equipment Code",$L1709,"due date",G$8)/-12</t>
  </si>
  <si>
    <t>=NL("sum","Production Order","Quantity","Source No.",$D1709,"Equipment Code",$L1709,"due date",H$8)/-12</t>
  </si>
  <si>
    <t>=NL("sum","Production Order","Quantity","Source No.",$D1709,"Equipment Code",$L1709,"due date",I$8)/-12</t>
  </si>
  <si>
    <t>=NL("sum","Production Order","Quantity","Source No.",$D1709,"Equipment Code",$L1709,"due date",J$8)/$J$7</t>
  </si>
  <si>
    <t>=AVERAGE(I1709:J1709)</t>
  </si>
  <si>
    <t>=IF(K1710=0,"hide","")</t>
  </si>
  <si>
    <t>=D1709</t>
  </si>
  <si>
    <t>=NL("sum","Production Order","Quantity","Source No.",$D1710,"Equipment Code",$L1710,"due date",F$8)/-12</t>
  </si>
  <si>
    <t>=NL("sum","Production Order","Quantity","Source No.",$D1710,"Equipment Code",$L1710,"due date",G$8)/-12</t>
  </si>
  <si>
    <t>=NL("sum","Production Order","Quantity","Source No.",$D1710,"Equipment Code",$L1710,"due date",H$8)/-12</t>
  </si>
  <si>
    <t>=NL("sum","Production Order","Quantity","Source No.",$D1710,"Equipment Code",$L1710,"due date",I$8)/-12</t>
  </si>
  <si>
    <t>=NL("sum","Production Order","Quantity","Source No.",$D1710,"Equipment Code",$L1710,"due date",J$8)/$J$7</t>
  </si>
  <si>
    <t>=AVERAGE(I1710:J1710)</t>
  </si>
  <si>
    <t>=IF(K1711=0,"hide","")</t>
  </si>
  <si>
    <t>=D1710</t>
  </si>
  <si>
    <t>=NL("sum","Production Order","Quantity","Source No.",$D1711,"Equipment Code",$L1711,"due date",F$8)/-12</t>
  </si>
  <si>
    <t>=NL("sum","Production Order","Quantity","Source No.",$D1711,"Equipment Code",$L1711,"due date",G$8)/-12</t>
  </si>
  <si>
    <t>=NL("sum","Production Order","Quantity","Source No.",$D1711,"Equipment Code",$L1711,"due date",H$8)/-12</t>
  </si>
  <si>
    <t>=NL("sum","Production Order","Quantity","Source No.",$D1711,"Equipment Code",$L1711,"due date",I$8)/-12</t>
  </si>
  <si>
    <t>=NL("sum","Production Order","Quantity","Source No.",$D1711,"Equipment Code",$L1711,"due date",J$8)/$J$7</t>
  </si>
  <si>
    <t>=AVERAGE(I1711:J1711)</t>
  </si>
  <si>
    <t>=IF(K1712=0,"hide","")</t>
  </si>
  <si>
    <t>=D1711</t>
  </si>
  <si>
    <t>=NL("sum","Production Order","Quantity","Source No.",$D1712,"Equipment Code",$L1712,"due date",F$8)/-12</t>
  </si>
  <si>
    <t>=NL("sum","Production Order","Quantity","Source No.",$D1712,"Equipment Code",$L1712,"due date",G$8)/-12</t>
  </si>
  <si>
    <t>=NL("sum","Production Order","Quantity","Source No.",$D1712,"Equipment Code",$L1712,"due date",H$8)/-12</t>
  </si>
  <si>
    <t>=NL("sum","Production Order","Quantity","Source No.",$D1712,"Equipment Code",$L1712,"due date",I$8)/-12</t>
  </si>
  <si>
    <t>=NL("sum","Production Order","Quantity","Source No.",$D1712,"Equipment Code",$L1712,"due date",J$8)/$J$7</t>
  </si>
  <si>
    <t>=AVERAGE(I1712:J1712)</t>
  </si>
  <si>
    <t>=B1709</t>
  </si>
  <si>
    <t>=B1713</t>
  </si>
  <si>
    <t>=SUM(F1709:F1713)</t>
  </si>
  <si>
    <t>=SUM(G1709:G1713)</t>
  </si>
  <si>
    <t>=SUM(H1709:H1713)</t>
  </si>
  <si>
    <t>=SUM(I1709:I1713)</t>
  </si>
  <si>
    <t>=SUM(J1709:J1713)</t>
  </si>
  <si>
    <t>=IF(K1715=0,"hide","")</t>
  </si>
  <si>
    <t>=NL("rows","Production BOM Version","Version Code","Production BOM No.",D1715,"status","certified")</t>
  </si>
  <si>
    <t>=NL("sum","Item Ledger Entry","Quantity","Item No.",$D1715,"Entry Type","Sale|Consumption","posting date","01/01/19..12/31/19")/-12</t>
  </si>
  <si>
    <t>=NL("sum","Item Ledger Entry","Quantity","Item No.",$D1715,"Entry Type","Sale|Consumption","posting date","01/01/20..12/31/20")/-12</t>
  </si>
  <si>
    <t>=NL("sum","Item Ledger Entry","Quantity","Item No.",$D1715,"Entry Type","Sale|Consumption","posting date","01/01/21..12/31/21")/-12</t>
  </si>
  <si>
    <t>=NL("sum","Item Ledger Entry","Quantity","Item No.",$D1715,"Entry Type","Sale|Consumption","posting date","01/01/22..12/31/22")/-12</t>
  </si>
  <si>
    <t>=NL("sum","Item Ledger Entry","Quantity","Item No.",$D1715,"Entry Type","Sale|Consumption","posting date","01/01/23..12/31/23")/$J$7</t>
  </si>
  <si>
    <t>=AVERAGE(I1715:J1715)</t>
  </si>
  <si>
    <t>=NL(1,"item",L$9,"no.",D1715)</t>
  </si>
  <si>
    <t>=NL(1,"item",M$9,"no.",$D1715)</t>
  </si>
  <si>
    <t>=NL(1,"item","Units Per Parcel","no.",$D1715)</t>
  </si>
  <si>
    <t>=NL(1,"Prod. BOM Equipment","Fixed Prod. Time (Hours)","Production BOM No.",$D1715,"version code",$E1715,"Resource No.",O$9)</t>
  </si>
  <si>
    <t>=1/O1715</t>
  </si>
  <si>
    <t>=IF(NL(1,"Prod. BOM Equipment","Variable Prod. Time (Hours)","Production BOM No.",$D1715,"version code",$E1715,"Resource No.",$O$9)="",1,NL(1,"Prod. BOM Equipment","Variable Prod. Time (Hours)","Production BOM No.",$D1715,"version code",$E1715,"Resource No.",$O$9))</t>
  </si>
  <si>
    <t>=1/Q1715</t>
  </si>
  <si>
    <t>=R1715*N1715</t>
  </si>
  <si>
    <t>=IF(K1716=0,"hide","")</t>
  </si>
  <si>
    <t>=D1715</t>
  </si>
  <si>
    <t>=NL("sum","Production Order","Quantity","Source No.",$D1716,"Equipment Code",$L1716,"due date",F$8)/-12</t>
  </si>
  <si>
    <t>=NL("sum","Production Order","Quantity","Source No.",$D1716,"Equipment Code",$L1716,"due date",G$8)/-12</t>
  </si>
  <si>
    <t>=NL("sum","Production Order","Quantity","Source No.",$D1716,"Equipment Code",$L1716,"due date",H$8)/-12</t>
  </si>
  <si>
    <t>=NL("sum","Production Order","Quantity","Source No.",$D1716,"Equipment Code",$L1716,"due date",I$8)/-12</t>
  </si>
  <si>
    <t>=NL("sum","Production Order","Quantity","Source No.",$D1716,"Equipment Code",$L1716,"due date",J$8)/$J$7</t>
  </si>
  <si>
    <t>=AVERAGE(I1716:J1716)</t>
  </si>
  <si>
    <t>=IF(K1717=0,"hide","")</t>
  </si>
  <si>
    <t>=D1716</t>
  </si>
  <si>
    <t>=NL("sum","Production Order","Quantity","Source No.",$D1717,"Equipment Code",$L1717,"due date",F$8)/-12</t>
  </si>
  <si>
    <t>=NL("sum","Production Order","Quantity","Source No.",$D1717,"Equipment Code",$L1717,"due date",G$8)/-12</t>
  </si>
  <si>
    <t>=NL("sum","Production Order","Quantity","Source No.",$D1717,"Equipment Code",$L1717,"due date",H$8)/-12</t>
  </si>
  <si>
    <t>=NL("sum","Production Order","Quantity","Source No.",$D1717,"Equipment Code",$L1717,"due date",I$8)/-12</t>
  </si>
  <si>
    <t>=NL("sum","Production Order","Quantity","Source No.",$D1717,"Equipment Code",$L1717,"due date",J$8)/$J$7</t>
  </si>
  <si>
    <t>=AVERAGE(I1717:J1717)</t>
  </si>
  <si>
    <t>=IF(K1718=0,"hide","")</t>
  </si>
  <si>
    <t>=D1717</t>
  </si>
  <si>
    <t>=NL("sum","Production Order","Quantity","Source No.",$D1718,"Equipment Code",$L1718,"due date",F$8)/-12</t>
  </si>
  <si>
    <t>=NL("sum","Production Order","Quantity","Source No.",$D1718,"Equipment Code",$L1718,"due date",G$8)/-12</t>
  </si>
  <si>
    <t>=NL("sum","Production Order","Quantity","Source No.",$D1718,"Equipment Code",$L1718,"due date",H$8)/-12</t>
  </si>
  <si>
    <t>=NL("sum","Production Order","Quantity","Source No.",$D1718,"Equipment Code",$L1718,"due date",I$8)/-12</t>
  </si>
  <si>
    <t>=NL("sum","Production Order","Quantity","Source No.",$D1718,"Equipment Code",$L1718,"due date",J$8)/$J$7</t>
  </si>
  <si>
    <t>=AVERAGE(I1718:J1718)</t>
  </si>
  <si>
    <t>=IF(K1719=0,"hide","")</t>
  </si>
  <si>
    <t>=D1718</t>
  </si>
  <si>
    <t>=NL("sum","Production Order","Quantity","Source No.",$D1719,"Equipment Code",$L1719,"due date",F$8)/-12</t>
  </si>
  <si>
    <t>=NL("sum","Production Order","Quantity","Source No.",$D1719,"Equipment Code",$L1719,"due date",G$8)/-12</t>
  </si>
  <si>
    <t>=NL("sum","Production Order","Quantity","Source No.",$D1719,"Equipment Code",$L1719,"due date",H$8)/-12</t>
  </si>
  <si>
    <t>=NL("sum","Production Order","Quantity","Source No.",$D1719,"Equipment Code",$L1719,"due date",I$8)/-12</t>
  </si>
  <si>
    <t>=NL("sum","Production Order","Quantity","Source No.",$D1719,"Equipment Code",$L1719,"due date",J$8)/$J$7</t>
  </si>
  <si>
    <t>=AVERAGE(I1719:J1719)</t>
  </si>
  <si>
    <t>=B1716</t>
  </si>
  <si>
    <t>=B1720</t>
  </si>
  <si>
    <t>=SUM(F1716:F1720)</t>
  </si>
  <si>
    <t>=SUM(G1716:G1720)</t>
  </si>
  <si>
    <t>=SUM(H1716:H1720)</t>
  </si>
  <si>
    <t>=SUM(I1716:I1720)</t>
  </si>
  <si>
    <t>=SUM(J1716:J1720)</t>
  </si>
  <si>
    <t>=IF(K1722=0,"hide","")</t>
  </si>
  <si>
    <t>=NL("rows","Production BOM Version","Version Code","Production BOM No.",D1722,"status","certified")</t>
  </si>
  <si>
    <t>=NL("sum","Item Ledger Entry","Quantity","Item No.",$D1722,"Entry Type","Sale|Consumption","posting date","01/01/19..12/31/19")/-12</t>
  </si>
  <si>
    <t>=NL("sum","Item Ledger Entry","Quantity","Item No.",$D1722,"Entry Type","Sale|Consumption","posting date","01/01/20..12/31/20")/-12</t>
  </si>
  <si>
    <t>=NL("sum","Item Ledger Entry","Quantity","Item No.",$D1722,"Entry Type","Sale|Consumption","posting date","01/01/21..12/31/21")/-12</t>
  </si>
  <si>
    <t>=NL("sum","Item Ledger Entry","Quantity","Item No.",$D1722,"Entry Type","Sale|Consumption","posting date","01/01/22..12/31/22")/-12</t>
  </si>
  <si>
    <t>=NL("sum","Item Ledger Entry","Quantity","Item No.",$D1722,"Entry Type","Sale|Consumption","posting date","01/01/23..12/31/23")/$J$7</t>
  </si>
  <si>
    <t>=AVERAGE(I1722:J1722)</t>
  </si>
  <si>
    <t>=NL(1,"item",L$9,"no.",D1722)</t>
  </si>
  <si>
    <t>=NL(1,"item",M$9,"no.",$D1722)</t>
  </si>
  <si>
    <t>=NL(1,"item","Units Per Parcel","no.",$D1722)</t>
  </si>
  <si>
    <t>=NL(1,"Prod. BOM Equipment","Fixed Prod. Time (Hours)","Production BOM No.",$D1722,"version code",$E1722,"Resource No.",O$9)</t>
  </si>
  <si>
    <t>=1/O1722</t>
  </si>
  <si>
    <t>=IF(NL(1,"Prod. BOM Equipment","Variable Prod. Time (Hours)","Production BOM No.",$D1722,"version code",$E1722,"Resource No.",$O$9)="",1,NL(1,"Prod. BOM Equipment","Variable Prod. Time (Hours)","Production BOM No.",$D1722,"version code",$E1722,"Resource No.",$O$9))</t>
  </si>
  <si>
    <t>=1/Q1722</t>
  </si>
  <si>
    <t>=R1722*N1722</t>
  </si>
  <si>
    <t>=IF(K1723=0,"hide","")</t>
  </si>
  <si>
    <t>=D1722</t>
  </si>
  <si>
    <t>=NL("sum","Production Order","Quantity","Source No.",$D1723,"Equipment Code",$L1723,"due date",F$8)/-12</t>
  </si>
  <si>
    <t>=NL("sum","Production Order","Quantity","Source No.",$D1723,"Equipment Code",$L1723,"due date",G$8)/-12</t>
  </si>
  <si>
    <t>=NL("sum","Production Order","Quantity","Source No.",$D1723,"Equipment Code",$L1723,"due date",H$8)/-12</t>
  </si>
  <si>
    <t>=NL("sum","Production Order","Quantity","Source No.",$D1723,"Equipment Code",$L1723,"due date",I$8)/-12</t>
  </si>
  <si>
    <t>=NL("sum","Production Order","Quantity","Source No.",$D1723,"Equipment Code",$L1723,"due date",J$8)/$J$7</t>
  </si>
  <si>
    <t>=AVERAGE(I1723:J1723)</t>
  </si>
  <si>
    <t>=IF(K1724=0,"hide","")</t>
  </si>
  <si>
    <t>=D1723</t>
  </si>
  <si>
    <t>=NL("sum","Production Order","Quantity","Source No.",$D1724,"Equipment Code",$L1724,"due date",F$8)/-12</t>
  </si>
  <si>
    <t>=NL("sum","Production Order","Quantity","Source No.",$D1724,"Equipment Code",$L1724,"due date",G$8)/-12</t>
  </si>
  <si>
    <t>=NL("sum","Production Order","Quantity","Source No.",$D1724,"Equipment Code",$L1724,"due date",H$8)/-12</t>
  </si>
  <si>
    <t>=NL("sum","Production Order","Quantity","Source No.",$D1724,"Equipment Code",$L1724,"due date",I$8)/-12</t>
  </si>
  <si>
    <t>=NL("sum","Production Order","Quantity","Source No.",$D1724,"Equipment Code",$L1724,"due date",J$8)/$J$7</t>
  </si>
  <si>
    <t>=AVERAGE(I1724:J1724)</t>
  </si>
  <si>
    <t>=IF(K1725=0,"hide","")</t>
  </si>
  <si>
    <t>=D1724</t>
  </si>
  <si>
    <t>=NL("sum","Production Order","Quantity","Source No.",$D1725,"Equipment Code",$L1725,"due date",F$8)/-12</t>
  </si>
  <si>
    <t>=NL("sum","Production Order","Quantity","Source No.",$D1725,"Equipment Code",$L1725,"due date",G$8)/-12</t>
  </si>
  <si>
    <t>=NL("sum","Production Order","Quantity","Source No.",$D1725,"Equipment Code",$L1725,"due date",H$8)/-12</t>
  </si>
  <si>
    <t>=NL("sum","Production Order","Quantity","Source No.",$D1725,"Equipment Code",$L1725,"due date",I$8)/-12</t>
  </si>
  <si>
    <t>=NL("sum","Production Order","Quantity","Source No.",$D1725,"Equipment Code",$L1725,"due date",J$8)/$J$7</t>
  </si>
  <si>
    <t>=AVERAGE(I1725:J1725)</t>
  </si>
  <si>
    <t>=IF(K1726=0,"hide","")</t>
  </si>
  <si>
    <t>=D1725</t>
  </si>
  <si>
    <t>=NL("sum","Production Order","Quantity","Source No.",$D1726,"Equipment Code",$L1726,"due date",F$8)/-12</t>
  </si>
  <si>
    <t>=NL("sum","Production Order","Quantity","Source No.",$D1726,"Equipment Code",$L1726,"due date",G$8)/-12</t>
  </si>
  <si>
    <t>=NL("sum","Production Order","Quantity","Source No.",$D1726,"Equipment Code",$L1726,"due date",H$8)/-12</t>
  </si>
  <si>
    <t>=NL("sum","Production Order","Quantity","Source No.",$D1726,"Equipment Code",$L1726,"due date",I$8)/-12</t>
  </si>
  <si>
    <t>=NL("sum","Production Order","Quantity","Source No.",$D1726,"Equipment Code",$L1726,"due date",J$8)/$J$7</t>
  </si>
  <si>
    <t>=AVERAGE(I1726:J1726)</t>
  </si>
  <si>
    <t>=B1723</t>
  </si>
  <si>
    <t>=B1727</t>
  </si>
  <si>
    <t>=SUM(F1723:F1727)</t>
  </si>
  <si>
    <t>=SUM(G1723:G1727)</t>
  </si>
  <si>
    <t>=SUM(H1723:H1727)</t>
  </si>
  <si>
    <t>=SUM(I1723:I1727)</t>
  </si>
  <si>
    <t>=SUM(J1723:J1727)</t>
  </si>
  <si>
    <t>=IF(K1729=0,"hide","")</t>
  </si>
  <si>
    <t>=NL("rows","Production BOM Version","Version Code","Production BOM No.",D1729,"status","certified")</t>
  </si>
  <si>
    <t>=NL("sum","Item Ledger Entry","Quantity","Item No.",$D1729,"Entry Type","Sale|Consumption","posting date","01/01/19..12/31/19")/-12</t>
  </si>
  <si>
    <t>=NL("sum","Item Ledger Entry","Quantity","Item No.",$D1729,"Entry Type","Sale|Consumption","posting date","01/01/20..12/31/20")/-12</t>
  </si>
  <si>
    <t>=NL("sum","Item Ledger Entry","Quantity","Item No.",$D1729,"Entry Type","Sale|Consumption","posting date","01/01/21..12/31/21")/-12</t>
  </si>
  <si>
    <t>=NL("sum","Item Ledger Entry","Quantity","Item No.",$D1729,"Entry Type","Sale|Consumption","posting date","01/01/22..12/31/22")/-12</t>
  </si>
  <si>
    <t>=NL("sum","Item Ledger Entry","Quantity","Item No.",$D1729,"Entry Type","Sale|Consumption","posting date","01/01/23..12/31/23")/$J$7</t>
  </si>
  <si>
    <t>=AVERAGE(I1729:J1729)</t>
  </si>
  <si>
    <t>=NL(1,"item",L$9,"no.",D1729)</t>
  </si>
  <si>
    <t>=NL(1,"item",M$9,"no.",$D1729)</t>
  </si>
  <si>
    <t>=NL(1,"item","Units Per Parcel","no.",$D1729)</t>
  </si>
  <si>
    <t>=NL(1,"Prod. BOM Equipment","Fixed Prod. Time (Hours)","Production BOM No.",$D1729,"version code",$E1729,"Resource No.",O$9)</t>
  </si>
  <si>
    <t>=1/O1729</t>
  </si>
  <si>
    <t>=IF(NL(1,"Prod. BOM Equipment","Variable Prod. Time (Hours)","Production BOM No.",$D1729,"version code",$E1729,"Resource No.",$O$9)="",1,NL(1,"Prod. BOM Equipment","Variable Prod. Time (Hours)","Production BOM No.",$D1729,"version code",$E1729,"Resource No.",$O$9))</t>
  </si>
  <si>
    <t>=1/Q1729</t>
  </si>
  <si>
    <t>=R1729*N1729</t>
  </si>
  <si>
    <t>=IF(K1730=0,"hide","")</t>
  </si>
  <si>
    <t>=D1729</t>
  </si>
  <si>
    <t>=NL("sum","Production Order","Quantity","Source No.",$D1730,"Equipment Code",$L1730,"due date",F$8)/-12</t>
  </si>
  <si>
    <t>=NL("sum","Production Order","Quantity","Source No.",$D1730,"Equipment Code",$L1730,"due date",G$8)/-12</t>
  </si>
  <si>
    <t>=NL("sum","Production Order","Quantity","Source No.",$D1730,"Equipment Code",$L1730,"due date",H$8)/-12</t>
  </si>
  <si>
    <t>=NL("sum","Production Order","Quantity","Source No.",$D1730,"Equipment Code",$L1730,"due date",I$8)/-12</t>
  </si>
  <si>
    <t>=NL("sum","Production Order","Quantity","Source No.",$D1730,"Equipment Code",$L1730,"due date",J$8)/$J$7</t>
  </si>
  <si>
    <t>=AVERAGE(I1730:J1730)</t>
  </si>
  <si>
    <t>=IF(K1731=0,"hide","")</t>
  </si>
  <si>
    <t>=D1730</t>
  </si>
  <si>
    <t>=NL("sum","Production Order","Quantity","Source No.",$D1731,"Equipment Code",$L1731,"due date",F$8)/-12</t>
  </si>
  <si>
    <t>=NL("sum","Production Order","Quantity","Source No.",$D1731,"Equipment Code",$L1731,"due date",G$8)/-12</t>
  </si>
  <si>
    <t>=NL("sum","Production Order","Quantity","Source No.",$D1731,"Equipment Code",$L1731,"due date",H$8)/-12</t>
  </si>
  <si>
    <t>=NL("sum","Production Order","Quantity","Source No.",$D1731,"Equipment Code",$L1731,"due date",I$8)/-12</t>
  </si>
  <si>
    <t>=NL("sum","Production Order","Quantity","Source No.",$D1731,"Equipment Code",$L1731,"due date",J$8)/$J$7</t>
  </si>
  <si>
    <t>=AVERAGE(I1731:J1731)</t>
  </si>
  <si>
    <t>=IF(K1732=0,"hide","")</t>
  </si>
  <si>
    <t>=D1731</t>
  </si>
  <si>
    <t>=NL("sum","Production Order","Quantity","Source No.",$D1732,"Equipment Code",$L1732,"due date",F$8)/-12</t>
  </si>
  <si>
    <t>=NL("sum","Production Order","Quantity","Source No.",$D1732,"Equipment Code",$L1732,"due date",G$8)/-12</t>
  </si>
  <si>
    <t>=NL("sum","Production Order","Quantity","Source No.",$D1732,"Equipment Code",$L1732,"due date",H$8)/-12</t>
  </si>
  <si>
    <t>=NL("sum","Production Order","Quantity","Source No.",$D1732,"Equipment Code",$L1732,"due date",I$8)/-12</t>
  </si>
  <si>
    <t>=NL("sum","Production Order","Quantity","Source No.",$D1732,"Equipment Code",$L1732,"due date",J$8)/$J$7</t>
  </si>
  <si>
    <t>=AVERAGE(I1732:J1732)</t>
  </si>
  <si>
    <t>=IF(K1733=0,"hide","")</t>
  </si>
  <si>
    <t>=D1732</t>
  </si>
  <si>
    <t>=NL("sum","Production Order","Quantity","Source No.",$D1733,"Equipment Code",$L1733,"due date",F$8)/-12</t>
  </si>
  <si>
    <t>=NL("sum","Production Order","Quantity","Source No.",$D1733,"Equipment Code",$L1733,"due date",G$8)/-12</t>
  </si>
  <si>
    <t>=NL("sum","Production Order","Quantity","Source No.",$D1733,"Equipment Code",$L1733,"due date",H$8)/-12</t>
  </si>
  <si>
    <t>=NL("sum","Production Order","Quantity","Source No.",$D1733,"Equipment Code",$L1733,"due date",I$8)/-12</t>
  </si>
  <si>
    <t>=NL("sum","Production Order","Quantity","Source No.",$D1733,"Equipment Code",$L1733,"due date",J$8)/$J$7</t>
  </si>
  <si>
    <t>=AVERAGE(I1733:J1733)</t>
  </si>
  <si>
    <t>=B1730</t>
  </si>
  <si>
    <t>=B1734</t>
  </si>
  <si>
    <t>=SUM(F1730:F1734)</t>
  </si>
  <si>
    <t>=SUM(G1730:G1734)</t>
  </si>
  <si>
    <t>=SUM(H1730:H1734)</t>
  </si>
  <si>
    <t>=SUM(I1730:I1734)</t>
  </si>
  <si>
    <t>=SUM(J1730:J1734)</t>
  </si>
  <si>
    <t>=IF(K1736=0,"hide","")</t>
  </si>
  <si>
    <t>="20148"</t>
  </si>
  <si>
    <t>=NL("rows","Production BOM Version","Version Code","Production BOM No.",D1736,"status","certified")</t>
  </si>
  <si>
    <t>=NL("sum","Item Ledger Entry","Quantity","Item No.",$D1736,"Entry Type","Sale|Consumption","posting date","01/01/19..12/31/19")/-12</t>
  </si>
  <si>
    <t>=NL("sum","Item Ledger Entry","Quantity","Item No.",$D1736,"Entry Type","Sale|Consumption","posting date","01/01/20..12/31/20")/-12</t>
  </si>
  <si>
    <t>=NL("sum","Item Ledger Entry","Quantity","Item No.",$D1736,"Entry Type","Sale|Consumption","posting date","01/01/21..12/31/21")/-12</t>
  </si>
  <si>
    <t>=NL("sum","Item Ledger Entry","Quantity","Item No.",$D1736,"Entry Type","Sale|Consumption","posting date","01/01/22..12/31/22")/-12</t>
  </si>
  <si>
    <t>=NL("sum","Item Ledger Entry","Quantity","Item No.",$D1736,"Entry Type","Sale|Consumption","posting date","01/01/23..12/31/23")/$J$7</t>
  </si>
  <si>
    <t>=AVERAGE(I1736:J1736)</t>
  </si>
  <si>
    <t>=NL(1,"item",L$9,"no.",D1736)</t>
  </si>
  <si>
    <t>=NL(1,"item",M$9,"no.",$D1736)</t>
  </si>
  <si>
    <t>=NL(1,"item","Units Per Parcel","no.",$D1736)</t>
  </si>
  <si>
    <t>=NL(1,"Prod. BOM Equipment","Fixed Prod. Time (Hours)","Production BOM No.",$D1736,"version code",$E1736,"Resource No.",O$9)</t>
  </si>
  <si>
    <t>=1/O1736</t>
  </si>
  <si>
    <t>=IF(NL(1,"Prod. BOM Equipment","Variable Prod. Time (Hours)","Production BOM No.",$D1736,"version code",$E1736,"Resource No.",$O$9)="",1,NL(1,"Prod. BOM Equipment","Variable Prod. Time (Hours)","Production BOM No.",$D1736,"version code",$E1736,"Resource No.",$O$9))</t>
  </si>
  <si>
    <t>=1/Q1736</t>
  </si>
  <si>
    <t>=R1736*N1736</t>
  </si>
  <si>
    <t>=IF(K1737=0,"hide","")</t>
  </si>
  <si>
    <t>=D1736</t>
  </si>
  <si>
    <t>=NL("sum","Production Order","Quantity","Source No.",$D1737,"Equipment Code",$L1737,"due date",F$8)/-12</t>
  </si>
  <si>
    <t>=NL("sum","Production Order","Quantity","Source No.",$D1737,"Equipment Code",$L1737,"due date",G$8)/-12</t>
  </si>
  <si>
    <t>=NL("sum","Production Order","Quantity","Source No.",$D1737,"Equipment Code",$L1737,"due date",H$8)/-12</t>
  </si>
  <si>
    <t>=NL("sum","Production Order","Quantity","Source No.",$D1737,"Equipment Code",$L1737,"due date",I$8)/-12</t>
  </si>
  <si>
    <t>=NL("sum","Production Order","Quantity","Source No.",$D1737,"Equipment Code",$L1737,"due date",J$8)/$J$7</t>
  </si>
  <si>
    <t>=AVERAGE(I1737:J1737)</t>
  </si>
  <si>
    <t>=IF(K1738=0,"hide","")</t>
  </si>
  <si>
    <t>=D1737</t>
  </si>
  <si>
    <t>=NL("sum","Production Order","Quantity","Source No.",$D1738,"Equipment Code",$L1738,"due date",F$8)/-12</t>
  </si>
  <si>
    <t>=NL("sum","Production Order","Quantity","Source No.",$D1738,"Equipment Code",$L1738,"due date",G$8)/-12</t>
  </si>
  <si>
    <t>=NL("sum","Production Order","Quantity","Source No.",$D1738,"Equipment Code",$L1738,"due date",H$8)/-12</t>
  </si>
  <si>
    <t>=NL("sum","Production Order","Quantity","Source No.",$D1738,"Equipment Code",$L1738,"due date",I$8)/-12</t>
  </si>
  <si>
    <t>=NL("sum","Production Order","Quantity","Source No.",$D1738,"Equipment Code",$L1738,"due date",J$8)/$J$7</t>
  </si>
  <si>
    <t>=AVERAGE(I1738:J1738)</t>
  </si>
  <si>
    <t>=IF(K1739=0,"hide","")</t>
  </si>
  <si>
    <t>=D1738</t>
  </si>
  <si>
    <t>=NL("sum","Production Order","Quantity","Source No.",$D1739,"Equipment Code",$L1739,"due date",F$8)/-12</t>
  </si>
  <si>
    <t>=NL("sum","Production Order","Quantity","Source No.",$D1739,"Equipment Code",$L1739,"due date",G$8)/-12</t>
  </si>
  <si>
    <t>=NL("sum","Production Order","Quantity","Source No.",$D1739,"Equipment Code",$L1739,"due date",H$8)/-12</t>
  </si>
  <si>
    <t>=NL("sum","Production Order","Quantity","Source No.",$D1739,"Equipment Code",$L1739,"due date",I$8)/-12</t>
  </si>
  <si>
    <t>=NL("sum","Production Order","Quantity","Source No.",$D1739,"Equipment Code",$L1739,"due date",J$8)/$J$7</t>
  </si>
  <si>
    <t>=AVERAGE(I1739:J1739)</t>
  </si>
  <si>
    <t>=IF(K1740=0,"hide","")</t>
  </si>
  <si>
    <t>=D1739</t>
  </si>
  <si>
    <t>=NL("sum","Production Order","Quantity","Source No.",$D1740,"Equipment Code",$L1740,"due date",F$8)/-12</t>
  </si>
  <si>
    <t>=NL("sum","Production Order","Quantity","Source No.",$D1740,"Equipment Code",$L1740,"due date",G$8)/-12</t>
  </si>
  <si>
    <t>=NL("sum","Production Order","Quantity","Source No.",$D1740,"Equipment Code",$L1740,"due date",H$8)/-12</t>
  </si>
  <si>
    <t>=NL("sum","Production Order","Quantity","Source No.",$D1740,"Equipment Code",$L1740,"due date",I$8)/-12</t>
  </si>
  <si>
    <t>=NL("sum","Production Order","Quantity","Source No.",$D1740,"Equipment Code",$L1740,"due date",J$8)/$J$7</t>
  </si>
  <si>
    <t>=AVERAGE(I1740:J1740)</t>
  </si>
  <si>
    <t>=B1737</t>
  </si>
  <si>
    <t>=B1741</t>
  </si>
  <si>
    <t>=SUM(F1737:F1741)</t>
  </si>
  <si>
    <t>=SUM(G1737:G1741)</t>
  </si>
  <si>
    <t>=SUM(H1737:H1741)</t>
  </si>
  <si>
    <t>=SUM(I1737:I1741)</t>
  </si>
  <si>
    <t>=SUM(J1737:J1741)</t>
  </si>
  <si>
    <t>=IF(K1743=0,"hide","")</t>
  </si>
  <si>
    <t>="20151"</t>
  </si>
  <si>
    <t>=NL("rows","Production BOM Version","Version Code","Production BOM No.",D1743,"status","certified")</t>
  </si>
  <si>
    <t>=NL("sum","Item Ledger Entry","Quantity","Item No.",$D1743,"Entry Type","Sale|Consumption","posting date","01/01/19..12/31/19")/-12</t>
  </si>
  <si>
    <t>=NL("sum","Item Ledger Entry","Quantity","Item No.",$D1743,"Entry Type","Sale|Consumption","posting date","01/01/20..12/31/20")/-12</t>
  </si>
  <si>
    <t>=NL("sum","Item Ledger Entry","Quantity","Item No.",$D1743,"Entry Type","Sale|Consumption","posting date","01/01/21..12/31/21")/-12</t>
  </si>
  <si>
    <t>=NL("sum","Item Ledger Entry","Quantity","Item No.",$D1743,"Entry Type","Sale|Consumption","posting date","01/01/22..12/31/22")/-12</t>
  </si>
  <si>
    <t>=NL("sum","Item Ledger Entry","Quantity","Item No.",$D1743,"Entry Type","Sale|Consumption","posting date","01/01/23..12/31/23")/$J$7</t>
  </si>
  <si>
    <t>=AVERAGE(I1743:J1743)</t>
  </si>
  <si>
    <t>=NL(1,"item",L$9,"no.",D1743)</t>
  </si>
  <si>
    <t>=NL(1,"item",M$9,"no.",$D1743)</t>
  </si>
  <si>
    <t>=NL(1,"item","Units Per Parcel","no.",$D1743)</t>
  </si>
  <si>
    <t>=NL(1,"Prod. BOM Equipment","Fixed Prod. Time (Hours)","Production BOM No.",$D1743,"version code",$E1743,"Resource No.",O$9)</t>
  </si>
  <si>
    <t>=1/O1743</t>
  </si>
  <si>
    <t>=IF(NL(1,"Prod. BOM Equipment","Variable Prod. Time (Hours)","Production BOM No.",$D1743,"version code",$E1743,"Resource No.",$O$9)="",1,NL(1,"Prod. BOM Equipment","Variable Prod. Time (Hours)","Production BOM No.",$D1743,"version code",$E1743,"Resource No.",$O$9))</t>
  </si>
  <si>
    <t>=1/Q1743</t>
  </si>
  <si>
    <t>=R1743*N1743</t>
  </si>
  <si>
    <t>=IF(K1744=0,"hide","")</t>
  </si>
  <si>
    <t>=D1743</t>
  </si>
  <si>
    <t>=NL("sum","Production Order","Quantity","Source No.",$D1744,"Equipment Code",$L1744,"due date",F$8)/-12</t>
  </si>
  <si>
    <t>=NL("sum","Production Order","Quantity","Source No.",$D1744,"Equipment Code",$L1744,"due date",G$8)/-12</t>
  </si>
  <si>
    <t>=NL("sum","Production Order","Quantity","Source No.",$D1744,"Equipment Code",$L1744,"due date",H$8)/-12</t>
  </si>
  <si>
    <t>=NL("sum","Production Order","Quantity","Source No.",$D1744,"Equipment Code",$L1744,"due date",I$8)/-12</t>
  </si>
  <si>
    <t>=NL("sum","Production Order","Quantity","Source No.",$D1744,"Equipment Code",$L1744,"due date",J$8)/$J$7</t>
  </si>
  <si>
    <t>=AVERAGE(I1744:J1744)</t>
  </si>
  <si>
    <t>=IF(K1745=0,"hide","")</t>
  </si>
  <si>
    <t>=D1744</t>
  </si>
  <si>
    <t>=NL("sum","Production Order","Quantity","Source No.",$D1745,"Equipment Code",$L1745,"due date",F$8)/-12</t>
  </si>
  <si>
    <t>=NL("sum","Production Order","Quantity","Source No.",$D1745,"Equipment Code",$L1745,"due date",G$8)/-12</t>
  </si>
  <si>
    <t>=NL("sum","Production Order","Quantity","Source No.",$D1745,"Equipment Code",$L1745,"due date",H$8)/-12</t>
  </si>
  <si>
    <t>=NL("sum","Production Order","Quantity","Source No.",$D1745,"Equipment Code",$L1745,"due date",I$8)/-12</t>
  </si>
  <si>
    <t>=NL("sum","Production Order","Quantity","Source No.",$D1745,"Equipment Code",$L1745,"due date",J$8)/$J$7</t>
  </si>
  <si>
    <t>=AVERAGE(I1745:J1745)</t>
  </si>
  <si>
    <t>=IF(K1746=0,"hide","")</t>
  </si>
  <si>
    <t>=D1745</t>
  </si>
  <si>
    <t>=NL("sum","Production Order","Quantity","Source No.",$D1746,"Equipment Code",$L1746,"due date",F$8)/-12</t>
  </si>
  <si>
    <t>=NL("sum","Production Order","Quantity","Source No.",$D1746,"Equipment Code",$L1746,"due date",G$8)/-12</t>
  </si>
  <si>
    <t>=NL("sum","Production Order","Quantity","Source No.",$D1746,"Equipment Code",$L1746,"due date",H$8)/-12</t>
  </si>
  <si>
    <t>=NL("sum","Production Order","Quantity","Source No.",$D1746,"Equipment Code",$L1746,"due date",I$8)/-12</t>
  </si>
  <si>
    <t>=NL("sum","Production Order","Quantity","Source No.",$D1746,"Equipment Code",$L1746,"due date",J$8)/$J$7</t>
  </si>
  <si>
    <t>=AVERAGE(I1746:J1746)</t>
  </si>
  <si>
    <t>=IF(K1747=0,"hide","")</t>
  </si>
  <si>
    <t>=D1746</t>
  </si>
  <si>
    <t>=NL("sum","Production Order","Quantity","Source No.",$D1747,"Equipment Code",$L1747,"due date",F$8)/-12</t>
  </si>
  <si>
    <t>=NL("sum","Production Order","Quantity","Source No.",$D1747,"Equipment Code",$L1747,"due date",G$8)/-12</t>
  </si>
  <si>
    <t>=NL("sum","Production Order","Quantity","Source No.",$D1747,"Equipment Code",$L1747,"due date",H$8)/-12</t>
  </si>
  <si>
    <t>=NL("sum","Production Order","Quantity","Source No.",$D1747,"Equipment Code",$L1747,"due date",I$8)/-12</t>
  </si>
  <si>
    <t>=NL("sum","Production Order","Quantity","Source No.",$D1747,"Equipment Code",$L1747,"due date",J$8)/$J$7</t>
  </si>
  <si>
    <t>=AVERAGE(I1747:J1747)</t>
  </si>
  <si>
    <t>=B1744</t>
  </si>
  <si>
    <t>=B1748</t>
  </si>
  <si>
    <t>=SUM(F1744:F1748)</t>
  </si>
  <si>
    <t>=SUM(G1744:G1748)</t>
  </si>
  <si>
    <t>=SUM(H1744:H1748)</t>
  </si>
  <si>
    <t>=SUM(I1744:I1748)</t>
  </si>
  <si>
    <t>=SUM(J1744:J1748)</t>
  </si>
  <si>
    <t>=IF(K1750=0,"hide","")</t>
  </si>
  <si>
    <t>="20218"</t>
  </si>
  <si>
    <t>=NL("rows","Production BOM Version","Version Code","Production BOM No.",D1750,"status","certified")</t>
  </si>
  <si>
    <t>=NL("sum","Item Ledger Entry","Quantity","Item No.",$D1750,"Entry Type","Sale|Consumption","posting date","01/01/19..12/31/19")/-12</t>
  </si>
  <si>
    <t>=NL("sum","Item Ledger Entry","Quantity","Item No.",$D1750,"Entry Type","Sale|Consumption","posting date","01/01/20..12/31/20")/-12</t>
  </si>
  <si>
    <t>=NL("sum","Item Ledger Entry","Quantity","Item No.",$D1750,"Entry Type","Sale|Consumption","posting date","01/01/21..12/31/21")/-12</t>
  </si>
  <si>
    <t>=NL("sum","Item Ledger Entry","Quantity","Item No.",$D1750,"Entry Type","Sale|Consumption","posting date","01/01/22..12/31/22")/-12</t>
  </si>
  <si>
    <t>=NL("sum","Item Ledger Entry","Quantity","Item No.",$D1750,"Entry Type","Sale|Consumption","posting date","01/01/23..12/31/23")/$J$7</t>
  </si>
  <si>
    <t>=AVERAGE(I1750:J1750)</t>
  </si>
  <si>
    <t>=NL(1,"item",L$9,"no.",D1750)</t>
  </si>
  <si>
    <t>=NL(1,"item",M$9,"no.",$D1750)</t>
  </si>
  <si>
    <t>=NL(1,"item","Units Per Parcel","no.",$D1750)</t>
  </si>
  <si>
    <t>=NL(1,"Prod. BOM Equipment","Fixed Prod. Time (Hours)","Production BOM No.",$D1750,"version code",$E1750,"Resource No.",O$9)</t>
  </si>
  <si>
    <t>=1/O1750</t>
  </si>
  <si>
    <t>=IF(NL(1,"Prod. BOM Equipment","Variable Prod. Time (Hours)","Production BOM No.",$D1750,"version code",$E1750,"Resource No.",$O$9)="",1,NL(1,"Prod. BOM Equipment","Variable Prod. Time (Hours)","Production BOM No.",$D1750,"version code",$E1750,"Resource No.",$O$9))</t>
  </si>
  <si>
    <t>=1/Q1750</t>
  </si>
  <si>
    <t>=R1750*N1750</t>
  </si>
  <si>
    <t>=IF(K1751=0,"hide","")</t>
  </si>
  <si>
    <t>=D1750</t>
  </si>
  <si>
    <t>=NL("sum","Production Order","Quantity","Source No.",$D1751,"Equipment Code",$L1751,"due date",F$8)/-12</t>
  </si>
  <si>
    <t>=NL("sum","Production Order","Quantity","Source No.",$D1751,"Equipment Code",$L1751,"due date",G$8)/-12</t>
  </si>
  <si>
    <t>=NL("sum","Production Order","Quantity","Source No.",$D1751,"Equipment Code",$L1751,"due date",H$8)/-12</t>
  </si>
  <si>
    <t>=NL("sum","Production Order","Quantity","Source No.",$D1751,"Equipment Code",$L1751,"due date",I$8)/-12</t>
  </si>
  <si>
    <t>=NL("sum","Production Order","Quantity","Source No.",$D1751,"Equipment Code",$L1751,"due date",J$8)/$J$7</t>
  </si>
  <si>
    <t>=AVERAGE(I1751:J1751)</t>
  </si>
  <si>
    <t>=IF(K1752=0,"hide","")</t>
  </si>
  <si>
    <t>=D1751</t>
  </si>
  <si>
    <t>=NL("sum","Production Order","Quantity","Source No.",$D1752,"Equipment Code",$L1752,"due date",F$8)/-12</t>
  </si>
  <si>
    <t>=NL("sum","Production Order","Quantity","Source No.",$D1752,"Equipment Code",$L1752,"due date",G$8)/-12</t>
  </si>
  <si>
    <t>=NL("sum","Production Order","Quantity","Source No.",$D1752,"Equipment Code",$L1752,"due date",H$8)/-12</t>
  </si>
  <si>
    <t>=NL("sum","Production Order","Quantity","Source No.",$D1752,"Equipment Code",$L1752,"due date",I$8)/-12</t>
  </si>
  <si>
    <t>=NL("sum","Production Order","Quantity","Source No.",$D1752,"Equipment Code",$L1752,"due date",J$8)/$J$7</t>
  </si>
  <si>
    <t>=AVERAGE(I1752:J1752)</t>
  </si>
  <si>
    <t>=IF(K1753=0,"hide","")</t>
  </si>
  <si>
    <t>=D1752</t>
  </si>
  <si>
    <t>=NL("sum","Production Order","Quantity","Source No.",$D1753,"Equipment Code",$L1753,"due date",F$8)/-12</t>
  </si>
  <si>
    <t>=NL("sum","Production Order","Quantity","Source No.",$D1753,"Equipment Code",$L1753,"due date",G$8)/-12</t>
  </si>
  <si>
    <t>=NL("sum","Production Order","Quantity","Source No.",$D1753,"Equipment Code",$L1753,"due date",H$8)/-12</t>
  </si>
  <si>
    <t>=NL("sum","Production Order","Quantity","Source No.",$D1753,"Equipment Code",$L1753,"due date",I$8)/-12</t>
  </si>
  <si>
    <t>=NL("sum","Production Order","Quantity","Source No.",$D1753,"Equipment Code",$L1753,"due date",J$8)/$J$7</t>
  </si>
  <si>
    <t>=AVERAGE(I1753:J1753)</t>
  </si>
  <si>
    <t>=IF(K1754=0,"hide","")</t>
  </si>
  <si>
    <t>=D1753</t>
  </si>
  <si>
    <t>=NL("sum","Production Order","Quantity","Source No.",$D1754,"Equipment Code",$L1754,"due date",F$8)/-12</t>
  </si>
  <si>
    <t>=NL("sum","Production Order","Quantity","Source No.",$D1754,"Equipment Code",$L1754,"due date",G$8)/-12</t>
  </si>
  <si>
    <t>=NL("sum","Production Order","Quantity","Source No.",$D1754,"Equipment Code",$L1754,"due date",H$8)/-12</t>
  </si>
  <si>
    <t>=NL("sum","Production Order","Quantity","Source No.",$D1754,"Equipment Code",$L1754,"due date",I$8)/-12</t>
  </si>
  <si>
    <t>=NL("sum","Production Order","Quantity","Source No.",$D1754,"Equipment Code",$L1754,"due date",J$8)/$J$7</t>
  </si>
  <si>
    <t>=AVERAGE(I1754:J1754)</t>
  </si>
  <si>
    <t>=B1751</t>
  </si>
  <si>
    <t>=B1755</t>
  </si>
  <si>
    <t>=SUM(F1751:F1755)</t>
  </si>
  <si>
    <t>=SUM(G1751:G1755)</t>
  </si>
  <si>
    <t>=SUM(H1751:H1755)</t>
  </si>
  <si>
    <t>=SUM(I1751:I1755)</t>
  </si>
  <si>
    <t>=SUM(J1751:J1755)</t>
  </si>
  <si>
    <t>=IF(K1757=0,"hide","")</t>
  </si>
  <si>
    <t>="20605"</t>
  </si>
  <si>
    <t>=NL("rows","Production BOM Version","Version Code","Production BOM No.",D1757,"status","certified")</t>
  </si>
  <si>
    <t>=NL("sum","Item Ledger Entry","Quantity","Item No.",$D1757,"Entry Type","Sale|Consumption","posting date","01/01/19..12/31/19")/-12</t>
  </si>
  <si>
    <t>=NL("sum","Item Ledger Entry","Quantity","Item No.",$D1757,"Entry Type","Sale|Consumption","posting date","01/01/20..12/31/20")/-12</t>
  </si>
  <si>
    <t>=NL("sum","Item Ledger Entry","Quantity","Item No.",$D1757,"Entry Type","Sale|Consumption","posting date","01/01/21..12/31/21")/-12</t>
  </si>
  <si>
    <t>=NL("sum","Item Ledger Entry","Quantity","Item No.",$D1757,"Entry Type","Sale|Consumption","posting date","01/01/22..12/31/22")/-12</t>
  </si>
  <si>
    <t>=NL("sum","Item Ledger Entry","Quantity","Item No.",$D1757,"Entry Type","Sale|Consumption","posting date","01/01/23..12/31/23")/$J$7</t>
  </si>
  <si>
    <t>=AVERAGE(I1757:J1757)</t>
  </si>
  <si>
    <t>=NL(1,"item",L$9,"no.",D1757)</t>
  </si>
  <si>
    <t>=NL(1,"item",M$9,"no.",$D1757)</t>
  </si>
  <si>
    <t>=NL(1,"item","Units Per Parcel","no.",$D1757)</t>
  </si>
  <si>
    <t>=NL(1,"Prod. BOM Equipment","Fixed Prod. Time (Hours)","Production BOM No.",$D1757,"version code",$E1757,"Resource No.",O$9)</t>
  </si>
  <si>
    <t>=1/O1757</t>
  </si>
  <si>
    <t>=IF(NL(1,"Prod. BOM Equipment","Variable Prod. Time (Hours)","Production BOM No.",$D1757,"version code",$E1757,"Resource No.",$O$9)="",1,NL(1,"Prod. BOM Equipment","Variable Prod. Time (Hours)","Production BOM No.",$D1757,"version code",$E1757,"Resource No.",$O$9))</t>
  </si>
  <si>
    <t>=1/Q1757</t>
  </si>
  <si>
    <t>=R1757*N1757</t>
  </si>
  <si>
    <t>=IF(K1758=0,"hide","")</t>
  </si>
  <si>
    <t>=D1757</t>
  </si>
  <si>
    <t>=NL("sum","Production Order","Quantity","Source No.",$D1758,"Equipment Code",$L1758,"due date",F$8)/-12</t>
  </si>
  <si>
    <t>=NL("sum","Production Order","Quantity","Source No.",$D1758,"Equipment Code",$L1758,"due date",G$8)/-12</t>
  </si>
  <si>
    <t>=NL("sum","Production Order","Quantity","Source No.",$D1758,"Equipment Code",$L1758,"due date",H$8)/-12</t>
  </si>
  <si>
    <t>=NL("sum","Production Order","Quantity","Source No.",$D1758,"Equipment Code",$L1758,"due date",I$8)/-12</t>
  </si>
  <si>
    <t>=NL("sum","Production Order","Quantity","Source No.",$D1758,"Equipment Code",$L1758,"due date",J$8)/$J$7</t>
  </si>
  <si>
    <t>=AVERAGE(I1758:J1758)</t>
  </si>
  <si>
    <t>=IF(K1759=0,"hide","")</t>
  </si>
  <si>
    <t>=D1758</t>
  </si>
  <si>
    <t>=NL("sum","Production Order","Quantity","Source No.",$D1759,"Equipment Code",$L1759,"due date",F$8)/-12</t>
  </si>
  <si>
    <t>=NL("sum","Production Order","Quantity","Source No.",$D1759,"Equipment Code",$L1759,"due date",G$8)/-12</t>
  </si>
  <si>
    <t>=NL("sum","Production Order","Quantity","Source No.",$D1759,"Equipment Code",$L1759,"due date",H$8)/-12</t>
  </si>
  <si>
    <t>=NL("sum","Production Order","Quantity","Source No.",$D1759,"Equipment Code",$L1759,"due date",I$8)/-12</t>
  </si>
  <si>
    <t>=NL("sum","Production Order","Quantity","Source No.",$D1759,"Equipment Code",$L1759,"due date",J$8)/$J$7</t>
  </si>
  <si>
    <t>=AVERAGE(I1759:J1759)</t>
  </si>
  <si>
    <t>=IF(K1760=0,"hide","")</t>
  </si>
  <si>
    <t>=D1759</t>
  </si>
  <si>
    <t>=NL("sum","Production Order","Quantity","Source No.",$D1760,"Equipment Code",$L1760,"due date",F$8)/-12</t>
  </si>
  <si>
    <t>=NL("sum","Production Order","Quantity","Source No.",$D1760,"Equipment Code",$L1760,"due date",G$8)/-12</t>
  </si>
  <si>
    <t>=NL("sum","Production Order","Quantity","Source No.",$D1760,"Equipment Code",$L1760,"due date",H$8)/-12</t>
  </si>
  <si>
    <t>=NL("sum","Production Order","Quantity","Source No.",$D1760,"Equipment Code",$L1760,"due date",I$8)/-12</t>
  </si>
  <si>
    <t>=NL("sum","Production Order","Quantity","Source No.",$D1760,"Equipment Code",$L1760,"due date",J$8)/$J$7</t>
  </si>
  <si>
    <t>=AVERAGE(I1760:J1760)</t>
  </si>
  <si>
    <t>=IF(K1761=0,"hide","")</t>
  </si>
  <si>
    <t>=D1760</t>
  </si>
  <si>
    <t>=NL("sum","Production Order","Quantity","Source No.",$D1761,"Equipment Code",$L1761,"due date",F$8)/-12</t>
  </si>
  <si>
    <t>=NL("sum","Production Order","Quantity","Source No.",$D1761,"Equipment Code",$L1761,"due date",G$8)/-12</t>
  </si>
  <si>
    <t>=NL("sum","Production Order","Quantity","Source No.",$D1761,"Equipment Code",$L1761,"due date",H$8)/-12</t>
  </si>
  <si>
    <t>=NL("sum","Production Order","Quantity","Source No.",$D1761,"Equipment Code",$L1761,"due date",I$8)/-12</t>
  </si>
  <si>
    <t>=NL("sum","Production Order","Quantity","Source No.",$D1761,"Equipment Code",$L1761,"due date",J$8)/$J$7</t>
  </si>
  <si>
    <t>=AVERAGE(I1761:J1761)</t>
  </si>
  <si>
    <t>=B1758</t>
  </si>
  <si>
    <t>=B1762</t>
  </si>
  <si>
    <t>=SUM(F1758:F1762)</t>
  </si>
  <si>
    <t>=SUM(G1758:G1762)</t>
  </si>
  <si>
    <t>=SUM(H1758:H1762)</t>
  </si>
  <si>
    <t>=SUM(I1758:I1762)</t>
  </si>
  <si>
    <t>=SUM(J1758:J1762)</t>
  </si>
  <si>
    <t>=IF(K1764=0,"hide","")</t>
  </si>
  <si>
    <t>=NL("rows","Production BOM Version","Version Code","Production BOM No.",D1764,"status","certified")</t>
  </si>
  <si>
    <t>=NL("sum","Item Ledger Entry","Quantity","Item No.",$D1764,"Entry Type","Sale|Consumption","posting date","01/01/19..12/31/19")/-12</t>
  </si>
  <si>
    <t>=NL("sum","Item Ledger Entry","Quantity","Item No.",$D1764,"Entry Type","Sale|Consumption","posting date","01/01/20..12/31/20")/-12</t>
  </si>
  <si>
    <t>=NL("sum","Item Ledger Entry","Quantity","Item No.",$D1764,"Entry Type","Sale|Consumption","posting date","01/01/21..12/31/21")/-12</t>
  </si>
  <si>
    <t>=NL("sum","Item Ledger Entry","Quantity","Item No.",$D1764,"Entry Type","Sale|Consumption","posting date","01/01/22..12/31/22")/-12</t>
  </si>
  <si>
    <t>=NL("sum","Item Ledger Entry","Quantity","Item No.",$D1764,"Entry Type","Sale|Consumption","posting date","01/01/23..12/31/23")/$J$7</t>
  </si>
  <si>
    <t>=AVERAGE(I1764:J1764)</t>
  </si>
  <si>
    <t>=NL(1,"item",L$9,"no.",D1764)</t>
  </si>
  <si>
    <t>=NL(1,"item",M$9,"no.",$D1764)</t>
  </si>
  <si>
    <t>=NL(1,"item","Units Per Parcel","no.",$D1764)</t>
  </si>
  <si>
    <t>=NL(1,"Prod. BOM Equipment","Fixed Prod. Time (Hours)","Production BOM No.",$D1764,"version code",$E1764,"Resource No.",O$9)</t>
  </si>
  <si>
    <t>=1/O1764</t>
  </si>
  <si>
    <t>=IF(NL(1,"Prod. BOM Equipment","Variable Prod. Time (Hours)","Production BOM No.",$D1764,"version code",$E1764,"Resource No.",$O$9)="",1,NL(1,"Prod. BOM Equipment","Variable Prod. Time (Hours)","Production BOM No.",$D1764,"version code",$E1764,"Resource No.",$O$9))</t>
  </si>
  <si>
    <t>=1/Q1764</t>
  </si>
  <si>
    <t>=R1764*N1764</t>
  </si>
  <si>
    <t>=IF(K1765=0,"hide","")</t>
  </si>
  <si>
    <t>=D1764</t>
  </si>
  <si>
    <t>=NL("sum","Production Order","Quantity","Source No.",$D1765,"Equipment Code",$L1765,"due date",F$8)/-12</t>
  </si>
  <si>
    <t>=NL("sum","Production Order","Quantity","Source No.",$D1765,"Equipment Code",$L1765,"due date",G$8)/-12</t>
  </si>
  <si>
    <t>=NL("sum","Production Order","Quantity","Source No.",$D1765,"Equipment Code",$L1765,"due date",H$8)/-12</t>
  </si>
  <si>
    <t>=NL("sum","Production Order","Quantity","Source No.",$D1765,"Equipment Code",$L1765,"due date",I$8)/-12</t>
  </si>
  <si>
    <t>=NL("sum","Production Order","Quantity","Source No.",$D1765,"Equipment Code",$L1765,"due date",J$8)/$J$7</t>
  </si>
  <si>
    <t>=AVERAGE(I1765:J1765)</t>
  </si>
  <si>
    <t>=IF(K1766=0,"hide","")</t>
  </si>
  <si>
    <t>=D1765</t>
  </si>
  <si>
    <t>=NL("sum","Production Order","Quantity","Source No.",$D1766,"Equipment Code",$L1766,"due date",F$8)/-12</t>
  </si>
  <si>
    <t>=NL("sum","Production Order","Quantity","Source No.",$D1766,"Equipment Code",$L1766,"due date",G$8)/-12</t>
  </si>
  <si>
    <t>=NL("sum","Production Order","Quantity","Source No.",$D1766,"Equipment Code",$L1766,"due date",H$8)/-12</t>
  </si>
  <si>
    <t>=NL("sum","Production Order","Quantity","Source No.",$D1766,"Equipment Code",$L1766,"due date",I$8)/-12</t>
  </si>
  <si>
    <t>=NL("sum","Production Order","Quantity","Source No.",$D1766,"Equipment Code",$L1766,"due date",J$8)/$J$7</t>
  </si>
  <si>
    <t>=AVERAGE(I1766:J1766)</t>
  </si>
  <si>
    <t>=IF(K1767=0,"hide","")</t>
  </si>
  <si>
    <t>=D1766</t>
  </si>
  <si>
    <t>=NL("sum","Production Order","Quantity","Source No.",$D1767,"Equipment Code",$L1767,"due date",F$8)/-12</t>
  </si>
  <si>
    <t>=NL("sum","Production Order","Quantity","Source No.",$D1767,"Equipment Code",$L1767,"due date",G$8)/-12</t>
  </si>
  <si>
    <t>=NL("sum","Production Order","Quantity","Source No.",$D1767,"Equipment Code",$L1767,"due date",H$8)/-12</t>
  </si>
  <si>
    <t>=NL("sum","Production Order","Quantity","Source No.",$D1767,"Equipment Code",$L1767,"due date",I$8)/-12</t>
  </si>
  <si>
    <t>=NL("sum","Production Order","Quantity","Source No.",$D1767,"Equipment Code",$L1767,"due date",J$8)/$J$7</t>
  </si>
  <si>
    <t>=AVERAGE(I1767:J1767)</t>
  </si>
  <si>
    <t>=IF(K1768=0,"hide","")</t>
  </si>
  <si>
    <t>=D1767</t>
  </si>
  <si>
    <t>=NL("sum","Production Order","Quantity","Source No.",$D1768,"Equipment Code",$L1768,"due date",F$8)/-12</t>
  </si>
  <si>
    <t>=NL("sum","Production Order","Quantity","Source No.",$D1768,"Equipment Code",$L1768,"due date",G$8)/-12</t>
  </si>
  <si>
    <t>=NL("sum","Production Order","Quantity","Source No.",$D1768,"Equipment Code",$L1768,"due date",H$8)/-12</t>
  </si>
  <si>
    <t>=NL("sum","Production Order","Quantity","Source No.",$D1768,"Equipment Code",$L1768,"due date",I$8)/-12</t>
  </si>
  <si>
    <t>=NL("sum","Production Order","Quantity","Source No.",$D1768,"Equipment Code",$L1768,"due date",J$8)/$J$7</t>
  </si>
  <si>
    <t>=AVERAGE(I1768:J1768)</t>
  </si>
  <si>
    <t>=B1765</t>
  </si>
  <si>
    <t>=B1769</t>
  </si>
  <si>
    <t>=SUM(F1765:F1769)</t>
  </si>
  <si>
    <t>=SUM(G1765:G1769)</t>
  </si>
  <si>
    <t>=SUM(H1765:H1769)</t>
  </si>
  <si>
    <t>=SUM(I1765:I1769)</t>
  </si>
  <si>
    <t>=SUM(J1765:J1769)</t>
  </si>
  <si>
    <t>=IF(K1771=0,"hide","")</t>
  </si>
  <si>
    <t>="20663"</t>
  </si>
  <si>
    <t>=NL("rows","Production BOM Version","Version Code","Production BOM No.",D1771,"status","certified")</t>
  </si>
  <si>
    <t>=NL("sum","Item Ledger Entry","Quantity","Item No.",$D1771,"Entry Type","Sale|Consumption","posting date","01/01/19..12/31/19")/-12</t>
  </si>
  <si>
    <t>=NL("sum","Item Ledger Entry","Quantity","Item No.",$D1771,"Entry Type","Sale|Consumption","posting date","01/01/20..12/31/20")/-12</t>
  </si>
  <si>
    <t>=NL("sum","Item Ledger Entry","Quantity","Item No.",$D1771,"Entry Type","Sale|Consumption","posting date","01/01/21..12/31/21")/-12</t>
  </si>
  <si>
    <t>=NL("sum","Item Ledger Entry","Quantity","Item No.",$D1771,"Entry Type","Sale|Consumption","posting date","01/01/22..12/31/22")/-12</t>
  </si>
  <si>
    <t>=NL("sum","Item Ledger Entry","Quantity","Item No.",$D1771,"Entry Type","Sale|Consumption","posting date","01/01/23..12/31/23")/$J$7</t>
  </si>
  <si>
    <t>=AVERAGE(I1771:J1771)</t>
  </si>
  <si>
    <t>=NL(1,"item",L$9,"no.",D1771)</t>
  </si>
  <si>
    <t>=NL(1,"item",M$9,"no.",$D1771)</t>
  </si>
  <si>
    <t>=NL(1,"item","Units Per Parcel","no.",$D1771)</t>
  </si>
  <si>
    <t>=NL(1,"Prod. BOM Equipment","Fixed Prod. Time (Hours)","Production BOM No.",$D1771,"version code",$E1771,"Resource No.",O$9)</t>
  </si>
  <si>
    <t>=1/O1771</t>
  </si>
  <si>
    <t>=IF(NL(1,"Prod. BOM Equipment","Variable Prod. Time (Hours)","Production BOM No.",$D1771,"version code",$E1771,"Resource No.",$O$9)="",1,NL(1,"Prod. BOM Equipment","Variable Prod. Time (Hours)","Production BOM No.",$D1771,"version code",$E1771,"Resource No.",$O$9))</t>
  </si>
  <si>
    <t>=1/Q1771</t>
  </si>
  <si>
    <t>=R1771*N1771</t>
  </si>
  <si>
    <t>=IF(K1772=0,"hide","")</t>
  </si>
  <si>
    <t>=D1771</t>
  </si>
  <si>
    <t>=NL("sum","Production Order","Quantity","Source No.",$D1772,"Equipment Code",$L1772,"due date",F$8)/-12</t>
  </si>
  <si>
    <t>=NL("sum","Production Order","Quantity","Source No.",$D1772,"Equipment Code",$L1772,"due date",G$8)/-12</t>
  </si>
  <si>
    <t>=NL("sum","Production Order","Quantity","Source No.",$D1772,"Equipment Code",$L1772,"due date",H$8)/-12</t>
  </si>
  <si>
    <t>=NL("sum","Production Order","Quantity","Source No.",$D1772,"Equipment Code",$L1772,"due date",I$8)/-12</t>
  </si>
  <si>
    <t>=NL("sum","Production Order","Quantity","Source No.",$D1772,"Equipment Code",$L1772,"due date",J$8)/$J$7</t>
  </si>
  <si>
    <t>=AVERAGE(I1772:J1772)</t>
  </si>
  <si>
    <t>=IF(K1773=0,"hide","")</t>
  </si>
  <si>
    <t>=D1772</t>
  </si>
  <si>
    <t>=NL("sum","Production Order","Quantity","Source No.",$D1773,"Equipment Code",$L1773,"due date",F$8)/-12</t>
  </si>
  <si>
    <t>=NL("sum","Production Order","Quantity","Source No.",$D1773,"Equipment Code",$L1773,"due date",G$8)/-12</t>
  </si>
  <si>
    <t>=NL("sum","Production Order","Quantity","Source No.",$D1773,"Equipment Code",$L1773,"due date",H$8)/-12</t>
  </si>
  <si>
    <t>=NL("sum","Production Order","Quantity","Source No.",$D1773,"Equipment Code",$L1773,"due date",I$8)/-12</t>
  </si>
  <si>
    <t>=NL("sum","Production Order","Quantity","Source No.",$D1773,"Equipment Code",$L1773,"due date",J$8)/$J$7</t>
  </si>
  <si>
    <t>=AVERAGE(I1773:J1773)</t>
  </si>
  <si>
    <t>=IF(K1774=0,"hide","")</t>
  </si>
  <si>
    <t>=D1773</t>
  </si>
  <si>
    <t>=NL("sum","Production Order","Quantity","Source No.",$D1774,"Equipment Code",$L1774,"due date",F$8)/-12</t>
  </si>
  <si>
    <t>=NL("sum","Production Order","Quantity","Source No.",$D1774,"Equipment Code",$L1774,"due date",G$8)/-12</t>
  </si>
  <si>
    <t>=NL("sum","Production Order","Quantity","Source No.",$D1774,"Equipment Code",$L1774,"due date",H$8)/-12</t>
  </si>
  <si>
    <t>=NL("sum","Production Order","Quantity","Source No.",$D1774,"Equipment Code",$L1774,"due date",I$8)/-12</t>
  </si>
  <si>
    <t>=NL("sum","Production Order","Quantity","Source No.",$D1774,"Equipment Code",$L1774,"due date",J$8)/$J$7</t>
  </si>
  <si>
    <t>=AVERAGE(I1774:J1774)</t>
  </si>
  <si>
    <t>=IF(K1775=0,"hide","")</t>
  </si>
  <si>
    <t>=D1774</t>
  </si>
  <si>
    <t>=NL("sum","Production Order","Quantity","Source No.",$D1775,"Equipment Code",$L1775,"due date",F$8)/-12</t>
  </si>
  <si>
    <t>=NL("sum","Production Order","Quantity","Source No.",$D1775,"Equipment Code",$L1775,"due date",G$8)/-12</t>
  </si>
  <si>
    <t>=NL("sum","Production Order","Quantity","Source No.",$D1775,"Equipment Code",$L1775,"due date",H$8)/-12</t>
  </si>
  <si>
    <t>=NL("sum","Production Order","Quantity","Source No.",$D1775,"Equipment Code",$L1775,"due date",I$8)/-12</t>
  </si>
  <si>
    <t>=NL("sum","Production Order","Quantity","Source No.",$D1775,"Equipment Code",$L1775,"due date",J$8)/$J$7</t>
  </si>
  <si>
    <t>=AVERAGE(I1775:J1775)</t>
  </si>
  <si>
    <t>=B1772</t>
  </si>
  <si>
    <t>=B1776</t>
  </si>
  <si>
    <t>=SUM(F1772:F1776)</t>
  </si>
  <si>
    <t>=SUM(G1772:G1776)</t>
  </si>
  <si>
    <t>=SUM(H1772:H1776)</t>
  </si>
  <si>
    <t>=SUM(I1772:I1776)</t>
  </si>
  <si>
    <t>=SUM(J1772:J1776)</t>
  </si>
  <si>
    <t>=IF(K1778=0,"hide","")</t>
  </si>
  <si>
    <t>="20666"</t>
  </si>
  <si>
    <t>=NL("rows","Production BOM Version","Version Code","Production BOM No.",D1778,"status","certified")</t>
  </si>
  <si>
    <t>=NL("sum","Item Ledger Entry","Quantity","Item No.",$D1778,"Entry Type","Sale|Consumption","posting date","01/01/19..12/31/19")/-12</t>
  </si>
  <si>
    <t>=NL("sum","Item Ledger Entry","Quantity","Item No.",$D1778,"Entry Type","Sale|Consumption","posting date","01/01/20..12/31/20")/-12</t>
  </si>
  <si>
    <t>=NL("sum","Item Ledger Entry","Quantity","Item No.",$D1778,"Entry Type","Sale|Consumption","posting date","01/01/21..12/31/21")/-12</t>
  </si>
  <si>
    <t>=NL("sum","Item Ledger Entry","Quantity","Item No.",$D1778,"Entry Type","Sale|Consumption","posting date","01/01/22..12/31/22")/-12</t>
  </si>
  <si>
    <t>=NL("sum","Item Ledger Entry","Quantity","Item No.",$D1778,"Entry Type","Sale|Consumption","posting date","01/01/23..12/31/23")/$J$7</t>
  </si>
  <si>
    <t>=AVERAGE(I1778:J1778)</t>
  </si>
  <si>
    <t>=NL(1,"item",L$9,"no.",D1778)</t>
  </si>
  <si>
    <t>=NL(1,"item",M$9,"no.",$D1778)</t>
  </si>
  <si>
    <t>=NL(1,"item","Units Per Parcel","no.",$D1778)</t>
  </si>
  <si>
    <t>=NL(1,"Prod. BOM Equipment","Fixed Prod. Time (Hours)","Production BOM No.",$D1778,"version code",$E1778,"Resource No.",O$9)</t>
  </si>
  <si>
    <t>=1/O1778</t>
  </si>
  <si>
    <t>=IF(NL(1,"Prod. BOM Equipment","Variable Prod. Time (Hours)","Production BOM No.",$D1778,"version code",$E1778,"Resource No.",$O$9)="",1,NL(1,"Prod. BOM Equipment","Variable Prod. Time (Hours)","Production BOM No.",$D1778,"version code",$E1778,"Resource No.",$O$9))</t>
  </si>
  <si>
    <t>=1/Q1778</t>
  </si>
  <si>
    <t>=R1778*N1778</t>
  </si>
  <si>
    <t>=IF(K1779=0,"hide","")</t>
  </si>
  <si>
    <t>=D1778</t>
  </si>
  <si>
    <t>=NL("sum","Production Order","Quantity","Source No.",$D1779,"Equipment Code",$L1779,"due date",F$8)/-12</t>
  </si>
  <si>
    <t>=NL("sum","Production Order","Quantity","Source No.",$D1779,"Equipment Code",$L1779,"due date",G$8)/-12</t>
  </si>
  <si>
    <t>=NL("sum","Production Order","Quantity","Source No.",$D1779,"Equipment Code",$L1779,"due date",H$8)/-12</t>
  </si>
  <si>
    <t>=NL("sum","Production Order","Quantity","Source No.",$D1779,"Equipment Code",$L1779,"due date",I$8)/-12</t>
  </si>
  <si>
    <t>=NL("sum","Production Order","Quantity","Source No.",$D1779,"Equipment Code",$L1779,"due date",J$8)/$J$7</t>
  </si>
  <si>
    <t>=AVERAGE(I1779:J1779)</t>
  </si>
  <si>
    <t>=IF(K1780=0,"hide","")</t>
  </si>
  <si>
    <t>=D1779</t>
  </si>
  <si>
    <t>=NL("sum","Production Order","Quantity","Source No.",$D1780,"Equipment Code",$L1780,"due date",F$8)/-12</t>
  </si>
  <si>
    <t>=NL("sum","Production Order","Quantity","Source No.",$D1780,"Equipment Code",$L1780,"due date",G$8)/-12</t>
  </si>
  <si>
    <t>=NL("sum","Production Order","Quantity","Source No.",$D1780,"Equipment Code",$L1780,"due date",H$8)/-12</t>
  </si>
  <si>
    <t>=NL("sum","Production Order","Quantity","Source No.",$D1780,"Equipment Code",$L1780,"due date",I$8)/-12</t>
  </si>
  <si>
    <t>=NL("sum","Production Order","Quantity","Source No.",$D1780,"Equipment Code",$L1780,"due date",J$8)/$J$7</t>
  </si>
  <si>
    <t>=AVERAGE(I1780:J1780)</t>
  </si>
  <si>
    <t>=IF(K1781=0,"hide","")</t>
  </si>
  <si>
    <t>=D1780</t>
  </si>
  <si>
    <t>=NL("sum","Production Order","Quantity","Source No.",$D1781,"Equipment Code",$L1781,"due date",F$8)/-12</t>
  </si>
  <si>
    <t>=NL("sum","Production Order","Quantity","Source No.",$D1781,"Equipment Code",$L1781,"due date",G$8)/-12</t>
  </si>
  <si>
    <t>=NL("sum","Production Order","Quantity","Source No.",$D1781,"Equipment Code",$L1781,"due date",H$8)/-12</t>
  </si>
  <si>
    <t>=NL("sum","Production Order","Quantity","Source No.",$D1781,"Equipment Code",$L1781,"due date",I$8)/-12</t>
  </si>
  <si>
    <t>=NL("sum","Production Order","Quantity","Source No.",$D1781,"Equipment Code",$L1781,"due date",J$8)/$J$7</t>
  </si>
  <si>
    <t>=AVERAGE(I1781:J1781)</t>
  </si>
  <si>
    <t>=IF(K1782=0,"hide","")</t>
  </si>
  <si>
    <t>=D1781</t>
  </si>
  <si>
    <t>=NL("sum","Production Order","Quantity","Source No.",$D1782,"Equipment Code",$L1782,"due date",F$8)/-12</t>
  </si>
  <si>
    <t>=NL("sum","Production Order","Quantity","Source No.",$D1782,"Equipment Code",$L1782,"due date",G$8)/-12</t>
  </si>
  <si>
    <t>=NL("sum","Production Order","Quantity","Source No.",$D1782,"Equipment Code",$L1782,"due date",H$8)/-12</t>
  </si>
  <si>
    <t>=NL("sum","Production Order","Quantity","Source No.",$D1782,"Equipment Code",$L1782,"due date",I$8)/-12</t>
  </si>
  <si>
    <t>=NL("sum","Production Order","Quantity","Source No.",$D1782,"Equipment Code",$L1782,"due date",J$8)/$J$7</t>
  </si>
  <si>
    <t>=AVERAGE(I1782:J1782)</t>
  </si>
  <si>
    <t>=B1779</t>
  </si>
  <si>
    <t>=B1783</t>
  </si>
  <si>
    <t>=SUM(F1779:F1783)</t>
  </si>
  <si>
    <t>=SUM(G1779:G1783)</t>
  </si>
  <si>
    <t>=SUM(H1779:H1783)</t>
  </si>
  <si>
    <t>=SUM(I1779:I1783)</t>
  </si>
  <si>
    <t>=SUM(J1779:J1783)</t>
  </si>
  <si>
    <t>=IF(K1785=0,"hide","")</t>
  </si>
  <si>
    <t>="20670"</t>
  </si>
  <si>
    <t>=NL("rows","Production BOM Version","Version Code","Production BOM No.",D1785,"status","certified")</t>
  </si>
  <si>
    <t>=NL("sum","Item Ledger Entry","Quantity","Item No.",$D1785,"Entry Type","Sale|Consumption","posting date","01/01/19..12/31/19")/-12</t>
  </si>
  <si>
    <t>=NL("sum","Item Ledger Entry","Quantity","Item No.",$D1785,"Entry Type","Sale|Consumption","posting date","01/01/20..12/31/20")/-12</t>
  </si>
  <si>
    <t>=NL("sum","Item Ledger Entry","Quantity","Item No.",$D1785,"Entry Type","Sale|Consumption","posting date","01/01/21..12/31/21")/-12</t>
  </si>
  <si>
    <t>=NL("sum","Item Ledger Entry","Quantity","Item No.",$D1785,"Entry Type","Sale|Consumption","posting date","01/01/22..12/31/22")/-12</t>
  </si>
  <si>
    <t>=NL("sum","Item Ledger Entry","Quantity","Item No.",$D1785,"Entry Type","Sale|Consumption","posting date","01/01/23..12/31/23")/$J$7</t>
  </si>
  <si>
    <t>=AVERAGE(I1785:J1785)</t>
  </si>
  <si>
    <t>=NL(1,"item",L$9,"no.",D1785)</t>
  </si>
  <si>
    <t>=NL(1,"item",M$9,"no.",$D1785)</t>
  </si>
  <si>
    <t>=NL(1,"item","Units Per Parcel","no.",$D1785)</t>
  </si>
  <si>
    <t>=NL(1,"Prod. BOM Equipment","Fixed Prod. Time (Hours)","Production BOM No.",$D1785,"version code",$E1785,"Resource No.",O$9)</t>
  </si>
  <si>
    <t>=1/O1785</t>
  </si>
  <si>
    <t>=IF(NL(1,"Prod. BOM Equipment","Variable Prod. Time (Hours)","Production BOM No.",$D1785,"version code",$E1785,"Resource No.",$O$9)="",1,NL(1,"Prod. BOM Equipment","Variable Prod. Time (Hours)","Production BOM No.",$D1785,"version code",$E1785,"Resource No.",$O$9))</t>
  </si>
  <si>
    <t>=1/Q1785</t>
  </si>
  <si>
    <t>=R1785*N1785</t>
  </si>
  <si>
    <t>=IF(K1786=0,"hide","")</t>
  </si>
  <si>
    <t>=D1785</t>
  </si>
  <si>
    <t>=NL("sum","Production Order","Quantity","Source No.",$D1786,"Equipment Code",$L1786,"due date",F$8)/-12</t>
  </si>
  <si>
    <t>=NL("sum","Production Order","Quantity","Source No.",$D1786,"Equipment Code",$L1786,"due date",G$8)/-12</t>
  </si>
  <si>
    <t>=NL("sum","Production Order","Quantity","Source No.",$D1786,"Equipment Code",$L1786,"due date",H$8)/-12</t>
  </si>
  <si>
    <t>=NL("sum","Production Order","Quantity","Source No.",$D1786,"Equipment Code",$L1786,"due date",I$8)/-12</t>
  </si>
  <si>
    <t>=NL("sum","Production Order","Quantity","Source No.",$D1786,"Equipment Code",$L1786,"due date",J$8)/$J$7</t>
  </si>
  <si>
    <t>=AVERAGE(I1786:J1786)</t>
  </si>
  <si>
    <t>=IF(K1787=0,"hide","")</t>
  </si>
  <si>
    <t>=D1786</t>
  </si>
  <si>
    <t>=NL("sum","Production Order","Quantity","Source No.",$D1787,"Equipment Code",$L1787,"due date",F$8)/-12</t>
  </si>
  <si>
    <t>=NL("sum","Production Order","Quantity","Source No.",$D1787,"Equipment Code",$L1787,"due date",G$8)/-12</t>
  </si>
  <si>
    <t>=NL("sum","Production Order","Quantity","Source No.",$D1787,"Equipment Code",$L1787,"due date",H$8)/-12</t>
  </si>
  <si>
    <t>=NL("sum","Production Order","Quantity","Source No.",$D1787,"Equipment Code",$L1787,"due date",I$8)/-12</t>
  </si>
  <si>
    <t>=NL("sum","Production Order","Quantity","Source No.",$D1787,"Equipment Code",$L1787,"due date",J$8)/$J$7</t>
  </si>
  <si>
    <t>=AVERAGE(I1787:J1787)</t>
  </si>
  <si>
    <t>=IF(K1788=0,"hide","")</t>
  </si>
  <si>
    <t>=D1787</t>
  </si>
  <si>
    <t>=NL("sum","Production Order","Quantity","Source No.",$D1788,"Equipment Code",$L1788,"due date",F$8)/-12</t>
  </si>
  <si>
    <t>=NL("sum","Production Order","Quantity","Source No.",$D1788,"Equipment Code",$L1788,"due date",G$8)/-12</t>
  </si>
  <si>
    <t>=NL("sum","Production Order","Quantity","Source No.",$D1788,"Equipment Code",$L1788,"due date",H$8)/-12</t>
  </si>
  <si>
    <t>=NL("sum","Production Order","Quantity","Source No.",$D1788,"Equipment Code",$L1788,"due date",I$8)/-12</t>
  </si>
  <si>
    <t>=NL("sum","Production Order","Quantity","Source No.",$D1788,"Equipment Code",$L1788,"due date",J$8)/$J$7</t>
  </si>
  <si>
    <t>=AVERAGE(I1788:J1788)</t>
  </si>
  <si>
    <t>=IF(K1789=0,"hide","")</t>
  </si>
  <si>
    <t>=D1788</t>
  </si>
  <si>
    <t>=NL("sum","Production Order","Quantity","Source No.",$D1789,"Equipment Code",$L1789,"due date",F$8)/-12</t>
  </si>
  <si>
    <t>=NL("sum","Production Order","Quantity","Source No.",$D1789,"Equipment Code",$L1789,"due date",G$8)/-12</t>
  </si>
  <si>
    <t>=NL("sum","Production Order","Quantity","Source No.",$D1789,"Equipment Code",$L1789,"due date",H$8)/-12</t>
  </si>
  <si>
    <t>=NL("sum","Production Order","Quantity","Source No.",$D1789,"Equipment Code",$L1789,"due date",I$8)/-12</t>
  </si>
  <si>
    <t>=NL("sum","Production Order","Quantity","Source No.",$D1789,"Equipment Code",$L1789,"due date",J$8)/$J$7</t>
  </si>
  <si>
    <t>=AVERAGE(I1789:J1789)</t>
  </si>
  <si>
    <t>=B1786</t>
  </si>
  <si>
    <t>=B1790</t>
  </si>
  <si>
    <t>=SUM(F1786:F1790)</t>
  </si>
  <si>
    <t>=SUM(G1786:G1790)</t>
  </si>
  <si>
    <t>=SUM(H1786:H1790)</t>
  </si>
  <si>
    <t>=SUM(I1786:I1790)</t>
  </si>
  <si>
    <t>=SUM(J1786:J1790)</t>
  </si>
  <si>
    <t>=IF(K1792=0,"hide","")</t>
  </si>
  <si>
    <t>="20675"</t>
  </si>
  <si>
    <t>=NL("rows","Production BOM Version","Version Code","Production BOM No.",D1792,"status","certified")</t>
  </si>
  <si>
    <t>=NL("sum","Item Ledger Entry","Quantity","Item No.",$D1792,"Entry Type","Sale|Consumption","posting date","01/01/19..12/31/19")/-12</t>
  </si>
  <si>
    <t>=NL("sum","Item Ledger Entry","Quantity","Item No.",$D1792,"Entry Type","Sale|Consumption","posting date","01/01/20..12/31/20")/-12</t>
  </si>
  <si>
    <t>=NL("sum","Item Ledger Entry","Quantity","Item No.",$D1792,"Entry Type","Sale|Consumption","posting date","01/01/21..12/31/21")/-12</t>
  </si>
  <si>
    <t>=NL("sum","Item Ledger Entry","Quantity","Item No.",$D1792,"Entry Type","Sale|Consumption","posting date","01/01/22..12/31/22")/-12</t>
  </si>
  <si>
    <t>=NL("sum","Item Ledger Entry","Quantity","Item No.",$D1792,"Entry Type","Sale|Consumption","posting date","01/01/23..12/31/23")/$J$7</t>
  </si>
  <si>
    <t>=AVERAGE(I1792:J1792)</t>
  </si>
  <si>
    <t>=NL(1,"item",L$9,"no.",D1792)</t>
  </si>
  <si>
    <t>=NL(1,"item",M$9,"no.",$D1792)</t>
  </si>
  <si>
    <t>=NL(1,"item","Units Per Parcel","no.",$D1792)</t>
  </si>
  <si>
    <t>=NL(1,"Prod. BOM Equipment","Fixed Prod. Time (Hours)","Production BOM No.",$D1792,"version code",$E1792,"Resource No.",O$9)</t>
  </si>
  <si>
    <t>=1/O1792</t>
  </si>
  <si>
    <t>=IF(NL(1,"Prod. BOM Equipment","Variable Prod. Time (Hours)","Production BOM No.",$D1792,"version code",$E1792,"Resource No.",$O$9)="",1,NL(1,"Prod. BOM Equipment","Variable Prod. Time (Hours)","Production BOM No.",$D1792,"version code",$E1792,"Resource No.",$O$9))</t>
  </si>
  <si>
    <t>=1/Q1792</t>
  </si>
  <si>
    <t>=R1792*N1792</t>
  </si>
  <si>
    <t>=IF(K1793=0,"hide","")</t>
  </si>
  <si>
    <t>=D1792</t>
  </si>
  <si>
    <t>=NL("sum","Production Order","Quantity","Source No.",$D1793,"Equipment Code",$L1793,"due date",F$8)/-12</t>
  </si>
  <si>
    <t>=NL("sum","Production Order","Quantity","Source No.",$D1793,"Equipment Code",$L1793,"due date",G$8)/-12</t>
  </si>
  <si>
    <t>=NL("sum","Production Order","Quantity","Source No.",$D1793,"Equipment Code",$L1793,"due date",H$8)/-12</t>
  </si>
  <si>
    <t>=NL("sum","Production Order","Quantity","Source No.",$D1793,"Equipment Code",$L1793,"due date",I$8)/-12</t>
  </si>
  <si>
    <t>=NL("sum","Production Order","Quantity","Source No.",$D1793,"Equipment Code",$L1793,"due date",J$8)/$J$7</t>
  </si>
  <si>
    <t>=AVERAGE(I1793:J1793)</t>
  </si>
  <si>
    <t>=IF(K1794=0,"hide","")</t>
  </si>
  <si>
    <t>=D1793</t>
  </si>
  <si>
    <t>=NL("sum","Production Order","Quantity","Source No.",$D1794,"Equipment Code",$L1794,"due date",F$8)/-12</t>
  </si>
  <si>
    <t>=NL("sum","Production Order","Quantity","Source No.",$D1794,"Equipment Code",$L1794,"due date",G$8)/-12</t>
  </si>
  <si>
    <t>=NL("sum","Production Order","Quantity","Source No.",$D1794,"Equipment Code",$L1794,"due date",H$8)/-12</t>
  </si>
  <si>
    <t>=NL("sum","Production Order","Quantity","Source No.",$D1794,"Equipment Code",$L1794,"due date",I$8)/-12</t>
  </si>
  <si>
    <t>=NL("sum","Production Order","Quantity","Source No.",$D1794,"Equipment Code",$L1794,"due date",J$8)/$J$7</t>
  </si>
  <si>
    <t>=AVERAGE(I1794:J1794)</t>
  </si>
  <si>
    <t>=IF(K1795=0,"hide","")</t>
  </si>
  <si>
    <t>=D1794</t>
  </si>
  <si>
    <t>=NL("sum","Production Order","Quantity","Source No.",$D1795,"Equipment Code",$L1795,"due date",F$8)/-12</t>
  </si>
  <si>
    <t>=NL("sum","Production Order","Quantity","Source No.",$D1795,"Equipment Code",$L1795,"due date",G$8)/-12</t>
  </si>
  <si>
    <t>=NL("sum","Production Order","Quantity","Source No.",$D1795,"Equipment Code",$L1795,"due date",H$8)/-12</t>
  </si>
  <si>
    <t>=NL("sum","Production Order","Quantity","Source No.",$D1795,"Equipment Code",$L1795,"due date",I$8)/-12</t>
  </si>
  <si>
    <t>=NL("sum","Production Order","Quantity","Source No.",$D1795,"Equipment Code",$L1795,"due date",J$8)/$J$7</t>
  </si>
  <si>
    <t>=AVERAGE(I1795:J1795)</t>
  </si>
  <si>
    <t>=IF(K1796=0,"hide","")</t>
  </si>
  <si>
    <t>=D1795</t>
  </si>
  <si>
    <t>=NL("sum","Production Order","Quantity","Source No.",$D1796,"Equipment Code",$L1796,"due date",F$8)/-12</t>
  </si>
  <si>
    <t>=NL("sum","Production Order","Quantity","Source No.",$D1796,"Equipment Code",$L1796,"due date",G$8)/-12</t>
  </si>
  <si>
    <t>=NL("sum","Production Order","Quantity","Source No.",$D1796,"Equipment Code",$L1796,"due date",H$8)/-12</t>
  </si>
  <si>
    <t>=NL("sum","Production Order","Quantity","Source No.",$D1796,"Equipment Code",$L1796,"due date",I$8)/-12</t>
  </si>
  <si>
    <t>=NL("sum","Production Order","Quantity","Source No.",$D1796,"Equipment Code",$L1796,"due date",J$8)/$J$7</t>
  </si>
  <si>
    <t>=AVERAGE(I1796:J1796)</t>
  </si>
  <si>
    <t>=B1793</t>
  </si>
  <si>
    <t>=B1797</t>
  </si>
  <si>
    <t>=SUM(F1793:F1797)</t>
  </si>
  <si>
    <t>=SUM(G1793:G1797)</t>
  </si>
  <si>
    <t>=SUM(H1793:H1797)</t>
  </si>
  <si>
    <t>=SUM(I1793:I1797)</t>
  </si>
  <si>
    <t>=SUM(J1793:J1797)</t>
  </si>
  <si>
    <t>=IF(K1799=0,"hide","")</t>
  </si>
  <si>
    <t>="20701"</t>
  </si>
  <si>
    <t>=NL("rows","Production BOM Version","Version Code","Production BOM No.",D1799,"status","certified")</t>
  </si>
  <si>
    <t>=NL("sum","Item Ledger Entry","Quantity","Item No.",$D1799,"Entry Type","Sale|Consumption","posting date","01/01/19..12/31/19")/-12</t>
  </si>
  <si>
    <t>=NL("sum","Item Ledger Entry","Quantity","Item No.",$D1799,"Entry Type","Sale|Consumption","posting date","01/01/20..12/31/20")/-12</t>
  </si>
  <si>
    <t>=NL("sum","Item Ledger Entry","Quantity","Item No.",$D1799,"Entry Type","Sale|Consumption","posting date","01/01/21..12/31/21")/-12</t>
  </si>
  <si>
    <t>=NL("sum","Item Ledger Entry","Quantity","Item No.",$D1799,"Entry Type","Sale|Consumption","posting date","01/01/22..12/31/22")/-12</t>
  </si>
  <si>
    <t>=NL("sum","Item Ledger Entry","Quantity","Item No.",$D1799,"Entry Type","Sale|Consumption","posting date","01/01/23..12/31/23")/$J$7</t>
  </si>
  <si>
    <t>=AVERAGE(I1799:J1799)</t>
  </si>
  <si>
    <t>=NL(1,"item",L$9,"no.",D1799)</t>
  </si>
  <si>
    <t>=NL(1,"item",M$9,"no.",$D1799)</t>
  </si>
  <si>
    <t>=NL(1,"item","Units Per Parcel","no.",$D1799)</t>
  </si>
  <si>
    <t>=NL(1,"Prod. BOM Equipment","Fixed Prod. Time (Hours)","Production BOM No.",$D1799,"version code",$E1799,"Resource No.",O$9)</t>
  </si>
  <si>
    <t>=1/O1799</t>
  </si>
  <si>
    <t>=IF(NL(1,"Prod. BOM Equipment","Variable Prod. Time (Hours)","Production BOM No.",$D1799,"version code",$E1799,"Resource No.",$O$9)="",1,NL(1,"Prod. BOM Equipment","Variable Prod. Time (Hours)","Production BOM No.",$D1799,"version code",$E1799,"Resource No.",$O$9))</t>
  </si>
  <si>
    <t>=1/Q1799</t>
  </si>
  <si>
    <t>=R1799*N1799</t>
  </si>
  <si>
    <t>=IF(K1800=0,"hide","")</t>
  </si>
  <si>
    <t>=D1799</t>
  </si>
  <si>
    <t>=NL("sum","Production Order","Quantity","Source No.",$D1800,"Equipment Code",$L1800,"due date",F$8)/-12</t>
  </si>
  <si>
    <t>=NL("sum","Production Order","Quantity","Source No.",$D1800,"Equipment Code",$L1800,"due date",G$8)/-12</t>
  </si>
  <si>
    <t>=NL("sum","Production Order","Quantity","Source No.",$D1800,"Equipment Code",$L1800,"due date",H$8)/-12</t>
  </si>
  <si>
    <t>=NL("sum","Production Order","Quantity","Source No.",$D1800,"Equipment Code",$L1800,"due date",I$8)/-12</t>
  </si>
  <si>
    <t>=NL("sum","Production Order","Quantity","Source No.",$D1800,"Equipment Code",$L1800,"due date",J$8)/$J$7</t>
  </si>
  <si>
    <t>=AVERAGE(I1800:J1800)</t>
  </si>
  <si>
    <t>=IF(K1801=0,"hide","")</t>
  </si>
  <si>
    <t>=D1800</t>
  </si>
  <si>
    <t>=NL("sum","Production Order","Quantity","Source No.",$D1801,"Equipment Code",$L1801,"due date",F$8)/-12</t>
  </si>
  <si>
    <t>=NL("sum","Production Order","Quantity","Source No.",$D1801,"Equipment Code",$L1801,"due date",G$8)/-12</t>
  </si>
  <si>
    <t>=NL("sum","Production Order","Quantity","Source No.",$D1801,"Equipment Code",$L1801,"due date",H$8)/-12</t>
  </si>
  <si>
    <t>=NL("sum","Production Order","Quantity","Source No.",$D1801,"Equipment Code",$L1801,"due date",I$8)/-12</t>
  </si>
  <si>
    <t>=NL("sum","Production Order","Quantity","Source No.",$D1801,"Equipment Code",$L1801,"due date",J$8)/$J$7</t>
  </si>
  <si>
    <t>=AVERAGE(I1801:J1801)</t>
  </si>
  <si>
    <t>=IF(K1802=0,"hide","")</t>
  </si>
  <si>
    <t>=D1801</t>
  </si>
  <si>
    <t>=NL("sum","Production Order","Quantity","Source No.",$D1802,"Equipment Code",$L1802,"due date",F$8)/-12</t>
  </si>
  <si>
    <t>=NL("sum","Production Order","Quantity","Source No.",$D1802,"Equipment Code",$L1802,"due date",G$8)/-12</t>
  </si>
  <si>
    <t>=NL("sum","Production Order","Quantity","Source No.",$D1802,"Equipment Code",$L1802,"due date",H$8)/-12</t>
  </si>
  <si>
    <t>=NL("sum","Production Order","Quantity","Source No.",$D1802,"Equipment Code",$L1802,"due date",I$8)/-12</t>
  </si>
  <si>
    <t>=NL("sum","Production Order","Quantity","Source No.",$D1802,"Equipment Code",$L1802,"due date",J$8)/$J$7</t>
  </si>
  <si>
    <t>=AVERAGE(I1802:J1802)</t>
  </si>
  <si>
    <t>=IF(K1803=0,"hide","")</t>
  </si>
  <si>
    <t>=D1802</t>
  </si>
  <si>
    <t>=NL("sum","Production Order","Quantity","Source No.",$D1803,"Equipment Code",$L1803,"due date",F$8)/-12</t>
  </si>
  <si>
    <t>=NL("sum","Production Order","Quantity","Source No.",$D1803,"Equipment Code",$L1803,"due date",G$8)/-12</t>
  </si>
  <si>
    <t>=NL("sum","Production Order","Quantity","Source No.",$D1803,"Equipment Code",$L1803,"due date",H$8)/-12</t>
  </si>
  <si>
    <t>=NL("sum","Production Order","Quantity","Source No.",$D1803,"Equipment Code",$L1803,"due date",I$8)/-12</t>
  </si>
  <si>
    <t>=NL("sum","Production Order","Quantity","Source No.",$D1803,"Equipment Code",$L1803,"due date",J$8)/$J$7</t>
  </si>
  <si>
    <t>=AVERAGE(I1803:J1803)</t>
  </si>
  <si>
    <t>=B1800</t>
  </si>
  <si>
    <t>=B1804</t>
  </si>
  <si>
    <t>=SUM(F1800:F1804)</t>
  </si>
  <si>
    <t>=SUM(G1800:G1804)</t>
  </si>
  <si>
    <t>=SUM(H1800:H1804)</t>
  </si>
  <si>
    <t>=SUM(I1800:I1804)</t>
  </si>
  <si>
    <t>=SUM(J1800:J1804)</t>
  </si>
  <si>
    <t>=IF(K1806=0,"hide","")</t>
  </si>
  <si>
    <t>="20751"</t>
  </si>
  <si>
    <t>=NL("rows","Production BOM Version","Version Code","Production BOM No.",D1806,"status","certified")</t>
  </si>
  <si>
    <t>=NL("sum","Item Ledger Entry","Quantity","Item No.",$D1806,"Entry Type","Sale|Consumption","posting date","01/01/19..12/31/19")/-12</t>
  </si>
  <si>
    <t>=NL("sum","Item Ledger Entry","Quantity","Item No.",$D1806,"Entry Type","Sale|Consumption","posting date","01/01/20..12/31/20")/-12</t>
  </si>
  <si>
    <t>=NL("sum","Item Ledger Entry","Quantity","Item No.",$D1806,"Entry Type","Sale|Consumption","posting date","01/01/21..12/31/21")/-12</t>
  </si>
  <si>
    <t>=NL("sum","Item Ledger Entry","Quantity","Item No.",$D1806,"Entry Type","Sale|Consumption","posting date","01/01/22..12/31/22")/-12</t>
  </si>
  <si>
    <t>=NL("sum","Item Ledger Entry","Quantity","Item No.",$D1806,"Entry Type","Sale|Consumption","posting date","01/01/23..12/31/23")/$J$7</t>
  </si>
  <si>
    <t>=AVERAGE(I1806:J1806)</t>
  </si>
  <si>
    <t>=NL(1,"item",L$9,"no.",D1806)</t>
  </si>
  <si>
    <t>=NL(1,"item",M$9,"no.",$D1806)</t>
  </si>
  <si>
    <t>=NL(1,"item","Units Per Parcel","no.",$D1806)</t>
  </si>
  <si>
    <t>=NL(1,"Prod. BOM Equipment","Fixed Prod. Time (Hours)","Production BOM No.",$D1806,"version code",$E1806,"Resource No.",O$9)</t>
  </si>
  <si>
    <t>=1/O1806</t>
  </si>
  <si>
    <t>=IF(NL(1,"Prod. BOM Equipment","Variable Prod. Time (Hours)","Production BOM No.",$D1806,"version code",$E1806,"Resource No.",$O$9)="",1,NL(1,"Prod. BOM Equipment","Variable Prod. Time (Hours)","Production BOM No.",$D1806,"version code",$E1806,"Resource No.",$O$9))</t>
  </si>
  <si>
    <t>=1/Q1806</t>
  </si>
  <si>
    <t>=R1806*N1806</t>
  </si>
  <si>
    <t>=IF(K1807=0,"hide","")</t>
  </si>
  <si>
    <t>=D1806</t>
  </si>
  <si>
    <t>=NL("sum","Production Order","Quantity","Source No.",$D1807,"Equipment Code",$L1807,"due date",F$8)/-12</t>
  </si>
  <si>
    <t>=NL("sum","Production Order","Quantity","Source No.",$D1807,"Equipment Code",$L1807,"due date",G$8)/-12</t>
  </si>
  <si>
    <t>=NL("sum","Production Order","Quantity","Source No.",$D1807,"Equipment Code",$L1807,"due date",H$8)/-12</t>
  </si>
  <si>
    <t>=NL("sum","Production Order","Quantity","Source No.",$D1807,"Equipment Code",$L1807,"due date",I$8)/-12</t>
  </si>
  <si>
    <t>=NL("sum","Production Order","Quantity","Source No.",$D1807,"Equipment Code",$L1807,"due date",J$8)/$J$7</t>
  </si>
  <si>
    <t>=AVERAGE(I1807:J1807)</t>
  </si>
  <si>
    <t>=IF(K1808=0,"hide","")</t>
  </si>
  <si>
    <t>=D1807</t>
  </si>
  <si>
    <t>=NL("sum","Production Order","Quantity","Source No.",$D1808,"Equipment Code",$L1808,"due date",F$8)/-12</t>
  </si>
  <si>
    <t>=NL("sum","Production Order","Quantity","Source No.",$D1808,"Equipment Code",$L1808,"due date",G$8)/-12</t>
  </si>
  <si>
    <t>=NL("sum","Production Order","Quantity","Source No.",$D1808,"Equipment Code",$L1808,"due date",H$8)/-12</t>
  </si>
  <si>
    <t>=NL("sum","Production Order","Quantity","Source No.",$D1808,"Equipment Code",$L1808,"due date",I$8)/-12</t>
  </si>
  <si>
    <t>=NL("sum","Production Order","Quantity","Source No.",$D1808,"Equipment Code",$L1808,"due date",J$8)/$J$7</t>
  </si>
  <si>
    <t>=AVERAGE(I1808:J1808)</t>
  </si>
  <si>
    <t>=IF(K1809=0,"hide","")</t>
  </si>
  <si>
    <t>=D1808</t>
  </si>
  <si>
    <t>=NL("sum","Production Order","Quantity","Source No.",$D1809,"Equipment Code",$L1809,"due date",F$8)/-12</t>
  </si>
  <si>
    <t>=NL("sum","Production Order","Quantity","Source No.",$D1809,"Equipment Code",$L1809,"due date",G$8)/-12</t>
  </si>
  <si>
    <t>=NL("sum","Production Order","Quantity","Source No.",$D1809,"Equipment Code",$L1809,"due date",H$8)/-12</t>
  </si>
  <si>
    <t>=NL("sum","Production Order","Quantity","Source No.",$D1809,"Equipment Code",$L1809,"due date",I$8)/-12</t>
  </si>
  <si>
    <t>=NL("sum","Production Order","Quantity","Source No.",$D1809,"Equipment Code",$L1809,"due date",J$8)/$J$7</t>
  </si>
  <si>
    <t>=AVERAGE(I1809:J1809)</t>
  </si>
  <si>
    <t>=IF(K1810=0,"hide","")</t>
  </si>
  <si>
    <t>=D1809</t>
  </si>
  <si>
    <t>=NL("sum","Production Order","Quantity","Source No.",$D1810,"Equipment Code",$L1810,"due date",F$8)/-12</t>
  </si>
  <si>
    <t>=NL("sum","Production Order","Quantity","Source No.",$D1810,"Equipment Code",$L1810,"due date",G$8)/-12</t>
  </si>
  <si>
    <t>=NL("sum","Production Order","Quantity","Source No.",$D1810,"Equipment Code",$L1810,"due date",H$8)/-12</t>
  </si>
  <si>
    <t>=NL("sum","Production Order","Quantity","Source No.",$D1810,"Equipment Code",$L1810,"due date",I$8)/-12</t>
  </si>
  <si>
    <t>=NL("sum","Production Order","Quantity","Source No.",$D1810,"Equipment Code",$L1810,"due date",J$8)/$J$7</t>
  </si>
  <si>
    <t>=AVERAGE(I1810:J1810)</t>
  </si>
  <si>
    <t>=B1807</t>
  </si>
  <si>
    <t>=B1811</t>
  </si>
  <si>
    <t>=SUM(F1807:F1811)</t>
  </si>
  <si>
    <t>=SUM(G1807:G1811)</t>
  </si>
  <si>
    <t>=SUM(H1807:H1811)</t>
  </si>
  <si>
    <t>=SUM(I1807:I1811)</t>
  </si>
  <si>
    <t>=SUM(J1807:J1811)</t>
  </si>
  <si>
    <t>=IF(K1813=0,"hide","")</t>
  </si>
  <si>
    <t>="21005"</t>
  </si>
  <si>
    <t>=NL("rows","Production BOM Version","Version Code","Production BOM No.",D1813,"status","certified")</t>
  </si>
  <si>
    <t>=NL("sum","Item Ledger Entry","Quantity","Item No.",$D1813,"Entry Type","Sale|Consumption","posting date","01/01/19..12/31/19")/-12</t>
  </si>
  <si>
    <t>=NL("sum","Item Ledger Entry","Quantity","Item No.",$D1813,"Entry Type","Sale|Consumption","posting date","01/01/20..12/31/20")/-12</t>
  </si>
  <si>
    <t>=NL("sum","Item Ledger Entry","Quantity","Item No.",$D1813,"Entry Type","Sale|Consumption","posting date","01/01/21..12/31/21")/-12</t>
  </si>
  <si>
    <t>=NL("sum","Item Ledger Entry","Quantity","Item No.",$D1813,"Entry Type","Sale|Consumption","posting date","01/01/22..12/31/22")/-12</t>
  </si>
  <si>
    <t>=NL("sum","Item Ledger Entry","Quantity","Item No.",$D1813,"Entry Type","Sale|Consumption","posting date","01/01/23..12/31/23")/$J$7</t>
  </si>
  <si>
    <t>=AVERAGE(I1813:J1813)</t>
  </si>
  <si>
    <t>=NL(1,"item",L$9,"no.",D1813)</t>
  </si>
  <si>
    <t>=NL(1,"item",M$9,"no.",$D1813)</t>
  </si>
  <si>
    <t>=NL(1,"item","Units Per Parcel","no.",$D1813)</t>
  </si>
  <si>
    <t>=NL(1,"Prod. BOM Equipment","Fixed Prod. Time (Hours)","Production BOM No.",$D1813,"version code",$E1813,"Resource No.",O$9)</t>
  </si>
  <si>
    <t>=1/O1813</t>
  </si>
  <si>
    <t>=IF(NL(1,"Prod. BOM Equipment","Variable Prod. Time (Hours)","Production BOM No.",$D1813,"version code",$E1813,"Resource No.",$O$9)="",1,NL(1,"Prod. BOM Equipment","Variable Prod. Time (Hours)","Production BOM No.",$D1813,"version code",$E1813,"Resource No.",$O$9))</t>
  </si>
  <si>
    <t>=1/Q1813</t>
  </si>
  <si>
    <t>=R1813*N1813</t>
  </si>
  <si>
    <t>=IF(K1814=0,"hide","")</t>
  </si>
  <si>
    <t>=D1813</t>
  </si>
  <si>
    <t>=NL("sum","Production Order","Quantity","Source No.",$D1814,"Equipment Code",$L1814,"due date",F$8)/-12</t>
  </si>
  <si>
    <t>=NL("sum","Production Order","Quantity","Source No.",$D1814,"Equipment Code",$L1814,"due date",G$8)/-12</t>
  </si>
  <si>
    <t>=NL("sum","Production Order","Quantity","Source No.",$D1814,"Equipment Code",$L1814,"due date",H$8)/-12</t>
  </si>
  <si>
    <t>=NL("sum","Production Order","Quantity","Source No.",$D1814,"Equipment Code",$L1814,"due date",I$8)/-12</t>
  </si>
  <si>
    <t>=NL("sum","Production Order","Quantity","Source No.",$D1814,"Equipment Code",$L1814,"due date",J$8)/$J$7</t>
  </si>
  <si>
    <t>=AVERAGE(I1814:J1814)</t>
  </si>
  <si>
    <t>=IF(K1815=0,"hide","")</t>
  </si>
  <si>
    <t>=D1814</t>
  </si>
  <si>
    <t>=NL("sum","Production Order","Quantity","Source No.",$D1815,"Equipment Code",$L1815,"due date",F$8)/-12</t>
  </si>
  <si>
    <t>=NL("sum","Production Order","Quantity","Source No.",$D1815,"Equipment Code",$L1815,"due date",G$8)/-12</t>
  </si>
  <si>
    <t>=NL("sum","Production Order","Quantity","Source No.",$D1815,"Equipment Code",$L1815,"due date",H$8)/-12</t>
  </si>
  <si>
    <t>=NL("sum","Production Order","Quantity","Source No.",$D1815,"Equipment Code",$L1815,"due date",I$8)/-12</t>
  </si>
  <si>
    <t>=NL("sum","Production Order","Quantity","Source No.",$D1815,"Equipment Code",$L1815,"due date",J$8)/$J$7</t>
  </si>
  <si>
    <t>=AVERAGE(I1815:J1815)</t>
  </si>
  <si>
    <t>=IF(K1816=0,"hide","")</t>
  </si>
  <si>
    <t>=D1815</t>
  </si>
  <si>
    <t>=NL("sum","Production Order","Quantity","Source No.",$D1816,"Equipment Code",$L1816,"due date",F$8)/-12</t>
  </si>
  <si>
    <t>=NL("sum","Production Order","Quantity","Source No.",$D1816,"Equipment Code",$L1816,"due date",G$8)/-12</t>
  </si>
  <si>
    <t>=NL("sum","Production Order","Quantity","Source No.",$D1816,"Equipment Code",$L1816,"due date",H$8)/-12</t>
  </si>
  <si>
    <t>=NL("sum","Production Order","Quantity","Source No.",$D1816,"Equipment Code",$L1816,"due date",I$8)/-12</t>
  </si>
  <si>
    <t>=NL("sum","Production Order","Quantity","Source No.",$D1816,"Equipment Code",$L1816,"due date",J$8)/$J$7</t>
  </si>
  <si>
    <t>=AVERAGE(I1816:J1816)</t>
  </si>
  <si>
    <t>=IF(K1817=0,"hide","")</t>
  </si>
  <si>
    <t>=D1816</t>
  </si>
  <si>
    <t>=NL("sum","Production Order","Quantity","Source No.",$D1817,"Equipment Code",$L1817,"due date",F$8)/-12</t>
  </si>
  <si>
    <t>=NL("sum","Production Order","Quantity","Source No.",$D1817,"Equipment Code",$L1817,"due date",G$8)/-12</t>
  </si>
  <si>
    <t>=NL("sum","Production Order","Quantity","Source No.",$D1817,"Equipment Code",$L1817,"due date",H$8)/-12</t>
  </si>
  <si>
    <t>=NL("sum","Production Order","Quantity","Source No.",$D1817,"Equipment Code",$L1817,"due date",I$8)/-12</t>
  </si>
  <si>
    <t>=NL("sum","Production Order","Quantity","Source No.",$D1817,"Equipment Code",$L1817,"due date",J$8)/$J$7</t>
  </si>
  <si>
    <t>=AVERAGE(I1817:J1817)</t>
  </si>
  <si>
    <t>=B1814</t>
  </si>
  <si>
    <t>=B1818</t>
  </si>
  <si>
    <t>=SUM(F1814:F1818)</t>
  </si>
  <si>
    <t>=SUM(G1814:G1818)</t>
  </si>
  <si>
    <t>=SUM(H1814:H1818)</t>
  </si>
  <si>
    <t>=SUM(I1814:I1818)</t>
  </si>
  <si>
    <t>=SUM(J1814:J1818)</t>
  </si>
  <si>
    <t>=IF(K1820=0,"hide","")</t>
  </si>
  <si>
    <t>="21106"</t>
  </si>
  <si>
    <t>=NL("rows","Production BOM Version","Version Code","Production BOM No.",D1820,"status","certified")</t>
  </si>
  <si>
    <t>=NL("sum","Item Ledger Entry","Quantity","Item No.",$D1820,"Entry Type","Sale|Consumption","posting date","01/01/19..12/31/19")/-12</t>
  </si>
  <si>
    <t>=NL("sum","Item Ledger Entry","Quantity","Item No.",$D1820,"Entry Type","Sale|Consumption","posting date","01/01/20..12/31/20")/-12</t>
  </si>
  <si>
    <t>=NL("sum","Item Ledger Entry","Quantity","Item No.",$D1820,"Entry Type","Sale|Consumption","posting date","01/01/21..12/31/21")/-12</t>
  </si>
  <si>
    <t>=NL("sum","Item Ledger Entry","Quantity","Item No.",$D1820,"Entry Type","Sale|Consumption","posting date","01/01/22..12/31/22")/-12</t>
  </si>
  <si>
    <t>=NL("sum","Item Ledger Entry","Quantity","Item No.",$D1820,"Entry Type","Sale|Consumption","posting date","01/01/23..12/31/23")/$J$7</t>
  </si>
  <si>
    <t>=AVERAGE(I1820:J1820)</t>
  </si>
  <si>
    <t>=NL(1,"item",L$9,"no.",D1820)</t>
  </si>
  <si>
    <t>=NL(1,"item",M$9,"no.",$D1820)</t>
  </si>
  <si>
    <t>=NL(1,"item","Units Per Parcel","no.",$D1820)</t>
  </si>
  <si>
    <t>=NL(1,"Prod. BOM Equipment","Fixed Prod. Time (Hours)","Production BOM No.",$D1820,"version code",$E1820,"Resource No.",O$9)</t>
  </si>
  <si>
    <t>=1/O1820</t>
  </si>
  <si>
    <t>=IF(NL(1,"Prod. BOM Equipment","Variable Prod. Time (Hours)","Production BOM No.",$D1820,"version code",$E1820,"Resource No.",$O$9)="",1,NL(1,"Prod. BOM Equipment","Variable Prod. Time (Hours)","Production BOM No.",$D1820,"version code",$E1820,"Resource No.",$O$9))</t>
  </si>
  <si>
    <t>=1/Q1820</t>
  </si>
  <si>
    <t>=R1820*N1820</t>
  </si>
  <si>
    <t>=IF(K1821=0,"hide","")</t>
  </si>
  <si>
    <t>=D1820</t>
  </si>
  <si>
    <t>=NL("sum","Production Order","Quantity","Source No.",$D1821,"Equipment Code",$L1821,"due date",F$8)/-12</t>
  </si>
  <si>
    <t>=NL("sum","Production Order","Quantity","Source No.",$D1821,"Equipment Code",$L1821,"due date",G$8)/-12</t>
  </si>
  <si>
    <t>=NL("sum","Production Order","Quantity","Source No.",$D1821,"Equipment Code",$L1821,"due date",H$8)/-12</t>
  </si>
  <si>
    <t>=NL("sum","Production Order","Quantity","Source No.",$D1821,"Equipment Code",$L1821,"due date",I$8)/-12</t>
  </si>
  <si>
    <t>=NL("sum","Production Order","Quantity","Source No.",$D1821,"Equipment Code",$L1821,"due date",J$8)/$J$7</t>
  </si>
  <si>
    <t>=AVERAGE(I1821:J1821)</t>
  </si>
  <si>
    <t>=IF(K1822=0,"hide","")</t>
  </si>
  <si>
    <t>=D1821</t>
  </si>
  <si>
    <t>=NL("sum","Production Order","Quantity","Source No.",$D1822,"Equipment Code",$L1822,"due date",F$8)/-12</t>
  </si>
  <si>
    <t>=NL("sum","Production Order","Quantity","Source No.",$D1822,"Equipment Code",$L1822,"due date",G$8)/-12</t>
  </si>
  <si>
    <t>=NL("sum","Production Order","Quantity","Source No.",$D1822,"Equipment Code",$L1822,"due date",H$8)/-12</t>
  </si>
  <si>
    <t>=NL("sum","Production Order","Quantity","Source No.",$D1822,"Equipment Code",$L1822,"due date",I$8)/-12</t>
  </si>
  <si>
    <t>=NL("sum","Production Order","Quantity","Source No.",$D1822,"Equipment Code",$L1822,"due date",J$8)/$J$7</t>
  </si>
  <si>
    <t>=AVERAGE(I1822:J1822)</t>
  </si>
  <si>
    <t>=IF(K1823=0,"hide","")</t>
  </si>
  <si>
    <t>=D1822</t>
  </si>
  <si>
    <t>=NL("sum","Production Order","Quantity","Source No.",$D1823,"Equipment Code",$L1823,"due date",F$8)/-12</t>
  </si>
  <si>
    <t>=NL("sum","Production Order","Quantity","Source No.",$D1823,"Equipment Code",$L1823,"due date",G$8)/-12</t>
  </si>
  <si>
    <t>=NL("sum","Production Order","Quantity","Source No.",$D1823,"Equipment Code",$L1823,"due date",H$8)/-12</t>
  </si>
  <si>
    <t>=NL("sum","Production Order","Quantity","Source No.",$D1823,"Equipment Code",$L1823,"due date",I$8)/-12</t>
  </si>
  <si>
    <t>=NL("sum","Production Order","Quantity","Source No.",$D1823,"Equipment Code",$L1823,"due date",J$8)/$J$7</t>
  </si>
  <si>
    <t>=AVERAGE(I1823:J1823)</t>
  </si>
  <si>
    <t>=IF(K1824=0,"hide","")</t>
  </si>
  <si>
    <t>=D1823</t>
  </si>
  <si>
    <t>=NL("sum","Production Order","Quantity","Source No.",$D1824,"Equipment Code",$L1824,"due date",F$8)/-12</t>
  </si>
  <si>
    <t>=NL("sum","Production Order","Quantity","Source No.",$D1824,"Equipment Code",$L1824,"due date",G$8)/-12</t>
  </si>
  <si>
    <t>=NL("sum","Production Order","Quantity","Source No.",$D1824,"Equipment Code",$L1824,"due date",H$8)/-12</t>
  </si>
  <si>
    <t>=NL("sum","Production Order","Quantity","Source No.",$D1824,"Equipment Code",$L1824,"due date",I$8)/-12</t>
  </si>
  <si>
    <t>=NL("sum","Production Order","Quantity","Source No.",$D1824,"Equipment Code",$L1824,"due date",J$8)/$J$7</t>
  </si>
  <si>
    <t>=AVERAGE(I1824:J1824)</t>
  </si>
  <si>
    <t>=B1821</t>
  </si>
  <si>
    <t>=B1825</t>
  </si>
  <si>
    <t>=SUM(F1821:F1825)</t>
  </si>
  <si>
    <t>=SUM(G1821:G1825)</t>
  </si>
  <si>
    <t>=SUM(H1821:H1825)</t>
  </si>
  <si>
    <t>=SUM(I1821:I1825)</t>
  </si>
  <si>
    <t>=SUM(J1821:J1825)</t>
  </si>
  <si>
    <t>=IF(K1827=0,"hide","")</t>
  </si>
  <si>
    <t>="21405"</t>
  </si>
  <si>
    <t>=NL("rows","Production BOM Version","Version Code","Production BOM No.",D1827,"status","certified")</t>
  </si>
  <si>
    <t>=NL("sum","Item Ledger Entry","Quantity","Item No.",$D1827,"Entry Type","Sale|Consumption","posting date","01/01/19..12/31/19")/-12</t>
  </si>
  <si>
    <t>=NL("sum","Item Ledger Entry","Quantity","Item No.",$D1827,"Entry Type","Sale|Consumption","posting date","01/01/20..12/31/20")/-12</t>
  </si>
  <si>
    <t>=NL("sum","Item Ledger Entry","Quantity","Item No.",$D1827,"Entry Type","Sale|Consumption","posting date","01/01/21..12/31/21")/-12</t>
  </si>
  <si>
    <t>=NL("sum","Item Ledger Entry","Quantity","Item No.",$D1827,"Entry Type","Sale|Consumption","posting date","01/01/22..12/31/22")/-12</t>
  </si>
  <si>
    <t>=NL("sum","Item Ledger Entry","Quantity","Item No.",$D1827,"Entry Type","Sale|Consumption","posting date","01/01/23..12/31/23")/$J$7</t>
  </si>
  <si>
    <t>=AVERAGE(I1827:J1827)</t>
  </si>
  <si>
    <t>=NL(1,"item",L$9,"no.",D1827)</t>
  </si>
  <si>
    <t>=NL(1,"item",M$9,"no.",$D1827)</t>
  </si>
  <si>
    <t>=NL(1,"item","Units Per Parcel","no.",$D1827)</t>
  </si>
  <si>
    <t>=NL(1,"Prod. BOM Equipment","Fixed Prod. Time (Hours)","Production BOM No.",$D1827,"version code",$E1827,"Resource No.",O$9)</t>
  </si>
  <si>
    <t>=1/O1827</t>
  </si>
  <si>
    <t>=IF(NL(1,"Prod. BOM Equipment","Variable Prod. Time (Hours)","Production BOM No.",$D1827,"version code",$E1827,"Resource No.",$O$9)="",1,NL(1,"Prod. BOM Equipment","Variable Prod. Time (Hours)","Production BOM No.",$D1827,"version code",$E1827,"Resource No.",$O$9))</t>
  </si>
  <si>
    <t>=1/Q1827</t>
  </si>
  <si>
    <t>=R1827*N1827</t>
  </si>
  <si>
    <t>=IF(K1828=0,"hide","")</t>
  </si>
  <si>
    <t>=D1827</t>
  </si>
  <si>
    <t>=NL("sum","Production Order","Quantity","Source No.",$D1828,"Equipment Code",$L1828,"due date",F$8)/-12</t>
  </si>
  <si>
    <t>=NL("sum","Production Order","Quantity","Source No.",$D1828,"Equipment Code",$L1828,"due date",G$8)/-12</t>
  </si>
  <si>
    <t>=NL("sum","Production Order","Quantity","Source No.",$D1828,"Equipment Code",$L1828,"due date",H$8)/-12</t>
  </si>
  <si>
    <t>=NL("sum","Production Order","Quantity","Source No.",$D1828,"Equipment Code",$L1828,"due date",I$8)/-12</t>
  </si>
  <si>
    <t>=NL("sum","Production Order","Quantity","Source No.",$D1828,"Equipment Code",$L1828,"due date",J$8)/$J$7</t>
  </si>
  <si>
    <t>=AVERAGE(I1828:J1828)</t>
  </si>
  <si>
    <t>=IF(K1829=0,"hide","")</t>
  </si>
  <si>
    <t>=D1828</t>
  </si>
  <si>
    <t>=NL("sum","Production Order","Quantity","Source No.",$D1829,"Equipment Code",$L1829,"due date",F$8)/-12</t>
  </si>
  <si>
    <t>=NL("sum","Production Order","Quantity","Source No.",$D1829,"Equipment Code",$L1829,"due date",G$8)/-12</t>
  </si>
  <si>
    <t>=NL("sum","Production Order","Quantity","Source No.",$D1829,"Equipment Code",$L1829,"due date",H$8)/-12</t>
  </si>
  <si>
    <t>=NL("sum","Production Order","Quantity","Source No.",$D1829,"Equipment Code",$L1829,"due date",I$8)/-12</t>
  </si>
  <si>
    <t>=NL("sum","Production Order","Quantity","Source No.",$D1829,"Equipment Code",$L1829,"due date",J$8)/$J$7</t>
  </si>
  <si>
    <t>=AVERAGE(I1829:J1829)</t>
  </si>
  <si>
    <t>=IF(K1830=0,"hide","")</t>
  </si>
  <si>
    <t>=D1829</t>
  </si>
  <si>
    <t>=NL("sum","Production Order","Quantity","Source No.",$D1830,"Equipment Code",$L1830,"due date",F$8)/-12</t>
  </si>
  <si>
    <t>=NL("sum","Production Order","Quantity","Source No.",$D1830,"Equipment Code",$L1830,"due date",G$8)/-12</t>
  </si>
  <si>
    <t>=NL("sum","Production Order","Quantity","Source No.",$D1830,"Equipment Code",$L1830,"due date",H$8)/-12</t>
  </si>
  <si>
    <t>=NL("sum","Production Order","Quantity","Source No.",$D1830,"Equipment Code",$L1830,"due date",I$8)/-12</t>
  </si>
  <si>
    <t>=NL("sum","Production Order","Quantity","Source No.",$D1830,"Equipment Code",$L1830,"due date",J$8)/$J$7</t>
  </si>
  <si>
    <t>=AVERAGE(I1830:J1830)</t>
  </si>
  <si>
    <t>=IF(K1831=0,"hide","")</t>
  </si>
  <si>
    <t>=D1830</t>
  </si>
  <si>
    <t>=NL("sum","Production Order","Quantity","Source No.",$D1831,"Equipment Code",$L1831,"due date",F$8)/-12</t>
  </si>
  <si>
    <t>=NL("sum","Production Order","Quantity","Source No.",$D1831,"Equipment Code",$L1831,"due date",G$8)/-12</t>
  </si>
  <si>
    <t>=NL("sum","Production Order","Quantity","Source No.",$D1831,"Equipment Code",$L1831,"due date",H$8)/-12</t>
  </si>
  <si>
    <t>=NL("sum","Production Order","Quantity","Source No.",$D1831,"Equipment Code",$L1831,"due date",I$8)/-12</t>
  </si>
  <si>
    <t>=NL("sum","Production Order","Quantity","Source No.",$D1831,"Equipment Code",$L1831,"due date",J$8)/$J$7</t>
  </si>
  <si>
    <t>=AVERAGE(I1831:J1831)</t>
  </si>
  <si>
    <t>=B1828</t>
  </si>
  <si>
    <t>=B1832</t>
  </si>
  <si>
    <t>=SUM(F1828:F1832)</t>
  </si>
  <si>
    <t>=SUM(G1828:G1832)</t>
  </si>
  <si>
    <t>=SUM(H1828:H1832)</t>
  </si>
  <si>
    <t>=SUM(I1828:I1832)</t>
  </si>
  <si>
    <t>=SUM(J1828:J1832)</t>
  </si>
  <si>
    <t>=IF(K1834=0,"hide","")</t>
  </si>
  <si>
    <t>="21430"</t>
  </si>
  <si>
    <t>=NL("rows","Production BOM Version","Version Code","Production BOM No.",D1834,"status","certified")</t>
  </si>
  <si>
    <t>=NL("sum","Item Ledger Entry","Quantity","Item No.",$D1834,"Entry Type","Sale|Consumption","posting date","01/01/19..12/31/19")/-12</t>
  </si>
  <si>
    <t>=NL("sum","Item Ledger Entry","Quantity","Item No.",$D1834,"Entry Type","Sale|Consumption","posting date","01/01/20..12/31/20")/-12</t>
  </si>
  <si>
    <t>=NL("sum","Item Ledger Entry","Quantity","Item No.",$D1834,"Entry Type","Sale|Consumption","posting date","01/01/21..12/31/21")/-12</t>
  </si>
  <si>
    <t>=NL("sum","Item Ledger Entry","Quantity","Item No.",$D1834,"Entry Type","Sale|Consumption","posting date","01/01/22..12/31/22")/-12</t>
  </si>
  <si>
    <t>=NL("sum","Item Ledger Entry","Quantity","Item No.",$D1834,"Entry Type","Sale|Consumption","posting date","01/01/23..12/31/23")/$J$7</t>
  </si>
  <si>
    <t>=AVERAGE(I1834:J1834)</t>
  </si>
  <si>
    <t>=NL(1,"item",L$9,"no.",D1834)</t>
  </si>
  <si>
    <t>=NL(1,"item",M$9,"no.",$D1834)</t>
  </si>
  <si>
    <t>=NL(1,"item","Units Per Parcel","no.",$D1834)</t>
  </si>
  <si>
    <t>=NL(1,"Prod. BOM Equipment","Fixed Prod. Time (Hours)","Production BOM No.",$D1834,"version code",$E1834,"Resource No.",O$9)</t>
  </si>
  <si>
    <t>=1/O1834</t>
  </si>
  <si>
    <t>=IF(NL(1,"Prod. BOM Equipment","Variable Prod. Time (Hours)","Production BOM No.",$D1834,"version code",$E1834,"Resource No.",$O$9)="",1,NL(1,"Prod. BOM Equipment","Variable Prod. Time (Hours)","Production BOM No.",$D1834,"version code",$E1834,"Resource No.",$O$9))</t>
  </si>
  <si>
    <t>=1/Q1834</t>
  </si>
  <si>
    <t>=R1834*N1834</t>
  </si>
  <si>
    <t>=IF(K1835=0,"hide","")</t>
  </si>
  <si>
    <t>=D1834</t>
  </si>
  <si>
    <t>=NL("sum","Production Order","Quantity","Source No.",$D1835,"Equipment Code",$L1835,"due date",F$8)/-12</t>
  </si>
  <si>
    <t>=NL("sum","Production Order","Quantity","Source No.",$D1835,"Equipment Code",$L1835,"due date",G$8)/-12</t>
  </si>
  <si>
    <t>=NL("sum","Production Order","Quantity","Source No.",$D1835,"Equipment Code",$L1835,"due date",H$8)/-12</t>
  </si>
  <si>
    <t>=NL("sum","Production Order","Quantity","Source No.",$D1835,"Equipment Code",$L1835,"due date",I$8)/-12</t>
  </si>
  <si>
    <t>=NL("sum","Production Order","Quantity","Source No.",$D1835,"Equipment Code",$L1835,"due date",J$8)/$J$7</t>
  </si>
  <si>
    <t>=AVERAGE(I1835:J1835)</t>
  </si>
  <si>
    <t>=IF(K1836=0,"hide","")</t>
  </si>
  <si>
    <t>=D1835</t>
  </si>
  <si>
    <t>=NL("sum","Production Order","Quantity","Source No.",$D1836,"Equipment Code",$L1836,"due date",F$8)/-12</t>
  </si>
  <si>
    <t>=NL("sum","Production Order","Quantity","Source No.",$D1836,"Equipment Code",$L1836,"due date",G$8)/-12</t>
  </si>
  <si>
    <t>=NL("sum","Production Order","Quantity","Source No.",$D1836,"Equipment Code",$L1836,"due date",H$8)/-12</t>
  </si>
  <si>
    <t>=NL("sum","Production Order","Quantity","Source No.",$D1836,"Equipment Code",$L1836,"due date",I$8)/-12</t>
  </si>
  <si>
    <t>=NL("sum","Production Order","Quantity","Source No.",$D1836,"Equipment Code",$L1836,"due date",J$8)/$J$7</t>
  </si>
  <si>
    <t>=AVERAGE(I1836:J1836)</t>
  </si>
  <si>
    <t>=IF(K1837=0,"hide","")</t>
  </si>
  <si>
    <t>=D1836</t>
  </si>
  <si>
    <t>=NL("sum","Production Order","Quantity","Source No.",$D1837,"Equipment Code",$L1837,"due date",F$8)/-12</t>
  </si>
  <si>
    <t>=NL("sum","Production Order","Quantity","Source No.",$D1837,"Equipment Code",$L1837,"due date",G$8)/-12</t>
  </si>
  <si>
    <t>=NL("sum","Production Order","Quantity","Source No.",$D1837,"Equipment Code",$L1837,"due date",H$8)/-12</t>
  </si>
  <si>
    <t>=NL("sum","Production Order","Quantity","Source No.",$D1837,"Equipment Code",$L1837,"due date",I$8)/-12</t>
  </si>
  <si>
    <t>=NL("sum","Production Order","Quantity","Source No.",$D1837,"Equipment Code",$L1837,"due date",J$8)/$J$7</t>
  </si>
  <si>
    <t>=AVERAGE(I1837:J1837)</t>
  </si>
  <si>
    <t>=IF(K1838=0,"hide","")</t>
  </si>
  <si>
    <t>=D1837</t>
  </si>
  <si>
    <t>=NL("sum","Production Order","Quantity","Source No.",$D1838,"Equipment Code",$L1838,"due date",F$8)/-12</t>
  </si>
  <si>
    <t>=NL("sum","Production Order","Quantity","Source No.",$D1838,"Equipment Code",$L1838,"due date",G$8)/-12</t>
  </si>
  <si>
    <t>=NL("sum","Production Order","Quantity","Source No.",$D1838,"Equipment Code",$L1838,"due date",H$8)/-12</t>
  </si>
  <si>
    <t>=NL("sum","Production Order","Quantity","Source No.",$D1838,"Equipment Code",$L1838,"due date",I$8)/-12</t>
  </si>
  <si>
    <t>=NL("sum","Production Order","Quantity","Source No.",$D1838,"Equipment Code",$L1838,"due date",J$8)/$J$7</t>
  </si>
  <si>
    <t>=AVERAGE(I1838:J1838)</t>
  </si>
  <si>
    <t>=B1835</t>
  </si>
  <si>
    <t>=B1839</t>
  </si>
  <si>
    <t>=SUM(F1835:F1839)</t>
  </si>
  <si>
    <t>=SUM(G1835:G1839)</t>
  </si>
  <si>
    <t>=SUM(H1835:H1839)</t>
  </si>
  <si>
    <t>=SUM(I1835:I1839)</t>
  </si>
  <si>
    <t>=SUM(J1835:J1839)</t>
  </si>
  <si>
    <t>=IF(K1841=0,"hide","")</t>
  </si>
  <si>
    <t>=NL("rows","Production BOM Version","Version Code","Production BOM No.",D1841,"status","certified")</t>
  </si>
  <si>
    <t>=NL("sum","Item Ledger Entry","Quantity","Item No.",$D1841,"Entry Type","Sale|Consumption","posting date","01/01/19..12/31/19")/-12</t>
  </si>
  <si>
    <t>=NL("sum","Item Ledger Entry","Quantity","Item No.",$D1841,"Entry Type","Sale|Consumption","posting date","01/01/20..12/31/20")/-12</t>
  </si>
  <si>
    <t>=NL("sum","Item Ledger Entry","Quantity","Item No.",$D1841,"Entry Type","Sale|Consumption","posting date","01/01/21..12/31/21")/-12</t>
  </si>
  <si>
    <t>=NL("sum","Item Ledger Entry","Quantity","Item No.",$D1841,"Entry Type","Sale|Consumption","posting date","01/01/22..12/31/22")/-12</t>
  </si>
  <si>
    <t>=NL("sum","Item Ledger Entry","Quantity","Item No.",$D1841,"Entry Type","Sale|Consumption","posting date","01/01/23..12/31/23")/$J$7</t>
  </si>
  <si>
    <t>=AVERAGE(I1841:J1841)</t>
  </si>
  <si>
    <t>=NL(1,"item",L$9,"no.",D1841)</t>
  </si>
  <si>
    <t>=NL(1,"item",M$9,"no.",$D1841)</t>
  </si>
  <si>
    <t>=NL(1,"item","Units Per Parcel","no.",$D1841)</t>
  </si>
  <si>
    <t>=NL(1,"Prod. BOM Equipment","Fixed Prod. Time (Hours)","Production BOM No.",$D1841,"version code",$E1841,"Resource No.",O$9)</t>
  </si>
  <si>
    <t>=1/O1841</t>
  </si>
  <si>
    <t>=IF(NL(1,"Prod. BOM Equipment","Variable Prod. Time (Hours)","Production BOM No.",$D1841,"version code",$E1841,"Resource No.",$O$9)="",1,NL(1,"Prod. BOM Equipment","Variable Prod. Time (Hours)","Production BOM No.",$D1841,"version code",$E1841,"Resource No.",$O$9))</t>
  </si>
  <si>
    <t>=1/Q1841</t>
  </si>
  <si>
    <t>=R1841*N1841</t>
  </si>
  <si>
    <t>=IF(K1842=0,"hide","")</t>
  </si>
  <si>
    <t>=D1841</t>
  </si>
  <si>
    <t>=NL("sum","Production Order","Quantity","Source No.",$D1842,"Equipment Code",$L1842,"due date",F$8)/-12</t>
  </si>
  <si>
    <t>=NL("sum","Production Order","Quantity","Source No.",$D1842,"Equipment Code",$L1842,"due date",G$8)/-12</t>
  </si>
  <si>
    <t>=NL("sum","Production Order","Quantity","Source No.",$D1842,"Equipment Code",$L1842,"due date",H$8)/-12</t>
  </si>
  <si>
    <t>=NL("sum","Production Order","Quantity","Source No.",$D1842,"Equipment Code",$L1842,"due date",I$8)/-12</t>
  </si>
  <si>
    <t>=NL("sum","Production Order","Quantity","Source No.",$D1842,"Equipment Code",$L1842,"due date",J$8)/$J$7</t>
  </si>
  <si>
    <t>=AVERAGE(I1842:J1842)</t>
  </si>
  <si>
    <t>=IF(K1843=0,"hide","")</t>
  </si>
  <si>
    <t>=D1842</t>
  </si>
  <si>
    <t>=NL("sum","Production Order","Quantity","Source No.",$D1843,"Equipment Code",$L1843,"due date",F$8)/-12</t>
  </si>
  <si>
    <t>=NL("sum","Production Order","Quantity","Source No.",$D1843,"Equipment Code",$L1843,"due date",G$8)/-12</t>
  </si>
  <si>
    <t>=NL("sum","Production Order","Quantity","Source No.",$D1843,"Equipment Code",$L1843,"due date",H$8)/-12</t>
  </si>
  <si>
    <t>=NL("sum","Production Order","Quantity","Source No.",$D1843,"Equipment Code",$L1843,"due date",I$8)/-12</t>
  </si>
  <si>
    <t>=NL("sum","Production Order","Quantity","Source No.",$D1843,"Equipment Code",$L1843,"due date",J$8)/$J$7</t>
  </si>
  <si>
    <t>=AVERAGE(I1843:J1843)</t>
  </si>
  <si>
    <t>=IF(K1844=0,"hide","")</t>
  </si>
  <si>
    <t>=D1843</t>
  </si>
  <si>
    <t>=NL("sum","Production Order","Quantity","Source No.",$D1844,"Equipment Code",$L1844,"due date",F$8)/-12</t>
  </si>
  <si>
    <t>=NL("sum","Production Order","Quantity","Source No.",$D1844,"Equipment Code",$L1844,"due date",G$8)/-12</t>
  </si>
  <si>
    <t>=NL("sum","Production Order","Quantity","Source No.",$D1844,"Equipment Code",$L1844,"due date",H$8)/-12</t>
  </si>
  <si>
    <t>=NL("sum","Production Order","Quantity","Source No.",$D1844,"Equipment Code",$L1844,"due date",I$8)/-12</t>
  </si>
  <si>
    <t>=NL("sum","Production Order","Quantity","Source No.",$D1844,"Equipment Code",$L1844,"due date",J$8)/$J$7</t>
  </si>
  <si>
    <t>=AVERAGE(I1844:J1844)</t>
  </si>
  <si>
    <t>=IF(K1845=0,"hide","")</t>
  </si>
  <si>
    <t>=D1844</t>
  </si>
  <si>
    <t>=NL("sum","Production Order","Quantity","Source No.",$D1845,"Equipment Code",$L1845,"due date",F$8)/-12</t>
  </si>
  <si>
    <t>=NL("sum","Production Order","Quantity","Source No.",$D1845,"Equipment Code",$L1845,"due date",G$8)/-12</t>
  </si>
  <si>
    <t>=NL("sum","Production Order","Quantity","Source No.",$D1845,"Equipment Code",$L1845,"due date",H$8)/-12</t>
  </si>
  <si>
    <t>=NL("sum","Production Order","Quantity","Source No.",$D1845,"Equipment Code",$L1845,"due date",I$8)/-12</t>
  </si>
  <si>
    <t>=NL("sum","Production Order","Quantity","Source No.",$D1845,"Equipment Code",$L1845,"due date",J$8)/$J$7</t>
  </si>
  <si>
    <t>=AVERAGE(I1845:J1845)</t>
  </si>
  <si>
    <t>=B1842</t>
  </si>
  <si>
    <t>=B1846</t>
  </si>
  <si>
    <t>=SUM(F1842:F1846)</t>
  </si>
  <si>
    <t>=SUM(G1842:G1846)</t>
  </si>
  <si>
    <t>=SUM(H1842:H1846)</t>
  </si>
  <si>
    <t>=SUM(I1842:I1846)</t>
  </si>
  <si>
    <t>=SUM(J1842:J1846)</t>
  </si>
  <si>
    <t>=IF(K1848=0,"hide","")</t>
  </si>
  <si>
    <t>=NL("rows","Production BOM Version","Version Code","Production BOM No.",D1848,"status","certified")</t>
  </si>
  <si>
    <t>=NL("sum","Item Ledger Entry","Quantity","Item No.",$D1848,"Entry Type","Sale|Consumption","posting date","01/01/19..12/31/19")/-12</t>
  </si>
  <si>
    <t>=NL("sum","Item Ledger Entry","Quantity","Item No.",$D1848,"Entry Type","Sale|Consumption","posting date","01/01/20..12/31/20")/-12</t>
  </si>
  <si>
    <t>=NL("sum","Item Ledger Entry","Quantity","Item No.",$D1848,"Entry Type","Sale|Consumption","posting date","01/01/21..12/31/21")/-12</t>
  </si>
  <si>
    <t>=NL("sum","Item Ledger Entry","Quantity","Item No.",$D1848,"Entry Type","Sale|Consumption","posting date","01/01/22..12/31/22")/-12</t>
  </si>
  <si>
    <t>=NL("sum","Item Ledger Entry","Quantity","Item No.",$D1848,"Entry Type","Sale|Consumption","posting date","01/01/23..12/31/23")/$J$7</t>
  </si>
  <si>
    <t>=AVERAGE(I1848:J1848)</t>
  </si>
  <si>
    <t>=NL(1,"item",L$9,"no.",D1848)</t>
  </si>
  <si>
    <t>=NL(1,"item",M$9,"no.",$D1848)</t>
  </si>
  <si>
    <t>=NL(1,"item","Units Per Parcel","no.",$D1848)</t>
  </si>
  <si>
    <t>=NL(1,"Prod. BOM Equipment","Fixed Prod. Time (Hours)","Production BOM No.",$D1848,"version code",$E1848,"Resource No.",O$9)</t>
  </si>
  <si>
    <t>=1/O1848</t>
  </si>
  <si>
    <t>=IF(NL(1,"Prod. BOM Equipment","Variable Prod. Time (Hours)","Production BOM No.",$D1848,"version code",$E1848,"Resource No.",$O$9)="",1,NL(1,"Prod. BOM Equipment","Variable Prod. Time (Hours)","Production BOM No.",$D1848,"version code",$E1848,"Resource No.",$O$9))</t>
  </si>
  <si>
    <t>=1/Q1848</t>
  </si>
  <si>
    <t>=R1848*N1848</t>
  </si>
  <si>
    <t>=IF(K1849=0,"hide","")</t>
  </si>
  <si>
    <t>=D1848</t>
  </si>
  <si>
    <t>=NL("sum","Production Order","Quantity","Source No.",$D1849,"Equipment Code",$L1849,"due date",F$8)/-12</t>
  </si>
  <si>
    <t>=NL("sum","Production Order","Quantity","Source No.",$D1849,"Equipment Code",$L1849,"due date",G$8)/-12</t>
  </si>
  <si>
    <t>=NL("sum","Production Order","Quantity","Source No.",$D1849,"Equipment Code",$L1849,"due date",H$8)/-12</t>
  </si>
  <si>
    <t>=NL("sum","Production Order","Quantity","Source No.",$D1849,"Equipment Code",$L1849,"due date",I$8)/-12</t>
  </si>
  <si>
    <t>=NL("sum","Production Order","Quantity","Source No.",$D1849,"Equipment Code",$L1849,"due date",J$8)/$J$7</t>
  </si>
  <si>
    <t>=AVERAGE(I1849:J1849)</t>
  </si>
  <si>
    <t>=IF(K1850=0,"hide","")</t>
  </si>
  <si>
    <t>=D1849</t>
  </si>
  <si>
    <t>=NL("sum","Production Order","Quantity","Source No.",$D1850,"Equipment Code",$L1850,"due date",F$8)/-12</t>
  </si>
  <si>
    <t>=NL("sum","Production Order","Quantity","Source No.",$D1850,"Equipment Code",$L1850,"due date",G$8)/-12</t>
  </si>
  <si>
    <t>=NL("sum","Production Order","Quantity","Source No.",$D1850,"Equipment Code",$L1850,"due date",H$8)/-12</t>
  </si>
  <si>
    <t>=NL("sum","Production Order","Quantity","Source No.",$D1850,"Equipment Code",$L1850,"due date",I$8)/-12</t>
  </si>
  <si>
    <t>=NL("sum","Production Order","Quantity","Source No.",$D1850,"Equipment Code",$L1850,"due date",J$8)/$J$7</t>
  </si>
  <si>
    <t>=AVERAGE(I1850:J1850)</t>
  </si>
  <si>
    <t>=IF(K1851=0,"hide","")</t>
  </si>
  <si>
    <t>=D1850</t>
  </si>
  <si>
    <t>=NL("sum","Production Order","Quantity","Source No.",$D1851,"Equipment Code",$L1851,"due date",F$8)/-12</t>
  </si>
  <si>
    <t>=NL("sum","Production Order","Quantity","Source No.",$D1851,"Equipment Code",$L1851,"due date",G$8)/-12</t>
  </si>
  <si>
    <t>=NL("sum","Production Order","Quantity","Source No.",$D1851,"Equipment Code",$L1851,"due date",H$8)/-12</t>
  </si>
  <si>
    <t>=NL("sum","Production Order","Quantity","Source No.",$D1851,"Equipment Code",$L1851,"due date",I$8)/-12</t>
  </si>
  <si>
    <t>=NL("sum","Production Order","Quantity","Source No.",$D1851,"Equipment Code",$L1851,"due date",J$8)/$J$7</t>
  </si>
  <si>
    <t>=AVERAGE(I1851:J1851)</t>
  </si>
  <si>
    <t>=IF(K1852=0,"hide","")</t>
  </si>
  <si>
    <t>=D1851</t>
  </si>
  <si>
    <t>=NL("sum","Production Order","Quantity","Source No.",$D1852,"Equipment Code",$L1852,"due date",F$8)/-12</t>
  </si>
  <si>
    <t>=NL("sum","Production Order","Quantity","Source No.",$D1852,"Equipment Code",$L1852,"due date",G$8)/-12</t>
  </si>
  <si>
    <t>=NL("sum","Production Order","Quantity","Source No.",$D1852,"Equipment Code",$L1852,"due date",H$8)/-12</t>
  </si>
  <si>
    <t>=NL("sum","Production Order","Quantity","Source No.",$D1852,"Equipment Code",$L1852,"due date",I$8)/-12</t>
  </si>
  <si>
    <t>=NL("sum","Production Order","Quantity","Source No.",$D1852,"Equipment Code",$L1852,"due date",J$8)/$J$7</t>
  </si>
  <si>
    <t>=AVERAGE(I1852:J1852)</t>
  </si>
  <si>
    <t>=B1849</t>
  </si>
  <si>
    <t>=B1853</t>
  </si>
  <si>
    <t>=SUM(F1849:F1853)</t>
  </si>
  <si>
    <t>=SUM(G1849:G1853)</t>
  </si>
  <si>
    <t>=SUM(H1849:H1853)</t>
  </si>
  <si>
    <t>=SUM(I1849:I1853)</t>
  </si>
  <si>
    <t>=SUM(J1849:J1853)</t>
  </si>
  <si>
    <t>=IF(K1855=0,"hide","")</t>
  </si>
  <si>
    <t>="22101"</t>
  </si>
  <si>
    <t>=NL("rows","Production BOM Version","Version Code","Production BOM No.",D1855,"status","certified")</t>
  </si>
  <si>
    <t>=NL("sum","Item Ledger Entry","Quantity","Item No.",$D1855,"Entry Type","Sale|Consumption","posting date","01/01/19..12/31/19")/-12</t>
  </si>
  <si>
    <t>=NL("sum","Item Ledger Entry","Quantity","Item No.",$D1855,"Entry Type","Sale|Consumption","posting date","01/01/20..12/31/20")/-12</t>
  </si>
  <si>
    <t>=NL("sum","Item Ledger Entry","Quantity","Item No.",$D1855,"Entry Type","Sale|Consumption","posting date","01/01/21..12/31/21")/-12</t>
  </si>
  <si>
    <t>=NL("sum","Item Ledger Entry","Quantity","Item No.",$D1855,"Entry Type","Sale|Consumption","posting date","01/01/22..12/31/22")/-12</t>
  </si>
  <si>
    <t>=NL("sum","Item Ledger Entry","Quantity","Item No.",$D1855,"Entry Type","Sale|Consumption","posting date","01/01/23..12/31/23")/$J$7</t>
  </si>
  <si>
    <t>=AVERAGE(I1855:J1855)</t>
  </si>
  <si>
    <t>=NL(1,"item",L$9,"no.",D1855)</t>
  </si>
  <si>
    <t>=NL(1,"item",M$9,"no.",$D1855)</t>
  </si>
  <si>
    <t>=NL(1,"item","Units Per Parcel","no.",$D1855)</t>
  </si>
  <si>
    <t>=NL(1,"Prod. BOM Equipment","Fixed Prod. Time (Hours)","Production BOM No.",$D1855,"version code",$E1855,"Resource No.",O$9)</t>
  </si>
  <si>
    <t>=1/O1855</t>
  </si>
  <si>
    <t>=IF(NL(1,"Prod. BOM Equipment","Variable Prod. Time (Hours)","Production BOM No.",$D1855,"version code",$E1855,"Resource No.",$O$9)="",1,NL(1,"Prod. BOM Equipment","Variable Prod. Time (Hours)","Production BOM No.",$D1855,"version code",$E1855,"Resource No.",$O$9))</t>
  </si>
  <si>
    <t>=1/Q1855</t>
  </si>
  <si>
    <t>=R1855*N1855</t>
  </si>
  <si>
    <t>=IF(K1856=0,"hide","")</t>
  </si>
  <si>
    <t>=D1855</t>
  </si>
  <si>
    <t>=NL("sum","Production Order","Quantity","Source No.",$D1856,"Equipment Code",$L1856,"due date",F$8)/-12</t>
  </si>
  <si>
    <t>=NL("sum","Production Order","Quantity","Source No.",$D1856,"Equipment Code",$L1856,"due date",G$8)/-12</t>
  </si>
  <si>
    <t>=NL("sum","Production Order","Quantity","Source No.",$D1856,"Equipment Code",$L1856,"due date",H$8)/-12</t>
  </si>
  <si>
    <t>=NL("sum","Production Order","Quantity","Source No.",$D1856,"Equipment Code",$L1856,"due date",I$8)/-12</t>
  </si>
  <si>
    <t>=NL("sum","Production Order","Quantity","Source No.",$D1856,"Equipment Code",$L1856,"due date",J$8)/$J$7</t>
  </si>
  <si>
    <t>=AVERAGE(I1856:J1856)</t>
  </si>
  <si>
    <t>=IF(K1857=0,"hide","")</t>
  </si>
  <si>
    <t>=D1856</t>
  </si>
  <si>
    <t>=NL("sum","Production Order","Quantity","Source No.",$D1857,"Equipment Code",$L1857,"due date",F$8)/-12</t>
  </si>
  <si>
    <t>=NL("sum","Production Order","Quantity","Source No.",$D1857,"Equipment Code",$L1857,"due date",G$8)/-12</t>
  </si>
  <si>
    <t>=NL("sum","Production Order","Quantity","Source No.",$D1857,"Equipment Code",$L1857,"due date",H$8)/-12</t>
  </si>
  <si>
    <t>=NL("sum","Production Order","Quantity","Source No.",$D1857,"Equipment Code",$L1857,"due date",I$8)/-12</t>
  </si>
  <si>
    <t>=NL("sum","Production Order","Quantity","Source No.",$D1857,"Equipment Code",$L1857,"due date",J$8)/$J$7</t>
  </si>
  <si>
    <t>=AVERAGE(I1857:J1857)</t>
  </si>
  <si>
    <t>=IF(K1858=0,"hide","")</t>
  </si>
  <si>
    <t>=D1857</t>
  </si>
  <si>
    <t>=NL("sum","Production Order","Quantity","Source No.",$D1858,"Equipment Code",$L1858,"due date",F$8)/-12</t>
  </si>
  <si>
    <t>=NL("sum","Production Order","Quantity","Source No.",$D1858,"Equipment Code",$L1858,"due date",G$8)/-12</t>
  </si>
  <si>
    <t>=NL("sum","Production Order","Quantity","Source No.",$D1858,"Equipment Code",$L1858,"due date",H$8)/-12</t>
  </si>
  <si>
    <t>=NL("sum","Production Order","Quantity","Source No.",$D1858,"Equipment Code",$L1858,"due date",I$8)/-12</t>
  </si>
  <si>
    <t>=NL("sum","Production Order","Quantity","Source No.",$D1858,"Equipment Code",$L1858,"due date",J$8)/$J$7</t>
  </si>
  <si>
    <t>=AVERAGE(I1858:J1858)</t>
  </si>
  <si>
    <t>=IF(K1859=0,"hide","")</t>
  </si>
  <si>
    <t>=D1858</t>
  </si>
  <si>
    <t>=NL("sum","Production Order","Quantity","Source No.",$D1859,"Equipment Code",$L1859,"due date",F$8)/-12</t>
  </si>
  <si>
    <t>=NL("sum","Production Order","Quantity","Source No.",$D1859,"Equipment Code",$L1859,"due date",G$8)/-12</t>
  </si>
  <si>
    <t>=NL("sum","Production Order","Quantity","Source No.",$D1859,"Equipment Code",$L1859,"due date",H$8)/-12</t>
  </si>
  <si>
    <t>=NL("sum","Production Order","Quantity","Source No.",$D1859,"Equipment Code",$L1859,"due date",I$8)/-12</t>
  </si>
  <si>
    <t>=NL("sum","Production Order","Quantity","Source No.",$D1859,"Equipment Code",$L1859,"due date",J$8)/$J$7</t>
  </si>
  <si>
    <t>=AVERAGE(I1859:J1859)</t>
  </si>
  <si>
    <t>=B1856</t>
  </si>
  <si>
    <t>=B1860</t>
  </si>
  <si>
    <t>=SUM(F1856:F1860)</t>
  </si>
  <si>
    <t>=SUM(G1856:G1860)</t>
  </si>
  <si>
    <t>=SUM(H1856:H1860)</t>
  </si>
  <si>
    <t>=SUM(I1856:I1860)</t>
  </si>
  <si>
    <t>=SUM(J1856:J1860)</t>
  </si>
  <si>
    <t>=IF(K1862=0,"hide","")</t>
  </si>
  <si>
    <t>="22105"</t>
  </si>
  <si>
    <t>=NL("rows","Production BOM Version","Version Code","Production BOM No.",D1862,"status","certified")</t>
  </si>
  <si>
    <t>=NL("sum","Item Ledger Entry","Quantity","Item No.",$D1862,"Entry Type","Sale|Consumption","posting date","01/01/19..12/31/19")/-12</t>
  </si>
  <si>
    <t>=NL("sum","Item Ledger Entry","Quantity","Item No.",$D1862,"Entry Type","Sale|Consumption","posting date","01/01/20..12/31/20")/-12</t>
  </si>
  <si>
    <t>=NL("sum","Item Ledger Entry","Quantity","Item No.",$D1862,"Entry Type","Sale|Consumption","posting date","01/01/21..12/31/21")/-12</t>
  </si>
  <si>
    <t>=NL("sum","Item Ledger Entry","Quantity","Item No.",$D1862,"Entry Type","Sale|Consumption","posting date","01/01/22..12/31/22")/-12</t>
  </si>
  <si>
    <t>=NL("sum","Item Ledger Entry","Quantity","Item No.",$D1862,"Entry Type","Sale|Consumption","posting date","01/01/23..12/31/23")/$J$7</t>
  </si>
  <si>
    <t>=AVERAGE(I1862:J1862)</t>
  </si>
  <si>
    <t>=NL(1,"item",L$9,"no.",D1862)</t>
  </si>
  <si>
    <t>=NL(1,"item",M$9,"no.",$D1862)</t>
  </si>
  <si>
    <t>=NL(1,"item","Units Per Parcel","no.",$D1862)</t>
  </si>
  <si>
    <t>=NL(1,"Prod. BOM Equipment","Fixed Prod. Time (Hours)","Production BOM No.",$D1862,"version code",$E1862,"Resource No.",O$9)</t>
  </si>
  <si>
    <t>=1/O1862</t>
  </si>
  <si>
    <t>=IF(NL(1,"Prod. BOM Equipment","Variable Prod. Time (Hours)","Production BOM No.",$D1862,"version code",$E1862,"Resource No.",$O$9)="",1,NL(1,"Prod. BOM Equipment","Variable Prod. Time (Hours)","Production BOM No.",$D1862,"version code",$E1862,"Resource No.",$O$9))</t>
  </si>
  <si>
    <t>=1/Q1862</t>
  </si>
  <si>
    <t>=R1862*N1862</t>
  </si>
  <si>
    <t>=IF(K1863=0,"hide","")</t>
  </si>
  <si>
    <t>=D1862</t>
  </si>
  <si>
    <t>=NL("sum","Production Order","Quantity","Source No.",$D1863,"Equipment Code",$L1863,"due date",F$8)/-12</t>
  </si>
  <si>
    <t>=NL("sum","Production Order","Quantity","Source No.",$D1863,"Equipment Code",$L1863,"due date",G$8)/-12</t>
  </si>
  <si>
    <t>=NL("sum","Production Order","Quantity","Source No.",$D1863,"Equipment Code",$L1863,"due date",H$8)/-12</t>
  </si>
  <si>
    <t>=NL("sum","Production Order","Quantity","Source No.",$D1863,"Equipment Code",$L1863,"due date",I$8)/-12</t>
  </si>
  <si>
    <t>=NL("sum","Production Order","Quantity","Source No.",$D1863,"Equipment Code",$L1863,"due date",J$8)/$J$7</t>
  </si>
  <si>
    <t>=AVERAGE(I1863:J1863)</t>
  </si>
  <si>
    <t>=IF(K1864=0,"hide","")</t>
  </si>
  <si>
    <t>=D1863</t>
  </si>
  <si>
    <t>=NL("sum","Production Order","Quantity","Source No.",$D1864,"Equipment Code",$L1864,"due date",F$8)/-12</t>
  </si>
  <si>
    <t>=NL("sum","Production Order","Quantity","Source No.",$D1864,"Equipment Code",$L1864,"due date",G$8)/-12</t>
  </si>
  <si>
    <t>=NL("sum","Production Order","Quantity","Source No.",$D1864,"Equipment Code",$L1864,"due date",H$8)/-12</t>
  </si>
  <si>
    <t>=NL("sum","Production Order","Quantity","Source No.",$D1864,"Equipment Code",$L1864,"due date",I$8)/-12</t>
  </si>
  <si>
    <t>=NL("sum","Production Order","Quantity","Source No.",$D1864,"Equipment Code",$L1864,"due date",J$8)/$J$7</t>
  </si>
  <si>
    <t>=AVERAGE(I1864:J1864)</t>
  </si>
  <si>
    <t>=IF(K1865=0,"hide","")</t>
  </si>
  <si>
    <t>=D1864</t>
  </si>
  <si>
    <t>=NL("sum","Production Order","Quantity","Source No.",$D1865,"Equipment Code",$L1865,"due date",F$8)/-12</t>
  </si>
  <si>
    <t>=NL("sum","Production Order","Quantity","Source No.",$D1865,"Equipment Code",$L1865,"due date",G$8)/-12</t>
  </si>
  <si>
    <t>=NL("sum","Production Order","Quantity","Source No.",$D1865,"Equipment Code",$L1865,"due date",H$8)/-12</t>
  </si>
  <si>
    <t>=NL("sum","Production Order","Quantity","Source No.",$D1865,"Equipment Code",$L1865,"due date",I$8)/-12</t>
  </si>
  <si>
    <t>=NL("sum","Production Order","Quantity","Source No.",$D1865,"Equipment Code",$L1865,"due date",J$8)/$J$7</t>
  </si>
  <si>
    <t>=AVERAGE(I1865:J1865)</t>
  </si>
  <si>
    <t>=IF(K1866=0,"hide","")</t>
  </si>
  <si>
    <t>=D1865</t>
  </si>
  <si>
    <t>=NL("sum","Production Order","Quantity","Source No.",$D1866,"Equipment Code",$L1866,"due date",F$8)/-12</t>
  </si>
  <si>
    <t>=NL("sum","Production Order","Quantity","Source No.",$D1866,"Equipment Code",$L1866,"due date",G$8)/-12</t>
  </si>
  <si>
    <t>=NL("sum","Production Order","Quantity","Source No.",$D1866,"Equipment Code",$L1866,"due date",H$8)/-12</t>
  </si>
  <si>
    <t>=NL("sum","Production Order","Quantity","Source No.",$D1866,"Equipment Code",$L1866,"due date",I$8)/-12</t>
  </si>
  <si>
    <t>=NL("sum","Production Order","Quantity","Source No.",$D1866,"Equipment Code",$L1866,"due date",J$8)/$J$7</t>
  </si>
  <si>
    <t>=AVERAGE(I1866:J1866)</t>
  </si>
  <si>
    <t>=B1863</t>
  </si>
  <si>
    <t>=B1867</t>
  </si>
  <si>
    <t>=SUM(F1863:F1867)</t>
  </si>
  <si>
    <t>=SUM(G1863:G1867)</t>
  </si>
  <si>
    <t>=SUM(H1863:H1867)</t>
  </si>
  <si>
    <t>=SUM(I1863:I1867)</t>
  </si>
  <si>
    <t>=SUM(J1863:J1867)</t>
  </si>
  <si>
    <t>=IF(K1869=0,"hide","")</t>
  </si>
  <si>
    <t>="22106"</t>
  </si>
  <si>
    <t>=NL("rows","Production BOM Version","Version Code","Production BOM No.",D1869,"status","certified")</t>
  </si>
  <si>
    <t>=NL("sum","Item Ledger Entry","Quantity","Item No.",$D1869,"Entry Type","Sale|Consumption","posting date","01/01/19..12/31/19")/-12</t>
  </si>
  <si>
    <t>=NL("sum","Item Ledger Entry","Quantity","Item No.",$D1869,"Entry Type","Sale|Consumption","posting date","01/01/20..12/31/20")/-12</t>
  </si>
  <si>
    <t>=NL("sum","Item Ledger Entry","Quantity","Item No.",$D1869,"Entry Type","Sale|Consumption","posting date","01/01/21..12/31/21")/-12</t>
  </si>
  <si>
    <t>=NL("sum","Item Ledger Entry","Quantity","Item No.",$D1869,"Entry Type","Sale|Consumption","posting date","01/01/22..12/31/22")/-12</t>
  </si>
  <si>
    <t>=NL("sum","Item Ledger Entry","Quantity","Item No.",$D1869,"Entry Type","Sale|Consumption","posting date","01/01/23..12/31/23")/$J$7</t>
  </si>
  <si>
    <t>=AVERAGE(I1869:J1869)</t>
  </si>
  <si>
    <t>=NL(1,"item",L$9,"no.",D1869)</t>
  </si>
  <si>
    <t>=NL(1,"item",M$9,"no.",$D1869)</t>
  </si>
  <si>
    <t>=NL(1,"item","Units Per Parcel","no.",$D1869)</t>
  </si>
  <si>
    <t>=NL(1,"Prod. BOM Equipment","Fixed Prod. Time (Hours)","Production BOM No.",$D1869,"version code",$E1869,"Resource No.",O$9)</t>
  </si>
  <si>
    <t>=1/O1869</t>
  </si>
  <si>
    <t>=IF(NL(1,"Prod. BOM Equipment","Variable Prod. Time (Hours)","Production BOM No.",$D1869,"version code",$E1869,"Resource No.",$O$9)="",1,NL(1,"Prod. BOM Equipment","Variable Prod. Time (Hours)","Production BOM No.",$D1869,"version code",$E1869,"Resource No.",$O$9))</t>
  </si>
  <si>
    <t>=1/Q1869</t>
  </si>
  <si>
    <t>=R1869*N1869</t>
  </si>
  <si>
    <t>=IF(K1870=0,"hide","")</t>
  </si>
  <si>
    <t>=D1869</t>
  </si>
  <si>
    <t>=NL("sum","Production Order","Quantity","Source No.",$D1870,"Equipment Code",$L1870,"due date",F$8)/-12</t>
  </si>
  <si>
    <t>=NL("sum","Production Order","Quantity","Source No.",$D1870,"Equipment Code",$L1870,"due date",G$8)/-12</t>
  </si>
  <si>
    <t>=NL("sum","Production Order","Quantity","Source No.",$D1870,"Equipment Code",$L1870,"due date",H$8)/-12</t>
  </si>
  <si>
    <t>=NL("sum","Production Order","Quantity","Source No.",$D1870,"Equipment Code",$L1870,"due date",I$8)/-12</t>
  </si>
  <si>
    <t>=NL("sum","Production Order","Quantity","Source No.",$D1870,"Equipment Code",$L1870,"due date",J$8)/$J$7</t>
  </si>
  <si>
    <t>=AVERAGE(I1870:J1870)</t>
  </si>
  <si>
    <t>=IF(K1871=0,"hide","")</t>
  </si>
  <si>
    <t>=D1870</t>
  </si>
  <si>
    <t>=NL("sum","Production Order","Quantity","Source No.",$D1871,"Equipment Code",$L1871,"due date",F$8)/-12</t>
  </si>
  <si>
    <t>=NL("sum","Production Order","Quantity","Source No.",$D1871,"Equipment Code",$L1871,"due date",G$8)/-12</t>
  </si>
  <si>
    <t>=NL("sum","Production Order","Quantity","Source No.",$D1871,"Equipment Code",$L1871,"due date",H$8)/-12</t>
  </si>
  <si>
    <t>=NL("sum","Production Order","Quantity","Source No.",$D1871,"Equipment Code",$L1871,"due date",I$8)/-12</t>
  </si>
  <si>
    <t>=NL("sum","Production Order","Quantity","Source No.",$D1871,"Equipment Code",$L1871,"due date",J$8)/$J$7</t>
  </si>
  <si>
    <t>=AVERAGE(I1871:J1871)</t>
  </si>
  <si>
    <t>=IF(K1872=0,"hide","")</t>
  </si>
  <si>
    <t>=D1871</t>
  </si>
  <si>
    <t>=NL("sum","Production Order","Quantity","Source No.",$D1872,"Equipment Code",$L1872,"due date",F$8)/-12</t>
  </si>
  <si>
    <t>=NL("sum","Production Order","Quantity","Source No.",$D1872,"Equipment Code",$L1872,"due date",G$8)/-12</t>
  </si>
  <si>
    <t>=NL("sum","Production Order","Quantity","Source No.",$D1872,"Equipment Code",$L1872,"due date",H$8)/-12</t>
  </si>
  <si>
    <t>=NL("sum","Production Order","Quantity","Source No.",$D1872,"Equipment Code",$L1872,"due date",I$8)/-12</t>
  </si>
  <si>
    <t>=NL("sum","Production Order","Quantity","Source No.",$D1872,"Equipment Code",$L1872,"due date",J$8)/$J$7</t>
  </si>
  <si>
    <t>=AVERAGE(I1872:J1872)</t>
  </si>
  <si>
    <t>=IF(K1873=0,"hide","")</t>
  </si>
  <si>
    <t>=D1872</t>
  </si>
  <si>
    <t>=NL("sum","Production Order","Quantity","Source No.",$D1873,"Equipment Code",$L1873,"due date",F$8)/-12</t>
  </si>
  <si>
    <t>=NL("sum","Production Order","Quantity","Source No.",$D1873,"Equipment Code",$L1873,"due date",G$8)/-12</t>
  </si>
  <si>
    <t>=NL("sum","Production Order","Quantity","Source No.",$D1873,"Equipment Code",$L1873,"due date",H$8)/-12</t>
  </si>
  <si>
    <t>=NL("sum","Production Order","Quantity","Source No.",$D1873,"Equipment Code",$L1873,"due date",I$8)/-12</t>
  </si>
  <si>
    <t>=NL("sum","Production Order","Quantity","Source No.",$D1873,"Equipment Code",$L1873,"due date",J$8)/$J$7</t>
  </si>
  <si>
    <t>=AVERAGE(I1873:J1873)</t>
  </si>
  <si>
    <t>=B1870</t>
  </si>
  <si>
    <t>=B1874</t>
  </si>
  <si>
    <t>=SUM(F1870:F1874)</t>
  </si>
  <si>
    <t>=SUM(G1870:G1874)</t>
  </si>
  <si>
    <t>=SUM(H1870:H1874)</t>
  </si>
  <si>
    <t>=SUM(I1870:I1874)</t>
  </si>
  <si>
    <t>=SUM(J1870:J1874)</t>
  </si>
  <si>
    <t>=IF(K1876=0,"hide","")</t>
  </si>
  <si>
    <t>="22109"</t>
  </si>
  <si>
    <t>=NL("rows","Production BOM Version","Version Code","Production BOM No.",D1876,"status","certified")</t>
  </si>
  <si>
    <t>=NL("sum","Item Ledger Entry","Quantity","Item No.",$D1876,"Entry Type","Sale|Consumption","posting date","01/01/19..12/31/19")/-12</t>
  </si>
  <si>
    <t>=NL("sum","Item Ledger Entry","Quantity","Item No.",$D1876,"Entry Type","Sale|Consumption","posting date","01/01/20..12/31/20")/-12</t>
  </si>
  <si>
    <t>=NL("sum","Item Ledger Entry","Quantity","Item No.",$D1876,"Entry Type","Sale|Consumption","posting date","01/01/21..12/31/21")/-12</t>
  </si>
  <si>
    <t>=NL("sum","Item Ledger Entry","Quantity","Item No.",$D1876,"Entry Type","Sale|Consumption","posting date","01/01/22..12/31/22")/-12</t>
  </si>
  <si>
    <t>=NL("sum","Item Ledger Entry","Quantity","Item No.",$D1876,"Entry Type","Sale|Consumption","posting date","01/01/23..12/31/23")/$J$7</t>
  </si>
  <si>
    <t>=AVERAGE(I1876:J1876)</t>
  </si>
  <si>
    <t>=NL(1,"item",L$9,"no.",D1876)</t>
  </si>
  <si>
    <t>=NL(1,"item",M$9,"no.",$D1876)</t>
  </si>
  <si>
    <t>=NL(1,"item","Units Per Parcel","no.",$D1876)</t>
  </si>
  <si>
    <t>=NL(1,"Prod. BOM Equipment","Fixed Prod. Time (Hours)","Production BOM No.",$D1876,"version code",$E1876,"Resource No.",O$9)</t>
  </si>
  <si>
    <t>=1/O1876</t>
  </si>
  <si>
    <t>=IF(NL(1,"Prod. BOM Equipment","Variable Prod. Time (Hours)","Production BOM No.",$D1876,"version code",$E1876,"Resource No.",$O$9)="",1,NL(1,"Prod. BOM Equipment","Variable Prod. Time (Hours)","Production BOM No.",$D1876,"version code",$E1876,"Resource No.",$O$9))</t>
  </si>
  <si>
    <t>=1/Q1876</t>
  </si>
  <si>
    <t>=R1876*N1876</t>
  </si>
  <si>
    <t>=IF(K1877=0,"hide","")</t>
  </si>
  <si>
    <t>=D1876</t>
  </si>
  <si>
    <t>=NL("sum","Production Order","Quantity","Source No.",$D1877,"Equipment Code",$L1877,"due date",F$8)/-12</t>
  </si>
  <si>
    <t>=NL("sum","Production Order","Quantity","Source No.",$D1877,"Equipment Code",$L1877,"due date",G$8)/-12</t>
  </si>
  <si>
    <t>=NL("sum","Production Order","Quantity","Source No.",$D1877,"Equipment Code",$L1877,"due date",H$8)/-12</t>
  </si>
  <si>
    <t>=NL("sum","Production Order","Quantity","Source No.",$D1877,"Equipment Code",$L1877,"due date",I$8)/-12</t>
  </si>
  <si>
    <t>=NL("sum","Production Order","Quantity","Source No.",$D1877,"Equipment Code",$L1877,"due date",J$8)/$J$7</t>
  </si>
  <si>
    <t>=AVERAGE(I1877:J1877)</t>
  </si>
  <si>
    <t>=IF(K1878=0,"hide","")</t>
  </si>
  <si>
    <t>=D1877</t>
  </si>
  <si>
    <t>=NL("sum","Production Order","Quantity","Source No.",$D1878,"Equipment Code",$L1878,"due date",F$8)/-12</t>
  </si>
  <si>
    <t>=NL("sum","Production Order","Quantity","Source No.",$D1878,"Equipment Code",$L1878,"due date",G$8)/-12</t>
  </si>
  <si>
    <t>=NL("sum","Production Order","Quantity","Source No.",$D1878,"Equipment Code",$L1878,"due date",H$8)/-12</t>
  </si>
  <si>
    <t>=NL("sum","Production Order","Quantity","Source No.",$D1878,"Equipment Code",$L1878,"due date",I$8)/-12</t>
  </si>
  <si>
    <t>=NL("sum","Production Order","Quantity","Source No.",$D1878,"Equipment Code",$L1878,"due date",J$8)/$J$7</t>
  </si>
  <si>
    <t>=AVERAGE(I1878:J1878)</t>
  </si>
  <si>
    <t>=IF(K1879=0,"hide","")</t>
  </si>
  <si>
    <t>=D1878</t>
  </si>
  <si>
    <t>=NL("sum","Production Order","Quantity","Source No.",$D1879,"Equipment Code",$L1879,"due date",F$8)/-12</t>
  </si>
  <si>
    <t>=NL("sum","Production Order","Quantity","Source No.",$D1879,"Equipment Code",$L1879,"due date",G$8)/-12</t>
  </si>
  <si>
    <t>=NL("sum","Production Order","Quantity","Source No.",$D1879,"Equipment Code",$L1879,"due date",H$8)/-12</t>
  </si>
  <si>
    <t>=NL("sum","Production Order","Quantity","Source No.",$D1879,"Equipment Code",$L1879,"due date",I$8)/-12</t>
  </si>
  <si>
    <t>=NL("sum","Production Order","Quantity","Source No.",$D1879,"Equipment Code",$L1879,"due date",J$8)/$J$7</t>
  </si>
  <si>
    <t>=AVERAGE(I1879:J1879)</t>
  </si>
  <si>
    <t>=IF(K1880=0,"hide","")</t>
  </si>
  <si>
    <t>=D1879</t>
  </si>
  <si>
    <t>=NL("sum","Production Order","Quantity","Source No.",$D1880,"Equipment Code",$L1880,"due date",F$8)/-12</t>
  </si>
  <si>
    <t>=NL("sum","Production Order","Quantity","Source No.",$D1880,"Equipment Code",$L1880,"due date",G$8)/-12</t>
  </si>
  <si>
    <t>=NL("sum","Production Order","Quantity","Source No.",$D1880,"Equipment Code",$L1880,"due date",H$8)/-12</t>
  </si>
  <si>
    <t>=NL("sum","Production Order","Quantity","Source No.",$D1880,"Equipment Code",$L1880,"due date",I$8)/-12</t>
  </si>
  <si>
    <t>=NL("sum","Production Order","Quantity","Source No.",$D1880,"Equipment Code",$L1880,"due date",J$8)/$J$7</t>
  </si>
  <si>
    <t>=AVERAGE(I1880:J1880)</t>
  </si>
  <si>
    <t>=B1877</t>
  </si>
  <si>
    <t>=B1881</t>
  </si>
  <si>
    <t>=SUM(F1877:F1881)</t>
  </si>
  <si>
    <t>=SUM(G1877:G1881)</t>
  </si>
  <si>
    <t>=SUM(H1877:H1881)</t>
  </si>
  <si>
    <t>=SUM(I1877:I1881)</t>
  </si>
  <si>
    <t>=SUM(J1877:J1881)</t>
  </si>
  <si>
    <t>=IF(K1883=0,"hide","")</t>
  </si>
  <si>
    <t>="22110"</t>
  </si>
  <si>
    <t>=NL("rows","Production BOM Version","Version Code","Production BOM No.",D1883,"status","certified")</t>
  </si>
  <si>
    <t>=NL("sum","Item Ledger Entry","Quantity","Item No.",$D1883,"Entry Type","Sale|Consumption","posting date","01/01/19..12/31/19")/-12</t>
  </si>
  <si>
    <t>=NL("sum","Item Ledger Entry","Quantity","Item No.",$D1883,"Entry Type","Sale|Consumption","posting date","01/01/20..12/31/20")/-12</t>
  </si>
  <si>
    <t>=NL("sum","Item Ledger Entry","Quantity","Item No.",$D1883,"Entry Type","Sale|Consumption","posting date","01/01/21..12/31/21")/-12</t>
  </si>
  <si>
    <t>=NL("sum","Item Ledger Entry","Quantity","Item No.",$D1883,"Entry Type","Sale|Consumption","posting date","01/01/22..12/31/22")/-12</t>
  </si>
  <si>
    <t>=NL("sum","Item Ledger Entry","Quantity","Item No.",$D1883,"Entry Type","Sale|Consumption","posting date","01/01/23..12/31/23")/$J$7</t>
  </si>
  <si>
    <t>=AVERAGE(I1883:J1883)</t>
  </si>
  <si>
    <t>=NL(1,"item",L$9,"no.",D1883)</t>
  </si>
  <si>
    <t>=NL(1,"item",M$9,"no.",$D1883)</t>
  </si>
  <si>
    <t>=NL(1,"item","Units Per Parcel","no.",$D1883)</t>
  </si>
  <si>
    <t>=NL(1,"Prod. BOM Equipment","Fixed Prod. Time (Hours)","Production BOM No.",$D1883,"version code",$E1883,"Resource No.",O$9)</t>
  </si>
  <si>
    <t>=1/O1883</t>
  </si>
  <si>
    <t>=IF(NL(1,"Prod. BOM Equipment","Variable Prod. Time (Hours)","Production BOM No.",$D1883,"version code",$E1883,"Resource No.",$O$9)="",1,NL(1,"Prod. BOM Equipment","Variable Prod. Time (Hours)","Production BOM No.",$D1883,"version code",$E1883,"Resource No.",$O$9))</t>
  </si>
  <si>
    <t>=1/Q1883</t>
  </si>
  <si>
    <t>=R1883*N1883</t>
  </si>
  <si>
    <t>=IF(K1884=0,"hide","")</t>
  </si>
  <si>
    <t>=D1883</t>
  </si>
  <si>
    <t>=NL("sum","Production Order","Quantity","Source No.",$D1884,"Equipment Code",$L1884,"due date",F$8)/-12</t>
  </si>
  <si>
    <t>=NL("sum","Production Order","Quantity","Source No.",$D1884,"Equipment Code",$L1884,"due date",G$8)/-12</t>
  </si>
  <si>
    <t>=NL("sum","Production Order","Quantity","Source No.",$D1884,"Equipment Code",$L1884,"due date",H$8)/-12</t>
  </si>
  <si>
    <t>=NL("sum","Production Order","Quantity","Source No.",$D1884,"Equipment Code",$L1884,"due date",I$8)/-12</t>
  </si>
  <si>
    <t>=NL("sum","Production Order","Quantity","Source No.",$D1884,"Equipment Code",$L1884,"due date",J$8)/$J$7</t>
  </si>
  <si>
    <t>=AVERAGE(I1884:J1884)</t>
  </si>
  <si>
    <t>=IF(K1885=0,"hide","")</t>
  </si>
  <si>
    <t>=D1884</t>
  </si>
  <si>
    <t>=NL("sum","Production Order","Quantity","Source No.",$D1885,"Equipment Code",$L1885,"due date",F$8)/-12</t>
  </si>
  <si>
    <t>=NL("sum","Production Order","Quantity","Source No.",$D1885,"Equipment Code",$L1885,"due date",G$8)/-12</t>
  </si>
  <si>
    <t>=NL("sum","Production Order","Quantity","Source No.",$D1885,"Equipment Code",$L1885,"due date",H$8)/-12</t>
  </si>
  <si>
    <t>=NL("sum","Production Order","Quantity","Source No.",$D1885,"Equipment Code",$L1885,"due date",I$8)/-12</t>
  </si>
  <si>
    <t>=NL("sum","Production Order","Quantity","Source No.",$D1885,"Equipment Code",$L1885,"due date",J$8)/$J$7</t>
  </si>
  <si>
    <t>=AVERAGE(I1885:J1885)</t>
  </si>
  <si>
    <t>=IF(K1886=0,"hide","")</t>
  </si>
  <si>
    <t>=D1885</t>
  </si>
  <si>
    <t>=NL("sum","Production Order","Quantity","Source No.",$D1886,"Equipment Code",$L1886,"due date",F$8)/-12</t>
  </si>
  <si>
    <t>=NL("sum","Production Order","Quantity","Source No.",$D1886,"Equipment Code",$L1886,"due date",G$8)/-12</t>
  </si>
  <si>
    <t>=NL("sum","Production Order","Quantity","Source No.",$D1886,"Equipment Code",$L1886,"due date",H$8)/-12</t>
  </si>
  <si>
    <t>=NL("sum","Production Order","Quantity","Source No.",$D1886,"Equipment Code",$L1886,"due date",I$8)/-12</t>
  </si>
  <si>
    <t>=NL("sum","Production Order","Quantity","Source No.",$D1886,"Equipment Code",$L1886,"due date",J$8)/$J$7</t>
  </si>
  <si>
    <t>=AVERAGE(I1886:J1886)</t>
  </si>
  <si>
    <t>=IF(K1887=0,"hide","")</t>
  </si>
  <si>
    <t>=D1886</t>
  </si>
  <si>
    <t>=NL("sum","Production Order","Quantity","Source No.",$D1887,"Equipment Code",$L1887,"due date",F$8)/-12</t>
  </si>
  <si>
    <t>=NL("sum","Production Order","Quantity","Source No.",$D1887,"Equipment Code",$L1887,"due date",G$8)/-12</t>
  </si>
  <si>
    <t>=NL("sum","Production Order","Quantity","Source No.",$D1887,"Equipment Code",$L1887,"due date",H$8)/-12</t>
  </si>
  <si>
    <t>=NL("sum","Production Order","Quantity","Source No.",$D1887,"Equipment Code",$L1887,"due date",I$8)/-12</t>
  </si>
  <si>
    <t>=NL("sum","Production Order","Quantity","Source No.",$D1887,"Equipment Code",$L1887,"due date",J$8)/$J$7</t>
  </si>
  <si>
    <t>=AVERAGE(I1887:J1887)</t>
  </si>
  <si>
    <t>=B1884</t>
  </si>
  <si>
    <t>=B1888</t>
  </si>
  <si>
    <t>=SUM(F1884:F1888)</t>
  </si>
  <si>
    <t>=SUM(G1884:G1888)</t>
  </si>
  <si>
    <t>=SUM(H1884:H1888)</t>
  </si>
  <si>
    <t>=SUM(I1884:I1888)</t>
  </si>
  <si>
    <t>=SUM(J1884:J1888)</t>
  </si>
  <si>
    <t>=IF(K1890=0,"hide","")</t>
  </si>
  <si>
    <t>="22111"</t>
  </si>
  <si>
    <t>=NL("rows","Production BOM Version","Version Code","Production BOM No.",D1890,"status","certified")</t>
  </si>
  <si>
    <t>=NL("sum","Item Ledger Entry","Quantity","Item No.",$D1890,"Entry Type","Sale|Consumption","posting date","01/01/19..12/31/19")/-12</t>
  </si>
  <si>
    <t>=NL("sum","Item Ledger Entry","Quantity","Item No.",$D1890,"Entry Type","Sale|Consumption","posting date","01/01/20..12/31/20")/-12</t>
  </si>
  <si>
    <t>=NL("sum","Item Ledger Entry","Quantity","Item No.",$D1890,"Entry Type","Sale|Consumption","posting date","01/01/21..12/31/21")/-12</t>
  </si>
  <si>
    <t>=NL("sum","Item Ledger Entry","Quantity","Item No.",$D1890,"Entry Type","Sale|Consumption","posting date","01/01/22..12/31/22")/-12</t>
  </si>
  <si>
    <t>=NL("sum","Item Ledger Entry","Quantity","Item No.",$D1890,"Entry Type","Sale|Consumption","posting date","01/01/23..12/31/23")/$J$7</t>
  </si>
  <si>
    <t>=AVERAGE(I1890:J1890)</t>
  </si>
  <si>
    <t>=NL(1,"item",L$9,"no.",D1890)</t>
  </si>
  <si>
    <t>=NL(1,"item",M$9,"no.",$D1890)</t>
  </si>
  <si>
    <t>=NL(1,"item","Units Per Parcel","no.",$D1890)</t>
  </si>
  <si>
    <t>=NL(1,"Prod. BOM Equipment","Fixed Prod. Time (Hours)","Production BOM No.",$D1890,"version code",$E1890,"Resource No.",O$9)</t>
  </si>
  <si>
    <t>=1/O1890</t>
  </si>
  <si>
    <t>=IF(NL(1,"Prod. BOM Equipment","Variable Prod. Time (Hours)","Production BOM No.",$D1890,"version code",$E1890,"Resource No.",$O$9)="",1,NL(1,"Prod. BOM Equipment","Variable Prod. Time (Hours)","Production BOM No.",$D1890,"version code",$E1890,"Resource No.",$O$9))</t>
  </si>
  <si>
    <t>=1/Q1890</t>
  </si>
  <si>
    <t>=R1890*N1890</t>
  </si>
  <si>
    <t>=IF(K1891=0,"hide","")</t>
  </si>
  <si>
    <t>=D1890</t>
  </si>
  <si>
    <t>=NL("sum","Production Order","Quantity","Source No.",$D1891,"Equipment Code",$L1891,"due date",F$8)/-12</t>
  </si>
  <si>
    <t>=NL("sum","Production Order","Quantity","Source No.",$D1891,"Equipment Code",$L1891,"due date",G$8)/-12</t>
  </si>
  <si>
    <t>=NL("sum","Production Order","Quantity","Source No.",$D1891,"Equipment Code",$L1891,"due date",H$8)/-12</t>
  </si>
  <si>
    <t>=NL("sum","Production Order","Quantity","Source No.",$D1891,"Equipment Code",$L1891,"due date",I$8)/-12</t>
  </si>
  <si>
    <t>=NL("sum","Production Order","Quantity","Source No.",$D1891,"Equipment Code",$L1891,"due date",J$8)/$J$7</t>
  </si>
  <si>
    <t>=AVERAGE(I1891:J1891)</t>
  </si>
  <si>
    <t>=IF(K1892=0,"hide","")</t>
  </si>
  <si>
    <t>=D1891</t>
  </si>
  <si>
    <t>=NL("sum","Production Order","Quantity","Source No.",$D1892,"Equipment Code",$L1892,"due date",F$8)/-12</t>
  </si>
  <si>
    <t>=NL("sum","Production Order","Quantity","Source No.",$D1892,"Equipment Code",$L1892,"due date",G$8)/-12</t>
  </si>
  <si>
    <t>=NL("sum","Production Order","Quantity","Source No.",$D1892,"Equipment Code",$L1892,"due date",H$8)/-12</t>
  </si>
  <si>
    <t>=NL("sum","Production Order","Quantity","Source No.",$D1892,"Equipment Code",$L1892,"due date",I$8)/-12</t>
  </si>
  <si>
    <t>=NL("sum","Production Order","Quantity","Source No.",$D1892,"Equipment Code",$L1892,"due date",J$8)/$J$7</t>
  </si>
  <si>
    <t>=AVERAGE(I1892:J1892)</t>
  </si>
  <si>
    <t>=IF(K1893=0,"hide","")</t>
  </si>
  <si>
    <t>=D1892</t>
  </si>
  <si>
    <t>=NL("sum","Production Order","Quantity","Source No.",$D1893,"Equipment Code",$L1893,"due date",F$8)/-12</t>
  </si>
  <si>
    <t>=NL("sum","Production Order","Quantity","Source No.",$D1893,"Equipment Code",$L1893,"due date",G$8)/-12</t>
  </si>
  <si>
    <t>=NL("sum","Production Order","Quantity","Source No.",$D1893,"Equipment Code",$L1893,"due date",H$8)/-12</t>
  </si>
  <si>
    <t>=NL("sum","Production Order","Quantity","Source No.",$D1893,"Equipment Code",$L1893,"due date",I$8)/-12</t>
  </si>
  <si>
    <t>=NL("sum","Production Order","Quantity","Source No.",$D1893,"Equipment Code",$L1893,"due date",J$8)/$J$7</t>
  </si>
  <si>
    <t>=AVERAGE(I1893:J1893)</t>
  </si>
  <si>
    <t>=IF(K1894=0,"hide","")</t>
  </si>
  <si>
    <t>=D1893</t>
  </si>
  <si>
    <t>=NL("sum","Production Order","Quantity","Source No.",$D1894,"Equipment Code",$L1894,"due date",F$8)/-12</t>
  </si>
  <si>
    <t>=NL("sum","Production Order","Quantity","Source No.",$D1894,"Equipment Code",$L1894,"due date",G$8)/-12</t>
  </si>
  <si>
    <t>=NL("sum","Production Order","Quantity","Source No.",$D1894,"Equipment Code",$L1894,"due date",H$8)/-12</t>
  </si>
  <si>
    <t>=NL("sum","Production Order","Quantity","Source No.",$D1894,"Equipment Code",$L1894,"due date",I$8)/-12</t>
  </si>
  <si>
    <t>=NL("sum","Production Order","Quantity","Source No.",$D1894,"Equipment Code",$L1894,"due date",J$8)/$J$7</t>
  </si>
  <si>
    <t>=AVERAGE(I1894:J1894)</t>
  </si>
  <si>
    <t>=B1891</t>
  </si>
  <si>
    <t>=B1895</t>
  </si>
  <si>
    <t>=SUM(F1891:F1895)</t>
  </si>
  <si>
    <t>=SUM(G1891:G1895)</t>
  </si>
  <si>
    <t>=SUM(H1891:H1895)</t>
  </si>
  <si>
    <t>=SUM(I1891:I1895)</t>
  </si>
  <si>
    <t>=SUM(J1891:J1895)</t>
  </si>
  <si>
    <t>=IF(K1897=0,"hide","")</t>
  </si>
  <si>
    <t>="22151"</t>
  </si>
  <si>
    <t>=NL("rows","Production BOM Version","Version Code","Production BOM No.",D1897,"status","certified")</t>
  </si>
  <si>
    <t>=NL("sum","Item Ledger Entry","Quantity","Item No.",$D1897,"Entry Type","Sale|Consumption","posting date","01/01/19..12/31/19")/-12</t>
  </si>
  <si>
    <t>=NL("sum","Item Ledger Entry","Quantity","Item No.",$D1897,"Entry Type","Sale|Consumption","posting date","01/01/20..12/31/20")/-12</t>
  </si>
  <si>
    <t>=NL("sum","Item Ledger Entry","Quantity","Item No.",$D1897,"Entry Type","Sale|Consumption","posting date","01/01/21..12/31/21")/-12</t>
  </si>
  <si>
    <t>=NL("sum","Item Ledger Entry","Quantity","Item No.",$D1897,"Entry Type","Sale|Consumption","posting date","01/01/22..12/31/22")/-12</t>
  </si>
  <si>
    <t>=NL("sum","Item Ledger Entry","Quantity","Item No.",$D1897,"Entry Type","Sale|Consumption","posting date","01/01/23..12/31/23")/$J$7</t>
  </si>
  <si>
    <t>=AVERAGE(I1897:J1897)</t>
  </si>
  <si>
    <t>=NL(1,"item",L$9,"no.",D1897)</t>
  </si>
  <si>
    <t>=NL(1,"item",M$9,"no.",$D1897)</t>
  </si>
  <si>
    <t>=NL(1,"item","Units Per Parcel","no.",$D1897)</t>
  </si>
  <si>
    <t>=NL(1,"Prod. BOM Equipment","Fixed Prod. Time (Hours)","Production BOM No.",$D1897,"version code",$E1897,"Resource No.",O$9)</t>
  </si>
  <si>
    <t>=1/O1897</t>
  </si>
  <si>
    <t>=IF(NL(1,"Prod. BOM Equipment","Variable Prod. Time (Hours)","Production BOM No.",$D1897,"version code",$E1897,"Resource No.",$O$9)="",1,NL(1,"Prod. BOM Equipment","Variable Prod. Time (Hours)","Production BOM No.",$D1897,"version code",$E1897,"Resource No.",$O$9))</t>
  </si>
  <si>
    <t>=1/Q1897</t>
  </si>
  <si>
    <t>=R1897*N1897</t>
  </si>
  <si>
    <t>=IF(K1898=0,"hide","")</t>
  </si>
  <si>
    <t>=D1897</t>
  </si>
  <si>
    <t>=NL("sum","Production Order","Quantity","Source No.",$D1898,"Equipment Code",$L1898,"due date",F$8)/-12</t>
  </si>
  <si>
    <t>=NL("sum","Production Order","Quantity","Source No.",$D1898,"Equipment Code",$L1898,"due date",G$8)/-12</t>
  </si>
  <si>
    <t>=NL("sum","Production Order","Quantity","Source No.",$D1898,"Equipment Code",$L1898,"due date",H$8)/-12</t>
  </si>
  <si>
    <t>=NL("sum","Production Order","Quantity","Source No.",$D1898,"Equipment Code",$L1898,"due date",I$8)/-12</t>
  </si>
  <si>
    <t>=NL("sum","Production Order","Quantity","Source No.",$D1898,"Equipment Code",$L1898,"due date",J$8)/$J$7</t>
  </si>
  <si>
    <t>=AVERAGE(I1898:J1898)</t>
  </si>
  <si>
    <t>=IF(K1899=0,"hide","")</t>
  </si>
  <si>
    <t>=D1898</t>
  </si>
  <si>
    <t>=NL("sum","Production Order","Quantity","Source No.",$D1899,"Equipment Code",$L1899,"due date",F$8)/-12</t>
  </si>
  <si>
    <t>=NL("sum","Production Order","Quantity","Source No.",$D1899,"Equipment Code",$L1899,"due date",G$8)/-12</t>
  </si>
  <si>
    <t>=NL("sum","Production Order","Quantity","Source No.",$D1899,"Equipment Code",$L1899,"due date",H$8)/-12</t>
  </si>
  <si>
    <t>=NL("sum","Production Order","Quantity","Source No.",$D1899,"Equipment Code",$L1899,"due date",I$8)/-12</t>
  </si>
  <si>
    <t>=NL("sum","Production Order","Quantity","Source No.",$D1899,"Equipment Code",$L1899,"due date",J$8)/$J$7</t>
  </si>
  <si>
    <t>=AVERAGE(I1899:J1899)</t>
  </si>
  <si>
    <t>=IF(K1900=0,"hide","")</t>
  </si>
  <si>
    <t>=D1899</t>
  </si>
  <si>
    <t>=NL("sum","Production Order","Quantity","Source No.",$D1900,"Equipment Code",$L1900,"due date",F$8)/-12</t>
  </si>
  <si>
    <t>=NL("sum","Production Order","Quantity","Source No.",$D1900,"Equipment Code",$L1900,"due date",G$8)/-12</t>
  </si>
  <si>
    <t>=NL("sum","Production Order","Quantity","Source No.",$D1900,"Equipment Code",$L1900,"due date",H$8)/-12</t>
  </si>
  <si>
    <t>=NL("sum","Production Order","Quantity","Source No.",$D1900,"Equipment Code",$L1900,"due date",I$8)/-12</t>
  </si>
  <si>
    <t>=NL("sum","Production Order","Quantity","Source No.",$D1900,"Equipment Code",$L1900,"due date",J$8)/$J$7</t>
  </si>
  <si>
    <t>=AVERAGE(I1900:J1900)</t>
  </si>
  <si>
    <t>=IF(K1901=0,"hide","")</t>
  </si>
  <si>
    <t>=D1900</t>
  </si>
  <si>
    <t>=NL("sum","Production Order","Quantity","Source No.",$D1901,"Equipment Code",$L1901,"due date",F$8)/-12</t>
  </si>
  <si>
    <t>=NL("sum","Production Order","Quantity","Source No.",$D1901,"Equipment Code",$L1901,"due date",G$8)/-12</t>
  </si>
  <si>
    <t>=NL("sum","Production Order","Quantity","Source No.",$D1901,"Equipment Code",$L1901,"due date",H$8)/-12</t>
  </si>
  <si>
    <t>=NL("sum","Production Order","Quantity","Source No.",$D1901,"Equipment Code",$L1901,"due date",I$8)/-12</t>
  </si>
  <si>
    <t>=NL("sum","Production Order","Quantity","Source No.",$D1901,"Equipment Code",$L1901,"due date",J$8)/$J$7</t>
  </si>
  <si>
    <t>=AVERAGE(I1901:J1901)</t>
  </si>
  <si>
    <t>=B1898</t>
  </si>
  <si>
    <t>=B1902</t>
  </si>
  <si>
    <t>=SUM(F1898:F1902)</t>
  </si>
  <si>
    <t>=SUM(G1898:G1902)</t>
  </si>
  <si>
    <t>=SUM(H1898:H1902)</t>
  </si>
  <si>
    <t>=SUM(I1898:I1902)</t>
  </si>
  <si>
    <t>=SUM(J1898:J1902)</t>
  </si>
  <si>
    <t>=IF(K1904=0,"hide","")</t>
  </si>
  <si>
    <t>="22801"</t>
  </si>
  <si>
    <t>=NL("rows","Production BOM Version","Version Code","Production BOM No.",D1904,"status","certified")</t>
  </si>
  <si>
    <t>=NL("sum","Item Ledger Entry","Quantity","Item No.",$D1904,"Entry Type","Sale|Consumption","posting date","01/01/19..12/31/19")/-12</t>
  </si>
  <si>
    <t>=NL("sum","Item Ledger Entry","Quantity","Item No.",$D1904,"Entry Type","Sale|Consumption","posting date","01/01/20..12/31/20")/-12</t>
  </si>
  <si>
    <t>=NL("sum","Item Ledger Entry","Quantity","Item No.",$D1904,"Entry Type","Sale|Consumption","posting date","01/01/21..12/31/21")/-12</t>
  </si>
  <si>
    <t>=NL("sum","Item Ledger Entry","Quantity","Item No.",$D1904,"Entry Type","Sale|Consumption","posting date","01/01/22..12/31/22")/-12</t>
  </si>
  <si>
    <t>=NL("sum","Item Ledger Entry","Quantity","Item No.",$D1904,"Entry Type","Sale|Consumption","posting date","01/01/23..12/31/23")/$J$7</t>
  </si>
  <si>
    <t>=AVERAGE(I1904:J1904)</t>
  </si>
  <si>
    <t>=NL(1,"item",L$9,"no.",D1904)</t>
  </si>
  <si>
    <t>=NL(1,"item",M$9,"no.",$D1904)</t>
  </si>
  <si>
    <t>=NL(1,"item","Units Per Parcel","no.",$D1904)</t>
  </si>
  <si>
    <t>=NL(1,"Prod. BOM Equipment","Fixed Prod. Time (Hours)","Production BOM No.",$D1904,"version code",$E1904,"Resource No.",O$9)</t>
  </si>
  <si>
    <t>=1/O1904</t>
  </si>
  <si>
    <t>=IF(NL(1,"Prod. BOM Equipment","Variable Prod. Time (Hours)","Production BOM No.",$D1904,"version code",$E1904,"Resource No.",$O$9)="",1,NL(1,"Prod. BOM Equipment","Variable Prod. Time (Hours)","Production BOM No.",$D1904,"version code",$E1904,"Resource No.",$O$9))</t>
  </si>
  <si>
    <t>=1/Q1904</t>
  </si>
  <si>
    <t>=R1904*N1904</t>
  </si>
  <si>
    <t>=IF(K1905=0,"hide","")</t>
  </si>
  <si>
    <t>=D1904</t>
  </si>
  <si>
    <t>=NL("sum","Production Order","Quantity","Source No.",$D1905,"Equipment Code",$L1905,"due date",F$8)/-12</t>
  </si>
  <si>
    <t>=NL("sum","Production Order","Quantity","Source No.",$D1905,"Equipment Code",$L1905,"due date",G$8)/-12</t>
  </si>
  <si>
    <t>=NL("sum","Production Order","Quantity","Source No.",$D1905,"Equipment Code",$L1905,"due date",H$8)/-12</t>
  </si>
  <si>
    <t>=NL("sum","Production Order","Quantity","Source No.",$D1905,"Equipment Code",$L1905,"due date",I$8)/-12</t>
  </si>
  <si>
    <t>=NL("sum","Production Order","Quantity","Source No.",$D1905,"Equipment Code",$L1905,"due date",J$8)/$J$7</t>
  </si>
  <si>
    <t>=AVERAGE(I1905:J1905)</t>
  </si>
  <si>
    <t>=IF(K1906=0,"hide","")</t>
  </si>
  <si>
    <t>=D1905</t>
  </si>
  <si>
    <t>=NL("sum","Production Order","Quantity","Source No.",$D1906,"Equipment Code",$L1906,"due date",F$8)/-12</t>
  </si>
  <si>
    <t>=NL("sum","Production Order","Quantity","Source No.",$D1906,"Equipment Code",$L1906,"due date",G$8)/-12</t>
  </si>
  <si>
    <t>=NL("sum","Production Order","Quantity","Source No.",$D1906,"Equipment Code",$L1906,"due date",H$8)/-12</t>
  </si>
  <si>
    <t>=NL("sum","Production Order","Quantity","Source No.",$D1906,"Equipment Code",$L1906,"due date",I$8)/-12</t>
  </si>
  <si>
    <t>=NL("sum","Production Order","Quantity","Source No.",$D1906,"Equipment Code",$L1906,"due date",J$8)/$J$7</t>
  </si>
  <si>
    <t>=AVERAGE(I1906:J1906)</t>
  </si>
  <si>
    <t>=IF(K1907=0,"hide","")</t>
  </si>
  <si>
    <t>=D1906</t>
  </si>
  <si>
    <t>=NL("sum","Production Order","Quantity","Source No.",$D1907,"Equipment Code",$L1907,"due date",F$8)/-12</t>
  </si>
  <si>
    <t>=NL("sum","Production Order","Quantity","Source No.",$D1907,"Equipment Code",$L1907,"due date",G$8)/-12</t>
  </si>
  <si>
    <t>=NL("sum","Production Order","Quantity","Source No.",$D1907,"Equipment Code",$L1907,"due date",H$8)/-12</t>
  </si>
  <si>
    <t>=NL("sum","Production Order","Quantity","Source No.",$D1907,"Equipment Code",$L1907,"due date",I$8)/-12</t>
  </si>
  <si>
    <t>=NL("sum","Production Order","Quantity","Source No.",$D1907,"Equipment Code",$L1907,"due date",J$8)/$J$7</t>
  </si>
  <si>
    <t>=AVERAGE(I1907:J1907)</t>
  </si>
  <si>
    <t>=IF(K1908=0,"hide","")</t>
  </si>
  <si>
    <t>=D1907</t>
  </si>
  <si>
    <t>=NL("sum","Production Order","Quantity","Source No.",$D1908,"Equipment Code",$L1908,"due date",F$8)/-12</t>
  </si>
  <si>
    <t>=NL("sum","Production Order","Quantity","Source No.",$D1908,"Equipment Code",$L1908,"due date",G$8)/-12</t>
  </si>
  <si>
    <t>=NL("sum","Production Order","Quantity","Source No.",$D1908,"Equipment Code",$L1908,"due date",H$8)/-12</t>
  </si>
  <si>
    <t>=NL("sum","Production Order","Quantity","Source No.",$D1908,"Equipment Code",$L1908,"due date",I$8)/-12</t>
  </si>
  <si>
    <t>=NL("sum","Production Order","Quantity","Source No.",$D1908,"Equipment Code",$L1908,"due date",J$8)/$J$7</t>
  </si>
  <si>
    <t>=AVERAGE(I1908:J1908)</t>
  </si>
  <si>
    <t>=B1905</t>
  </si>
  <si>
    <t>=B1909</t>
  </si>
  <si>
    <t>=SUM(F1905:F1909)</t>
  </si>
  <si>
    <t>=SUM(G1905:G1909)</t>
  </si>
  <si>
    <t>=SUM(H1905:H1909)</t>
  </si>
  <si>
    <t>=SUM(I1905:I1909)</t>
  </si>
  <si>
    <t>=SUM(J1905:J1909)</t>
  </si>
  <si>
    <t>=IF(K1911=0,"hide","")</t>
  </si>
  <si>
    <t>="22805"</t>
  </si>
  <si>
    <t>=NL("rows","Production BOM Version","Version Code","Production BOM No.",D1911,"status","certified")</t>
  </si>
  <si>
    <t>=NL("sum","Item Ledger Entry","Quantity","Item No.",$D1911,"Entry Type","Sale|Consumption","posting date","01/01/19..12/31/19")/-12</t>
  </si>
  <si>
    <t>=NL("sum","Item Ledger Entry","Quantity","Item No.",$D1911,"Entry Type","Sale|Consumption","posting date","01/01/20..12/31/20")/-12</t>
  </si>
  <si>
    <t>=NL("sum","Item Ledger Entry","Quantity","Item No.",$D1911,"Entry Type","Sale|Consumption","posting date","01/01/21..12/31/21")/-12</t>
  </si>
  <si>
    <t>=NL("sum","Item Ledger Entry","Quantity","Item No.",$D1911,"Entry Type","Sale|Consumption","posting date","01/01/22..12/31/22")/-12</t>
  </si>
  <si>
    <t>=NL("sum","Item Ledger Entry","Quantity","Item No.",$D1911,"Entry Type","Sale|Consumption","posting date","01/01/23..12/31/23")/$J$7</t>
  </si>
  <si>
    <t>=AVERAGE(I1911:J1911)</t>
  </si>
  <si>
    <t>=NL(1,"item",L$9,"no.",D1911)</t>
  </si>
  <si>
    <t>=NL(1,"item",M$9,"no.",$D1911)</t>
  </si>
  <si>
    <t>=NL(1,"item","Units Per Parcel","no.",$D1911)</t>
  </si>
  <si>
    <t>=NL(1,"Prod. BOM Equipment","Fixed Prod. Time (Hours)","Production BOM No.",$D1911,"version code",$E1911,"Resource No.",O$9)</t>
  </si>
  <si>
    <t>=1/O1911</t>
  </si>
  <si>
    <t>=IF(NL(1,"Prod. BOM Equipment","Variable Prod. Time (Hours)","Production BOM No.",$D1911,"version code",$E1911,"Resource No.",$O$9)="",1,NL(1,"Prod. BOM Equipment","Variable Prod. Time (Hours)","Production BOM No.",$D1911,"version code",$E1911,"Resource No.",$O$9))</t>
  </si>
  <si>
    <t>=1/Q1911</t>
  </si>
  <si>
    <t>=R1911*N1911</t>
  </si>
  <si>
    <t>=IF(K1912=0,"hide","")</t>
  </si>
  <si>
    <t>=D1911</t>
  </si>
  <si>
    <t>=NL("sum","Production Order","Quantity","Source No.",$D1912,"Equipment Code",$L1912,"due date",F$8)/-12</t>
  </si>
  <si>
    <t>=NL("sum","Production Order","Quantity","Source No.",$D1912,"Equipment Code",$L1912,"due date",G$8)/-12</t>
  </si>
  <si>
    <t>=NL("sum","Production Order","Quantity","Source No.",$D1912,"Equipment Code",$L1912,"due date",H$8)/-12</t>
  </si>
  <si>
    <t>=NL("sum","Production Order","Quantity","Source No.",$D1912,"Equipment Code",$L1912,"due date",I$8)/-12</t>
  </si>
  <si>
    <t>=NL("sum","Production Order","Quantity","Source No.",$D1912,"Equipment Code",$L1912,"due date",J$8)/$J$7</t>
  </si>
  <si>
    <t>=AVERAGE(I1912:J1912)</t>
  </si>
  <si>
    <t>=IF(K1913=0,"hide","")</t>
  </si>
  <si>
    <t>=D1912</t>
  </si>
  <si>
    <t>=NL("sum","Production Order","Quantity","Source No.",$D1913,"Equipment Code",$L1913,"due date",F$8)/-12</t>
  </si>
  <si>
    <t>=NL("sum","Production Order","Quantity","Source No.",$D1913,"Equipment Code",$L1913,"due date",G$8)/-12</t>
  </si>
  <si>
    <t>=NL("sum","Production Order","Quantity","Source No.",$D1913,"Equipment Code",$L1913,"due date",H$8)/-12</t>
  </si>
  <si>
    <t>=NL("sum","Production Order","Quantity","Source No.",$D1913,"Equipment Code",$L1913,"due date",I$8)/-12</t>
  </si>
  <si>
    <t>=NL("sum","Production Order","Quantity","Source No.",$D1913,"Equipment Code",$L1913,"due date",J$8)/$J$7</t>
  </si>
  <si>
    <t>=AVERAGE(I1913:J1913)</t>
  </si>
  <si>
    <t>=IF(K1914=0,"hide","")</t>
  </si>
  <si>
    <t>=D1913</t>
  </si>
  <si>
    <t>=NL("sum","Production Order","Quantity","Source No.",$D1914,"Equipment Code",$L1914,"due date",F$8)/-12</t>
  </si>
  <si>
    <t>=NL("sum","Production Order","Quantity","Source No.",$D1914,"Equipment Code",$L1914,"due date",G$8)/-12</t>
  </si>
  <si>
    <t>=NL("sum","Production Order","Quantity","Source No.",$D1914,"Equipment Code",$L1914,"due date",H$8)/-12</t>
  </si>
  <si>
    <t>=NL("sum","Production Order","Quantity","Source No.",$D1914,"Equipment Code",$L1914,"due date",I$8)/-12</t>
  </si>
  <si>
    <t>=NL("sum","Production Order","Quantity","Source No.",$D1914,"Equipment Code",$L1914,"due date",J$8)/$J$7</t>
  </si>
  <si>
    <t>=AVERAGE(I1914:J1914)</t>
  </si>
  <si>
    <t>=IF(K1915=0,"hide","")</t>
  </si>
  <si>
    <t>=D1914</t>
  </si>
  <si>
    <t>=NL("sum","Production Order","Quantity","Source No.",$D1915,"Equipment Code",$L1915,"due date",F$8)/-12</t>
  </si>
  <si>
    <t>=NL("sum","Production Order","Quantity","Source No.",$D1915,"Equipment Code",$L1915,"due date",G$8)/-12</t>
  </si>
  <si>
    <t>=NL("sum","Production Order","Quantity","Source No.",$D1915,"Equipment Code",$L1915,"due date",H$8)/-12</t>
  </si>
  <si>
    <t>=NL("sum","Production Order","Quantity","Source No.",$D1915,"Equipment Code",$L1915,"due date",I$8)/-12</t>
  </si>
  <si>
    <t>=NL("sum","Production Order","Quantity","Source No.",$D1915,"Equipment Code",$L1915,"due date",J$8)/$J$7</t>
  </si>
  <si>
    <t>=AVERAGE(I1915:J1915)</t>
  </si>
  <si>
    <t>=B1912</t>
  </si>
  <si>
    <t>=B1916</t>
  </si>
  <si>
    <t>=SUM(F1912:F1916)</t>
  </si>
  <si>
    <t>=SUM(G1912:G1916)</t>
  </si>
  <si>
    <t>=SUM(H1912:H1916)</t>
  </si>
  <si>
    <t>=SUM(I1912:I1916)</t>
  </si>
  <si>
    <t>=SUM(J1912:J1916)</t>
  </si>
  <si>
    <t>=IF(K1918=0,"hide","")</t>
  </si>
  <si>
    <t>="22806"</t>
  </si>
  <si>
    <t>=NL("rows","Production BOM Version","Version Code","Production BOM No.",D1918,"status","certified")</t>
  </si>
  <si>
    <t>=NL("sum","Item Ledger Entry","Quantity","Item No.",$D1918,"Entry Type","Sale|Consumption","posting date","01/01/19..12/31/19")/-12</t>
  </si>
  <si>
    <t>=NL("sum","Item Ledger Entry","Quantity","Item No.",$D1918,"Entry Type","Sale|Consumption","posting date","01/01/20..12/31/20")/-12</t>
  </si>
  <si>
    <t>=NL("sum","Item Ledger Entry","Quantity","Item No.",$D1918,"Entry Type","Sale|Consumption","posting date","01/01/21..12/31/21")/-12</t>
  </si>
  <si>
    <t>=NL("sum","Item Ledger Entry","Quantity","Item No.",$D1918,"Entry Type","Sale|Consumption","posting date","01/01/22..12/31/22")/-12</t>
  </si>
  <si>
    <t>=NL("sum","Item Ledger Entry","Quantity","Item No.",$D1918,"Entry Type","Sale|Consumption","posting date","01/01/23..12/31/23")/$J$7</t>
  </si>
  <si>
    <t>=AVERAGE(I1918:J1918)</t>
  </si>
  <si>
    <t>=NL(1,"item",L$9,"no.",D1918)</t>
  </si>
  <si>
    <t>=NL(1,"item",M$9,"no.",$D1918)</t>
  </si>
  <si>
    <t>=NL(1,"item","Units Per Parcel","no.",$D1918)</t>
  </si>
  <si>
    <t>=NL(1,"Prod. BOM Equipment","Fixed Prod. Time (Hours)","Production BOM No.",$D1918,"version code",$E1918,"Resource No.",O$9)</t>
  </si>
  <si>
    <t>=1/O1918</t>
  </si>
  <si>
    <t>=IF(NL(1,"Prod. BOM Equipment","Variable Prod. Time (Hours)","Production BOM No.",$D1918,"version code",$E1918,"Resource No.",$O$9)="",1,NL(1,"Prod. BOM Equipment","Variable Prod. Time (Hours)","Production BOM No.",$D1918,"version code",$E1918,"Resource No.",$O$9))</t>
  </si>
  <si>
    <t>=1/Q1918</t>
  </si>
  <si>
    <t>=R1918*N1918</t>
  </si>
  <si>
    <t>=IF(K1919=0,"hide","")</t>
  </si>
  <si>
    <t>=D1918</t>
  </si>
  <si>
    <t>=NL("sum","Production Order","Quantity","Source No.",$D1919,"Equipment Code",$L1919,"due date",F$8)/-12</t>
  </si>
  <si>
    <t>=NL("sum","Production Order","Quantity","Source No.",$D1919,"Equipment Code",$L1919,"due date",G$8)/-12</t>
  </si>
  <si>
    <t>=NL("sum","Production Order","Quantity","Source No.",$D1919,"Equipment Code",$L1919,"due date",H$8)/-12</t>
  </si>
  <si>
    <t>=NL("sum","Production Order","Quantity","Source No.",$D1919,"Equipment Code",$L1919,"due date",I$8)/-12</t>
  </si>
  <si>
    <t>=NL("sum","Production Order","Quantity","Source No.",$D1919,"Equipment Code",$L1919,"due date",J$8)/$J$7</t>
  </si>
  <si>
    <t>=AVERAGE(I1919:J1919)</t>
  </si>
  <si>
    <t>=IF(K1920=0,"hide","")</t>
  </si>
  <si>
    <t>=D1919</t>
  </si>
  <si>
    <t>=NL("sum","Production Order","Quantity","Source No.",$D1920,"Equipment Code",$L1920,"due date",F$8)/-12</t>
  </si>
  <si>
    <t>=NL("sum","Production Order","Quantity","Source No.",$D1920,"Equipment Code",$L1920,"due date",G$8)/-12</t>
  </si>
  <si>
    <t>=NL("sum","Production Order","Quantity","Source No.",$D1920,"Equipment Code",$L1920,"due date",H$8)/-12</t>
  </si>
  <si>
    <t>=NL("sum","Production Order","Quantity","Source No.",$D1920,"Equipment Code",$L1920,"due date",I$8)/-12</t>
  </si>
  <si>
    <t>=NL("sum","Production Order","Quantity","Source No.",$D1920,"Equipment Code",$L1920,"due date",J$8)/$J$7</t>
  </si>
  <si>
    <t>=AVERAGE(I1920:J1920)</t>
  </si>
  <si>
    <t>=IF(K1921=0,"hide","")</t>
  </si>
  <si>
    <t>=D1920</t>
  </si>
  <si>
    <t>=NL("sum","Production Order","Quantity","Source No.",$D1921,"Equipment Code",$L1921,"due date",F$8)/-12</t>
  </si>
  <si>
    <t>=NL("sum","Production Order","Quantity","Source No.",$D1921,"Equipment Code",$L1921,"due date",G$8)/-12</t>
  </si>
  <si>
    <t>=NL("sum","Production Order","Quantity","Source No.",$D1921,"Equipment Code",$L1921,"due date",H$8)/-12</t>
  </si>
  <si>
    <t>=NL("sum","Production Order","Quantity","Source No.",$D1921,"Equipment Code",$L1921,"due date",I$8)/-12</t>
  </si>
  <si>
    <t>=NL("sum","Production Order","Quantity","Source No.",$D1921,"Equipment Code",$L1921,"due date",J$8)/$J$7</t>
  </si>
  <si>
    <t>=AVERAGE(I1921:J1921)</t>
  </si>
  <si>
    <t>=IF(K1922=0,"hide","")</t>
  </si>
  <si>
    <t>=D1921</t>
  </si>
  <si>
    <t>=NL("sum","Production Order","Quantity","Source No.",$D1922,"Equipment Code",$L1922,"due date",F$8)/-12</t>
  </si>
  <si>
    <t>=NL("sum","Production Order","Quantity","Source No.",$D1922,"Equipment Code",$L1922,"due date",G$8)/-12</t>
  </si>
  <si>
    <t>=NL("sum","Production Order","Quantity","Source No.",$D1922,"Equipment Code",$L1922,"due date",H$8)/-12</t>
  </si>
  <si>
    <t>=NL("sum","Production Order","Quantity","Source No.",$D1922,"Equipment Code",$L1922,"due date",I$8)/-12</t>
  </si>
  <si>
    <t>=NL("sum","Production Order","Quantity","Source No.",$D1922,"Equipment Code",$L1922,"due date",J$8)/$J$7</t>
  </si>
  <si>
    <t>=AVERAGE(I1922:J1922)</t>
  </si>
  <si>
    <t>=B1919</t>
  </si>
  <si>
    <t>=B1923</t>
  </si>
  <si>
    <t>=SUM(F1919:F1923)</t>
  </si>
  <si>
    <t>=SUM(G1919:G1923)</t>
  </si>
  <si>
    <t>=SUM(H1919:H1923)</t>
  </si>
  <si>
    <t>=SUM(I1919:I1923)</t>
  </si>
  <si>
    <t>=SUM(J1919:J1923)</t>
  </si>
  <si>
    <t>=IF(K1925=0,"hide","")</t>
  </si>
  <si>
    <t>="22807"</t>
  </si>
  <si>
    <t>=NL("rows","Production BOM Version","Version Code","Production BOM No.",D1925,"status","certified")</t>
  </si>
  <si>
    <t>=NL("sum","Item Ledger Entry","Quantity","Item No.",$D1925,"Entry Type","Sale|Consumption","posting date","01/01/19..12/31/19")/-12</t>
  </si>
  <si>
    <t>=NL("sum","Item Ledger Entry","Quantity","Item No.",$D1925,"Entry Type","Sale|Consumption","posting date","01/01/20..12/31/20")/-12</t>
  </si>
  <si>
    <t>=NL("sum","Item Ledger Entry","Quantity","Item No.",$D1925,"Entry Type","Sale|Consumption","posting date","01/01/21..12/31/21")/-12</t>
  </si>
  <si>
    <t>=NL("sum","Item Ledger Entry","Quantity","Item No.",$D1925,"Entry Type","Sale|Consumption","posting date","01/01/22..12/31/22")/-12</t>
  </si>
  <si>
    <t>=NL("sum","Item Ledger Entry","Quantity","Item No.",$D1925,"Entry Type","Sale|Consumption","posting date","01/01/23..12/31/23")/$J$7</t>
  </si>
  <si>
    <t>=AVERAGE(I1925:J1925)</t>
  </si>
  <si>
    <t>=NL(1,"item",L$9,"no.",D1925)</t>
  </si>
  <si>
    <t>=NL(1,"item",M$9,"no.",$D1925)</t>
  </si>
  <si>
    <t>=NL(1,"item","Units Per Parcel","no.",$D1925)</t>
  </si>
  <si>
    <t>=NL(1,"Prod. BOM Equipment","Fixed Prod. Time (Hours)","Production BOM No.",$D1925,"version code",$E1925,"Resource No.",O$9)</t>
  </si>
  <si>
    <t>=1/O1925</t>
  </si>
  <si>
    <t>=IF(NL(1,"Prod. BOM Equipment","Variable Prod. Time (Hours)","Production BOM No.",$D1925,"version code",$E1925,"Resource No.",$O$9)="",1,NL(1,"Prod. BOM Equipment","Variable Prod. Time (Hours)","Production BOM No.",$D1925,"version code",$E1925,"Resource No.",$O$9))</t>
  </si>
  <si>
    <t>=1/Q1925</t>
  </si>
  <si>
    <t>=R1925*N1925</t>
  </si>
  <si>
    <t>=IF(K1926=0,"hide","")</t>
  </si>
  <si>
    <t>=D1925</t>
  </si>
  <si>
    <t>=NL("sum","Production Order","Quantity","Source No.",$D1926,"Equipment Code",$L1926,"due date",F$8)/-12</t>
  </si>
  <si>
    <t>=NL("sum","Production Order","Quantity","Source No.",$D1926,"Equipment Code",$L1926,"due date",G$8)/-12</t>
  </si>
  <si>
    <t>=NL("sum","Production Order","Quantity","Source No.",$D1926,"Equipment Code",$L1926,"due date",H$8)/-12</t>
  </si>
  <si>
    <t>=NL("sum","Production Order","Quantity","Source No.",$D1926,"Equipment Code",$L1926,"due date",I$8)/-12</t>
  </si>
  <si>
    <t>=NL("sum","Production Order","Quantity","Source No.",$D1926,"Equipment Code",$L1926,"due date",J$8)/$J$7</t>
  </si>
  <si>
    <t>=AVERAGE(I1926:J1926)</t>
  </si>
  <si>
    <t>=IF(K1927=0,"hide","")</t>
  </si>
  <si>
    <t>=D1926</t>
  </si>
  <si>
    <t>=NL("sum","Production Order","Quantity","Source No.",$D1927,"Equipment Code",$L1927,"due date",F$8)/-12</t>
  </si>
  <si>
    <t>=NL("sum","Production Order","Quantity","Source No.",$D1927,"Equipment Code",$L1927,"due date",G$8)/-12</t>
  </si>
  <si>
    <t>=NL("sum","Production Order","Quantity","Source No.",$D1927,"Equipment Code",$L1927,"due date",H$8)/-12</t>
  </si>
  <si>
    <t>=NL("sum","Production Order","Quantity","Source No.",$D1927,"Equipment Code",$L1927,"due date",I$8)/-12</t>
  </si>
  <si>
    <t>=NL("sum","Production Order","Quantity","Source No.",$D1927,"Equipment Code",$L1927,"due date",J$8)/$J$7</t>
  </si>
  <si>
    <t>=AVERAGE(I1927:J1927)</t>
  </si>
  <si>
    <t>=IF(K1928=0,"hide","")</t>
  </si>
  <si>
    <t>=D1927</t>
  </si>
  <si>
    <t>=NL("sum","Production Order","Quantity","Source No.",$D1928,"Equipment Code",$L1928,"due date",F$8)/-12</t>
  </si>
  <si>
    <t>=NL("sum","Production Order","Quantity","Source No.",$D1928,"Equipment Code",$L1928,"due date",G$8)/-12</t>
  </si>
  <si>
    <t>=NL("sum","Production Order","Quantity","Source No.",$D1928,"Equipment Code",$L1928,"due date",H$8)/-12</t>
  </si>
  <si>
    <t>=NL("sum","Production Order","Quantity","Source No.",$D1928,"Equipment Code",$L1928,"due date",I$8)/-12</t>
  </si>
  <si>
    <t>=NL("sum","Production Order","Quantity","Source No.",$D1928,"Equipment Code",$L1928,"due date",J$8)/$J$7</t>
  </si>
  <si>
    <t>=AVERAGE(I1928:J1928)</t>
  </si>
  <si>
    <t>=IF(K1929=0,"hide","")</t>
  </si>
  <si>
    <t>=D1928</t>
  </si>
  <si>
    <t>=NL("sum","Production Order","Quantity","Source No.",$D1929,"Equipment Code",$L1929,"due date",F$8)/-12</t>
  </si>
  <si>
    <t>=NL("sum","Production Order","Quantity","Source No.",$D1929,"Equipment Code",$L1929,"due date",G$8)/-12</t>
  </si>
  <si>
    <t>=NL("sum","Production Order","Quantity","Source No.",$D1929,"Equipment Code",$L1929,"due date",H$8)/-12</t>
  </si>
  <si>
    <t>=NL("sum","Production Order","Quantity","Source No.",$D1929,"Equipment Code",$L1929,"due date",I$8)/-12</t>
  </si>
  <si>
    <t>=NL("sum","Production Order","Quantity","Source No.",$D1929,"Equipment Code",$L1929,"due date",J$8)/$J$7</t>
  </si>
  <si>
    <t>=AVERAGE(I1929:J1929)</t>
  </si>
  <si>
    <t>=B1926</t>
  </si>
  <si>
    <t>=B1930</t>
  </si>
  <si>
    <t>=SUM(F1926:F1930)</t>
  </si>
  <si>
    <t>=SUM(G1926:G1930)</t>
  </si>
  <si>
    <t>=SUM(H1926:H1930)</t>
  </si>
  <si>
    <t>=SUM(I1926:I1930)</t>
  </si>
  <si>
    <t>=SUM(J1926:J1930)</t>
  </si>
  <si>
    <t>=IF(K1932=0,"hide","")</t>
  </si>
  <si>
    <t>="22811"</t>
  </si>
  <si>
    <t>=NL("rows","Production BOM Version","Version Code","Production BOM No.",D1932,"status","certified")</t>
  </si>
  <si>
    <t>=NL("sum","Item Ledger Entry","Quantity","Item No.",$D1932,"Entry Type","Sale|Consumption","posting date","01/01/19..12/31/19")/-12</t>
  </si>
  <si>
    <t>=NL("sum","Item Ledger Entry","Quantity","Item No.",$D1932,"Entry Type","Sale|Consumption","posting date","01/01/20..12/31/20")/-12</t>
  </si>
  <si>
    <t>=NL("sum","Item Ledger Entry","Quantity","Item No.",$D1932,"Entry Type","Sale|Consumption","posting date","01/01/21..12/31/21")/-12</t>
  </si>
  <si>
    <t>=NL("sum","Item Ledger Entry","Quantity","Item No.",$D1932,"Entry Type","Sale|Consumption","posting date","01/01/22..12/31/22")/-12</t>
  </si>
  <si>
    <t>=NL("sum","Item Ledger Entry","Quantity","Item No.",$D1932,"Entry Type","Sale|Consumption","posting date","01/01/23..12/31/23")/$J$7</t>
  </si>
  <si>
    <t>=AVERAGE(I1932:J1932)</t>
  </si>
  <si>
    <t>=NL(1,"item",L$9,"no.",D1932)</t>
  </si>
  <si>
    <t>=NL(1,"item",M$9,"no.",$D1932)</t>
  </si>
  <si>
    <t>=NL(1,"item","Units Per Parcel","no.",$D1932)</t>
  </si>
  <si>
    <t>=NL(1,"Prod. BOM Equipment","Fixed Prod. Time (Hours)","Production BOM No.",$D1932,"version code",$E1932,"Resource No.",O$9)</t>
  </si>
  <si>
    <t>=1/O1932</t>
  </si>
  <si>
    <t>=IF(NL(1,"Prod. BOM Equipment","Variable Prod. Time (Hours)","Production BOM No.",$D1932,"version code",$E1932,"Resource No.",$O$9)="",1,NL(1,"Prod. BOM Equipment","Variable Prod. Time (Hours)","Production BOM No.",$D1932,"version code",$E1932,"Resource No.",$O$9))</t>
  </si>
  <si>
    <t>=1/Q1932</t>
  </si>
  <si>
    <t>=R1932*N1932</t>
  </si>
  <si>
    <t>=IF(K1933=0,"hide","")</t>
  </si>
  <si>
    <t>=D1932</t>
  </si>
  <si>
    <t>=NL("sum","Production Order","Quantity","Source No.",$D1933,"Equipment Code",$L1933,"due date",F$8)/-12</t>
  </si>
  <si>
    <t>=NL("sum","Production Order","Quantity","Source No.",$D1933,"Equipment Code",$L1933,"due date",G$8)/-12</t>
  </si>
  <si>
    <t>=NL("sum","Production Order","Quantity","Source No.",$D1933,"Equipment Code",$L1933,"due date",H$8)/-12</t>
  </si>
  <si>
    <t>=NL("sum","Production Order","Quantity","Source No.",$D1933,"Equipment Code",$L1933,"due date",I$8)/-12</t>
  </si>
  <si>
    <t>=NL("sum","Production Order","Quantity","Source No.",$D1933,"Equipment Code",$L1933,"due date",J$8)/$J$7</t>
  </si>
  <si>
    <t>=AVERAGE(I1933:J1933)</t>
  </si>
  <si>
    <t>=IF(K1934=0,"hide","")</t>
  </si>
  <si>
    <t>=D1933</t>
  </si>
  <si>
    <t>=NL("sum","Production Order","Quantity","Source No.",$D1934,"Equipment Code",$L1934,"due date",F$8)/-12</t>
  </si>
  <si>
    <t>=NL("sum","Production Order","Quantity","Source No.",$D1934,"Equipment Code",$L1934,"due date",G$8)/-12</t>
  </si>
  <si>
    <t>=NL("sum","Production Order","Quantity","Source No.",$D1934,"Equipment Code",$L1934,"due date",H$8)/-12</t>
  </si>
  <si>
    <t>=NL("sum","Production Order","Quantity","Source No.",$D1934,"Equipment Code",$L1934,"due date",I$8)/-12</t>
  </si>
  <si>
    <t>=NL("sum","Production Order","Quantity","Source No.",$D1934,"Equipment Code",$L1934,"due date",J$8)/$J$7</t>
  </si>
  <si>
    <t>=AVERAGE(I1934:J1934)</t>
  </si>
  <si>
    <t>=IF(K1935=0,"hide","")</t>
  </si>
  <si>
    <t>=D1934</t>
  </si>
  <si>
    <t>=NL("sum","Production Order","Quantity","Source No.",$D1935,"Equipment Code",$L1935,"due date",F$8)/-12</t>
  </si>
  <si>
    <t>=NL("sum","Production Order","Quantity","Source No.",$D1935,"Equipment Code",$L1935,"due date",G$8)/-12</t>
  </si>
  <si>
    <t>=NL("sum","Production Order","Quantity","Source No.",$D1935,"Equipment Code",$L1935,"due date",H$8)/-12</t>
  </si>
  <si>
    <t>=NL("sum","Production Order","Quantity","Source No.",$D1935,"Equipment Code",$L1935,"due date",I$8)/-12</t>
  </si>
  <si>
    <t>=NL("sum","Production Order","Quantity","Source No.",$D1935,"Equipment Code",$L1935,"due date",J$8)/$J$7</t>
  </si>
  <si>
    <t>=AVERAGE(I1935:J1935)</t>
  </si>
  <si>
    <t>=IF(K1936=0,"hide","")</t>
  </si>
  <si>
    <t>=D1935</t>
  </si>
  <si>
    <t>=NL("sum","Production Order","Quantity","Source No.",$D1936,"Equipment Code",$L1936,"due date",F$8)/-12</t>
  </si>
  <si>
    <t>=NL("sum","Production Order","Quantity","Source No.",$D1936,"Equipment Code",$L1936,"due date",G$8)/-12</t>
  </si>
  <si>
    <t>=NL("sum","Production Order","Quantity","Source No.",$D1936,"Equipment Code",$L1936,"due date",H$8)/-12</t>
  </si>
  <si>
    <t>=NL("sum","Production Order","Quantity","Source No.",$D1936,"Equipment Code",$L1936,"due date",I$8)/-12</t>
  </si>
  <si>
    <t>=NL("sum","Production Order","Quantity","Source No.",$D1936,"Equipment Code",$L1936,"due date",J$8)/$J$7</t>
  </si>
  <si>
    <t>=AVERAGE(I1936:J1936)</t>
  </si>
  <si>
    <t>=B1933</t>
  </si>
  <si>
    <t>=B1937</t>
  </si>
  <si>
    <t>=SUM(F1933:F1937)</t>
  </si>
  <si>
    <t>=SUM(G1933:G1937)</t>
  </si>
  <si>
    <t>=SUM(H1933:H1937)</t>
  </si>
  <si>
    <t>=SUM(I1933:I1937)</t>
  </si>
  <si>
    <t>=SUM(J1933:J1937)</t>
  </si>
  <si>
    <t>=IF(K1939=0,"hide","")</t>
  </si>
  <si>
    <t>="22851"</t>
  </si>
  <si>
    <t>=NL("rows","Production BOM Version","Version Code","Production BOM No.",D1939,"status","certified")</t>
  </si>
  <si>
    <t>=NL("sum","Item Ledger Entry","Quantity","Item No.",$D1939,"Entry Type","Sale|Consumption","posting date","01/01/19..12/31/19")/-12</t>
  </si>
  <si>
    <t>=NL("sum","Item Ledger Entry","Quantity","Item No.",$D1939,"Entry Type","Sale|Consumption","posting date","01/01/20..12/31/20")/-12</t>
  </si>
  <si>
    <t>=NL("sum","Item Ledger Entry","Quantity","Item No.",$D1939,"Entry Type","Sale|Consumption","posting date","01/01/21..12/31/21")/-12</t>
  </si>
  <si>
    <t>=NL("sum","Item Ledger Entry","Quantity","Item No.",$D1939,"Entry Type","Sale|Consumption","posting date","01/01/22..12/31/22")/-12</t>
  </si>
  <si>
    <t>=NL("sum","Item Ledger Entry","Quantity","Item No.",$D1939,"Entry Type","Sale|Consumption","posting date","01/01/23..12/31/23")/$J$7</t>
  </si>
  <si>
    <t>=AVERAGE(I1939:J1939)</t>
  </si>
  <si>
    <t>=NL(1,"item",L$9,"no.",D1939)</t>
  </si>
  <si>
    <t>=NL(1,"item",M$9,"no.",$D1939)</t>
  </si>
  <si>
    <t>=NL(1,"item","Units Per Parcel","no.",$D1939)</t>
  </si>
  <si>
    <t>=NL(1,"Prod. BOM Equipment","Fixed Prod. Time (Hours)","Production BOM No.",$D1939,"version code",$E1939,"Resource No.",O$9)</t>
  </si>
  <si>
    <t>=1/O1939</t>
  </si>
  <si>
    <t>=IF(NL(1,"Prod. BOM Equipment","Variable Prod. Time (Hours)","Production BOM No.",$D1939,"version code",$E1939,"Resource No.",$O$9)="",1,NL(1,"Prod. BOM Equipment","Variable Prod. Time (Hours)","Production BOM No.",$D1939,"version code",$E1939,"Resource No.",$O$9))</t>
  </si>
  <si>
    <t>=1/Q1939</t>
  </si>
  <si>
    <t>=R1939*N1939</t>
  </si>
  <si>
    <t>=IF(K1940=0,"hide","")</t>
  </si>
  <si>
    <t>=D1939</t>
  </si>
  <si>
    <t>=NL("sum","Production Order","Quantity","Source No.",$D1940,"Equipment Code",$L1940,"due date",F$8)/-12</t>
  </si>
  <si>
    <t>=NL("sum","Production Order","Quantity","Source No.",$D1940,"Equipment Code",$L1940,"due date",G$8)/-12</t>
  </si>
  <si>
    <t>=NL("sum","Production Order","Quantity","Source No.",$D1940,"Equipment Code",$L1940,"due date",H$8)/-12</t>
  </si>
  <si>
    <t>=NL("sum","Production Order","Quantity","Source No.",$D1940,"Equipment Code",$L1940,"due date",I$8)/-12</t>
  </si>
  <si>
    <t>=NL("sum","Production Order","Quantity","Source No.",$D1940,"Equipment Code",$L1940,"due date",J$8)/$J$7</t>
  </si>
  <si>
    <t>=AVERAGE(I1940:J1940)</t>
  </si>
  <si>
    <t>=IF(K1941=0,"hide","")</t>
  </si>
  <si>
    <t>=D1940</t>
  </si>
  <si>
    <t>=NL("sum","Production Order","Quantity","Source No.",$D1941,"Equipment Code",$L1941,"due date",F$8)/-12</t>
  </si>
  <si>
    <t>=NL("sum","Production Order","Quantity","Source No.",$D1941,"Equipment Code",$L1941,"due date",G$8)/-12</t>
  </si>
  <si>
    <t>=NL("sum","Production Order","Quantity","Source No.",$D1941,"Equipment Code",$L1941,"due date",H$8)/-12</t>
  </si>
  <si>
    <t>=NL("sum","Production Order","Quantity","Source No.",$D1941,"Equipment Code",$L1941,"due date",I$8)/-12</t>
  </si>
  <si>
    <t>=NL("sum","Production Order","Quantity","Source No.",$D1941,"Equipment Code",$L1941,"due date",J$8)/$J$7</t>
  </si>
  <si>
    <t>=AVERAGE(I1941:J1941)</t>
  </si>
  <si>
    <t>=IF(K1942=0,"hide","")</t>
  </si>
  <si>
    <t>=D1941</t>
  </si>
  <si>
    <t>=NL("sum","Production Order","Quantity","Source No.",$D1942,"Equipment Code",$L1942,"due date",F$8)/-12</t>
  </si>
  <si>
    <t>=NL("sum","Production Order","Quantity","Source No.",$D1942,"Equipment Code",$L1942,"due date",G$8)/-12</t>
  </si>
  <si>
    <t>=NL("sum","Production Order","Quantity","Source No.",$D1942,"Equipment Code",$L1942,"due date",H$8)/-12</t>
  </si>
  <si>
    <t>=NL("sum","Production Order","Quantity","Source No.",$D1942,"Equipment Code",$L1942,"due date",I$8)/-12</t>
  </si>
  <si>
    <t>=NL("sum","Production Order","Quantity","Source No.",$D1942,"Equipment Code",$L1942,"due date",J$8)/$J$7</t>
  </si>
  <si>
    <t>=AVERAGE(I1942:J1942)</t>
  </si>
  <si>
    <t>=IF(K1943=0,"hide","")</t>
  </si>
  <si>
    <t>=D1942</t>
  </si>
  <si>
    <t>=NL("sum","Production Order","Quantity","Source No.",$D1943,"Equipment Code",$L1943,"due date",F$8)/-12</t>
  </si>
  <si>
    <t>=NL("sum","Production Order","Quantity","Source No.",$D1943,"Equipment Code",$L1943,"due date",G$8)/-12</t>
  </si>
  <si>
    <t>=NL("sum","Production Order","Quantity","Source No.",$D1943,"Equipment Code",$L1943,"due date",H$8)/-12</t>
  </si>
  <si>
    <t>=NL("sum","Production Order","Quantity","Source No.",$D1943,"Equipment Code",$L1943,"due date",I$8)/-12</t>
  </si>
  <si>
    <t>=NL("sum","Production Order","Quantity","Source No.",$D1943,"Equipment Code",$L1943,"due date",J$8)/$J$7</t>
  </si>
  <si>
    <t>=AVERAGE(I1943:J1943)</t>
  </si>
  <si>
    <t>=B1940</t>
  </si>
  <si>
    <t>=B1944</t>
  </si>
  <si>
    <t>=SUM(F1940:F1944)</t>
  </si>
  <si>
    <t>=SUM(G1940:G1944)</t>
  </si>
  <si>
    <t>=SUM(H1940:H1944)</t>
  </si>
  <si>
    <t>=SUM(I1940:I1944)</t>
  </si>
  <si>
    <t>=SUM(J1940:J1944)</t>
  </si>
  <si>
    <t>=IF(K1946=0,"hide","")</t>
  </si>
  <si>
    <t>="22901"</t>
  </si>
  <si>
    <t>=NL("rows","Production BOM Version","Version Code","Production BOM No.",D1946,"status","certified")</t>
  </si>
  <si>
    <t>=NL("sum","Item Ledger Entry","Quantity","Item No.",$D1946,"Entry Type","Sale|Consumption","posting date","01/01/19..12/31/19")/-12</t>
  </si>
  <si>
    <t>=NL("sum","Item Ledger Entry","Quantity","Item No.",$D1946,"Entry Type","Sale|Consumption","posting date","01/01/20..12/31/20")/-12</t>
  </si>
  <si>
    <t>=NL("sum","Item Ledger Entry","Quantity","Item No.",$D1946,"Entry Type","Sale|Consumption","posting date","01/01/21..12/31/21")/-12</t>
  </si>
  <si>
    <t>=NL("sum","Item Ledger Entry","Quantity","Item No.",$D1946,"Entry Type","Sale|Consumption","posting date","01/01/22..12/31/22")/-12</t>
  </si>
  <si>
    <t>=NL("sum","Item Ledger Entry","Quantity","Item No.",$D1946,"Entry Type","Sale|Consumption","posting date","01/01/23..12/31/23")/$J$7</t>
  </si>
  <si>
    <t>=AVERAGE(I1946:J1946)</t>
  </si>
  <si>
    <t>=NL(1,"item",L$9,"no.",D1946)</t>
  </si>
  <si>
    <t>=NL(1,"item",M$9,"no.",$D1946)</t>
  </si>
  <si>
    <t>=NL(1,"item","Units Per Parcel","no.",$D1946)</t>
  </si>
  <si>
    <t>=NL(1,"Prod. BOM Equipment","Fixed Prod. Time (Hours)","Production BOM No.",$D1946,"version code",$E1946,"Resource No.",O$9)</t>
  </si>
  <si>
    <t>=1/O1946</t>
  </si>
  <si>
    <t>=IF(NL(1,"Prod. BOM Equipment","Variable Prod. Time (Hours)","Production BOM No.",$D1946,"version code",$E1946,"Resource No.",$O$9)="",1,NL(1,"Prod. BOM Equipment","Variable Prod. Time (Hours)","Production BOM No.",$D1946,"version code",$E1946,"Resource No.",$O$9))</t>
  </si>
  <si>
    <t>=1/Q1946</t>
  </si>
  <si>
    <t>=R1946*N1946</t>
  </si>
  <si>
    <t>=IF(K1947=0,"hide","")</t>
  </si>
  <si>
    <t>=D1946</t>
  </si>
  <si>
    <t>=NL("sum","Production Order","Quantity","Source No.",$D1947,"Equipment Code",$L1947,"due date",F$8)/-12</t>
  </si>
  <si>
    <t>=NL("sum","Production Order","Quantity","Source No.",$D1947,"Equipment Code",$L1947,"due date",G$8)/-12</t>
  </si>
  <si>
    <t>=NL("sum","Production Order","Quantity","Source No.",$D1947,"Equipment Code",$L1947,"due date",H$8)/-12</t>
  </si>
  <si>
    <t>=NL("sum","Production Order","Quantity","Source No.",$D1947,"Equipment Code",$L1947,"due date",I$8)/-12</t>
  </si>
  <si>
    <t>=NL("sum","Production Order","Quantity","Source No.",$D1947,"Equipment Code",$L1947,"due date",J$8)/$J$7</t>
  </si>
  <si>
    <t>=AVERAGE(I1947:J1947)</t>
  </si>
  <si>
    <t>=IF(K1948=0,"hide","")</t>
  </si>
  <si>
    <t>=D1947</t>
  </si>
  <si>
    <t>=NL("sum","Production Order","Quantity","Source No.",$D1948,"Equipment Code",$L1948,"due date",F$8)/-12</t>
  </si>
  <si>
    <t>=NL("sum","Production Order","Quantity","Source No.",$D1948,"Equipment Code",$L1948,"due date",G$8)/-12</t>
  </si>
  <si>
    <t>=NL("sum","Production Order","Quantity","Source No.",$D1948,"Equipment Code",$L1948,"due date",H$8)/-12</t>
  </si>
  <si>
    <t>=NL("sum","Production Order","Quantity","Source No.",$D1948,"Equipment Code",$L1948,"due date",I$8)/-12</t>
  </si>
  <si>
    <t>=NL("sum","Production Order","Quantity","Source No.",$D1948,"Equipment Code",$L1948,"due date",J$8)/$J$7</t>
  </si>
  <si>
    <t>=AVERAGE(I1948:J1948)</t>
  </si>
  <si>
    <t>=IF(K1949=0,"hide","")</t>
  </si>
  <si>
    <t>=D1948</t>
  </si>
  <si>
    <t>=NL("sum","Production Order","Quantity","Source No.",$D1949,"Equipment Code",$L1949,"due date",F$8)/-12</t>
  </si>
  <si>
    <t>=NL("sum","Production Order","Quantity","Source No.",$D1949,"Equipment Code",$L1949,"due date",G$8)/-12</t>
  </si>
  <si>
    <t>=NL("sum","Production Order","Quantity","Source No.",$D1949,"Equipment Code",$L1949,"due date",H$8)/-12</t>
  </si>
  <si>
    <t>=NL("sum","Production Order","Quantity","Source No.",$D1949,"Equipment Code",$L1949,"due date",I$8)/-12</t>
  </si>
  <si>
    <t>=NL("sum","Production Order","Quantity","Source No.",$D1949,"Equipment Code",$L1949,"due date",J$8)/$J$7</t>
  </si>
  <si>
    <t>=AVERAGE(I1949:J1949)</t>
  </si>
  <si>
    <t>=IF(K1950=0,"hide","")</t>
  </si>
  <si>
    <t>=D1949</t>
  </si>
  <si>
    <t>=NL("sum","Production Order","Quantity","Source No.",$D1950,"Equipment Code",$L1950,"due date",F$8)/-12</t>
  </si>
  <si>
    <t>=NL("sum","Production Order","Quantity","Source No.",$D1950,"Equipment Code",$L1950,"due date",G$8)/-12</t>
  </si>
  <si>
    <t>=NL("sum","Production Order","Quantity","Source No.",$D1950,"Equipment Code",$L1950,"due date",H$8)/-12</t>
  </si>
  <si>
    <t>=NL("sum","Production Order","Quantity","Source No.",$D1950,"Equipment Code",$L1950,"due date",I$8)/-12</t>
  </si>
  <si>
    <t>=NL("sum","Production Order","Quantity","Source No.",$D1950,"Equipment Code",$L1950,"due date",J$8)/$J$7</t>
  </si>
  <si>
    <t>=AVERAGE(I1950:J1950)</t>
  </si>
  <si>
    <t>=B1947</t>
  </si>
  <si>
    <t>=B1951</t>
  </si>
  <si>
    <t>=SUM(F1947:F1951)</t>
  </si>
  <si>
    <t>=SUM(G1947:G1951)</t>
  </si>
  <si>
    <t>=SUM(H1947:H1951)</t>
  </si>
  <si>
    <t>=SUM(I1947:I1951)</t>
  </si>
  <si>
    <t>=SUM(J1947:J1951)</t>
  </si>
  <si>
    <t>=IF(K1953=0,"hide","")</t>
  </si>
  <si>
    <t>="22906"</t>
  </si>
  <si>
    <t>=NL("rows","Production BOM Version","Version Code","Production BOM No.",D1953,"status","certified")</t>
  </si>
  <si>
    <t>=NL("sum","Item Ledger Entry","Quantity","Item No.",$D1953,"Entry Type","Sale|Consumption","posting date","01/01/19..12/31/19")/-12</t>
  </si>
  <si>
    <t>=NL("sum","Item Ledger Entry","Quantity","Item No.",$D1953,"Entry Type","Sale|Consumption","posting date","01/01/20..12/31/20")/-12</t>
  </si>
  <si>
    <t>=NL("sum","Item Ledger Entry","Quantity","Item No.",$D1953,"Entry Type","Sale|Consumption","posting date","01/01/21..12/31/21")/-12</t>
  </si>
  <si>
    <t>=NL("sum","Item Ledger Entry","Quantity","Item No.",$D1953,"Entry Type","Sale|Consumption","posting date","01/01/22..12/31/22")/-12</t>
  </si>
  <si>
    <t>=NL("sum","Item Ledger Entry","Quantity","Item No.",$D1953,"Entry Type","Sale|Consumption","posting date","01/01/23..12/31/23")/$J$7</t>
  </si>
  <si>
    <t>=AVERAGE(I1953:J1953)</t>
  </si>
  <si>
    <t>=NL(1,"item",L$9,"no.",D1953)</t>
  </si>
  <si>
    <t>=NL(1,"item",M$9,"no.",$D1953)</t>
  </si>
  <si>
    <t>=NL(1,"item","Units Per Parcel","no.",$D1953)</t>
  </si>
  <si>
    <t>=NL(1,"Prod. BOM Equipment","Fixed Prod. Time (Hours)","Production BOM No.",$D1953,"version code",$E1953,"Resource No.",O$9)</t>
  </si>
  <si>
    <t>=1/O1953</t>
  </si>
  <si>
    <t>=IF(NL(1,"Prod. BOM Equipment","Variable Prod. Time (Hours)","Production BOM No.",$D1953,"version code",$E1953,"Resource No.",$O$9)="",1,NL(1,"Prod. BOM Equipment","Variable Prod. Time (Hours)","Production BOM No.",$D1953,"version code",$E1953,"Resource No.",$O$9))</t>
  </si>
  <si>
    <t>=1/Q1953</t>
  </si>
  <si>
    <t>=R1953*N1953</t>
  </si>
  <si>
    <t>=IF(K1954=0,"hide","")</t>
  </si>
  <si>
    <t>=D1953</t>
  </si>
  <si>
    <t>=NL("sum","Production Order","Quantity","Source No.",$D1954,"Equipment Code",$L1954,"due date",F$8)/-12</t>
  </si>
  <si>
    <t>=NL("sum","Production Order","Quantity","Source No.",$D1954,"Equipment Code",$L1954,"due date",G$8)/-12</t>
  </si>
  <si>
    <t>=NL("sum","Production Order","Quantity","Source No.",$D1954,"Equipment Code",$L1954,"due date",H$8)/-12</t>
  </si>
  <si>
    <t>=NL("sum","Production Order","Quantity","Source No.",$D1954,"Equipment Code",$L1954,"due date",I$8)/-12</t>
  </si>
  <si>
    <t>=NL("sum","Production Order","Quantity","Source No.",$D1954,"Equipment Code",$L1954,"due date",J$8)/$J$7</t>
  </si>
  <si>
    <t>=AVERAGE(I1954:J1954)</t>
  </si>
  <si>
    <t>=IF(K1955=0,"hide","")</t>
  </si>
  <si>
    <t>=D1954</t>
  </si>
  <si>
    <t>=NL("sum","Production Order","Quantity","Source No.",$D1955,"Equipment Code",$L1955,"due date",F$8)/-12</t>
  </si>
  <si>
    <t>=NL("sum","Production Order","Quantity","Source No.",$D1955,"Equipment Code",$L1955,"due date",G$8)/-12</t>
  </si>
  <si>
    <t>=NL("sum","Production Order","Quantity","Source No.",$D1955,"Equipment Code",$L1955,"due date",H$8)/-12</t>
  </si>
  <si>
    <t>=NL("sum","Production Order","Quantity","Source No.",$D1955,"Equipment Code",$L1955,"due date",I$8)/-12</t>
  </si>
  <si>
    <t>=NL("sum","Production Order","Quantity","Source No.",$D1955,"Equipment Code",$L1955,"due date",J$8)/$J$7</t>
  </si>
  <si>
    <t>=AVERAGE(I1955:J1955)</t>
  </si>
  <si>
    <t>=IF(K1956=0,"hide","")</t>
  </si>
  <si>
    <t>=D1955</t>
  </si>
  <si>
    <t>=NL("sum","Production Order","Quantity","Source No.",$D1956,"Equipment Code",$L1956,"due date",F$8)/-12</t>
  </si>
  <si>
    <t>=NL("sum","Production Order","Quantity","Source No.",$D1956,"Equipment Code",$L1956,"due date",G$8)/-12</t>
  </si>
  <si>
    <t>=NL("sum","Production Order","Quantity","Source No.",$D1956,"Equipment Code",$L1956,"due date",H$8)/-12</t>
  </si>
  <si>
    <t>=NL("sum","Production Order","Quantity","Source No.",$D1956,"Equipment Code",$L1956,"due date",I$8)/-12</t>
  </si>
  <si>
    <t>=NL("sum","Production Order","Quantity","Source No.",$D1956,"Equipment Code",$L1956,"due date",J$8)/$J$7</t>
  </si>
  <si>
    <t>=AVERAGE(I1956:J1956)</t>
  </si>
  <si>
    <t>=IF(K1957=0,"hide","")</t>
  </si>
  <si>
    <t>=D1956</t>
  </si>
  <si>
    <t>=NL("sum","Production Order","Quantity","Source No.",$D1957,"Equipment Code",$L1957,"due date",F$8)/-12</t>
  </si>
  <si>
    <t>=NL("sum","Production Order","Quantity","Source No.",$D1957,"Equipment Code",$L1957,"due date",G$8)/-12</t>
  </si>
  <si>
    <t>=NL("sum","Production Order","Quantity","Source No.",$D1957,"Equipment Code",$L1957,"due date",H$8)/-12</t>
  </si>
  <si>
    <t>=NL("sum","Production Order","Quantity","Source No.",$D1957,"Equipment Code",$L1957,"due date",I$8)/-12</t>
  </si>
  <si>
    <t>=NL("sum","Production Order","Quantity","Source No.",$D1957,"Equipment Code",$L1957,"due date",J$8)/$J$7</t>
  </si>
  <si>
    <t>=AVERAGE(I1957:J1957)</t>
  </si>
  <si>
    <t>=B1954</t>
  </si>
  <si>
    <t>=B1958</t>
  </si>
  <si>
    <t>=SUM(F1954:F1958)</t>
  </si>
  <si>
    <t>=SUM(G1954:G1958)</t>
  </si>
  <si>
    <t>=SUM(H1954:H1958)</t>
  </si>
  <si>
    <t>=SUM(I1954:I1958)</t>
  </si>
  <si>
    <t>=SUM(J1954:J1958)</t>
  </si>
  <si>
    <t>=IF(K1960=0,"hide","")</t>
  </si>
  <si>
    <t>="22910"</t>
  </si>
  <si>
    <t>=NL("rows","Production BOM Version","Version Code","Production BOM No.",D1960,"status","certified")</t>
  </si>
  <si>
    <t>=NL("sum","Item Ledger Entry","Quantity","Item No.",$D1960,"Entry Type","Sale|Consumption","posting date","01/01/19..12/31/19")/-12</t>
  </si>
  <si>
    <t>=NL("sum","Item Ledger Entry","Quantity","Item No.",$D1960,"Entry Type","Sale|Consumption","posting date","01/01/20..12/31/20")/-12</t>
  </si>
  <si>
    <t>=NL("sum","Item Ledger Entry","Quantity","Item No.",$D1960,"Entry Type","Sale|Consumption","posting date","01/01/21..12/31/21")/-12</t>
  </si>
  <si>
    <t>=NL("sum","Item Ledger Entry","Quantity","Item No.",$D1960,"Entry Type","Sale|Consumption","posting date","01/01/22..12/31/22")/-12</t>
  </si>
  <si>
    <t>=NL("sum","Item Ledger Entry","Quantity","Item No.",$D1960,"Entry Type","Sale|Consumption","posting date","01/01/23..12/31/23")/$J$7</t>
  </si>
  <si>
    <t>=AVERAGE(I1960:J1960)</t>
  </si>
  <si>
    <t>=NL(1,"item",L$9,"no.",D1960)</t>
  </si>
  <si>
    <t>=NL(1,"item",M$9,"no.",$D1960)</t>
  </si>
  <si>
    <t>=NL(1,"item","Units Per Parcel","no.",$D1960)</t>
  </si>
  <si>
    <t>=NL(1,"Prod. BOM Equipment","Fixed Prod. Time (Hours)","Production BOM No.",$D1960,"version code",$E1960,"Resource No.",O$9)</t>
  </si>
  <si>
    <t>=1/O1960</t>
  </si>
  <si>
    <t>=IF(NL(1,"Prod. BOM Equipment","Variable Prod. Time (Hours)","Production BOM No.",$D1960,"version code",$E1960,"Resource No.",$O$9)="",1,NL(1,"Prod. BOM Equipment","Variable Prod. Time (Hours)","Production BOM No.",$D1960,"version code",$E1960,"Resource No.",$O$9))</t>
  </si>
  <si>
    <t>=1/Q1960</t>
  </si>
  <si>
    <t>=R1960*N1960</t>
  </si>
  <si>
    <t>=IF(K1961=0,"hide","")</t>
  </si>
  <si>
    <t>=D1960</t>
  </si>
  <si>
    <t>=NL("sum","Production Order","Quantity","Source No.",$D1961,"Equipment Code",$L1961,"due date",F$8)/-12</t>
  </si>
  <si>
    <t>=NL("sum","Production Order","Quantity","Source No.",$D1961,"Equipment Code",$L1961,"due date",G$8)/-12</t>
  </si>
  <si>
    <t>=NL("sum","Production Order","Quantity","Source No.",$D1961,"Equipment Code",$L1961,"due date",H$8)/-12</t>
  </si>
  <si>
    <t>=NL("sum","Production Order","Quantity","Source No.",$D1961,"Equipment Code",$L1961,"due date",I$8)/-12</t>
  </si>
  <si>
    <t>=NL("sum","Production Order","Quantity","Source No.",$D1961,"Equipment Code",$L1961,"due date",J$8)/$J$7</t>
  </si>
  <si>
    <t>=AVERAGE(I1961:J1961)</t>
  </si>
  <si>
    <t>=IF(K1962=0,"hide","")</t>
  </si>
  <si>
    <t>=D1961</t>
  </si>
  <si>
    <t>=NL("sum","Production Order","Quantity","Source No.",$D1962,"Equipment Code",$L1962,"due date",F$8)/-12</t>
  </si>
  <si>
    <t>=NL("sum","Production Order","Quantity","Source No.",$D1962,"Equipment Code",$L1962,"due date",G$8)/-12</t>
  </si>
  <si>
    <t>=NL("sum","Production Order","Quantity","Source No.",$D1962,"Equipment Code",$L1962,"due date",H$8)/-12</t>
  </si>
  <si>
    <t>=NL("sum","Production Order","Quantity","Source No.",$D1962,"Equipment Code",$L1962,"due date",I$8)/-12</t>
  </si>
  <si>
    <t>=NL("sum","Production Order","Quantity","Source No.",$D1962,"Equipment Code",$L1962,"due date",J$8)/$J$7</t>
  </si>
  <si>
    <t>=AVERAGE(I1962:J1962)</t>
  </si>
  <si>
    <t>=IF(K1963=0,"hide","")</t>
  </si>
  <si>
    <t>=D1962</t>
  </si>
  <si>
    <t>=NL("sum","Production Order","Quantity","Source No.",$D1963,"Equipment Code",$L1963,"due date",F$8)/-12</t>
  </si>
  <si>
    <t>=NL("sum","Production Order","Quantity","Source No.",$D1963,"Equipment Code",$L1963,"due date",G$8)/-12</t>
  </si>
  <si>
    <t>=NL("sum","Production Order","Quantity","Source No.",$D1963,"Equipment Code",$L1963,"due date",H$8)/-12</t>
  </si>
  <si>
    <t>=NL("sum","Production Order","Quantity","Source No.",$D1963,"Equipment Code",$L1963,"due date",I$8)/-12</t>
  </si>
  <si>
    <t>=NL("sum","Production Order","Quantity","Source No.",$D1963,"Equipment Code",$L1963,"due date",J$8)/$J$7</t>
  </si>
  <si>
    <t>=AVERAGE(I1963:J1963)</t>
  </si>
  <si>
    <t>=IF(K1964=0,"hide","")</t>
  </si>
  <si>
    <t>=D1963</t>
  </si>
  <si>
    <t>=NL("sum","Production Order","Quantity","Source No.",$D1964,"Equipment Code",$L1964,"due date",F$8)/-12</t>
  </si>
  <si>
    <t>=NL("sum","Production Order","Quantity","Source No.",$D1964,"Equipment Code",$L1964,"due date",G$8)/-12</t>
  </si>
  <si>
    <t>=NL("sum","Production Order","Quantity","Source No.",$D1964,"Equipment Code",$L1964,"due date",H$8)/-12</t>
  </si>
  <si>
    <t>=NL("sum","Production Order","Quantity","Source No.",$D1964,"Equipment Code",$L1964,"due date",I$8)/-12</t>
  </si>
  <si>
    <t>=NL("sum","Production Order","Quantity","Source No.",$D1964,"Equipment Code",$L1964,"due date",J$8)/$J$7</t>
  </si>
  <si>
    <t>=AVERAGE(I1964:J1964)</t>
  </si>
  <si>
    <t>=B1961</t>
  </si>
  <si>
    <t>=B1965</t>
  </si>
  <si>
    <t>=SUM(F1961:F1965)</t>
  </si>
  <si>
    <t>=SUM(G1961:G1965)</t>
  </si>
  <si>
    <t>=SUM(H1961:H1965)</t>
  </si>
  <si>
    <t>=SUM(I1961:I1965)</t>
  </si>
  <si>
    <t>=SUM(J1961:J1965)</t>
  </si>
  <si>
    <t>=IF(K1967=0,"hide","")</t>
  </si>
  <si>
    <t>="23201"</t>
  </si>
  <si>
    <t>=NL("rows","Production BOM Version","Version Code","Production BOM No.",D1967,"status","certified")</t>
  </si>
  <si>
    <t>=NL("sum","Item Ledger Entry","Quantity","Item No.",$D1967,"Entry Type","Sale|Consumption","posting date","01/01/19..12/31/19")/-12</t>
  </si>
  <si>
    <t>=NL("sum","Item Ledger Entry","Quantity","Item No.",$D1967,"Entry Type","Sale|Consumption","posting date","01/01/20..12/31/20")/-12</t>
  </si>
  <si>
    <t>=NL("sum","Item Ledger Entry","Quantity","Item No.",$D1967,"Entry Type","Sale|Consumption","posting date","01/01/21..12/31/21")/-12</t>
  </si>
  <si>
    <t>=NL("sum","Item Ledger Entry","Quantity","Item No.",$D1967,"Entry Type","Sale|Consumption","posting date","01/01/22..12/31/22")/-12</t>
  </si>
  <si>
    <t>=NL("sum","Item Ledger Entry","Quantity","Item No.",$D1967,"Entry Type","Sale|Consumption","posting date","01/01/23..12/31/23")/$J$7</t>
  </si>
  <si>
    <t>=AVERAGE(I1967:J1967)</t>
  </si>
  <si>
    <t>=NL(1,"item",L$9,"no.",D1967)</t>
  </si>
  <si>
    <t>=NL(1,"item",M$9,"no.",$D1967)</t>
  </si>
  <si>
    <t>=NL(1,"item","Units Per Parcel","no.",$D1967)</t>
  </si>
  <si>
    <t>=NL(1,"Prod. BOM Equipment","Fixed Prod. Time (Hours)","Production BOM No.",$D1967,"version code",$E1967,"Resource No.",O$9)</t>
  </si>
  <si>
    <t>=1/O1967</t>
  </si>
  <si>
    <t>=IF(NL(1,"Prod. BOM Equipment","Variable Prod. Time (Hours)","Production BOM No.",$D1967,"version code",$E1967,"Resource No.",$O$9)="",1,NL(1,"Prod. BOM Equipment","Variable Prod. Time (Hours)","Production BOM No.",$D1967,"version code",$E1967,"Resource No.",$O$9))</t>
  </si>
  <si>
    <t>=1/Q1967</t>
  </si>
  <si>
    <t>=R1967*N1967</t>
  </si>
  <si>
    <t>=IF(K1968=0,"hide","")</t>
  </si>
  <si>
    <t>=D1967</t>
  </si>
  <si>
    <t>=NL("sum","Production Order","Quantity","Source No.",$D1968,"Equipment Code",$L1968,"due date",F$8)/-12</t>
  </si>
  <si>
    <t>=NL("sum","Production Order","Quantity","Source No.",$D1968,"Equipment Code",$L1968,"due date",G$8)/-12</t>
  </si>
  <si>
    <t>=NL("sum","Production Order","Quantity","Source No.",$D1968,"Equipment Code",$L1968,"due date",H$8)/-12</t>
  </si>
  <si>
    <t>=NL("sum","Production Order","Quantity","Source No.",$D1968,"Equipment Code",$L1968,"due date",I$8)/-12</t>
  </si>
  <si>
    <t>=NL("sum","Production Order","Quantity","Source No.",$D1968,"Equipment Code",$L1968,"due date",J$8)/$J$7</t>
  </si>
  <si>
    <t>=AVERAGE(I1968:J1968)</t>
  </si>
  <si>
    <t>=IF(K1969=0,"hide","")</t>
  </si>
  <si>
    <t>=D1968</t>
  </si>
  <si>
    <t>=NL("sum","Production Order","Quantity","Source No.",$D1969,"Equipment Code",$L1969,"due date",F$8)/-12</t>
  </si>
  <si>
    <t>=NL("sum","Production Order","Quantity","Source No.",$D1969,"Equipment Code",$L1969,"due date",G$8)/-12</t>
  </si>
  <si>
    <t>=NL("sum","Production Order","Quantity","Source No.",$D1969,"Equipment Code",$L1969,"due date",H$8)/-12</t>
  </si>
  <si>
    <t>=NL("sum","Production Order","Quantity","Source No.",$D1969,"Equipment Code",$L1969,"due date",I$8)/-12</t>
  </si>
  <si>
    <t>=NL("sum","Production Order","Quantity","Source No.",$D1969,"Equipment Code",$L1969,"due date",J$8)/$J$7</t>
  </si>
  <si>
    <t>=AVERAGE(I1969:J1969)</t>
  </si>
  <si>
    <t>=IF(K1970=0,"hide","")</t>
  </si>
  <si>
    <t>=D1969</t>
  </si>
  <si>
    <t>=NL("sum","Production Order","Quantity","Source No.",$D1970,"Equipment Code",$L1970,"due date",F$8)/-12</t>
  </si>
  <si>
    <t>=NL("sum","Production Order","Quantity","Source No.",$D1970,"Equipment Code",$L1970,"due date",G$8)/-12</t>
  </si>
  <si>
    <t>=NL("sum","Production Order","Quantity","Source No.",$D1970,"Equipment Code",$L1970,"due date",H$8)/-12</t>
  </si>
  <si>
    <t>=NL("sum","Production Order","Quantity","Source No.",$D1970,"Equipment Code",$L1970,"due date",I$8)/-12</t>
  </si>
  <si>
    <t>=NL("sum","Production Order","Quantity","Source No.",$D1970,"Equipment Code",$L1970,"due date",J$8)/$J$7</t>
  </si>
  <si>
    <t>=AVERAGE(I1970:J1970)</t>
  </si>
  <si>
    <t>=IF(K1971=0,"hide","")</t>
  </si>
  <si>
    <t>=D1970</t>
  </si>
  <si>
    <t>=NL("sum","Production Order","Quantity","Source No.",$D1971,"Equipment Code",$L1971,"due date",F$8)/-12</t>
  </si>
  <si>
    <t>=NL("sum","Production Order","Quantity","Source No.",$D1971,"Equipment Code",$L1971,"due date",G$8)/-12</t>
  </si>
  <si>
    <t>=NL("sum","Production Order","Quantity","Source No.",$D1971,"Equipment Code",$L1971,"due date",H$8)/-12</t>
  </si>
  <si>
    <t>=NL("sum","Production Order","Quantity","Source No.",$D1971,"Equipment Code",$L1971,"due date",I$8)/-12</t>
  </si>
  <si>
    <t>=NL("sum","Production Order","Quantity","Source No.",$D1971,"Equipment Code",$L1971,"due date",J$8)/$J$7</t>
  </si>
  <si>
    <t>=AVERAGE(I1971:J1971)</t>
  </si>
  <si>
    <t>=B1968</t>
  </si>
  <si>
    <t>=B1972</t>
  </si>
  <si>
    <t>=SUM(F1968:F1972)</t>
  </si>
  <si>
    <t>=SUM(G1968:G1972)</t>
  </si>
  <si>
    <t>=SUM(H1968:H1972)</t>
  </si>
  <si>
    <t>=SUM(I1968:I1972)</t>
  </si>
  <si>
    <t>=SUM(J1968:J1972)</t>
  </si>
  <si>
    <t>=IF(K1974=0,"hide","")</t>
  </si>
  <si>
    <t>="23205"</t>
  </si>
  <si>
    <t>=NL("rows","Production BOM Version","Version Code","Production BOM No.",D1974,"status","certified")</t>
  </si>
  <si>
    <t>=NL("sum","Item Ledger Entry","Quantity","Item No.",$D1974,"Entry Type","Sale|Consumption","posting date","01/01/19..12/31/19")/-12</t>
  </si>
  <si>
    <t>=NL("sum","Item Ledger Entry","Quantity","Item No.",$D1974,"Entry Type","Sale|Consumption","posting date","01/01/20..12/31/20")/-12</t>
  </si>
  <si>
    <t>=NL("sum","Item Ledger Entry","Quantity","Item No.",$D1974,"Entry Type","Sale|Consumption","posting date","01/01/21..12/31/21")/-12</t>
  </si>
  <si>
    <t>=NL("sum","Item Ledger Entry","Quantity","Item No.",$D1974,"Entry Type","Sale|Consumption","posting date","01/01/22..12/31/22")/-12</t>
  </si>
  <si>
    <t>=NL("sum","Item Ledger Entry","Quantity","Item No.",$D1974,"Entry Type","Sale|Consumption","posting date","01/01/23..12/31/23")/$J$7</t>
  </si>
  <si>
    <t>=AVERAGE(I1974:J1974)</t>
  </si>
  <si>
    <t>=NL(1,"item",L$9,"no.",D1974)</t>
  </si>
  <si>
    <t>=NL(1,"item",M$9,"no.",$D1974)</t>
  </si>
  <si>
    <t>=NL(1,"item","Units Per Parcel","no.",$D1974)</t>
  </si>
  <si>
    <t>=NL(1,"Prod. BOM Equipment","Fixed Prod. Time (Hours)","Production BOM No.",$D1974,"version code",$E1974,"Resource No.",O$9)</t>
  </si>
  <si>
    <t>=1/O1974</t>
  </si>
  <si>
    <t>=IF(NL(1,"Prod. BOM Equipment","Variable Prod. Time (Hours)","Production BOM No.",$D1974,"version code",$E1974,"Resource No.",$O$9)="",1,NL(1,"Prod. BOM Equipment","Variable Prod. Time (Hours)","Production BOM No.",$D1974,"version code",$E1974,"Resource No.",$O$9))</t>
  </si>
  <si>
    <t>=1/Q1974</t>
  </si>
  <si>
    <t>=R1974*N1974</t>
  </si>
  <si>
    <t>=IF(K1975=0,"hide","")</t>
  </si>
  <si>
    <t>=D1974</t>
  </si>
  <si>
    <t>=NL("sum","Production Order","Quantity","Source No.",$D1975,"Equipment Code",$L1975,"due date",F$8)/-12</t>
  </si>
  <si>
    <t>=NL("sum","Production Order","Quantity","Source No.",$D1975,"Equipment Code",$L1975,"due date",G$8)/-12</t>
  </si>
  <si>
    <t>=NL("sum","Production Order","Quantity","Source No.",$D1975,"Equipment Code",$L1975,"due date",H$8)/-12</t>
  </si>
  <si>
    <t>=NL("sum","Production Order","Quantity","Source No.",$D1975,"Equipment Code",$L1975,"due date",I$8)/-12</t>
  </si>
  <si>
    <t>=NL("sum","Production Order","Quantity","Source No.",$D1975,"Equipment Code",$L1975,"due date",J$8)/$J$7</t>
  </si>
  <si>
    <t>=AVERAGE(I1975:J1975)</t>
  </si>
  <si>
    <t>=IF(K1976=0,"hide","")</t>
  </si>
  <si>
    <t>=D1975</t>
  </si>
  <si>
    <t>=NL("sum","Production Order","Quantity","Source No.",$D1976,"Equipment Code",$L1976,"due date",F$8)/-12</t>
  </si>
  <si>
    <t>=NL("sum","Production Order","Quantity","Source No.",$D1976,"Equipment Code",$L1976,"due date",G$8)/-12</t>
  </si>
  <si>
    <t>=NL("sum","Production Order","Quantity","Source No.",$D1976,"Equipment Code",$L1976,"due date",H$8)/-12</t>
  </si>
  <si>
    <t>=NL("sum","Production Order","Quantity","Source No.",$D1976,"Equipment Code",$L1976,"due date",I$8)/-12</t>
  </si>
  <si>
    <t>=NL("sum","Production Order","Quantity","Source No.",$D1976,"Equipment Code",$L1976,"due date",J$8)/$J$7</t>
  </si>
  <si>
    <t>=AVERAGE(I1976:J1976)</t>
  </si>
  <si>
    <t>=IF(K1977=0,"hide","")</t>
  </si>
  <si>
    <t>=D1976</t>
  </si>
  <si>
    <t>=NL("sum","Production Order","Quantity","Source No.",$D1977,"Equipment Code",$L1977,"due date",F$8)/-12</t>
  </si>
  <si>
    <t>=NL("sum","Production Order","Quantity","Source No.",$D1977,"Equipment Code",$L1977,"due date",G$8)/-12</t>
  </si>
  <si>
    <t>=NL("sum","Production Order","Quantity","Source No.",$D1977,"Equipment Code",$L1977,"due date",H$8)/-12</t>
  </si>
  <si>
    <t>=NL("sum","Production Order","Quantity","Source No.",$D1977,"Equipment Code",$L1977,"due date",I$8)/-12</t>
  </si>
  <si>
    <t>=NL("sum","Production Order","Quantity","Source No.",$D1977,"Equipment Code",$L1977,"due date",J$8)/$J$7</t>
  </si>
  <si>
    <t>=AVERAGE(I1977:J1977)</t>
  </si>
  <si>
    <t>=IF(K1978=0,"hide","")</t>
  </si>
  <si>
    <t>=D1977</t>
  </si>
  <si>
    <t>=NL("sum","Production Order","Quantity","Source No.",$D1978,"Equipment Code",$L1978,"due date",F$8)/-12</t>
  </si>
  <si>
    <t>=NL("sum","Production Order","Quantity","Source No.",$D1978,"Equipment Code",$L1978,"due date",G$8)/-12</t>
  </si>
  <si>
    <t>=NL("sum","Production Order","Quantity","Source No.",$D1978,"Equipment Code",$L1978,"due date",H$8)/-12</t>
  </si>
  <si>
    <t>=NL("sum","Production Order","Quantity","Source No.",$D1978,"Equipment Code",$L1978,"due date",I$8)/-12</t>
  </si>
  <si>
    <t>=NL("sum","Production Order","Quantity","Source No.",$D1978,"Equipment Code",$L1978,"due date",J$8)/$J$7</t>
  </si>
  <si>
    <t>=AVERAGE(I1978:J1978)</t>
  </si>
  <si>
    <t>=B1975</t>
  </si>
  <si>
    <t>=B1979</t>
  </si>
  <si>
    <t>=SUM(F1975:F1979)</t>
  </si>
  <si>
    <t>=SUM(G1975:G1979)</t>
  </si>
  <si>
    <t>=SUM(H1975:H1979)</t>
  </si>
  <si>
    <t>=SUM(I1975:I1979)</t>
  </si>
  <si>
    <t>=SUM(J1975:J1979)</t>
  </si>
  <si>
    <t>=IF(K1981=0,"hide","")</t>
  </si>
  <si>
    <t>=NL("rows","Production BOM Version","Version Code","Production BOM No.",D1981,"status","certified")</t>
  </si>
  <si>
    <t>=NL("sum","Item Ledger Entry","Quantity","Item No.",$D1981,"Entry Type","Sale|Consumption","posting date","01/01/19..12/31/19")/-12</t>
  </si>
  <si>
    <t>=NL("sum","Item Ledger Entry","Quantity","Item No.",$D1981,"Entry Type","Sale|Consumption","posting date","01/01/20..12/31/20")/-12</t>
  </si>
  <si>
    <t>=NL("sum","Item Ledger Entry","Quantity","Item No.",$D1981,"Entry Type","Sale|Consumption","posting date","01/01/21..12/31/21")/-12</t>
  </si>
  <si>
    <t>=NL("sum","Item Ledger Entry","Quantity","Item No.",$D1981,"Entry Type","Sale|Consumption","posting date","01/01/22..12/31/22")/-12</t>
  </si>
  <si>
    <t>=NL("sum","Item Ledger Entry","Quantity","Item No.",$D1981,"Entry Type","Sale|Consumption","posting date","01/01/23..12/31/23")/$J$7</t>
  </si>
  <si>
    <t>=AVERAGE(I1981:J1981)</t>
  </si>
  <si>
    <t>=NL(1,"item",L$9,"no.",D1981)</t>
  </si>
  <si>
    <t>=NL(1,"item",M$9,"no.",$D1981)</t>
  </si>
  <si>
    <t>=NL(1,"item","Units Per Parcel","no.",$D1981)</t>
  </si>
  <si>
    <t>=NL(1,"Prod. BOM Equipment","Fixed Prod. Time (Hours)","Production BOM No.",$D1981,"version code",$E1981,"Resource No.",O$9)</t>
  </si>
  <si>
    <t>=1/O1981</t>
  </si>
  <si>
    <t>=IF(NL(1,"Prod. BOM Equipment","Variable Prod. Time (Hours)","Production BOM No.",$D1981,"version code",$E1981,"Resource No.",$O$9)="",1,NL(1,"Prod. BOM Equipment","Variable Prod. Time (Hours)","Production BOM No.",$D1981,"version code",$E1981,"Resource No.",$O$9))</t>
  </si>
  <si>
    <t>=1/Q1981</t>
  </si>
  <si>
    <t>=R1981*N1981</t>
  </si>
  <si>
    <t>=IF(K1982=0,"hide","")</t>
  </si>
  <si>
    <t>=D1981</t>
  </si>
  <si>
    <t>=NL("sum","Production Order","Quantity","Source No.",$D1982,"Equipment Code",$L1982,"due date",F$8)/-12</t>
  </si>
  <si>
    <t>=NL("sum","Production Order","Quantity","Source No.",$D1982,"Equipment Code",$L1982,"due date",G$8)/-12</t>
  </si>
  <si>
    <t>=NL("sum","Production Order","Quantity","Source No.",$D1982,"Equipment Code",$L1982,"due date",H$8)/-12</t>
  </si>
  <si>
    <t>=NL("sum","Production Order","Quantity","Source No.",$D1982,"Equipment Code",$L1982,"due date",I$8)/-12</t>
  </si>
  <si>
    <t>=NL("sum","Production Order","Quantity","Source No.",$D1982,"Equipment Code",$L1982,"due date",J$8)/$J$7</t>
  </si>
  <si>
    <t>=AVERAGE(I1982:J1982)</t>
  </si>
  <si>
    <t>=IF(K1983=0,"hide","")</t>
  </si>
  <si>
    <t>=D1982</t>
  </si>
  <si>
    <t>=NL("sum","Production Order","Quantity","Source No.",$D1983,"Equipment Code",$L1983,"due date",F$8)/-12</t>
  </si>
  <si>
    <t>=NL("sum","Production Order","Quantity","Source No.",$D1983,"Equipment Code",$L1983,"due date",G$8)/-12</t>
  </si>
  <si>
    <t>=NL("sum","Production Order","Quantity","Source No.",$D1983,"Equipment Code",$L1983,"due date",H$8)/-12</t>
  </si>
  <si>
    <t>=NL("sum","Production Order","Quantity","Source No.",$D1983,"Equipment Code",$L1983,"due date",I$8)/-12</t>
  </si>
  <si>
    <t>=NL("sum","Production Order","Quantity","Source No.",$D1983,"Equipment Code",$L1983,"due date",J$8)/$J$7</t>
  </si>
  <si>
    <t>=AVERAGE(I1983:J1983)</t>
  </si>
  <si>
    <t>=IF(K1984=0,"hide","")</t>
  </si>
  <si>
    <t>=D1983</t>
  </si>
  <si>
    <t>=NL("sum","Production Order","Quantity","Source No.",$D1984,"Equipment Code",$L1984,"due date",F$8)/-12</t>
  </si>
  <si>
    <t>=NL("sum","Production Order","Quantity","Source No.",$D1984,"Equipment Code",$L1984,"due date",G$8)/-12</t>
  </si>
  <si>
    <t>=NL("sum","Production Order","Quantity","Source No.",$D1984,"Equipment Code",$L1984,"due date",H$8)/-12</t>
  </si>
  <si>
    <t>=NL("sum","Production Order","Quantity","Source No.",$D1984,"Equipment Code",$L1984,"due date",I$8)/-12</t>
  </si>
  <si>
    <t>=NL("sum","Production Order","Quantity","Source No.",$D1984,"Equipment Code",$L1984,"due date",J$8)/$J$7</t>
  </si>
  <si>
    <t>=AVERAGE(I1984:J1984)</t>
  </si>
  <si>
    <t>=IF(K1985=0,"hide","")</t>
  </si>
  <si>
    <t>=D1984</t>
  </si>
  <si>
    <t>=NL("sum","Production Order","Quantity","Source No.",$D1985,"Equipment Code",$L1985,"due date",F$8)/-12</t>
  </si>
  <si>
    <t>=NL("sum","Production Order","Quantity","Source No.",$D1985,"Equipment Code",$L1985,"due date",G$8)/-12</t>
  </si>
  <si>
    <t>=NL("sum","Production Order","Quantity","Source No.",$D1985,"Equipment Code",$L1985,"due date",H$8)/-12</t>
  </si>
  <si>
    <t>=NL("sum","Production Order","Quantity","Source No.",$D1985,"Equipment Code",$L1985,"due date",I$8)/-12</t>
  </si>
  <si>
    <t>=NL("sum","Production Order","Quantity","Source No.",$D1985,"Equipment Code",$L1985,"due date",J$8)/$J$7</t>
  </si>
  <si>
    <t>=AVERAGE(I1985:J1985)</t>
  </si>
  <si>
    <t>=B1982</t>
  </si>
  <si>
    <t>=B1986</t>
  </si>
  <si>
    <t>=SUM(F1982:F1986)</t>
  </si>
  <si>
    <t>=SUM(G1982:G1986)</t>
  </si>
  <si>
    <t>=SUM(H1982:H1986)</t>
  </si>
  <si>
    <t>=SUM(I1982:I1986)</t>
  </si>
  <si>
    <t>=SUM(J1982:J1986)</t>
  </si>
  <si>
    <t>=IF(K1988=0,"hide","")</t>
  </si>
  <si>
    <t>="23207"</t>
  </si>
  <si>
    <t>=NL("rows","Production BOM Version","Version Code","Production BOM No.",D1988,"status","certified")</t>
  </si>
  <si>
    <t>=NL("sum","Item Ledger Entry","Quantity","Item No.",$D1988,"Entry Type","Sale|Consumption","posting date","01/01/19..12/31/19")/-12</t>
  </si>
  <si>
    <t>=NL("sum","Item Ledger Entry","Quantity","Item No.",$D1988,"Entry Type","Sale|Consumption","posting date","01/01/20..12/31/20")/-12</t>
  </si>
  <si>
    <t>=NL("sum","Item Ledger Entry","Quantity","Item No.",$D1988,"Entry Type","Sale|Consumption","posting date","01/01/21..12/31/21")/-12</t>
  </si>
  <si>
    <t>=NL("sum","Item Ledger Entry","Quantity","Item No.",$D1988,"Entry Type","Sale|Consumption","posting date","01/01/22..12/31/22")/-12</t>
  </si>
  <si>
    <t>=NL("sum","Item Ledger Entry","Quantity","Item No.",$D1988,"Entry Type","Sale|Consumption","posting date","01/01/23..12/31/23")/$J$7</t>
  </si>
  <si>
    <t>=AVERAGE(I1988:J1988)</t>
  </si>
  <si>
    <t>=NL(1,"item",L$9,"no.",D1988)</t>
  </si>
  <si>
    <t>=NL(1,"item",M$9,"no.",$D1988)</t>
  </si>
  <si>
    <t>=NL(1,"item","Units Per Parcel","no.",$D1988)</t>
  </si>
  <si>
    <t>=NL(1,"Prod. BOM Equipment","Fixed Prod. Time (Hours)","Production BOM No.",$D1988,"version code",$E1988,"Resource No.",O$9)</t>
  </si>
  <si>
    <t>=1/O1988</t>
  </si>
  <si>
    <t>=IF(NL(1,"Prod. BOM Equipment","Variable Prod. Time (Hours)","Production BOM No.",$D1988,"version code",$E1988,"Resource No.",$O$9)="",1,NL(1,"Prod. BOM Equipment","Variable Prod. Time (Hours)","Production BOM No.",$D1988,"version code",$E1988,"Resource No.",$O$9))</t>
  </si>
  <si>
    <t>=1/Q1988</t>
  </si>
  <si>
    <t>=R1988*N1988</t>
  </si>
  <si>
    <t>=IF(K1989=0,"hide","")</t>
  </si>
  <si>
    <t>=D1988</t>
  </si>
  <si>
    <t>=NL("sum","Production Order","Quantity","Source No.",$D1989,"Equipment Code",$L1989,"due date",F$8)/-12</t>
  </si>
  <si>
    <t>=NL("sum","Production Order","Quantity","Source No.",$D1989,"Equipment Code",$L1989,"due date",G$8)/-12</t>
  </si>
  <si>
    <t>=NL("sum","Production Order","Quantity","Source No.",$D1989,"Equipment Code",$L1989,"due date",H$8)/-12</t>
  </si>
  <si>
    <t>=NL("sum","Production Order","Quantity","Source No.",$D1989,"Equipment Code",$L1989,"due date",I$8)/-12</t>
  </si>
  <si>
    <t>=NL("sum","Production Order","Quantity","Source No.",$D1989,"Equipment Code",$L1989,"due date",J$8)/$J$7</t>
  </si>
  <si>
    <t>=AVERAGE(I1989:J1989)</t>
  </si>
  <si>
    <t>=IF(K1990=0,"hide","")</t>
  </si>
  <si>
    <t>=D1989</t>
  </si>
  <si>
    <t>=NL("sum","Production Order","Quantity","Source No.",$D1990,"Equipment Code",$L1990,"due date",F$8)/-12</t>
  </si>
  <si>
    <t>=NL("sum","Production Order","Quantity","Source No.",$D1990,"Equipment Code",$L1990,"due date",G$8)/-12</t>
  </si>
  <si>
    <t>=NL("sum","Production Order","Quantity","Source No.",$D1990,"Equipment Code",$L1990,"due date",H$8)/-12</t>
  </si>
  <si>
    <t>=NL("sum","Production Order","Quantity","Source No.",$D1990,"Equipment Code",$L1990,"due date",I$8)/-12</t>
  </si>
  <si>
    <t>=NL("sum","Production Order","Quantity","Source No.",$D1990,"Equipment Code",$L1990,"due date",J$8)/$J$7</t>
  </si>
  <si>
    <t>=AVERAGE(I1990:J1990)</t>
  </si>
  <si>
    <t>=IF(K1991=0,"hide","")</t>
  </si>
  <si>
    <t>=D1990</t>
  </si>
  <si>
    <t>=NL("sum","Production Order","Quantity","Source No.",$D1991,"Equipment Code",$L1991,"due date",F$8)/-12</t>
  </si>
  <si>
    <t>=NL("sum","Production Order","Quantity","Source No.",$D1991,"Equipment Code",$L1991,"due date",G$8)/-12</t>
  </si>
  <si>
    <t>=NL("sum","Production Order","Quantity","Source No.",$D1991,"Equipment Code",$L1991,"due date",H$8)/-12</t>
  </si>
  <si>
    <t>=NL("sum","Production Order","Quantity","Source No.",$D1991,"Equipment Code",$L1991,"due date",I$8)/-12</t>
  </si>
  <si>
    <t>=NL("sum","Production Order","Quantity","Source No.",$D1991,"Equipment Code",$L1991,"due date",J$8)/$J$7</t>
  </si>
  <si>
    <t>=AVERAGE(I1991:J1991)</t>
  </si>
  <si>
    <t>=IF(K1992=0,"hide","")</t>
  </si>
  <si>
    <t>=D1991</t>
  </si>
  <si>
    <t>=NL("sum","Production Order","Quantity","Source No.",$D1992,"Equipment Code",$L1992,"due date",F$8)/-12</t>
  </si>
  <si>
    <t>=NL("sum","Production Order","Quantity","Source No.",$D1992,"Equipment Code",$L1992,"due date",G$8)/-12</t>
  </si>
  <si>
    <t>=NL("sum","Production Order","Quantity","Source No.",$D1992,"Equipment Code",$L1992,"due date",H$8)/-12</t>
  </si>
  <si>
    <t>=NL("sum","Production Order","Quantity","Source No.",$D1992,"Equipment Code",$L1992,"due date",I$8)/-12</t>
  </si>
  <si>
    <t>=NL("sum","Production Order","Quantity","Source No.",$D1992,"Equipment Code",$L1992,"due date",J$8)/$J$7</t>
  </si>
  <si>
    <t>=AVERAGE(I1992:J1992)</t>
  </si>
  <si>
    <t>=B1989</t>
  </si>
  <si>
    <t>=B1993</t>
  </si>
  <si>
    <t>=SUM(F1989:F1993)</t>
  </si>
  <si>
    <t>=SUM(G1989:G1993)</t>
  </si>
  <si>
    <t>=SUM(H1989:H1993)</t>
  </si>
  <si>
    <t>=SUM(I1989:I1993)</t>
  </si>
  <si>
    <t>=SUM(J1989:J1993)</t>
  </si>
  <si>
    <t>=IF(K1995=0,"hide","")</t>
  </si>
  <si>
    <t>="23210"</t>
  </si>
  <si>
    <t>=NL("rows","Production BOM Version","Version Code","Production BOM No.",D1995,"status","certified")</t>
  </si>
  <si>
    <t>=NL("sum","Item Ledger Entry","Quantity","Item No.",$D1995,"Entry Type","Sale|Consumption","posting date","01/01/19..12/31/19")/-12</t>
  </si>
  <si>
    <t>=NL("sum","Item Ledger Entry","Quantity","Item No.",$D1995,"Entry Type","Sale|Consumption","posting date","01/01/20..12/31/20")/-12</t>
  </si>
  <si>
    <t>=NL("sum","Item Ledger Entry","Quantity","Item No.",$D1995,"Entry Type","Sale|Consumption","posting date","01/01/21..12/31/21")/-12</t>
  </si>
  <si>
    <t>=NL("sum","Item Ledger Entry","Quantity","Item No.",$D1995,"Entry Type","Sale|Consumption","posting date","01/01/22..12/31/22")/-12</t>
  </si>
  <si>
    <t>=NL("sum","Item Ledger Entry","Quantity","Item No.",$D1995,"Entry Type","Sale|Consumption","posting date","01/01/23..12/31/23")/$J$7</t>
  </si>
  <si>
    <t>=AVERAGE(I1995:J1995)</t>
  </si>
  <si>
    <t>=NL(1,"item",L$9,"no.",D1995)</t>
  </si>
  <si>
    <t>=NL(1,"item",M$9,"no.",$D1995)</t>
  </si>
  <si>
    <t>=NL(1,"item","Units Per Parcel","no.",$D1995)</t>
  </si>
  <si>
    <t>=NL(1,"Prod. BOM Equipment","Fixed Prod. Time (Hours)","Production BOM No.",$D1995,"version code",$E1995,"Resource No.",O$9)</t>
  </si>
  <si>
    <t>=1/O1995</t>
  </si>
  <si>
    <t>=IF(NL(1,"Prod. BOM Equipment","Variable Prod. Time (Hours)","Production BOM No.",$D1995,"version code",$E1995,"Resource No.",$O$9)="",1,NL(1,"Prod. BOM Equipment","Variable Prod. Time (Hours)","Production BOM No.",$D1995,"version code",$E1995,"Resource No.",$O$9))</t>
  </si>
  <si>
    <t>=1/Q1995</t>
  </si>
  <si>
    <t>=R1995*N1995</t>
  </si>
  <si>
    <t>=IF(K1996=0,"hide","")</t>
  </si>
  <si>
    <t>=D1995</t>
  </si>
  <si>
    <t>=NL("sum","Production Order","Quantity","Source No.",$D1996,"Equipment Code",$L1996,"due date",F$8)/-12</t>
  </si>
  <si>
    <t>=NL("sum","Production Order","Quantity","Source No.",$D1996,"Equipment Code",$L1996,"due date",G$8)/-12</t>
  </si>
  <si>
    <t>=NL("sum","Production Order","Quantity","Source No.",$D1996,"Equipment Code",$L1996,"due date",H$8)/-12</t>
  </si>
  <si>
    <t>=NL("sum","Production Order","Quantity","Source No.",$D1996,"Equipment Code",$L1996,"due date",I$8)/-12</t>
  </si>
  <si>
    <t>=NL("sum","Production Order","Quantity","Source No.",$D1996,"Equipment Code",$L1996,"due date",J$8)/$J$7</t>
  </si>
  <si>
    <t>=AVERAGE(I1996:J1996)</t>
  </si>
  <si>
    <t>=IF(K1997=0,"hide","")</t>
  </si>
  <si>
    <t>=D1996</t>
  </si>
  <si>
    <t>=NL("sum","Production Order","Quantity","Source No.",$D1997,"Equipment Code",$L1997,"due date",F$8)/-12</t>
  </si>
  <si>
    <t>=NL("sum","Production Order","Quantity","Source No.",$D1997,"Equipment Code",$L1997,"due date",G$8)/-12</t>
  </si>
  <si>
    <t>=NL("sum","Production Order","Quantity","Source No.",$D1997,"Equipment Code",$L1997,"due date",H$8)/-12</t>
  </si>
  <si>
    <t>=NL("sum","Production Order","Quantity","Source No.",$D1997,"Equipment Code",$L1997,"due date",I$8)/-12</t>
  </si>
  <si>
    <t>=NL("sum","Production Order","Quantity","Source No.",$D1997,"Equipment Code",$L1997,"due date",J$8)/$J$7</t>
  </si>
  <si>
    <t>=AVERAGE(I1997:J1997)</t>
  </si>
  <si>
    <t>=IF(K1998=0,"hide","")</t>
  </si>
  <si>
    <t>=D1997</t>
  </si>
  <si>
    <t>=NL("sum","Production Order","Quantity","Source No.",$D1998,"Equipment Code",$L1998,"due date",F$8)/-12</t>
  </si>
  <si>
    <t>=NL("sum","Production Order","Quantity","Source No.",$D1998,"Equipment Code",$L1998,"due date",G$8)/-12</t>
  </si>
  <si>
    <t>=NL("sum","Production Order","Quantity","Source No.",$D1998,"Equipment Code",$L1998,"due date",H$8)/-12</t>
  </si>
  <si>
    <t>=NL("sum","Production Order","Quantity","Source No.",$D1998,"Equipment Code",$L1998,"due date",I$8)/-12</t>
  </si>
  <si>
    <t>=NL("sum","Production Order","Quantity","Source No.",$D1998,"Equipment Code",$L1998,"due date",J$8)/$J$7</t>
  </si>
  <si>
    <t>=AVERAGE(I1998:J1998)</t>
  </si>
  <si>
    <t>=IF(K1999=0,"hide","")</t>
  </si>
  <si>
    <t>=D1998</t>
  </si>
  <si>
    <t>=NL("sum","Production Order","Quantity","Source No.",$D1999,"Equipment Code",$L1999,"due date",F$8)/-12</t>
  </si>
  <si>
    <t>=NL("sum","Production Order","Quantity","Source No.",$D1999,"Equipment Code",$L1999,"due date",G$8)/-12</t>
  </si>
  <si>
    <t>=NL("sum","Production Order","Quantity","Source No.",$D1999,"Equipment Code",$L1999,"due date",H$8)/-12</t>
  </si>
  <si>
    <t>=NL("sum","Production Order","Quantity","Source No.",$D1999,"Equipment Code",$L1999,"due date",I$8)/-12</t>
  </si>
  <si>
    <t>=NL("sum","Production Order","Quantity","Source No.",$D1999,"Equipment Code",$L1999,"due date",J$8)/$J$7</t>
  </si>
  <si>
    <t>=AVERAGE(I1999:J1999)</t>
  </si>
  <si>
    <t>=B1996</t>
  </si>
  <si>
    <t>=B2000</t>
  </si>
  <si>
    <t>=SUM(F1996:F2000)</t>
  </si>
  <si>
    <t>=SUM(G1996:G2000)</t>
  </si>
  <si>
    <t>=SUM(H1996:H2000)</t>
  </si>
  <si>
    <t>=SUM(I1996:I2000)</t>
  </si>
  <si>
    <t>=SUM(J1996:J2000)</t>
  </si>
  <si>
    <t>=IF(K2002=0,"hide","")</t>
  </si>
  <si>
    <t>="23601"</t>
  </si>
  <si>
    <t>=NL("rows","Production BOM Version","Version Code","Production BOM No.",D2002,"status","certified")</t>
  </si>
  <si>
    <t>=NL("sum","Item Ledger Entry","Quantity","Item No.",$D2002,"Entry Type","Sale|Consumption","posting date","01/01/19..12/31/19")/-12</t>
  </si>
  <si>
    <t>=NL("sum","Item Ledger Entry","Quantity","Item No.",$D2002,"Entry Type","Sale|Consumption","posting date","01/01/20..12/31/20")/-12</t>
  </si>
  <si>
    <t>=NL("sum","Item Ledger Entry","Quantity","Item No.",$D2002,"Entry Type","Sale|Consumption","posting date","01/01/21..12/31/21")/-12</t>
  </si>
  <si>
    <t>=NL("sum","Item Ledger Entry","Quantity","Item No.",$D2002,"Entry Type","Sale|Consumption","posting date","01/01/22..12/31/22")/-12</t>
  </si>
  <si>
    <t>=NL("sum","Item Ledger Entry","Quantity","Item No.",$D2002,"Entry Type","Sale|Consumption","posting date","01/01/23..12/31/23")/$J$7</t>
  </si>
  <si>
    <t>=AVERAGE(I2002:J2002)</t>
  </si>
  <si>
    <t>=NL(1,"item",L$9,"no.",D2002)</t>
  </si>
  <si>
    <t>=NL(1,"item",M$9,"no.",$D2002)</t>
  </si>
  <si>
    <t>=NL(1,"item","Units Per Parcel","no.",$D2002)</t>
  </si>
  <si>
    <t>=NL(1,"Prod. BOM Equipment","Fixed Prod. Time (Hours)","Production BOM No.",$D2002,"version code",$E2002,"Resource No.",O$9)</t>
  </si>
  <si>
    <t>=1/O2002</t>
  </si>
  <si>
    <t>=IF(NL(1,"Prod. BOM Equipment","Variable Prod. Time (Hours)","Production BOM No.",$D2002,"version code",$E2002,"Resource No.",$O$9)="",1,NL(1,"Prod. BOM Equipment","Variable Prod. Time (Hours)","Production BOM No.",$D2002,"version code",$E2002,"Resource No.",$O$9))</t>
  </si>
  <si>
    <t>=1/Q2002</t>
  </si>
  <si>
    <t>=R2002*N2002</t>
  </si>
  <si>
    <t>=IF(K2003=0,"hide","")</t>
  </si>
  <si>
    <t>=D2002</t>
  </si>
  <si>
    <t>=NL("sum","Production Order","Quantity","Source No.",$D2003,"Equipment Code",$L2003,"due date",F$8)/-12</t>
  </si>
  <si>
    <t>=NL("sum","Production Order","Quantity","Source No.",$D2003,"Equipment Code",$L2003,"due date",G$8)/-12</t>
  </si>
  <si>
    <t>=NL("sum","Production Order","Quantity","Source No.",$D2003,"Equipment Code",$L2003,"due date",H$8)/-12</t>
  </si>
  <si>
    <t>=NL("sum","Production Order","Quantity","Source No.",$D2003,"Equipment Code",$L2003,"due date",I$8)/-12</t>
  </si>
  <si>
    <t>=NL("sum","Production Order","Quantity","Source No.",$D2003,"Equipment Code",$L2003,"due date",J$8)/$J$7</t>
  </si>
  <si>
    <t>=AVERAGE(I2003:J2003)</t>
  </si>
  <si>
    <t>=IF(K2004=0,"hide","")</t>
  </si>
  <si>
    <t>=D2003</t>
  </si>
  <si>
    <t>=NL("sum","Production Order","Quantity","Source No.",$D2004,"Equipment Code",$L2004,"due date",F$8)/-12</t>
  </si>
  <si>
    <t>=NL("sum","Production Order","Quantity","Source No.",$D2004,"Equipment Code",$L2004,"due date",G$8)/-12</t>
  </si>
  <si>
    <t>=NL("sum","Production Order","Quantity","Source No.",$D2004,"Equipment Code",$L2004,"due date",H$8)/-12</t>
  </si>
  <si>
    <t>=NL("sum","Production Order","Quantity","Source No.",$D2004,"Equipment Code",$L2004,"due date",I$8)/-12</t>
  </si>
  <si>
    <t>=NL("sum","Production Order","Quantity","Source No.",$D2004,"Equipment Code",$L2004,"due date",J$8)/$J$7</t>
  </si>
  <si>
    <t>=AVERAGE(I2004:J2004)</t>
  </si>
  <si>
    <t>=IF(K2005=0,"hide","")</t>
  </si>
  <si>
    <t>=D2004</t>
  </si>
  <si>
    <t>=NL("sum","Production Order","Quantity","Source No.",$D2005,"Equipment Code",$L2005,"due date",F$8)/-12</t>
  </si>
  <si>
    <t>=NL("sum","Production Order","Quantity","Source No.",$D2005,"Equipment Code",$L2005,"due date",G$8)/-12</t>
  </si>
  <si>
    <t>=NL("sum","Production Order","Quantity","Source No.",$D2005,"Equipment Code",$L2005,"due date",H$8)/-12</t>
  </si>
  <si>
    <t>=NL("sum","Production Order","Quantity","Source No.",$D2005,"Equipment Code",$L2005,"due date",I$8)/-12</t>
  </si>
  <si>
    <t>=NL("sum","Production Order","Quantity","Source No.",$D2005,"Equipment Code",$L2005,"due date",J$8)/$J$7</t>
  </si>
  <si>
    <t>=AVERAGE(I2005:J2005)</t>
  </si>
  <si>
    <t>=IF(K2006=0,"hide","")</t>
  </si>
  <si>
    <t>=D2005</t>
  </si>
  <si>
    <t>=NL("sum","Production Order","Quantity","Source No.",$D2006,"Equipment Code",$L2006,"due date",F$8)/-12</t>
  </si>
  <si>
    <t>=NL("sum","Production Order","Quantity","Source No.",$D2006,"Equipment Code",$L2006,"due date",G$8)/-12</t>
  </si>
  <si>
    <t>=NL("sum","Production Order","Quantity","Source No.",$D2006,"Equipment Code",$L2006,"due date",H$8)/-12</t>
  </si>
  <si>
    <t>=NL("sum","Production Order","Quantity","Source No.",$D2006,"Equipment Code",$L2006,"due date",I$8)/-12</t>
  </si>
  <si>
    <t>=NL("sum","Production Order","Quantity","Source No.",$D2006,"Equipment Code",$L2006,"due date",J$8)/$J$7</t>
  </si>
  <si>
    <t>=AVERAGE(I2006:J2006)</t>
  </si>
  <si>
    <t>=B2003</t>
  </si>
  <si>
    <t>=B2007</t>
  </si>
  <si>
    <t>=SUM(F2003:F2007)</t>
  </si>
  <si>
    <t>=SUM(G2003:G2007)</t>
  </si>
  <si>
    <t>=SUM(H2003:H2007)</t>
  </si>
  <si>
    <t>=SUM(I2003:I2007)</t>
  </si>
  <si>
    <t>=SUM(J2003:J2007)</t>
  </si>
  <si>
    <t>=IF(K2009=0,"hide","")</t>
  </si>
  <si>
    <t>="23606"</t>
  </si>
  <si>
    <t>=NL("rows","Production BOM Version","Version Code","Production BOM No.",D2009,"status","certified")</t>
  </si>
  <si>
    <t>=NL("sum","Item Ledger Entry","Quantity","Item No.",$D2009,"Entry Type","Sale|Consumption","posting date","01/01/19..12/31/19")/-12</t>
  </si>
  <si>
    <t>=NL("sum","Item Ledger Entry","Quantity","Item No.",$D2009,"Entry Type","Sale|Consumption","posting date","01/01/20..12/31/20")/-12</t>
  </si>
  <si>
    <t>=NL("sum","Item Ledger Entry","Quantity","Item No.",$D2009,"Entry Type","Sale|Consumption","posting date","01/01/21..12/31/21")/-12</t>
  </si>
  <si>
    <t>=NL("sum","Item Ledger Entry","Quantity","Item No.",$D2009,"Entry Type","Sale|Consumption","posting date","01/01/22..12/31/22")/-12</t>
  </si>
  <si>
    <t>=NL("sum","Item Ledger Entry","Quantity","Item No.",$D2009,"Entry Type","Sale|Consumption","posting date","01/01/23..12/31/23")/$J$7</t>
  </si>
  <si>
    <t>=AVERAGE(I2009:J2009)</t>
  </si>
  <si>
    <t>=NL(1,"item",L$9,"no.",D2009)</t>
  </si>
  <si>
    <t>=NL(1,"item",M$9,"no.",$D2009)</t>
  </si>
  <si>
    <t>=NL(1,"item","Units Per Parcel","no.",$D2009)</t>
  </si>
  <si>
    <t>=NL(1,"Prod. BOM Equipment","Fixed Prod. Time (Hours)","Production BOM No.",$D2009,"version code",$E2009,"Resource No.",O$9)</t>
  </si>
  <si>
    <t>=1/O2009</t>
  </si>
  <si>
    <t>=IF(NL(1,"Prod. BOM Equipment","Variable Prod. Time (Hours)","Production BOM No.",$D2009,"version code",$E2009,"Resource No.",$O$9)="",1,NL(1,"Prod. BOM Equipment","Variable Prod. Time (Hours)","Production BOM No.",$D2009,"version code",$E2009,"Resource No.",$O$9))</t>
  </si>
  <si>
    <t>=1/Q2009</t>
  </si>
  <si>
    <t>=R2009*N2009</t>
  </si>
  <si>
    <t>=IF(K2010=0,"hide","")</t>
  </si>
  <si>
    <t>=D2009</t>
  </si>
  <si>
    <t>=NL("sum","Production Order","Quantity","Source No.",$D2010,"Equipment Code",$L2010,"due date",F$8)/-12</t>
  </si>
  <si>
    <t>=NL("sum","Production Order","Quantity","Source No.",$D2010,"Equipment Code",$L2010,"due date",G$8)/-12</t>
  </si>
  <si>
    <t>=NL("sum","Production Order","Quantity","Source No.",$D2010,"Equipment Code",$L2010,"due date",H$8)/-12</t>
  </si>
  <si>
    <t>=NL("sum","Production Order","Quantity","Source No.",$D2010,"Equipment Code",$L2010,"due date",I$8)/-12</t>
  </si>
  <si>
    <t>=NL("sum","Production Order","Quantity","Source No.",$D2010,"Equipment Code",$L2010,"due date",J$8)/$J$7</t>
  </si>
  <si>
    <t>=AVERAGE(I2010:J2010)</t>
  </si>
  <si>
    <t>=IF(K2011=0,"hide","")</t>
  </si>
  <si>
    <t>=D2010</t>
  </si>
  <si>
    <t>=NL("sum","Production Order","Quantity","Source No.",$D2011,"Equipment Code",$L2011,"due date",F$8)/-12</t>
  </si>
  <si>
    <t>=NL("sum","Production Order","Quantity","Source No.",$D2011,"Equipment Code",$L2011,"due date",G$8)/-12</t>
  </si>
  <si>
    <t>=NL("sum","Production Order","Quantity","Source No.",$D2011,"Equipment Code",$L2011,"due date",H$8)/-12</t>
  </si>
  <si>
    <t>=NL("sum","Production Order","Quantity","Source No.",$D2011,"Equipment Code",$L2011,"due date",I$8)/-12</t>
  </si>
  <si>
    <t>=NL("sum","Production Order","Quantity","Source No.",$D2011,"Equipment Code",$L2011,"due date",J$8)/$J$7</t>
  </si>
  <si>
    <t>=AVERAGE(I2011:J2011)</t>
  </si>
  <si>
    <t>=IF(K2012=0,"hide","")</t>
  </si>
  <si>
    <t>=D2011</t>
  </si>
  <si>
    <t>=NL("sum","Production Order","Quantity","Source No.",$D2012,"Equipment Code",$L2012,"due date",F$8)/-12</t>
  </si>
  <si>
    <t>=NL("sum","Production Order","Quantity","Source No.",$D2012,"Equipment Code",$L2012,"due date",G$8)/-12</t>
  </si>
  <si>
    <t>=NL("sum","Production Order","Quantity","Source No.",$D2012,"Equipment Code",$L2012,"due date",H$8)/-12</t>
  </si>
  <si>
    <t>=NL("sum","Production Order","Quantity","Source No.",$D2012,"Equipment Code",$L2012,"due date",I$8)/-12</t>
  </si>
  <si>
    <t>=NL("sum","Production Order","Quantity","Source No.",$D2012,"Equipment Code",$L2012,"due date",J$8)/$J$7</t>
  </si>
  <si>
    <t>=AVERAGE(I2012:J2012)</t>
  </si>
  <si>
    <t>=IF(K2013=0,"hide","")</t>
  </si>
  <si>
    <t>=D2012</t>
  </si>
  <si>
    <t>=NL("sum","Production Order","Quantity","Source No.",$D2013,"Equipment Code",$L2013,"due date",F$8)/-12</t>
  </si>
  <si>
    <t>=NL("sum","Production Order","Quantity","Source No.",$D2013,"Equipment Code",$L2013,"due date",G$8)/-12</t>
  </si>
  <si>
    <t>=NL("sum","Production Order","Quantity","Source No.",$D2013,"Equipment Code",$L2013,"due date",H$8)/-12</t>
  </si>
  <si>
    <t>=NL("sum","Production Order","Quantity","Source No.",$D2013,"Equipment Code",$L2013,"due date",I$8)/-12</t>
  </si>
  <si>
    <t>=NL("sum","Production Order","Quantity","Source No.",$D2013,"Equipment Code",$L2013,"due date",J$8)/$J$7</t>
  </si>
  <si>
    <t>=AVERAGE(I2013:J2013)</t>
  </si>
  <si>
    <t>=B2010</t>
  </si>
  <si>
    <t>=B2014</t>
  </si>
  <si>
    <t>=SUM(F2010:F2014)</t>
  </si>
  <si>
    <t>=SUM(G2010:G2014)</t>
  </si>
  <si>
    <t>=SUM(H2010:H2014)</t>
  </si>
  <si>
    <t>=SUM(I2010:I2014)</t>
  </si>
  <si>
    <t>=SUM(J2010:J2014)</t>
  </si>
  <si>
    <t>=IF(K2016=0,"hide","")</t>
  </si>
  <si>
    <t>="23610"</t>
  </si>
  <si>
    <t>=NL("rows","Production BOM Version","Version Code","Production BOM No.",D2016,"status","certified")</t>
  </si>
  <si>
    <t>=NL("sum","Item Ledger Entry","Quantity","Item No.",$D2016,"Entry Type","Sale|Consumption","posting date","01/01/19..12/31/19")/-12</t>
  </si>
  <si>
    <t>=NL("sum","Item Ledger Entry","Quantity","Item No.",$D2016,"Entry Type","Sale|Consumption","posting date","01/01/20..12/31/20")/-12</t>
  </si>
  <si>
    <t>=NL("sum","Item Ledger Entry","Quantity","Item No.",$D2016,"Entry Type","Sale|Consumption","posting date","01/01/21..12/31/21")/-12</t>
  </si>
  <si>
    <t>=NL("sum","Item Ledger Entry","Quantity","Item No.",$D2016,"Entry Type","Sale|Consumption","posting date","01/01/22..12/31/22")/-12</t>
  </si>
  <si>
    <t>=NL("sum","Item Ledger Entry","Quantity","Item No.",$D2016,"Entry Type","Sale|Consumption","posting date","01/01/23..12/31/23")/$J$7</t>
  </si>
  <si>
    <t>=AVERAGE(I2016:J2016)</t>
  </si>
  <si>
    <t>=NL(1,"item",L$9,"no.",D2016)</t>
  </si>
  <si>
    <t>=NL(1,"item",M$9,"no.",$D2016)</t>
  </si>
  <si>
    <t>=NL(1,"item","Units Per Parcel","no.",$D2016)</t>
  </si>
  <si>
    <t>=NL(1,"Prod. BOM Equipment","Fixed Prod. Time (Hours)","Production BOM No.",$D2016,"version code",$E2016,"Resource No.",O$9)</t>
  </si>
  <si>
    <t>=1/O2016</t>
  </si>
  <si>
    <t>=IF(NL(1,"Prod. BOM Equipment","Variable Prod. Time (Hours)","Production BOM No.",$D2016,"version code",$E2016,"Resource No.",$O$9)="",1,NL(1,"Prod. BOM Equipment","Variable Prod. Time (Hours)","Production BOM No.",$D2016,"version code",$E2016,"Resource No.",$O$9))</t>
  </si>
  <si>
    <t>=1/Q2016</t>
  </si>
  <si>
    <t>=R2016*N2016</t>
  </si>
  <si>
    <t>=IF(K2017=0,"hide","")</t>
  </si>
  <si>
    <t>=AVERAGE(I2017:J2017)</t>
  </si>
  <si>
    <t>=IF(K2018=0,"hide","")</t>
  </si>
  <si>
    <t>=D2016</t>
  </si>
  <si>
    <t>=NL("sum","Production Order","Quantity","Source No.",$D2018,"Equipment Code",$L2018,"due date",F$8)/-12</t>
  </si>
  <si>
    <t>=NL("sum","Production Order","Quantity","Source No.",$D2018,"Equipment Code",$L2018,"due date",G$8)/-12</t>
  </si>
  <si>
    <t>=NL("sum","Production Order","Quantity","Source No.",$D2018,"Equipment Code",$L2018,"due date",H$8)/-12</t>
  </si>
  <si>
    <t>=NL("sum","Production Order","Quantity","Source No.",$D2018,"Equipment Code",$L2018,"due date",I$8)/-12</t>
  </si>
  <si>
    <t>=NL("sum","Production Order","Quantity","Source No.",$D2018,"Equipment Code",$L2018,"due date",J$8)/$J$7</t>
  </si>
  <si>
    <t>=AVERAGE(I2018:J2018)</t>
  </si>
  <si>
    <t>=IF(K2019=0,"hide","")</t>
  </si>
  <si>
    <t>=D2017</t>
  </si>
  <si>
    <t>=NL("sum","Production Order","Quantity","Source No.",$D2019,"Equipment Code",$L2019,"due date",F$8)/-12</t>
  </si>
  <si>
    <t>=NL("sum","Production Order","Quantity","Source No.",$D2019,"Equipment Code",$L2019,"due date",G$8)/-12</t>
  </si>
  <si>
    <t>=NL("sum","Production Order","Quantity","Source No.",$D2019,"Equipment Code",$L2019,"due date",H$8)/-12</t>
  </si>
  <si>
    <t>=NL("sum","Production Order","Quantity","Source No.",$D2019,"Equipment Code",$L2019,"due date",I$8)/-12</t>
  </si>
  <si>
    <t>=NL("sum","Production Order","Quantity","Source No.",$D2019,"Equipment Code",$L2019,"due date",J$8)/$J$7</t>
  </si>
  <si>
    <t>=AVERAGE(I2019:J2019)</t>
  </si>
  <si>
    <t>=IF(K2020=0,"hide","")</t>
  </si>
  <si>
    <t>=D2018</t>
  </si>
  <si>
    <t>=NL("sum","Production Order","Quantity","Source No.",$D2020,"Equipment Code",$L2020,"due date",F$8)/-12</t>
  </si>
  <si>
    <t>=NL("sum","Production Order","Quantity","Source No.",$D2020,"Equipment Code",$L2020,"due date",G$8)/-12</t>
  </si>
  <si>
    <t>=NL("sum","Production Order","Quantity","Source No.",$D2020,"Equipment Code",$L2020,"due date",H$8)/-12</t>
  </si>
  <si>
    <t>=NL("sum","Production Order","Quantity","Source No.",$D2020,"Equipment Code",$L2020,"due date",I$8)/-12</t>
  </si>
  <si>
    <t>=NL("sum","Production Order","Quantity","Source No.",$D2020,"Equipment Code",$L2020,"due date",J$8)/$J$7</t>
  </si>
  <si>
    <t>=AVERAGE(I2020:J2020)</t>
  </si>
  <si>
    <t>=D2019</t>
  </si>
  <si>
    <t>=IF(K2024=0,"hide","")</t>
  </si>
  <si>
    <t>="23651"</t>
  </si>
  <si>
    <t>=AVERAGE(I2024:J2024)</t>
  </si>
  <si>
    <t>=IF(K2025=0,"hide","")</t>
  </si>
  <si>
    <t>=D2024</t>
  </si>
  <si>
    <t>=NL("sum","Production Order","Quantity","Source No.",$D2025,"Equipment Code",$L2025,"due date",F$8)/-12</t>
  </si>
  <si>
    <t>=NL("sum","Production Order","Quantity","Source No.",$D2025,"Equipment Code",$L2025,"due date",G$8)/-12</t>
  </si>
  <si>
    <t>=NL("sum","Production Order","Quantity","Source No.",$D2025,"Equipment Code",$L2025,"due date",H$8)/-12</t>
  </si>
  <si>
    <t>=NL("sum","Production Order","Quantity","Source No.",$D2025,"Equipment Code",$L2025,"due date",I$8)/-12</t>
  </si>
  <si>
    <t>=NL("sum","Production Order","Quantity","Source No.",$D2025,"Equipment Code",$L2025,"due date",J$8)/$J$7</t>
  </si>
  <si>
    <t>=AVERAGE(I2025:J2025)</t>
  </si>
  <si>
    <t>=IF(K2026=0,"hide","")</t>
  </si>
  <si>
    <t>=D2025</t>
  </si>
  <si>
    <t>=NL("sum","Production Order","Quantity","Source No.",$D2026,"Equipment Code",$L2026,"due date",F$8)/-12</t>
  </si>
  <si>
    <t>=NL("sum","Production Order","Quantity","Source No.",$D2026,"Equipment Code",$L2026,"due date",G$8)/-12</t>
  </si>
  <si>
    <t>=NL("sum","Production Order","Quantity","Source No.",$D2026,"Equipment Code",$L2026,"due date",H$8)/-12</t>
  </si>
  <si>
    <t>=NL("sum","Production Order","Quantity","Source No.",$D2026,"Equipment Code",$L2026,"due date",I$8)/-12</t>
  </si>
  <si>
    <t>=NL("sum","Production Order","Quantity","Source No.",$D2026,"Equipment Code",$L2026,"due date",J$8)/$J$7</t>
  </si>
  <si>
    <t>=AVERAGE(I2026:J2026)</t>
  </si>
  <si>
    <t>=IF(K2027=0,"hide","")</t>
  </si>
  <si>
    <t>=D2026</t>
  </si>
  <si>
    <t>=NL("sum","Production Order","Quantity","Source No.",$D2027,"Equipment Code",$L2027,"due date",F$8)/-12</t>
  </si>
  <si>
    <t>=NL("sum","Production Order","Quantity","Source No.",$D2027,"Equipment Code",$L2027,"due date",G$8)/-12</t>
  </si>
  <si>
    <t>=NL("sum","Production Order","Quantity","Source No.",$D2027,"Equipment Code",$L2027,"due date",H$8)/-12</t>
  </si>
  <si>
    <t>=NL("sum","Production Order","Quantity","Source No.",$D2027,"Equipment Code",$L2027,"due date",I$8)/-12</t>
  </si>
  <si>
    <t>=NL("sum","Production Order","Quantity","Source No.",$D2027,"Equipment Code",$L2027,"due date",J$8)/$J$7</t>
  </si>
  <si>
    <t>=AVERAGE(I2027:J2027)</t>
  </si>
  <si>
    <t>=IF(K2031=0,"hide","")</t>
  </si>
  <si>
    <t>=NL("sum","Item Ledger Entry","Quantity","Item No.",$D2031,"Entry Type","Sale|Consumption","posting date","01/01/19..12/31/19")/-12</t>
  </si>
  <si>
    <t>=NL("sum","Item Ledger Entry","Quantity","Item No.",$D2031,"Entry Type","Sale|Consumption","posting date","01/01/20..12/31/20")/-12</t>
  </si>
  <si>
    <t>=NL("sum","Item Ledger Entry","Quantity","Item No.",$D2031,"Entry Type","Sale|Consumption","posting date","01/01/21..12/31/21")/-12</t>
  </si>
  <si>
    <t>=NL("sum","Item Ledger Entry","Quantity","Item No.",$D2031,"Entry Type","Sale|Consumption","posting date","01/01/22..12/31/22")/-12</t>
  </si>
  <si>
    <t>=NL("sum","Item Ledger Entry","Quantity","Item No.",$D2031,"Entry Type","Sale|Consumption","posting date","01/01/23..12/31/23")/$J$7</t>
  </si>
  <si>
    <t>=AVERAGE(I2031:J2031)</t>
  </si>
  <si>
    <t>=NL(1,"item",L$9,"no.",D2031)</t>
  </si>
  <si>
    <t>=NL(1,"item",M$9,"no.",$D2031)</t>
  </si>
  <si>
    <t>=NL(1,"item","Units Per Parcel","no.",$D2031)</t>
  </si>
  <si>
    <t>=NL(1,"Prod. BOM Equipment","Fixed Prod. Time (Hours)","Production BOM No.",$D2031,"version code",$E2031,"Resource No.",O$9)</t>
  </si>
  <si>
    <t>=1/O2031</t>
  </si>
  <si>
    <t>=IF(NL(1,"Prod. BOM Equipment","Variable Prod. Time (Hours)","Production BOM No.",$D2031,"version code",$E2031,"Resource No.",$O$9)="",1,NL(1,"Prod. BOM Equipment","Variable Prod. Time (Hours)","Production BOM No.",$D2031,"version code",$E2031,"Resource No.",$O$9))</t>
  </si>
  <si>
    <t>=1/Q2031</t>
  </si>
  <si>
    <t>=R2031*N2031</t>
  </si>
  <si>
    <t>=IF(K2032=0,"hide","")</t>
  </si>
  <si>
    <t>=D2031</t>
  </si>
  <si>
    <t>=NL("sum","Production Order","Quantity","Source No.",$D2032,"Equipment Code",$L2032,"due date",F$8)/-12</t>
  </si>
  <si>
    <t>=NL("sum","Production Order","Quantity","Source No.",$D2032,"Equipment Code",$L2032,"due date",G$8)/-12</t>
  </si>
  <si>
    <t>=NL("sum","Production Order","Quantity","Source No.",$D2032,"Equipment Code",$L2032,"due date",H$8)/-12</t>
  </si>
  <si>
    <t>=NL("sum","Production Order","Quantity","Source No.",$D2032,"Equipment Code",$L2032,"due date",I$8)/-12</t>
  </si>
  <si>
    <t>=NL("sum","Production Order","Quantity","Source No.",$D2032,"Equipment Code",$L2032,"due date",J$8)/$J$7</t>
  </si>
  <si>
    <t>=AVERAGE(I2032:J2032)</t>
  </si>
  <si>
    <t>=IF(K2033=0,"hide","")</t>
  </si>
  <si>
    <t>=D2032</t>
  </si>
  <si>
    <t>=NL("sum","Production Order","Quantity","Source No.",$D2033,"Equipment Code",$L2033,"due date",F$8)/-12</t>
  </si>
  <si>
    <t>=NL("sum","Production Order","Quantity","Source No.",$D2033,"Equipment Code",$L2033,"due date",G$8)/-12</t>
  </si>
  <si>
    <t>=NL("sum","Production Order","Quantity","Source No.",$D2033,"Equipment Code",$L2033,"due date",H$8)/-12</t>
  </si>
  <si>
    <t>=NL("sum","Production Order","Quantity","Source No.",$D2033,"Equipment Code",$L2033,"due date",I$8)/-12</t>
  </si>
  <si>
    <t>=NL("sum","Production Order","Quantity","Source No.",$D2033,"Equipment Code",$L2033,"due date",J$8)/$J$7</t>
  </si>
  <si>
    <t>=AVERAGE(I2033:J2033)</t>
  </si>
  <si>
    <t>=IF(K2034=0,"hide","")</t>
  </si>
  <si>
    <t>=D2033</t>
  </si>
  <si>
    <t>=NL("sum","Production Order","Quantity","Source No.",$D2034,"Equipment Code",$L2034,"due date",F$8)/-12</t>
  </si>
  <si>
    <t>=NL("sum","Production Order","Quantity","Source No.",$D2034,"Equipment Code",$L2034,"due date",G$8)/-12</t>
  </si>
  <si>
    <t>=NL("sum","Production Order","Quantity","Source No.",$D2034,"Equipment Code",$L2034,"due date",H$8)/-12</t>
  </si>
  <si>
    <t>=NL("sum","Production Order","Quantity","Source No.",$D2034,"Equipment Code",$L2034,"due date",I$8)/-12</t>
  </si>
  <si>
    <t>=NL("sum","Production Order","Quantity","Source No.",$D2034,"Equipment Code",$L2034,"due date",J$8)/$J$7</t>
  </si>
  <si>
    <t>=AVERAGE(I2034:J2034)</t>
  </si>
  <si>
    <t>=IF(K2035=0,"hide","")</t>
  </si>
  <si>
    <t>=NL("sum","Production Order","Quantity","Source No.",$D2035,"Equipment Code",$L2035,"due date",F$8)/-12</t>
  </si>
  <si>
    <t>=NL("sum","Production Order","Quantity","Source No.",$D2035,"Equipment Code",$L2035,"due date",G$8)/-12</t>
  </si>
  <si>
    <t>=NL("sum","Production Order","Quantity","Source No.",$D2035,"Equipment Code",$L2035,"due date",H$8)/-12</t>
  </si>
  <si>
    <t>=NL("sum","Production Order","Quantity","Source No.",$D2035,"Equipment Code",$L2035,"due date",I$8)/-12</t>
  </si>
  <si>
    <t>=NL("sum","Production Order","Quantity","Source No.",$D2035,"Equipment Code",$L2035,"due date",J$8)/$J$7</t>
  </si>
  <si>
    <t>=AVERAGE(I2035:J2035)</t>
  </si>
  <si>
    <t>=B2032</t>
  </si>
  <si>
    <t>=B2036</t>
  </si>
  <si>
    <t>=SUM(F2032:F2036)</t>
  </si>
  <si>
    <t>=SUM(G2032:G2036)</t>
  </si>
  <si>
    <t>=SUM(H2032:H2036)</t>
  </si>
  <si>
    <t>=SUM(I2032:I2036)</t>
  </si>
  <si>
    <t>=SUM(J2032:J2036)</t>
  </si>
  <si>
    <t>=IF(K2038=0,"hide","")</t>
  </si>
  <si>
    <t>=NL("rows","Production BOM Version","Version Code","Production BOM No.",D2038,"status","certified")</t>
  </si>
  <si>
    <t>=NL("sum","Item Ledger Entry","Quantity","Item No.",$D2038,"Entry Type","Sale|Consumption","posting date","01/01/19..12/31/19")/-12</t>
  </si>
  <si>
    <t>=NL("sum","Item Ledger Entry","Quantity","Item No.",$D2038,"Entry Type","Sale|Consumption","posting date","01/01/20..12/31/20")/-12</t>
  </si>
  <si>
    <t>=NL("sum","Item Ledger Entry","Quantity","Item No.",$D2038,"Entry Type","Sale|Consumption","posting date","01/01/21..12/31/21")/-12</t>
  </si>
  <si>
    <t>=NL("sum","Item Ledger Entry","Quantity","Item No.",$D2038,"Entry Type","Sale|Consumption","posting date","01/01/22..12/31/22")/-12</t>
  </si>
  <si>
    <t>=NL("sum","Item Ledger Entry","Quantity","Item No.",$D2038,"Entry Type","Sale|Consumption","posting date","01/01/23..12/31/23")/$J$7</t>
  </si>
  <si>
    <t>=AVERAGE(I2038:J2038)</t>
  </si>
  <si>
    <t>=NL(1,"item",L$9,"no.",D2038)</t>
  </si>
  <si>
    <t>=NL(1,"item",M$9,"no.",$D2038)</t>
  </si>
  <si>
    <t>=NL(1,"item","Units Per Parcel","no.",$D2038)</t>
  </si>
  <si>
    <t>=NL(1,"Prod. BOM Equipment","Fixed Prod. Time (Hours)","Production BOM No.",$D2038,"version code",$E2038,"Resource No.",O$9)</t>
  </si>
  <si>
    <t>=1/O2038</t>
  </si>
  <si>
    <t>=IF(NL(1,"Prod. BOM Equipment","Variable Prod. Time (Hours)","Production BOM No.",$D2038,"version code",$E2038,"Resource No.",$O$9)="",1,NL(1,"Prod. BOM Equipment","Variable Prod. Time (Hours)","Production BOM No.",$D2038,"version code",$E2038,"Resource No.",$O$9))</t>
  </si>
  <si>
    <t>=1/Q2038</t>
  </si>
  <si>
    <t>=R2038*N2038</t>
  </si>
  <si>
    <t>=IF(K2039=0,"hide","")</t>
  </si>
  <si>
    <t>=D2038</t>
  </si>
  <si>
    <t>=NL("sum","Production Order","Quantity","Source No.",$D2039,"Equipment Code",$L2039,"due date",F$8)/-12</t>
  </si>
  <si>
    <t>=NL("sum","Production Order","Quantity","Source No.",$D2039,"Equipment Code",$L2039,"due date",G$8)/-12</t>
  </si>
  <si>
    <t>=NL("sum","Production Order","Quantity","Source No.",$D2039,"Equipment Code",$L2039,"due date",H$8)/-12</t>
  </si>
  <si>
    <t>=NL("sum","Production Order","Quantity","Source No.",$D2039,"Equipment Code",$L2039,"due date",I$8)/-12</t>
  </si>
  <si>
    <t>=NL("sum","Production Order","Quantity","Source No.",$D2039,"Equipment Code",$L2039,"due date",J$8)/$J$7</t>
  </si>
  <si>
    <t>=AVERAGE(I2039:J2039)</t>
  </si>
  <si>
    <t>=IF(K2040=0,"hide","")</t>
  </si>
  <si>
    <t>=D2039</t>
  </si>
  <si>
    <t>=NL("sum","Production Order","Quantity","Source No.",$D2040,"Equipment Code",$L2040,"due date",F$8)/-12</t>
  </si>
  <si>
    <t>=NL("sum","Production Order","Quantity","Source No.",$D2040,"Equipment Code",$L2040,"due date",G$8)/-12</t>
  </si>
  <si>
    <t>=NL("sum","Production Order","Quantity","Source No.",$D2040,"Equipment Code",$L2040,"due date",H$8)/-12</t>
  </si>
  <si>
    <t>=NL("sum","Production Order","Quantity","Source No.",$D2040,"Equipment Code",$L2040,"due date",I$8)/-12</t>
  </si>
  <si>
    <t>=NL("sum","Production Order","Quantity","Source No.",$D2040,"Equipment Code",$L2040,"due date",J$8)/$J$7</t>
  </si>
  <si>
    <t>=AVERAGE(I2040:J2040)</t>
  </si>
  <si>
    <t>=IF(K2041=0,"hide","")</t>
  </si>
  <si>
    <t>=D2040</t>
  </si>
  <si>
    <t>=NL("sum","Production Order","Quantity","Source No.",$D2041,"Equipment Code",$L2041,"due date",F$8)/-12</t>
  </si>
  <si>
    <t>=NL("sum","Production Order","Quantity","Source No.",$D2041,"Equipment Code",$L2041,"due date",G$8)/-12</t>
  </si>
  <si>
    <t>=NL("sum","Production Order","Quantity","Source No.",$D2041,"Equipment Code",$L2041,"due date",H$8)/-12</t>
  </si>
  <si>
    <t>=NL("sum","Production Order","Quantity","Source No.",$D2041,"Equipment Code",$L2041,"due date",I$8)/-12</t>
  </si>
  <si>
    <t>=NL("sum","Production Order","Quantity","Source No.",$D2041,"Equipment Code",$L2041,"due date",J$8)/$J$7</t>
  </si>
  <si>
    <t>=AVERAGE(I2041:J2041)</t>
  </si>
  <si>
    <t>=IF(K2042=0,"hide","")</t>
  </si>
  <si>
    <t>=D2041</t>
  </si>
  <si>
    <t>=NL("sum","Production Order","Quantity","Source No.",$D2042,"Equipment Code",$L2042,"due date",F$8)/-12</t>
  </si>
  <si>
    <t>=NL("sum","Production Order","Quantity","Source No.",$D2042,"Equipment Code",$L2042,"due date",G$8)/-12</t>
  </si>
  <si>
    <t>=NL("sum","Production Order","Quantity","Source No.",$D2042,"Equipment Code",$L2042,"due date",H$8)/-12</t>
  </si>
  <si>
    <t>=NL("sum","Production Order","Quantity","Source No.",$D2042,"Equipment Code",$L2042,"due date",I$8)/-12</t>
  </si>
  <si>
    <t>=NL("sum","Production Order","Quantity","Source No.",$D2042,"Equipment Code",$L2042,"due date",J$8)/$J$7</t>
  </si>
  <si>
    <t>=AVERAGE(I2042:J2042)</t>
  </si>
  <si>
    <t>=B2039</t>
  </si>
  <si>
    <t>=B2043</t>
  </si>
  <si>
    <t>=SUM(F2039:F2043)</t>
  </si>
  <si>
    <t>=SUM(G2039:G2043)</t>
  </si>
  <si>
    <t>=SUM(H2039:H2043)</t>
  </si>
  <si>
    <t>=SUM(I2039:I2043)</t>
  </si>
  <si>
    <t>=SUM(J2039:J2043)</t>
  </si>
  <si>
    <t>=IF(K2045=0,"hide","")</t>
  </si>
  <si>
    <t>=NL("rows","Production BOM Version","Version Code","Production BOM No.",D2045,"status","certified")</t>
  </si>
  <si>
    <t>=NL("sum","Item Ledger Entry","Quantity","Item No.",$D2045,"Entry Type","Sale|Consumption","posting date","01/01/19..12/31/19")/-12</t>
  </si>
  <si>
    <t>=NL("sum","Item Ledger Entry","Quantity","Item No.",$D2045,"Entry Type","Sale|Consumption","posting date","01/01/20..12/31/20")/-12</t>
  </si>
  <si>
    <t>=NL("sum","Item Ledger Entry","Quantity","Item No.",$D2045,"Entry Type","Sale|Consumption","posting date","01/01/21..12/31/21")/-12</t>
  </si>
  <si>
    <t>=NL("sum","Item Ledger Entry","Quantity","Item No.",$D2045,"Entry Type","Sale|Consumption","posting date","01/01/22..12/31/22")/-12</t>
  </si>
  <si>
    <t>=NL("sum","Item Ledger Entry","Quantity","Item No.",$D2045,"Entry Type","Sale|Consumption","posting date","01/01/23..12/31/23")/$J$7</t>
  </si>
  <si>
    <t>=AVERAGE(I2045:J2045)</t>
  </si>
  <si>
    <t>=NL(1,"item",L$9,"no.",D2045)</t>
  </si>
  <si>
    <t>=NL(1,"item",M$9,"no.",$D2045)</t>
  </si>
  <si>
    <t>=NL(1,"item","Units Per Parcel","no.",$D2045)</t>
  </si>
  <si>
    <t>=NL(1,"Prod. BOM Equipment","Fixed Prod. Time (Hours)","Production BOM No.",$D2045,"version code",$E2045,"Resource No.",O$9)</t>
  </si>
  <si>
    <t>=1/O2045</t>
  </si>
  <si>
    <t>=IF(NL(1,"Prod. BOM Equipment","Variable Prod. Time (Hours)","Production BOM No.",$D2045,"version code",$E2045,"Resource No.",$O$9)="",1,NL(1,"Prod. BOM Equipment","Variable Prod. Time (Hours)","Production BOM No.",$D2045,"version code",$E2045,"Resource No.",$O$9))</t>
  </si>
  <si>
    <t>=1/Q2045</t>
  </si>
  <si>
    <t>=R2045*N2045</t>
  </si>
  <si>
    <t>=IF(K2046=0,"hide","")</t>
  </si>
  <si>
    <t>=D2045</t>
  </si>
  <si>
    <t>=NL("sum","Production Order","Quantity","Source No.",$D2046,"Equipment Code",$L2046,"due date",F$8)/-12</t>
  </si>
  <si>
    <t>=NL("sum","Production Order","Quantity","Source No.",$D2046,"Equipment Code",$L2046,"due date",G$8)/-12</t>
  </si>
  <si>
    <t>=NL("sum","Production Order","Quantity","Source No.",$D2046,"Equipment Code",$L2046,"due date",H$8)/-12</t>
  </si>
  <si>
    <t>=NL("sum","Production Order","Quantity","Source No.",$D2046,"Equipment Code",$L2046,"due date",I$8)/-12</t>
  </si>
  <si>
    <t>=NL("sum","Production Order","Quantity","Source No.",$D2046,"Equipment Code",$L2046,"due date",J$8)/$J$7</t>
  </si>
  <si>
    <t>=AVERAGE(I2046:J2046)</t>
  </si>
  <si>
    <t>=IF(K2047=0,"hide","")</t>
  </si>
  <si>
    <t>=D2046</t>
  </si>
  <si>
    <t>=NL("sum","Production Order","Quantity","Source No.",$D2047,"Equipment Code",$L2047,"due date",F$8)/-12</t>
  </si>
  <si>
    <t>=NL("sum","Production Order","Quantity","Source No.",$D2047,"Equipment Code",$L2047,"due date",G$8)/-12</t>
  </si>
  <si>
    <t>=NL("sum","Production Order","Quantity","Source No.",$D2047,"Equipment Code",$L2047,"due date",H$8)/-12</t>
  </si>
  <si>
    <t>=NL("sum","Production Order","Quantity","Source No.",$D2047,"Equipment Code",$L2047,"due date",I$8)/-12</t>
  </si>
  <si>
    <t>=NL("sum","Production Order","Quantity","Source No.",$D2047,"Equipment Code",$L2047,"due date",J$8)/$J$7</t>
  </si>
  <si>
    <t>=AVERAGE(I2047:J2047)</t>
  </si>
  <si>
    <t>=IF(K2048=0,"hide","")</t>
  </si>
  <si>
    <t>=D2047</t>
  </si>
  <si>
    <t>=NL("sum","Production Order","Quantity","Source No.",$D2048,"Equipment Code",$L2048,"due date",F$8)/-12</t>
  </si>
  <si>
    <t>=NL("sum","Production Order","Quantity","Source No.",$D2048,"Equipment Code",$L2048,"due date",G$8)/-12</t>
  </si>
  <si>
    <t>=NL("sum","Production Order","Quantity","Source No.",$D2048,"Equipment Code",$L2048,"due date",H$8)/-12</t>
  </si>
  <si>
    <t>=NL("sum","Production Order","Quantity","Source No.",$D2048,"Equipment Code",$L2048,"due date",I$8)/-12</t>
  </si>
  <si>
    <t>=NL("sum","Production Order","Quantity","Source No.",$D2048,"Equipment Code",$L2048,"due date",J$8)/$J$7</t>
  </si>
  <si>
    <t>=AVERAGE(I2048:J2048)</t>
  </si>
  <si>
    <t>=IF(K2049=0,"hide","")</t>
  </si>
  <si>
    <t>=D2048</t>
  </si>
  <si>
    <t>=NL("sum","Production Order","Quantity","Source No.",$D2049,"Equipment Code",$L2049,"due date",F$8)/-12</t>
  </si>
  <si>
    <t>=NL("sum","Production Order","Quantity","Source No.",$D2049,"Equipment Code",$L2049,"due date",G$8)/-12</t>
  </si>
  <si>
    <t>=NL("sum","Production Order","Quantity","Source No.",$D2049,"Equipment Code",$L2049,"due date",H$8)/-12</t>
  </si>
  <si>
    <t>=NL("sum","Production Order","Quantity","Source No.",$D2049,"Equipment Code",$L2049,"due date",I$8)/-12</t>
  </si>
  <si>
    <t>=NL("sum","Production Order","Quantity","Source No.",$D2049,"Equipment Code",$L2049,"due date",J$8)/$J$7</t>
  </si>
  <si>
    <t>=AVERAGE(I2049:J2049)</t>
  </si>
  <si>
    <t>=B2046</t>
  </si>
  <si>
    <t>=B2050</t>
  </si>
  <si>
    <t>=SUM(F2046:F2050)</t>
  </si>
  <si>
    <t>=SUM(G2046:G2050)</t>
  </si>
  <si>
    <t>=SUM(H2046:H2050)</t>
  </si>
  <si>
    <t>=SUM(I2046:I2050)</t>
  </si>
  <si>
    <t>=SUM(J2046:J2050)</t>
  </si>
  <si>
    <t>=IF(K2052=0,"hide","")</t>
  </si>
  <si>
    <t>=NL("rows","Production BOM Version","Version Code","Production BOM No.",D2052,"status","certified")</t>
  </si>
  <si>
    <t>=NL("sum","Item Ledger Entry","Quantity","Item No.",$D2052,"Entry Type","Sale|Consumption","posting date","01/01/19..12/31/19")/-12</t>
  </si>
  <si>
    <t>=NL("sum","Item Ledger Entry","Quantity","Item No.",$D2052,"Entry Type","Sale|Consumption","posting date","01/01/20..12/31/20")/-12</t>
  </si>
  <si>
    <t>=NL("sum","Item Ledger Entry","Quantity","Item No.",$D2052,"Entry Type","Sale|Consumption","posting date","01/01/21..12/31/21")/-12</t>
  </si>
  <si>
    <t>=NL("sum","Item Ledger Entry","Quantity","Item No.",$D2052,"Entry Type","Sale|Consumption","posting date","01/01/22..12/31/22")/-12</t>
  </si>
  <si>
    <t>=NL("sum","Item Ledger Entry","Quantity","Item No.",$D2052,"Entry Type","Sale|Consumption","posting date","01/01/23..12/31/23")/$J$7</t>
  </si>
  <si>
    <t>=AVERAGE(I2052:J2052)</t>
  </si>
  <si>
    <t>=NL(1,"item",L$9,"no.",D2052)</t>
  </si>
  <si>
    <t>=NL(1,"item",M$9,"no.",$D2052)</t>
  </si>
  <si>
    <t>=NL(1,"item","Units Per Parcel","no.",$D2052)</t>
  </si>
  <si>
    <t>=NL(1,"Prod. BOM Equipment","Fixed Prod. Time (Hours)","Production BOM No.",$D2052,"version code",$E2052,"Resource No.",O$9)</t>
  </si>
  <si>
    <t>=1/O2052</t>
  </si>
  <si>
    <t>=IF(NL(1,"Prod. BOM Equipment","Variable Prod. Time (Hours)","Production BOM No.",$D2052,"version code",$E2052,"Resource No.",$O$9)="",1,NL(1,"Prod. BOM Equipment","Variable Prod. Time (Hours)","Production BOM No.",$D2052,"version code",$E2052,"Resource No.",$O$9))</t>
  </si>
  <si>
    <t>=1/Q2052</t>
  </si>
  <si>
    <t>=R2052*N2052</t>
  </si>
  <si>
    <t>=IF(K2053=0,"hide","")</t>
  </si>
  <si>
    <t>=D2052</t>
  </si>
  <si>
    <t>=NL("sum","Production Order","Quantity","Source No.",$D2053,"Equipment Code",$L2053,"due date",F$8)/-12</t>
  </si>
  <si>
    <t>=NL("sum","Production Order","Quantity","Source No.",$D2053,"Equipment Code",$L2053,"due date",G$8)/-12</t>
  </si>
  <si>
    <t>=NL("sum","Production Order","Quantity","Source No.",$D2053,"Equipment Code",$L2053,"due date",H$8)/-12</t>
  </si>
  <si>
    <t>=NL("sum","Production Order","Quantity","Source No.",$D2053,"Equipment Code",$L2053,"due date",I$8)/-12</t>
  </si>
  <si>
    <t>=NL("sum","Production Order","Quantity","Source No.",$D2053,"Equipment Code",$L2053,"due date",J$8)/$J$7</t>
  </si>
  <si>
    <t>=AVERAGE(I2053:J2053)</t>
  </si>
  <si>
    <t>=IF(K2054=0,"hide","")</t>
  </si>
  <si>
    <t>=D2053</t>
  </si>
  <si>
    <t>=NL("sum","Production Order","Quantity","Source No.",$D2054,"Equipment Code",$L2054,"due date",F$8)/-12</t>
  </si>
  <si>
    <t>=NL("sum","Production Order","Quantity","Source No.",$D2054,"Equipment Code",$L2054,"due date",G$8)/-12</t>
  </si>
  <si>
    <t>=NL("sum","Production Order","Quantity","Source No.",$D2054,"Equipment Code",$L2054,"due date",H$8)/-12</t>
  </si>
  <si>
    <t>=NL("sum","Production Order","Quantity","Source No.",$D2054,"Equipment Code",$L2054,"due date",I$8)/-12</t>
  </si>
  <si>
    <t>=NL("sum","Production Order","Quantity","Source No.",$D2054,"Equipment Code",$L2054,"due date",J$8)/$J$7</t>
  </si>
  <si>
    <t>=AVERAGE(I2054:J2054)</t>
  </si>
  <si>
    <t>=IF(K2055=0,"hide","")</t>
  </si>
  <si>
    <t>=D2054</t>
  </si>
  <si>
    <t>=NL("sum","Production Order","Quantity","Source No.",$D2055,"Equipment Code",$L2055,"due date",F$8)/-12</t>
  </si>
  <si>
    <t>=NL("sum","Production Order","Quantity","Source No.",$D2055,"Equipment Code",$L2055,"due date",G$8)/-12</t>
  </si>
  <si>
    <t>=NL("sum","Production Order","Quantity","Source No.",$D2055,"Equipment Code",$L2055,"due date",H$8)/-12</t>
  </si>
  <si>
    <t>=NL("sum","Production Order","Quantity","Source No.",$D2055,"Equipment Code",$L2055,"due date",I$8)/-12</t>
  </si>
  <si>
    <t>=NL("sum","Production Order","Quantity","Source No.",$D2055,"Equipment Code",$L2055,"due date",J$8)/$J$7</t>
  </si>
  <si>
    <t>=AVERAGE(I2055:J2055)</t>
  </si>
  <si>
    <t>=IF(K2056=0,"hide","")</t>
  </si>
  <si>
    <t>=D2055</t>
  </si>
  <si>
    <t>=NL("sum","Production Order","Quantity","Source No.",$D2056,"Equipment Code",$L2056,"due date",F$8)/-12</t>
  </si>
  <si>
    <t>=NL("sum","Production Order","Quantity","Source No.",$D2056,"Equipment Code",$L2056,"due date",G$8)/-12</t>
  </si>
  <si>
    <t>=NL("sum","Production Order","Quantity","Source No.",$D2056,"Equipment Code",$L2056,"due date",H$8)/-12</t>
  </si>
  <si>
    <t>=NL("sum","Production Order","Quantity","Source No.",$D2056,"Equipment Code",$L2056,"due date",I$8)/-12</t>
  </si>
  <si>
    <t>=NL("sum","Production Order","Quantity","Source No.",$D2056,"Equipment Code",$L2056,"due date",J$8)/$J$7</t>
  </si>
  <si>
    <t>=AVERAGE(I2056:J2056)</t>
  </si>
  <si>
    <t>=B2053</t>
  </si>
  <si>
    <t>=B2057</t>
  </si>
  <si>
    <t>=SUM(F2053:F2057)</t>
  </si>
  <si>
    <t>=SUM(G2053:G2057)</t>
  </si>
  <si>
    <t>=SUM(H2053:H2057)</t>
  </si>
  <si>
    <t>=SUM(I2053:I2057)</t>
  </si>
  <si>
    <t>=SUM(J2053:J2057)</t>
  </si>
  <si>
    <t>=IF(K2059=0,"hide","")</t>
  </si>
  <si>
    <t>=NL("rows","Production BOM Version","Version Code","Production BOM No.",D2059,"status","certified")</t>
  </si>
  <si>
    <t>=NL("sum","Item Ledger Entry","Quantity","Item No.",$D2059,"Entry Type","Sale|Consumption","posting date","01/01/19..12/31/19")/-12</t>
  </si>
  <si>
    <t>=NL("sum","Item Ledger Entry","Quantity","Item No.",$D2059,"Entry Type","Sale|Consumption","posting date","01/01/20..12/31/20")/-12</t>
  </si>
  <si>
    <t>=NL("sum","Item Ledger Entry","Quantity","Item No.",$D2059,"Entry Type","Sale|Consumption","posting date","01/01/21..12/31/21")/-12</t>
  </si>
  <si>
    <t>=NL("sum","Item Ledger Entry","Quantity","Item No.",$D2059,"Entry Type","Sale|Consumption","posting date","01/01/22..12/31/22")/-12</t>
  </si>
  <si>
    <t>=NL("sum","Item Ledger Entry","Quantity","Item No.",$D2059,"Entry Type","Sale|Consumption","posting date","01/01/23..12/31/23")/$J$7</t>
  </si>
  <si>
    <t>=AVERAGE(I2059:J2059)</t>
  </si>
  <si>
    <t>=NL(1,"item",L$9,"no.",D2059)</t>
  </si>
  <si>
    <t>=NL(1,"item",M$9,"no.",$D2059)</t>
  </si>
  <si>
    <t>=NL(1,"item","Units Per Parcel","no.",$D2059)</t>
  </si>
  <si>
    <t>=NL(1,"Prod. BOM Equipment","Fixed Prod. Time (Hours)","Production BOM No.",$D2059,"version code",$E2059,"Resource No.",O$9)</t>
  </si>
  <si>
    <t>=1/O2059</t>
  </si>
  <si>
    <t>=IF(NL(1,"Prod. BOM Equipment","Variable Prod. Time (Hours)","Production BOM No.",$D2059,"version code",$E2059,"Resource No.",$O$9)="",1,NL(1,"Prod. BOM Equipment","Variable Prod. Time (Hours)","Production BOM No.",$D2059,"version code",$E2059,"Resource No.",$O$9))</t>
  </si>
  <si>
    <t>=1/Q2059</t>
  </si>
  <si>
    <t>=R2059*N2059</t>
  </si>
  <si>
    <t>=IF(K2060=0,"hide","")</t>
  </si>
  <si>
    <t>=D2059</t>
  </si>
  <si>
    <t>=NL("sum","Production Order","Quantity","Source No.",$D2060,"Equipment Code",$L2060,"due date",F$8)/-12</t>
  </si>
  <si>
    <t>=NL("sum","Production Order","Quantity","Source No.",$D2060,"Equipment Code",$L2060,"due date",G$8)/-12</t>
  </si>
  <si>
    <t>=NL("sum","Production Order","Quantity","Source No.",$D2060,"Equipment Code",$L2060,"due date",H$8)/-12</t>
  </si>
  <si>
    <t>=NL("sum","Production Order","Quantity","Source No.",$D2060,"Equipment Code",$L2060,"due date",I$8)/-12</t>
  </si>
  <si>
    <t>=NL("sum","Production Order","Quantity","Source No.",$D2060,"Equipment Code",$L2060,"due date",J$8)/$J$7</t>
  </si>
  <si>
    <t>=AVERAGE(I2060:J2060)</t>
  </si>
  <si>
    <t>=IF(K2061=0,"hide","")</t>
  </si>
  <si>
    <t>=D2060</t>
  </si>
  <si>
    <t>=NL("sum","Production Order","Quantity","Source No.",$D2061,"Equipment Code",$L2061,"due date",F$8)/-12</t>
  </si>
  <si>
    <t>=NL("sum","Production Order","Quantity","Source No.",$D2061,"Equipment Code",$L2061,"due date",G$8)/-12</t>
  </si>
  <si>
    <t>=NL("sum","Production Order","Quantity","Source No.",$D2061,"Equipment Code",$L2061,"due date",H$8)/-12</t>
  </si>
  <si>
    <t>=NL("sum","Production Order","Quantity","Source No.",$D2061,"Equipment Code",$L2061,"due date",I$8)/-12</t>
  </si>
  <si>
    <t>=NL("sum","Production Order","Quantity","Source No.",$D2061,"Equipment Code",$L2061,"due date",J$8)/$J$7</t>
  </si>
  <si>
    <t>=AVERAGE(I2061:J2061)</t>
  </si>
  <si>
    <t>=IF(K2062=0,"hide","")</t>
  </si>
  <si>
    <t>=D2061</t>
  </si>
  <si>
    <t>=NL("sum","Production Order","Quantity","Source No.",$D2062,"Equipment Code",$L2062,"due date",F$8)/-12</t>
  </si>
  <si>
    <t>=NL("sum","Production Order","Quantity","Source No.",$D2062,"Equipment Code",$L2062,"due date",G$8)/-12</t>
  </si>
  <si>
    <t>=NL("sum","Production Order","Quantity","Source No.",$D2062,"Equipment Code",$L2062,"due date",H$8)/-12</t>
  </si>
  <si>
    <t>=NL("sum","Production Order","Quantity","Source No.",$D2062,"Equipment Code",$L2062,"due date",I$8)/-12</t>
  </si>
  <si>
    <t>=NL("sum","Production Order","Quantity","Source No.",$D2062,"Equipment Code",$L2062,"due date",J$8)/$J$7</t>
  </si>
  <si>
    <t>=AVERAGE(I2062:J2062)</t>
  </si>
  <si>
    <t>=IF(K2063=0,"hide","")</t>
  </si>
  <si>
    <t>=D2062</t>
  </si>
  <si>
    <t>=NL("sum","Production Order","Quantity","Source No.",$D2063,"Equipment Code",$L2063,"due date",F$8)/-12</t>
  </si>
  <si>
    <t>=NL("sum","Production Order","Quantity","Source No.",$D2063,"Equipment Code",$L2063,"due date",G$8)/-12</t>
  </si>
  <si>
    <t>=NL("sum","Production Order","Quantity","Source No.",$D2063,"Equipment Code",$L2063,"due date",H$8)/-12</t>
  </si>
  <si>
    <t>=NL("sum","Production Order","Quantity","Source No.",$D2063,"Equipment Code",$L2063,"due date",I$8)/-12</t>
  </si>
  <si>
    <t>=NL("sum","Production Order","Quantity","Source No.",$D2063,"Equipment Code",$L2063,"due date",J$8)/$J$7</t>
  </si>
  <si>
    <t>=AVERAGE(I2063:J2063)</t>
  </si>
  <si>
    <t>=B2060</t>
  </si>
  <si>
    <t>=B2064</t>
  </si>
  <si>
    <t>=SUM(F2060:F2064)</t>
  </si>
  <si>
    <t>=SUM(G2060:G2064)</t>
  </si>
  <si>
    <t>=SUM(H2060:H2064)</t>
  </si>
  <si>
    <t>=SUM(I2060:I2064)</t>
  </si>
  <si>
    <t>=SUM(J2060:J2064)</t>
  </si>
  <si>
    <t>=IF(K2066=0,"hide","")</t>
  </si>
  <si>
    <t>="24751"</t>
  </si>
  <si>
    <t>=NL("rows","Production BOM Version","Version Code","Production BOM No.",D2066,"status","certified")</t>
  </si>
  <si>
    <t>=NL("sum","Item Ledger Entry","Quantity","Item No.",$D2066,"Entry Type","Sale|Consumption","posting date","01/01/19..12/31/19")/-12</t>
  </si>
  <si>
    <t>=NL("sum","Item Ledger Entry","Quantity","Item No.",$D2066,"Entry Type","Sale|Consumption","posting date","01/01/20..12/31/20")/-12</t>
  </si>
  <si>
    <t>=NL("sum","Item Ledger Entry","Quantity","Item No.",$D2066,"Entry Type","Sale|Consumption","posting date","01/01/21..12/31/21")/-12</t>
  </si>
  <si>
    <t>=NL("sum","Item Ledger Entry","Quantity","Item No.",$D2066,"Entry Type","Sale|Consumption","posting date","01/01/22..12/31/22")/-12</t>
  </si>
  <si>
    <t>=NL("sum","Item Ledger Entry","Quantity","Item No.",$D2066,"Entry Type","Sale|Consumption","posting date","01/01/23..12/31/23")/$J$7</t>
  </si>
  <si>
    <t>=AVERAGE(I2066:J2066)</t>
  </si>
  <si>
    <t>=NL(1,"item",L$9,"no.",D2066)</t>
  </si>
  <si>
    <t>=NL(1,"item",M$9,"no.",$D2066)</t>
  </si>
  <si>
    <t>=NL(1,"item","Units Per Parcel","no.",$D2066)</t>
  </si>
  <si>
    <t>=NL(1,"Prod. BOM Equipment","Fixed Prod. Time (Hours)","Production BOM No.",$D2066,"version code",$E2066,"Resource No.",O$9)</t>
  </si>
  <si>
    <t>=1/O2066</t>
  </si>
  <si>
    <t>=IF(NL(1,"Prod. BOM Equipment","Variable Prod. Time (Hours)","Production BOM No.",$D2066,"version code",$E2066,"Resource No.",$O$9)="",1,NL(1,"Prod. BOM Equipment","Variable Prod. Time (Hours)","Production BOM No.",$D2066,"version code",$E2066,"Resource No.",$O$9))</t>
  </si>
  <si>
    <t>=1/Q2066</t>
  </si>
  <si>
    <t>=R2066*N2066</t>
  </si>
  <si>
    <t>=IF(K2067=0,"hide","")</t>
  </si>
  <si>
    <t>=D2066</t>
  </si>
  <si>
    <t>=NL("sum","Production Order","Quantity","Source No.",$D2067,"Equipment Code",$L2067,"due date",F$8)/-12</t>
  </si>
  <si>
    <t>=NL("sum","Production Order","Quantity","Source No.",$D2067,"Equipment Code",$L2067,"due date",G$8)/-12</t>
  </si>
  <si>
    <t>=NL("sum","Production Order","Quantity","Source No.",$D2067,"Equipment Code",$L2067,"due date",H$8)/-12</t>
  </si>
  <si>
    <t>=NL("sum","Production Order","Quantity","Source No.",$D2067,"Equipment Code",$L2067,"due date",I$8)/-12</t>
  </si>
  <si>
    <t>=NL("sum","Production Order","Quantity","Source No.",$D2067,"Equipment Code",$L2067,"due date",J$8)/$J$7</t>
  </si>
  <si>
    <t>=AVERAGE(I2067:J2067)</t>
  </si>
  <si>
    <t>=IF(K2068=0,"hide","")</t>
  </si>
  <si>
    <t>=D2067</t>
  </si>
  <si>
    <t>=NL("sum","Production Order","Quantity","Source No.",$D2068,"Equipment Code",$L2068,"due date",F$8)/-12</t>
  </si>
  <si>
    <t>=NL("sum","Production Order","Quantity","Source No.",$D2068,"Equipment Code",$L2068,"due date",G$8)/-12</t>
  </si>
  <si>
    <t>=NL("sum","Production Order","Quantity","Source No.",$D2068,"Equipment Code",$L2068,"due date",H$8)/-12</t>
  </si>
  <si>
    <t>=NL("sum","Production Order","Quantity","Source No.",$D2068,"Equipment Code",$L2068,"due date",I$8)/-12</t>
  </si>
  <si>
    <t>=NL("sum","Production Order","Quantity","Source No.",$D2068,"Equipment Code",$L2068,"due date",J$8)/$J$7</t>
  </si>
  <si>
    <t>=AVERAGE(I2068:J2068)</t>
  </si>
  <si>
    <t>=IF(K2069=0,"hide","")</t>
  </si>
  <si>
    <t>=D2068</t>
  </si>
  <si>
    <t>=NL("sum","Production Order","Quantity","Source No.",$D2069,"Equipment Code",$L2069,"due date",F$8)/-12</t>
  </si>
  <si>
    <t>=NL("sum","Production Order","Quantity","Source No.",$D2069,"Equipment Code",$L2069,"due date",G$8)/-12</t>
  </si>
  <si>
    <t>=NL("sum","Production Order","Quantity","Source No.",$D2069,"Equipment Code",$L2069,"due date",H$8)/-12</t>
  </si>
  <si>
    <t>=NL("sum","Production Order","Quantity","Source No.",$D2069,"Equipment Code",$L2069,"due date",I$8)/-12</t>
  </si>
  <si>
    <t>=NL("sum","Production Order","Quantity","Source No.",$D2069,"Equipment Code",$L2069,"due date",J$8)/$J$7</t>
  </si>
  <si>
    <t>=AVERAGE(I2069:J2069)</t>
  </si>
  <si>
    <t>=IF(K2070=0,"hide","")</t>
  </si>
  <si>
    <t>=D2069</t>
  </si>
  <si>
    <t>=NL("sum","Production Order","Quantity","Source No.",$D2070,"Equipment Code",$L2070,"due date",F$8)/-12</t>
  </si>
  <si>
    <t>=NL("sum","Production Order","Quantity","Source No.",$D2070,"Equipment Code",$L2070,"due date",G$8)/-12</t>
  </si>
  <si>
    <t>=NL("sum","Production Order","Quantity","Source No.",$D2070,"Equipment Code",$L2070,"due date",H$8)/-12</t>
  </si>
  <si>
    <t>=NL("sum","Production Order","Quantity","Source No.",$D2070,"Equipment Code",$L2070,"due date",I$8)/-12</t>
  </si>
  <si>
    <t>=NL("sum","Production Order","Quantity","Source No.",$D2070,"Equipment Code",$L2070,"due date",J$8)/$J$7</t>
  </si>
  <si>
    <t>=AVERAGE(I2070:J2070)</t>
  </si>
  <si>
    <t>=B2067</t>
  </si>
  <si>
    <t>=B2071</t>
  </si>
  <si>
    <t>=SUM(F2067:F2071)</t>
  </si>
  <si>
    <t>=SUM(G2067:G2071)</t>
  </si>
  <si>
    <t>=SUM(H2067:H2071)</t>
  </si>
  <si>
    <t>=SUM(I2067:I2071)</t>
  </si>
  <si>
    <t>=SUM(J2067:J2071)</t>
  </si>
  <si>
    <t>=IF(K2073=0,"hide","")</t>
  </si>
  <si>
    <t>="24761"</t>
  </si>
  <si>
    <t>=NL("rows","Production BOM Version","Version Code","Production BOM No.",D2073,"status","certified")</t>
  </si>
  <si>
    <t>=NL("sum","Item Ledger Entry","Quantity","Item No.",$D2073,"Entry Type","Sale|Consumption","posting date","01/01/19..12/31/19")/-12</t>
  </si>
  <si>
    <t>=NL("sum","Item Ledger Entry","Quantity","Item No.",$D2073,"Entry Type","Sale|Consumption","posting date","01/01/20..12/31/20")/-12</t>
  </si>
  <si>
    <t>=NL("sum","Item Ledger Entry","Quantity","Item No.",$D2073,"Entry Type","Sale|Consumption","posting date","01/01/21..12/31/21")/-12</t>
  </si>
  <si>
    <t>=NL("sum","Item Ledger Entry","Quantity","Item No.",$D2073,"Entry Type","Sale|Consumption","posting date","01/01/22..12/31/22")/-12</t>
  </si>
  <si>
    <t>=NL("sum","Item Ledger Entry","Quantity","Item No.",$D2073,"Entry Type","Sale|Consumption","posting date","01/01/23..12/31/23")/$J$7</t>
  </si>
  <si>
    <t>=AVERAGE(I2073:J2073)</t>
  </si>
  <si>
    <t>=NL(1,"item",L$9,"no.",D2073)</t>
  </si>
  <si>
    <t>=NL(1,"item",M$9,"no.",$D2073)</t>
  </si>
  <si>
    <t>=NL(1,"item","Units Per Parcel","no.",$D2073)</t>
  </si>
  <si>
    <t>=NL(1,"Prod. BOM Equipment","Fixed Prod. Time (Hours)","Production BOM No.",$D2073,"version code",$E2073,"Resource No.",O$9)</t>
  </si>
  <si>
    <t>=1/O2073</t>
  </si>
  <si>
    <t>=IF(NL(1,"Prod. BOM Equipment","Variable Prod. Time (Hours)","Production BOM No.",$D2073,"version code",$E2073,"Resource No.",$O$9)="",1,NL(1,"Prod. BOM Equipment","Variable Prod. Time (Hours)","Production BOM No.",$D2073,"version code",$E2073,"Resource No.",$O$9))</t>
  </si>
  <si>
    <t>=1/Q2073</t>
  </si>
  <si>
    <t>=R2073*N2073</t>
  </si>
  <si>
    <t>=IF(K2074=0,"hide","")</t>
  </si>
  <si>
    <t>=D2073</t>
  </si>
  <si>
    <t>=NL("sum","Production Order","Quantity","Source No.",$D2074,"Equipment Code",$L2074,"due date",F$8)/-12</t>
  </si>
  <si>
    <t>=NL("sum","Production Order","Quantity","Source No.",$D2074,"Equipment Code",$L2074,"due date",G$8)/-12</t>
  </si>
  <si>
    <t>=NL("sum","Production Order","Quantity","Source No.",$D2074,"Equipment Code",$L2074,"due date",H$8)/-12</t>
  </si>
  <si>
    <t>=NL("sum","Production Order","Quantity","Source No.",$D2074,"Equipment Code",$L2074,"due date",I$8)/-12</t>
  </si>
  <si>
    <t>=NL("sum","Production Order","Quantity","Source No.",$D2074,"Equipment Code",$L2074,"due date",J$8)/$J$7</t>
  </si>
  <si>
    <t>=AVERAGE(I2074:J2074)</t>
  </si>
  <si>
    <t>=IF(K2075=0,"hide","")</t>
  </si>
  <si>
    <t>=D2074</t>
  </si>
  <si>
    <t>=NL("sum","Production Order","Quantity","Source No.",$D2075,"Equipment Code",$L2075,"due date",F$8)/-12</t>
  </si>
  <si>
    <t>=NL("sum","Production Order","Quantity","Source No.",$D2075,"Equipment Code",$L2075,"due date",G$8)/-12</t>
  </si>
  <si>
    <t>=NL("sum","Production Order","Quantity","Source No.",$D2075,"Equipment Code",$L2075,"due date",H$8)/-12</t>
  </si>
  <si>
    <t>=NL("sum","Production Order","Quantity","Source No.",$D2075,"Equipment Code",$L2075,"due date",I$8)/-12</t>
  </si>
  <si>
    <t>=NL("sum","Production Order","Quantity","Source No.",$D2075,"Equipment Code",$L2075,"due date",J$8)/$J$7</t>
  </si>
  <si>
    <t>=AVERAGE(I2075:J2075)</t>
  </si>
  <si>
    <t>=IF(K2076=0,"hide","")</t>
  </si>
  <si>
    <t>=D2075</t>
  </si>
  <si>
    <t>=NL("sum","Production Order","Quantity","Source No.",$D2076,"Equipment Code",$L2076,"due date",F$8)/-12</t>
  </si>
  <si>
    <t>=NL("sum","Production Order","Quantity","Source No.",$D2076,"Equipment Code",$L2076,"due date",G$8)/-12</t>
  </si>
  <si>
    <t>=NL("sum","Production Order","Quantity","Source No.",$D2076,"Equipment Code",$L2076,"due date",H$8)/-12</t>
  </si>
  <si>
    <t>=NL("sum","Production Order","Quantity","Source No.",$D2076,"Equipment Code",$L2076,"due date",I$8)/-12</t>
  </si>
  <si>
    <t>=NL("sum","Production Order","Quantity","Source No.",$D2076,"Equipment Code",$L2076,"due date",J$8)/$J$7</t>
  </si>
  <si>
    <t>=AVERAGE(I2076:J2076)</t>
  </si>
  <si>
    <t>=IF(K2077=0,"hide","")</t>
  </si>
  <si>
    <t>=D2076</t>
  </si>
  <si>
    <t>=NL("sum","Production Order","Quantity","Source No.",$D2077,"Equipment Code",$L2077,"due date",F$8)/-12</t>
  </si>
  <si>
    <t>=NL("sum","Production Order","Quantity","Source No.",$D2077,"Equipment Code",$L2077,"due date",G$8)/-12</t>
  </si>
  <si>
    <t>=NL("sum","Production Order","Quantity","Source No.",$D2077,"Equipment Code",$L2077,"due date",H$8)/-12</t>
  </si>
  <si>
    <t>=NL("sum","Production Order","Quantity","Source No.",$D2077,"Equipment Code",$L2077,"due date",I$8)/-12</t>
  </si>
  <si>
    <t>=NL("sum","Production Order","Quantity","Source No.",$D2077,"Equipment Code",$L2077,"due date",J$8)/$J$7</t>
  </si>
  <si>
    <t>=AVERAGE(I2077:J2077)</t>
  </si>
  <si>
    <t>=B2074</t>
  </si>
  <si>
    <t>=B2078</t>
  </si>
  <si>
    <t>=SUM(F2074:F2078)</t>
  </si>
  <si>
    <t>=SUM(G2074:G2078)</t>
  </si>
  <si>
    <t>=SUM(H2074:H2078)</t>
  </si>
  <si>
    <t>=SUM(I2074:I2078)</t>
  </si>
  <si>
    <t>=SUM(J2074:J2078)</t>
  </si>
  <si>
    <t>=IF(K2080=0,"hide","")</t>
  </si>
  <si>
    <t>=NL("rows","Production BOM Version","Version Code","Production BOM No.",D2080,"status","certified")</t>
  </si>
  <si>
    <t>=NL("sum","Item Ledger Entry","Quantity","Item No.",$D2080,"Entry Type","Sale|Consumption","posting date","01/01/19..12/31/19")/-12</t>
  </si>
  <si>
    <t>=NL("sum","Item Ledger Entry","Quantity","Item No.",$D2080,"Entry Type","Sale|Consumption","posting date","01/01/20..12/31/20")/-12</t>
  </si>
  <si>
    <t>=NL("sum","Item Ledger Entry","Quantity","Item No.",$D2080,"Entry Type","Sale|Consumption","posting date","01/01/21..12/31/21")/-12</t>
  </si>
  <si>
    <t>=NL("sum","Item Ledger Entry","Quantity","Item No.",$D2080,"Entry Type","Sale|Consumption","posting date","01/01/22..12/31/22")/-12</t>
  </si>
  <si>
    <t>=NL("sum","Item Ledger Entry","Quantity","Item No.",$D2080,"Entry Type","Sale|Consumption","posting date","01/01/23..12/31/23")/$J$7</t>
  </si>
  <si>
    <t>=AVERAGE(I2080:J2080)</t>
  </si>
  <si>
    <t>=NL(1,"item",L$9,"no.",D2080)</t>
  </si>
  <si>
    <t>=NL(1,"item",M$9,"no.",$D2080)</t>
  </si>
  <si>
    <t>=NL(1,"item","Units Per Parcel","no.",$D2080)</t>
  </si>
  <si>
    <t>=NL(1,"Prod. BOM Equipment","Fixed Prod. Time (Hours)","Production BOM No.",$D2080,"version code",$E2080,"Resource No.",O$9)</t>
  </si>
  <si>
    <t>=1/O2080</t>
  </si>
  <si>
    <t>=IF(NL(1,"Prod. BOM Equipment","Variable Prod. Time (Hours)","Production BOM No.",$D2080,"version code",$E2080,"Resource No.",$O$9)="",1,NL(1,"Prod. BOM Equipment","Variable Prod. Time (Hours)","Production BOM No.",$D2080,"version code",$E2080,"Resource No.",$O$9))</t>
  </si>
  <si>
    <t>=1/Q2080</t>
  </si>
  <si>
    <t>=R2080*N2080</t>
  </si>
  <si>
    <t>=IF(K2081=0,"hide","")</t>
  </si>
  <si>
    <t>=D2080</t>
  </si>
  <si>
    <t>=NL("sum","Production Order","Quantity","Source No.",$D2081,"Equipment Code",$L2081,"due date",F$8)/-12</t>
  </si>
  <si>
    <t>=NL("sum","Production Order","Quantity","Source No.",$D2081,"Equipment Code",$L2081,"due date",G$8)/-12</t>
  </si>
  <si>
    <t>=NL("sum","Production Order","Quantity","Source No.",$D2081,"Equipment Code",$L2081,"due date",H$8)/-12</t>
  </si>
  <si>
    <t>=NL("sum","Production Order","Quantity","Source No.",$D2081,"Equipment Code",$L2081,"due date",I$8)/-12</t>
  </si>
  <si>
    <t>=NL("sum","Production Order","Quantity","Source No.",$D2081,"Equipment Code",$L2081,"due date",J$8)/$J$7</t>
  </si>
  <si>
    <t>=AVERAGE(I2081:J2081)</t>
  </si>
  <si>
    <t>=IF(K2082=0,"hide","")</t>
  </si>
  <si>
    <t>=D2081</t>
  </si>
  <si>
    <t>=NL("sum","Production Order","Quantity","Source No.",$D2082,"Equipment Code",$L2082,"due date",F$8)/-12</t>
  </si>
  <si>
    <t>=NL("sum","Production Order","Quantity","Source No.",$D2082,"Equipment Code",$L2082,"due date",G$8)/-12</t>
  </si>
  <si>
    <t>=NL("sum","Production Order","Quantity","Source No.",$D2082,"Equipment Code",$L2082,"due date",H$8)/-12</t>
  </si>
  <si>
    <t>=NL("sum","Production Order","Quantity","Source No.",$D2082,"Equipment Code",$L2082,"due date",I$8)/-12</t>
  </si>
  <si>
    <t>=NL("sum","Production Order","Quantity","Source No.",$D2082,"Equipment Code",$L2082,"due date",J$8)/$J$7</t>
  </si>
  <si>
    <t>=AVERAGE(I2082:J2082)</t>
  </si>
  <si>
    <t>=IF(K2083=0,"hide","")</t>
  </si>
  <si>
    <t>=D2082</t>
  </si>
  <si>
    <t>=NL("sum","Production Order","Quantity","Source No.",$D2083,"Equipment Code",$L2083,"due date",F$8)/-12</t>
  </si>
  <si>
    <t>=NL("sum","Production Order","Quantity","Source No.",$D2083,"Equipment Code",$L2083,"due date",G$8)/-12</t>
  </si>
  <si>
    <t>=NL("sum","Production Order","Quantity","Source No.",$D2083,"Equipment Code",$L2083,"due date",H$8)/-12</t>
  </si>
  <si>
    <t>=NL("sum","Production Order","Quantity","Source No.",$D2083,"Equipment Code",$L2083,"due date",I$8)/-12</t>
  </si>
  <si>
    <t>=NL("sum","Production Order","Quantity","Source No.",$D2083,"Equipment Code",$L2083,"due date",J$8)/$J$7</t>
  </si>
  <si>
    <t>=AVERAGE(I2083:J2083)</t>
  </si>
  <si>
    <t>=IF(K2084=0,"hide","")</t>
  </si>
  <si>
    <t>=D2083</t>
  </si>
  <si>
    <t>=NL("sum","Production Order","Quantity","Source No.",$D2084,"Equipment Code",$L2084,"due date",F$8)/-12</t>
  </si>
  <si>
    <t>=NL("sum","Production Order","Quantity","Source No.",$D2084,"Equipment Code",$L2084,"due date",G$8)/-12</t>
  </si>
  <si>
    <t>=NL("sum","Production Order","Quantity","Source No.",$D2084,"Equipment Code",$L2084,"due date",H$8)/-12</t>
  </si>
  <si>
    <t>=NL("sum","Production Order","Quantity","Source No.",$D2084,"Equipment Code",$L2084,"due date",I$8)/-12</t>
  </si>
  <si>
    <t>=NL("sum","Production Order","Quantity","Source No.",$D2084,"Equipment Code",$L2084,"due date",J$8)/$J$7</t>
  </si>
  <si>
    <t>=AVERAGE(I2084:J2084)</t>
  </si>
  <si>
    <t>=B2081</t>
  </si>
  <si>
    <t>=B2085</t>
  </si>
  <si>
    <t>=SUM(F2081:F2085)</t>
  </si>
  <si>
    <t>=SUM(G2081:G2085)</t>
  </si>
  <si>
    <t>=SUM(H2081:H2085)</t>
  </si>
  <si>
    <t>=SUM(I2081:I2085)</t>
  </si>
  <si>
    <t>=SUM(J2081:J2085)</t>
  </si>
  <si>
    <t>=IF(K2087=0,"hide","")</t>
  </si>
  <si>
    <t>="24860"</t>
  </si>
  <si>
    <t>=NL("rows","Production BOM Version","Version Code","Production BOM No.",D2087,"status","certified")</t>
  </si>
  <si>
    <t>=NL("sum","Item Ledger Entry","Quantity","Item No.",$D2087,"Entry Type","Sale|Consumption","posting date","01/01/19..12/31/19")/-12</t>
  </si>
  <si>
    <t>=NL("sum","Item Ledger Entry","Quantity","Item No.",$D2087,"Entry Type","Sale|Consumption","posting date","01/01/20..12/31/20")/-12</t>
  </si>
  <si>
    <t>=NL("sum","Item Ledger Entry","Quantity","Item No.",$D2087,"Entry Type","Sale|Consumption","posting date","01/01/21..12/31/21")/-12</t>
  </si>
  <si>
    <t>=NL("sum","Item Ledger Entry","Quantity","Item No.",$D2087,"Entry Type","Sale|Consumption","posting date","01/01/22..12/31/22")/-12</t>
  </si>
  <si>
    <t>=NL("sum","Item Ledger Entry","Quantity","Item No.",$D2087,"Entry Type","Sale|Consumption","posting date","01/01/23..12/31/23")/$J$7</t>
  </si>
  <si>
    <t>=AVERAGE(I2087:J2087)</t>
  </si>
  <si>
    <t>=NL(1,"item",L$9,"no.",D2087)</t>
  </si>
  <si>
    <t>=NL(1,"item",M$9,"no.",$D2087)</t>
  </si>
  <si>
    <t>=NL(1,"item","Units Per Parcel","no.",$D2087)</t>
  </si>
  <si>
    <t>=NL(1,"Prod. BOM Equipment","Fixed Prod. Time (Hours)","Production BOM No.",$D2087,"version code",$E2087,"Resource No.",O$9)</t>
  </si>
  <si>
    <t>=1/O2087</t>
  </si>
  <si>
    <t>=IF(NL(1,"Prod. BOM Equipment","Variable Prod. Time (Hours)","Production BOM No.",$D2087,"version code",$E2087,"Resource No.",$O$9)="",1,NL(1,"Prod. BOM Equipment","Variable Prod. Time (Hours)","Production BOM No.",$D2087,"version code",$E2087,"Resource No.",$O$9))</t>
  </si>
  <si>
    <t>=1/Q2087</t>
  </si>
  <si>
    <t>=R2087*N2087</t>
  </si>
  <si>
    <t>=IF(K2088=0,"hide","")</t>
  </si>
  <si>
    <t>=D2087</t>
  </si>
  <si>
    <t>=NL("sum","Production Order","Quantity","Source No.",$D2088,"Equipment Code",$L2088,"due date",F$8)/-12</t>
  </si>
  <si>
    <t>=NL("sum","Production Order","Quantity","Source No.",$D2088,"Equipment Code",$L2088,"due date",G$8)/-12</t>
  </si>
  <si>
    <t>=NL("sum","Production Order","Quantity","Source No.",$D2088,"Equipment Code",$L2088,"due date",H$8)/-12</t>
  </si>
  <si>
    <t>=NL("sum","Production Order","Quantity","Source No.",$D2088,"Equipment Code",$L2088,"due date",I$8)/-12</t>
  </si>
  <si>
    <t>=NL("sum","Production Order","Quantity","Source No.",$D2088,"Equipment Code",$L2088,"due date",J$8)/$J$7</t>
  </si>
  <si>
    <t>=AVERAGE(I2088:J2088)</t>
  </si>
  <si>
    <t>=IF(K2089=0,"hide","")</t>
  </si>
  <si>
    <t>=D2088</t>
  </si>
  <si>
    <t>=NL("sum","Production Order","Quantity","Source No.",$D2089,"Equipment Code",$L2089,"due date",F$8)/-12</t>
  </si>
  <si>
    <t>=NL("sum","Production Order","Quantity","Source No.",$D2089,"Equipment Code",$L2089,"due date",G$8)/-12</t>
  </si>
  <si>
    <t>=NL("sum","Production Order","Quantity","Source No.",$D2089,"Equipment Code",$L2089,"due date",H$8)/-12</t>
  </si>
  <si>
    <t>=NL("sum","Production Order","Quantity","Source No.",$D2089,"Equipment Code",$L2089,"due date",I$8)/-12</t>
  </si>
  <si>
    <t>=NL("sum","Production Order","Quantity","Source No.",$D2089,"Equipment Code",$L2089,"due date",J$8)/$J$7</t>
  </si>
  <si>
    <t>=AVERAGE(I2089:J2089)</t>
  </si>
  <si>
    <t>=IF(K2090=0,"hide","")</t>
  </si>
  <si>
    <t>=D2089</t>
  </si>
  <si>
    <t>=NL("sum","Production Order","Quantity","Source No.",$D2090,"Equipment Code",$L2090,"due date",F$8)/-12</t>
  </si>
  <si>
    <t>=NL("sum","Production Order","Quantity","Source No.",$D2090,"Equipment Code",$L2090,"due date",G$8)/-12</t>
  </si>
  <si>
    <t>=NL("sum","Production Order","Quantity","Source No.",$D2090,"Equipment Code",$L2090,"due date",H$8)/-12</t>
  </si>
  <si>
    <t>=NL("sum","Production Order","Quantity","Source No.",$D2090,"Equipment Code",$L2090,"due date",I$8)/-12</t>
  </si>
  <si>
    <t>=NL("sum","Production Order","Quantity","Source No.",$D2090,"Equipment Code",$L2090,"due date",J$8)/$J$7</t>
  </si>
  <si>
    <t>=AVERAGE(I2090:J2090)</t>
  </si>
  <si>
    <t>=IF(K2091=0,"hide","")</t>
  </si>
  <si>
    <t>=D2090</t>
  </si>
  <si>
    <t>=NL("sum","Production Order","Quantity","Source No.",$D2091,"Equipment Code",$L2091,"due date",F$8)/-12</t>
  </si>
  <si>
    <t>=NL("sum","Production Order","Quantity","Source No.",$D2091,"Equipment Code",$L2091,"due date",G$8)/-12</t>
  </si>
  <si>
    <t>=NL("sum","Production Order","Quantity","Source No.",$D2091,"Equipment Code",$L2091,"due date",H$8)/-12</t>
  </si>
  <si>
    <t>=NL("sum","Production Order","Quantity","Source No.",$D2091,"Equipment Code",$L2091,"due date",I$8)/-12</t>
  </si>
  <si>
    <t>=NL("sum","Production Order","Quantity","Source No.",$D2091,"Equipment Code",$L2091,"due date",J$8)/$J$7</t>
  </si>
  <si>
    <t>=AVERAGE(I2091:J2091)</t>
  </si>
  <si>
    <t>=B2088</t>
  </si>
  <si>
    <t>=B2092</t>
  </si>
  <si>
    <t>=SUM(F2088:F2092)</t>
  </si>
  <si>
    <t>=SUM(G2088:G2092)</t>
  </si>
  <si>
    <t>=SUM(H2088:H2092)</t>
  </si>
  <si>
    <t>=SUM(I2088:I2092)</t>
  </si>
  <si>
    <t>=SUM(J2088:J2092)</t>
  </si>
  <si>
    <t>=IF(K2094=0,"hide","")</t>
  </si>
  <si>
    <t>=NL("rows","Production BOM Version","Version Code","Production BOM No.",D2094,"status","certified")</t>
  </si>
  <si>
    <t>=NL("sum","Item Ledger Entry","Quantity","Item No.",$D2094,"Entry Type","Sale|Consumption","posting date","01/01/19..12/31/19")/-12</t>
  </si>
  <si>
    <t>=NL("sum","Item Ledger Entry","Quantity","Item No.",$D2094,"Entry Type","Sale|Consumption","posting date","01/01/20..12/31/20")/-12</t>
  </si>
  <si>
    <t>=NL("sum","Item Ledger Entry","Quantity","Item No.",$D2094,"Entry Type","Sale|Consumption","posting date","01/01/21..12/31/21")/-12</t>
  </si>
  <si>
    <t>=NL("sum","Item Ledger Entry","Quantity","Item No.",$D2094,"Entry Type","Sale|Consumption","posting date","01/01/22..12/31/22")/-12</t>
  </si>
  <si>
    <t>=NL("sum","Item Ledger Entry","Quantity","Item No.",$D2094,"Entry Type","Sale|Consumption","posting date","01/01/23..12/31/23")/$J$7</t>
  </si>
  <si>
    <t>=AVERAGE(I2094:J2094)</t>
  </si>
  <si>
    <t>=NL(1,"item",L$9,"no.",D2094)</t>
  </si>
  <si>
    <t>=NL(1,"item",M$9,"no.",$D2094)</t>
  </si>
  <si>
    <t>=NL(1,"item","Units Per Parcel","no.",$D2094)</t>
  </si>
  <si>
    <t>=NL(1,"Prod. BOM Equipment","Fixed Prod. Time (Hours)","Production BOM No.",$D2094,"version code",$E2094,"Resource No.",O$9)</t>
  </si>
  <si>
    <t>=1/O2094</t>
  </si>
  <si>
    <t>=IF(NL(1,"Prod. BOM Equipment","Variable Prod. Time (Hours)","Production BOM No.",$D2094,"version code",$E2094,"Resource No.",$O$9)="",1,NL(1,"Prod. BOM Equipment","Variable Prod. Time (Hours)","Production BOM No.",$D2094,"version code",$E2094,"Resource No.",$O$9))</t>
  </si>
  <si>
    <t>=1/Q2094</t>
  </si>
  <si>
    <t>=R2094*N2094</t>
  </si>
  <si>
    <t>=IF(K2095=0,"hide","")</t>
  </si>
  <si>
    <t>=D2094</t>
  </si>
  <si>
    <t>=NL("sum","Production Order","Quantity","Source No.",$D2095,"Equipment Code",$L2095,"due date",F$8)/-12</t>
  </si>
  <si>
    <t>=NL("sum","Production Order","Quantity","Source No.",$D2095,"Equipment Code",$L2095,"due date",G$8)/-12</t>
  </si>
  <si>
    <t>=NL("sum","Production Order","Quantity","Source No.",$D2095,"Equipment Code",$L2095,"due date",H$8)/-12</t>
  </si>
  <si>
    <t>=NL("sum","Production Order","Quantity","Source No.",$D2095,"Equipment Code",$L2095,"due date",I$8)/-12</t>
  </si>
  <si>
    <t>=NL("sum","Production Order","Quantity","Source No.",$D2095,"Equipment Code",$L2095,"due date",J$8)/$J$7</t>
  </si>
  <si>
    <t>=AVERAGE(I2095:J2095)</t>
  </si>
  <si>
    <t>=IF(K2096=0,"hide","")</t>
  </si>
  <si>
    <t>=D2095</t>
  </si>
  <si>
    <t>=NL("sum","Production Order","Quantity","Source No.",$D2096,"Equipment Code",$L2096,"due date",F$8)/-12</t>
  </si>
  <si>
    <t>=NL("sum","Production Order","Quantity","Source No.",$D2096,"Equipment Code",$L2096,"due date",G$8)/-12</t>
  </si>
  <si>
    <t>=NL("sum","Production Order","Quantity","Source No.",$D2096,"Equipment Code",$L2096,"due date",H$8)/-12</t>
  </si>
  <si>
    <t>=NL("sum","Production Order","Quantity","Source No.",$D2096,"Equipment Code",$L2096,"due date",I$8)/-12</t>
  </si>
  <si>
    <t>=NL("sum","Production Order","Quantity","Source No.",$D2096,"Equipment Code",$L2096,"due date",J$8)/$J$7</t>
  </si>
  <si>
    <t>=AVERAGE(I2096:J2096)</t>
  </si>
  <si>
    <t>=IF(K2097=0,"hide","")</t>
  </si>
  <si>
    <t>=D2096</t>
  </si>
  <si>
    <t>=NL("sum","Production Order","Quantity","Source No.",$D2097,"Equipment Code",$L2097,"due date",F$8)/-12</t>
  </si>
  <si>
    <t>=NL("sum","Production Order","Quantity","Source No.",$D2097,"Equipment Code",$L2097,"due date",G$8)/-12</t>
  </si>
  <si>
    <t>=NL("sum","Production Order","Quantity","Source No.",$D2097,"Equipment Code",$L2097,"due date",H$8)/-12</t>
  </si>
  <si>
    <t>=NL("sum","Production Order","Quantity","Source No.",$D2097,"Equipment Code",$L2097,"due date",I$8)/-12</t>
  </si>
  <si>
    <t>=NL("sum","Production Order","Quantity","Source No.",$D2097,"Equipment Code",$L2097,"due date",J$8)/$J$7</t>
  </si>
  <si>
    <t>=AVERAGE(I2097:J2097)</t>
  </si>
  <si>
    <t>=IF(K2098=0,"hide","")</t>
  </si>
  <si>
    <t>=D2097</t>
  </si>
  <si>
    <t>=NL("sum","Production Order","Quantity","Source No.",$D2098,"Equipment Code",$L2098,"due date",F$8)/-12</t>
  </si>
  <si>
    <t>=NL("sum","Production Order","Quantity","Source No.",$D2098,"Equipment Code",$L2098,"due date",G$8)/-12</t>
  </si>
  <si>
    <t>=NL("sum","Production Order","Quantity","Source No.",$D2098,"Equipment Code",$L2098,"due date",H$8)/-12</t>
  </si>
  <si>
    <t>=NL("sum","Production Order","Quantity","Source No.",$D2098,"Equipment Code",$L2098,"due date",I$8)/-12</t>
  </si>
  <si>
    <t>=NL("sum","Production Order","Quantity","Source No.",$D2098,"Equipment Code",$L2098,"due date",J$8)/$J$7</t>
  </si>
  <si>
    <t>=AVERAGE(I2098:J2098)</t>
  </si>
  <si>
    <t>=B2095</t>
  </si>
  <si>
    <t>=B2099</t>
  </si>
  <si>
    <t>=SUM(F2095:F2099)</t>
  </si>
  <si>
    <t>=SUM(G2095:G2099)</t>
  </si>
  <si>
    <t>=SUM(H2095:H2099)</t>
  </si>
  <si>
    <t>=SUM(I2095:I2099)</t>
  </si>
  <si>
    <t>=SUM(J2095:J2099)</t>
  </si>
  <si>
    <t>=IF(K2101=0,"hide","")</t>
  </si>
  <si>
    <t>=NL("rows","Production BOM Version","Version Code","Production BOM No.",D2101,"status","certified")</t>
  </si>
  <si>
    <t>=NL("sum","Item Ledger Entry","Quantity","Item No.",$D2101,"Entry Type","Sale|Consumption","posting date","01/01/19..12/31/19")/-12</t>
  </si>
  <si>
    <t>=NL("sum","Item Ledger Entry","Quantity","Item No.",$D2101,"Entry Type","Sale|Consumption","posting date","01/01/20..12/31/20")/-12</t>
  </si>
  <si>
    <t>=NL("sum","Item Ledger Entry","Quantity","Item No.",$D2101,"Entry Type","Sale|Consumption","posting date","01/01/21..12/31/21")/-12</t>
  </si>
  <si>
    <t>=NL("sum","Item Ledger Entry","Quantity","Item No.",$D2101,"Entry Type","Sale|Consumption","posting date","01/01/22..12/31/22")/-12</t>
  </si>
  <si>
    <t>=NL("sum","Item Ledger Entry","Quantity","Item No.",$D2101,"Entry Type","Sale|Consumption","posting date","01/01/23..12/31/23")/$J$7</t>
  </si>
  <si>
    <t>=AVERAGE(I2101:J2101)</t>
  </si>
  <si>
    <t>=NL(1,"item",L$9,"no.",D2101)</t>
  </si>
  <si>
    <t>=NL(1,"item",M$9,"no.",$D2101)</t>
  </si>
  <si>
    <t>=NL(1,"item","Units Per Parcel","no.",$D2101)</t>
  </si>
  <si>
    <t>=NL(1,"Prod. BOM Equipment","Fixed Prod. Time (Hours)","Production BOM No.",$D2101,"version code",$E2101,"Resource No.",O$9)</t>
  </si>
  <si>
    <t>=1/O2101</t>
  </si>
  <si>
    <t>=IF(NL(1,"Prod. BOM Equipment","Variable Prod. Time (Hours)","Production BOM No.",$D2101,"version code",$E2101,"Resource No.",$O$9)="",1,NL(1,"Prod. BOM Equipment","Variable Prod. Time (Hours)","Production BOM No.",$D2101,"version code",$E2101,"Resource No.",$O$9))</t>
  </si>
  <si>
    <t>=1/Q2101</t>
  </si>
  <si>
    <t>=R2101*N2101</t>
  </si>
  <si>
    <t>=IF(K2102=0,"hide","")</t>
  </si>
  <si>
    <t>=D2101</t>
  </si>
  <si>
    <t>=NL("sum","Production Order","Quantity","Source No.",$D2102,"Equipment Code",$L2102,"due date",F$8)/-12</t>
  </si>
  <si>
    <t>=NL("sum","Production Order","Quantity","Source No.",$D2102,"Equipment Code",$L2102,"due date",G$8)/-12</t>
  </si>
  <si>
    <t>=NL("sum","Production Order","Quantity","Source No.",$D2102,"Equipment Code",$L2102,"due date",H$8)/-12</t>
  </si>
  <si>
    <t>=NL("sum","Production Order","Quantity","Source No.",$D2102,"Equipment Code",$L2102,"due date",I$8)/-12</t>
  </si>
  <si>
    <t>=NL("sum","Production Order","Quantity","Source No.",$D2102,"Equipment Code",$L2102,"due date",J$8)/$J$7</t>
  </si>
  <si>
    <t>=AVERAGE(I2102:J2102)</t>
  </si>
  <si>
    <t>=IF(K2103=0,"hide","")</t>
  </si>
  <si>
    <t>=D2102</t>
  </si>
  <si>
    <t>=NL("sum","Production Order","Quantity","Source No.",$D2103,"Equipment Code",$L2103,"due date",F$8)/-12</t>
  </si>
  <si>
    <t>=NL("sum","Production Order","Quantity","Source No.",$D2103,"Equipment Code",$L2103,"due date",G$8)/-12</t>
  </si>
  <si>
    <t>=NL("sum","Production Order","Quantity","Source No.",$D2103,"Equipment Code",$L2103,"due date",H$8)/-12</t>
  </si>
  <si>
    <t>=NL("sum","Production Order","Quantity","Source No.",$D2103,"Equipment Code",$L2103,"due date",I$8)/-12</t>
  </si>
  <si>
    <t>=NL("sum","Production Order","Quantity","Source No.",$D2103,"Equipment Code",$L2103,"due date",J$8)/$J$7</t>
  </si>
  <si>
    <t>=AVERAGE(I2103:J2103)</t>
  </si>
  <si>
    <t>=IF(K2104=0,"hide","")</t>
  </si>
  <si>
    <t>=D2103</t>
  </si>
  <si>
    <t>=NL("sum","Production Order","Quantity","Source No.",$D2104,"Equipment Code",$L2104,"due date",F$8)/-12</t>
  </si>
  <si>
    <t>=NL("sum","Production Order","Quantity","Source No.",$D2104,"Equipment Code",$L2104,"due date",G$8)/-12</t>
  </si>
  <si>
    <t>=NL("sum","Production Order","Quantity","Source No.",$D2104,"Equipment Code",$L2104,"due date",H$8)/-12</t>
  </si>
  <si>
    <t>=NL("sum","Production Order","Quantity","Source No.",$D2104,"Equipment Code",$L2104,"due date",I$8)/-12</t>
  </si>
  <si>
    <t>=NL("sum","Production Order","Quantity","Source No.",$D2104,"Equipment Code",$L2104,"due date",J$8)/$J$7</t>
  </si>
  <si>
    <t>=AVERAGE(I2104:J2104)</t>
  </si>
  <si>
    <t>=IF(K2105=0,"hide","")</t>
  </si>
  <si>
    <t>=D2104</t>
  </si>
  <si>
    <t>=NL("sum","Production Order","Quantity","Source No.",$D2105,"Equipment Code",$L2105,"due date",F$8)/-12</t>
  </si>
  <si>
    <t>=NL("sum","Production Order","Quantity","Source No.",$D2105,"Equipment Code",$L2105,"due date",G$8)/-12</t>
  </si>
  <si>
    <t>=NL("sum","Production Order","Quantity","Source No.",$D2105,"Equipment Code",$L2105,"due date",H$8)/-12</t>
  </si>
  <si>
    <t>=NL("sum","Production Order","Quantity","Source No.",$D2105,"Equipment Code",$L2105,"due date",I$8)/-12</t>
  </si>
  <si>
    <t>=NL("sum","Production Order","Quantity","Source No.",$D2105,"Equipment Code",$L2105,"due date",J$8)/$J$7</t>
  </si>
  <si>
    <t>=AVERAGE(I2105:J2105)</t>
  </si>
  <si>
    <t>=B2102</t>
  </si>
  <si>
    <t>=B2106</t>
  </si>
  <si>
    <t>=SUM(F2102:F2106)</t>
  </si>
  <si>
    <t>=SUM(G2102:G2106)</t>
  </si>
  <si>
    <t>=SUM(H2102:H2106)</t>
  </si>
  <si>
    <t>=SUM(I2102:I2106)</t>
  </si>
  <si>
    <t>=SUM(J2102:J2106)</t>
  </si>
  <si>
    <t>=IF(K2108=0,"hide","")</t>
  </si>
  <si>
    <t>=NL("rows","Production BOM Version","Version Code","Production BOM No.",D2108,"status","certified")</t>
  </si>
  <si>
    <t>=NL("sum","Item Ledger Entry","Quantity","Item No.",$D2108,"Entry Type","Sale|Consumption","posting date","01/01/19..12/31/19")/-12</t>
  </si>
  <si>
    <t>=NL("sum","Item Ledger Entry","Quantity","Item No.",$D2108,"Entry Type","Sale|Consumption","posting date","01/01/20..12/31/20")/-12</t>
  </si>
  <si>
    <t>=NL("sum","Item Ledger Entry","Quantity","Item No.",$D2108,"Entry Type","Sale|Consumption","posting date","01/01/21..12/31/21")/-12</t>
  </si>
  <si>
    <t>=NL("sum","Item Ledger Entry","Quantity","Item No.",$D2108,"Entry Type","Sale|Consumption","posting date","01/01/22..12/31/22")/-12</t>
  </si>
  <si>
    <t>=NL("sum","Item Ledger Entry","Quantity","Item No.",$D2108,"Entry Type","Sale|Consumption","posting date","01/01/23..12/31/23")/$J$7</t>
  </si>
  <si>
    <t>=AVERAGE(I2108:J2108)</t>
  </si>
  <si>
    <t>=NL(1,"item",L$9,"no.",D2108)</t>
  </si>
  <si>
    <t>=NL(1,"item",M$9,"no.",$D2108)</t>
  </si>
  <si>
    <t>=NL(1,"item","Units Per Parcel","no.",$D2108)</t>
  </si>
  <si>
    <t>=NL(1,"Prod. BOM Equipment","Fixed Prod. Time (Hours)","Production BOM No.",$D2108,"version code",$E2108,"Resource No.",O$9)</t>
  </si>
  <si>
    <t>=1/O2108</t>
  </si>
  <si>
    <t>=IF(NL(1,"Prod. BOM Equipment","Variable Prod. Time (Hours)","Production BOM No.",$D2108,"version code",$E2108,"Resource No.",$O$9)="",1,NL(1,"Prod. BOM Equipment","Variable Prod. Time (Hours)","Production BOM No.",$D2108,"version code",$E2108,"Resource No.",$O$9))</t>
  </si>
  <si>
    <t>=1/Q2108</t>
  </si>
  <si>
    <t>=R2108*N2108</t>
  </si>
  <si>
    <t>=IF(K2109=0,"hide","")</t>
  </si>
  <si>
    <t>=D2108</t>
  </si>
  <si>
    <t>=NL("sum","Production Order","Quantity","Source No.",$D2109,"Equipment Code",$L2109,"due date",F$8)/-12</t>
  </si>
  <si>
    <t>=NL("sum","Production Order","Quantity","Source No.",$D2109,"Equipment Code",$L2109,"due date",G$8)/-12</t>
  </si>
  <si>
    <t>=NL("sum","Production Order","Quantity","Source No.",$D2109,"Equipment Code",$L2109,"due date",H$8)/-12</t>
  </si>
  <si>
    <t>=NL("sum","Production Order","Quantity","Source No.",$D2109,"Equipment Code",$L2109,"due date",I$8)/-12</t>
  </si>
  <si>
    <t>=NL("sum","Production Order","Quantity","Source No.",$D2109,"Equipment Code",$L2109,"due date",J$8)/$J$7</t>
  </si>
  <si>
    <t>=AVERAGE(I2109:J2109)</t>
  </si>
  <si>
    <t>=IF(K2110=0,"hide","")</t>
  </si>
  <si>
    <t>=D2109</t>
  </si>
  <si>
    <t>=NL("sum","Production Order","Quantity","Source No.",$D2110,"Equipment Code",$L2110,"due date",F$8)/-12</t>
  </si>
  <si>
    <t>=NL("sum","Production Order","Quantity","Source No.",$D2110,"Equipment Code",$L2110,"due date",G$8)/-12</t>
  </si>
  <si>
    <t>=NL("sum","Production Order","Quantity","Source No.",$D2110,"Equipment Code",$L2110,"due date",H$8)/-12</t>
  </si>
  <si>
    <t>=NL("sum","Production Order","Quantity","Source No.",$D2110,"Equipment Code",$L2110,"due date",I$8)/-12</t>
  </si>
  <si>
    <t>=NL("sum","Production Order","Quantity","Source No.",$D2110,"Equipment Code",$L2110,"due date",J$8)/$J$7</t>
  </si>
  <si>
    <t>=AVERAGE(I2110:J2110)</t>
  </si>
  <si>
    <t>=IF(K2111=0,"hide","")</t>
  </si>
  <si>
    <t>=D2110</t>
  </si>
  <si>
    <t>=NL("sum","Production Order","Quantity","Source No.",$D2111,"Equipment Code",$L2111,"due date",F$8)/-12</t>
  </si>
  <si>
    <t>=NL("sum","Production Order","Quantity","Source No.",$D2111,"Equipment Code",$L2111,"due date",G$8)/-12</t>
  </si>
  <si>
    <t>=NL("sum","Production Order","Quantity","Source No.",$D2111,"Equipment Code",$L2111,"due date",H$8)/-12</t>
  </si>
  <si>
    <t>=NL("sum","Production Order","Quantity","Source No.",$D2111,"Equipment Code",$L2111,"due date",I$8)/-12</t>
  </si>
  <si>
    <t>=NL("sum","Production Order","Quantity","Source No.",$D2111,"Equipment Code",$L2111,"due date",J$8)/$J$7</t>
  </si>
  <si>
    <t>=AVERAGE(I2111:J2111)</t>
  </si>
  <si>
    <t>=IF(K2112=0,"hide","")</t>
  </si>
  <si>
    <t>=D2111</t>
  </si>
  <si>
    <t>=NL("sum","Production Order","Quantity","Source No.",$D2112,"Equipment Code",$L2112,"due date",F$8)/-12</t>
  </si>
  <si>
    <t>=NL("sum","Production Order","Quantity","Source No.",$D2112,"Equipment Code",$L2112,"due date",G$8)/-12</t>
  </si>
  <si>
    <t>=NL("sum","Production Order","Quantity","Source No.",$D2112,"Equipment Code",$L2112,"due date",H$8)/-12</t>
  </si>
  <si>
    <t>=NL("sum","Production Order","Quantity","Source No.",$D2112,"Equipment Code",$L2112,"due date",I$8)/-12</t>
  </si>
  <si>
    <t>=NL("sum","Production Order","Quantity","Source No.",$D2112,"Equipment Code",$L2112,"due date",J$8)/$J$7</t>
  </si>
  <si>
    <t>=AVERAGE(I2112:J2112)</t>
  </si>
  <si>
    <t>=B2109</t>
  </si>
  <si>
    <t>=B2113</t>
  </si>
  <si>
    <t>=SUM(F2109:F2113)</t>
  </si>
  <si>
    <t>=SUM(G2109:G2113)</t>
  </si>
  <si>
    <t>=SUM(H2109:H2113)</t>
  </si>
  <si>
    <t>=SUM(I2109:I2113)</t>
  </si>
  <si>
    <t>=SUM(J2109:J2113)</t>
  </si>
  <si>
    <t>=IF(K2115=0,"hide","")</t>
  </si>
  <si>
    <t>="24949"</t>
  </si>
  <si>
    <t>=NL("rows","Production BOM Version","Version Code","Production BOM No.",D2115,"status","certified")</t>
  </si>
  <si>
    <t>=NL("sum","Item Ledger Entry","Quantity","Item No.",$D2115,"Entry Type","Sale|Consumption","posting date","01/01/19..12/31/19")/-12</t>
  </si>
  <si>
    <t>=NL("sum","Item Ledger Entry","Quantity","Item No.",$D2115,"Entry Type","Sale|Consumption","posting date","01/01/20..12/31/20")/-12</t>
  </si>
  <si>
    <t>=NL("sum","Item Ledger Entry","Quantity","Item No.",$D2115,"Entry Type","Sale|Consumption","posting date","01/01/21..12/31/21")/-12</t>
  </si>
  <si>
    <t>=NL("sum","Item Ledger Entry","Quantity","Item No.",$D2115,"Entry Type","Sale|Consumption","posting date","01/01/22..12/31/22")/-12</t>
  </si>
  <si>
    <t>=NL("sum","Item Ledger Entry","Quantity","Item No.",$D2115,"Entry Type","Sale|Consumption","posting date","01/01/23..12/31/23")/$J$7</t>
  </si>
  <si>
    <t>=AVERAGE(I2115:J2115)</t>
  </si>
  <si>
    <t>=NL(1,"item",L$9,"no.",D2115)</t>
  </si>
  <si>
    <t>=NL(1,"item",M$9,"no.",$D2115)</t>
  </si>
  <si>
    <t>=NL(1,"item","Units Per Parcel","no.",$D2115)</t>
  </si>
  <si>
    <t>=NL(1,"Prod. BOM Equipment","Fixed Prod. Time (Hours)","Production BOM No.",$D2115,"version code",$E2115,"Resource No.",O$9)</t>
  </si>
  <si>
    <t>=1/O2115</t>
  </si>
  <si>
    <t>=IF(NL(1,"Prod. BOM Equipment","Variable Prod. Time (Hours)","Production BOM No.",$D2115,"version code",$E2115,"Resource No.",$O$9)="",1,NL(1,"Prod. BOM Equipment","Variable Prod. Time (Hours)","Production BOM No.",$D2115,"version code",$E2115,"Resource No.",$O$9))</t>
  </si>
  <si>
    <t>=1/Q2115</t>
  </si>
  <si>
    <t>=R2115*N2115</t>
  </si>
  <si>
    <t>=IF(K2116=0,"hide","")</t>
  </si>
  <si>
    <t>=D2115</t>
  </si>
  <si>
    <t>=NL("sum","Production Order","Quantity","Source No.",$D2116,"Equipment Code",$L2116,"due date",F$8)/-12</t>
  </si>
  <si>
    <t>=NL("sum","Production Order","Quantity","Source No.",$D2116,"Equipment Code",$L2116,"due date",G$8)/-12</t>
  </si>
  <si>
    <t>=NL("sum","Production Order","Quantity","Source No.",$D2116,"Equipment Code",$L2116,"due date",H$8)/-12</t>
  </si>
  <si>
    <t>=NL("sum","Production Order","Quantity","Source No.",$D2116,"Equipment Code",$L2116,"due date",I$8)/-12</t>
  </si>
  <si>
    <t>=NL("sum","Production Order","Quantity","Source No.",$D2116,"Equipment Code",$L2116,"due date",J$8)/$J$7</t>
  </si>
  <si>
    <t>=AVERAGE(I2116:J2116)</t>
  </si>
  <si>
    <t>=IF(K2117=0,"hide","")</t>
  </si>
  <si>
    <t>=D2116</t>
  </si>
  <si>
    <t>=NL("sum","Production Order","Quantity","Source No.",$D2117,"Equipment Code",$L2117,"due date",F$8)/-12</t>
  </si>
  <si>
    <t>=NL("sum","Production Order","Quantity","Source No.",$D2117,"Equipment Code",$L2117,"due date",G$8)/-12</t>
  </si>
  <si>
    <t>=NL("sum","Production Order","Quantity","Source No.",$D2117,"Equipment Code",$L2117,"due date",H$8)/-12</t>
  </si>
  <si>
    <t>=NL("sum","Production Order","Quantity","Source No.",$D2117,"Equipment Code",$L2117,"due date",I$8)/-12</t>
  </si>
  <si>
    <t>=NL("sum","Production Order","Quantity","Source No.",$D2117,"Equipment Code",$L2117,"due date",J$8)/$J$7</t>
  </si>
  <si>
    <t>=AVERAGE(I2117:J2117)</t>
  </si>
  <si>
    <t>=IF(K2118=0,"hide","")</t>
  </si>
  <si>
    <t>=D2117</t>
  </si>
  <si>
    <t>=NL("sum","Production Order","Quantity","Source No.",$D2118,"Equipment Code",$L2118,"due date",F$8)/-12</t>
  </si>
  <si>
    <t>=NL("sum","Production Order","Quantity","Source No.",$D2118,"Equipment Code",$L2118,"due date",G$8)/-12</t>
  </si>
  <si>
    <t>=NL("sum","Production Order","Quantity","Source No.",$D2118,"Equipment Code",$L2118,"due date",H$8)/-12</t>
  </si>
  <si>
    <t>=NL("sum","Production Order","Quantity","Source No.",$D2118,"Equipment Code",$L2118,"due date",I$8)/-12</t>
  </si>
  <si>
    <t>=NL("sum","Production Order","Quantity","Source No.",$D2118,"Equipment Code",$L2118,"due date",J$8)/$J$7</t>
  </si>
  <si>
    <t>=AVERAGE(I2118:J2118)</t>
  </si>
  <si>
    <t>=IF(K2119=0,"hide","")</t>
  </si>
  <si>
    <t>=D2118</t>
  </si>
  <si>
    <t>=NL("sum","Production Order","Quantity","Source No.",$D2119,"Equipment Code",$L2119,"due date",F$8)/-12</t>
  </si>
  <si>
    <t>=NL("sum","Production Order","Quantity","Source No.",$D2119,"Equipment Code",$L2119,"due date",G$8)/-12</t>
  </si>
  <si>
    <t>=NL("sum","Production Order","Quantity","Source No.",$D2119,"Equipment Code",$L2119,"due date",H$8)/-12</t>
  </si>
  <si>
    <t>=NL("sum","Production Order","Quantity","Source No.",$D2119,"Equipment Code",$L2119,"due date",I$8)/-12</t>
  </si>
  <si>
    <t>=NL("sum","Production Order","Quantity","Source No.",$D2119,"Equipment Code",$L2119,"due date",J$8)/$J$7</t>
  </si>
  <si>
    <t>=AVERAGE(I2119:J2119)</t>
  </si>
  <si>
    <t>=B2116</t>
  </si>
  <si>
    <t>=B2120</t>
  </si>
  <si>
    <t>=SUM(F2116:F2120)</t>
  </si>
  <si>
    <t>=SUM(G2116:G2120)</t>
  </si>
  <si>
    <t>=SUM(H2116:H2120)</t>
  </si>
  <si>
    <t>=SUM(I2116:I2120)</t>
  </si>
  <si>
    <t>=SUM(J2116:J2120)</t>
  </si>
  <si>
    <t>=IF(K2122=0,"hide","")</t>
  </si>
  <si>
    <t>=NL("rows","Production BOM Version","Version Code","Production BOM No.",D2122,"status","certified")</t>
  </si>
  <si>
    <t>=NL("sum","Item Ledger Entry","Quantity","Item No.",$D2122,"Entry Type","Sale|Consumption","posting date","01/01/19..12/31/19")/-12</t>
  </si>
  <si>
    <t>=NL("sum","Item Ledger Entry","Quantity","Item No.",$D2122,"Entry Type","Sale|Consumption","posting date","01/01/20..12/31/20")/-12</t>
  </si>
  <si>
    <t>=NL("sum","Item Ledger Entry","Quantity","Item No.",$D2122,"Entry Type","Sale|Consumption","posting date","01/01/21..12/31/21")/-12</t>
  </si>
  <si>
    <t>=NL("sum","Item Ledger Entry","Quantity","Item No.",$D2122,"Entry Type","Sale|Consumption","posting date","01/01/22..12/31/22")/-12</t>
  </si>
  <si>
    <t>=NL("sum","Item Ledger Entry","Quantity","Item No.",$D2122,"Entry Type","Sale|Consumption","posting date","01/01/23..12/31/23")/$J$7</t>
  </si>
  <si>
    <t>=AVERAGE(I2122:J2122)</t>
  </si>
  <si>
    <t>=NL(1,"item",L$9,"no.",D2122)</t>
  </si>
  <si>
    <t>=NL(1,"item",M$9,"no.",$D2122)</t>
  </si>
  <si>
    <t>=NL(1,"item","Units Per Parcel","no.",$D2122)</t>
  </si>
  <si>
    <t>=NL(1,"Prod. BOM Equipment","Fixed Prod. Time (Hours)","Production BOM No.",$D2122,"version code",$E2122,"Resource No.",O$9)</t>
  </si>
  <si>
    <t>=1/O2122</t>
  </si>
  <si>
    <t>=IF(NL(1,"Prod. BOM Equipment","Variable Prod. Time (Hours)","Production BOM No.",$D2122,"version code",$E2122,"Resource No.",$O$9)="",1,NL(1,"Prod. BOM Equipment","Variable Prod. Time (Hours)","Production BOM No.",$D2122,"version code",$E2122,"Resource No.",$O$9))</t>
  </si>
  <si>
    <t>=1/Q2122</t>
  </si>
  <si>
    <t>=R2122*N2122</t>
  </si>
  <si>
    <t>=IF(K2123=0,"hide","")</t>
  </si>
  <si>
    <t>=D2122</t>
  </si>
  <si>
    <t>=NL("sum","Production Order","Quantity","Source No.",$D2123,"Equipment Code",$L2123,"due date",F$8)/-12</t>
  </si>
  <si>
    <t>=NL("sum","Production Order","Quantity","Source No.",$D2123,"Equipment Code",$L2123,"due date",G$8)/-12</t>
  </si>
  <si>
    <t>=NL("sum","Production Order","Quantity","Source No.",$D2123,"Equipment Code",$L2123,"due date",H$8)/-12</t>
  </si>
  <si>
    <t>=NL("sum","Production Order","Quantity","Source No.",$D2123,"Equipment Code",$L2123,"due date",I$8)/-12</t>
  </si>
  <si>
    <t>=NL("sum","Production Order","Quantity","Source No.",$D2123,"Equipment Code",$L2123,"due date",J$8)/$J$7</t>
  </si>
  <si>
    <t>=AVERAGE(I2123:J2123)</t>
  </si>
  <si>
    <t>=IF(K2124=0,"hide","")</t>
  </si>
  <si>
    <t>=D2123</t>
  </si>
  <si>
    <t>=NL("sum","Production Order","Quantity","Source No.",$D2124,"Equipment Code",$L2124,"due date",F$8)/-12</t>
  </si>
  <si>
    <t>=NL("sum","Production Order","Quantity","Source No.",$D2124,"Equipment Code",$L2124,"due date",G$8)/-12</t>
  </si>
  <si>
    <t>=NL("sum","Production Order","Quantity","Source No.",$D2124,"Equipment Code",$L2124,"due date",H$8)/-12</t>
  </si>
  <si>
    <t>=NL("sum","Production Order","Quantity","Source No.",$D2124,"Equipment Code",$L2124,"due date",I$8)/-12</t>
  </si>
  <si>
    <t>=NL("sum","Production Order","Quantity","Source No.",$D2124,"Equipment Code",$L2124,"due date",J$8)/$J$7</t>
  </si>
  <si>
    <t>=AVERAGE(I2124:J2124)</t>
  </si>
  <si>
    <t>=IF(K2125=0,"hide","")</t>
  </si>
  <si>
    <t>=D2124</t>
  </si>
  <si>
    <t>=NL("sum","Production Order","Quantity","Source No.",$D2125,"Equipment Code",$L2125,"due date",F$8)/-12</t>
  </si>
  <si>
    <t>=NL("sum","Production Order","Quantity","Source No.",$D2125,"Equipment Code",$L2125,"due date",G$8)/-12</t>
  </si>
  <si>
    <t>=NL("sum","Production Order","Quantity","Source No.",$D2125,"Equipment Code",$L2125,"due date",H$8)/-12</t>
  </si>
  <si>
    <t>=NL("sum","Production Order","Quantity","Source No.",$D2125,"Equipment Code",$L2125,"due date",I$8)/-12</t>
  </si>
  <si>
    <t>=NL("sum","Production Order","Quantity","Source No.",$D2125,"Equipment Code",$L2125,"due date",J$8)/$J$7</t>
  </si>
  <si>
    <t>=AVERAGE(I2125:J2125)</t>
  </si>
  <si>
    <t>=IF(K2126=0,"hide","")</t>
  </si>
  <si>
    <t>=D2125</t>
  </si>
  <si>
    <t>=NL("sum","Production Order","Quantity","Source No.",$D2126,"Equipment Code",$L2126,"due date",F$8)/-12</t>
  </si>
  <si>
    <t>=NL("sum","Production Order","Quantity","Source No.",$D2126,"Equipment Code",$L2126,"due date",G$8)/-12</t>
  </si>
  <si>
    <t>=NL("sum","Production Order","Quantity","Source No.",$D2126,"Equipment Code",$L2126,"due date",H$8)/-12</t>
  </si>
  <si>
    <t>=NL("sum","Production Order","Quantity","Source No.",$D2126,"Equipment Code",$L2126,"due date",I$8)/-12</t>
  </si>
  <si>
    <t>=NL("sum","Production Order","Quantity","Source No.",$D2126,"Equipment Code",$L2126,"due date",J$8)/$J$7</t>
  </si>
  <si>
    <t>=AVERAGE(I2126:J2126)</t>
  </si>
  <si>
    <t>=B2123</t>
  </si>
  <si>
    <t>=B2127</t>
  </si>
  <si>
    <t>=SUM(F2123:F2127)</t>
  </si>
  <si>
    <t>=SUM(G2123:G2127)</t>
  </si>
  <si>
    <t>=SUM(H2123:H2127)</t>
  </si>
  <si>
    <t>=SUM(I2123:I2127)</t>
  </si>
  <si>
    <t>=SUM(J2123:J2127)</t>
  </si>
  <si>
    <t>=IF(K2129=0,"hide","")</t>
  </si>
  <si>
    <t>=NL("rows","Production BOM Version","Version Code","Production BOM No.",D2129,"status","certified")</t>
  </si>
  <si>
    <t>=NL("sum","Item Ledger Entry","Quantity","Item No.",$D2129,"Entry Type","Sale|Consumption","posting date","01/01/19..12/31/19")/-12</t>
  </si>
  <si>
    <t>=NL("sum","Item Ledger Entry","Quantity","Item No.",$D2129,"Entry Type","Sale|Consumption","posting date","01/01/20..12/31/20")/-12</t>
  </si>
  <si>
    <t>=NL("sum","Item Ledger Entry","Quantity","Item No.",$D2129,"Entry Type","Sale|Consumption","posting date","01/01/21..12/31/21")/-12</t>
  </si>
  <si>
    <t>=NL("sum","Item Ledger Entry","Quantity","Item No.",$D2129,"Entry Type","Sale|Consumption","posting date","01/01/22..12/31/22")/-12</t>
  </si>
  <si>
    <t>=NL("sum","Item Ledger Entry","Quantity","Item No.",$D2129,"Entry Type","Sale|Consumption","posting date","01/01/23..12/31/23")/$J$7</t>
  </si>
  <si>
    <t>=AVERAGE(I2129:J2129)</t>
  </si>
  <si>
    <t>=NL(1,"item",L$9,"no.",D2129)</t>
  </si>
  <si>
    <t>=NL(1,"item",M$9,"no.",$D2129)</t>
  </si>
  <si>
    <t>=NL(1,"item","Units Per Parcel","no.",$D2129)</t>
  </si>
  <si>
    <t>=NL(1,"Prod. BOM Equipment","Fixed Prod. Time (Hours)","Production BOM No.",$D2129,"version code",$E2129,"Resource No.",O$9)</t>
  </si>
  <si>
    <t>=1/O2129</t>
  </si>
  <si>
    <t>=IF(NL(1,"Prod. BOM Equipment","Variable Prod. Time (Hours)","Production BOM No.",$D2129,"version code",$E2129,"Resource No.",$O$9)="",1,NL(1,"Prod. BOM Equipment","Variable Prod. Time (Hours)","Production BOM No.",$D2129,"version code",$E2129,"Resource No.",$O$9))</t>
  </si>
  <si>
    <t>=1/Q2129</t>
  </si>
  <si>
    <t>=R2129*N2129</t>
  </si>
  <si>
    <t>=IF(K2130=0,"hide","")</t>
  </si>
  <si>
    <t>=D2129</t>
  </si>
  <si>
    <t>=NL("sum","Production Order","Quantity","Source No.",$D2130,"Equipment Code",$L2130,"due date",F$8)/-12</t>
  </si>
  <si>
    <t>=NL("sum","Production Order","Quantity","Source No.",$D2130,"Equipment Code",$L2130,"due date",G$8)/-12</t>
  </si>
  <si>
    <t>=NL("sum","Production Order","Quantity","Source No.",$D2130,"Equipment Code",$L2130,"due date",H$8)/-12</t>
  </si>
  <si>
    <t>=NL("sum","Production Order","Quantity","Source No.",$D2130,"Equipment Code",$L2130,"due date",I$8)/-12</t>
  </si>
  <si>
    <t>=NL("sum","Production Order","Quantity","Source No.",$D2130,"Equipment Code",$L2130,"due date",J$8)/$J$7</t>
  </si>
  <si>
    <t>=AVERAGE(I2130:J2130)</t>
  </si>
  <si>
    <t>=IF(K2131=0,"hide","")</t>
  </si>
  <si>
    <t>=D2130</t>
  </si>
  <si>
    <t>=NL("sum","Production Order","Quantity","Source No.",$D2131,"Equipment Code",$L2131,"due date",F$8)/-12</t>
  </si>
  <si>
    <t>=NL("sum","Production Order","Quantity","Source No.",$D2131,"Equipment Code",$L2131,"due date",G$8)/-12</t>
  </si>
  <si>
    <t>=NL("sum","Production Order","Quantity","Source No.",$D2131,"Equipment Code",$L2131,"due date",H$8)/-12</t>
  </si>
  <si>
    <t>=NL("sum","Production Order","Quantity","Source No.",$D2131,"Equipment Code",$L2131,"due date",I$8)/-12</t>
  </si>
  <si>
    <t>=NL("sum","Production Order","Quantity","Source No.",$D2131,"Equipment Code",$L2131,"due date",J$8)/$J$7</t>
  </si>
  <si>
    <t>=AVERAGE(I2131:J2131)</t>
  </si>
  <si>
    <t>=IF(K2132=0,"hide","")</t>
  </si>
  <si>
    <t>=D2131</t>
  </si>
  <si>
    <t>=NL("sum","Production Order","Quantity","Source No.",$D2132,"Equipment Code",$L2132,"due date",F$8)/-12</t>
  </si>
  <si>
    <t>=NL("sum","Production Order","Quantity","Source No.",$D2132,"Equipment Code",$L2132,"due date",G$8)/-12</t>
  </si>
  <si>
    <t>=NL("sum","Production Order","Quantity","Source No.",$D2132,"Equipment Code",$L2132,"due date",H$8)/-12</t>
  </si>
  <si>
    <t>=NL("sum","Production Order","Quantity","Source No.",$D2132,"Equipment Code",$L2132,"due date",I$8)/-12</t>
  </si>
  <si>
    <t>=NL("sum","Production Order","Quantity","Source No.",$D2132,"Equipment Code",$L2132,"due date",J$8)/$J$7</t>
  </si>
  <si>
    <t>=AVERAGE(I2132:J2132)</t>
  </si>
  <si>
    <t>=IF(K2133=0,"hide","")</t>
  </si>
  <si>
    <t>=D2132</t>
  </si>
  <si>
    <t>=NL("sum","Production Order","Quantity","Source No.",$D2133,"Equipment Code",$L2133,"due date",F$8)/-12</t>
  </si>
  <si>
    <t>=NL("sum","Production Order","Quantity","Source No.",$D2133,"Equipment Code",$L2133,"due date",G$8)/-12</t>
  </si>
  <si>
    <t>=NL("sum","Production Order","Quantity","Source No.",$D2133,"Equipment Code",$L2133,"due date",H$8)/-12</t>
  </si>
  <si>
    <t>=NL("sum","Production Order","Quantity","Source No.",$D2133,"Equipment Code",$L2133,"due date",I$8)/-12</t>
  </si>
  <si>
    <t>=NL("sum","Production Order","Quantity","Source No.",$D2133,"Equipment Code",$L2133,"due date",J$8)/$J$7</t>
  </si>
  <si>
    <t>=AVERAGE(I2133:J2133)</t>
  </si>
  <si>
    <t>=B2130</t>
  </si>
  <si>
    <t>=B2134</t>
  </si>
  <si>
    <t>=SUM(F2130:F2134)</t>
  </si>
  <si>
    <t>=SUM(G2130:G2134)</t>
  </si>
  <si>
    <t>=SUM(H2130:H2134)</t>
  </si>
  <si>
    <t>=SUM(I2130:I2134)</t>
  </si>
  <si>
    <t>=SUM(J2130:J2134)</t>
  </si>
  <si>
    <t>=IF(K2136=0,"hide","")</t>
  </si>
  <si>
    <t>=NL("rows","Production BOM Version","Version Code","Production BOM No.",D2136,"status","certified")</t>
  </si>
  <si>
    <t>=NL("sum","Item Ledger Entry","Quantity","Item No.",$D2136,"Entry Type","Sale|Consumption","posting date","01/01/19..12/31/19")/-12</t>
  </si>
  <si>
    <t>=NL("sum","Item Ledger Entry","Quantity","Item No.",$D2136,"Entry Type","Sale|Consumption","posting date","01/01/20..12/31/20")/-12</t>
  </si>
  <si>
    <t>=NL("sum","Item Ledger Entry","Quantity","Item No.",$D2136,"Entry Type","Sale|Consumption","posting date","01/01/21..12/31/21")/-12</t>
  </si>
  <si>
    <t>=NL("sum","Item Ledger Entry","Quantity","Item No.",$D2136,"Entry Type","Sale|Consumption","posting date","01/01/22..12/31/22")/-12</t>
  </si>
  <si>
    <t>=NL("sum","Item Ledger Entry","Quantity","Item No.",$D2136,"Entry Type","Sale|Consumption","posting date","01/01/23..12/31/23")/$J$7</t>
  </si>
  <si>
    <t>=AVERAGE(I2136:J2136)</t>
  </si>
  <si>
    <t>=NL(1,"item",L$9,"no.",D2136)</t>
  </si>
  <si>
    <t>=NL(1,"item",M$9,"no.",$D2136)</t>
  </si>
  <si>
    <t>=NL(1,"item","Units Per Parcel","no.",$D2136)</t>
  </si>
  <si>
    <t>=NL(1,"Prod. BOM Equipment","Fixed Prod. Time (Hours)","Production BOM No.",$D2136,"version code",$E2136,"Resource No.",O$9)</t>
  </si>
  <si>
    <t>=1/O2136</t>
  </si>
  <si>
    <t>=IF(NL(1,"Prod. BOM Equipment","Variable Prod. Time (Hours)","Production BOM No.",$D2136,"version code",$E2136,"Resource No.",$O$9)="",1,NL(1,"Prod. BOM Equipment","Variable Prod. Time (Hours)","Production BOM No.",$D2136,"version code",$E2136,"Resource No.",$O$9))</t>
  </si>
  <si>
    <t>=1/Q2136</t>
  </si>
  <si>
    <t>=R2136*N2136</t>
  </si>
  <si>
    <t>=IF(K2137=0,"hide","")</t>
  </si>
  <si>
    <t>=D2136</t>
  </si>
  <si>
    <t>=NL("sum","Production Order","Quantity","Source No.",$D2137,"Equipment Code",$L2137,"due date",F$8)/-12</t>
  </si>
  <si>
    <t>=NL("sum","Production Order","Quantity","Source No.",$D2137,"Equipment Code",$L2137,"due date",G$8)/-12</t>
  </si>
  <si>
    <t>=NL("sum","Production Order","Quantity","Source No.",$D2137,"Equipment Code",$L2137,"due date",H$8)/-12</t>
  </si>
  <si>
    <t>=NL("sum","Production Order","Quantity","Source No.",$D2137,"Equipment Code",$L2137,"due date",I$8)/-12</t>
  </si>
  <si>
    <t>=NL("sum","Production Order","Quantity","Source No.",$D2137,"Equipment Code",$L2137,"due date",J$8)/$J$7</t>
  </si>
  <si>
    <t>=AVERAGE(I2137:J2137)</t>
  </si>
  <si>
    <t>=IF(K2138=0,"hide","")</t>
  </si>
  <si>
    <t>=D2137</t>
  </si>
  <si>
    <t>=NL("sum","Production Order","Quantity","Source No.",$D2138,"Equipment Code",$L2138,"due date",F$8)/-12</t>
  </si>
  <si>
    <t>=NL("sum","Production Order","Quantity","Source No.",$D2138,"Equipment Code",$L2138,"due date",G$8)/-12</t>
  </si>
  <si>
    <t>=NL("sum","Production Order","Quantity","Source No.",$D2138,"Equipment Code",$L2138,"due date",H$8)/-12</t>
  </si>
  <si>
    <t>=NL("sum","Production Order","Quantity","Source No.",$D2138,"Equipment Code",$L2138,"due date",I$8)/-12</t>
  </si>
  <si>
    <t>=NL("sum","Production Order","Quantity","Source No.",$D2138,"Equipment Code",$L2138,"due date",J$8)/$J$7</t>
  </si>
  <si>
    <t>=AVERAGE(I2138:J2138)</t>
  </si>
  <si>
    <t>=IF(K2139=0,"hide","")</t>
  </si>
  <si>
    <t>=D2138</t>
  </si>
  <si>
    <t>=NL("sum","Production Order","Quantity","Source No.",$D2139,"Equipment Code",$L2139,"due date",F$8)/-12</t>
  </si>
  <si>
    <t>=NL("sum","Production Order","Quantity","Source No.",$D2139,"Equipment Code",$L2139,"due date",G$8)/-12</t>
  </si>
  <si>
    <t>=NL("sum","Production Order","Quantity","Source No.",$D2139,"Equipment Code",$L2139,"due date",H$8)/-12</t>
  </si>
  <si>
    <t>=NL("sum","Production Order","Quantity","Source No.",$D2139,"Equipment Code",$L2139,"due date",I$8)/-12</t>
  </si>
  <si>
    <t>=NL("sum","Production Order","Quantity","Source No.",$D2139,"Equipment Code",$L2139,"due date",J$8)/$J$7</t>
  </si>
  <si>
    <t>=AVERAGE(I2139:J2139)</t>
  </si>
  <si>
    <t>=IF(K2140=0,"hide","")</t>
  </si>
  <si>
    <t>=D2139</t>
  </si>
  <si>
    <t>=NL("sum","Production Order","Quantity","Source No.",$D2140,"Equipment Code",$L2140,"due date",F$8)/-12</t>
  </si>
  <si>
    <t>=NL("sum","Production Order","Quantity","Source No.",$D2140,"Equipment Code",$L2140,"due date",G$8)/-12</t>
  </si>
  <si>
    <t>=NL("sum","Production Order","Quantity","Source No.",$D2140,"Equipment Code",$L2140,"due date",H$8)/-12</t>
  </si>
  <si>
    <t>=NL("sum","Production Order","Quantity","Source No.",$D2140,"Equipment Code",$L2140,"due date",I$8)/-12</t>
  </si>
  <si>
    <t>=NL("sum","Production Order","Quantity","Source No.",$D2140,"Equipment Code",$L2140,"due date",J$8)/$J$7</t>
  </si>
  <si>
    <t>=AVERAGE(I2140:J2140)</t>
  </si>
  <si>
    <t>=B2137</t>
  </si>
  <si>
    <t>=B2141</t>
  </si>
  <si>
    <t>=SUM(F2137:F2141)</t>
  </si>
  <si>
    <t>=SUM(G2137:G2141)</t>
  </si>
  <si>
    <t>=SUM(H2137:H2141)</t>
  </si>
  <si>
    <t>=SUM(I2137:I2141)</t>
  </si>
  <si>
    <t>=SUM(J2137:J2141)</t>
  </si>
  <si>
    <t>=IF(K2143=0,"hide","")</t>
  </si>
  <si>
    <t>=NL("rows","Production BOM Version","Version Code","Production BOM No.",D2143,"status","certified")</t>
  </si>
  <si>
    <t>=NL("sum","Item Ledger Entry","Quantity","Item No.",$D2143,"Entry Type","Sale|Consumption","posting date","01/01/19..12/31/19")/-12</t>
  </si>
  <si>
    <t>=NL("sum","Item Ledger Entry","Quantity","Item No.",$D2143,"Entry Type","Sale|Consumption","posting date","01/01/20..12/31/20")/-12</t>
  </si>
  <si>
    <t>=NL("sum","Item Ledger Entry","Quantity","Item No.",$D2143,"Entry Type","Sale|Consumption","posting date","01/01/21..12/31/21")/-12</t>
  </si>
  <si>
    <t>=NL("sum","Item Ledger Entry","Quantity","Item No.",$D2143,"Entry Type","Sale|Consumption","posting date","01/01/22..12/31/22")/-12</t>
  </si>
  <si>
    <t>=NL("sum","Item Ledger Entry","Quantity","Item No.",$D2143,"Entry Type","Sale|Consumption","posting date","01/01/23..12/31/23")/$J$7</t>
  </si>
  <si>
    <t>=AVERAGE(I2143:J2143)</t>
  </si>
  <si>
    <t>=NL(1,"item",L$9,"no.",D2143)</t>
  </si>
  <si>
    <t>=NL(1,"item",M$9,"no.",$D2143)</t>
  </si>
  <si>
    <t>=NL(1,"item","Units Per Parcel","no.",$D2143)</t>
  </si>
  <si>
    <t>=NL(1,"Prod. BOM Equipment","Fixed Prod. Time (Hours)","Production BOM No.",$D2143,"version code",$E2143,"Resource No.",O$9)</t>
  </si>
  <si>
    <t>=1/O2143</t>
  </si>
  <si>
    <t>=IF(NL(1,"Prod. BOM Equipment","Variable Prod. Time (Hours)","Production BOM No.",$D2143,"version code",$E2143,"Resource No.",$O$9)="",1,NL(1,"Prod. BOM Equipment","Variable Prod. Time (Hours)","Production BOM No.",$D2143,"version code",$E2143,"Resource No.",$O$9))</t>
  </si>
  <si>
    <t>=1/Q2143</t>
  </si>
  <si>
    <t>=R2143*N2143</t>
  </si>
  <si>
    <t>=IF(K2144=0,"hide","")</t>
  </si>
  <si>
    <t>=D2143</t>
  </si>
  <si>
    <t>=NL("sum","Production Order","Quantity","Source No.",$D2144,"Equipment Code",$L2144,"due date",F$8)/-12</t>
  </si>
  <si>
    <t>=NL("sum","Production Order","Quantity","Source No.",$D2144,"Equipment Code",$L2144,"due date",G$8)/-12</t>
  </si>
  <si>
    <t>=NL("sum","Production Order","Quantity","Source No.",$D2144,"Equipment Code",$L2144,"due date",H$8)/-12</t>
  </si>
  <si>
    <t>=NL("sum","Production Order","Quantity","Source No.",$D2144,"Equipment Code",$L2144,"due date",I$8)/-12</t>
  </si>
  <si>
    <t>=NL("sum","Production Order","Quantity","Source No.",$D2144,"Equipment Code",$L2144,"due date",J$8)/$J$7</t>
  </si>
  <si>
    <t>=AVERAGE(I2144:J2144)</t>
  </si>
  <si>
    <t>=IF(K2145=0,"hide","")</t>
  </si>
  <si>
    <t>=D2144</t>
  </si>
  <si>
    <t>=NL("sum","Production Order","Quantity","Source No.",$D2145,"Equipment Code",$L2145,"due date",F$8)/-12</t>
  </si>
  <si>
    <t>=NL("sum","Production Order","Quantity","Source No.",$D2145,"Equipment Code",$L2145,"due date",G$8)/-12</t>
  </si>
  <si>
    <t>=NL("sum","Production Order","Quantity","Source No.",$D2145,"Equipment Code",$L2145,"due date",H$8)/-12</t>
  </si>
  <si>
    <t>=NL("sum","Production Order","Quantity","Source No.",$D2145,"Equipment Code",$L2145,"due date",I$8)/-12</t>
  </si>
  <si>
    <t>=NL("sum","Production Order","Quantity","Source No.",$D2145,"Equipment Code",$L2145,"due date",J$8)/$J$7</t>
  </si>
  <si>
    <t>=AVERAGE(I2145:J2145)</t>
  </si>
  <si>
    <t>=IF(K2146=0,"hide","")</t>
  </si>
  <si>
    <t>=D2145</t>
  </si>
  <si>
    <t>=NL("sum","Production Order","Quantity","Source No.",$D2146,"Equipment Code",$L2146,"due date",F$8)/-12</t>
  </si>
  <si>
    <t>=NL("sum","Production Order","Quantity","Source No.",$D2146,"Equipment Code",$L2146,"due date",G$8)/-12</t>
  </si>
  <si>
    <t>=NL("sum","Production Order","Quantity","Source No.",$D2146,"Equipment Code",$L2146,"due date",H$8)/-12</t>
  </si>
  <si>
    <t>=NL("sum","Production Order","Quantity","Source No.",$D2146,"Equipment Code",$L2146,"due date",I$8)/-12</t>
  </si>
  <si>
    <t>=NL("sum","Production Order","Quantity","Source No.",$D2146,"Equipment Code",$L2146,"due date",J$8)/$J$7</t>
  </si>
  <si>
    <t>=AVERAGE(I2146:J2146)</t>
  </si>
  <si>
    <t>=IF(K2147=0,"hide","")</t>
  </si>
  <si>
    <t>=D2146</t>
  </si>
  <si>
    <t>=NL("sum","Production Order","Quantity","Source No.",$D2147,"Equipment Code",$L2147,"due date",F$8)/-12</t>
  </si>
  <si>
    <t>=NL("sum","Production Order","Quantity","Source No.",$D2147,"Equipment Code",$L2147,"due date",G$8)/-12</t>
  </si>
  <si>
    <t>=NL("sum","Production Order","Quantity","Source No.",$D2147,"Equipment Code",$L2147,"due date",H$8)/-12</t>
  </si>
  <si>
    <t>=NL("sum","Production Order","Quantity","Source No.",$D2147,"Equipment Code",$L2147,"due date",I$8)/-12</t>
  </si>
  <si>
    <t>=NL("sum","Production Order","Quantity","Source No.",$D2147,"Equipment Code",$L2147,"due date",J$8)/$J$7</t>
  </si>
  <si>
    <t>=AVERAGE(I2147:J2147)</t>
  </si>
  <si>
    <t>=B2144</t>
  </si>
  <si>
    <t>=B2148</t>
  </si>
  <si>
    <t>=SUM(F2144:F2148)</t>
  </si>
  <si>
    <t>=SUM(G2144:G2148)</t>
  </si>
  <si>
    <t>=SUM(H2144:H2148)</t>
  </si>
  <si>
    <t>=SUM(I2144:I2148)</t>
  </si>
  <si>
    <t>=SUM(J2144:J2148)</t>
  </si>
  <si>
    <t>=IF(K2150=0,"hide","")</t>
  </si>
  <si>
    <t>=NL("rows","Production BOM Version","Version Code","Production BOM No.",D2150,"status","certified")</t>
  </si>
  <si>
    <t>=NL("sum","Item Ledger Entry","Quantity","Item No.",$D2150,"Entry Type","Sale|Consumption","posting date","01/01/19..12/31/19")/-12</t>
  </si>
  <si>
    <t>=NL("sum","Item Ledger Entry","Quantity","Item No.",$D2150,"Entry Type","Sale|Consumption","posting date","01/01/20..12/31/20")/-12</t>
  </si>
  <si>
    <t>=NL("sum","Item Ledger Entry","Quantity","Item No.",$D2150,"Entry Type","Sale|Consumption","posting date","01/01/21..12/31/21")/-12</t>
  </si>
  <si>
    <t>=NL("sum","Item Ledger Entry","Quantity","Item No.",$D2150,"Entry Type","Sale|Consumption","posting date","01/01/22..12/31/22")/-12</t>
  </si>
  <si>
    <t>=NL("sum","Item Ledger Entry","Quantity","Item No.",$D2150,"Entry Type","Sale|Consumption","posting date","01/01/23..12/31/23")/$J$7</t>
  </si>
  <si>
    <t>=AVERAGE(I2150:J2150)</t>
  </si>
  <si>
    <t>=NL(1,"item",L$9,"no.",D2150)</t>
  </si>
  <si>
    <t>=NL(1,"item",M$9,"no.",$D2150)</t>
  </si>
  <si>
    <t>=NL(1,"item","Units Per Parcel","no.",$D2150)</t>
  </si>
  <si>
    <t>=NL(1,"Prod. BOM Equipment","Fixed Prod. Time (Hours)","Production BOM No.",$D2150,"version code",$E2150,"Resource No.",O$9)</t>
  </si>
  <si>
    <t>=1/O2150</t>
  </si>
  <si>
    <t>=IF(NL(1,"Prod. BOM Equipment","Variable Prod. Time (Hours)","Production BOM No.",$D2150,"version code",$E2150,"Resource No.",$O$9)="",1,NL(1,"Prod. BOM Equipment","Variable Prod. Time (Hours)","Production BOM No.",$D2150,"version code",$E2150,"Resource No.",$O$9))</t>
  </si>
  <si>
    <t>=1/Q2150</t>
  </si>
  <si>
    <t>=R2150*N2150</t>
  </si>
  <si>
    <t>=IF(K2151=0,"hide","")</t>
  </si>
  <si>
    <t>=D2150</t>
  </si>
  <si>
    <t>=NL("sum","Production Order","Quantity","Source No.",$D2151,"Equipment Code",$L2151,"due date",F$8)/-12</t>
  </si>
  <si>
    <t>=NL("sum","Production Order","Quantity","Source No.",$D2151,"Equipment Code",$L2151,"due date",G$8)/-12</t>
  </si>
  <si>
    <t>=NL("sum","Production Order","Quantity","Source No.",$D2151,"Equipment Code",$L2151,"due date",H$8)/-12</t>
  </si>
  <si>
    <t>=NL("sum","Production Order","Quantity","Source No.",$D2151,"Equipment Code",$L2151,"due date",I$8)/-12</t>
  </si>
  <si>
    <t>=NL("sum","Production Order","Quantity","Source No.",$D2151,"Equipment Code",$L2151,"due date",J$8)/$J$7</t>
  </si>
  <si>
    <t>=AVERAGE(I2151:J2151)</t>
  </si>
  <si>
    <t>=IF(K2152=0,"hide","")</t>
  </si>
  <si>
    <t>=D2151</t>
  </si>
  <si>
    <t>=NL("sum","Production Order","Quantity","Source No.",$D2152,"Equipment Code",$L2152,"due date",F$8)/-12</t>
  </si>
  <si>
    <t>=NL("sum","Production Order","Quantity","Source No.",$D2152,"Equipment Code",$L2152,"due date",G$8)/-12</t>
  </si>
  <si>
    <t>=NL("sum","Production Order","Quantity","Source No.",$D2152,"Equipment Code",$L2152,"due date",H$8)/-12</t>
  </si>
  <si>
    <t>=NL("sum","Production Order","Quantity","Source No.",$D2152,"Equipment Code",$L2152,"due date",I$8)/-12</t>
  </si>
  <si>
    <t>=NL("sum","Production Order","Quantity","Source No.",$D2152,"Equipment Code",$L2152,"due date",J$8)/$J$7</t>
  </si>
  <si>
    <t>=AVERAGE(I2152:J2152)</t>
  </si>
  <si>
    <t>=IF(K2153=0,"hide","")</t>
  </si>
  <si>
    <t>=D2152</t>
  </si>
  <si>
    <t>=NL("sum","Production Order","Quantity","Source No.",$D2153,"Equipment Code",$L2153,"due date",F$8)/-12</t>
  </si>
  <si>
    <t>=NL("sum","Production Order","Quantity","Source No.",$D2153,"Equipment Code",$L2153,"due date",G$8)/-12</t>
  </si>
  <si>
    <t>=NL("sum","Production Order","Quantity","Source No.",$D2153,"Equipment Code",$L2153,"due date",H$8)/-12</t>
  </si>
  <si>
    <t>=NL("sum","Production Order","Quantity","Source No.",$D2153,"Equipment Code",$L2153,"due date",I$8)/-12</t>
  </si>
  <si>
    <t>=NL("sum","Production Order","Quantity","Source No.",$D2153,"Equipment Code",$L2153,"due date",J$8)/$J$7</t>
  </si>
  <si>
    <t>=AVERAGE(I2153:J2153)</t>
  </si>
  <si>
    <t>=IF(K2154=0,"hide","")</t>
  </si>
  <si>
    <t>=D2153</t>
  </si>
  <si>
    <t>=NL("sum","Production Order","Quantity","Source No.",$D2154,"Equipment Code",$L2154,"due date",F$8)/-12</t>
  </si>
  <si>
    <t>=NL("sum","Production Order","Quantity","Source No.",$D2154,"Equipment Code",$L2154,"due date",G$8)/-12</t>
  </si>
  <si>
    <t>=NL("sum","Production Order","Quantity","Source No.",$D2154,"Equipment Code",$L2154,"due date",H$8)/-12</t>
  </si>
  <si>
    <t>=NL("sum","Production Order","Quantity","Source No.",$D2154,"Equipment Code",$L2154,"due date",I$8)/-12</t>
  </si>
  <si>
    <t>=NL("sum","Production Order","Quantity","Source No.",$D2154,"Equipment Code",$L2154,"due date",J$8)/$J$7</t>
  </si>
  <si>
    <t>=AVERAGE(I2154:J2154)</t>
  </si>
  <si>
    <t>=B2151</t>
  </si>
  <si>
    <t>=B2155</t>
  </si>
  <si>
    <t>=SUM(F2151:F2155)</t>
  </si>
  <si>
    <t>=SUM(G2151:G2155)</t>
  </si>
  <si>
    <t>=SUM(H2151:H2155)</t>
  </si>
  <si>
    <t>=SUM(I2151:I2155)</t>
  </si>
  <si>
    <t>=SUM(J2151:J2155)</t>
  </si>
  <si>
    <t>=IF(K2157=0,"hide","")</t>
  </si>
  <si>
    <t>=NL("rows","Production BOM Version","Version Code","Production BOM No.",D2157,"status","certified")</t>
  </si>
  <si>
    <t>=NL("sum","Item Ledger Entry","Quantity","Item No.",$D2157,"Entry Type","Sale|Consumption","posting date","01/01/19..12/31/19")/-12</t>
  </si>
  <si>
    <t>=NL("sum","Item Ledger Entry","Quantity","Item No.",$D2157,"Entry Type","Sale|Consumption","posting date","01/01/20..12/31/20")/-12</t>
  </si>
  <si>
    <t>=NL("sum","Item Ledger Entry","Quantity","Item No.",$D2157,"Entry Type","Sale|Consumption","posting date","01/01/21..12/31/21")/-12</t>
  </si>
  <si>
    <t>=NL("sum","Item Ledger Entry","Quantity","Item No.",$D2157,"Entry Type","Sale|Consumption","posting date","01/01/22..12/31/22")/-12</t>
  </si>
  <si>
    <t>=NL("sum","Item Ledger Entry","Quantity","Item No.",$D2157,"Entry Type","Sale|Consumption","posting date","01/01/23..12/31/23")/$J$7</t>
  </si>
  <si>
    <t>=AVERAGE(I2157:J2157)</t>
  </si>
  <si>
    <t>=NL(1,"item",L$9,"no.",D2157)</t>
  </si>
  <si>
    <t>=NL(1,"item",M$9,"no.",$D2157)</t>
  </si>
  <si>
    <t>=NL(1,"item","Units Per Parcel","no.",$D2157)</t>
  </si>
  <si>
    <t>=NL(1,"Prod. BOM Equipment","Fixed Prod. Time (Hours)","Production BOM No.",$D2157,"version code",$E2157,"Resource No.",O$9)</t>
  </si>
  <si>
    <t>=1/O2157</t>
  </si>
  <si>
    <t>=IF(NL(1,"Prod. BOM Equipment","Variable Prod. Time (Hours)","Production BOM No.",$D2157,"version code",$E2157,"Resource No.",$O$9)="",1,NL(1,"Prod. BOM Equipment","Variable Prod. Time (Hours)","Production BOM No.",$D2157,"version code",$E2157,"Resource No.",$O$9))</t>
  </si>
  <si>
    <t>=1/Q2157</t>
  </si>
  <si>
    <t>=R2157*N2157</t>
  </si>
  <si>
    <t>=IF(K2158=0,"hide","")</t>
  </si>
  <si>
    <t>=D2157</t>
  </si>
  <si>
    <t>=NL("sum","Production Order","Quantity","Source No.",$D2158,"Equipment Code",$L2158,"due date",F$8)/-12</t>
  </si>
  <si>
    <t>=NL("sum","Production Order","Quantity","Source No.",$D2158,"Equipment Code",$L2158,"due date",G$8)/-12</t>
  </si>
  <si>
    <t>=NL("sum","Production Order","Quantity","Source No.",$D2158,"Equipment Code",$L2158,"due date",H$8)/-12</t>
  </si>
  <si>
    <t>=NL("sum","Production Order","Quantity","Source No.",$D2158,"Equipment Code",$L2158,"due date",I$8)/-12</t>
  </si>
  <si>
    <t>=NL("sum","Production Order","Quantity","Source No.",$D2158,"Equipment Code",$L2158,"due date",J$8)/$J$7</t>
  </si>
  <si>
    <t>=AVERAGE(I2158:J2158)</t>
  </si>
  <si>
    <t>=IF(K2159=0,"hide","")</t>
  </si>
  <si>
    <t>=D2158</t>
  </si>
  <si>
    <t>=NL("sum","Production Order","Quantity","Source No.",$D2159,"Equipment Code",$L2159,"due date",F$8)/-12</t>
  </si>
  <si>
    <t>=NL("sum","Production Order","Quantity","Source No.",$D2159,"Equipment Code",$L2159,"due date",G$8)/-12</t>
  </si>
  <si>
    <t>=NL("sum","Production Order","Quantity","Source No.",$D2159,"Equipment Code",$L2159,"due date",H$8)/-12</t>
  </si>
  <si>
    <t>=NL("sum","Production Order","Quantity","Source No.",$D2159,"Equipment Code",$L2159,"due date",I$8)/-12</t>
  </si>
  <si>
    <t>=NL("sum","Production Order","Quantity","Source No.",$D2159,"Equipment Code",$L2159,"due date",J$8)/$J$7</t>
  </si>
  <si>
    <t>=AVERAGE(I2159:J2159)</t>
  </si>
  <si>
    <t>=IF(K2160=0,"hide","")</t>
  </si>
  <si>
    <t>=D2159</t>
  </si>
  <si>
    <t>=NL("sum","Production Order","Quantity","Source No.",$D2160,"Equipment Code",$L2160,"due date",F$8)/-12</t>
  </si>
  <si>
    <t>=NL("sum","Production Order","Quantity","Source No.",$D2160,"Equipment Code",$L2160,"due date",G$8)/-12</t>
  </si>
  <si>
    <t>=NL("sum","Production Order","Quantity","Source No.",$D2160,"Equipment Code",$L2160,"due date",H$8)/-12</t>
  </si>
  <si>
    <t>=NL("sum","Production Order","Quantity","Source No.",$D2160,"Equipment Code",$L2160,"due date",I$8)/-12</t>
  </si>
  <si>
    <t>=NL("sum","Production Order","Quantity","Source No.",$D2160,"Equipment Code",$L2160,"due date",J$8)/$J$7</t>
  </si>
  <si>
    <t>=AVERAGE(I2160:J2160)</t>
  </si>
  <si>
    <t>=IF(K2161=0,"hide","")</t>
  </si>
  <si>
    <t>=D2160</t>
  </si>
  <si>
    <t>=NL("sum","Production Order","Quantity","Source No.",$D2161,"Equipment Code",$L2161,"due date",F$8)/-12</t>
  </si>
  <si>
    <t>=NL("sum","Production Order","Quantity","Source No.",$D2161,"Equipment Code",$L2161,"due date",G$8)/-12</t>
  </si>
  <si>
    <t>=NL("sum","Production Order","Quantity","Source No.",$D2161,"Equipment Code",$L2161,"due date",H$8)/-12</t>
  </si>
  <si>
    <t>=NL("sum","Production Order","Quantity","Source No.",$D2161,"Equipment Code",$L2161,"due date",I$8)/-12</t>
  </si>
  <si>
    <t>=NL("sum","Production Order","Quantity","Source No.",$D2161,"Equipment Code",$L2161,"due date",J$8)/$J$7</t>
  </si>
  <si>
    <t>=AVERAGE(I2161:J2161)</t>
  </si>
  <si>
    <t>=B2158</t>
  </si>
  <si>
    <t>=B2162</t>
  </si>
  <si>
    <t>=SUM(F2158:F2162)</t>
  </si>
  <si>
    <t>=SUM(G2158:G2162)</t>
  </si>
  <si>
    <t>=SUM(H2158:H2162)</t>
  </si>
  <si>
    <t>=SUM(I2158:I2162)</t>
  </si>
  <si>
    <t>=SUM(J2158:J2162)</t>
  </si>
  <si>
    <t>=IF(K2164=0,"hide","")</t>
  </si>
  <si>
    <t>="25139"</t>
  </si>
  <si>
    <t>=NL("rows","Production BOM Version","Version Code","Production BOM No.",D2164,"status","certified")</t>
  </si>
  <si>
    <t>=NL("sum","Item Ledger Entry","Quantity","Item No.",$D2164,"Entry Type","Sale|Consumption","posting date","01/01/19..12/31/19")/-12</t>
  </si>
  <si>
    <t>=NL("sum","Item Ledger Entry","Quantity","Item No.",$D2164,"Entry Type","Sale|Consumption","posting date","01/01/20..12/31/20")/-12</t>
  </si>
  <si>
    <t>=NL("sum","Item Ledger Entry","Quantity","Item No.",$D2164,"Entry Type","Sale|Consumption","posting date","01/01/21..12/31/21")/-12</t>
  </si>
  <si>
    <t>=NL("sum","Item Ledger Entry","Quantity","Item No.",$D2164,"Entry Type","Sale|Consumption","posting date","01/01/22..12/31/22")/-12</t>
  </si>
  <si>
    <t>=NL("sum","Item Ledger Entry","Quantity","Item No.",$D2164,"Entry Type","Sale|Consumption","posting date","01/01/23..12/31/23")/$J$7</t>
  </si>
  <si>
    <t>=AVERAGE(I2164:J2164)</t>
  </si>
  <si>
    <t>=NL(1,"item",L$9,"no.",D2164)</t>
  </si>
  <si>
    <t>=NL(1,"item",M$9,"no.",$D2164)</t>
  </si>
  <si>
    <t>=NL(1,"item","Units Per Parcel","no.",$D2164)</t>
  </si>
  <si>
    <t>=NL(1,"Prod. BOM Equipment","Fixed Prod. Time (Hours)","Production BOM No.",$D2164,"version code",$E2164,"Resource No.",O$9)</t>
  </si>
  <si>
    <t>=1/O2164</t>
  </si>
  <si>
    <t>=IF(NL(1,"Prod. BOM Equipment","Variable Prod. Time (Hours)","Production BOM No.",$D2164,"version code",$E2164,"Resource No.",$O$9)="",1,NL(1,"Prod. BOM Equipment","Variable Prod. Time (Hours)","Production BOM No.",$D2164,"version code",$E2164,"Resource No.",$O$9))</t>
  </si>
  <si>
    <t>=1/Q2164</t>
  </si>
  <si>
    <t>=R2164*N2164</t>
  </si>
  <si>
    <t>=IF(K2165=0,"hide","")</t>
  </si>
  <si>
    <t>=D2164</t>
  </si>
  <si>
    <t>=NL("sum","Production Order","Quantity","Source No.",$D2165,"Equipment Code",$L2165,"due date",F$8)/-12</t>
  </si>
  <si>
    <t>=NL("sum","Production Order","Quantity","Source No.",$D2165,"Equipment Code",$L2165,"due date",G$8)/-12</t>
  </si>
  <si>
    <t>=NL("sum","Production Order","Quantity","Source No.",$D2165,"Equipment Code",$L2165,"due date",H$8)/-12</t>
  </si>
  <si>
    <t>=NL("sum","Production Order","Quantity","Source No.",$D2165,"Equipment Code",$L2165,"due date",I$8)/-12</t>
  </si>
  <si>
    <t>=NL("sum","Production Order","Quantity","Source No.",$D2165,"Equipment Code",$L2165,"due date",J$8)/$J$7</t>
  </si>
  <si>
    <t>=AVERAGE(I2165:J2165)</t>
  </si>
  <si>
    <t>=IF(K2166=0,"hide","")</t>
  </si>
  <si>
    <t>=D2165</t>
  </si>
  <si>
    <t>=NL("sum","Production Order","Quantity","Source No.",$D2166,"Equipment Code",$L2166,"due date",F$8)/-12</t>
  </si>
  <si>
    <t>=NL("sum","Production Order","Quantity","Source No.",$D2166,"Equipment Code",$L2166,"due date",G$8)/-12</t>
  </si>
  <si>
    <t>=NL("sum","Production Order","Quantity","Source No.",$D2166,"Equipment Code",$L2166,"due date",H$8)/-12</t>
  </si>
  <si>
    <t>=NL("sum","Production Order","Quantity","Source No.",$D2166,"Equipment Code",$L2166,"due date",I$8)/-12</t>
  </si>
  <si>
    <t>=NL("sum","Production Order","Quantity","Source No.",$D2166,"Equipment Code",$L2166,"due date",J$8)/$J$7</t>
  </si>
  <si>
    <t>=AVERAGE(I2166:J2166)</t>
  </si>
  <si>
    <t>=IF(K2167=0,"hide","")</t>
  </si>
  <si>
    <t>=D2166</t>
  </si>
  <si>
    <t>=NL("sum","Production Order","Quantity","Source No.",$D2167,"Equipment Code",$L2167,"due date",F$8)/-12</t>
  </si>
  <si>
    <t>=NL("sum","Production Order","Quantity","Source No.",$D2167,"Equipment Code",$L2167,"due date",G$8)/-12</t>
  </si>
  <si>
    <t>=NL("sum","Production Order","Quantity","Source No.",$D2167,"Equipment Code",$L2167,"due date",H$8)/-12</t>
  </si>
  <si>
    <t>=NL("sum","Production Order","Quantity","Source No.",$D2167,"Equipment Code",$L2167,"due date",I$8)/-12</t>
  </si>
  <si>
    <t>=NL("sum","Production Order","Quantity","Source No.",$D2167,"Equipment Code",$L2167,"due date",J$8)/$J$7</t>
  </si>
  <si>
    <t>=AVERAGE(I2167:J2167)</t>
  </si>
  <si>
    <t>=IF(K2168=0,"hide","")</t>
  </si>
  <si>
    <t>=D2167</t>
  </si>
  <si>
    <t>=NL("sum","Production Order","Quantity","Source No.",$D2168,"Equipment Code",$L2168,"due date",F$8)/-12</t>
  </si>
  <si>
    <t>=NL("sum","Production Order","Quantity","Source No.",$D2168,"Equipment Code",$L2168,"due date",G$8)/-12</t>
  </si>
  <si>
    <t>=NL("sum","Production Order","Quantity","Source No.",$D2168,"Equipment Code",$L2168,"due date",H$8)/-12</t>
  </si>
  <si>
    <t>=NL("sum","Production Order","Quantity","Source No.",$D2168,"Equipment Code",$L2168,"due date",I$8)/-12</t>
  </si>
  <si>
    <t>=NL("sum","Production Order","Quantity","Source No.",$D2168,"Equipment Code",$L2168,"due date",J$8)/$J$7</t>
  </si>
  <si>
    <t>=AVERAGE(I2168:J2168)</t>
  </si>
  <si>
    <t>=B2165</t>
  </si>
  <si>
    <t>=B2169</t>
  </si>
  <si>
    <t>=SUM(F2165:F2169)</t>
  </si>
  <si>
    <t>=SUM(G2165:G2169)</t>
  </si>
  <si>
    <t>=SUM(H2165:H2169)</t>
  </si>
  <si>
    <t>=SUM(I2165:I2169)</t>
  </si>
  <si>
    <t>=SUM(J2165:J2169)</t>
  </si>
  <si>
    <t>=IF(K2171=0,"hide","")</t>
  </si>
  <si>
    <t>="25239"</t>
  </si>
  <si>
    <t>=NL("rows","Production BOM Version","Version Code","Production BOM No.",D2171,"status","certified")</t>
  </si>
  <si>
    <t>=NL("sum","Item Ledger Entry","Quantity","Item No.",$D2171,"Entry Type","Sale|Consumption","posting date","01/01/19..12/31/19")/-12</t>
  </si>
  <si>
    <t>=NL("sum","Item Ledger Entry","Quantity","Item No.",$D2171,"Entry Type","Sale|Consumption","posting date","01/01/20..12/31/20")/-12</t>
  </si>
  <si>
    <t>=NL("sum","Item Ledger Entry","Quantity","Item No.",$D2171,"Entry Type","Sale|Consumption","posting date","01/01/21..12/31/21")/-12</t>
  </si>
  <si>
    <t>=NL("sum","Item Ledger Entry","Quantity","Item No.",$D2171,"Entry Type","Sale|Consumption","posting date","01/01/22..12/31/22")/-12</t>
  </si>
  <si>
    <t>=NL("sum","Item Ledger Entry","Quantity","Item No.",$D2171,"Entry Type","Sale|Consumption","posting date","01/01/23..12/31/23")/$J$7</t>
  </si>
  <si>
    <t>=AVERAGE(I2171:J2171)</t>
  </si>
  <si>
    <t>=NL(1,"item",L$9,"no.",D2171)</t>
  </si>
  <si>
    <t>=NL(1,"item",M$9,"no.",$D2171)</t>
  </si>
  <si>
    <t>=NL(1,"item","Units Per Parcel","no.",$D2171)</t>
  </si>
  <si>
    <t>=NL(1,"Prod. BOM Equipment","Fixed Prod. Time (Hours)","Production BOM No.",$D2171,"version code",$E2171,"Resource No.",O$9)</t>
  </si>
  <si>
    <t>=1/O2171</t>
  </si>
  <si>
    <t>=IF(NL(1,"Prod. BOM Equipment","Variable Prod. Time (Hours)","Production BOM No.",$D2171,"version code",$E2171,"Resource No.",$O$9)="",1,NL(1,"Prod. BOM Equipment","Variable Prod. Time (Hours)","Production BOM No.",$D2171,"version code",$E2171,"Resource No.",$O$9))</t>
  </si>
  <si>
    <t>=1/Q2171</t>
  </si>
  <si>
    <t>=R2171*N2171</t>
  </si>
  <si>
    <t>=IF(K2172=0,"hide","")</t>
  </si>
  <si>
    <t>=D2171</t>
  </si>
  <si>
    <t>=NL("sum","Production Order","Quantity","Source No.",$D2172,"Equipment Code",$L2172,"due date",F$8)/-12</t>
  </si>
  <si>
    <t>=NL("sum","Production Order","Quantity","Source No.",$D2172,"Equipment Code",$L2172,"due date",G$8)/-12</t>
  </si>
  <si>
    <t>=NL("sum","Production Order","Quantity","Source No.",$D2172,"Equipment Code",$L2172,"due date",H$8)/-12</t>
  </si>
  <si>
    <t>=NL("sum","Production Order","Quantity","Source No.",$D2172,"Equipment Code",$L2172,"due date",I$8)/-12</t>
  </si>
  <si>
    <t>=NL("sum","Production Order","Quantity","Source No.",$D2172,"Equipment Code",$L2172,"due date",J$8)/$J$7</t>
  </si>
  <si>
    <t>=AVERAGE(I2172:J2172)</t>
  </si>
  <si>
    <t>=IF(K2173=0,"hide","")</t>
  </si>
  <si>
    <t>=D2172</t>
  </si>
  <si>
    <t>=NL("sum","Production Order","Quantity","Source No.",$D2173,"Equipment Code",$L2173,"due date",F$8)/-12</t>
  </si>
  <si>
    <t>=NL("sum","Production Order","Quantity","Source No.",$D2173,"Equipment Code",$L2173,"due date",G$8)/-12</t>
  </si>
  <si>
    <t>=NL("sum","Production Order","Quantity","Source No.",$D2173,"Equipment Code",$L2173,"due date",H$8)/-12</t>
  </si>
  <si>
    <t>=NL("sum","Production Order","Quantity","Source No.",$D2173,"Equipment Code",$L2173,"due date",I$8)/-12</t>
  </si>
  <si>
    <t>=NL("sum","Production Order","Quantity","Source No.",$D2173,"Equipment Code",$L2173,"due date",J$8)/$J$7</t>
  </si>
  <si>
    <t>=AVERAGE(I2173:J2173)</t>
  </si>
  <si>
    <t>=IF(K2174=0,"hide","")</t>
  </si>
  <si>
    <t>=D2173</t>
  </si>
  <si>
    <t>=NL("sum","Production Order","Quantity","Source No.",$D2174,"Equipment Code",$L2174,"due date",F$8)/-12</t>
  </si>
  <si>
    <t>=NL("sum","Production Order","Quantity","Source No.",$D2174,"Equipment Code",$L2174,"due date",G$8)/-12</t>
  </si>
  <si>
    <t>=NL("sum","Production Order","Quantity","Source No.",$D2174,"Equipment Code",$L2174,"due date",H$8)/-12</t>
  </si>
  <si>
    <t>=NL("sum","Production Order","Quantity","Source No.",$D2174,"Equipment Code",$L2174,"due date",I$8)/-12</t>
  </si>
  <si>
    <t>=NL("sum","Production Order","Quantity","Source No.",$D2174,"Equipment Code",$L2174,"due date",J$8)/$J$7</t>
  </si>
  <si>
    <t>=AVERAGE(I2174:J2174)</t>
  </si>
  <si>
    <t>=IF(K2175=0,"hide","")</t>
  </si>
  <si>
    <t>=D2174</t>
  </si>
  <si>
    <t>=NL("sum","Production Order","Quantity","Source No.",$D2175,"Equipment Code",$L2175,"due date",F$8)/-12</t>
  </si>
  <si>
    <t>=NL("sum","Production Order","Quantity","Source No.",$D2175,"Equipment Code",$L2175,"due date",G$8)/-12</t>
  </si>
  <si>
    <t>=NL("sum","Production Order","Quantity","Source No.",$D2175,"Equipment Code",$L2175,"due date",H$8)/-12</t>
  </si>
  <si>
    <t>=NL("sum","Production Order","Quantity","Source No.",$D2175,"Equipment Code",$L2175,"due date",I$8)/-12</t>
  </si>
  <si>
    <t>=NL("sum","Production Order","Quantity","Source No.",$D2175,"Equipment Code",$L2175,"due date",J$8)/$J$7</t>
  </si>
  <si>
    <t>=AVERAGE(I2175:J2175)</t>
  </si>
  <si>
    <t>=B2172</t>
  </si>
  <si>
    <t>=B2176</t>
  </si>
  <si>
    <t>=SUM(F2172:F2176)</t>
  </si>
  <si>
    <t>=SUM(G2172:G2176)</t>
  </si>
  <si>
    <t>=SUM(H2172:H2176)</t>
  </si>
  <si>
    <t>=SUM(I2172:I2176)</t>
  </si>
  <si>
    <t>=SUM(J2172:J2176)</t>
  </si>
  <si>
    <t>=IF(K2178=0,"hide","")</t>
  </si>
  <si>
    <t>=NL("rows","Production BOM Version","Version Code","Production BOM No.",D2178,"status","certified")</t>
  </si>
  <si>
    <t>=NL("sum","Item Ledger Entry","Quantity","Item No.",$D2178,"Entry Type","Sale|Consumption","posting date","01/01/19..12/31/19")/-12</t>
  </si>
  <si>
    <t>=NL("sum","Item Ledger Entry","Quantity","Item No.",$D2178,"Entry Type","Sale|Consumption","posting date","01/01/20..12/31/20")/-12</t>
  </si>
  <si>
    <t>=NL("sum","Item Ledger Entry","Quantity","Item No.",$D2178,"Entry Type","Sale|Consumption","posting date","01/01/21..12/31/21")/-12</t>
  </si>
  <si>
    <t>=NL("sum","Item Ledger Entry","Quantity","Item No.",$D2178,"Entry Type","Sale|Consumption","posting date","01/01/22..12/31/22")/-12</t>
  </si>
  <si>
    <t>=NL("sum","Item Ledger Entry","Quantity","Item No.",$D2178,"Entry Type","Sale|Consumption","posting date","01/01/23..12/31/23")/$J$7</t>
  </si>
  <si>
    <t>=AVERAGE(I2178:J2178)</t>
  </si>
  <si>
    <t>=NL(1,"item",L$9,"no.",D2178)</t>
  </si>
  <si>
    <t>=NL(1,"item",M$9,"no.",$D2178)</t>
  </si>
  <si>
    <t>=NL(1,"item","Units Per Parcel","no.",$D2178)</t>
  </si>
  <si>
    <t>=NL(1,"Prod. BOM Equipment","Fixed Prod. Time (Hours)","Production BOM No.",$D2178,"version code",$E2178,"Resource No.",O$9)</t>
  </si>
  <si>
    <t>=1/O2178</t>
  </si>
  <si>
    <t>=IF(NL(1,"Prod. BOM Equipment","Variable Prod. Time (Hours)","Production BOM No.",$D2178,"version code",$E2178,"Resource No.",$O$9)="",1,NL(1,"Prod. BOM Equipment","Variable Prod. Time (Hours)","Production BOM No.",$D2178,"version code",$E2178,"Resource No.",$O$9))</t>
  </si>
  <si>
    <t>=1/Q2178</t>
  </si>
  <si>
    <t>=R2178*N2178</t>
  </si>
  <si>
    <t>=IF(K2179=0,"hide","")</t>
  </si>
  <si>
    <t>=D2178</t>
  </si>
  <si>
    <t>=NL("sum","Production Order","Quantity","Source No.",$D2179,"Equipment Code",$L2179,"due date",F$8)/-12</t>
  </si>
  <si>
    <t>=NL("sum","Production Order","Quantity","Source No.",$D2179,"Equipment Code",$L2179,"due date",G$8)/-12</t>
  </si>
  <si>
    <t>=NL("sum","Production Order","Quantity","Source No.",$D2179,"Equipment Code",$L2179,"due date",H$8)/-12</t>
  </si>
  <si>
    <t>=NL("sum","Production Order","Quantity","Source No.",$D2179,"Equipment Code",$L2179,"due date",I$8)/-12</t>
  </si>
  <si>
    <t>=NL("sum","Production Order","Quantity","Source No.",$D2179,"Equipment Code",$L2179,"due date",J$8)/$J$7</t>
  </si>
  <si>
    <t>=AVERAGE(I2179:J2179)</t>
  </si>
  <si>
    <t>=IF(K2180=0,"hide","")</t>
  </si>
  <si>
    <t>=D2179</t>
  </si>
  <si>
    <t>=NL("sum","Production Order","Quantity","Source No.",$D2180,"Equipment Code",$L2180,"due date",F$8)/-12</t>
  </si>
  <si>
    <t>=NL("sum","Production Order","Quantity","Source No.",$D2180,"Equipment Code",$L2180,"due date",G$8)/-12</t>
  </si>
  <si>
    <t>=NL("sum","Production Order","Quantity","Source No.",$D2180,"Equipment Code",$L2180,"due date",H$8)/-12</t>
  </si>
  <si>
    <t>=NL("sum","Production Order","Quantity","Source No.",$D2180,"Equipment Code",$L2180,"due date",I$8)/-12</t>
  </si>
  <si>
    <t>=NL("sum","Production Order","Quantity","Source No.",$D2180,"Equipment Code",$L2180,"due date",J$8)/$J$7</t>
  </si>
  <si>
    <t>=AVERAGE(I2180:J2180)</t>
  </si>
  <si>
    <t>=IF(K2181=0,"hide","")</t>
  </si>
  <si>
    <t>=D2180</t>
  </si>
  <si>
    <t>=NL("sum","Production Order","Quantity","Source No.",$D2181,"Equipment Code",$L2181,"due date",F$8)/-12</t>
  </si>
  <si>
    <t>=NL("sum","Production Order","Quantity","Source No.",$D2181,"Equipment Code",$L2181,"due date",G$8)/-12</t>
  </si>
  <si>
    <t>=NL("sum","Production Order","Quantity","Source No.",$D2181,"Equipment Code",$L2181,"due date",H$8)/-12</t>
  </si>
  <si>
    <t>=NL("sum","Production Order","Quantity","Source No.",$D2181,"Equipment Code",$L2181,"due date",I$8)/-12</t>
  </si>
  <si>
    <t>=NL("sum","Production Order","Quantity","Source No.",$D2181,"Equipment Code",$L2181,"due date",J$8)/$J$7</t>
  </si>
  <si>
    <t>=AVERAGE(I2181:J2181)</t>
  </si>
  <si>
    <t>=IF(K2182=0,"hide","")</t>
  </si>
  <si>
    <t>=D2181</t>
  </si>
  <si>
    <t>=NL("sum","Production Order","Quantity","Source No.",$D2182,"Equipment Code",$L2182,"due date",F$8)/-12</t>
  </si>
  <si>
    <t>=NL("sum","Production Order","Quantity","Source No.",$D2182,"Equipment Code",$L2182,"due date",G$8)/-12</t>
  </si>
  <si>
    <t>=NL("sum","Production Order","Quantity","Source No.",$D2182,"Equipment Code",$L2182,"due date",H$8)/-12</t>
  </si>
  <si>
    <t>=NL("sum","Production Order","Quantity","Source No.",$D2182,"Equipment Code",$L2182,"due date",I$8)/-12</t>
  </si>
  <si>
    <t>=NL("sum","Production Order","Quantity","Source No.",$D2182,"Equipment Code",$L2182,"due date",J$8)/$J$7</t>
  </si>
  <si>
    <t>=AVERAGE(I2182:J2182)</t>
  </si>
  <si>
    <t>=B2179</t>
  </si>
  <si>
    <t>=B2183</t>
  </si>
  <si>
    <t>=SUM(F2179:F2183)</t>
  </si>
  <si>
    <t>=SUM(G2179:G2183)</t>
  </si>
  <si>
    <t>=SUM(H2179:H2183)</t>
  </si>
  <si>
    <t>=SUM(I2179:I2183)</t>
  </si>
  <si>
    <t>=SUM(J2179:J2183)</t>
  </si>
  <si>
    <t>=IF(K2185=0,"hide","")</t>
  </si>
  <si>
    <t>=NL("rows","Production BOM Version","Version Code","Production BOM No.",D2185,"status","certified")</t>
  </si>
  <si>
    <t>=NL("sum","Item Ledger Entry","Quantity","Item No.",$D2185,"Entry Type","Sale|Consumption","posting date","01/01/19..12/31/19")/-12</t>
  </si>
  <si>
    <t>=NL("sum","Item Ledger Entry","Quantity","Item No.",$D2185,"Entry Type","Sale|Consumption","posting date","01/01/20..12/31/20")/-12</t>
  </si>
  <si>
    <t>=NL("sum","Item Ledger Entry","Quantity","Item No.",$D2185,"Entry Type","Sale|Consumption","posting date","01/01/21..12/31/21")/-12</t>
  </si>
  <si>
    <t>=NL("sum","Item Ledger Entry","Quantity","Item No.",$D2185,"Entry Type","Sale|Consumption","posting date","01/01/22..12/31/22")/-12</t>
  </si>
  <si>
    <t>=NL("sum","Item Ledger Entry","Quantity","Item No.",$D2185,"Entry Type","Sale|Consumption","posting date","01/01/23..12/31/23")/$J$7</t>
  </si>
  <si>
    <t>=AVERAGE(I2185:J2185)</t>
  </si>
  <si>
    <t>=NL(1,"item",L$9,"no.",D2185)</t>
  </si>
  <si>
    <t>=NL(1,"item",M$9,"no.",$D2185)</t>
  </si>
  <si>
    <t>=NL(1,"item","Units Per Parcel","no.",$D2185)</t>
  </si>
  <si>
    <t>=NL(1,"Prod. BOM Equipment","Fixed Prod. Time (Hours)","Production BOM No.",$D2185,"version code",$E2185,"Resource No.",O$9)</t>
  </si>
  <si>
    <t>=1/O2185</t>
  </si>
  <si>
    <t>=IF(NL(1,"Prod. BOM Equipment","Variable Prod. Time (Hours)","Production BOM No.",$D2185,"version code",$E2185,"Resource No.",$O$9)="",1,NL(1,"Prod. BOM Equipment","Variable Prod. Time (Hours)","Production BOM No.",$D2185,"version code",$E2185,"Resource No.",$O$9))</t>
  </si>
  <si>
    <t>=1/Q2185</t>
  </si>
  <si>
    <t>=R2185*N2185</t>
  </si>
  <si>
    <t>=IF(K2186=0,"hide","")</t>
  </si>
  <si>
    <t>=D2185</t>
  </si>
  <si>
    <t>=NL("sum","Production Order","Quantity","Source No.",$D2186,"Equipment Code",$L2186,"due date",F$8)/-12</t>
  </si>
  <si>
    <t>=NL("sum","Production Order","Quantity","Source No.",$D2186,"Equipment Code",$L2186,"due date",G$8)/-12</t>
  </si>
  <si>
    <t>=NL("sum","Production Order","Quantity","Source No.",$D2186,"Equipment Code",$L2186,"due date",H$8)/-12</t>
  </si>
  <si>
    <t>=NL("sum","Production Order","Quantity","Source No.",$D2186,"Equipment Code",$L2186,"due date",I$8)/-12</t>
  </si>
  <si>
    <t>=NL("sum","Production Order","Quantity","Source No.",$D2186,"Equipment Code",$L2186,"due date",J$8)/$J$7</t>
  </si>
  <si>
    <t>=AVERAGE(I2186:J2186)</t>
  </si>
  <si>
    <t>=IF(K2187=0,"hide","")</t>
  </si>
  <si>
    <t>=D2186</t>
  </si>
  <si>
    <t>=NL("sum","Production Order","Quantity","Source No.",$D2187,"Equipment Code",$L2187,"due date",F$8)/-12</t>
  </si>
  <si>
    <t>=NL("sum","Production Order","Quantity","Source No.",$D2187,"Equipment Code",$L2187,"due date",G$8)/-12</t>
  </si>
  <si>
    <t>=NL("sum","Production Order","Quantity","Source No.",$D2187,"Equipment Code",$L2187,"due date",H$8)/-12</t>
  </si>
  <si>
    <t>=NL("sum","Production Order","Quantity","Source No.",$D2187,"Equipment Code",$L2187,"due date",I$8)/-12</t>
  </si>
  <si>
    <t>=NL("sum","Production Order","Quantity","Source No.",$D2187,"Equipment Code",$L2187,"due date",J$8)/$J$7</t>
  </si>
  <si>
    <t>=AVERAGE(I2187:J2187)</t>
  </si>
  <si>
    <t>=IF(K2188=0,"hide","")</t>
  </si>
  <si>
    <t>=D2187</t>
  </si>
  <si>
    <t>=NL("sum","Production Order","Quantity","Source No.",$D2188,"Equipment Code",$L2188,"due date",F$8)/-12</t>
  </si>
  <si>
    <t>=NL("sum","Production Order","Quantity","Source No.",$D2188,"Equipment Code",$L2188,"due date",G$8)/-12</t>
  </si>
  <si>
    <t>=NL("sum","Production Order","Quantity","Source No.",$D2188,"Equipment Code",$L2188,"due date",H$8)/-12</t>
  </si>
  <si>
    <t>=NL("sum","Production Order","Quantity","Source No.",$D2188,"Equipment Code",$L2188,"due date",I$8)/-12</t>
  </si>
  <si>
    <t>=NL("sum","Production Order","Quantity","Source No.",$D2188,"Equipment Code",$L2188,"due date",J$8)/$J$7</t>
  </si>
  <si>
    <t>=AVERAGE(I2188:J2188)</t>
  </si>
  <si>
    <t>=IF(K2189=0,"hide","")</t>
  </si>
  <si>
    <t>=D2188</t>
  </si>
  <si>
    <t>=NL("sum","Production Order","Quantity","Source No.",$D2189,"Equipment Code",$L2189,"due date",F$8)/-12</t>
  </si>
  <si>
    <t>=NL("sum","Production Order","Quantity","Source No.",$D2189,"Equipment Code",$L2189,"due date",G$8)/-12</t>
  </si>
  <si>
    <t>=NL("sum","Production Order","Quantity","Source No.",$D2189,"Equipment Code",$L2189,"due date",H$8)/-12</t>
  </si>
  <si>
    <t>=NL("sum","Production Order","Quantity","Source No.",$D2189,"Equipment Code",$L2189,"due date",I$8)/-12</t>
  </si>
  <si>
    <t>=NL("sum","Production Order","Quantity","Source No.",$D2189,"Equipment Code",$L2189,"due date",J$8)/$J$7</t>
  </si>
  <si>
    <t>=AVERAGE(I2189:J2189)</t>
  </si>
  <si>
    <t>=B2186</t>
  </si>
  <si>
    <t>=B2190</t>
  </si>
  <si>
    <t>=SUM(F2186:F2190)</t>
  </si>
  <si>
    <t>=SUM(G2186:G2190)</t>
  </si>
  <si>
    <t>=SUM(H2186:H2190)</t>
  </si>
  <si>
    <t>=SUM(I2186:I2190)</t>
  </si>
  <si>
    <t>=SUM(J2186:J2190)</t>
  </si>
  <si>
    <t>=IF(K2192=0,"hide","")</t>
  </si>
  <si>
    <t>="26605"</t>
  </si>
  <si>
    <t>=NL("rows","Production BOM Version","Version Code","Production BOM No.",D2192,"status","certified")</t>
  </si>
  <si>
    <t>=NL("sum","Item Ledger Entry","Quantity","Item No.",$D2192,"Entry Type","Sale|Consumption","posting date","01/01/19..12/31/19")/-12</t>
  </si>
  <si>
    <t>=NL("sum","Item Ledger Entry","Quantity","Item No.",$D2192,"Entry Type","Sale|Consumption","posting date","01/01/20..12/31/20")/-12</t>
  </si>
  <si>
    <t>=NL("sum","Item Ledger Entry","Quantity","Item No.",$D2192,"Entry Type","Sale|Consumption","posting date","01/01/21..12/31/21")/-12</t>
  </si>
  <si>
    <t>=NL("sum","Item Ledger Entry","Quantity","Item No.",$D2192,"Entry Type","Sale|Consumption","posting date","01/01/22..12/31/22")/-12</t>
  </si>
  <si>
    <t>=NL("sum","Item Ledger Entry","Quantity","Item No.",$D2192,"Entry Type","Sale|Consumption","posting date","01/01/23..12/31/23")/$J$7</t>
  </si>
  <si>
    <t>=AVERAGE(I2192:J2192)</t>
  </si>
  <si>
    <t>=NL(1,"item",L$9,"no.",D2192)</t>
  </si>
  <si>
    <t>=NL(1,"item",M$9,"no.",$D2192)</t>
  </si>
  <si>
    <t>=NL(1,"item","Units Per Parcel","no.",$D2192)</t>
  </si>
  <si>
    <t>=NL(1,"Prod. BOM Equipment","Fixed Prod. Time (Hours)","Production BOM No.",$D2192,"version code",$E2192,"Resource No.",O$9)</t>
  </si>
  <si>
    <t>=1/O2192</t>
  </si>
  <si>
    <t>=IF(NL(1,"Prod. BOM Equipment","Variable Prod. Time (Hours)","Production BOM No.",$D2192,"version code",$E2192,"Resource No.",$O$9)="",1,NL(1,"Prod. BOM Equipment","Variable Prod. Time (Hours)","Production BOM No.",$D2192,"version code",$E2192,"Resource No.",$O$9))</t>
  </si>
  <si>
    <t>=1/Q2192</t>
  </si>
  <si>
    <t>=R2192*N2192</t>
  </si>
  <si>
    <t>=IF(K2193=0,"hide","")</t>
  </si>
  <si>
    <t>=D2192</t>
  </si>
  <si>
    <t>=NL("sum","Production Order","Quantity","Source No.",$D2193,"Equipment Code",$L2193,"due date",F$8)/-12</t>
  </si>
  <si>
    <t>=NL("sum","Production Order","Quantity","Source No.",$D2193,"Equipment Code",$L2193,"due date",G$8)/-12</t>
  </si>
  <si>
    <t>=NL("sum","Production Order","Quantity","Source No.",$D2193,"Equipment Code",$L2193,"due date",H$8)/-12</t>
  </si>
  <si>
    <t>=NL("sum","Production Order","Quantity","Source No.",$D2193,"Equipment Code",$L2193,"due date",I$8)/-12</t>
  </si>
  <si>
    <t>=NL("sum","Production Order","Quantity","Source No.",$D2193,"Equipment Code",$L2193,"due date",J$8)/$J$7</t>
  </si>
  <si>
    <t>=AVERAGE(I2193:J2193)</t>
  </si>
  <si>
    <t>=IF(K2194=0,"hide","")</t>
  </si>
  <si>
    <t>=D2193</t>
  </si>
  <si>
    <t>=NL("sum","Production Order","Quantity","Source No.",$D2194,"Equipment Code",$L2194,"due date",F$8)/-12</t>
  </si>
  <si>
    <t>=NL("sum","Production Order","Quantity","Source No.",$D2194,"Equipment Code",$L2194,"due date",G$8)/-12</t>
  </si>
  <si>
    <t>=NL("sum","Production Order","Quantity","Source No.",$D2194,"Equipment Code",$L2194,"due date",H$8)/-12</t>
  </si>
  <si>
    <t>=NL("sum","Production Order","Quantity","Source No.",$D2194,"Equipment Code",$L2194,"due date",I$8)/-12</t>
  </si>
  <si>
    <t>=NL("sum","Production Order","Quantity","Source No.",$D2194,"Equipment Code",$L2194,"due date",J$8)/$J$7</t>
  </si>
  <si>
    <t>=AVERAGE(I2194:J2194)</t>
  </si>
  <si>
    <t>=IF(K2195=0,"hide","")</t>
  </si>
  <si>
    <t>=D2194</t>
  </si>
  <si>
    <t>=NL("sum","Production Order","Quantity","Source No.",$D2195,"Equipment Code",$L2195,"due date",F$8)/-12</t>
  </si>
  <si>
    <t>=NL("sum","Production Order","Quantity","Source No.",$D2195,"Equipment Code",$L2195,"due date",G$8)/-12</t>
  </si>
  <si>
    <t>=NL("sum","Production Order","Quantity","Source No.",$D2195,"Equipment Code",$L2195,"due date",H$8)/-12</t>
  </si>
  <si>
    <t>=NL("sum","Production Order","Quantity","Source No.",$D2195,"Equipment Code",$L2195,"due date",I$8)/-12</t>
  </si>
  <si>
    <t>=NL("sum","Production Order","Quantity","Source No.",$D2195,"Equipment Code",$L2195,"due date",J$8)/$J$7</t>
  </si>
  <si>
    <t>=AVERAGE(I2195:J2195)</t>
  </si>
  <si>
    <t>=IF(K2196=0,"hide","")</t>
  </si>
  <si>
    <t>=D2195</t>
  </si>
  <si>
    <t>=NL("sum","Production Order","Quantity","Source No.",$D2196,"Equipment Code",$L2196,"due date",F$8)/-12</t>
  </si>
  <si>
    <t>=NL("sum","Production Order","Quantity","Source No.",$D2196,"Equipment Code",$L2196,"due date",G$8)/-12</t>
  </si>
  <si>
    <t>=NL("sum","Production Order","Quantity","Source No.",$D2196,"Equipment Code",$L2196,"due date",H$8)/-12</t>
  </si>
  <si>
    <t>=NL("sum","Production Order","Quantity","Source No.",$D2196,"Equipment Code",$L2196,"due date",I$8)/-12</t>
  </si>
  <si>
    <t>=NL("sum","Production Order","Quantity","Source No.",$D2196,"Equipment Code",$L2196,"due date",J$8)/$J$7</t>
  </si>
  <si>
    <t>=AVERAGE(I2196:J2196)</t>
  </si>
  <si>
    <t>=B2193</t>
  </si>
  <si>
    <t>=B2197</t>
  </si>
  <si>
    <t>=SUM(F2193:F2197)</t>
  </si>
  <si>
    <t>=SUM(G2193:G2197)</t>
  </si>
  <si>
    <t>=SUM(H2193:H2197)</t>
  </si>
  <si>
    <t>=SUM(I2193:I2197)</t>
  </si>
  <si>
    <t>=SUM(J2193:J2197)</t>
  </si>
  <si>
    <t>=IF(K2199=0,"hide","")</t>
  </si>
  <si>
    <t>="26625"</t>
  </si>
  <si>
    <t>=NL("rows","Production BOM Version","Version Code","Production BOM No.",D2199,"status","certified")</t>
  </si>
  <si>
    <t>=NL("sum","Item Ledger Entry","Quantity","Item No.",$D2199,"Entry Type","Sale|Consumption","posting date","01/01/19..12/31/19")/-12</t>
  </si>
  <si>
    <t>=NL("sum","Item Ledger Entry","Quantity","Item No.",$D2199,"Entry Type","Sale|Consumption","posting date","01/01/20..12/31/20")/-12</t>
  </si>
  <si>
    <t>=NL("sum","Item Ledger Entry","Quantity","Item No.",$D2199,"Entry Type","Sale|Consumption","posting date","01/01/21..12/31/21")/-12</t>
  </si>
  <si>
    <t>=NL("sum","Item Ledger Entry","Quantity","Item No.",$D2199,"Entry Type","Sale|Consumption","posting date","01/01/22..12/31/22")/-12</t>
  </si>
  <si>
    <t>=NL("sum","Item Ledger Entry","Quantity","Item No.",$D2199,"Entry Type","Sale|Consumption","posting date","01/01/23..12/31/23")/$J$7</t>
  </si>
  <si>
    <t>=AVERAGE(I2199:J2199)</t>
  </si>
  <si>
    <t>=NL(1,"item",L$9,"no.",D2199)</t>
  </si>
  <si>
    <t>=NL(1,"item",M$9,"no.",$D2199)</t>
  </si>
  <si>
    <t>=NL(1,"item","Units Per Parcel","no.",$D2199)</t>
  </si>
  <si>
    <t>=NL(1,"Prod. BOM Equipment","Fixed Prod. Time (Hours)","Production BOM No.",$D2199,"version code",$E2199,"Resource No.",O$9)</t>
  </si>
  <si>
    <t>=1/O2199</t>
  </si>
  <si>
    <t>=IF(NL(1,"Prod. BOM Equipment","Variable Prod. Time (Hours)","Production BOM No.",$D2199,"version code",$E2199,"Resource No.",$O$9)="",1,NL(1,"Prod. BOM Equipment","Variable Prod. Time (Hours)","Production BOM No.",$D2199,"version code",$E2199,"Resource No.",$O$9))</t>
  </si>
  <si>
    <t>=1/Q2199</t>
  </si>
  <si>
    <t>=R2199*N2199</t>
  </si>
  <si>
    <t>=IF(K2200=0,"hide","")</t>
  </si>
  <si>
    <t>=D2199</t>
  </si>
  <si>
    <t>=NL("sum","Production Order","Quantity","Source No.",$D2200,"Equipment Code",$L2200,"due date",F$8)/-12</t>
  </si>
  <si>
    <t>=NL("sum","Production Order","Quantity","Source No.",$D2200,"Equipment Code",$L2200,"due date",G$8)/-12</t>
  </si>
  <si>
    <t>=NL("sum","Production Order","Quantity","Source No.",$D2200,"Equipment Code",$L2200,"due date",H$8)/-12</t>
  </si>
  <si>
    <t>=NL("sum","Production Order","Quantity","Source No.",$D2200,"Equipment Code",$L2200,"due date",I$8)/-12</t>
  </si>
  <si>
    <t>=NL("sum","Production Order","Quantity","Source No.",$D2200,"Equipment Code",$L2200,"due date",J$8)/$J$7</t>
  </si>
  <si>
    <t>=AVERAGE(I2200:J2200)</t>
  </si>
  <si>
    <t>=IF(K2201=0,"hide","")</t>
  </si>
  <si>
    <t>=D2200</t>
  </si>
  <si>
    <t>=NL("sum","Production Order","Quantity","Source No.",$D2201,"Equipment Code",$L2201,"due date",F$8)/-12</t>
  </si>
  <si>
    <t>=NL("sum","Production Order","Quantity","Source No.",$D2201,"Equipment Code",$L2201,"due date",G$8)/-12</t>
  </si>
  <si>
    <t>=NL("sum","Production Order","Quantity","Source No.",$D2201,"Equipment Code",$L2201,"due date",H$8)/-12</t>
  </si>
  <si>
    <t>=NL("sum","Production Order","Quantity","Source No.",$D2201,"Equipment Code",$L2201,"due date",I$8)/-12</t>
  </si>
  <si>
    <t>=NL("sum","Production Order","Quantity","Source No.",$D2201,"Equipment Code",$L2201,"due date",J$8)/$J$7</t>
  </si>
  <si>
    <t>=AVERAGE(I2201:J2201)</t>
  </si>
  <si>
    <t>=IF(K2202=0,"hide","")</t>
  </si>
  <si>
    <t>=D2201</t>
  </si>
  <si>
    <t>=NL("sum","Production Order","Quantity","Source No.",$D2202,"Equipment Code",$L2202,"due date",F$8)/-12</t>
  </si>
  <si>
    <t>=NL("sum","Production Order","Quantity","Source No.",$D2202,"Equipment Code",$L2202,"due date",G$8)/-12</t>
  </si>
  <si>
    <t>=NL("sum","Production Order","Quantity","Source No.",$D2202,"Equipment Code",$L2202,"due date",H$8)/-12</t>
  </si>
  <si>
    <t>=NL("sum","Production Order","Quantity","Source No.",$D2202,"Equipment Code",$L2202,"due date",I$8)/-12</t>
  </si>
  <si>
    <t>=NL("sum","Production Order","Quantity","Source No.",$D2202,"Equipment Code",$L2202,"due date",J$8)/$J$7</t>
  </si>
  <si>
    <t>=AVERAGE(I2202:J2202)</t>
  </si>
  <si>
    <t>=IF(K2203=0,"hide","")</t>
  </si>
  <si>
    <t>=D2202</t>
  </si>
  <si>
    <t>=NL("sum","Production Order","Quantity","Source No.",$D2203,"Equipment Code",$L2203,"due date",F$8)/-12</t>
  </si>
  <si>
    <t>=NL("sum","Production Order","Quantity","Source No.",$D2203,"Equipment Code",$L2203,"due date",G$8)/-12</t>
  </si>
  <si>
    <t>=NL("sum","Production Order","Quantity","Source No.",$D2203,"Equipment Code",$L2203,"due date",H$8)/-12</t>
  </si>
  <si>
    <t>=NL("sum","Production Order","Quantity","Source No.",$D2203,"Equipment Code",$L2203,"due date",I$8)/-12</t>
  </si>
  <si>
    <t>=NL("sum","Production Order","Quantity","Source No.",$D2203,"Equipment Code",$L2203,"due date",J$8)/$J$7</t>
  </si>
  <si>
    <t>=AVERAGE(I2203:J2203)</t>
  </si>
  <si>
    <t>=B2200</t>
  </si>
  <si>
    <t>=B2204</t>
  </si>
  <si>
    <t>=SUM(F2200:F2204)</t>
  </si>
  <si>
    <t>=SUM(G2200:G2204)</t>
  </si>
  <si>
    <t>=SUM(H2200:H2204)</t>
  </si>
  <si>
    <t>=SUM(I2200:I2204)</t>
  </si>
  <si>
    <t>=SUM(J2200:J2204)</t>
  </si>
  <si>
    <t>=IF(K2206=0,"hide","")</t>
  </si>
  <si>
    <t>=NL("rows","Production BOM Version","Version Code","Production BOM No.",D2206,"status","certified")</t>
  </si>
  <si>
    <t>=NL("sum","Item Ledger Entry","Quantity","Item No.",$D2206,"Entry Type","Sale|Consumption","posting date","01/01/19..12/31/19")/-12</t>
  </si>
  <si>
    <t>=NL("sum","Item Ledger Entry","Quantity","Item No.",$D2206,"Entry Type","Sale|Consumption","posting date","01/01/20..12/31/20")/-12</t>
  </si>
  <si>
    <t>=NL("sum","Item Ledger Entry","Quantity","Item No.",$D2206,"Entry Type","Sale|Consumption","posting date","01/01/21..12/31/21")/-12</t>
  </si>
  <si>
    <t>=NL("sum","Item Ledger Entry","Quantity","Item No.",$D2206,"Entry Type","Sale|Consumption","posting date","01/01/22..12/31/22")/-12</t>
  </si>
  <si>
    <t>=NL("sum","Item Ledger Entry","Quantity","Item No.",$D2206,"Entry Type","Sale|Consumption","posting date","01/01/23..12/31/23")/$J$7</t>
  </si>
  <si>
    <t>=AVERAGE(I2206:J2206)</t>
  </si>
  <si>
    <t>=NL(1,"item",L$9,"no.",D2206)</t>
  </si>
  <si>
    <t>=NL(1,"item",M$9,"no.",$D2206)</t>
  </si>
  <si>
    <t>=NL(1,"item","Units Per Parcel","no.",$D2206)</t>
  </si>
  <si>
    <t>=NL(1,"Prod. BOM Equipment","Fixed Prod. Time (Hours)","Production BOM No.",$D2206,"version code",$E2206,"Resource No.",O$9)</t>
  </si>
  <si>
    <t>=1/O2206</t>
  </si>
  <si>
    <t>=IF(NL(1,"Prod. BOM Equipment","Variable Prod. Time (Hours)","Production BOM No.",$D2206,"version code",$E2206,"Resource No.",$O$9)="",1,NL(1,"Prod. BOM Equipment","Variable Prod. Time (Hours)","Production BOM No.",$D2206,"version code",$E2206,"Resource No.",$O$9))</t>
  </si>
  <si>
    <t>=1/Q2206</t>
  </si>
  <si>
    <t>=R2206*N2206</t>
  </si>
  <si>
    <t>=IF(K2207=0,"hide","")</t>
  </si>
  <si>
    <t>=D2206</t>
  </si>
  <si>
    <t>=NL("sum","Production Order","Quantity","Source No.",$D2207,"Equipment Code",$L2207,"due date",F$8)/-12</t>
  </si>
  <si>
    <t>=NL("sum","Production Order","Quantity","Source No.",$D2207,"Equipment Code",$L2207,"due date",G$8)/-12</t>
  </si>
  <si>
    <t>=NL("sum","Production Order","Quantity","Source No.",$D2207,"Equipment Code",$L2207,"due date",H$8)/-12</t>
  </si>
  <si>
    <t>=NL("sum","Production Order","Quantity","Source No.",$D2207,"Equipment Code",$L2207,"due date",I$8)/-12</t>
  </si>
  <si>
    <t>=NL("sum","Production Order","Quantity","Source No.",$D2207,"Equipment Code",$L2207,"due date",J$8)/$J$7</t>
  </si>
  <si>
    <t>=AVERAGE(I2207:J2207)</t>
  </si>
  <si>
    <t>=IF(K2208=0,"hide","")</t>
  </si>
  <si>
    <t>=D2207</t>
  </si>
  <si>
    <t>=NL("sum","Production Order","Quantity","Source No.",$D2208,"Equipment Code",$L2208,"due date",F$8)/-12</t>
  </si>
  <si>
    <t>=NL("sum","Production Order","Quantity","Source No.",$D2208,"Equipment Code",$L2208,"due date",G$8)/-12</t>
  </si>
  <si>
    <t>=NL("sum","Production Order","Quantity","Source No.",$D2208,"Equipment Code",$L2208,"due date",H$8)/-12</t>
  </si>
  <si>
    <t>=NL("sum","Production Order","Quantity","Source No.",$D2208,"Equipment Code",$L2208,"due date",I$8)/-12</t>
  </si>
  <si>
    <t>=NL("sum","Production Order","Quantity","Source No.",$D2208,"Equipment Code",$L2208,"due date",J$8)/$J$7</t>
  </si>
  <si>
    <t>=AVERAGE(I2208:J2208)</t>
  </si>
  <si>
    <t>=IF(K2209=0,"hide","")</t>
  </si>
  <si>
    <t>=D2208</t>
  </si>
  <si>
    <t>=NL("sum","Production Order","Quantity","Source No.",$D2209,"Equipment Code",$L2209,"due date",F$8)/-12</t>
  </si>
  <si>
    <t>=NL("sum","Production Order","Quantity","Source No.",$D2209,"Equipment Code",$L2209,"due date",G$8)/-12</t>
  </si>
  <si>
    <t>=NL("sum","Production Order","Quantity","Source No.",$D2209,"Equipment Code",$L2209,"due date",H$8)/-12</t>
  </si>
  <si>
    <t>=NL("sum","Production Order","Quantity","Source No.",$D2209,"Equipment Code",$L2209,"due date",I$8)/-12</t>
  </si>
  <si>
    <t>=NL("sum","Production Order","Quantity","Source No.",$D2209,"Equipment Code",$L2209,"due date",J$8)/$J$7</t>
  </si>
  <si>
    <t>=AVERAGE(I2209:J2209)</t>
  </si>
  <si>
    <t>=IF(K2210=0,"hide","")</t>
  </si>
  <si>
    <t>=D2209</t>
  </si>
  <si>
    <t>=NL("sum","Production Order","Quantity","Source No.",$D2210,"Equipment Code",$L2210,"due date",F$8)/-12</t>
  </si>
  <si>
    <t>=NL("sum","Production Order","Quantity","Source No.",$D2210,"Equipment Code",$L2210,"due date",G$8)/-12</t>
  </si>
  <si>
    <t>=NL("sum","Production Order","Quantity","Source No.",$D2210,"Equipment Code",$L2210,"due date",H$8)/-12</t>
  </si>
  <si>
    <t>=NL("sum","Production Order","Quantity","Source No.",$D2210,"Equipment Code",$L2210,"due date",I$8)/-12</t>
  </si>
  <si>
    <t>=NL("sum","Production Order","Quantity","Source No.",$D2210,"Equipment Code",$L2210,"due date",J$8)/$J$7</t>
  </si>
  <si>
    <t>=AVERAGE(I2210:J2210)</t>
  </si>
  <si>
    <t>=B2207</t>
  </si>
  <si>
    <t>=B2211</t>
  </si>
  <si>
    <t>=SUM(F2207:F2211)</t>
  </si>
  <si>
    <t>=SUM(G2207:G2211)</t>
  </si>
  <si>
    <t>=SUM(H2207:H2211)</t>
  </si>
  <si>
    <t>=SUM(I2207:I2211)</t>
  </si>
  <si>
    <t>=SUM(J2207:J2211)</t>
  </si>
  <si>
    <t>=IF(K2213=0,"hide","")</t>
  </si>
  <si>
    <t>=NL("rows","Production BOM Version","Version Code","Production BOM No.",D2213,"status","certified")</t>
  </si>
  <si>
    <t>=NL("sum","Item Ledger Entry","Quantity","Item No.",$D2213,"Entry Type","Sale|Consumption","posting date","01/01/19..12/31/19")/-12</t>
  </si>
  <si>
    <t>=NL("sum","Item Ledger Entry","Quantity","Item No.",$D2213,"Entry Type","Sale|Consumption","posting date","01/01/20..12/31/20")/-12</t>
  </si>
  <si>
    <t>=NL("sum","Item Ledger Entry","Quantity","Item No.",$D2213,"Entry Type","Sale|Consumption","posting date","01/01/21..12/31/21")/-12</t>
  </si>
  <si>
    <t>=NL("sum","Item Ledger Entry","Quantity","Item No.",$D2213,"Entry Type","Sale|Consumption","posting date","01/01/22..12/31/22")/-12</t>
  </si>
  <si>
    <t>=NL("sum","Item Ledger Entry","Quantity","Item No.",$D2213,"Entry Type","Sale|Consumption","posting date","01/01/23..12/31/23")/$J$7</t>
  </si>
  <si>
    <t>=AVERAGE(I2213:J2213)</t>
  </si>
  <si>
    <t>=NL(1,"item",L$9,"no.",D2213)</t>
  </si>
  <si>
    <t>=NL(1,"item",M$9,"no.",$D2213)</t>
  </si>
  <si>
    <t>=NL(1,"item","Units Per Parcel","no.",$D2213)</t>
  </si>
  <si>
    <t>=NL(1,"Prod. BOM Equipment","Fixed Prod. Time (Hours)","Production BOM No.",$D2213,"version code",$E2213,"Resource No.",O$9)</t>
  </si>
  <si>
    <t>=1/O2213</t>
  </si>
  <si>
    <t>=IF(NL(1,"Prod. BOM Equipment","Variable Prod. Time (Hours)","Production BOM No.",$D2213,"version code",$E2213,"Resource No.",$O$9)="",1,NL(1,"Prod. BOM Equipment","Variable Prod. Time (Hours)","Production BOM No.",$D2213,"version code",$E2213,"Resource No.",$O$9))</t>
  </si>
  <si>
    <t>=1/Q2213</t>
  </si>
  <si>
    <t>=R2213*N2213</t>
  </si>
  <si>
    <t>=IF(K2214=0,"hide","")</t>
  </si>
  <si>
    <t>=D2213</t>
  </si>
  <si>
    <t>=NL("sum","Production Order","Quantity","Source No.",$D2214,"Equipment Code",$L2214,"due date",F$8)/-12</t>
  </si>
  <si>
    <t>=NL("sum","Production Order","Quantity","Source No.",$D2214,"Equipment Code",$L2214,"due date",G$8)/-12</t>
  </si>
  <si>
    <t>=NL("sum","Production Order","Quantity","Source No.",$D2214,"Equipment Code",$L2214,"due date",H$8)/-12</t>
  </si>
  <si>
    <t>=NL("sum","Production Order","Quantity","Source No.",$D2214,"Equipment Code",$L2214,"due date",I$8)/-12</t>
  </si>
  <si>
    <t>=NL("sum","Production Order","Quantity","Source No.",$D2214,"Equipment Code",$L2214,"due date",J$8)/$J$7</t>
  </si>
  <si>
    <t>=AVERAGE(I2214:J2214)</t>
  </si>
  <si>
    <t>=IF(K2215=0,"hide","")</t>
  </si>
  <si>
    <t>=D2214</t>
  </si>
  <si>
    <t>=NL("sum","Production Order","Quantity","Source No.",$D2215,"Equipment Code",$L2215,"due date",F$8)/-12</t>
  </si>
  <si>
    <t>=NL("sum","Production Order","Quantity","Source No.",$D2215,"Equipment Code",$L2215,"due date",G$8)/-12</t>
  </si>
  <si>
    <t>=NL("sum","Production Order","Quantity","Source No.",$D2215,"Equipment Code",$L2215,"due date",H$8)/-12</t>
  </si>
  <si>
    <t>=NL("sum","Production Order","Quantity","Source No.",$D2215,"Equipment Code",$L2215,"due date",I$8)/-12</t>
  </si>
  <si>
    <t>=NL("sum","Production Order","Quantity","Source No.",$D2215,"Equipment Code",$L2215,"due date",J$8)/$J$7</t>
  </si>
  <si>
    <t>=AVERAGE(I2215:J2215)</t>
  </si>
  <si>
    <t>=IF(K2216=0,"hide","")</t>
  </si>
  <si>
    <t>=D2215</t>
  </si>
  <si>
    <t>=NL("sum","Production Order","Quantity","Source No.",$D2216,"Equipment Code",$L2216,"due date",F$8)/-12</t>
  </si>
  <si>
    <t>=NL("sum","Production Order","Quantity","Source No.",$D2216,"Equipment Code",$L2216,"due date",G$8)/-12</t>
  </si>
  <si>
    <t>=NL("sum","Production Order","Quantity","Source No.",$D2216,"Equipment Code",$L2216,"due date",H$8)/-12</t>
  </si>
  <si>
    <t>=NL("sum","Production Order","Quantity","Source No.",$D2216,"Equipment Code",$L2216,"due date",I$8)/-12</t>
  </si>
  <si>
    <t>=NL("sum","Production Order","Quantity","Source No.",$D2216,"Equipment Code",$L2216,"due date",J$8)/$J$7</t>
  </si>
  <si>
    <t>=AVERAGE(I2216:J2216)</t>
  </si>
  <si>
    <t>=IF(K2217=0,"hide","")</t>
  </si>
  <si>
    <t>=D2216</t>
  </si>
  <si>
    <t>=NL("sum","Production Order","Quantity","Source No.",$D2217,"Equipment Code",$L2217,"due date",F$8)/-12</t>
  </si>
  <si>
    <t>=NL("sum","Production Order","Quantity","Source No.",$D2217,"Equipment Code",$L2217,"due date",G$8)/-12</t>
  </si>
  <si>
    <t>=NL("sum","Production Order","Quantity","Source No.",$D2217,"Equipment Code",$L2217,"due date",H$8)/-12</t>
  </si>
  <si>
    <t>=NL("sum","Production Order","Quantity","Source No.",$D2217,"Equipment Code",$L2217,"due date",I$8)/-12</t>
  </si>
  <si>
    <t>=NL("sum","Production Order","Quantity","Source No.",$D2217,"Equipment Code",$L2217,"due date",J$8)/$J$7</t>
  </si>
  <si>
    <t>=AVERAGE(I2217:J2217)</t>
  </si>
  <si>
    <t>=B2214</t>
  </si>
  <si>
    <t>=B2218</t>
  </si>
  <si>
    <t>=SUM(F2214:F2218)</t>
  </si>
  <si>
    <t>=SUM(G2214:G2218)</t>
  </si>
  <si>
    <t>=SUM(H2214:H2218)</t>
  </si>
  <si>
    <t>=SUM(I2214:I2218)</t>
  </si>
  <si>
    <t>=SUM(J2214:J2218)</t>
  </si>
  <si>
    <t>=IF(K2220=0,"hide","")</t>
  </si>
  <si>
    <t>=NL("rows","Production BOM Version","Version Code","Production BOM No.",D2220,"status","certified")</t>
  </si>
  <si>
    <t>=NL("sum","Item Ledger Entry","Quantity","Item No.",$D2220,"Entry Type","Sale|Consumption","posting date","01/01/19..12/31/19")/-12</t>
  </si>
  <si>
    <t>=NL("sum","Item Ledger Entry","Quantity","Item No.",$D2220,"Entry Type","Sale|Consumption","posting date","01/01/20..12/31/20")/-12</t>
  </si>
  <si>
    <t>=NL("sum","Item Ledger Entry","Quantity","Item No.",$D2220,"Entry Type","Sale|Consumption","posting date","01/01/21..12/31/21")/-12</t>
  </si>
  <si>
    <t>=NL("sum","Item Ledger Entry","Quantity","Item No.",$D2220,"Entry Type","Sale|Consumption","posting date","01/01/22..12/31/22")/-12</t>
  </si>
  <si>
    <t>=NL("sum","Item Ledger Entry","Quantity","Item No.",$D2220,"Entry Type","Sale|Consumption","posting date","01/01/23..12/31/23")/$J$7</t>
  </si>
  <si>
    <t>=AVERAGE(I2220:J2220)</t>
  </si>
  <si>
    <t>=NL(1,"item",L$9,"no.",D2220)</t>
  </si>
  <si>
    <t>=NL(1,"item",M$9,"no.",$D2220)</t>
  </si>
  <si>
    <t>=NL(1,"item","Units Per Parcel","no.",$D2220)</t>
  </si>
  <si>
    <t>=NL(1,"Prod. BOM Equipment","Fixed Prod. Time (Hours)","Production BOM No.",$D2220,"version code",$E2220,"Resource No.",O$9)</t>
  </si>
  <si>
    <t>=1/O2220</t>
  </si>
  <si>
    <t>=IF(NL(1,"Prod. BOM Equipment","Variable Prod. Time (Hours)","Production BOM No.",$D2220,"version code",$E2220,"Resource No.",$O$9)="",1,NL(1,"Prod. BOM Equipment","Variable Prod. Time (Hours)","Production BOM No.",$D2220,"version code",$E2220,"Resource No.",$O$9))</t>
  </si>
  <si>
    <t>=1/Q2220</t>
  </si>
  <si>
    <t>=R2220*N2220</t>
  </si>
  <si>
    <t>=IF(K2221=0,"hide","")</t>
  </si>
  <si>
    <t>=D2220</t>
  </si>
  <si>
    <t>=NL("sum","Production Order","Quantity","Source No.",$D2221,"Equipment Code",$L2221,"due date",F$8)/-12</t>
  </si>
  <si>
    <t>=NL("sum","Production Order","Quantity","Source No.",$D2221,"Equipment Code",$L2221,"due date",G$8)/-12</t>
  </si>
  <si>
    <t>=NL("sum","Production Order","Quantity","Source No.",$D2221,"Equipment Code",$L2221,"due date",H$8)/-12</t>
  </si>
  <si>
    <t>=NL("sum","Production Order","Quantity","Source No.",$D2221,"Equipment Code",$L2221,"due date",I$8)/-12</t>
  </si>
  <si>
    <t>=NL("sum","Production Order","Quantity","Source No.",$D2221,"Equipment Code",$L2221,"due date",J$8)/$J$7</t>
  </si>
  <si>
    <t>=AVERAGE(I2221:J2221)</t>
  </si>
  <si>
    <t>=IF(K2222=0,"hide","")</t>
  </si>
  <si>
    <t>=D2221</t>
  </si>
  <si>
    <t>=NL("sum","Production Order","Quantity","Source No.",$D2222,"Equipment Code",$L2222,"due date",F$8)/-12</t>
  </si>
  <si>
    <t>=NL("sum","Production Order","Quantity","Source No.",$D2222,"Equipment Code",$L2222,"due date",G$8)/-12</t>
  </si>
  <si>
    <t>=NL("sum","Production Order","Quantity","Source No.",$D2222,"Equipment Code",$L2222,"due date",H$8)/-12</t>
  </si>
  <si>
    <t>=NL("sum","Production Order","Quantity","Source No.",$D2222,"Equipment Code",$L2222,"due date",I$8)/-12</t>
  </si>
  <si>
    <t>=NL("sum","Production Order","Quantity","Source No.",$D2222,"Equipment Code",$L2222,"due date",J$8)/$J$7</t>
  </si>
  <si>
    <t>=AVERAGE(I2222:J2222)</t>
  </si>
  <si>
    <t>=IF(K2223=0,"hide","")</t>
  </si>
  <si>
    <t>=D2222</t>
  </si>
  <si>
    <t>=NL("sum","Production Order","Quantity","Source No.",$D2223,"Equipment Code",$L2223,"due date",F$8)/-12</t>
  </si>
  <si>
    <t>=NL("sum","Production Order","Quantity","Source No.",$D2223,"Equipment Code",$L2223,"due date",G$8)/-12</t>
  </si>
  <si>
    <t>=NL("sum","Production Order","Quantity","Source No.",$D2223,"Equipment Code",$L2223,"due date",H$8)/-12</t>
  </si>
  <si>
    <t>=NL("sum","Production Order","Quantity","Source No.",$D2223,"Equipment Code",$L2223,"due date",I$8)/-12</t>
  </si>
  <si>
    <t>=NL("sum","Production Order","Quantity","Source No.",$D2223,"Equipment Code",$L2223,"due date",J$8)/$J$7</t>
  </si>
  <si>
    <t>=AVERAGE(I2223:J2223)</t>
  </si>
  <si>
    <t>=IF(K2224=0,"hide","")</t>
  </si>
  <si>
    <t>=D2223</t>
  </si>
  <si>
    <t>=NL("sum","Production Order","Quantity","Source No.",$D2224,"Equipment Code",$L2224,"due date",F$8)/-12</t>
  </si>
  <si>
    <t>=NL("sum","Production Order","Quantity","Source No.",$D2224,"Equipment Code",$L2224,"due date",G$8)/-12</t>
  </si>
  <si>
    <t>=NL("sum","Production Order","Quantity","Source No.",$D2224,"Equipment Code",$L2224,"due date",H$8)/-12</t>
  </si>
  <si>
    <t>=NL("sum","Production Order","Quantity","Source No.",$D2224,"Equipment Code",$L2224,"due date",I$8)/-12</t>
  </si>
  <si>
    <t>=NL("sum","Production Order","Quantity","Source No.",$D2224,"Equipment Code",$L2224,"due date",J$8)/$J$7</t>
  </si>
  <si>
    <t>=AVERAGE(I2224:J2224)</t>
  </si>
  <si>
    <t>=B2221</t>
  </si>
  <si>
    <t>=B2225</t>
  </si>
  <si>
    <t>=SUM(F2221:F2225)</t>
  </si>
  <si>
    <t>=SUM(G2221:G2225)</t>
  </si>
  <si>
    <t>=SUM(H2221:H2225)</t>
  </si>
  <si>
    <t>=SUM(I2221:I2225)</t>
  </si>
  <si>
    <t>=SUM(J2221:J2225)</t>
  </si>
  <si>
    <t>=IF(K2227=0,"hide","")</t>
  </si>
  <si>
    <t>=NL("rows","Production BOM Version","Version Code","Production BOM No.",D2227,"status","certified")</t>
  </si>
  <si>
    <t>=NL("sum","Item Ledger Entry","Quantity","Item No.",$D2227,"Entry Type","Sale|Consumption","posting date","01/01/19..12/31/19")/-12</t>
  </si>
  <si>
    <t>=NL("sum","Item Ledger Entry","Quantity","Item No.",$D2227,"Entry Type","Sale|Consumption","posting date","01/01/20..12/31/20")/-12</t>
  </si>
  <si>
    <t>=NL("sum","Item Ledger Entry","Quantity","Item No.",$D2227,"Entry Type","Sale|Consumption","posting date","01/01/21..12/31/21")/-12</t>
  </si>
  <si>
    <t>=NL("sum","Item Ledger Entry","Quantity","Item No.",$D2227,"Entry Type","Sale|Consumption","posting date","01/01/22..12/31/22")/-12</t>
  </si>
  <si>
    <t>=NL("sum","Item Ledger Entry","Quantity","Item No.",$D2227,"Entry Type","Sale|Consumption","posting date","01/01/23..12/31/23")/$J$7</t>
  </si>
  <si>
    <t>=AVERAGE(I2227:J2227)</t>
  </si>
  <si>
    <t>=NL(1,"item",L$9,"no.",D2227)</t>
  </si>
  <si>
    <t>=NL(1,"item",M$9,"no.",$D2227)</t>
  </si>
  <si>
    <t>=NL(1,"item","Units Per Parcel","no.",$D2227)</t>
  </si>
  <si>
    <t>=NL(1,"Prod. BOM Equipment","Fixed Prod. Time (Hours)","Production BOM No.",$D2227,"version code",$E2227,"Resource No.",O$9)</t>
  </si>
  <si>
    <t>=1/O2227</t>
  </si>
  <si>
    <t>=IF(NL(1,"Prod. BOM Equipment","Variable Prod. Time (Hours)","Production BOM No.",$D2227,"version code",$E2227,"Resource No.",$O$9)="",1,NL(1,"Prod. BOM Equipment","Variable Prod. Time (Hours)","Production BOM No.",$D2227,"version code",$E2227,"Resource No.",$O$9))</t>
  </si>
  <si>
    <t>=1/Q2227</t>
  </si>
  <si>
    <t>=R2227*N2227</t>
  </si>
  <si>
    <t>=IF(K2228=0,"hide","")</t>
  </si>
  <si>
    <t>=D2227</t>
  </si>
  <si>
    <t>=NL("sum","Production Order","Quantity","Source No.",$D2228,"Equipment Code",$L2228,"due date",F$8)/-12</t>
  </si>
  <si>
    <t>=NL("sum","Production Order","Quantity","Source No.",$D2228,"Equipment Code",$L2228,"due date",G$8)/-12</t>
  </si>
  <si>
    <t>=NL("sum","Production Order","Quantity","Source No.",$D2228,"Equipment Code",$L2228,"due date",H$8)/-12</t>
  </si>
  <si>
    <t>=NL("sum","Production Order","Quantity","Source No.",$D2228,"Equipment Code",$L2228,"due date",I$8)/-12</t>
  </si>
  <si>
    <t>=NL("sum","Production Order","Quantity","Source No.",$D2228,"Equipment Code",$L2228,"due date",J$8)/$J$7</t>
  </si>
  <si>
    <t>=AVERAGE(I2228:J2228)</t>
  </si>
  <si>
    <t>=IF(K2229=0,"hide","")</t>
  </si>
  <si>
    <t>=D2228</t>
  </si>
  <si>
    <t>=NL("sum","Production Order","Quantity","Source No.",$D2229,"Equipment Code",$L2229,"due date",F$8)/-12</t>
  </si>
  <si>
    <t>=NL("sum","Production Order","Quantity","Source No.",$D2229,"Equipment Code",$L2229,"due date",G$8)/-12</t>
  </si>
  <si>
    <t>=NL("sum","Production Order","Quantity","Source No.",$D2229,"Equipment Code",$L2229,"due date",H$8)/-12</t>
  </si>
  <si>
    <t>=NL("sum","Production Order","Quantity","Source No.",$D2229,"Equipment Code",$L2229,"due date",I$8)/-12</t>
  </si>
  <si>
    <t>=NL("sum","Production Order","Quantity","Source No.",$D2229,"Equipment Code",$L2229,"due date",J$8)/$J$7</t>
  </si>
  <si>
    <t>=AVERAGE(I2229:J2229)</t>
  </si>
  <si>
    <t>=IF(K2230=0,"hide","")</t>
  </si>
  <si>
    <t>=D2229</t>
  </si>
  <si>
    <t>=NL("sum","Production Order","Quantity","Source No.",$D2230,"Equipment Code",$L2230,"due date",F$8)/-12</t>
  </si>
  <si>
    <t>=NL("sum","Production Order","Quantity","Source No.",$D2230,"Equipment Code",$L2230,"due date",G$8)/-12</t>
  </si>
  <si>
    <t>=NL("sum","Production Order","Quantity","Source No.",$D2230,"Equipment Code",$L2230,"due date",H$8)/-12</t>
  </si>
  <si>
    <t>=NL("sum","Production Order","Quantity","Source No.",$D2230,"Equipment Code",$L2230,"due date",I$8)/-12</t>
  </si>
  <si>
    <t>=NL("sum","Production Order","Quantity","Source No.",$D2230,"Equipment Code",$L2230,"due date",J$8)/$J$7</t>
  </si>
  <si>
    <t>=AVERAGE(I2230:J2230)</t>
  </si>
  <si>
    <t>=IF(K2231=0,"hide","")</t>
  </si>
  <si>
    <t>=D2230</t>
  </si>
  <si>
    <t>=NL("sum","Production Order","Quantity","Source No.",$D2231,"Equipment Code",$L2231,"due date",F$8)/-12</t>
  </si>
  <si>
    <t>=NL("sum","Production Order","Quantity","Source No.",$D2231,"Equipment Code",$L2231,"due date",G$8)/-12</t>
  </si>
  <si>
    <t>=NL("sum","Production Order","Quantity","Source No.",$D2231,"Equipment Code",$L2231,"due date",H$8)/-12</t>
  </si>
  <si>
    <t>=NL("sum","Production Order","Quantity","Source No.",$D2231,"Equipment Code",$L2231,"due date",I$8)/-12</t>
  </si>
  <si>
    <t>=NL("sum","Production Order","Quantity","Source No.",$D2231,"Equipment Code",$L2231,"due date",J$8)/$J$7</t>
  </si>
  <si>
    <t>=AVERAGE(I2231:J2231)</t>
  </si>
  <si>
    <t>=B2228</t>
  </si>
  <si>
    <t>=B2232</t>
  </si>
  <si>
    <t>=SUM(F2228:F2232)</t>
  </si>
  <si>
    <t>=SUM(G2228:G2232)</t>
  </si>
  <si>
    <t>=SUM(H2228:H2232)</t>
  </si>
  <si>
    <t>=SUM(I2228:I2232)</t>
  </si>
  <si>
    <t>=SUM(J2228:J2232)</t>
  </si>
  <si>
    <t>=IF(K2234=0,"hide","")</t>
  </si>
  <si>
    <t>=NL("rows","Production BOM Version","Version Code","Production BOM No.",D2234,"status","certified")</t>
  </si>
  <si>
    <t>=NL("sum","Item Ledger Entry","Quantity","Item No.",$D2234,"Entry Type","Sale|Consumption","posting date","01/01/19..12/31/19")/-12</t>
  </si>
  <si>
    <t>=NL("sum","Item Ledger Entry","Quantity","Item No.",$D2234,"Entry Type","Sale|Consumption","posting date","01/01/20..12/31/20")/-12</t>
  </si>
  <si>
    <t>=NL("sum","Item Ledger Entry","Quantity","Item No.",$D2234,"Entry Type","Sale|Consumption","posting date","01/01/21..12/31/21")/-12</t>
  </si>
  <si>
    <t>=NL("sum","Item Ledger Entry","Quantity","Item No.",$D2234,"Entry Type","Sale|Consumption","posting date","01/01/22..12/31/22")/-12</t>
  </si>
  <si>
    <t>=NL("sum","Item Ledger Entry","Quantity","Item No.",$D2234,"Entry Type","Sale|Consumption","posting date","01/01/23..12/31/23")/$J$7</t>
  </si>
  <si>
    <t>=AVERAGE(I2234:J2234)</t>
  </si>
  <si>
    <t>=NL(1,"item",L$9,"no.",D2234)</t>
  </si>
  <si>
    <t>=NL(1,"item",M$9,"no.",$D2234)</t>
  </si>
  <si>
    <t>=NL(1,"item","Units Per Parcel","no.",$D2234)</t>
  </si>
  <si>
    <t>=NL(1,"Prod. BOM Equipment","Fixed Prod. Time (Hours)","Production BOM No.",$D2234,"version code",$E2234,"Resource No.",O$9)</t>
  </si>
  <si>
    <t>=1/O2234</t>
  </si>
  <si>
    <t>=IF(NL(1,"Prod. BOM Equipment","Variable Prod. Time (Hours)","Production BOM No.",$D2234,"version code",$E2234,"Resource No.",$O$9)="",1,NL(1,"Prod. BOM Equipment","Variable Prod. Time (Hours)","Production BOM No.",$D2234,"version code",$E2234,"Resource No.",$O$9))</t>
  </si>
  <si>
    <t>=1/Q2234</t>
  </si>
  <si>
    <t>=R2234*N2234</t>
  </si>
  <si>
    <t>=IF(K2235=0,"hide","")</t>
  </si>
  <si>
    <t>=D2234</t>
  </si>
  <si>
    <t>=NL("sum","Production Order","Quantity","Source No.",$D2235,"Equipment Code",$L2235,"due date",F$8)/-12</t>
  </si>
  <si>
    <t>=NL("sum","Production Order","Quantity","Source No.",$D2235,"Equipment Code",$L2235,"due date",G$8)/-12</t>
  </si>
  <si>
    <t>=NL("sum","Production Order","Quantity","Source No.",$D2235,"Equipment Code",$L2235,"due date",H$8)/-12</t>
  </si>
  <si>
    <t>=NL("sum","Production Order","Quantity","Source No.",$D2235,"Equipment Code",$L2235,"due date",I$8)/-12</t>
  </si>
  <si>
    <t>=NL("sum","Production Order","Quantity","Source No.",$D2235,"Equipment Code",$L2235,"due date",J$8)/$J$7</t>
  </si>
  <si>
    <t>=AVERAGE(I2235:J2235)</t>
  </si>
  <si>
    <t>=IF(K2236=0,"hide","")</t>
  </si>
  <si>
    <t>=D2235</t>
  </si>
  <si>
    <t>=NL("sum","Production Order","Quantity","Source No.",$D2236,"Equipment Code",$L2236,"due date",F$8)/-12</t>
  </si>
  <si>
    <t>=NL("sum","Production Order","Quantity","Source No.",$D2236,"Equipment Code",$L2236,"due date",G$8)/-12</t>
  </si>
  <si>
    <t>=NL("sum","Production Order","Quantity","Source No.",$D2236,"Equipment Code",$L2236,"due date",H$8)/-12</t>
  </si>
  <si>
    <t>=NL("sum","Production Order","Quantity","Source No.",$D2236,"Equipment Code",$L2236,"due date",I$8)/-12</t>
  </si>
  <si>
    <t>=NL("sum","Production Order","Quantity","Source No.",$D2236,"Equipment Code",$L2236,"due date",J$8)/$J$7</t>
  </si>
  <si>
    <t>=AVERAGE(I2236:J2236)</t>
  </si>
  <si>
    <t>=IF(K2237=0,"hide","")</t>
  </si>
  <si>
    <t>=D2236</t>
  </si>
  <si>
    <t>=NL("sum","Production Order","Quantity","Source No.",$D2237,"Equipment Code",$L2237,"due date",F$8)/-12</t>
  </si>
  <si>
    <t>=NL("sum","Production Order","Quantity","Source No.",$D2237,"Equipment Code",$L2237,"due date",G$8)/-12</t>
  </si>
  <si>
    <t>=NL("sum","Production Order","Quantity","Source No.",$D2237,"Equipment Code",$L2237,"due date",H$8)/-12</t>
  </si>
  <si>
    <t>=NL("sum","Production Order","Quantity","Source No.",$D2237,"Equipment Code",$L2237,"due date",I$8)/-12</t>
  </si>
  <si>
    <t>=NL("sum","Production Order","Quantity","Source No.",$D2237,"Equipment Code",$L2237,"due date",J$8)/$J$7</t>
  </si>
  <si>
    <t>=AVERAGE(I2237:J2237)</t>
  </si>
  <si>
    <t>=IF(K2238=0,"hide","")</t>
  </si>
  <si>
    <t>=D2237</t>
  </si>
  <si>
    <t>=NL("sum","Production Order","Quantity","Source No.",$D2238,"Equipment Code",$L2238,"due date",F$8)/-12</t>
  </si>
  <si>
    <t>=NL("sum","Production Order","Quantity","Source No.",$D2238,"Equipment Code",$L2238,"due date",G$8)/-12</t>
  </si>
  <si>
    <t>=NL("sum","Production Order","Quantity","Source No.",$D2238,"Equipment Code",$L2238,"due date",H$8)/-12</t>
  </si>
  <si>
    <t>=NL("sum","Production Order","Quantity","Source No.",$D2238,"Equipment Code",$L2238,"due date",I$8)/-12</t>
  </si>
  <si>
    <t>=NL("sum","Production Order","Quantity","Source No.",$D2238,"Equipment Code",$L2238,"due date",J$8)/$J$7</t>
  </si>
  <si>
    <t>=AVERAGE(I2238:J2238)</t>
  </si>
  <si>
    <t>=B2235</t>
  </si>
  <si>
    <t>=B2239</t>
  </si>
  <si>
    <t>=SUM(F2235:F2239)</t>
  </si>
  <si>
    <t>=SUM(G2235:G2239)</t>
  </si>
  <si>
    <t>=SUM(H2235:H2239)</t>
  </si>
  <si>
    <t>=SUM(I2235:I2239)</t>
  </si>
  <si>
    <t>=SUM(J2235:J2239)</t>
  </si>
  <si>
    <t>=IF(K2241=0,"hide","")</t>
  </si>
  <si>
    <t>="27736"</t>
  </si>
  <si>
    <t>=NL("rows","Production BOM Version","Version Code","Production BOM No.",D2241,"status","certified")</t>
  </si>
  <si>
    <t>=NL("sum","Item Ledger Entry","Quantity","Item No.",$D2241,"Entry Type","Sale|Consumption","posting date","01/01/19..12/31/19")/-12</t>
  </si>
  <si>
    <t>=NL("sum","Item Ledger Entry","Quantity","Item No.",$D2241,"Entry Type","Sale|Consumption","posting date","01/01/20..12/31/20")/-12</t>
  </si>
  <si>
    <t>=NL("sum","Item Ledger Entry","Quantity","Item No.",$D2241,"Entry Type","Sale|Consumption","posting date","01/01/21..12/31/21")/-12</t>
  </si>
  <si>
    <t>=NL("sum","Item Ledger Entry","Quantity","Item No.",$D2241,"Entry Type","Sale|Consumption","posting date","01/01/22..12/31/22")/-12</t>
  </si>
  <si>
    <t>=NL("sum","Item Ledger Entry","Quantity","Item No.",$D2241,"Entry Type","Sale|Consumption","posting date","01/01/23..12/31/23")/$J$7</t>
  </si>
  <si>
    <t>=AVERAGE(I2241:J2241)</t>
  </si>
  <si>
    <t>=NL(1,"item",L$9,"no.",D2241)</t>
  </si>
  <si>
    <t>=NL(1,"item",M$9,"no.",$D2241)</t>
  </si>
  <si>
    <t>=NL(1,"item","Units Per Parcel","no.",$D2241)</t>
  </si>
  <si>
    <t>=NL(1,"Prod. BOM Equipment","Fixed Prod. Time (Hours)","Production BOM No.",$D2241,"version code",$E2241,"Resource No.",O$9)</t>
  </si>
  <si>
    <t>=1/O2241</t>
  </si>
  <si>
    <t>=IF(NL(1,"Prod. BOM Equipment","Variable Prod. Time (Hours)","Production BOM No.",$D2241,"version code",$E2241,"Resource No.",$O$9)="",1,NL(1,"Prod. BOM Equipment","Variable Prod. Time (Hours)","Production BOM No.",$D2241,"version code",$E2241,"Resource No.",$O$9))</t>
  </si>
  <si>
    <t>=1/Q2241</t>
  </si>
  <si>
    <t>=R2241*N2241</t>
  </si>
  <si>
    <t>=IF(K2242=0,"hide","")</t>
  </si>
  <si>
    <t>=D2241</t>
  </si>
  <si>
    <t>=NL("sum","Production Order","Quantity","Source No.",$D2242,"Equipment Code",$L2242,"due date",F$8)/-12</t>
  </si>
  <si>
    <t>=NL("sum","Production Order","Quantity","Source No.",$D2242,"Equipment Code",$L2242,"due date",G$8)/-12</t>
  </si>
  <si>
    <t>=NL("sum","Production Order","Quantity","Source No.",$D2242,"Equipment Code",$L2242,"due date",H$8)/-12</t>
  </si>
  <si>
    <t>=NL("sum","Production Order","Quantity","Source No.",$D2242,"Equipment Code",$L2242,"due date",I$8)/-12</t>
  </si>
  <si>
    <t>=NL("sum","Production Order","Quantity","Source No.",$D2242,"Equipment Code",$L2242,"due date",J$8)/$J$7</t>
  </si>
  <si>
    <t>=AVERAGE(I2242:J2242)</t>
  </si>
  <si>
    <t>=IF(K2243=0,"hide","")</t>
  </si>
  <si>
    <t>=D2242</t>
  </si>
  <si>
    <t>=NL("sum","Production Order","Quantity","Source No.",$D2243,"Equipment Code",$L2243,"due date",F$8)/-12</t>
  </si>
  <si>
    <t>=NL("sum","Production Order","Quantity","Source No.",$D2243,"Equipment Code",$L2243,"due date",G$8)/-12</t>
  </si>
  <si>
    <t>=NL("sum","Production Order","Quantity","Source No.",$D2243,"Equipment Code",$L2243,"due date",H$8)/-12</t>
  </si>
  <si>
    <t>=NL("sum","Production Order","Quantity","Source No.",$D2243,"Equipment Code",$L2243,"due date",I$8)/-12</t>
  </si>
  <si>
    <t>=NL("sum","Production Order","Quantity","Source No.",$D2243,"Equipment Code",$L2243,"due date",J$8)/$J$7</t>
  </si>
  <si>
    <t>=AVERAGE(I2243:J2243)</t>
  </si>
  <si>
    <t>=IF(K2244=0,"hide","")</t>
  </si>
  <si>
    <t>=D2243</t>
  </si>
  <si>
    <t>=NL("sum","Production Order","Quantity","Source No.",$D2244,"Equipment Code",$L2244,"due date",F$8)/-12</t>
  </si>
  <si>
    <t>=NL("sum","Production Order","Quantity","Source No.",$D2244,"Equipment Code",$L2244,"due date",G$8)/-12</t>
  </si>
  <si>
    <t>=NL("sum","Production Order","Quantity","Source No.",$D2244,"Equipment Code",$L2244,"due date",H$8)/-12</t>
  </si>
  <si>
    <t>=NL("sum","Production Order","Quantity","Source No.",$D2244,"Equipment Code",$L2244,"due date",I$8)/-12</t>
  </si>
  <si>
    <t>=NL("sum","Production Order","Quantity","Source No.",$D2244,"Equipment Code",$L2244,"due date",J$8)/$J$7</t>
  </si>
  <si>
    <t>=AVERAGE(I2244:J2244)</t>
  </si>
  <si>
    <t>=IF(K2245=0,"hide","")</t>
  </si>
  <si>
    <t>=D2244</t>
  </si>
  <si>
    <t>=NL("sum","Production Order","Quantity","Source No.",$D2245,"Equipment Code",$L2245,"due date",F$8)/-12</t>
  </si>
  <si>
    <t>=NL("sum","Production Order","Quantity","Source No.",$D2245,"Equipment Code",$L2245,"due date",G$8)/-12</t>
  </si>
  <si>
    <t>=NL("sum","Production Order","Quantity","Source No.",$D2245,"Equipment Code",$L2245,"due date",H$8)/-12</t>
  </si>
  <si>
    <t>=NL("sum","Production Order","Quantity","Source No.",$D2245,"Equipment Code",$L2245,"due date",I$8)/-12</t>
  </si>
  <si>
    <t>=NL("sum","Production Order","Quantity","Source No.",$D2245,"Equipment Code",$L2245,"due date",J$8)/$J$7</t>
  </si>
  <si>
    <t>=AVERAGE(I2245:J2245)</t>
  </si>
  <si>
    <t>=B2242</t>
  </si>
  <si>
    <t>=B2246</t>
  </si>
  <si>
    <t>=SUM(F2242:F2246)</t>
  </si>
  <si>
    <t>=SUM(G2242:G2246)</t>
  </si>
  <si>
    <t>=SUM(H2242:H2246)</t>
  </si>
  <si>
    <t>=SUM(I2242:I2246)</t>
  </si>
  <si>
    <t>=SUM(J2242:J2246)</t>
  </si>
  <si>
    <t>=IF(K2248=0,"hide","")</t>
  </si>
  <si>
    <t>="27801"</t>
  </si>
  <si>
    <t>=NL("rows","Production BOM Version","Version Code","Production BOM No.",D2248,"status","certified")</t>
  </si>
  <si>
    <t>=NL("sum","Item Ledger Entry","Quantity","Item No.",$D2248,"Entry Type","Sale|Consumption","posting date","01/01/19..12/31/19")/-12</t>
  </si>
  <si>
    <t>=NL("sum","Item Ledger Entry","Quantity","Item No.",$D2248,"Entry Type","Sale|Consumption","posting date","01/01/20..12/31/20")/-12</t>
  </si>
  <si>
    <t>=NL("sum","Item Ledger Entry","Quantity","Item No.",$D2248,"Entry Type","Sale|Consumption","posting date","01/01/21..12/31/21")/-12</t>
  </si>
  <si>
    <t>=NL("sum","Item Ledger Entry","Quantity","Item No.",$D2248,"Entry Type","Sale|Consumption","posting date","01/01/22..12/31/22")/-12</t>
  </si>
  <si>
    <t>=NL("sum","Item Ledger Entry","Quantity","Item No.",$D2248,"Entry Type","Sale|Consumption","posting date","01/01/23..12/31/23")/$J$7</t>
  </si>
  <si>
    <t>=AVERAGE(I2248:J2248)</t>
  </si>
  <si>
    <t>=NL(1,"item",L$9,"no.",D2248)</t>
  </si>
  <si>
    <t>=NL(1,"item",M$9,"no.",$D2248)</t>
  </si>
  <si>
    <t>=NL(1,"item","Units Per Parcel","no.",$D2248)</t>
  </si>
  <si>
    <t>=NL(1,"Prod. BOM Equipment","Fixed Prod. Time (Hours)","Production BOM No.",$D2248,"version code",$E2248,"Resource No.",O$9)</t>
  </si>
  <si>
    <t>=1/O2248</t>
  </si>
  <si>
    <t>=IF(NL(1,"Prod. BOM Equipment","Variable Prod. Time (Hours)","Production BOM No.",$D2248,"version code",$E2248,"Resource No.",$O$9)="",1,NL(1,"Prod. BOM Equipment","Variable Prod. Time (Hours)","Production BOM No.",$D2248,"version code",$E2248,"Resource No.",$O$9))</t>
  </si>
  <si>
    <t>=1/Q2248</t>
  </si>
  <si>
    <t>=R2248*N2248</t>
  </si>
  <si>
    <t>=IF(K2249=0,"hide","")</t>
  </si>
  <si>
    <t>=D2248</t>
  </si>
  <si>
    <t>=NL("sum","Production Order","Quantity","Source No.",$D2249,"Equipment Code",$L2249,"due date",F$8)/-12</t>
  </si>
  <si>
    <t>=NL("sum","Production Order","Quantity","Source No.",$D2249,"Equipment Code",$L2249,"due date",G$8)/-12</t>
  </si>
  <si>
    <t>=NL("sum","Production Order","Quantity","Source No.",$D2249,"Equipment Code",$L2249,"due date",H$8)/-12</t>
  </si>
  <si>
    <t>=NL("sum","Production Order","Quantity","Source No.",$D2249,"Equipment Code",$L2249,"due date",I$8)/-12</t>
  </si>
  <si>
    <t>=NL("sum","Production Order","Quantity","Source No.",$D2249,"Equipment Code",$L2249,"due date",J$8)/$J$7</t>
  </si>
  <si>
    <t>=AVERAGE(I2249:J2249)</t>
  </si>
  <si>
    <t>=IF(K2250=0,"hide","")</t>
  </si>
  <si>
    <t>=D2249</t>
  </si>
  <si>
    <t>=NL("sum","Production Order","Quantity","Source No.",$D2250,"Equipment Code",$L2250,"due date",F$8)/-12</t>
  </si>
  <si>
    <t>=NL("sum","Production Order","Quantity","Source No.",$D2250,"Equipment Code",$L2250,"due date",G$8)/-12</t>
  </si>
  <si>
    <t>=NL("sum","Production Order","Quantity","Source No.",$D2250,"Equipment Code",$L2250,"due date",H$8)/-12</t>
  </si>
  <si>
    <t>=NL("sum","Production Order","Quantity","Source No.",$D2250,"Equipment Code",$L2250,"due date",I$8)/-12</t>
  </si>
  <si>
    <t>=NL("sum","Production Order","Quantity","Source No.",$D2250,"Equipment Code",$L2250,"due date",J$8)/$J$7</t>
  </si>
  <si>
    <t>=AVERAGE(I2250:J2250)</t>
  </si>
  <si>
    <t>=IF(K2251=0,"hide","")</t>
  </si>
  <si>
    <t>=D2250</t>
  </si>
  <si>
    <t>=NL("sum","Production Order","Quantity","Source No.",$D2251,"Equipment Code",$L2251,"due date",F$8)/-12</t>
  </si>
  <si>
    <t>=NL("sum","Production Order","Quantity","Source No.",$D2251,"Equipment Code",$L2251,"due date",G$8)/-12</t>
  </si>
  <si>
    <t>=NL("sum","Production Order","Quantity","Source No.",$D2251,"Equipment Code",$L2251,"due date",H$8)/-12</t>
  </si>
  <si>
    <t>=NL("sum","Production Order","Quantity","Source No.",$D2251,"Equipment Code",$L2251,"due date",I$8)/-12</t>
  </si>
  <si>
    <t>=NL("sum","Production Order","Quantity","Source No.",$D2251,"Equipment Code",$L2251,"due date",J$8)/$J$7</t>
  </si>
  <si>
    <t>=AVERAGE(I2251:J2251)</t>
  </si>
  <si>
    <t>=IF(K2252=0,"hide","")</t>
  </si>
  <si>
    <t>=D2251</t>
  </si>
  <si>
    <t>=NL("sum","Production Order","Quantity","Source No.",$D2252,"Equipment Code",$L2252,"due date",F$8)/-12</t>
  </si>
  <si>
    <t>=NL("sum","Production Order","Quantity","Source No.",$D2252,"Equipment Code",$L2252,"due date",G$8)/-12</t>
  </si>
  <si>
    <t>=NL("sum","Production Order","Quantity","Source No.",$D2252,"Equipment Code",$L2252,"due date",H$8)/-12</t>
  </si>
  <si>
    <t>=NL("sum","Production Order","Quantity","Source No.",$D2252,"Equipment Code",$L2252,"due date",I$8)/-12</t>
  </si>
  <si>
    <t>=NL("sum","Production Order","Quantity","Source No.",$D2252,"Equipment Code",$L2252,"due date",J$8)/$J$7</t>
  </si>
  <si>
    <t>=AVERAGE(I2252:J2252)</t>
  </si>
  <si>
    <t>=B2249</t>
  </si>
  <si>
    <t>=B2253</t>
  </si>
  <si>
    <t>=SUM(F2249:F2253)</t>
  </si>
  <si>
    <t>=SUM(G2249:G2253)</t>
  </si>
  <si>
    <t>=SUM(H2249:H2253)</t>
  </si>
  <si>
    <t>=SUM(I2249:I2253)</t>
  </si>
  <si>
    <t>=SUM(J2249:J2253)</t>
  </si>
  <si>
    <t>=IF(K2255=0,"hide","")</t>
  </si>
  <si>
    <t>=NL("rows","Production BOM Version","Version Code","Production BOM No.",D2255,"status","certified")</t>
  </si>
  <si>
    <t>=NL("sum","Item Ledger Entry","Quantity","Item No.",$D2255,"Entry Type","Sale|Consumption","posting date","01/01/19..12/31/19")/-12</t>
  </si>
  <si>
    <t>=NL("sum","Item Ledger Entry","Quantity","Item No.",$D2255,"Entry Type","Sale|Consumption","posting date","01/01/20..12/31/20")/-12</t>
  </si>
  <si>
    <t>=NL("sum","Item Ledger Entry","Quantity","Item No.",$D2255,"Entry Type","Sale|Consumption","posting date","01/01/21..12/31/21")/-12</t>
  </si>
  <si>
    <t>=NL("sum","Item Ledger Entry","Quantity","Item No.",$D2255,"Entry Type","Sale|Consumption","posting date","01/01/22..12/31/22")/-12</t>
  </si>
  <si>
    <t>=NL("sum","Item Ledger Entry","Quantity","Item No.",$D2255,"Entry Type","Sale|Consumption","posting date","01/01/23..12/31/23")/$J$7</t>
  </si>
  <si>
    <t>=AVERAGE(I2255:J2255)</t>
  </si>
  <si>
    <t>=NL(1,"item",L$9,"no.",D2255)</t>
  </si>
  <si>
    <t>=NL(1,"item",M$9,"no.",$D2255)</t>
  </si>
  <si>
    <t>=NL(1,"item","Units Per Parcel","no.",$D2255)</t>
  </si>
  <si>
    <t>=NL(1,"Prod. BOM Equipment","Fixed Prod. Time (Hours)","Production BOM No.",$D2255,"version code",$E2255,"Resource No.",O$9)</t>
  </si>
  <si>
    <t>=1/O2255</t>
  </si>
  <si>
    <t>=IF(NL(1,"Prod. BOM Equipment","Variable Prod. Time (Hours)","Production BOM No.",$D2255,"version code",$E2255,"Resource No.",$O$9)="",1,NL(1,"Prod. BOM Equipment","Variable Prod. Time (Hours)","Production BOM No.",$D2255,"version code",$E2255,"Resource No.",$O$9))</t>
  </si>
  <si>
    <t>=1/Q2255</t>
  </si>
  <si>
    <t>=R2255*N2255</t>
  </si>
  <si>
    <t>=IF(K2256=0,"hide","")</t>
  </si>
  <si>
    <t>=D2255</t>
  </si>
  <si>
    <t>=NL("sum","Production Order","Quantity","Source No.",$D2256,"Equipment Code",$L2256,"due date",F$8)/-12</t>
  </si>
  <si>
    <t>=NL("sum","Production Order","Quantity","Source No.",$D2256,"Equipment Code",$L2256,"due date",G$8)/-12</t>
  </si>
  <si>
    <t>=NL("sum","Production Order","Quantity","Source No.",$D2256,"Equipment Code",$L2256,"due date",H$8)/-12</t>
  </si>
  <si>
    <t>=NL("sum","Production Order","Quantity","Source No.",$D2256,"Equipment Code",$L2256,"due date",I$8)/-12</t>
  </si>
  <si>
    <t>=NL("sum","Production Order","Quantity","Source No.",$D2256,"Equipment Code",$L2256,"due date",J$8)/$J$7</t>
  </si>
  <si>
    <t>=AVERAGE(I2256:J2256)</t>
  </si>
  <si>
    <t>=IF(K2257=0,"hide","")</t>
  </si>
  <si>
    <t>=D2256</t>
  </si>
  <si>
    <t>=NL("sum","Production Order","Quantity","Source No.",$D2257,"Equipment Code",$L2257,"due date",F$8)/-12</t>
  </si>
  <si>
    <t>=NL("sum","Production Order","Quantity","Source No.",$D2257,"Equipment Code",$L2257,"due date",G$8)/-12</t>
  </si>
  <si>
    <t>=NL("sum","Production Order","Quantity","Source No.",$D2257,"Equipment Code",$L2257,"due date",H$8)/-12</t>
  </si>
  <si>
    <t>=NL("sum","Production Order","Quantity","Source No.",$D2257,"Equipment Code",$L2257,"due date",I$8)/-12</t>
  </si>
  <si>
    <t>=NL("sum","Production Order","Quantity","Source No.",$D2257,"Equipment Code",$L2257,"due date",J$8)/$J$7</t>
  </si>
  <si>
    <t>=AVERAGE(I2257:J2257)</t>
  </si>
  <si>
    <t>=IF(K2258=0,"hide","")</t>
  </si>
  <si>
    <t>=D2257</t>
  </si>
  <si>
    <t>=NL("sum","Production Order","Quantity","Source No.",$D2258,"Equipment Code",$L2258,"due date",F$8)/-12</t>
  </si>
  <si>
    <t>=NL("sum","Production Order","Quantity","Source No.",$D2258,"Equipment Code",$L2258,"due date",G$8)/-12</t>
  </si>
  <si>
    <t>=NL("sum","Production Order","Quantity","Source No.",$D2258,"Equipment Code",$L2258,"due date",H$8)/-12</t>
  </si>
  <si>
    <t>=NL("sum","Production Order","Quantity","Source No.",$D2258,"Equipment Code",$L2258,"due date",I$8)/-12</t>
  </si>
  <si>
    <t>=NL("sum","Production Order","Quantity","Source No.",$D2258,"Equipment Code",$L2258,"due date",J$8)/$J$7</t>
  </si>
  <si>
    <t>=AVERAGE(I2258:J2258)</t>
  </si>
  <si>
    <t>=IF(K2259=0,"hide","")</t>
  </si>
  <si>
    <t>=D2258</t>
  </si>
  <si>
    <t>=NL("sum","Production Order","Quantity","Source No.",$D2259,"Equipment Code",$L2259,"due date",F$8)/-12</t>
  </si>
  <si>
    <t>=NL("sum","Production Order","Quantity","Source No.",$D2259,"Equipment Code",$L2259,"due date",G$8)/-12</t>
  </si>
  <si>
    <t>=NL("sum","Production Order","Quantity","Source No.",$D2259,"Equipment Code",$L2259,"due date",H$8)/-12</t>
  </si>
  <si>
    <t>=NL("sum","Production Order","Quantity","Source No.",$D2259,"Equipment Code",$L2259,"due date",I$8)/-12</t>
  </si>
  <si>
    <t>=NL("sum","Production Order","Quantity","Source No.",$D2259,"Equipment Code",$L2259,"due date",J$8)/$J$7</t>
  </si>
  <si>
    <t>=AVERAGE(I2259:J2259)</t>
  </si>
  <si>
    <t>=B2256</t>
  </si>
  <si>
    <t>=B2260</t>
  </si>
  <si>
    <t>=SUM(F2256:F2260)</t>
  </si>
  <si>
    <t>=SUM(G2256:G2260)</t>
  </si>
  <si>
    <t>=SUM(H2256:H2260)</t>
  </si>
  <si>
    <t>=SUM(I2256:I2260)</t>
  </si>
  <si>
    <t>=SUM(J2256:J2260)</t>
  </si>
  <si>
    <t>=IF(K2262=0,"hide","")</t>
  </si>
  <si>
    <t>=NL("rows","Production BOM Version","Version Code","Production BOM No.",D2262,"status","certified")</t>
  </si>
  <si>
    <t>=NL("sum","Item Ledger Entry","Quantity","Item No.",$D2262,"Entry Type","Sale|Consumption","posting date","01/01/19..12/31/19")/-12</t>
  </si>
  <si>
    <t>=NL("sum","Item Ledger Entry","Quantity","Item No.",$D2262,"Entry Type","Sale|Consumption","posting date","01/01/20..12/31/20")/-12</t>
  </si>
  <si>
    <t>=NL("sum","Item Ledger Entry","Quantity","Item No.",$D2262,"Entry Type","Sale|Consumption","posting date","01/01/21..12/31/21")/-12</t>
  </si>
  <si>
    <t>=NL("sum","Item Ledger Entry","Quantity","Item No.",$D2262,"Entry Type","Sale|Consumption","posting date","01/01/22..12/31/22")/-12</t>
  </si>
  <si>
    <t>=NL("sum","Item Ledger Entry","Quantity","Item No.",$D2262,"Entry Type","Sale|Consumption","posting date","01/01/23..12/31/23")/$J$7</t>
  </si>
  <si>
    <t>=AVERAGE(I2262:J2262)</t>
  </si>
  <si>
    <t>=NL(1,"item",L$9,"no.",D2262)</t>
  </si>
  <si>
    <t>=NL(1,"item",M$9,"no.",$D2262)</t>
  </si>
  <si>
    <t>=NL(1,"item","Units Per Parcel","no.",$D2262)</t>
  </si>
  <si>
    <t>=NL(1,"Prod. BOM Equipment","Fixed Prod. Time (Hours)","Production BOM No.",$D2262,"version code",$E2262,"Resource No.",O$9)</t>
  </si>
  <si>
    <t>=1/O2262</t>
  </si>
  <si>
    <t>=IF(NL(1,"Prod. BOM Equipment","Variable Prod. Time (Hours)","Production BOM No.",$D2262,"version code",$E2262,"Resource No.",$O$9)="",1,NL(1,"Prod. BOM Equipment","Variable Prod. Time (Hours)","Production BOM No.",$D2262,"version code",$E2262,"Resource No.",$O$9))</t>
  </si>
  <si>
    <t>=1/Q2262</t>
  </si>
  <si>
    <t>=R2262*N2262</t>
  </si>
  <si>
    <t>=IF(K2263=0,"hide","")</t>
  </si>
  <si>
    <t>=D2262</t>
  </si>
  <si>
    <t>=NL("sum","Production Order","Quantity","Source No.",$D2263,"Equipment Code",$L2263,"due date",F$8)/-12</t>
  </si>
  <si>
    <t>=NL("sum","Production Order","Quantity","Source No.",$D2263,"Equipment Code",$L2263,"due date",G$8)/-12</t>
  </si>
  <si>
    <t>=NL("sum","Production Order","Quantity","Source No.",$D2263,"Equipment Code",$L2263,"due date",H$8)/-12</t>
  </si>
  <si>
    <t>=NL("sum","Production Order","Quantity","Source No.",$D2263,"Equipment Code",$L2263,"due date",I$8)/-12</t>
  </si>
  <si>
    <t>=NL("sum","Production Order","Quantity","Source No.",$D2263,"Equipment Code",$L2263,"due date",J$8)/$J$7</t>
  </si>
  <si>
    <t>=AVERAGE(I2263:J2263)</t>
  </si>
  <si>
    <t>=IF(K2264=0,"hide","")</t>
  </si>
  <si>
    <t>=D2263</t>
  </si>
  <si>
    <t>=NL("sum","Production Order","Quantity","Source No.",$D2264,"Equipment Code",$L2264,"due date",F$8)/-12</t>
  </si>
  <si>
    <t>=NL("sum","Production Order","Quantity","Source No.",$D2264,"Equipment Code",$L2264,"due date",G$8)/-12</t>
  </si>
  <si>
    <t>=NL("sum","Production Order","Quantity","Source No.",$D2264,"Equipment Code",$L2264,"due date",H$8)/-12</t>
  </si>
  <si>
    <t>=NL("sum","Production Order","Quantity","Source No.",$D2264,"Equipment Code",$L2264,"due date",I$8)/-12</t>
  </si>
  <si>
    <t>=NL("sum","Production Order","Quantity","Source No.",$D2264,"Equipment Code",$L2264,"due date",J$8)/$J$7</t>
  </si>
  <si>
    <t>=AVERAGE(I2264:J2264)</t>
  </si>
  <si>
    <t>=IF(K2265=0,"hide","")</t>
  </si>
  <si>
    <t>=D2264</t>
  </si>
  <si>
    <t>=NL("sum","Production Order","Quantity","Source No.",$D2265,"Equipment Code",$L2265,"due date",F$8)/-12</t>
  </si>
  <si>
    <t>=NL("sum","Production Order","Quantity","Source No.",$D2265,"Equipment Code",$L2265,"due date",G$8)/-12</t>
  </si>
  <si>
    <t>=NL("sum","Production Order","Quantity","Source No.",$D2265,"Equipment Code",$L2265,"due date",H$8)/-12</t>
  </si>
  <si>
    <t>=NL("sum","Production Order","Quantity","Source No.",$D2265,"Equipment Code",$L2265,"due date",I$8)/-12</t>
  </si>
  <si>
    <t>=NL("sum","Production Order","Quantity","Source No.",$D2265,"Equipment Code",$L2265,"due date",J$8)/$J$7</t>
  </si>
  <si>
    <t>=AVERAGE(I2265:J2265)</t>
  </si>
  <si>
    <t>=IF(K2266=0,"hide","")</t>
  </si>
  <si>
    <t>=D2265</t>
  </si>
  <si>
    <t>=NL("sum","Production Order","Quantity","Source No.",$D2266,"Equipment Code",$L2266,"due date",F$8)/-12</t>
  </si>
  <si>
    <t>=NL("sum","Production Order","Quantity","Source No.",$D2266,"Equipment Code",$L2266,"due date",G$8)/-12</t>
  </si>
  <si>
    <t>=NL("sum","Production Order","Quantity","Source No.",$D2266,"Equipment Code",$L2266,"due date",H$8)/-12</t>
  </si>
  <si>
    <t>=NL("sum","Production Order","Quantity","Source No.",$D2266,"Equipment Code",$L2266,"due date",I$8)/-12</t>
  </si>
  <si>
    <t>=NL("sum","Production Order","Quantity","Source No.",$D2266,"Equipment Code",$L2266,"due date",J$8)/$J$7</t>
  </si>
  <si>
    <t>=AVERAGE(I2266:J2266)</t>
  </si>
  <si>
    <t>=B2263</t>
  </si>
  <si>
    <t>=B2267</t>
  </si>
  <si>
    <t>=SUM(F2263:F2267)</t>
  </si>
  <si>
    <t>=SUM(G2263:G2267)</t>
  </si>
  <si>
    <t>=SUM(H2263:H2267)</t>
  </si>
  <si>
    <t>=SUM(I2263:I2267)</t>
  </si>
  <si>
    <t>=SUM(J2263:J2267)</t>
  </si>
  <si>
    <t>=IF(K2269=0,"hide","")</t>
  </si>
  <si>
    <t>=NL("rows","Production BOM Version","Version Code","Production BOM No.",D2269,"status","certified")</t>
  </si>
  <si>
    <t>=NL("sum","Item Ledger Entry","Quantity","Item No.",$D2269,"Entry Type","Sale|Consumption","posting date","01/01/19..12/31/19")/-12</t>
  </si>
  <si>
    <t>=NL("sum","Item Ledger Entry","Quantity","Item No.",$D2269,"Entry Type","Sale|Consumption","posting date","01/01/20..12/31/20")/-12</t>
  </si>
  <si>
    <t>=NL("sum","Item Ledger Entry","Quantity","Item No.",$D2269,"Entry Type","Sale|Consumption","posting date","01/01/21..12/31/21")/-12</t>
  </si>
  <si>
    <t>=NL("sum","Item Ledger Entry","Quantity","Item No.",$D2269,"Entry Type","Sale|Consumption","posting date","01/01/22..12/31/22")/-12</t>
  </si>
  <si>
    <t>=NL("sum","Item Ledger Entry","Quantity","Item No.",$D2269,"Entry Type","Sale|Consumption","posting date","01/01/23..12/31/23")/$J$7</t>
  </si>
  <si>
    <t>=AVERAGE(I2269:J2269)</t>
  </si>
  <si>
    <t>=NL(1,"item",L$9,"no.",D2269)</t>
  </si>
  <si>
    <t>=NL(1,"item",M$9,"no.",$D2269)</t>
  </si>
  <si>
    <t>=NL(1,"item","Units Per Parcel","no.",$D2269)</t>
  </si>
  <si>
    <t>=NL(1,"Prod. BOM Equipment","Fixed Prod. Time (Hours)","Production BOM No.",$D2269,"version code",$E2269,"Resource No.",O$9)</t>
  </si>
  <si>
    <t>=1/O2269</t>
  </si>
  <si>
    <t>=IF(NL(1,"Prod. BOM Equipment","Variable Prod. Time (Hours)","Production BOM No.",$D2269,"version code",$E2269,"Resource No.",$O$9)="",1,NL(1,"Prod. BOM Equipment","Variable Prod. Time (Hours)","Production BOM No.",$D2269,"version code",$E2269,"Resource No.",$O$9))</t>
  </si>
  <si>
    <t>=1/Q2269</t>
  </si>
  <si>
    <t>=R2269*N2269</t>
  </si>
  <si>
    <t>=IF(K2270=0,"hide","")</t>
  </si>
  <si>
    <t>=D2269</t>
  </si>
  <si>
    <t>=NL("sum","Production Order","Quantity","Source No.",$D2270,"Equipment Code",$L2270,"due date",F$8)/-12</t>
  </si>
  <si>
    <t>=NL("sum","Production Order","Quantity","Source No.",$D2270,"Equipment Code",$L2270,"due date",G$8)/-12</t>
  </si>
  <si>
    <t>=NL("sum","Production Order","Quantity","Source No.",$D2270,"Equipment Code",$L2270,"due date",H$8)/-12</t>
  </si>
  <si>
    <t>=NL("sum","Production Order","Quantity","Source No.",$D2270,"Equipment Code",$L2270,"due date",I$8)/-12</t>
  </si>
  <si>
    <t>=NL("sum","Production Order","Quantity","Source No.",$D2270,"Equipment Code",$L2270,"due date",J$8)/$J$7</t>
  </si>
  <si>
    <t>=AVERAGE(I2270:J2270)</t>
  </si>
  <si>
    <t>=IF(K2271=0,"hide","")</t>
  </si>
  <si>
    <t>=D2270</t>
  </si>
  <si>
    <t>=NL("sum","Production Order","Quantity","Source No.",$D2271,"Equipment Code",$L2271,"due date",F$8)/-12</t>
  </si>
  <si>
    <t>=NL("sum","Production Order","Quantity","Source No.",$D2271,"Equipment Code",$L2271,"due date",G$8)/-12</t>
  </si>
  <si>
    <t>=NL("sum","Production Order","Quantity","Source No.",$D2271,"Equipment Code",$L2271,"due date",H$8)/-12</t>
  </si>
  <si>
    <t>=NL("sum","Production Order","Quantity","Source No.",$D2271,"Equipment Code",$L2271,"due date",I$8)/-12</t>
  </si>
  <si>
    <t>=NL("sum","Production Order","Quantity","Source No.",$D2271,"Equipment Code",$L2271,"due date",J$8)/$J$7</t>
  </si>
  <si>
    <t>=AVERAGE(I2271:J2271)</t>
  </si>
  <si>
    <t>=IF(K2272=0,"hide","")</t>
  </si>
  <si>
    <t>=D2271</t>
  </si>
  <si>
    <t>=NL("sum","Production Order","Quantity","Source No.",$D2272,"Equipment Code",$L2272,"due date",F$8)/-12</t>
  </si>
  <si>
    <t>=NL("sum","Production Order","Quantity","Source No.",$D2272,"Equipment Code",$L2272,"due date",G$8)/-12</t>
  </si>
  <si>
    <t>=NL("sum","Production Order","Quantity","Source No.",$D2272,"Equipment Code",$L2272,"due date",H$8)/-12</t>
  </si>
  <si>
    <t>=NL("sum","Production Order","Quantity","Source No.",$D2272,"Equipment Code",$L2272,"due date",I$8)/-12</t>
  </si>
  <si>
    <t>=NL("sum","Production Order","Quantity","Source No.",$D2272,"Equipment Code",$L2272,"due date",J$8)/$J$7</t>
  </si>
  <si>
    <t>=AVERAGE(I2272:J2272)</t>
  </si>
  <si>
    <t>=IF(K2273=0,"hide","")</t>
  </si>
  <si>
    <t>=D2272</t>
  </si>
  <si>
    <t>=NL("sum","Production Order","Quantity","Source No.",$D2273,"Equipment Code",$L2273,"due date",F$8)/-12</t>
  </si>
  <si>
    <t>=NL("sum","Production Order","Quantity","Source No.",$D2273,"Equipment Code",$L2273,"due date",G$8)/-12</t>
  </si>
  <si>
    <t>=NL("sum","Production Order","Quantity","Source No.",$D2273,"Equipment Code",$L2273,"due date",H$8)/-12</t>
  </si>
  <si>
    <t>=NL("sum","Production Order","Quantity","Source No.",$D2273,"Equipment Code",$L2273,"due date",I$8)/-12</t>
  </si>
  <si>
    <t>=NL("sum","Production Order","Quantity","Source No.",$D2273,"Equipment Code",$L2273,"due date",J$8)/$J$7</t>
  </si>
  <si>
    <t>=AVERAGE(I2273:J2273)</t>
  </si>
  <si>
    <t>=B2270</t>
  </si>
  <si>
    <t>=B2274</t>
  </si>
  <si>
    <t>=SUM(F2270:F2274)</t>
  </si>
  <si>
    <t>=SUM(G2270:G2274)</t>
  </si>
  <si>
    <t>=SUM(H2270:H2274)</t>
  </si>
  <si>
    <t>=SUM(I2270:I2274)</t>
  </si>
  <si>
    <t>=SUM(J2270:J2274)</t>
  </si>
  <si>
    <t>=IF(K2276=0,"hide","")</t>
  </si>
  <si>
    <t>=NL("rows","Production BOM Version","Version Code","Production BOM No.",D2276,"status","certified")</t>
  </si>
  <si>
    <t>=NL("sum","Item Ledger Entry","Quantity","Item No.",$D2276,"Entry Type","Sale|Consumption","posting date","01/01/19..12/31/19")/-12</t>
  </si>
  <si>
    <t>=NL("sum","Item Ledger Entry","Quantity","Item No.",$D2276,"Entry Type","Sale|Consumption","posting date","01/01/20..12/31/20")/-12</t>
  </si>
  <si>
    <t>=NL("sum","Item Ledger Entry","Quantity","Item No.",$D2276,"Entry Type","Sale|Consumption","posting date","01/01/21..12/31/21")/-12</t>
  </si>
  <si>
    <t>=NL("sum","Item Ledger Entry","Quantity","Item No.",$D2276,"Entry Type","Sale|Consumption","posting date","01/01/22..12/31/22")/-12</t>
  </si>
  <si>
    <t>=NL("sum","Item Ledger Entry","Quantity","Item No.",$D2276,"Entry Type","Sale|Consumption","posting date","01/01/23..12/31/23")/$J$7</t>
  </si>
  <si>
    <t>=AVERAGE(I2276:J2276)</t>
  </si>
  <si>
    <t>=NL(1,"item",L$9,"no.",D2276)</t>
  </si>
  <si>
    <t>=NL(1,"item",M$9,"no.",$D2276)</t>
  </si>
  <si>
    <t>=NL(1,"item","Units Per Parcel","no.",$D2276)</t>
  </si>
  <si>
    <t>=NL(1,"Prod. BOM Equipment","Fixed Prod. Time (Hours)","Production BOM No.",$D2276,"version code",$E2276,"Resource No.",O$9)</t>
  </si>
  <si>
    <t>=1/O2276</t>
  </si>
  <si>
    <t>=IF(NL(1,"Prod. BOM Equipment","Variable Prod. Time (Hours)","Production BOM No.",$D2276,"version code",$E2276,"Resource No.",$O$9)="",1,NL(1,"Prod. BOM Equipment","Variable Prod. Time (Hours)","Production BOM No.",$D2276,"version code",$E2276,"Resource No.",$O$9))</t>
  </si>
  <si>
    <t>=1/Q2276</t>
  </si>
  <si>
    <t>=R2276*N2276</t>
  </si>
  <si>
    <t>=IF(K2277=0,"hide","")</t>
  </si>
  <si>
    <t>=D2276</t>
  </si>
  <si>
    <t>=NL("sum","Production Order","Quantity","Source No.",$D2277,"Equipment Code",$L2277,"due date",F$8)/-12</t>
  </si>
  <si>
    <t>=NL("sum","Production Order","Quantity","Source No.",$D2277,"Equipment Code",$L2277,"due date",G$8)/-12</t>
  </si>
  <si>
    <t>=NL("sum","Production Order","Quantity","Source No.",$D2277,"Equipment Code",$L2277,"due date",H$8)/-12</t>
  </si>
  <si>
    <t>=NL("sum","Production Order","Quantity","Source No.",$D2277,"Equipment Code",$L2277,"due date",I$8)/-12</t>
  </si>
  <si>
    <t>=NL("sum","Production Order","Quantity","Source No.",$D2277,"Equipment Code",$L2277,"due date",J$8)/$J$7</t>
  </si>
  <si>
    <t>=AVERAGE(I2277:J2277)</t>
  </si>
  <si>
    <t>=IF(K2278=0,"hide","")</t>
  </si>
  <si>
    <t>=D2277</t>
  </si>
  <si>
    <t>=NL("sum","Production Order","Quantity","Source No.",$D2278,"Equipment Code",$L2278,"due date",F$8)/-12</t>
  </si>
  <si>
    <t>=NL("sum","Production Order","Quantity","Source No.",$D2278,"Equipment Code",$L2278,"due date",G$8)/-12</t>
  </si>
  <si>
    <t>=NL("sum","Production Order","Quantity","Source No.",$D2278,"Equipment Code",$L2278,"due date",H$8)/-12</t>
  </si>
  <si>
    <t>=NL("sum","Production Order","Quantity","Source No.",$D2278,"Equipment Code",$L2278,"due date",I$8)/-12</t>
  </si>
  <si>
    <t>=NL("sum","Production Order","Quantity","Source No.",$D2278,"Equipment Code",$L2278,"due date",J$8)/$J$7</t>
  </si>
  <si>
    <t>=AVERAGE(I2278:J2278)</t>
  </si>
  <si>
    <t>=IF(K2279=0,"hide","")</t>
  </si>
  <si>
    <t>=D2278</t>
  </si>
  <si>
    <t>=NL("sum","Production Order","Quantity","Source No.",$D2279,"Equipment Code",$L2279,"due date",F$8)/-12</t>
  </si>
  <si>
    <t>=NL("sum","Production Order","Quantity","Source No.",$D2279,"Equipment Code",$L2279,"due date",G$8)/-12</t>
  </si>
  <si>
    <t>=NL("sum","Production Order","Quantity","Source No.",$D2279,"Equipment Code",$L2279,"due date",H$8)/-12</t>
  </si>
  <si>
    <t>=NL("sum","Production Order","Quantity","Source No.",$D2279,"Equipment Code",$L2279,"due date",I$8)/-12</t>
  </si>
  <si>
    <t>=NL("sum","Production Order","Quantity","Source No.",$D2279,"Equipment Code",$L2279,"due date",J$8)/$J$7</t>
  </si>
  <si>
    <t>=AVERAGE(I2279:J2279)</t>
  </si>
  <si>
    <t>=IF(K2280=0,"hide","")</t>
  </si>
  <si>
    <t>=D2279</t>
  </si>
  <si>
    <t>=NL("sum","Production Order","Quantity","Source No.",$D2280,"Equipment Code",$L2280,"due date",F$8)/-12</t>
  </si>
  <si>
    <t>=NL("sum","Production Order","Quantity","Source No.",$D2280,"Equipment Code",$L2280,"due date",G$8)/-12</t>
  </si>
  <si>
    <t>=NL("sum","Production Order","Quantity","Source No.",$D2280,"Equipment Code",$L2280,"due date",H$8)/-12</t>
  </si>
  <si>
    <t>=NL("sum","Production Order","Quantity","Source No.",$D2280,"Equipment Code",$L2280,"due date",I$8)/-12</t>
  </si>
  <si>
    <t>=NL("sum","Production Order","Quantity","Source No.",$D2280,"Equipment Code",$L2280,"due date",J$8)/$J$7</t>
  </si>
  <si>
    <t>=AVERAGE(I2280:J2280)</t>
  </si>
  <si>
    <t>=B2277</t>
  </si>
  <si>
    <t>=B2281</t>
  </si>
  <si>
    <t>=SUM(F2277:F2281)</t>
  </si>
  <si>
    <t>=SUM(G2277:G2281)</t>
  </si>
  <si>
    <t>=SUM(H2277:H2281)</t>
  </si>
  <si>
    <t>=SUM(I2277:I2281)</t>
  </si>
  <si>
    <t>=SUM(J2277:J2281)</t>
  </si>
  <si>
    <t>=IF(K2283=0,"hide","")</t>
  </si>
  <si>
    <t>="28005"</t>
  </si>
  <si>
    <t>=NL("rows","Production BOM Version","Version Code","Production BOM No.",D2283,"status","certified")</t>
  </si>
  <si>
    <t>=NL("sum","Item Ledger Entry","Quantity","Item No.",$D2283,"Entry Type","Sale|Consumption","posting date","01/01/19..12/31/19")/-12</t>
  </si>
  <si>
    <t>=NL("sum","Item Ledger Entry","Quantity","Item No.",$D2283,"Entry Type","Sale|Consumption","posting date","01/01/20..12/31/20")/-12</t>
  </si>
  <si>
    <t>=NL("sum","Item Ledger Entry","Quantity","Item No.",$D2283,"Entry Type","Sale|Consumption","posting date","01/01/21..12/31/21")/-12</t>
  </si>
  <si>
    <t>=NL("sum","Item Ledger Entry","Quantity","Item No.",$D2283,"Entry Type","Sale|Consumption","posting date","01/01/22..12/31/22")/-12</t>
  </si>
  <si>
    <t>=NL("sum","Item Ledger Entry","Quantity","Item No.",$D2283,"Entry Type","Sale|Consumption","posting date","01/01/23..12/31/23")/$J$7</t>
  </si>
  <si>
    <t>=AVERAGE(I2283:J2283)</t>
  </si>
  <si>
    <t>=NL(1,"item",L$9,"no.",D2283)</t>
  </si>
  <si>
    <t>=NL(1,"item",M$9,"no.",$D2283)</t>
  </si>
  <si>
    <t>=NL(1,"item","Units Per Parcel","no.",$D2283)</t>
  </si>
  <si>
    <t>=NL(1,"Prod. BOM Equipment","Fixed Prod. Time (Hours)","Production BOM No.",$D2283,"version code",$E2283,"Resource No.",O$9)</t>
  </si>
  <si>
    <t>=1/O2283</t>
  </si>
  <si>
    <t>=IF(NL(1,"Prod. BOM Equipment","Variable Prod. Time (Hours)","Production BOM No.",$D2283,"version code",$E2283,"Resource No.",$O$9)="",1,NL(1,"Prod. BOM Equipment","Variable Prod. Time (Hours)","Production BOM No.",$D2283,"version code",$E2283,"Resource No.",$O$9))</t>
  </si>
  <si>
    <t>=1/Q2283</t>
  </si>
  <si>
    <t>=R2283*N2283</t>
  </si>
  <si>
    <t>=IF(K2284=0,"hide","")</t>
  </si>
  <si>
    <t>=D2283</t>
  </si>
  <si>
    <t>=NL("sum","Production Order","Quantity","Source No.",$D2284,"Equipment Code",$L2284,"due date",F$8)/-12</t>
  </si>
  <si>
    <t>=NL("sum","Production Order","Quantity","Source No.",$D2284,"Equipment Code",$L2284,"due date",G$8)/-12</t>
  </si>
  <si>
    <t>=NL("sum","Production Order","Quantity","Source No.",$D2284,"Equipment Code",$L2284,"due date",H$8)/-12</t>
  </si>
  <si>
    <t>=NL("sum","Production Order","Quantity","Source No.",$D2284,"Equipment Code",$L2284,"due date",I$8)/-12</t>
  </si>
  <si>
    <t>=NL("sum","Production Order","Quantity","Source No.",$D2284,"Equipment Code",$L2284,"due date",J$8)/$J$7</t>
  </si>
  <si>
    <t>=AVERAGE(I2284:J2284)</t>
  </si>
  <si>
    <t>=IF(K2285=0,"hide","")</t>
  </si>
  <si>
    <t>=D2284</t>
  </si>
  <si>
    <t>=NL("sum","Production Order","Quantity","Source No.",$D2285,"Equipment Code",$L2285,"due date",F$8)/-12</t>
  </si>
  <si>
    <t>=NL("sum","Production Order","Quantity","Source No.",$D2285,"Equipment Code",$L2285,"due date",G$8)/-12</t>
  </si>
  <si>
    <t>=NL("sum","Production Order","Quantity","Source No.",$D2285,"Equipment Code",$L2285,"due date",H$8)/-12</t>
  </si>
  <si>
    <t>=NL("sum","Production Order","Quantity","Source No.",$D2285,"Equipment Code",$L2285,"due date",I$8)/-12</t>
  </si>
  <si>
    <t>=NL("sum","Production Order","Quantity","Source No.",$D2285,"Equipment Code",$L2285,"due date",J$8)/$J$7</t>
  </si>
  <si>
    <t>=AVERAGE(I2285:J2285)</t>
  </si>
  <si>
    <t>=IF(K2286=0,"hide","")</t>
  </si>
  <si>
    <t>=D2285</t>
  </si>
  <si>
    <t>=NL("sum","Production Order","Quantity","Source No.",$D2286,"Equipment Code",$L2286,"due date",F$8)/-12</t>
  </si>
  <si>
    <t>=NL("sum","Production Order","Quantity","Source No.",$D2286,"Equipment Code",$L2286,"due date",G$8)/-12</t>
  </si>
  <si>
    <t>=NL("sum","Production Order","Quantity","Source No.",$D2286,"Equipment Code",$L2286,"due date",H$8)/-12</t>
  </si>
  <si>
    <t>=NL("sum","Production Order","Quantity","Source No.",$D2286,"Equipment Code",$L2286,"due date",I$8)/-12</t>
  </si>
  <si>
    <t>=NL("sum","Production Order","Quantity","Source No.",$D2286,"Equipment Code",$L2286,"due date",J$8)/$J$7</t>
  </si>
  <si>
    <t>=AVERAGE(I2286:J2286)</t>
  </si>
  <si>
    <t>=IF(K2287=0,"hide","")</t>
  </si>
  <si>
    <t>=D2286</t>
  </si>
  <si>
    <t>=NL("sum","Production Order","Quantity","Source No.",$D2287,"Equipment Code",$L2287,"due date",F$8)/-12</t>
  </si>
  <si>
    <t>=NL("sum","Production Order","Quantity","Source No.",$D2287,"Equipment Code",$L2287,"due date",G$8)/-12</t>
  </si>
  <si>
    <t>=NL("sum","Production Order","Quantity","Source No.",$D2287,"Equipment Code",$L2287,"due date",H$8)/-12</t>
  </si>
  <si>
    <t>=NL("sum","Production Order","Quantity","Source No.",$D2287,"Equipment Code",$L2287,"due date",I$8)/-12</t>
  </si>
  <si>
    <t>=NL("sum","Production Order","Quantity","Source No.",$D2287,"Equipment Code",$L2287,"due date",J$8)/$J$7</t>
  </si>
  <si>
    <t>=AVERAGE(I2287:J2287)</t>
  </si>
  <si>
    <t>=B2284</t>
  </si>
  <si>
    <t>=B2288</t>
  </si>
  <si>
    <t>=SUM(F2284:F2288)</t>
  </si>
  <si>
    <t>=SUM(G2284:G2288)</t>
  </si>
  <si>
    <t>=SUM(H2284:H2288)</t>
  </si>
  <si>
    <t>=SUM(I2284:I2288)</t>
  </si>
  <si>
    <t>=SUM(J2284:J2288)</t>
  </si>
  <si>
    <t>=IF(K2290=0,"hide","")</t>
  </si>
  <si>
    <t>="28025"</t>
  </si>
  <si>
    <t>=NL("rows","Production BOM Version","Version Code","Production BOM No.",D2290,"status","certified")</t>
  </si>
  <si>
    <t>=NL("sum","Item Ledger Entry","Quantity","Item No.",$D2290,"Entry Type","Sale|Consumption","posting date","01/01/19..12/31/19")/-12</t>
  </si>
  <si>
    <t>=NL("sum","Item Ledger Entry","Quantity","Item No.",$D2290,"Entry Type","Sale|Consumption","posting date","01/01/20..12/31/20")/-12</t>
  </si>
  <si>
    <t>=NL("sum","Item Ledger Entry","Quantity","Item No.",$D2290,"Entry Type","Sale|Consumption","posting date","01/01/21..12/31/21")/-12</t>
  </si>
  <si>
    <t>=NL("sum","Item Ledger Entry","Quantity","Item No.",$D2290,"Entry Type","Sale|Consumption","posting date","01/01/22..12/31/22")/-12</t>
  </si>
  <si>
    <t>=NL("sum","Item Ledger Entry","Quantity","Item No.",$D2290,"Entry Type","Sale|Consumption","posting date","01/01/23..12/31/23")/$J$7</t>
  </si>
  <si>
    <t>=AVERAGE(I2290:J2290)</t>
  </si>
  <si>
    <t>=NL(1,"item",L$9,"no.",D2290)</t>
  </si>
  <si>
    <t>=NL(1,"item",M$9,"no.",$D2290)</t>
  </si>
  <si>
    <t>=NL(1,"item","Units Per Parcel","no.",$D2290)</t>
  </si>
  <si>
    <t>=NL(1,"Prod. BOM Equipment","Fixed Prod. Time (Hours)","Production BOM No.",$D2290,"version code",$E2290,"Resource No.",O$9)</t>
  </si>
  <si>
    <t>=1/O2290</t>
  </si>
  <si>
    <t>=IF(NL(1,"Prod. BOM Equipment","Variable Prod. Time (Hours)","Production BOM No.",$D2290,"version code",$E2290,"Resource No.",$O$9)="",1,NL(1,"Prod. BOM Equipment","Variable Prod. Time (Hours)","Production BOM No.",$D2290,"version code",$E2290,"Resource No.",$O$9))</t>
  </si>
  <si>
    <t>=1/Q2290</t>
  </si>
  <si>
    <t>=R2290*N2290</t>
  </si>
  <si>
    <t>=IF(K2291=0,"hide","")</t>
  </si>
  <si>
    <t>=D2290</t>
  </si>
  <si>
    <t>=NL("sum","Production Order","Quantity","Source No.",$D2291,"Equipment Code",$L2291,"due date",F$8)/-12</t>
  </si>
  <si>
    <t>=NL("sum","Production Order","Quantity","Source No.",$D2291,"Equipment Code",$L2291,"due date",G$8)/-12</t>
  </si>
  <si>
    <t>=NL("sum","Production Order","Quantity","Source No.",$D2291,"Equipment Code",$L2291,"due date",H$8)/-12</t>
  </si>
  <si>
    <t>=NL("sum","Production Order","Quantity","Source No.",$D2291,"Equipment Code",$L2291,"due date",I$8)/-12</t>
  </si>
  <si>
    <t>=NL("sum","Production Order","Quantity","Source No.",$D2291,"Equipment Code",$L2291,"due date",J$8)/$J$7</t>
  </si>
  <si>
    <t>=AVERAGE(I2291:J2291)</t>
  </si>
  <si>
    <t>=IF(K2292=0,"hide","")</t>
  </si>
  <si>
    <t>=D2291</t>
  </si>
  <si>
    <t>=NL("sum","Production Order","Quantity","Source No.",$D2292,"Equipment Code",$L2292,"due date",F$8)/-12</t>
  </si>
  <si>
    <t>=NL("sum","Production Order","Quantity","Source No.",$D2292,"Equipment Code",$L2292,"due date",G$8)/-12</t>
  </si>
  <si>
    <t>=NL("sum","Production Order","Quantity","Source No.",$D2292,"Equipment Code",$L2292,"due date",H$8)/-12</t>
  </si>
  <si>
    <t>=NL("sum","Production Order","Quantity","Source No.",$D2292,"Equipment Code",$L2292,"due date",I$8)/-12</t>
  </si>
  <si>
    <t>=NL("sum","Production Order","Quantity","Source No.",$D2292,"Equipment Code",$L2292,"due date",J$8)/$J$7</t>
  </si>
  <si>
    <t>=AVERAGE(I2292:J2292)</t>
  </si>
  <si>
    <t>=IF(K2293=0,"hide","")</t>
  </si>
  <si>
    <t>=D2292</t>
  </si>
  <si>
    <t>=NL("sum","Production Order","Quantity","Source No.",$D2293,"Equipment Code",$L2293,"due date",F$8)/-12</t>
  </si>
  <si>
    <t>=NL("sum","Production Order","Quantity","Source No.",$D2293,"Equipment Code",$L2293,"due date",G$8)/-12</t>
  </si>
  <si>
    <t>=NL("sum","Production Order","Quantity","Source No.",$D2293,"Equipment Code",$L2293,"due date",H$8)/-12</t>
  </si>
  <si>
    <t>=NL("sum","Production Order","Quantity","Source No.",$D2293,"Equipment Code",$L2293,"due date",I$8)/-12</t>
  </si>
  <si>
    <t>=NL("sum","Production Order","Quantity","Source No.",$D2293,"Equipment Code",$L2293,"due date",J$8)/$J$7</t>
  </si>
  <si>
    <t>=AVERAGE(I2293:J2293)</t>
  </si>
  <si>
    <t>=IF(K2294=0,"hide","")</t>
  </si>
  <si>
    <t>=D2293</t>
  </si>
  <si>
    <t>=NL("sum","Production Order","Quantity","Source No.",$D2294,"Equipment Code",$L2294,"due date",F$8)/-12</t>
  </si>
  <si>
    <t>=NL("sum","Production Order","Quantity","Source No.",$D2294,"Equipment Code",$L2294,"due date",G$8)/-12</t>
  </si>
  <si>
    <t>=NL("sum","Production Order","Quantity","Source No.",$D2294,"Equipment Code",$L2294,"due date",H$8)/-12</t>
  </si>
  <si>
    <t>=NL("sum","Production Order","Quantity","Source No.",$D2294,"Equipment Code",$L2294,"due date",I$8)/-12</t>
  </si>
  <si>
    <t>=NL("sum","Production Order","Quantity","Source No.",$D2294,"Equipment Code",$L2294,"due date",J$8)/$J$7</t>
  </si>
  <si>
    <t>=AVERAGE(I2294:J2294)</t>
  </si>
  <si>
    <t>=B2291</t>
  </si>
  <si>
    <t>=B2295</t>
  </si>
  <si>
    <t>=SUM(F2291:F2295)</t>
  </si>
  <si>
    <t>=SUM(G2291:G2295)</t>
  </si>
  <si>
    <t>=SUM(H2291:H2295)</t>
  </si>
  <si>
    <t>=SUM(I2291:I2295)</t>
  </si>
  <si>
    <t>=SUM(J2291:J2295)</t>
  </si>
  <si>
    <t>=IF(K2297=0,"hide","")</t>
  </si>
  <si>
    <t>="28105"</t>
  </si>
  <si>
    <t>=NL("rows","Production BOM Version","Version Code","Production BOM No.",D2297,"status","certified")</t>
  </si>
  <si>
    <t>=NL("sum","Item Ledger Entry","Quantity","Item No.",$D2297,"Entry Type","Sale|Consumption","posting date","01/01/19..12/31/19")/-12</t>
  </si>
  <si>
    <t>=NL("sum","Item Ledger Entry","Quantity","Item No.",$D2297,"Entry Type","Sale|Consumption","posting date","01/01/20..12/31/20")/-12</t>
  </si>
  <si>
    <t>=NL("sum","Item Ledger Entry","Quantity","Item No.",$D2297,"Entry Type","Sale|Consumption","posting date","01/01/21..12/31/21")/-12</t>
  </si>
  <si>
    <t>=NL("sum","Item Ledger Entry","Quantity","Item No.",$D2297,"Entry Type","Sale|Consumption","posting date","01/01/22..12/31/22")/-12</t>
  </si>
  <si>
    <t>=NL("sum","Item Ledger Entry","Quantity","Item No.",$D2297,"Entry Type","Sale|Consumption","posting date","01/01/23..12/31/23")/$J$7</t>
  </si>
  <si>
    <t>=AVERAGE(I2297:J2297)</t>
  </si>
  <si>
    <t>=NL(1,"item",L$9,"no.",D2297)</t>
  </si>
  <si>
    <t>=NL(1,"item",M$9,"no.",$D2297)</t>
  </si>
  <si>
    <t>=NL(1,"item","Units Per Parcel","no.",$D2297)</t>
  </si>
  <si>
    <t>=NL(1,"Prod. BOM Equipment","Fixed Prod. Time (Hours)","Production BOM No.",$D2297,"version code",$E2297,"Resource No.",O$9)</t>
  </si>
  <si>
    <t>=1/O2297</t>
  </si>
  <si>
    <t>=IF(NL(1,"Prod. BOM Equipment","Variable Prod. Time (Hours)","Production BOM No.",$D2297,"version code",$E2297,"Resource No.",$O$9)="",1,NL(1,"Prod. BOM Equipment","Variable Prod. Time (Hours)","Production BOM No.",$D2297,"version code",$E2297,"Resource No.",$O$9))</t>
  </si>
  <si>
    <t>=1/Q2297</t>
  </si>
  <si>
    <t>=R2297*N2297</t>
  </si>
  <si>
    <t>=IF(K2298=0,"hide","")</t>
  </si>
  <si>
    <t>=D2297</t>
  </si>
  <si>
    <t>=NL("sum","Production Order","Quantity","Source No.",$D2298,"Equipment Code",$L2298,"due date",F$8)/-12</t>
  </si>
  <si>
    <t>=NL("sum","Production Order","Quantity","Source No.",$D2298,"Equipment Code",$L2298,"due date",G$8)/-12</t>
  </si>
  <si>
    <t>=NL("sum","Production Order","Quantity","Source No.",$D2298,"Equipment Code",$L2298,"due date",H$8)/-12</t>
  </si>
  <si>
    <t>=NL("sum","Production Order","Quantity","Source No.",$D2298,"Equipment Code",$L2298,"due date",I$8)/-12</t>
  </si>
  <si>
    <t>=NL("sum","Production Order","Quantity","Source No.",$D2298,"Equipment Code",$L2298,"due date",J$8)/$J$7</t>
  </si>
  <si>
    <t>=AVERAGE(I2298:J2298)</t>
  </si>
  <si>
    <t>=IF(K2299=0,"hide","")</t>
  </si>
  <si>
    <t>=D2298</t>
  </si>
  <si>
    <t>=NL("sum","Production Order","Quantity","Source No.",$D2299,"Equipment Code",$L2299,"due date",F$8)/-12</t>
  </si>
  <si>
    <t>=NL("sum","Production Order","Quantity","Source No.",$D2299,"Equipment Code",$L2299,"due date",G$8)/-12</t>
  </si>
  <si>
    <t>=NL("sum","Production Order","Quantity","Source No.",$D2299,"Equipment Code",$L2299,"due date",H$8)/-12</t>
  </si>
  <si>
    <t>=NL("sum","Production Order","Quantity","Source No.",$D2299,"Equipment Code",$L2299,"due date",I$8)/-12</t>
  </si>
  <si>
    <t>=NL("sum","Production Order","Quantity","Source No.",$D2299,"Equipment Code",$L2299,"due date",J$8)/$J$7</t>
  </si>
  <si>
    <t>=AVERAGE(I2299:J2299)</t>
  </si>
  <si>
    <t>=IF(K2300=0,"hide","")</t>
  </si>
  <si>
    <t>=D2299</t>
  </si>
  <si>
    <t>=NL("sum","Production Order","Quantity","Source No.",$D2300,"Equipment Code",$L2300,"due date",F$8)/-12</t>
  </si>
  <si>
    <t>=NL("sum","Production Order","Quantity","Source No.",$D2300,"Equipment Code",$L2300,"due date",G$8)/-12</t>
  </si>
  <si>
    <t>=NL("sum","Production Order","Quantity","Source No.",$D2300,"Equipment Code",$L2300,"due date",H$8)/-12</t>
  </si>
  <si>
    <t>=NL("sum","Production Order","Quantity","Source No.",$D2300,"Equipment Code",$L2300,"due date",I$8)/-12</t>
  </si>
  <si>
    <t>=NL("sum","Production Order","Quantity","Source No.",$D2300,"Equipment Code",$L2300,"due date",J$8)/$J$7</t>
  </si>
  <si>
    <t>=AVERAGE(I2300:J2300)</t>
  </si>
  <si>
    <t>=IF(K2301=0,"hide","")</t>
  </si>
  <si>
    <t>=D2300</t>
  </si>
  <si>
    <t>=NL("sum","Production Order","Quantity","Source No.",$D2301,"Equipment Code",$L2301,"due date",F$8)/-12</t>
  </si>
  <si>
    <t>=NL("sum","Production Order","Quantity","Source No.",$D2301,"Equipment Code",$L2301,"due date",G$8)/-12</t>
  </si>
  <si>
    <t>=NL("sum","Production Order","Quantity","Source No.",$D2301,"Equipment Code",$L2301,"due date",H$8)/-12</t>
  </si>
  <si>
    <t>=NL("sum","Production Order","Quantity","Source No.",$D2301,"Equipment Code",$L2301,"due date",I$8)/-12</t>
  </si>
  <si>
    <t>=NL("sum","Production Order","Quantity","Source No.",$D2301,"Equipment Code",$L2301,"due date",J$8)/$J$7</t>
  </si>
  <si>
    <t>=AVERAGE(I2301:J2301)</t>
  </si>
  <si>
    <t>=B2298</t>
  </si>
  <si>
    <t>=B2302</t>
  </si>
  <si>
    <t>=SUM(F2298:F2302)</t>
  </si>
  <si>
    <t>=SUM(G2298:G2302)</t>
  </si>
  <si>
    <t>=SUM(H2298:H2302)</t>
  </si>
  <si>
    <t>=SUM(I2298:I2302)</t>
  </si>
  <si>
    <t>=SUM(J2298:J2302)</t>
  </si>
  <si>
    <t>=IF(K2304=0,"hide","")</t>
  </si>
  <si>
    <t>="28405"</t>
  </si>
  <si>
    <t>=NL("rows","Production BOM Version","Version Code","Production BOM No.",D2304,"status","certified")</t>
  </si>
  <si>
    <t>=NL("sum","Item Ledger Entry","Quantity","Item No.",$D2304,"Entry Type","Sale|Consumption","posting date","01/01/19..12/31/19")/-12</t>
  </si>
  <si>
    <t>=NL("sum","Item Ledger Entry","Quantity","Item No.",$D2304,"Entry Type","Sale|Consumption","posting date","01/01/20..12/31/20")/-12</t>
  </si>
  <si>
    <t>=NL("sum","Item Ledger Entry","Quantity","Item No.",$D2304,"Entry Type","Sale|Consumption","posting date","01/01/21..12/31/21")/-12</t>
  </si>
  <si>
    <t>=NL("sum","Item Ledger Entry","Quantity","Item No.",$D2304,"Entry Type","Sale|Consumption","posting date","01/01/22..12/31/22")/-12</t>
  </si>
  <si>
    <t>=NL("sum","Item Ledger Entry","Quantity","Item No.",$D2304,"Entry Type","Sale|Consumption","posting date","01/01/23..12/31/23")/$J$7</t>
  </si>
  <si>
    <t>=AVERAGE(I2304:J2304)</t>
  </si>
  <si>
    <t>=NL(1,"item",L$9,"no.",D2304)</t>
  </si>
  <si>
    <t>=NL(1,"item",M$9,"no.",$D2304)</t>
  </si>
  <si>
    <t>=NL(1,"item","Units Per Parcel","no.",$D2304)</t>
  </si>
  <si>
    <t>=NL(1,"Prod. BOM Equipment","Fixed Prod. Time (Hours)","Production BOM No.",$D2304,"version code",$E2304,"Resource No.",O$9)</t>
  </si>
  <si>
    <t>=1/O2304</t>
  </si>
  <si>
    <t>=IF(NL(1,"Prod. BOM Equipment","Variable Prod. Time (Hours)","Production BOM No.",$D2304,"version code",$E2304,"Resource No.",$O$9)="",1,NL(1,"Prod. BOM Equipment","Variable Prod. Time (Hours)","Production BOM No.",$D2304,"version code",$E2304,"Resource No.",$O$9))</t>
  </si>
  <si>
    <t>=1/Q2304</t>
  </si>
  <si>
    <t>=R2304*N2304</t>
  </si>
  <si>
    <t>=IF(K2305=0,"hide","")</t>
  </si>
  <si>
    <t>=D2304</t>
  </si>
  <si>
    <t>=NL("sum","Production Order","Quantity","Source No.",$D2305,"Equipment Code",$L2305,"due date",F$8)/-12</t>
  </si>
  <si>
    <t>=NL("sum","Production Order","Quantity","Source No.",$D2305,"Equipment Code",$L2305,"due date",G$8)/-12</t>
  </si>
  <si>
    <t>=NL("sum","Production Order","Quantity","Source No.",$D2305,"Equipment Code",$L2305,"due date",H$8)/-12</t>
  </si>
  <si>
    <t>=NL("sum","Production Order","Quantity","Source No.",$D2305,"Equipment Code",$L2305,"due date",I$8)/-12</t>
  </si>
  <si>
    <t>=NL("sum","Production Order","Quantity","Source No.",$D2305,"Equipment Code",$L2305,"due date",J$8)/$J$7</t>
  </si>
  <si>
    <t>=AVERAGE(I2305:J2305)</t>
  </si>
  <si>
    <t>=IF(K2306=0,"hide","")</t>
  </si>
  <si>
    <t>=D2305</t>
  </si>
  <si>
    <t>=NL("sum","Production Order","Quantity","Source No.",$D2306,"Equipment Code",$L2306,"due date",F$8)/-12</t>
  </si>
  <si>
    <t>=NL("sum","Production Order","Quantity","Source No.",$D2306,"Equipment Code",$L2306,"due date",G$8)/-12</t>
  </si>
  <si>
    <t>=NL("sum","Production Order","Quantity","Source No.",$D2306,"Equipment Code",$L2306,"due date",H$8)/-12</t>
  </si>
  <si>
    <t>=NL("sum","Production Order","Quantity","Source No.",$D2306,"Equipment Code",$L2306,"due date",I$8)/-12</t>
  </si>
  <si>
    <t>=NL("sum","Production Order","Quantity","Source No.",$D2306,"Equipment Code",$L2306,"due date",J$8)/$J$7</t>
  </si>
  <si>
    <t>=AVERAGE(I2306:J2306)</t>
  </si>
  <si>
    <t>=IF(K2307=0,"hide","")</t>
  </si>
  <si>
    <t>=D2306</t>
  </si>
  <si>
    <t>=NL("sum","Production Order","Quantity","Source No.",$D2307,"Equipment Code",$L2307,"due date",F$8)/-12</t>
  </si>
  <si>
    <t>=NL("sum","Production Order","Quantity","Source No.",$D2307,"Equipment Code",$L2307,"due date",G$8)/-12</t>
  </si>
  <si>
    <t>=NL("sum","Production Order","Quantity","Source No.",$D2307,"Equipment Code",$L2307,"due date",H$8)/-12</t>
  </si>
  <si>
    <t>=NL("sum","Production Order","Quantity","Source No.",$D2307,"Equipment Code",$L2307,"due date",I$8)/-12</t>
  </si>
  <si>
    <t>=NL("sum","Production Order","Quantity","Source No.",$D2307,"Equipment Code",$L2307,"due date",J$8)/$J$7</t>
  </si>
  <si>
    <t>=AVERAGE(I2307:J2307)</t>
  </si>
  <si>
    <t>=IF(K2308=0,"hide","")</t>
  </si>
  <si>
    <t>=D2307</t>
  </si>
  <si>
    <t>=NL("sum","Production Order","Quantity","Source No.",$D2308,"Equipment Code",$L2308,"due date",F$8)/-12</t>
  </si>
  <si>
    <t>=NL("sum","Production Order","Quantity","Source No.",$D2308,"Equipment Code",$L2308,"due date",G$8)/-12</t>
  </si>
  <si>
    <t>=NL("sum","Production Order","Quantity","Source No.",$D2308,"Equipment Code",$L2308,"due date",H$8)/-12</t>
  </si>
  <si>
    <t>=NL("sum","Production Order","Quantity","Source No.",$D2308,"Equipment Code",$L2308,"due date",I$8)/-12</t>
  </si>
  <si>
    <t>=NL("sum","Production Order","Quantity","Source No.",$D2308,"Equipment Code",$L2308,"due date",J$8)/$J$7</t>
  </si>
  <si>
    <t>=AVERAGE(I2308:J2308)</t>
  </si>
  <si>
    <t>=B2305</t>
  </si>
  <si>
    <t>=B2309</t>
  </si>
  <si>
    <t>=SUM(F2305:F2309)</t>
  </si>
  <si>
    <t>=SUM(G2305:G2309)</t>
  </si>
  <si>
    <t>=SUM(H2305:H2309)</t>
  </si>
  <si>
    <t>=SUM(I2305:I2309)</t>
  </si>
  <si>
    <t>=SUM(J2305:J2309)</t>
  </si>
  <si>
    <t>=IF(K2311=0,"hide","")</t>
  </si>
  <si>
    <t>="28425"</t>
  </si>
  <si>
    <t>=NL("rows","Production BOM Version","Version Code","Production BOM No.",D2311,"status","certified")</t>
  </si>
  <si>
    <t>=NL("sum","Item Ledger Entry","Quantity","Item No.",$D2311,"Entry Type","Sale|Consumption","posting date","01/01/19..12/31/19")/-12</t>
  </si>
  <si>
    <t>=NL("sum","Item Ledger Entry","Quantity","Item No.",$D2311,"Entry Type","Sale|Consumption","posting date","01/01/20..12/31/20")/-12</t>
  </si>
  <si>
    <t>=NL("sum","Item Ledger Entry","Quantity","Item No.",$D2311,"Entry Type","Sale|Consumption","posting date","01/01/21..12/31/21")/-12</t>
  </si>
  <si>
    <t>=NL("sum","Item Ledger Entry","Quantity","Item No.",$D2311,"Entry Type","Sale|Consumption","posting date","01/01/22..12/31/22")/-12</t>
  </si>
  <si>
    <t>=NL("sum","Item Ledger Entry","Quantity","Item No.",$D2311,"Entry Type","Sale|Consumption","posting date","01/01/23..12/31/23")/$J$7</t>
  </si>
  <si>
    <t>=AVERAGE(I2311:J2311)</t>
  </si>
  <si>
    <t>=NL(1,"item",L$9,"no.",D2311)</t>
  </si>
  <si>
    <t>=NL(1,"item",M$9,"no.",$D2311)</t>
  </si>
  <si>
    <t>=NL(1,"item","Units Per Parcel","no.",$D2311)</t>
  </si>
  <si>
    <t>=NL(1,"Prod. BOM Equipment","Fixed Prod. Time (Hours)","Production BOM No.",$D2311,"version code",$E2311,"Resource No.",O$9)</t>
  </si>
  <si>
    <t>=1/O2311</t>
  </si>
  <si>
    <t>=IF(NL(1,"Prod. BOM Equipment","Variable Prod. Time (Hours)","Production BOM No.",$D2311,"version code",$E2311,"Resource No.",$O$9)="",1,NL(1,"Prod. BOM Equipment","Variable Prod. Time (Hours)","Production BOM No.",$D2311,"version code",$E2311,"Resource No.",$O$9))</t>
  </si>
  <si>
    <t>=1/Q2311</t>
  </si>
  <si>
    <t>=R2311*N2311</t>
  </si>
  <si>
    <t>=IF(K2312=0,"hide","")</t>
  </si>
  <si>
    <t>=D2311</t>
  </si>
  <si>
    <t>=NL("sum","Production Order","Quantity","Source No.",$D2312,"Equipment Code",$L2312,"due date",F$8)/-12</t>
  </si>
  <si>
    <t>=NL("sum","Production Order","Quantity","Source No.",$D2312,"Equipment Code",$L2312,"due date",G$8)/-12</t>
  </si>
  <si>
    <t>=NL("sum","Production Order","Quantity","Source No.",$D2312,"Equipment Code",$L2312,"due date",H$8)/-12</t>
  </si>
  <si>
    <t>=NL("sum","Production Order","Quantity","Source No.",$D2312,"Equipment Code",$L2312,"due date",I$8)/-12</t>
  </si>
  <si>
    <t>=NL("sum","Production Order","Quantity","Source No.",$D2312,"Equipment Code",$L2312,"due date",J$8)/$J$7</t>
  </si>
  <si>
    <t>=AVERAGE(I2312:J2312)</t>
  </si>
  <si>
    <t>=IF(K2313=0,"hide","")</t>
  </si>
  <si>
    <t>=D2312</t>
  </si>
  <si>
    <t>=NL("sum","Production Order","Quantity","Source No.",$D2313,"Equipment Code",$L2313,"due date",F$8)/-12</t>
  </si>
  <si>
    <t>=NL("sum","Production Order","Quantity","Source No.",$D2313,"Equipment Code",$L2313,"due date",G$8)/-12</t>
  </si>
  <si>
    <t>=NL("sum","Production Order","Quantity","Source No.",$D2313,"Equipment Code",$L2313,"due date",H$8)/-12</t>
  </si>
  <si>
    <t>=NL("sum","Production Order","Quantity","Source No.",$D2313,"Equipment Code",$L2313,"due date",I$8)/-12</t>
  </si>
  <si>
    <t>=NL("sum","Production Order","Quantity","Source No.",$D2313,"Equipment Code",$L2313,"due date",J$8)/$J$7</t>
  </si>
  <si>
    <t>=AVERAGE(I2313:J2313)</t>
  </si>
  <si>
    <t>=IF(K2314=0,"hide","")</t>
  </si>
  <si>
    <t>=D2313</t>
  </si>
  <si>
    <t>=NL("sum","Production Order","Quantity","Source No.",$D2314,"Equipment Code",$L2314,"due date",F$8)/-12</t>
  </si>
  <si>
    <t>=NL("sum","Production Order","Quantity","Source No.",$D2314,"Equipment Code",$L2314,"due date",G$8)/-12</t>
  </si>
  <si>
    <t>=NL("sum","Production Order","Quantity","Source No.",$D2314,"Equipment Code",$L2314,"due date",H$8)/-12</t>
  </si>
  <si>
    <t>=NL("sum","Production Order","Quantity","Source No.",$D2314,"Equipment Code",$L2314,"due date",I$8)/-12</t>
  </si>
  <si>
    <t>=NL("sum","Production Order","Quantity","Source No.",$D2314,"Equipment Code",$L2314,"due date",J$8)/$J$7</t>
  </si>
  <si>
    <t>=AVERAGE(I2314:J2314)</t>
  </si>
  <si>
    <t>=IF(K2315=0,"hide","")</t>
  </si>
  <si>
    <t>=D2314</t>
  </si>
  <si>
    <t>=NL("sum","Production Order","Quantity","Source No.",$D2315,"Equipment Code",$L2315,"due date",F$8)/-12</t>
  </si>
  <si>
    <t>=NL("sum","Production Order","Quantity","Source No.",$D2315,"Equipment Code",$L2315,"due date",G$8)/-12</t>
  </si>
  <si>
    <t>=NL("sum","Production Order","Quantity","Source No.",$D2315,"Equipment Code",$L2315,"due date",H$8)/-12</t>
  </si>
  <si>
    <t>=NL("sum","Production Order","Quantity","Source No.",$D2315,"Equipment Code",$L2315,"due date",I$8)/-12</t>
  </si>
  <si>
    <t>=NL("sum","Production Order","Quantity","Source No.",$D2315,"Equipment Code",$L2315,"due date",J$8)/$J$7</t>
  </si>
  <si>
    <t>=AVERAGE(I2315:J2315)</t>
  </si>
  <si>
    <t>=B2312</t>
  </si>
  <si>
    <t>=B2316</t>
  </si>
  <si>
    <t>=SUM(F2312:F2316)</t>
  </si>
  <si>
    <t>=SUM(G2312:G2316)</t>
  </si>
  <si>
    <t>=SUM(H2312:H2316)</t>
  </si>
  <si>
    <t>=SUM(I2312:I2316)</t>
  </si>
  <si>
    <t>=SUM(J2312:J2316)</t>
  </si>
  <si>
    <t>=IF(K2318=0,"hide","")</t>
  </si>
  <si>
    <t>="28436"</t>
  </si>
  <si>
    <t>=NL("rows","Production BOM Version","Version Code","Production BOM No.",D2318,"status","certified")</t>
  </si>
  <si>
    <t>=NL("sum","Item Ledger Entry","Quantity","Item No.",$D2318,"Entry Type","Sale|Consumption","posting date","01/01/19..12/31/19")/-12</t>
  </si>
  <si>
    <t>=NL("sum","Item Ledger Entry","Quantity","Item No.",$D2318,"Entry Type","Sale|Consumption","posting date","01/01/20..12/31/20")/-12</t>
  </si>
  <si>
    <t>=NL("sum","Item Ledger Entry","Quantity","Item No.",$D2318,"Entry Type","Sale|Consumption","posting date","01/01/21..12/31/21")/-12</t>
  </si>
  <si>
    <t>=NL("sum","Item Ledger Entry","Quantity","Item No.",$D2318,"Entry Type","Sale|Consumption","posting date","01/01/22..12/31/22")/-12</t>
  </si>
  <si>
    <t>=NL("sum","Item Ledger Entry","Quantity","Item No.",$D2318,"Entry Type","Sale|Consumption","posting date","01/01/23..12/31/23")/$J$7</t>
  </si>
  <si>
    <t>=AVERAGE(I2318:J2318)</t>
  </si>
  <si>
    <t>=NL(1,"item",L$9,"no.",D2318)</t>
  </si>
  <si>
    <t>=NL(1,"item",M$9,"no.",$D2318)</t>
  </si>
  <si>
    <t>=NL(1,"item","Units Per Parcel","no.",$D2318)</t>
  </si>
  <si>
    <t>=NL(1,"Prod. BOM Equipment","Fixed Prod. Time (Hours)","Production BOM No.",$D2318,"version code",$E2318,"Resource No.",O$9)</t>
  </si>
  <si>
    <t>=1/O2318</t>
  </si>
  <si>
    <t>=IF(NL(1,"Prod. BOM Equipment","Variable Prod. Time (Hours)","Production BOM No.",$D2318,"version code",$E2318,"Resource No.",$O$9)="",1,NL(1,"Prod. BOM Equipment","Variable Prod. Time (Hours)","Production BOM No.",$D2318,"version code",$E2318,"Resource No.",$O$9))</t>
  </si>
  <si>
    <t>=1/Q2318</t>
  </si>
  <si>
    <t>=R2318*N2318</t>
  </si>
  <si>
    <t>=IF(K2319=0,"hide","")</t>
  </si>
  <si>
    <t>=D2318</t>
  </si>
  <si>
    <t>=NL("sum","Production Order","Quantity","Source No.",$D2319,"Equipment Code",$L2319,"due date",F$8)/-12</t>
  </si>
  <si>
    <t>=NL("sum","Production Order","Quantity","Source No.",$D2319,"Equipment Code",$L2319,"due date",G$8)/-12</t>
  </si>
  <si>
    <t>=NL("sum","Production Order","Quantity","Source No.",$D2319,"Equipment Code",$L2319,"due date",H$8)/-12</t>
  </si>
  <si>
    <t>=NL("sum","Production Order","Quantity","Source No.",$D2319,"Equipment Code",$L2319,"due date",I$8)/-12</t>
  </si>
  <si>
    <t>=NL("sum","Production Order","Quantity","Source No.",$D2319,"Equipment Code",$L2319,"due date",J$8)/$J$7</t>
  </si>
  <si>
    <t>=AVERAGE(I2319:J2319)</t>
  </si>
  <si>
    <t>=IF(K2320=0,"hide","")</t>
  </si>
  <si>
    <t>=D2319</t>
  </si>
  <si>
    <t>=NL("sum","Production Order","Quantity","Source No.",$D2320,"Equipment Code",$L2320,"due date",F$8)/-12</t>
  </si>
  <si>
    <t>=NL("sum","Production Order","Quantity","Source No.",$D2320,"Equipment Code",$L2320,"due date",G$8)/-12</t>
  </si>
  <si>
    <t>=NL("sum","Production Order","Quantity","Source No.",$D2320,"Equipment Code",$L2320,"due date",H$8)/-12</t>
  </si>
  <si>
    <t>=NL("sum","Production Order","Quantity","Source No.",$D2320,"Equipment Code",$L2320,"due date",I$8)/-12</t>
  </si>
  <si>
    <t>=NL("sum","Production Order","Quantity","Source No.",$D2320,"Equipment Code",$L2320,"due date",J$8)/$J$7</t>
  </si>
  <si>
    <t>=AVERAGE(I2320:J2320)</t>
  </si>
  <si>
    <t>=IF(K2321=0,"hide","")</t>
  </si>
  <si>
    <t>=D2320</t>
  </si>
  <si>
    <t>=NL("sum","Production Order","Quantity","Source No.",$D2321,"Equipment Code",$L2321,"due date",F$8)/-12</t>
  </si>
  <si>
    <t>=NL("sum","Production Order","Quantity","Source No.",$D2321,"Equipment Code",$L2321,"due date",G$8)/-12</t>
  </si>
  <si>
    <t>=NL("sum","Production Order","Quantity","Source No.",$D2321,"Equipment Code",$L2321,"due date",H$8)/-12</t>
  </si>
  <si>
    <t>=NL("sum","Production Order","Quantity","Source No.",$D2321,"Equipment Code",$L2321,"due date",I$8)/-12</t>
  </si>
  <si>
    <t>=NL("sum","Production Order","Quantity","Source No.",$D2321,"Equipment Code",$L2321,"due date",J$8)/$J$7</t>
  </si>
  <si>
    <t>=AVERAGE(I2321:J2321)</t>
  </si>
  <si>
    <t>=IF(K2322=0,"hide","")</t>
  </si>
  <si>
    <t>=D2321</t>
  </si>
  <si>
    <t>=NL("sum","Production Order","Quantity","Source No.",$D2322,"Equipment Code",$L2322,"due date",F$8)/-12</t>
  </si>
  <si>
    <t>=NL("sum","Production Order","Quantity","Source No.",$D2322,"Equipment Code",$L2322,"due date",G$8)/-12</t>
  </si>
  <si>
    <t>=NL("sum","Production Order","Quantity","Source No.",$D2322,"Equipment Code",$L2322,"due date",H$8)/-12</t>
  </si>
  <si>
    <t>=NL("sum","Production Order","Quantity","Source No.",$D2322,"Equipment Code",$L2322,"due date",I$8)/-12</t>
  </si>
  <si>
    <t>=NL("sum","Production Order","Quantity","Source No.",$D2322,"Equipment Code",$L2322,"due date",J$8)/$J$7</t>
  </si>
  <si>
    <t>=AVERAGE(I2322:J2322)</t>
  </si>
  <si>
    <t>=B2319</t>
  </si>
  <si>
    <t>=B2323</t>
  </si>
  <si>
    <t>=SUM(F2319:F2323)</t>
  </si>
  <si>
    <t>=SUM(G2319:G2323)</t>
  </si>
  <si>
    <t>=SUM(H2319:H2323)</t>
  </si>
  <si>
    <t>=SUM(I2319:I2323)</t>
  </si>
  <si>
    <t>=SUM(J2319:J2323)</t>
  </si>
  <si>
    <t>=IF(K2325=0,"hide","")</t>
  </si>
  <si>
    <t>="28445"</t>
  </si>
  <si>
    <t>=NL("rows","Production BOM Version","Version Code","Production BOM No.",D2325,"status","certified")</t>
  </si>
  <si>
    <t>=NL("sum","Item Ledger Entry","Quantity","Item No.",$D2325,"Entry Type","Sale|Consumption","posting date","01/01/19..12/31/19")/-12</t>
  </si>
  <si>
    <t>=NL("sum","Item Ledger Entry","Quantity","Item No.",$D2325,"Entry Type","Sale|Consumption","posting date","01/01/20..12/31/20")/-12</t>
  </si>
  <si>
    <t>=NL("sum","Item Ledger Entry","Quantity","Item No.",$D2325,"Entry Type","Sale|Consumption","posting date","01/01/21..12/31/21")/-12</t>
  </si>
  <si>
    <t>=NL("sum","Item Ledger Entry","Quantity","Item No.",$D2325,"Entry Type","Sale|Consumption","posting date","01/01/22..12/31/22")/-12</t>
  </si>
  <si>
    <t>=NL("sum","Item Ledger Entry","Quantity","Item No.",$D2325,"Entry Type","Sale|Consumption","posting date","01/01/23..12/31/23")/$J$7</t>
  </si>
  <si>
    <t>=AVERAGE(I2325:J2325)</t>
  </si>
  <si>
    <t>=NL(1,"item",L$9,"no.",D2325)</t>
  </si>
  <si>
    <t>=NL(1,"item",M$9,"no.",$D2325)</t>
  </si>
  <si>
    <t>=NL(1,"item","Units Per Parcel","no.",$D2325)</t>
  </si>
  <si>
    <t>=NL(1,"Prod. BOM Equipment","Fixed Prod. Time (Hours)","Production BOM No.",$D2325,"version code",$E2325,"Resource No.",O$9)</t>
  </si>
  <si>
    <t>=1/O2325</t>
  </si>
  <si>
    <t>=IF(NL(1,"Prod. BOM Equipment","Variable Prod. Time (Hours)","Production BOM No.",$D2325,"version code",$E2325,"Resource No.",$O$9)="",1,NL(1,"Prod. BOM Equipment","Variable Prod. Time (Hours)","Production BOM No.",$D2325,"version code",$E2325,"Resource No.",$O$9))</t>
  </si>
  <si>
    <t>=1/Q2325</t>
  </si>
  <si>
    <t>=R2325*N2325</t>
  </si>
  <si>
    <t>=IF(K2326=0,"hide","")</t>
  </si>
  <si>
    <t>=D2325</t>
  </si>
  <si>
    <t>=NL("sum","Production Order","Quantity","Source No.",$D2326,"Equipment Code",$L2326,"due date",F$8)/-12</t>
  </si>
  <si>
    <t>=NL("sum","Production Order","Quantity","Source No.",$D2326,"Equipment Code",$L2326,"due date",G$8)/-12</t>
  </si>
  <si>
    <t>=NL("sum","Production Order","Quantity","Source No.",$D2326,"Equipment Code",$L2326,"due date",H$8)/-12</t>
  </si>
  <si>
    <t>=NL("sum","Production Order","Quantity","Source No.",$D2326,"Equipment Code",$L2326,"due date",I$8)/-12</t>
  </si>
  <si>
    <t>=NL("sum","Production Order","Quantity","Source No.",$D2326,"Equipment Code",$L2326,"due date",J$8)/$J$7</t>
  </si>
  <si>
    <t>=AVERAGE(I2326:J2326)</t>
  </si>
  <si>
    <t>=IF(K2327=0,"hide","")</t>
  </si>
  <si>
    <t>=D2326</t>
  </si>
  <si>
    <t>=NL("sum","Production Order","Quantity","Source No.",$D2327,"Equipment Code",$L2327,"due date",F$8)/-12</t>
  </si>
  <si>
    <t>=NL("sum","Production Order","Quantity","Source No.",$D2327,"Equipment Code",$L2327,"due date",G$8)/-12</t>
  </si>
  <si>
    <t>=NL("sum","Production Order","Quantity","Source No.",$D2327,"Equipment Code",$L2327,"due date",H$8)/-12</t>
  </si>
  <si>
    <t>=NL("sum","Production Order","Quantity","Source No.",$D2327,"Equipment Code",$L2327,"due date",I$8)/-12</t>
  </si>
  <si>
    <t>=NL("sum","Production Order","Quantity","Source No.",$D2327,"Equipment Code",$L2327,"due date",J$8)/$J$7</t>
  </si>
  <si>
    <t>=AVERAGE(I2327:J2327)</t>
  </si>
  <si>
    <t>=IF(K2328=0,"hide","")</t>
  </si>
  <si>
    <t>=D2327</t>
  </si>
  <si>
    <t>=NL("sum","Production Order","Quantity","Source No.",$D2328,"Equipment Code",$L2328,"due date",F$8)/-12</t>
  </si>
  <si>
    <t>=NL("sum","Production Order","Quantity","Source No.",$D2328,"Equipment Code",$L2328,"due date",G$8)/-12</t>
  </si>
  <si>
    <t>=NL("sum","Production Order","Quantity","Source No.",$D2328,"Equipment Code",$L2328,"due date",H$8)/-12</t>
  </si>
  <si>
    <t>=NL("sum","Production Order","Quantity","Source No.",$D2328,"Equipment Code",$L2328,"due date",I$8)/-12</t>
  </si>
  <si>
    <t>=NL("sum","Production Order","Quantity","Source No.",$D2328,"Equipment Code",$L2328,"due date",J$8)/$J$7</t>
  </si>
  <si>
    <t>=AVERAGE(I2328:J2328)</t>
  </si>
  <si>
    <t>=IF(K2329=0,"hide","")</t>
  </si>
  <si>
    <t>=D2328</t>
  </si>
  <si>
    <t>=NL("sum","Production Order","Quantity","Source No.",$D2329,"Equipment Code",$L2329,"due date",F$8)/-12</t>
  </si>
  <si>
    <t>=NL("sum","Production Order","Quantity","Source No.",$D2329,"Equipment Code",$L2329,"due date",G$8)/-12</t>
  </si>
  <si>
    <t>=NL("sum","Production Order","Quantity","Source No.",$D2329,"Equipment Code",$L2329,"due date",H$8)/-12</t>
  </si>
  <si>
    <t>=NL("sum","Production Order","Quantity","Source No.",$D2329,"Equipment Code",$L2329,"due date",I$8)/-12</t>
  </si>
  <si>
    <t>=NL("sum","Production Order","Quantity","Source No.",$D2329,"Equipment Code",$L2329,"due date",J$8)/$J$7</t>
  </si>
  <si>
    <t>=AVERAGE(I2329:J2329)</t>
  </si>
  <si>
    <t>=B2326</t>
  </si>
  <si>
    <t>=B2330</t>
  </si>
  <si>
    <t>=SUM(F2326:F2330)</t>
  </si>
  <si>
    <t>=SUM(G2326:G2330)</t>
  </si>
  <si>
    <t>=SUM(H2326:H2330)</t>
  </si>
  <si>
    <t>=SUM(I2326:I2330)</t>
  </si>
  <si>
    <t>=SUM(J2326:J2330)</t>
  </si>
  <si>
    <t>=IF(K2332=0,"hide","")</t>
  </si>
  <si>
    <t>="28505"</t>
  </si>
  <si>
    <t>=NL("rows","Production BOM Version","Version Code","Production BOM No.",D2332,"status","certified")</t>
  </si>
  <si>
    <t>=NL("sum","Item Ledger Entry","Quantity","Item No.",$D2332,"Entry Type","Sale|Consumption","posting date","01/01/19..12/31/19")/-12</t>
  </si>
  <si>
    <t>=NL("sum","Item Ledger Entry","Quantity","Item No.",$D2332,"Entry Type","Sale|Consumption","posting date","01/01/20..12/31/20")/-12</t>
  </si>
  <si>
    <t>=NL("sum","Item Ledger Entry","Quantity","Item No.",$D2332,"Entry Type","Sale|Consumption","posting date","01/01/21..12/31/21")/-12</t>
  </si>
  <si>
    <t>=NL("sum","Item Ledger Entry","Quantity","Item No.",$D2332,"Entry Type","Sale|Consumption","posting date","01/01/22..12/31/22")/-12</t>
  </si>
  <si>
    <t>=NL("sum","Item Ledger Entry","Quantity","Item No.",$D2332,"Entry Type","Sale|Consumption","posting date","01/01/23..12/31/23")/$J$7</t>
  </si>
  <si>
    <t>=AVERAGE(I2332:J2332)</t>
  </si>
  <si>
    <t>=NL(1,"item",L$9,"no.",D2332)</t>
  </si>
  <si>
    <t>=NL(1,"item",M$9,"no.",$D2332)</t>
  </si>
  <si>
    <t>=NL(1,"item","Units Per Parcel","no.",$D2332)</t>
  </si>
  <si>
    <t>=NL(1,"Prod. BOM Equipment","Fixed Prod. Time (Hours)","Production BOM No.",$D2332,"version code",$E2332,"Resource No.",O$9)</t>
  </si>
  <si>
    <t>=1/O2332</t>
  </si>
  <si>
    <t>=IF(NL(1,"Prod. BOM Equipment","Variable Prod. Time (Hours)","Production BOM No.",$D2332,"version code",$E2332,"Resource No.",$O$9)="",1,NL(1,"Prod. BOM Equipment","Variable Prod. Time (Hours)","Production BOM No.",$D2332,"version code",$E2332,"Resource No.",$O$9))</t>
  </si>
  <si>
    <t>=1/Q2332</t>
  </si>
  <si>
    <t>=R2332*N2332</t>
  </si>
  <si>
    <t>=IF(K2333=0,"hide","")</t>
  </si>
  <si>
    <t>=D2332</t>
  </si>
  <si>
    <t>=NL("sum","Production Order","Quantity","Source No.",$D2333,"Equipment Code",$L2333,"due date",F$8)/-12</t>
  </si>
  <si>
    <t>=NL("sum","Production Order","Quantity","Source No.",$D2333,"Equipment Code",$L2333,"due date",G$8)/-12</t>
  </si>
  <si>
    <t>=NL("sum","Production Order","Quantity","Source No.",$D2333,"Equipment Code",$L2333,"due date",H$8)/-12</t>
  </si>
  <si>
    <t>=NL("sum","Production Order","Quantity","Source No.",$D2333,"Equipment Code",$L2333,"due date",I$8)/-12</t>
  </si>
  <si>
    <t>=NL("sum","Production Order","Quantity","Source No.",$D2333,"Equipment Code",$L2333,"due date",J$8)/$J$7</t>
  </si>
  <si>
    <t>=AVERAGE(I2333:J2333)</t>
  </si>
  <si>
    <t>=IF(K2334=0,"hide","")</t>
  </si>
  <si>
    <t>=D2333</t>
  </si>
  <si>
    <t>=NL("sum","Production Order","Quantity","Source No.",$D2334,"Equipment Code",$L2334,"due date",F$8)/-12</t>
  </si>
  <si>
    <t>=NL("sum","Production Order","Quantity","Source No.",$D2334,"Equipment Code",$L2334,"due date",G$8)/-12</t>
  </si>
  <si>
    <t>=NL("sum","Production Order","Quantity","Source No.",$D2334,"Equipment Code",$L2334,"due date",H$8)/-12</t>
  </si>
  <si>
    <t>=NL("sum","Production Order","Quantity","Source No.",$D2334,"Equipment Code",$L2334,"due date",I$8)/-12</t>
  </si>
  <si>
    <t>=NL("sum","Production Order","Quantity","Source No.",$D2334,"Equipment Code",$L2334,"due date",J$8)/$J$7</t>
  </si>
  <si>
    <t>=AVERAGE(I2334:J2334)</t>
  </si>
  <si>
    <t>=IF(K2335=0,"hide","")</t>
  </si>
  <si>
    <t>=D2334</t>
  </si>
  <si>
    <t>=NL("sum","Production Order","Quantity","Source No.",$D2335,"Equipment Code",$L2335,"due date",F$8)/-12</t>
  </si>
  <si>
    <t>=NL("sum","Production Order","Quantity","Source No.",$D2335,"Equipment Code",$L2335,"due date",G$8)/-12</t>
  </si>
  <si>
    <t>=NL("sum","Production Order","Quantity","Source No.",$D2335,"Equipment Code",$L2335,"due date",H$8)/-12</t>
  </si>
  <si>
    <t>=NL("sum","Production Order","Quantity","Source No.",$D2335,"Equipment Code",$L2335,"due date",I$8)/-12</t>
  </si>
  <si>
    <t>=NL("sum","Production Order","Quantity","Source No.",$D2335,"Equipment Code",$L2335,"due date",J$8)/$J$7</t>
  </si>
  <si>
    <t>=AVERAGE(I2335:J2335)</t>
  </si>
  <si>
    <t>=IF(K2336=0,"hide","")</t>
  </si>
  <si>
    <t>=D2335</t>
  </si>
  <si>
    <t>=NL("sum","Production Order","Quantity","Source No.",$D2336,"Equipment Code",$L2336,"due date",F$8)/-12</t>
  </si>
  <si>
    <t>=NL("sum","Production Order","Quantity","Source No.",$D2336,"Equipment Code",$L2336,"due date",G$8)/-12</t>
  </si>
  <si>
    <t>=NL("sum","Production Order","Quantity","Source No.",$D2336,"Equipment Code",$L2336,"due date",H$8)/-12</t>
  </si>
  <si>
    <t>=NL("sum","Production Order","Quantity","Source No.",$D2336,"Equipment Code",$L2336,"due date",I$8)/-12</t>
  </si>
  <si>
    <t>=NL("sum","Production Order","Quantity","Source No.",$D2336,"Equipment Code",$L2336,"due date",J$8)/$J$7</t>
  </si>
  <si>
    <t>=AVERAGE(I2336:J2336)</t>
  </si>
  <si>
    <t>=B2333</t>
  </si>
  <si>
    <t>=B2337</t>
  </si>
  <si>
    <t>=SUM(F2333:F2337)</t>
  </si>
  <si>
    <t>=SUM(G2333:G2337)</t>
  </si>
  <si>
    <t>=SUM(H2333:H2337)</t>
  </si>
  <si>
    <t>=SUM(I2333:I2337)</t>
  </si>
  <si>
    <t>=SUM(J2333:J2337)</t>
  </si>
  <si>
    <t>=IF(K2339=0,"hide","")</t>
  </si>
  <si>
    <t>="28525"</t>
  </si>
  <si>
    <t>=NL("rows","Production BOM Version","Version Code","Production BOM No.",D2339,"status","certified")</t>
  </si>
  <si>
    <t>=NL("sum","Item Ledger Entry","Quantity","Item No.",$D2339,"Entry Type","Sale|Consumption","posting date","01/01/19..12/31/19")/-12</t>
  </si>
  <si>
    <t>=NL("sum","Item Ledger Entry","Quantity","Item No.",$D2339,"Entry Type","Sale|Consumption","posting date","01/01/20..12/31/20")/-12</t>
  </si>
  <si>
    <t>=NL("sum","Item Ledger Entry","Quantity","Item No.",$D2339,"Entry Type","Sale|Consumption","posting date","01/01/21..12/31/21")/-12</t>
  </si>
  <si>
    <t>=NL("sum","Item Ledger Entry","Quantity","Item No.",$D2339,"Entry Type","Sale|Consumption","posting date","01/01/22..12/31/22")/-12</t>
  </si>
  <si>
    <t>=NL("sum","Item Ledger Entry","Quantity","Item No.",$D2339,"Entry Type","Sale|Consumption","posting date","01/01/23..12/31/23")/$J$7</t>
  </si>
  <si>
    <t>=AVERAGE(I2339:J2339)</t>
  </si>
  <si>
    <t>=NL(1,"item",L$9,"no.",D2339)</t>
  </si>
  <si>
    <t>=NL(1,"item",M$9,"no.",$D2339)</t>
  </si>
  <si>
    <t>=NL(1,"item","Units Per Parcel","no.",$D2339)</t>
  </si>
  <si>
    <t>=NL(1,"Prod. BOM Equipment","Fixed Prod. Time (Hours)","Production BOM No.",$D2339,"version code",$E2339,"Resource No.",O$9)</t>
  </si>
  <si>
    <t>=1/O2339</t>
  </si>
  <si>
    <t>=IF(NL(1,"Prod. BOM Equipment","Variable Prod. Time (Hours)","Production BOM No.",$D2339,"version code",$E2339,"Resource No.",$O$9)="",1,NL(1,"Prod. BOM Equipment","Variable Prod. Time (Hours)","Production BOM No.",$D2339,"version code",$E2339,"Resource No.",$O$9))</t>
  </si>
  <si>
    <t>=1/Q2339</t>
  </si>
  <si>
    <t>=R2339*N2339</t>
  </si>
  <si>
    <t>=IF(K2340=0,"hide","")</t>
  </si>
  <si>
    <t>=D2339</t>
  </si>
  <si>
    <t>=NL("sum","Production Order","Quantity","Source No.",$D2340,"Equipment Code",$L2340,"due date",F$8)/-12</t>
  </si>
  <si>
    <t>=NL("sum","Production Order","Quantity","Source No.",$D2340,"Equipment Code",$L2340,"due date",G$8)/-12</t>
  </si>
  <si>
    <t>=NL("sum","Production Order","Quantity","Source No.",$D2340,"Equipment Code",$L2340,"due date",H$8)/-12</t>
  </si>
  <si>
    <t>=NL("sum","Production Order","Quantity","Source No.",$D2340,"Equipment Code",$L2340,"due date",I$8)/-12</t>
  </si>
  <si>
    <t>=NL("sum","Production Order","Quantity","Source No.",$D2340,"Equipment Code",$L2340,"due date",J$8)/$J$7</t>
  </si>
  <si>
    <t>=AVERAGE(I2340:J2340)</t>
  </si>
  <si>
    <t>=IF(K2341=0,"hide","")</t>
  </si>
  <si>
    <t>=D2340</t>
  </si>
  <si>
    <t>=NL("sum","Production Order","Quantity","Source No.",$D2341,"Equipment Code",$L2341,"due date",F$8)/-12</t>
  </si>
  <si>
    <t>=NL("sum","Production Order","Quantity","Source No.",$D2341,"Equipment Code",$L2341,"due date",G$8)/-12</t>
  </si>
  <si>
    <t>=NL("sum","Production Order","Quantity","Source No.",$D2341,"Equipment Code",$L2341,"due date",H$8)/-12</t>
  </si>
  <si>
    <t>=NL("sum","Production Order","Quantity","Source No.",$D2341,"Equipment Code",$L2341,"due date",I$8)/-12</t>
  </si>
  <si>
    <t>=NL("sum","Production Order","Quantity","Source No.",$D2341,"Equipment Code",$L2341,"due date",J$8)/$J$7</t>
  </si>
  <si>
    <t>=AVERAGE(I2341:J2341)</t>
  </si>
  <si>
    <t>=IF(K2342=0,"hide","")</t>
  </si>
  <si>
    <t>=D2341</t>
  </si>
  <si>
    <t>=NL("sum","Production Order","Quantity","Source No.",$D2342,"Equipment Code",$L2342,"due date",F$8)/-12</t>
  </si>
  <si>
    <t>=NL("sum","Production Order","Quantity","Source No.",$D2342,"Equipment Code",$L2342,"due date",G$8)/-12</t>
  </si>
  <si>
    <t>=NL("sum","Production Order","Quantity","Source No.",$D2342,"Equipment Code",$L2342,"due date",H$8)/-12</t>
  </si>
  <si>
    <t>=NL("sum","Production Order","Quantity","Source No.",$D2342,"Equipment Code",$L2342,"due date",I$8)/-12</t>
  </si>
  <si>
    <t>=NL("sum","Production Order","Quantity","Source No.",$D2342,"Equipment Code",$L2342,"due date",J$8)/$J$7</t>
  </si>
  <si>
    <t>=AVERAGE(I2342:J2342)</t>
  </si>
  <si>
    <t>=IF(K2343=0,"hide","")</t>
  </si>
  <si>
    <t>=D2342</t>
  </si>
  <si>
    <t>=NL("sum","Production Order","Quantity","Source No.",$D2343,"Equipment Code",$L2343,"due date",F$8)/-12</t>
  </si>
  <si>
    <t>=NL("sum","Production Order","Quantity","Source No.",$D2343,"Equipment Code",$L2343,"due date",G$8)/-12</t>
  </si>
  <si>
    <t>=NL("sum","Production Order","Quantity","Source No.",$D2343,"Equipment Code",$L2343,"due date",H$8)/-12</t>
  </si>
  <si>
    <t>=NL("sum","Production Order","Quantity","Source No.",$D2343,"Equipment Code",$L2343,"due date",I$8)/-12</t>
  </si>
  <si>
    <t>=NL("sum","Production Order","Quantity","Source No.",$D2343,"Equipment Code",$L2343,"due date",J$8)/$J$7</t>
  </si>
  <si>
    <t>=AVERAGE(I2343:J2343)</t>
  </si>
  <si>
    <t>=B2340</t>
  </si>
  <si>
    <t>=B2344</t>
  </si>
  <si>
    <t>=SUM(F2340:F2344)</t>
  </si>
  <si>
    <t>=SUM(G2340:G2344)</t>
  </si>
  <si>
    <t>=SUM(H2340:H2344)</t>
  </si>
  <si>
    <t>=SUM(I2340:I2344)</t>
  </si>
  <si>
    <t>=SUM(J2340:J2344)</t>
  </si>
  <si>
    <t>=IF(K2346=0,"hide","")</t>
  </si>
  <si>
    <t>="28705"</t>
  </si>
  <si>
    <t>=NL("rows","Production BOM Version","Version Code","Production BOM No.",D2346,"status","certified")</t>
  </si>
  <si>
    <t>=NL("sum","Item Ledger Entry","Quantity","Item No.",$D2346,"Entry Type","Sale|Consumption","posting date","01/01/19..12/31/19")/-12</t>
  </si>
  <si>
    <t>=NL("sum","Item Ledger Entry","Quantity","Item No.",$D2346,"Entry Type","Sale|Consumption","posting date","01/01/20..12/31/20")/-12</t>
  </si>
  <si>
    <t>=NL("sum","Item Ledger Entry","Quantity","Item No.",$D2346,"Entry Type","Sale|Consumption","posting date","01/01/21..12/31/21")/-12</t>
  </si>
  <si>
    <t>=NL("sum","Item Ledger Entry","Quantity","Item No.",$D2346,"Entry Type","Sale|Consumption","posting date","01/01/22..12/31/22")/-12</t>
  </si>
  <si>
    <t>=NL("sum","Item Ledger Entry","Quantity","Item No.",$D2346,"Entry Type","Sale|Consumption","posting date","01/01/23..12/31/23")/$J$7</t>
  </si>
  <si>
    <t>=AVERAGE(I2346:J2346)</t>
  </si>
  <si>
    <t>=NL(1,"item",L$9,"no.",D2346)</t>
  </si>
  <si>
    <t>=NL(1,"item",M$9,"no.",$D2346)</t>
  </si>
  <si>
    <t>=NL(1,"item","Units Per Parcel","no.",$D2346)</t>
  </si>
  <si>
    <t>=NL(1,"Prod. BOM Equipment","Fixed Prod. Time (Hours)","Production BOM No.",$D2346,"version code",$E2346,"Resource No.",O$9)</t>
  </si>
  <si>
    <t>=1/O2346</t>
  </si>
  <si>
    <t>=IF(NL(1,"Prod. BOM Equipment","Variable Prod. Time (Hours)","Production BOM No.",$D2346,"version code",$E2346,"Resource No.",$O$9)="",1,NL(1,"Prod. BOM Equipment","Variable Prod. Time (Hours)","Production BOM No.",$D2346,"version code",$E2346,"Resource No.",$O$9))</t>
  </si>
  <si>
    <t>=1/Q2346</t>
  </si>
  <si>
    <t>=R2346*N2346</t>
  </si>
  <si>
    <t>=IF(K2347=0,"hide","")</t>
  </si>
  <si>
    <t>=D2346</t>
  </si>
  <si>
    <t>=NL("sum","Production Order","Quantity","Source No.",$D2347,"Equipment Code",$L2347,"due date",F$8)/-12</t>
  </si>
  <si>
    <t>=NL("sum","Production Order","Quantity","Source No.",$D2347,"Equipment Code",$L2347,"due date",G$8)/-12</t>
  </si>
  <si>
    <t>=NL("sum","Production Order","Quantity","Source No.",$D2347,"Equipment Code",$L2347,"due date",H$8)/-12</t>
  </si>
  <si>
    <t>=NL("sum","Production Order","Quantity","Source No.",$D2347,"Equipment Code",$L2347,"due date",I$8)/-12</t>
  </si>
  <si>
    <t>=NL("sum","Production Order","Quantity","Source No.",$D2347,"Equipment Code",$L2347,"due date",J$8)/$J$7</t>
  </si>
  <si>
    <t>=AVERAGE(I2347:J2347)</t>
  </si>
  <si>
    <t>=IF(K2348=0,"hide","")</t>
  </si>
  <si>
    <t>=D2347</t>
  </si>
  <si>
    <t>=NL("sum","Production Order","Quantity","Source No.",$D2348,"Equipment Code",$L2348,"due date",F$8)/-12</t>
  </si>
  <si>
    <t>=NL("sum","Production Order","Quantity","Source No.",$D2348,"Equipment Code",$L2348,"due date",G$8)/-12</t>
  </si>
  <si>
    <t>=NL("sum","Production Order","Quantity","Source No.",$D2348,"Equipment Code",$L2348,"due date",H$8)/-12</t>
  </si>
  <si>
    <t>=NL("sum","Production Order","Quantity","Source No.",$D2348,"Equipment Code",$L2348,"due date",I$8)/-12</t>
  </si>
  <si>
    <t>=NL("sum","Production Order","Quantity","Source No.",$D2348,"Equipment Code",$L2348,"due date",J$8)/$J$7</t>
  </si>
  <si>
    <t>=AVERAGE(I2348:J2348)</t>
  </si>
  <si>
    <t>=IF(K2349=0,"hide","")</t>
  </si>
  <si>
    <t>=D2348</t>
  </si>
  <si>
    <t>=NL("sum","Production Order","Quantity","Source No.",$D2349,"Equipment Code",$L2349,"due date",F$8)/-12</t>
  </si>
  <si>
    <t>=NL("sum","Production Order","Quantity","Source No.",$D2349,"Equipment Code",$L2349,"due date",G$8)/-12</t>
  </si>
  <si>
    <t>=NL("sum","Production Order","Quantity","Source No.",$D2349,"Equipment Code",$L2349,"due date",H$8)/-12</t>
  </si>
  <si>
    <t>=NL("sum","Production Order","Quantity","Source No.",$D2349,"Equipment Code",$L2349,"due date",I$8)/-12</t>
  </si>
  <si>
    <t>=NL("sum","Production Order","Quantity","Source No.",$D2349,"Equipment Code",$L2349,"due date",J$8)/$J$7</t>
  </si>
  <si>
    <t>=AVERAGE(I2349:J2349)</t>
  </si>
  <si>
    <t>=IF(K2350=0,"hide","")</t>
  </si>
  <si>
    <t>=D2349</t>
  </si>
  <si>
    <t>=NL("sum","Production Order","Quantity","Source No.",$D2350,"Equipment Code",$L2350,"due date",F$8)/-12</t>
  </si>
  <si>
    <t>=NL("sum","Production Order","Quantity","Source No.",$D2350,"Equipment Code",$L2350,"due date",G$8)/-12</t>
  </si>
  <si>
    <t>=NL("sum","Production Order","Quantity","Source No.",$D2350,"Equipment Code",$L2350,"due date",H$8)/-12</t>
  </si>
  <si>
    <t>=NL("sum","Production Order","Quantity","Source No.",$D2350,"Equipment Code",$L2350,"due date",I$8)/-12</t>
  </si>
  <si>
    <t>=NL("sum","Production Order","Quantity","Source No.",$D2350,"Equipment Code",$L2350,"due date",J$8)/$J$7</t>
  </si>
  <si>
    <t>=AVERAGE(I2350:J2350)</t>
  </si>
  <si>
    <t>=B2347</t>
  </si>
  <si>
    <t>=B2351</t>
  </si>
  <si>
    <t>=SUM(F2347:F2351)</t>
  </si>
  <si>
    <t>=SUM(G2347:G2351)</t>
  </si>
  <si>
    <t>=SUM(H2347:H2351)</t>
  </si>
  <si>
    <t>=SUM(I2347:I2351)</t>
  </si>
  <si>
    <t>=SUM(J2347:J2351)</t>
  </si>
  <si>
    <t>=IF(K2353=0,"hide","")</t>
  </si>
  <si>
    <t>="29305"</t>
  </si>
  <si>
    <t>=NL("rows","Production BOM Version","Version Code","Production BOM No.",D2353,"status","certified")</t>
  </si>
  <si>
    <t>=NL("sum","Item Ledger Entry","Quantity","Item No.",$D2353,"Entry Type","Sale|Consumption","posting date","01/01/19..12/31/19")/-12</t>
  </si>
  <si>
    <t>=NL("sum","Item Ledger Entry","Quantity","Item No.",$D2353,"Entry Type","Sale|Consumption","posting date","01/01/20..12/31/20")/-12</t>
  </si>
  <si>
    <t>=NL("sum","Item Ledger Entry","Quantity","Item No.",$D2353,"Entry Type","Sale|Consumption","posting date","01/01/21..12/31/21")/-12</t>
  </si>
  <si>
    <t>=NL("sum","Item Ledger Entry","Quantity","Item No.",$D2353,"Entry Type","Sale|Consumption","posting date","01/01/22..12/31/22")/-12</t>
  </si>
  <si>
    <t>=NL("sum","Item Ledger Entry","Quantity","Item No.",$D2353,"Entry Type","Sale|Consumption","posting date","01/01/23..12/31/23")/$J$7</t>
  </si>
  <si>
    <t>=AVERAGE(I2353:J2353)</t>
  </si>
  <si>
    <t>=NL(1,"item",L$9,"no.",D2353)</t>
  </si>
  <si>
    <t>=NL(1,"item",M$9,"no.",$D2353)</t>
  </si>
  <si>
    <t>=NL(1,"item","Units Per Parcel","no.",$D2353)</t>
  </si>
  <si>
    <t>=NL(1,"Prod. BOM Equipment","Fixed Prod. Time (Hours)","Production BOM No.",$D2353,"version code",$E2353,"Resource No.",O$9)</t>
  </si>
  <si>
    <t>=1/O2353</t>
  </si>
  <si>
    <t>=IF(NL(1,"Prod. BOM Equipment","Variable Prod. Time (Hours)","Production BOM No.",$D2353,"version code",$E2353,"Resource No.",$O$9)="",1,NL(1,"Prod. BOM Equipment","Variable Prod. Time (Hours)","Production BOM No.",$D2353,"version code",$E2353,"Resource No.",$O$9))</t>
  </si>
  <si>
    <t>=1/Q2353</t>
  </si>
  <si>
    <t>=R2353*N2353</t>
  </si>
  <si>
    <t>=IF(K2354=0,"hide","")</t>
  </si>
  <si>
    <t>=D2353</t>
  </si>
  <si>
    <t>=NL("sum","Production Order","Quantity","Source No.",$D2354,"Equipment Code",$L2354,"due date",F$8)/-12</t>
  </si>
  <si>
    <t>=NL("sum","Production Order","Quantity","Source No.",$D2354,"Equipment Code",$L2354,"due date",G$8)/-12</t>
  </si>
  <si>
    <t>=NL("sum","Production Order","Quantity","Source No.",$D2354,"Equipment Code",$L2354,"due date",H$8)/-12</t>
  </si>
  <si>
    <t>=NL("sum","Production Order","Quantity","Source No.",$D2354,"Equipment Code",$L2354,"due date",I$8)/-12</t>
  </si>
  <si>
    <t>=NL("sum","Production Order","Quantity","Source No.",$D2354,"Equipment Code",$L2354,"due date",J$8)/$J$7</t>
  </si>
  <si>
    <t>=AVERAGE(I2354:J2354)</t>
  </si>
  <si>
    <t>=IF(K2355=0,"hide","")</t>
  </si>
  <si>
    <t>=D2354</t>
  </si>
  <si>
    <t>=NL("sum","Production Order","Quantity","Source No.",$D2355,"Equipment Code",$L2355,"due date",F$8)/-12</t>
  </si>
  <si>
    <t>=NL("sum","Production Order","Quantity","Source No.",$D2355,"Equipment Code",$L2355,"due date",G$8)/-12</t>
  </si>
  <si>
    <t>=NL("sum","Production Order","Quantity","Source No.",$D2355,"Equipment Code",$L2355,"due date",H$8)/-12</t>
  </si>
  <si>
    <t>=NL("sum","Production Order","Quantity","Source No.",$D2355,"Equipment Code",$L2355,"due date",I$8)/-12</t>
  </si>
  <si>
    <t>=NL("sum","Production Order","Quantity","Source No.",$D2355,"Equipment Code",$L2355,"due date",J$8)/$J$7</t>
  </si>
  <si>
    <t>=AVERAGE(I2355:J2355)</t>
  </si>
  <si>
    <t>=IF(K2356=0,"hide","")</t>
  </si>
  <si>
    <t>=D2355</t>
  </si>
  <si>
    <t>=NL("sum","Production Order","Quantity","Source No.",$D2356,"Equipment Code",$L2356,"due date",F$8)/-12</t>
  </si>
  <si>
    <t>=NL("sum","Production Order","Quantity","Source No.",$D2356,"Equipment Code",$L2356,"due date",G$8)/-12</t>
  </si>
  <si>
    <t>=NL("sum","Production Order","Quantity","Source No.",$D2356,"Equipment Code",$L2356,"due date",H$8)/-12</t>
  </si>
  <si>
    <t>=NL("sum","Production Order","Quantity","Source No.",$D2356,"Equipment Code",$L2356,"due date",I$8)/-12</t>
  </si>
  <si>
    <t>=NL("sum","Production Order","Quantity","Source No.",$D2356,"Equipment Code",$L2356,"due date",J$8)/$J$7</t>
  </si>
  <si>
    <t>=AVERAGE(I2356:J2356)</t>
  </si>
  <si>
    <t>=IF(K2357=0,"hide","")</t>
  </si>
  <si>
    <t>=D2356</t>
  </si>
  <si>
    <t>=NL("sum","Production Order","Quantity","Source No.",$D2357,"Equipment Code",$L2357,"due date",F$8)/-12</t>
  </si>
  <si>
    <t>=NL("sum","Production Order","Quantity","Source No.",$D2357,"Equipment Code",$L2357,"due date",G$8)/-12</t>
  </si>
  <si>
    <t>=NL("sum","Production Order","Quantity","Source No.",$D2357,"Equipment Code",$L2357,"due date",H$8)/-12</t>
  </si>
  <si>
    <t>=NL("sum","Production Order","Quantity","Source No.",$D2357,"Equipment Code",$L2357,"due date",I$8)/-12</t>
  </si>
  <si>
    <t>=NL("sum","Production Order","Quantity","Source No.",$D2357,"Equipment Code",$L2357,"due date",J$8)/$J$7</t>
  </si>
  <si>
    <t>=AVERAGE(I2357:J2357)</t>
  </si>
  <si>
    <t>=B2354</t>
  </si>
  <si>
    <t>=B2358</t>
  </si>
  <si>
    <t>=SUM(F2354:F2358)</t>
  </si>
  <si>
    <t>=SUM(G2354:G2358)</t>
  </si>
  <si>
    <t>=SUM(H2354:H2358)</t>
  </si>
  <si>
    <t>=SUM(I2354:I2358)</t>
  </si>
  <si>
    <t>=SUM(J2354:J2358)</t>
  </si>
  <si>
    <t>=IF(K2360=0,"hide","")</t>
  </si>
  <si>
    <t>="29325"</t>
  </si>
  <si>
    <t>=NL("rows","Production BOM Version","Version Code","Production BOM No.",D2360,"status","certified")</t>
  </si>
  <si>
    <t>=NL("sum","Item Ledger Entry","Quantity","Item No.",$D2360,"Entry Type","Sale|Consumption","posting date","01/01/19..12/31/19")/-12</t>
  </si>
  <si>
    <t>=NL("sum","Item Ledger Entry","Quantity","Item No.",$D2360,"Entry Type","Sale|Consumption","posting date","01/01/20..12/31/20")/-12</t>
  </si>
  <si>
    <t>=NL("sum","Item Ledger Entry","Quantity","Item No.",$D2360,"Entry Type","Sale|Consumption","posting date","01/01/21..12/31/21")/-12</t>
  </si>
  <si>
    <t>=NL("sum","Item Ledger Entry","Quantity","Item No.",$D2360,"Entry Type","Sale|Consumption","posting date","01/01/22..12/31/22")/-12</t>
  </si>
  <si>
    <t>=NL("sum","Item Ledger Entry","Quantity","Item No.",$D2360,"Entry Type","Sale|Consumption","posting date","01/01/23..12/31/23")/$J$7</t>
  </si>
  <si>
    <t>=AVERAGE(I2360:J2360)</t>
  </si>
  <si>
    <t>=NL(1,"item",L$9,"no.",D2360)</t>
  </si>
  <si>
    <t>=NL(1,"item",M$9,"no.",$D2360)</t>
  </si>
  <si>
    <t>=NL(1,"item","Units Per Parcel","no.",$D2360)</t>
  </si>
  <si>
    <t>=NL(1,"Prod. BOM Equipment","Fixed Prod. Time (Hours)","Production BOM No.",$D2360,"version code",$E2360,"Resource No.",O$9)</t>
  </si>
  <si>
    <t>=1/O2360</t>
  </si>
  <si>
    <t>=IF(NL(1,"Prod. BOM Equipment","Variable Prod. Time (Hours)","Production BOM No.",$D2360,"version code",$E2360,"Resource No.",$O$9)="",1,NL(1,"Prod. BOM Equipment","Variable Prod. Time (Hours)","Production BOM No.",$D2360,"version code",$E2360,"Resource No.",$O$9))</t>
  </si>
  <si>
    <t>=1/Q2360</t>
  </si>
  <si>
    <t>=R2360*N2360</t>
  </si>
  <si>
    <t>=IF(K2361=0,"hide","")</t>
  </si>
  <si>
    <t>=D2360</t>
  </si>
  <si>
    <t>=NL("sum","Production Order","Quantity","Source No.",$D2361,"Equipment Code",$L2361,"due date",F$8)/-12</t>
  </si>
  <si>
    <t>=NL("sum","Production Order","Quantity","Source No.",$D2361,"Equipment Code",$L2361,"due date",G$8)/-12</t>
  </si>
  <si>
    <t>=NL("sum","Production Order","Quantity","Source No.",$D2361,"Equipment Code",$L2361,"due date",H$8)/-12</t>
  </si>
  <si>
    <t>=NL("sum","Production Order","Quantity","Source No.",$D2361,"Equipment Code",$L2361,"due date",I$8)/-12</t>
  </si>
  <si>
    <t>=NL("sum","Production Order","Quantity","Source No.",$D2361,"Equipment Code",$L2361,"due date",J$8)/$J$7</t>
  </si>
  <si>
    <t>=AVERAGE(I2361:J2361)</t>
  </si>
  <si>
    <t>=IF(K2362=0,"hide","")</t>
  </si>
  <si>
    <t>=D2361</t>
  </si>
  <si>
    <t>=NL("sum","Production Order","Quantity","Source No.",$D2362,"Equipment Code",$L2362,"due date",F$8)/-12</t>
  </si>
  <si>
    <t>=NL("sum","Production Order","Quantity","Source No.",$D2362,"Equipment Code",$L2362,"due date",G$8)/-12</t>
  </si>
  <si>
    <t>=NL("sum","Production Order","Quantity","Source No.",$D2362,"Equipment Code",$L2362,"due date",H$8)/-12</t>
  </si>
  <si>
    <t>=NL("sum","Production Order","Quantity","Source No.",$D2362,"Equipment Code",$L2362,"due date",I$8)/-12</t>
  </si>
  <si>
    <t>=NL("sum","Production Order","Quantity","Source No.",$D2362,"Equipment Code",$L2362,"due date",J$8)/$J$7</t>
  </si>
  <si>
    <t>=AVERAGE(I2362:J2362)</t>
  </si>
  <si>
    <t>=IF(K2363=0,"hide","")</t>
  </si>
  <si>
    <t>=D2362</t>
  </si>
  <si>
    <t>=NL("sum","Production Order","Quantity","Source No.",$D2363,"Equipment Code",$L2363,"due date",F$8)/-12</t>
  </si>
  <si>
    <t>=NL("sum","Production Order","Quantity","Source No.",$D2363,"Equipment Code",$L2363,"due date",G$8)/-12</t>
  </si>
  <si>
    <t>=NL("sum","Production Order","Quantity","Source No.",$D2363,"Equipment Code",$L2363,"due date",H$8)/-12</t>
  </si>
  <si>
    <t>=NL("sum","Production Order","Quantity","Source No.",$D2363,"Equipment Code",$L2363,"due date",I$8)/-12</t>
  </si>
  <si>
    <t>=NL("sum","Production Order","Quantity","Source No.",$D2363,"Equipment Code",$L2363,"due date",J$8)/$J$7</t>
  </si>
  <si>
    <t>=AVERAGE(I2363:J2363)</t>
  </si>
  <si>
    <t>=IF(K2364=0,"hide","")</t>
  </si>
  <si>
    <t>=D2363</t>
  </si>
  <si>
    <t>=NL("sum","Production Order","Quantity","Source No.",$D2364,"Equipment Code",$L2364,"due date",F$8)/-12</t>
  </si>
  <si>
    <t>=NL("sum","Production Order","Quantity","Source No.",$D2364,"Equipment Code",$L2364,"due date",G$8)/-12</t>
  </si>
  <si>
    <t>=NL("sum","Production Order","Quantity","Source No.",$D2364,"Equipment Code",$L2364,"due date",H$8)/-12</t>
  </si>
  <si>
    <t>=NL("sum","Production Order","Quantity","Source No.",$D2364,"Equipment Code",$L2364,"due date",I$8)/-12</t>
  </si>
  <si>
    <t>=NL("sum","Production Order","Quantity","Source No.",$D2364,"Equipment Code",$L2364,"due date",J$8)/$J$7</t>
  </si>
  <si>
    <t>=AVERAGE(I2364:J2364)</t>
  </si>
  <si>
    <t>=B2361</t>
  </si>
  <si>
    <t>=B2365</t>
  </si>
  <si>
    <t>=SUM(F2361:F2365)</t>
  </si>
  <si>
    <t>=SUM(G2361:G2365)</t>
  </si>
  <si>
    <t>=SUM(H2361:H2365)</t>
  </si>
  <si>
    <t>=SUM(I2361:I2365)</t>
  </si>
  <si>
    <t>=SUM(J2361:J2365)</t>
  </si>
  <si>
    <t>=IF(K2367=0,"hide","")</t>
  </si>
  <si>
    <t>="29360"</t>
  </si>
  <si>
    <t>=NL("rows","Production BOM Version","Version Code","Production BOM No.",D2367,"status","certified")</t>
  </si>
  <si>
    <t>=NL("sum","Item Ledger Entry","Quantity","Item No.",$D2367,"Entry Type","Sale|Consumption","posting date","01/01/19..12/31/19")/-12</t>
  </si>
  <si>
    <t>=NL("sum","Item Ledger Entry","Quantity","Item No.",$D2367,"Entry Type","Sale|Consumption","posting date","01/01/20..12/31/20")/-12</t>
  </si>
  <si>
    <t>=NL("sum","Item Ledger Entry","Quantity","Item No.",$D2367,"Entry Type","Sale|Consumption","posting date","01/01/21..12/31/21")/-12</t>
  </si>
  <si>
    <t>=NL("sum","Item Ledger Entry","Quantity","Item No.",$D2367,"Entry Type","Sale|Consumption","posting date","01/01/22..12/31/22")/-12</t>
  </si>
  <si>
    <t>=NL("sum","Item Ledger Entry","Quantity","Item No.",$D2367,"Entry Type","Sale|Consumption","posting date","01/01/23..12/31/23")/$J$7</t>
  </si>
  <si>
    <t>=AVERAGE(I2367:J2367)</t>
  </si>
  <si>
    <t>=NL(1,"item",L$9,"no.",D2367)</t>
  </si>
  <si>
    <t>=NL(1,"item",M$9,"no.",$D2367)</t>
  </si>
  <si>
    <t>=NL(1,"item","Units Per Parcel","no.",$D2367)</t>
  </si>
  <si>
    <t>=NL(1,"Prod. BOM Equipment","Fixed Prod. Time (Hours)","Production BOM No.",$D2367,"version code",$E2367,"Resource No.",O$9)</t>
  </si>
  <si>
    <t>=1/O2367</t>
  </si>
  <si>
    <t>=IF(NL(1,"Prod. BOM Equipment","Variable Prod. Time (Hours)","Production BOM No.",$D2367,"version code",$E2367,"Resource No.",$O$9)="",1,NL(1,"Prod. BOM Equipment","Variable Prod. Time (Hours)","Production BOM No.",$D2367,"version code",$E2367,"Resource No.",$O$9))</t>
  </si>
  <si>
    <t>=1/Q2367</t>
  </si>
  <si>
    <t>=R2367*N2367</t>
  </si>
  <si>
    <t>=IF(K2368=0,"hide","")</t>
  </si>
  <si>
    <t>=D2367</t>
  </si>
  <si>
    <t>=NL("sum","Production Order","Quantity","Source No.",$D2368,"Equipment Code",$L2368,"due date",F$8)/-12</t>
  </si>
  <si>
    <t>=NL("sum","Production Order","Quantity","Source No.",$D2368,"Equipment Code",$L2368,"due date",G$8)/-12</t>
  </si>
  <si>
    <t>=NL("sum","Production Order","Quantity","Source No.",$D2368,"Equipment Code",$L2368,"due date",H$8)/-12</t>
  </si>
  <si>
    <t>=NL("sum","Production Order","Quantity","Source No.",$D2368,"Equipment Code",$L2368,"due date",I$8)/-12</t>
  </si>
  <si>
    <t>=NL("sum","Production Order","Quantity","Source No.",$D2368,"Equipment Code",$L2368,"due date",J$8)/$J$7</t>
  </si>
  <si>
    <t>=AVERAGE(I2368:J2368)</t>
  </si>
  <si>
    <t>=IF(K2369=0,"hide","")</t>
  </si>
  <si>
    <t>=D2368</t>
  </si>
  <si>
    <t>=NL("sum","Production Order","Quantity","Source No.",$D2369,"Equipment Code",$L2369,"due date",F$8)/-12</t>
  </si>
  <si>
    <t>=NL("sum","Production Order","Quantity","Source No.",$D2369,"Equipment Code",$L2369,"due date",G$8)/-12</t>
  </si>
  <si>
    <t>=NL("sum","Production Order","Quantity","Source No.",$D2369,"Equipment Code",$L2369,"due date",H$8)/-12</t>
  </si>
  <si>
    <t>=NL("sum","Production Order","Quantity","Source No.",$D2369,"Equipment Code",$L2369,"due date",I$8)/-12</t>
  </si>
  <si>
    <t>=NL("sum","Production Order","Quantity","Source No.",$D2369,"Equipment Code",$L2369,"due date",J$8)/$J$7</t>
  </si>
  <si>
    <t>=AVERAGE(I2369:J2369)</t>
  </si>
  <si>
    <t>=IF(K2370=0,"hide","")</t>
  </si>
  <si>
    <t>=D2369</t>
  </si>
  <si>
    <t>=NL("sum","Production Order","Quantity","Source No.",$D2370,"Equipment Code",$L2370,"due date",F$8)/-12</t>
  </si>
  <si>
    <t>=NL("sum","Production Order","Quantity","Source No.",$D2370,"Equipment Code",$L2370,"due date",G$8)/-12</t>
  </si>
  <si>
    <t>=NL("sum","Production Order","Quantity","Source No.",$D2370,"Equipment Code",$L2370,"due date",H$8)/-12</t>
  </si>
  <si>
    <t>=NL("sum","Production Order","Quantity","Source No.",$D2370,"Equipment Code",$L2370,"due date",I$8)/-12</t>
  </si>
  <si>
    <t>=NL("sum","Production Order","Quantity","Source No.",$D2370,"Equipment Code",$L2370,"due date",J$8)/$J$7</t>
  </si>
  <si>
    <t>=AVERAGE(I2370:J2370)</t>
  </si>
  <si>
    <t>=IF(K2371=0,"hide","")</t>
  </si>
  <si>
    <t>=D2370</t>
  </si>
  <si>
    <t>=NL("sum","Production Order","Quantity","Source No.",$D2371,"Equipment Code",$L2371,"due date",F$8)/-12</t>
  </si>
  <si>
    <t>=NL("sum","Production Order","Quantity","Source No.",$D2371,"Equipment Code",$L2371,"due date",G$8)/-12</t>
  </si>
  <si>
    <t>=NL("sum","Production Order","Quantity","Source No.",$D2371,"Equipment Code",$L2371,"due date",H$8)/-12</t>
  </si>
  <si>
    <t>=NL("sum","Production Order","Quantity","Source No.",$D2371,"Equipment Code",$L2371,"due date",I$8)/-12</t>
  </si>
  <si>
    <t>=NL("sum","Production Order","Quantity","Source No.",$D2371,"Equipment Code",$L2371,"due date",J$8)/$J$7</t>
  </si>
  <si>
    <t>=AVERAGE(I2371:J2371)</t>
  </si>
  <si>
    <t>=B2368</t>
  </si>
  <si>
    <t>=B2372</t>
  </si>
  <si>
    <t>=SUM(F2368:F2372)</t>
  </si>
  <si>
    <t>=SUM(G2368:G2372)</t>
  </si>
  <si>
    <t>=SUM(H2368:H2372)</t>
  </si>
  <si>
    <t>=SUM(I2368:I2372)</t>
  </si>
  <si>
    <t>=SUM(J2368:J2372)</t>
  </si>
  <si>
    <t>=IF(K2374=0,"hide","")</t>
  </si>
  <si>
    <t>="30861"</t>
  </si>
  <si>
    <t>=NL("rows","Production BOM Version","Version Code","Production BOM No.",D2374,"status","certified")</t>
  </si>
  <si>
    <t>=NL("sum","Item Ledger Entry","Quantity","Item No.",$D2374,"Entry Type","Sale|Consumption","posting date","01/01/19..12/31/19")/-12</t>
  </si>
  <si>
    <t>=NL("sum","Item Ledger Entry","Quantity","Item No.",$D2374,"Entry Type","Sale|Consumption","posting date","01/01/20..12/31/20")/-12</t>
  </si>
  <si>
    <t>=NL("sum","Item Ledger Entry","Quantity","Item No.",$D2374,"Entry Type","Sale|Consumption","posting date","01/01/21..12/31/21")/-12</t>
  </si>
  <si>
    <t>=NL("sum","Item Ledger Entry","Quantity","Item No.",$D2374,"Entry Type","Sale|Consumption","posting date","01/01/22..12/31/22")/-12</t>
  </si>
  <si>
    <t>=NL("sum","Item Ledger Entry","Quantity","Item No.",$D2374,"Entry Type","Sale|Consumption","posting date","01/01/23..12/31/23")/$J$7</t>
  </si>
  <si>
    <t>=AVERAGE(I2374:J2374)</t>
  </si>
  <si>
    <t>=NL(1,"item",L$9,"no.",D2374)</t>
  </si>
  <si>
    <t>=NL(1,"item",M$9,"no.",$D2374)</t>
  </si>
  <si>
    <t>=NL(1,"item","Units Per Parcel","no.",$D2374)</t>
  </si>
  <si>
    <t>=NL(1,"Prod. BOM Equipment","Fixed Prod. Time (Hours)","Production BOM No.",$D2374,"version code",$E2374,"Resource No.",O$9)</t>
  </si>
  <si>
    <t>=1/O2374</t>
  </si>
  <si>
    <t>=IF(NL(1,"Prod. BOM Equipment","Variable Prod. Time (Hours)","Production BOM No.",$D2374,"version code",$E2374,"Resource No.",$O$9)="",1,NL(1,"Prod. BOM Equipment","Variable Prod. Time (Hours)","Production BOM No.",$D2374,"version code",$E2374,"Resource No.",$O$9))</t>
  </si>
  <si>
    <t>=1/Q2374</t>
  </si>
  <si>
    <t>=R2374*N2374</t>
  </si>
  <si>
    <t>=IF(K2375=0,"hide","")</t>
  </si>
  <si>
    <t>=D2374</t>
  </si>
  <si>
    <t>=NL("sum","Production Order","Quantity","Source No.",$D2375,"Equipment Code",$L2375,"due date",F$8)/-12</t>
  </si>
  <si>
    <t>=NL("sum","Production Order","Quantity","Source No.",$D2375,"Equipment Code",$L2375,"due date",G$8)/-12</t>
  </si>
  <si>
    <t>=NL("sum","Production Order","Quantity","Source No.",$D2375,"Equipment Code",$L2375,"due date",H$8)/-12</t>
  </si>
  <si>
    <t>=NL("sum","Production Order","Quantity","Source No.",$D2375,"Equipment Code",$L2375,"due date",I$8)/-12</t>
  </si>
  <si>
    <t>=NL("sum","Production Order","Quantity","Source No.",$D2375,"Equipment Code",$L2375,"due date",J$8)/$J$7</t>
  </si>
  <si>
    <t>=AVERAGE(I2375:J2375)</t>
  </si>
  <si>
    <t>=IF(K2376=0,"hide","")</t>
  </si>
  <si>
    <t>=D2375</t>
  </si>
  <si>
    <t>=NL("sum","Production Order","Quantity","Source No.",$D2376,"Equipment Code",$L2376,"due date",F$8)/-12</t>
  </si>
  <si>
    <t>=NL("sum","Production Order","Quantity","Source No.",$D2376,"Equipment Code",$L2376,"due date",G$8)/-12</t>
  </si>
  <si>
    <t>=NL("sum","Production Order","Quantity","Source No.",$D2376,"Equipment Code",$L2376,"due date",H$8)/-12</t>
  </si>
  <si>
    <t>=NL("sum","Production Order","Quantity","Source No.",$D2376,"Equipment Code",$L2376,"due date",I$8)/-12</t>
  </si>
  <si>
    <t>=NL("sum","Production Order","Quantity","Source No.",$D2376,"Equipment Code",$L2376,"due date",J$8)/$J$7</t>
  </si>
  <si>
    <t>=AVERAGE(I2376:J2376)</t>
  </si>
  <si>
    <t>=IF(K2377=0,"hide","")</t>
  </si>
  <si>
    <t>=D2376</t>
  </si>
  <si>
    <t>=NL("sum","Production Order","Quantity","Source No.",$D2377,"Equipment Code",$L2377,"due date",F$8)/-12</t>
  </si>
  <si>
    <t>=NL("sum","Production Order","Quantity","Source No.",$D2377,"Equipment Code",$L2377,"due date",G$8)/-12</t>
  </si>
  <si>
    <t>=NL("sum","Production Order","Quantity","Source No.",$D2377,"Equipment Code",$L2377,"due date",H$8)/-12</t>
  </si>
  <si>
    <t>=NL("sum","Production Order","Quantity","Source No.",$D2377,"Equipment Code",$L2377,"due date",I$8)/-12</t>
  </si>
  <si>
    <t>=NL("sum","Production Order","Quantity","Source No.",$D2377,"Equipment Code",$L2377,"due date",J$8)/$J$7</t>
  </si>
  <si>
    <t>=AVERAGE(I2377:J2377)</t>
  </si>
  <si>
    <t>=IF(K2378=0,"hide","")</t>
  </si>
  <si>
    <t>=D2377</t>
  </si>
  <si>
    <t>=NL("sum","Production Order","Quantity","Source No.",$D2378,"Equipment Code",$L2378,"due date",F$8)/-12</t>
  </si>
  <si>
    <t>=NL("sum","Production Order","Quantity","Source No.",$D2378,"Equipment Code",$L2378,"due date",G$8)/-12</t>
  </si>
  <si>
    <t>=NL("sum","Production Order","Quantity","Source No.",$D2378,"Equipment Code",$L2378,"due date",H$8)/-12</t>
  </si>
  <si>
    <t>=NL("sum","Production Order","Quantity","Source No.",$D2378,"Equipment Code",$L2378,"due date",I$8)/-12</t>
  </si>
  <si>
    <t>=NL("sum","Production Order","Quantity","Source No.",$D2378,"Equipment Code",$L2378,"due date",J$8)/$J$7</t>
  </si>
  <si>
    <t>=AVERAGE(I2378:J2378)</t>
  </si>
  <si>
    <t>=B2375</t>
  </si>
  <si>
    <t>=B2379</t>
  </si>
  <si>
    <t>=SUM(F2375:F2379)</t>
  </si>
  <si>
    <t>=SUM(G2375:G2379)</t>
  </si>
  <si>
    <t>=SUM(H2375:H2379)</t>
  </si>
  <si>
    <t>=SUM(I2375:I2379)</t>
  </si>
  <si>
    <t>=SUM(J2375:J2379)</t>
  </si>
  <si>
    <t>=IF(K2381=0,"hide","")</t>
  </si>
  <si>
    <t>="30865"</t>
  </si>
  <si>
    <t>=NL("rows","Production BOM Version","Version Code","Production BOM No.",D2381,"status","certified")</t>
  </si>
  <si>
    <t>=NL("sum","Item Ledger Entry","Quantity","Item No.",$D2381,"Entry Type","Sale|Consumption","posting date","01/01/19..12/31/19")/-12</t>
  </si>
  <si>
    <t>=NL("sum","Item Ledger Entry","Quantity","Item No.",$D2381,"Entry Type","Sale|Consumption","posting date","01/01/20..12/31/20")/-12</t>
  </si>
  <si>
    <t>=NL("sum","Item Ledger Entry","Quantity","Item No.",$D2381,"Entry Type","Sale|Consumption","posting date","01/01/21..12/31/21")/-12</t>
  </si>
  <si>
    <t>=NL("sum","Item Ledger Entry","Quantity","Item No.",$D2381,"Entry Type","Sale|Consumption","posting date","01/01/22..12/31/22")/-12</t>
  </si>
  <si>
    <t>=NL("sum","Item Ledger Entry","Quantity","Item No.",$D2381,"Entry Type","Sale|Consumption","posting date","01/01/23..12/31/23")/$J$7</t>
  </si>
  <si>
    <t>=AVERAGE(I2381:J2381)</t>
  </si>
  <si>
    <t>=NL(1,"item",L$9,"no.",D2381)</t>
  </si>
  <si>
    <t>=NL(1,"item",M$9,"no.",$D2381)</t>
  </si>
  <si>
    <t>=NL(1,"item","Units Per Parcel","no.",$D2381)</t>
  </si>
  <si>
    <t>=NL(1,"Prod. BOM Equipment","Fixed Prod. Time (Hours)","Production BOM No.",$D2381,"version code",$E2381,"Resource No.",O$9)</t>
  </si>
  <si>
    <t>=1/O2381</t>
  </si>
  <si>
    <t>=IF(NL(1,"Prod. BOM Equipment","Variable Prod. Time (Hours)","Production BOM No.",$D2381,"version code",$E2381,"Resource No.",$O$9)="",1,NL(1,"Prod. BOM Equipment","Variable Prod. Time (Hours)","Production BOM No.",$D2381,"version code",$E2381,"Resource No.",$O$9))</t>
  </si>
  <si>
    <t>=1/Q2381</t>
  </si>
  <si>
    <t>=R2381*N2381</t>
  </si>
  <si>
    <t>=IF(K2382=0,"hide","")</t>
  </si>
  <si>
    <t>=D2381</t>
  </si>
  <si>
    <t>=NL("sum","Production Order","Quantity","Source No.",$D2382,"Equipment Code",$L2382,"due date",F$8)/-12</t>
  </si>
  <si>
    <t>=NL("sum","Production Order","Quantity","Source No.",$D2382,"Equipment Code",$L2382,"due date",G$8)/-12</t>
  </si>
  <si>
    <t>=NL("sum","Production Order","Quantity","Source No.",$D2382,"Equipment Code",$L2382,"due date",H$8)/-12</t>
  </si>
  <si>
    <t>=NL("sum","Production Order","Quantity","Source No.",$D2382,"Equipment Code",$L2382,"due date",I$8)/-12</t>
  </si>
  <si>
    <t>=NL("sum","Production Order","Quantity","Source No.",$D2382,"Equipment Code",$L2382,"due date",J$8)/$J$7</t>
  </si>
  <si>
    <t>=AVERAGE(I2382:J2382)</t>
  </si>
  <si>
    <t>=IF(K2383=0,"hide","")</t>
  </si>
  <si>
    <t>=D2382</t>
  </si>
  <si>
    <t>=NL("sum","Production Order","Quantity","Source No.",$D2383,"Equipment Code",$L2383,"due date",F$8)/-12</t>
  </si>
  <si>
    <t>=NL("sum","Production Order","Quantity","Source No.",$D2383,"Equipment Code",$L2383,"due date",G$8)/-12</t>
  </si>
  <si>
    <t>=NL("sum","Production Order","Quantity","Source No.",$D2383,"Equipment Code",$L2383,"due date",H$8)/-12</t>
  </si>
  <si>
    <t>=NL("sum","Production Order","Quantity","Source No.",$D2383,"Equipment Code",$L2383,"due date",I$8)/-12</t>
  </si>
  <si>
    <t>=NL("sum","Production Order","Quantity","Source No.",$D2383,"Equipment Code",$L2383,"due date",J$8)/$J$7</t>
  </si>
  <si>
    <t>=AVERAGE(I2383:J2383)</t>
  </si>
  <si>
    <t>=IF(K2384=0,"hide","")</t>
  </si>
  <si>
    <t>=D2383</t>
  </si>
  <si>
    <t>=NL("sum","Production Order","Quantity","Source No.",$D2384,"Equipment Code",$L2384,"due date",F$8)/-12</t>
  </si>
  <si>
    <t>=NL("sum","Production Order","Quantity","Source No.",$D2384,"Equipment Code",$L2384,"due date",G$8)/-12</t>
  </si>
  <si>
    <t>=NL("sum","Production Order","Quantity","Source No.",$D2384,"Equipment Code",$L2384,"due date",H$8)/-12</t>
  </si>
  <si>
    <t>=NL("sum","Production Order","Quantity","Source No.",$D2384,"Equipment Code",$L2384,"due date",I$8)/-12</t>
  </si>
  <si>
    <t>=NL("sum","Production Order","Quantity","Source No.",$D2384,"Equipment Code",$L2384,"due date",J$8)/$J$7</t>
  </si>
  <si>
    <t>=AVERAGE(I2384:J2384)</t>
  </si>
  <si>
    <t>=IF(K2385=0,"hide","")</t>
  </si>
  <si>
    <t>=D2384</t>
  </si>
  <si>
    <t>=NL("sum","Production Order","Quantity","Source No.",$D2385,"Equipment Code",$L2385,"due date",F$8)/-12</t>
  </si>
  <si>
    <t>=NL("sum","Production Order","Quantity","Source No.",$D2385,"Equipment Code",$L2385,"due date",G$8)/-12</t>
  </si>
  <si>
    <t>=NL("sum","Production Order","Quantity","Source No.",$D2385,"Equipment Code",$L2385,"due date",H$8)/-12</t>
  </si>
  <si>
    <t>=NL("sum","Production Order","Quantity","Source No.",$D2385,"Equipment Code",$L2385,"due date",I$8)/-12</t>
  </si>
  <si>
    <t>=NL("sum","Production Order","Quantity","Source No.",$D2385,"Equipment Code",$L2385,"due date",J$8)/$J$7</t>
  </si>
  <si>
    <t>=AVERAGE(I2385:J2385)</t>
  </si>
  <si>
    <t>=B2382</t>
  </si>
  <si>
    <t>=B2386</t>
  </si>
  <si>
    <t>=SUM(F2382:F2386)</t>
  </si>
  <si>
    <t>=SUM(G2382:G2386)</t>
  </si>
  <si>
    <t>=SUM(H2382:H2386)</t>
  </si>
  <si>
    <t>=SUM(I2382:I2386)</t>
  </si>
  <si>
    <t>=SUM(J2382:J2386)</t>
  </si>
  <si>
    <t>=IF(K2388=0,"hide","")</t>
  </si>
  <si>
    <t>="30866"</t>
  </si>
  <si>
    <t>=NL("rows","Production BOM Version","Version Code","Production BOM No.",D2388,"status","certified")</t>
  </si>
  <si>
    <t>=NL("sum","Item Ledger Entry","Quantity","Item No.",$D2388,"Entry Type","Sale|Consumption","posting date","01/01/19..12/31/19")/-12</t>
  </si>
  <si>
    <t>=NL("sum","Item Ledger Entry","Quantity","Item No.",$D2388,"Entry Type","Sale|Consumption","posting date","01/01/20..12/31/20")/-12</t>
  </si>
  <si>
    <t>=NL("sum","Item Ledger Entry","Quantity","Item No.",$D2388,"Entry Type","Sale|Consumption","posting date","01/01/21..12/31/21")/-12</t>
  </si>
  <si>
    <t>=NL("sum","Item Ledger Entry","Quantity","Item No.",$D2388,"Entry Type","Sale|Consumption","posting date","01/01/22..12/31/22")/-12</t>
  </si>
  <si>
    <t>=NL("sum","Item Ledger Entry","Quantity","Item No.",$D2388,"Entry Type","Sale|Consumption","posting date","01/01/23..12/31/23")/$J$7</t>
  </si>
  <si>
    <t>=AVERAGE(I2388:J2388)</t>
  </si>
  <si>
    <t>=NL(1,"item",L$9,"no.",D2388)</t>
  </si>
  <si>
    <t>=NL(1,"item",M$9,"no.",$D2388)</t>
  </si>
  <si>
    <t>=NL(1,"item","Units Per Parcel","no.",$D2388)</t>
  </si>
  <si>
    <t>=NL(1,"Prod. BOM Equipment","Fixed Prod. Time (Hours)","Production BOM No.",$D2388,"version code",$E2388,"Resource No.",O$9)</t>
  </si>
  <si>
    <t>=1/O2388</t>
  </si>
  <si>
    <t>=IF(NL(1,"Prod. BOM Equipment","Variable Prod. Time (Hours)","Production BOM No.",$D2388,"version code",$E2388,"Resource No.",$O$9)="",1,NL(1,"Prod. BOM Equipment","Variable Prod. Time (Hours)","Production BOM No.",$D2388,"version code",$E2388,"Resource No.",$O$9))</t>
  </si>
  <si>
    <t>=1/Q2388</t>
  </si>
  <si>
    <t>=R2388*N2388</t>
  </si>
  <si>
    <t>=IF(K2389=0,"hide","")</t>
  </si>
  <si>
    <t>=D2388</t>
  </si>
  <si>
    <t>=NL("sum","Production Order","Quantity","Source No.",$D2389,"Equipment Code",$L2389,"due date",F$8)/-12</t>
  </si>
  <si>
    <t>=NL("sum","Production Order","Quantity","Source No.",$D2389,"Equipment Code",$L2389,"due date",G$8)/-12</t>
  </si>
  <si>
    <t>=NL("sum","Production Order","Quantity","Source No.",$D2389,"Equipment Code",$L2389,"due date",H$8)/-12</t>
  </si>
  <si>
    <t>=NL("sum","Production Order","Quantity","Source No.",$D2389,"Equipment Code",$L2389,"due date",I$8)/-12</t>
  </si>
  <si>
    <t>=NL("sum","Production Order","Quantity","Source No.",$D2389,"Equipment Code",$L2389,"due date",J$8)/$J$7</t>
  </si>
  <si>
    <t>=AVERAGE(I2389:J2389)</t>
  </si>
  <si>
    <t>=IF(K2390=0,"hide","")</t>
  </si>
  <si>
    <t>=D2389</t>
  </si>
  <si>
    <t>=NL("sum","Production Order","Quantity","Source No.",$D2390,"Equipment Code",$L2390,"due date",F$8)/-12</t>
  </si>
  <si>
    <t>=NL("sum","Production Order","Quantity","Source No.",$D2390,"Equipment Code",$L2390,"due date",G$8)/-12</t>
  </si>
  <si>
    <t>=NL("sum","Production Order","Quantity","Source No.",$D2390,"Equipment Code",$L2390,"due date",H$8)/-12</t>
  </si>
  <si>
    <t>=NL("sum","Production Order","Quantity","Source No.",$D2390,"Equipment Code",$L2390,"due date",I$8)/-12</t>
  </si>
  <si>
    <t>=NL("sum","Production Order","Quantity","Source No.",$D2390,"Equipment Code",$L2390,"due date",J$8)/$J$7</t>
  </si>
  <si>
    <t>=AVERAGE(I2390:J2390)</t>
  </si>
  <si>
    <t>=IF(K2391=0,"hide","")</t>
  </si>
  <si>
    <t>=D2390</t>
  </si>
  <si>
    <t>=NL("sum","Production Order","Quantity","Source No.",$D2391,"Equipment Code",$L2391,"due date",F$8)/-12</t>
  </si>
  <si>
    <t>=NL("sum","Production Order","Quantity","Source No.",$D2391,"Equipment Code",$L2391,"due date",G$8)/-12</t>
  </si>
  <si>
    <t>=NL("sum","Production Order","Quantity","Source No.",$D2391,"Equipment Code",$L2391,"due date",H$8)/-12</t>
  </si>
  <si>
    <t>=NL("sum","Production Order","Quantity","Source No.",$D2391,"Equipment Code",$L2391,"due date",I$8)/-12</t>
  </si>
  <si>
    <t>=NL("sum","Production Order","Quantity","Source No.",$D2391,"Equipment Code",$L2391,"due date",J$8)/$J$7</t>
  </si>
  <si>
    <t>=AVERAGE(I2391:J2391)</t>
  </si>
  <si>
    <t>=IF(K2392=0,"hide","")</t>
  </si>
  <si>
    <t>=D2391</t>
  </si>
  <si>
    <t>=NL("sum","Production Order","Quantity","Source No.",$D2392,"Equipment Code",$L2392,"due date",F$8)/-12</t>
  </si>
  <si>
    <t>=NL("sum","Production Order","Quantity","Source No.",$D2392,"Equipment Code",$L2392,"due date",G$8)/-12</t>
  </si>
  <si>
    <t>=NL("sum","Production Order","Quantity","Source No.",$D2392,"Equipment Code",$L2392,"due date",H$8)/-12</t>
  </si>
  <si>
    <t>=NL("sum","Production Order","Quantity","Source No.",$D2392,"Equipment Code",$L2392,"due date",I$8)/-12</t>
  </si>
  <si>
    <t>=NL("sum","Production Order","Quantity","Source No.",$D2392,"Equipment Code",$L2392,"due date",J$8)/$J$7</t>
  </si>
  <si>
    <t>=AVERAGE(I2392:J2392)</t>
  </si>
  <si>
    <t>=B2389</t>
  </si>
  <si>
    <t>=B2393</t>
  </si>
  <si>
    <t>=SUM(F2389:F2393)</t>
  </si>
  <si>
    <t>=SUM(G2389:G2393)</t>
  </si>
  <si>
    <t>=SUM(H2389:H2393)</t>
  </si>
  <si>
    <t>=SUM(I2389:I2393)</t>
  </si>
  <si>
    <t>=SUM(J2389:J2393)</t>
  </si>
  <si>
    <t>=IF(K2395=0,"hide","")</t>
  </si>
  <si>
    <t>="30869"</t>
  </si>
  <si>
    <t>=NL("rows","Production BOM Version","Version Code","Production BOM No.",D2395,"status","certified")</t>
  </si>
  <si>
    <t>=NL("sum","Item Ledger Entry","Quantity","Item No.",$D2395,"Entry Type","Sale|Consumption","posting date","01/01/19..12/31/19")/-12</t>
  </si>
  <si>
    <t>=NL("sum","Item Ledger Entry","Quantity","Item No.",$D2395,"Entry Type","Sale|Consumption","posting date","01/01/20..12/31/20")/-12</t>
  </si>
  <si>
    <t>=NL("sum","Item Ledger Entry","Quantity","Item No.",$D2395,"Entry Type","Sale|Consumption","posting date","01/01/21..12/31/21")/-12</t>
  </si>
  <si>
    <t>=NL("sum","Item Ledger Entry","Quantity","Item No.",$D2395,"Entry Type","Sale|Consumption","posting date","01/01/22..12/31/22")/-12</t>
  </si>
  <si>
    <t>=NL("sum","Item Ledger Entry","Quantity","Item No.",$D2395,"Entry Type","Sale|Consumption","posting date","01/01/23..12/31/23")/$J$7</t>
  </si>
  <si>
    <t>=AVERAGE(I2395:J2395)</t>
  </si>
  <si>
    <t>=NL(1,"item",L$9,"no.",D2395)</t>
  </si>
  <si>
    <t>=NL(1,"item",M$9,"no.",$D2395)</t>
  </si>
  <si>
    <t>=NL(1,"item","Units Per Parcel","no.",$D2395)</t>
  </si>
  <si>
    <t>=NL(1,"Prod. BOM Equipment","Fixed Prod. Time (Hours)","Production BOM No.",$D2395,"version code",$E2395,"Resource No.",O$9)</t>
  </si>
  <si>
    <t>=1/O2395</t>
  </si>
  <si>
    <t>=IF(NL(1,"Prod. BOM Equipment","Variable Prod. Time (Hours)","Production BOM No.",$D2395,"version code",$E2395,"Resource No.",$O$9)="",1,NL(1,"Prod. BOM Equipment","Variable Prod. Time (Hours)","Production BOM No.",$D2395,"version code",$E2395,"Resource No.",$O$9))</t>
  </si>
  <si>
    <t>=1/Q2395</t>
  </si>
  <si>
    <t>=R2395*N2395</t>
  </si>
  <si>
    <t>=IF(K2396=0,"hide","")</t>
  </si>
  <si>
    <t>=D2395</t>
  </si>
  <si>
    <t>=NL("sum","Production Order","Quantity","Source No.",$D2396,"Equipment Code",$L2396,"due date",F$8)/-12</t>
  </si>
  <si>
    <t>=NL("sum","Production Order","Quantity","Source No.",$D2396,"Equipment Code",$L2396,"due date",G$8)/-12</t>
  </si>
  <si>
    <t>=NL("sum","Production Order","Quantity","Source No.",$D2396,"Equipment Code",$L2396,"due date",H$8)/-12</t>
  </si>
  <si>
    <t>=NL("sum","Production Order","Quantity","Source No.",$D2396,"Equipment Code",$L2396,"due date",I$8)/-12</t>
  </si>
  <si>
    <t>=NL("sum","Production Order","Quantity","Source No.",$D2396,"Equipment Code",$L2396,"due date",J$8)/$J$7</t>
  </si>
  <si>
    <t>=AVERAGE(I2396:J2396)</t>
  </si>
  <si>
    <t>=IF(K2397=0,"hide","")</t>
  </si>
  <si>
    <t>=D2396</t>
  </si>
  <si>
    <t>=NL("sum","Production Order","Quantity","Source No.",$D2397,"Equipment Code",$L2397,"due date",F$8)/-12</t>
  </si>
  <si>
    <t>=NL("sum","Production Order","Quantity","Source No.",$D2397,"Equipment Code",$L2397,"due date",G$8)/-12</t>
  </si>
  <si>
    <t>=NL("sum","Production Order","Quantity","Source No.",$D2397,"Equipment Code",$L2397,"due date",H$8)/-12</t>
  </si>
  <si>
    <t>=NL("sum","Production Order","Quantity","Source No.",$D2397,"Equipment Code",$L2397,"due date",I$8)/-12</t>
  </si>
  <si>
    <t>=NL("sum","Production Order","Quantity","Source No.",$D2397,"Equipment Code",$L2397,"due date",J$8)/$J$7</t>
  </si>
  <si>
    <t>=AVERAGE(I2397:J2397)</t>
  </si>
  <si>
    <t>=IF(K2398=0,"hide","")</t>
  </si>
  <si>
    <t>=D2397</t>
  </si>
  <si>
    <t>=NL("sum","Production Order","Quantity","Source No.",$D2398,"Equipment Code",$L2398,"due date",F$8)/-12</t>
  </si>
  <si>
    <t>=NL("sum","Production Order","Quantity","Source No.",$D2398,"Equipment Code",$L2398,"due date",G$8)/-12</t>
  </si>
  <si>
    <t>=NL("sum","Production Order","Quantity","Source No.",$D2398,"Equipment Code",$L2398,"due date",H$8)/-12</t>
  </si>
  <si>
    <t>=NL("sum","Production Order","Quantity","Source No.",$D2398,"Equipment Code",$L2398,"due date",I$8)/-12</t>
  </si>
  <si>
    <t>=NL("sum","Production Order","Quantity","Source No.",$D2398,"Equipment Code",$L2398,"due date",J$8)/$J$7</t>
  </si>
  <si>
    <t>=AVERAGE(I2398:J2398)</t>
  </si>
  <si>
    <t>=IF(K2399=0,"hide","")</t>
  </si>
  <si>
    <t>=D2398</t>
  </si>
  <si>
    <t>=NL("sum","Production Order","Quantity","Source No.",$D2399,"Equipment Code",$L2399,"due date",F$8)/-12</t>
  </si>
  <si>
    <t>=NL("sum","Production Order","Quantity","Source No.",$D2399,"Equipment Code",$L2399,"due date",G$8)/-12</t>
  </si>
  <si>
    <t>=NL("sum","Production Order","Quantity","Source No.",$D2399,"Equipment Code",$L2399,"due date",H$8)/-12</t>
  </si>
  <si>
    <t>=NL("sum","Production Order","Quantity","Source No.",$D2399,"Equipment Code",$L2399,"due date",I$8)/-12</t>
  </si>
  <si>
    <t>=NL("sum","Production Order","Quantity","Source No.",$D2399,"Equipment Code",$L2399,"due date",J$8)/$J$7</t>
  </si>
  <si>
    <t>=AVERAGE(I2399:J2399)</t>
  </si>
  <si>
    <t>=B2396</t>
  </si>
  <si>
    <t>=B2400</t>
  </si>
  <si>
    <t>=SUM(F2396:F2400)</t>
  </si>
  <si>
    <t>=SUM(G2396:G2400)</t>
  </si>
  <si>
    <t>=SUM(H2396:H2400)</t>
  </si>
  <si>
    <t>=SUM(I2396:I2400)</t>
  </si>
  <si>
    <t>=SUM(J2396:J2400)</t>
  </si>
  <si>
    <t>=IF(K2402=0,"hide","")</t>
  </si>
  <si>
    <t>="30870"</t>
  </si>
  <si>
    <t>=NL("rows","Production BOM Version","Version Code","Production BOM No.",D2402,"status","certified")</t>
  </si>
  <si>
    <t>=NL("sum","Item Ledger Entry","Quantity","Item No.",$D2402,"Entry Type","Sale|Consumption","posting date","01/01/19..12/31/19")/-12</t>
  </si>
  <si>
    <t>=NL("sum","Item Ledger Entry","Quantity","Item No.",$D2402,"Entry Type","Sale|Consumption","posting date","01/01/20..12/31/20")/-12</t>
  </si>
  <si>
    <t>=NL("sum","Item Ledger Entry","Quantity","Item No.",$D2402,"Entry Type","Sale|Consumption","posting date","01/01/21..12/31/21")/-12</t>
  </si>
  <si>
    <t>=NL("sum","Item Ledger Entry","Quantity","Item No.",$D2402,"Entry Type","Sale|Consumption","posting date","01/01/22..12/31/22")/-12</t>
  </si>
  <si>
    <t>=NL("sum","Item Ledger Entry","Quantity","Item No.",$D2402,"Entry Type","Sale|Consumption","posting date","01/01/23..12/31/23")/$J$7</t>
  </si>
  <si>
    <t>=AVERAGE(I2402:J2402)</t>
  </si>
  <si>
    <t>=NL(1,"item",L$9,"no.",D2402)</t>
  </si>
  <si>
    <t>=NL(1,"item",M$9,"no.",$D2402)</t>
  </si>
  <si>
    <t>=NL(1,"item","Units Per Parcel","no.",$D2402)</t>
  </si>
  <si>
    <t>=NL(1,"Prod. BOM Equipment","Fixed Prod. Time (Hours)","Production BOM No.",$D2402,"version code",$E2402,"Resource No.",O$9)</t>
  </si>
  <si>
    <t>=1/O2402</t>
  </si>
  <si>
    <t>=IF(NL(1,"Prod. BOM Equipment","Variable Prod. Time (Hours)","Production BOM No.",$D2402,"version code",$E2402,"Resource No.",$O$9)="",1,NL(1,"Prod. BOM Equipment","Variable Prod. Time (Hours)","Production BOM No.",$D2402,"version code",$E2402,"Resource No.",$O$9))</t>
  </si>
  <si>
    <t>=1/Q2402</t>
  </si>
  <si>
    <t>=R2402*N2402</t>
  </si>
  <si>
    <t>=IF(K2403=0,"hide","")</t>
  </si>
  <si>
    <t>=D2402</t>
  </si>
  <si>
    <t>=NL("sum","Production Order","Quantity","Source No.",$D2403,"Equipment Code",$L2403,"due date",F$8)/-12</t>
  </si>
  <si>
    <t>=NL("sum","Production Order","Quantity","Source No.",$D2403,"Equipment Code",$L2403,"due date",G$8)/-12</t>
  </si>
  <si>
    <t>=NL("sum","Production Order","Quantity","Source No.",$D2403,"Equipment Code",$L2403,"due date",H$8)/-12</t>
  </si>
  <si>
    <t>=NL("sum","Production Order","Quantity","Source No.",$D2403,"Equipment Code",$L2403,"due date",I$8)/-12</t>
  </si>
  <si>
    <t>=NL("sum","Production Order","Quantity","Source No.",$D2403,"Equipment Code",$L2403,"due date",J$8)/$J$7</t>
  </si>
  <si>
    <t>=AVERAGE(I2403:J2403)</t>
  </si>
  <si>
    <t>=IF(K2404=0,"hide","")</t>
  </si>
  <si>
    <t>=D2403</t>
  </si>
  <si>
    <t>=NL("sum","Production Order","Quantity","Source No.",$D2404,"Equipment Code",$L2404,"due date",F$8)/-12</t>
  </si>
  <si>
    <t>=NL("sum","Production Order","Quantity","Source No.",$D2404,"Equipment Code",$L2404,"due date",G$8)/-12</t>
  </si>
  <si>
    <t>=NL("sum","Production Order","Quantity","Source No.",$D2404,"Equipment Code",$L2404,"due date",H$8)/-12</t>
  </si>
  <si>
    <t>=NL("sum","Production Order","Quantity","Source No.",$D2404,"Equipment Code",$L2404,"due date",I$8)/-12</t>
  </si>
  <si>
    <t>=NL("sum","Production Order","Quantity","Source No.",$D2404,"Equipment Code",$L2404,"due date",J$8)/$J$7</t>
  </si>
  <si>
    <t>=AVERAGE(I2404:J2404)</t>
  </si>
  <si>
    <t>=IF(K2405=0,"hide","")</t>
  </si>
  <si>
    <t>=D2404</t>
  </si>
  <si>
    <t>=NL("sum","Production Order","Quantity","Source No.",$D2405,"Equipment Code",$L2405,"due date",F$8)/-12</t>
  </si>
  <si>
    <t>=NL("sum","Production Order","Quantity","Source No.",$D2405,"Equipment Code",$L2405,"due date",G$8)/-12</t>
  </si>
  <si>
    <t>=NL("sum","Production Order","Quantity","Source No.",$D2405,"Equipment Code",$L2405,"due date",H$8)/-12</t>
  </si>
  <si>
    <t>=NL("sum","Production Order","Quantity","Source No.",$D2405,"Equipment Code",$L2405,"due date",I$8)/-12</t>
  </si>
  <si>
    <t>=NL("sum","Production Order","Quantity","Source No.",$D2405,"Equipment Code",$L2405,"due date",J$8)/$J$7</t>
  </si>
  <si>
    <t>=AVERAGE(I2405:J2405)</t>
  </si>
  <si>
    <t>=IF(K2406=0,"hide","")</t>
  </si>
  <si>
    <t>=D2405</t>
  </si>
  <si>
    <t>=NL("sum","Production Order","Quantity","Source No.",$D2406,"Equipment Code",$L2406,"due date",F$8)/-12</t>
  </si>
  <si>
    <t>=NL("sum","Production Order","Quantity","Source No.",$D2406,"Equipment Code",$L2406,"due date",G$8)/-12</t>
  </si>
  <si>
    <t>=NL("sum","Production Order","Quantity","Source No.",$D2406,"Equipment Code",$L2406,"due date",H$8)/-12</t>
  </si>
  <si>
    <t>=NL("sum","Production Order","Quantity","Source No.",$D2406,"Equipment Code",$L2406,"due date",I$8)/-12</t>
  </si>
  <si>
    <t>=NL("sum","Production Order","Quantity","Source No.",$D2406,"Equipment Code",$L2406,"due date",J$8)/$J$7</t>
  </si>
  <si>
    <t>=AVERAGE(I2406:J2406)</t>
  </si>
  <si>
    <t>=B2403</t>
  </si>
  <si>
    <t>=B2407</t>
  </si>
  <si>
    <t>=SUM(F2403:F2407)</t>
  </si>
  <si>
    <t>=SUM(G2403:G2407)</t>
  </si>
  <si>
    <t>=SUM(H2403:H2407)</t>
  </si>
  <si>
    <t>=SUM(I2403:I2407)</t>
  </si>
  <si>
    <t>=SUM(J2403:J2407)</t>
  </si>
  <si>
    <t>=IF(K2409=0,"hide","")</t>
  </si>
  <si>
    <t>="30875"</t>
  </si>
  <si>
    <t>=NL("rows","Production BOM Version","Version Code","Production BOM No.",D2409,"status","certified")</t>
  </si>
  <si>
    <t>=NL("sum","Item Ledger Entry","Quantity","Item No.",$D2409,"Entry Type","Sale|Consumption","posting date","01/01/19..12/31/19")/-12</t>
  </si>
  <si>
    <t>=NL("sum","Item Ledger Entry","Quantity","Item No.",$D2409,"Entry Type","Sale|Consumption","posting date","01/01/20..12/31/20")/-12</t>
  </si>
  <si>
    <t>=NL("sum","Item Ledger Entry","Quantity","Item No.",$D2409,"Entry Type","Sale|Consumption","posting date","01/01/21..12/31/21")/-12</t>
  </si>
  <si>
    <t>=NL("sum","Item Ledger Entry","Quantity","Item No.",$D2409,"Entry Type","Sale|Consumption","posting date","01/01/22..12/31/22")/-12</t>
  </si>
  <si>
    <t>=NL("sum","Item Ledger Entry","Quantity","Item No.",$D2409,"Entry Type","Sale|Consumption","posting date","01/01/23..12/31/23")/$J$7</t>
  </si>
  <si>
    <t>=AVERAGE(I2409:J2409)</t>
  </si>
  <si>
    <t>=NL(1,"item",L$9,"no.",D2409)</t>
  </si>
  <si>
    <t>=NL(1,"item",M$9,"no.",$D2409)</t>
  </si>
  <si>
    <t>=NL(1,"item","Units Per Parcel","no.",$D2409)</t>
  </si>
  <si>
    <t>=NL(1,"Prod. BOM Equipment","Fixed Prod. Time (Hours)","Production BOM No.",$D2409,"version code",$E2409,"Resource No.",O$9)</t>
  </si>
  <si>
    <t>=1/O2409</t>
  </si>
  <si>
    <t>=IF(NL(1,"Prod. BOM Equipment","Variable Prod. Time (Hours)","Production BOM No.",$D2409,"version code",$E2409,"Resource No.",$O$9)="",1,NL(1,"Prod. BOM Equipment","Variable Prod. Time (Hours)","Production BOM No.",$D2409,"version code",$E2409,"Resource No.",$O$9))</t>
  </si>
  <si>
    <t>=1/Q2409</t>
  </si>
  <si>
    <t>=R2409*N2409</t>
  </si>
  <si>
    <t>=IF(K2410=0,"hide","")</t>
  </si>
  <si>
    <t>=D2409</t>
  </si>
  <si>
    <t>=NL("sum","Production Order","Quantity","Source No.",$D2410,"Equipment Code",$L2410,"due date",F$8)/-12</t>
  </si>
  <si>
    <t>=NL("sum","Production Order","Quantity","Source No.",$D2410,"Equipment Code",$L2410,"due date",G$8)/-12</t>
  </si>
  <si>
    <t>=NL("sum","Production Order","Quantity","Source No.",$D2410,"Equipment Code",$L2410,"due date",H$8)/-12</t>
  </si>
  <si>
    <t>=NL("sum","Production Order","Quantity","Source No.",$D2410,"Equipment Code",$L2410,"due date",I$8)/-12</t>
  </si>
  <si>
    <t>=NL("sum","Production Order","Quantity","Source No.",$D2410,"Equipment Code",$L2410,"due date",J$8)/$J$7</t>
  </si>
  <si>
    <t>=AVERAGE(I2410:J2410)</t>
  </si>
  <si>
    <t>=IF(K2411=0,"hide","")</t>
  </si>
  <si>
    <t>=D2410</t>
  </si>
  <si>
    <t>=NL("sum","Production Order","Quantity","Source No.",$D2411,"Equipment Code",$L2411,"due date",F$8)/-12</t>
  </si>
  <si>
    <t>=NL("sum","Production Order","Quantity","Source No.",$D2411,"Equipment Code",$L2411,"due date",G$8)/-12</t>
  </si>
  <si>
    <t>=NL("sum","Production Order","Quantity","Source No.",$D2411,"Equipment Code",$L2411,"due date",H$8)/-12</t>
  </si>
  <si>
    <t>=NL("sum","Production Order","Quantity","Source No.",$D2411,"Equipment Code",$L2411,"due date",I$8)/-12</t>
  </si>
  <si>
    <t>=NL("sum","Production Order","Quantity","Source No.",$D2411,"Equipment Code",$L2411,"due date",J$8)/$J$7</t>
  </si>
  <si>
    <t>=AVERAGE(I2411:J2411)</t>
  </si>
  <si>
    <t>=IF(K2412=0,"hide","")</t>
  </si>
  <si>
    <t>=D2411</t>
  </si>
  <si>
    <t>=NL("sum","Production Order","Quantity","Source No.",$D2412,"Equipment Code",$L2412,"due date",F$8)/-12</t>
  </si>
  <si>
    <t>=NL("sum","Production Order","Quantity","Source No.",$D2412,"Equipment Code",$L2412,"due date",G$8)/-12</t>
  </si>
  <si>
    <t>=NL("sum","Production Order","Quantity","Source No.",$D2412,"Equipment Code",$L2412,"due date",H$8)/-12</t>
  </si>
  <si>
    <t>=NL("sum","Production Order","Quantity","Source No.",$D2412,"Equipment Code",$L2412,"due date",I$8)/-12</t>
  </si>
  <si>
    <t>=NL("sum","Production Order","Quantity","Source No.",$D2412,"Equipment Code",$L2412,"due date",J$8)/$J$7</t>
  </si>
  <si>
    <t>=AVERAGE(I2412:J2412)</t>
  </si>
  <si>
    <t>=IF(K2413=0,"hide","")</t>
  </si>
  <si>
    <t>=D2412</t>
  </si>
  <si>
    <t>=NL("sum","Production Order","Quantity","Source No.",$D2413,"Equipment Code",$L2413,"due date",F$8)/-12</t>
  </si>
  <si>
    <t>=NL("sum","Production Order","Quantity","Source No.",$D2413,"Equipment Code",$L2413,"due date",G$8)/-12</t>
  </si>
  <si>
    <t>=NL("sum","Production Order","Quantity","Source No.",$D2413,"Equipment Code",$L2413,"due date",H$8)/-12</t>
  </si>
  <si>
    <t>=NL("sum","Production Order","Quantity","Source No.",$D2413,"Equipment Code",$L2413,"due date",I$8)/-12</t>
  </si>
  <si>
    <t>=NL("sum","Production Order","Quantity","Source No.",$D2413,"Equipment Code",$L2413,"due date",J$8)/$J$7</t>
  </si>
  <si>
    <t>=AVERAGE(I2413:J2413)</t>
  </si>
  <si>
    <t>=B2410</t>
  </si>
  <si>
    <t>=B2414</t>
  </si>
  <si>
    <t>=SUM(F2410:F2414)</t>
  </si>
  <si>
    <t>=SUM(G2410:G2414)</t>
  </si>
  <si>
    <t>=SUM(H2410:H2414)</t>
  </si>
  <si>
    <t>=SUM(I2410:I2414)</t>
  </si>
  <si>
    <t>=SUM(J2410:J2414)</t>
  </si>
  <si>
    <t>=IF(K2416=0,"hide","")</t>
  </si>
  <si>
    <t>="31501"</t>
  </si>
  <si>
    <t>=NL("rows","Production BOM Version","Version Code","Production BOM No.",D2416,"status","certified")</t>
  </si>
  <si>
    <t>=NL("sum","Item Ledger Entry","Quantity","Item No.",$D2416,"Entry Type","Sale|Consumption","posting date","01/01/19..12/31/19")/-12</t>
  </si>
  <si>
    <t>=NL("sum","Item Ledger Entry","Quantity","Item No.",$D2416,"Entry Type","Sale|Consumption","posting date","01/01/20..12/31/20")/-12</t>
  </si>
  <si>
    <t>=NL("sum","Item Ledger Entry","Quantity","Item No.",$D2416,"Entry Type","Sale|Consumption","posting date","01/01/21..12/31/21")/-12</t>
  </si>
  <si>
    <t>=NL("sum","Item Ledger Entry","Quantity","Item No.",$D2416,"Entry Type","Sale|Consumption","posting date","01/01/22..12/31/22")/-12</t>
  </si>
  <si>
    <t>=NL("sum","Item Ledger Entry","Quantity","Item No.",$D2416,"Entry Type","Sale|Consumption","posting date","01/01/23..12/31/23")/$J$7</t>
  </si>
  <si>
    <t>=AVERAGE(I2416:J2416)</t>
  </si>
  <si>
    <t>=NL(1,"item",L$9,"no.",D2416)</t>
  </si>
  <si>
    <t>=NL(1,"item",M$9,"no.",$D2416)</t>
  </si>
  <si>
    <t>=NL(1,"item","Units Per Parcel","no.",$D2416)</t>
  </si>
  <si>
    <t>=NL(1,"Prod. BOM Equipment","Fixed Prod. Time (Hours)","Production BOM No.",$D2416,"version code",$E2416,"Resource No.",O$9)</t>
  </si>
  <si>
    <t>=1/O2416</t>
  </si>
  <si>
    <t>=IF(NL(1,"Prod. BOM Equipment","Variable Prod. Time (Hours)","Production BOM No.",$D2416,"version code",$E2416,"Resource No.",$O$9)="",1,NL(1,"Prod. BOM Equipment","Variable Prod. Time (Hours)","Production BOM No.",$D2416,"version code",$E2416,"Resource No.",$O$9))</t>
  </si>
  <si>
    <t>=1/Q2416</t>
  </si>
  <si>
    <t>=R2416*N2416</t>
  </si>
  <si>
    <t>=IF(K2417=0,"hide","")</t>
  </si>
  <si>
    <t>=D2416</t>
  </si>
  <si>
    <t>=NL("sum","Production Order","Quantity","Source No.",$D2417,"Equipment Code",$L2417,"due date",F$8)/-12</t>
  </si>
  <si>
    <t>=NL("sum","Production Order","Quantity","Source No.",$D2417,"Equipment Code",$L2417,"due date",G$8)/-12</t>
  </si>
  <si>
    <t>=NL("sum","Production Order","Quantity","Source No.",$D2417,"Equipment Code",$L2417,"due date",H$8)/-12</t>
  </si>
  <si>
    <t>=NL("sum","Production Order","Quantity","Source No.",$D2417,"Equipment Code",$L2417,"due date",I$8)/-12</t>
  </si>
  <si>
    <t>=NL("sum","Production Order","Quantity","Source No.",$D2417,"Equipment Code",$L2417,"due date",J$8)/$J$7</t>
  </si>
  <si>
    <t>=AVERAGE(I2417:J2417)</t>
  </si>
  <si>
    <t>=IF(K2418=0,"hide","")</t>
  </si>
  <si>
    <t>=D2417</t>
  </si>
  <si>
    <t>=NL("sum","Production Order","Quantity","Source No.",$D2418,"Equipment Code",$L2418,"due date",F$8)/-12</t>
  </si>
  <si>
    <t>=NL("sum","Production Order","Quantity","Source No.",$D2418,"Equipment Code",$L2418,"due date",G$8)/-12</t>
  </si>
  <si>
    <t>=NL("sum","Production Order","Quantity","Source No.",$D2418,"Equipment Code",$L2418,"due date",H$8)/-12</t>
  </si>
  <si>
    <t>=NL("sum","Production Order","Quantity","Source No.",$D2418,"Equipment Code",$L2418,"due date",I$8)/-12</t>
  </si>
  <si>
    <t>=NL("sum","Production Order","Quantity","Source No.",$D2418,"Equipment Code",$L2418,"due date",J$8)/$J$7</t>
  </si>
  <si>
    <t>=AVERAGE(I2418:J2418)</t>
  </si>
  <si>
    <t>=IF(K2419=0,"hide","")</t>
  </si>
  <si>
    <t>=D2418</t>
  </si>
  <si>
    <t>=NL("sum","Production Order","Quantity","Source No.",$D2419,"Equipment Code",$L2419,"due date",F$8)/-12</t>
  </si>
  <si>
    <t>=NL("sum","Production Order","Quantity","Source No.",$D2419,"Equipment Code",$L2419,"due date",G$8)/-12</t>
  </si>
  <si>
    <t>=NL("sum","Production Order","Quantity","Source No.",$D2419,"Equipment Code",$L2419,"due date",H$8)/-12</t>
  </si>
  <si>
    <t>=NL("sum","Production Order","Quantity","Source No.",$D2419,"Equipment Code",$L2419,"due date",I$8)/-12</t>
  </si>
  <si>
    <t>=NL("sum","Production Order","Quantity","Source No.",$D2419,"Equipment Code",$L2419,"due date",J$8)/$J$7</t>
  </si>
  <si>
    <t>=AVERAGE(I2419:J2419)</t>
  </si>
  <si>
    <t>=IF(K2420=0,"hide","")</t>
  </si>
  <si>
    <t>=D2419</t>
  </si>
  <si>
    <t>=NL("sum","Production Order","Quantity","Source No.",$D2420,"Equipment Code",$L2420,"due date",F$8)/-12</t>
  </si>
  <si>
    <t>=NL("sum","Production Order","Quantity","Source No.",$D2420,"Equipment Code",$L2420,"due date",G$8)/-12</t>
  </si>
  <si>
    <t>=NL("sum","Production Order","Quantity","Source No.",$D2420,"Equipment Code",$L2420,"due date",H$8)/-12</t>
  </si>
  <si>
    <t>=NL("sum","Production Order","Quantity","Source No.",$D2420,"Equipment Code",$L2420,"due date",I$8)/-12</t>
  </si>
  <si>
    <t>=NL("sum","Production Order","Quantity","Source No.",$D2420,"Equipment Code",$L2420,"due date",J$8)/$J$7</t>
  </si>
  <si>
    <t>=AVERAGE(I2420:J2420)</t>
  </si>
  <si>
    <t>=B2417</t>
  </si>
  <si>
    <t>=B2421</t>
  </si>
  <si>
    <t>=SUM(F2417:F2421)</t>
  </si>
  <si>
    <t>=SUM(G2417:G2421)</t>
  </si>
  <si>
    <t>=SUM(H2417:H2421)</t>
  </si>
  <si>
    <t>=SUM(I2417:I2421)</t>
  </si>
  <si>
    <t>=SUM(J2417:J2421)</t>
  </si>
  <si>
    <t>=IF(K2423=0,"hide","")</t>
  </si>
  <si>
    <t>=NL("rows","Production BOM Version","Version Code","Production BOM No.",D2423,"status","certified")</t>
  </si>
  <si>
    <t>=NL("sum","Item Ledger Entry","Quantity","Item No.",$D2423,"Entry Type","Sale|Consumption","posting date","01/01/19..12/31/19")/-12</t>
  </si>
  <si>
    <t>=NL("sum","Item Ledger Entry","Quantity","Item No.",$D2423,"Entry Type","Sale|Consumption","posting date","01/01/20..12/31/20")/-12</t>
  </si>
  <si>
    <t>=NL("sum","Item Ledger Entry","Quantity","Item No.",$D2423,"Entry Type","Sale|Consumption","posting date","01/01/21..12/31/21")/-12</t>
  </si>
  <si>
    <t>=NL("sum","Item Ledger Entry","Quantity","Item No.",$D2423,"Entry Type","Sale|Consumption","posting date","01/01/22..12/31/22")/-12</t>
  </si>
  <si>
    <t>=NL("sum","Item Ledger Entry","Quantity","Item No.",$D2423,"Entry Type","Sale|Consumption","posting date","01/01/23..12/31/23")/$J$7</t>
  </si>
  <si>
    <t>=AVERAGE(I2423:J2423)</t>
  </si>
  <si>
    <t>=NL(1,"item",L$9,"no.",D2423)</t>
  </si>
  <si>
    <t>=NL(1,"item",M$9,"no.",$D2423)</t>
  </si>
  <si>
    <t>=NL(1,"item","Units Per Parcel","no.",$D2423)</t>
  </si>
  <si>
    <t>=NL(1,"Prod. BOM Equipment","Fixed Prod. Time (Hours)","Production BOM No.",$D2423,"version code",$E2423,"Resource No.",O$9)</t>
  </si>
  <si>
    <t>=1/O2423</t>
  </si>
  <si>
    <t>=IF(NL(1,"Prod. BOM Equipment","Variable Prod. Time (Hours)","Production BOM No.",$D2423,"version code",$E2423,"Resource No.",$O$9)="",1,NL(1,"Prod. BOM Equipment","Variable Prod. Time (Hours)","Production BOM No.",$D2423,"version code",$E2423,"Resource No.",$O$9))</t>
  </si>
  <si>
    <t>=1/Q2423</t>
  </si>
  <si>
    <t>=R2423*N2423</t>
  </si>
  <si>
    <t>=IF(K2424=0,"hide","")</t>
  </si>
  <si>
    <t>=D2423</t>
  </si>
  <si>
    <t>=NL("sum","Production Order","Quantity","Source No.",$D2424,"Equipment Code",$L2424,"due date",F$8)/-12</t>
  </si>
  <si>
    <t>=NL("sum","Production Order","Quantity","Source No.",$D2424,"Equipment Code",$L2424,"due date",G$8)/-12</t>
  </si>
  <si>
    <t>=NL("sum","Production Order","Quantity","Source No.",$D2424,"Equipment Code",$L2424,"due date",H$8)/-12</t>
  </si>
  <si>
    <t>=NL("sum","Production Order","Quantity","Source No.",$D2424,"Equipment Code",$L2424,"due date",I$8)/-12</t>
  </si>
  <si>
    <t>=NL("sum","Production Order","Quantity","Source No.",$D2424,"Equipment Code",$L2424,"due date",J$8)/$J$7</t>
  </si>
  <si>
    <t>=AVERAGE(I2424:J2424)</t>
  </si>
  <si>
    <t>=IF(K2425=0,"hide","")</t>
  </si>
  <si>
    <t>=D2424</t>
  </si>
  <si>
    <t>=NL("sum","Production Order","Quantity","Source No.",$D2425,"Equipment Code",$L2425,"due date",F$8)/-12</t>
  </si>
  <si>
    <t>=NL("sum","Production Order","Quantity","Source No.",$D2425,"Equipment Code",$L2425,"due date",G$8)/-12</t>
  </si>
  <si>
    <t>=NL("sum","Production Order","Quantity","Source No.",$D2425,"Equipment Code",$L2425,"due date",H$8)/-12</t>
  </si>
  <si>
    <t>=NL("sum","Production Order","Quantity","Source No.",$D2425,"Equipment Code",$L2425,"due date",I$8)/-12</t>
  </si>
  <si>
    <t>=NL("sum","Production Order","Quantity","Source No.",$D2425,"Equipment Code",$L2425,"due date",J$8)/$J$7</t>
  </si>
  <si>
    <t>=AVERAGE(I2425:J2425)</t>
  </si>
  <si>
    <t>=IF(K2426=0,"hide","")</t>
  </si>
  <si>
    <t>=D2425</t>
  </si>
  <si>
    <t>=NL("sum","Production Order","Quantity","Source No.",$D2426,"Equipment Code",$L2426,"due date",F$8)/-12</t>
  </si>
  <si>
    <t>=NL("sum","Production Order","Quantity","Source No.",$D2426,"Equipment Code",$L2426,"due date",G$8)/-12</t>
  </si>
  <si>
    <t>=NL("sum","Production Order","Quantity","Source No.",$D2426,"Equipment Code",$L2426,"due date",H$8)/-12</t>
  </si>
  <si>
    <t>=NL("sum","Production Order","Quantity","Source No.",$D2426,"Equipment Code",$L2426,"due date",I$8)/-12</t>
  </si>
  <si>
    <t>=NL("sum","Production Order","Quantity","Source No.",$D2426,"Equipment Code",$L2426,"due date",J$8)/$J$7</t>
  </si>
  <si>
    <t>=AVERAGE(I2426:J2426)</t>
  </si>
  <si>
    <t>=IF(K2427=0,"hide","")</t>
  </si>
  <si>
    <t>=D2426</t>
  </si>
  <si>
    <t>=NL("sum","Production Order","Quantity","Source No.",$D2427,"Equipment Code",$L2427,"due date",F$8)/-12</t>
  </si>
  <si>
    <t>=NL("sum","Production Order","Quantity","Source No.",$D2427,"Equipment Code",$L2427,"due date",G$8)/-12</t>
  </si>
  <si>
    <t>=NL("sum","Production Order","Quantity","Source No.",$D2427,"Equipment Code",$L2427,"due date",H$8)/-12</t>
  </si>
  <si>
    <t>=NL("sum","Production Order","Quantity","Source No.",$D2427,"Equipment Code",$L2427,"due date",I$8)/-12</t>
  </si>
  <si>
    <t>=NL("sum","Production Order","Quantity","Source No.",$D2427,"Equipment Code",$L2427,"due date",J$8)/$J$7</t>
  </si>
  <si>
    <t>=AVERAGE(I2427:J2427)</t>
  </si>
  <si>
    <t>=B2424</t>
  </si>
  <si>
    <t>=B2428</t>
  </si>
  <si>
    <t>=SUM(F2424:F2428)</t>
  </si>
  <si>
    <t>=SUM(G2424:G2428)</t>
  </si>
  <si>
    <t>=SUM(H2424:H2428)</t>
  </si>
  <si>
    <t>=SUM(I2424:I2428)</t>
  </si>
  <si>
    <t>=SUM(J2424:J2428)</t>
  </si>
  <si>
    <t>=IF(K2430=0,"hide","")</t>
  </si>
  <si>
    <t>=NL("rows","Production BOM Version","Version Code","Production BOM No.",D2430,"status","certified")</t>
  </si>
  <si>
    <t>=NL("sum","Item Ledger Entry","Quantity","Item No.",$D2430,"Entry Type","Sale|Consumption","posting date","01/01/19..12/31/19")/-12</t>
  </si>
  <si>
    <t>=NL("sum","Item Ledger Entry","Quantity","Item No.",$D2430,"Entry Type","Sale|Consumption","posting date","01/01/20..12/31/20")/-12</t>
  </si>
  <si>
    <t>=NL("sum","Item Ledger Entry","Quantity","Item No.",$D2430,"Entry Type","Sale|Consumption","posting date","01/01/21..12/31/21")/-12</t>
  </si>
  <si>
    <t>=NL("sum","Item Ledger Entry","Quantity","Item No.",$D2430,"Entry Type","Sale|Consumption","posting date","01/01/22..12/31/22")/-12</t>
  </si>
  <si>
    <t>=NL("sum","Item Ledger Entry","Quantity","Item No.",$D2430,"Entry Type","Sale|Consumption","posting date","01/01/23..12/31/23")/$J$7</t>
  </si>
  <si>
    <t>=AVERAGE(I2430:J2430)</t>
  </si>
  <si>
    <t>=NL(1,"item",L$9,"no.",D2430)</t>
  </si>
  <si>
    <t>=NL(1,"item",M$9,"no.",$D2430)</t>
  </si>
  <si>
    <t>=NL(1,"item","Units Per Parcel","no.",$D2430)</t>
  </si>
  <si>
    <t>=NL(1,"Prod. BOM Equipment","Fixed Prod. Time (Hours)","Production BOM No.",$D2430,"version code",$E2430,"Resource No.",O$9)</t>
  </si>
  <si>
    <t>=1/O2430</t>
  </si>
  <si>
    <t>=IF(NL(1,"Prod. BOM Equipment","Variable Prod. Time (Hours)","Production BOM No.",$D2430,"version code",$E2430,"Resource No.",$O$9)="",1,NL(1,"Prod. BOM Equipment","Variable Prod. Time (Hours)","Production BOM No.",$D2430,"version code",$E2430,"Resource No.",$O$9))</t>
  </si>
  <si>
    <t>=1/Q2430</t>
  </si>
  <si>
    <t>=R2430*N2430</t>
  </si>
  <si>
    <t>=IF(K2431=0,"hide","")</t>
  </si>
  <si>
    <t>=D2430</t>
  </si>
  <si>
    <t>=NL("sum","Production Order","Quantity","Source No.",$D2431,"Equipment Code",$L2431,"due date",F$8)/-12</t>
  </si>
  <si>
    <t>=NL("sum","Production Order","Quantity","Source No.",$D2431,"Equipment Code",$L2431,"due date",G$8)/-12</t>
  </si>
  <si>
    <t>=NL("sum","Production Order","Quantity","Source No.",$D2431,"Equipment Code",$L2431,"due date",H$8)/-12</t>
  </si>
  <si>
    <t>=NL("sum","Production Order","Quantity","Source No.",$D2431,"Equipment Code",$L2431,"due date",I$8)/-12</t>
  </si>
  <si>
    <t>=NL("sum","Production Order","Quantity","Source No.",$D2431,"Equipment Code",$L2431,"due date",J$8)/$J$7</t>
  </si>
  <si>
    <t>=AVERAGE(I2431:J2431)</t>
  </si>
  <si>
    <t>=IF(K2432=0,"hide","")</t>
  </si>
  <si>
    <t>=D2431</t>
  </si>
  <si>
    <t>=NL("sum","Production Order","Quantity","Source No.",$D2432,"Equipment Code",$L2432,"due date",F$8)/-12</t>
  </si>
  <si>
    <t>=NL("sum","Production Order","Quantity","Source No.",$D2432,"Equipment Code",$L2432,"due date",G$8)/-12</t>
  </si>
  <si>
    <t>=NL("sum","Production Order","Quantity","Source No.",$D2432,"Equipment Code",$L2432,"due date",H$8)/-12</t>
  </si>
  <si>
    <t>=NL("sum","Production Order","Quantity","Source No.",$D2432,"Equipment Code",$L2432,"due date",I$8)/-12</t>
  </si>
  <si>
    <t>=NL("sum","Production Order","Quantity","Source No.",$D2432,"Equipment Code",$L2432,"due date",J$8)/$J$7</t>
  </si>
  <si>
    <t>=AVERAGE(I2432:J2432)</t>
  </si>
  <si>
    <t>=IF(K2433=0,"hide","")</t>
  </si>
  <si>
    <t>=D2432</t>
  </si>
  <si>
    <t>=NL("sum","Production Order","Quantity","Source No.",$D2433,"Equipment Code",$L2433,"due date",F$8)/-12</t>
  </si>
  <si>
    <t>=NL("sum","Production Order","Quantity","Source No.",$D2433,"Equipment Code",$L2433,"due date",G$8)/-12</t>
  </si>
  <si>
    <t>=NL("sum","Production Order","Quantity","Source No.",$D2433,"Equipment Code",$L2433,"due date",H$8)/-12</t>
  </si>
  <si>
    <t>=NL("sum","Production Order","Quantity","Source No.",$D2433,"Equipment Code",$L2433,"due date",I$8)/-12</t>
  </si>
  <si>
    <t>=NL("sum","Production Order","Quantity","Source No.",$D2433,"Equipment Code",$L2433,"due date",J$8)/$J$7</t>
  </si>
  <si>
    <t>=AVERAGE(I2433:J2433)</t>
  </si>
  <si>
    <t>=IF(K2434=0,"hide","")</t>
  </si>
  <si>
    <t>=D2433</t>
  </si>
  <si>
    <t>=NL("sum","Production Order","Quantity","Source No.",$D2434,"Equipment Code",$L2434,"due date",F$8)/-12</t>
  </si>
  <si>
    <t>=NL("sum","Production Order","Quantity","Source No.",$D2434,"Equipment Code",$L2434,"due date",G$8)/-12</t>
  </si>
  <si>
    <t>=NL("sum","Production Order","Quantity","Source No.",$D2434,"Equipment Code",$L2434,"due date",H$8)/-12</t>
  </si>
  <si>
    <t>=NL("sum","Production Order","Quantity","Source No.",$D2434,"Equipment Code",$L2434,"due date",I$8)/-12</t>
  </si>
  <si>
    <t>=NL("sum","Production Order","Quantity","Source No.",$D2434,"Equipment Code",$L2434,"due date",J$8)/$J$7</t>
  </si>
  <si>
    <t>=AVERAGE(I2434:J2434)</t>
  </si>
  <si>
    <t>=B2431</t>
  </si>
  <si>
    <t>=B2435</t>
  </si>
  <si>
    <t>=SUM(F2431:F2435)</t>
  </si>
  <si>
    <t>=SUM(G2431:G2435)</t>
  </si>
  <si>
    <t>=SUM(H2431:H2435)</t>
  </si>
  <si>
    <t>=SUM(I2431:I2435)</t>
  </si>
  <si>
    <t>=SUM(J2431:J2435)</t>
  </si>
  <si>
    <t>=IF(K2437=0,"hide","")</t>
  </si>
  <si>
    <t>=NL("rows","Production BOM Version","Version Code","Production BOM No.",D2437,"status","certified")</t>
  </si>
  <si>
    <t>=NL("sum","Item Ledger Entry","Quantity","Item No.",$D2437,"Entry Type","Sale|Consumption","posting date","01/01/19..12/31/19")/-12</t>
  </si>
  <si>
    <t>=NL("sum","Item Ledger Entry","Quantity","Item No.",$D2437,"Entry Type","Sale|Consumption","posting date","01/01/20..12/31/20")/-12</t>
  </si>
  <si>
    <t>=NL("sum","Item Ledger Entry","Quantity","Item No.",$D2437,"Entry Type","Sale|Consumption","posting date","01/01/21..12/31/21")/-12</t>
  </si>
  <si>
    <t>=NL("sum","Item Ledger Entry","Quantity","Item No.",$D2437,"Entry Type","Sale|Consumption","posting date","01/01/22..12/31/22")/-12</t>
  </si>
  <si>
    <t>=NL("sum","Item Ledger Entry","Quantity","Item No.",$D2437,"Entry Type","Sale|Consumption","posting date","01/01/23..12/31/23")/$J$7</t>
  </si>
  <si>
    <t>=AVERAGE(I2437:J2437)</t>
  </si>
  <si>
    <t>=NL(1,"item",L$9,"no.",D2437)</t>
  </si>
  <si>
    <t>=NL(1,"item",M$9,"no.",$D2437)</t>
  </si>
  <si>
    <t>=NL(1,"item","Units Per Parcel","no.",$D2437)</t>
  </si>
  <si>
    <t>=NL(1,"Prod. BOM Equipment","Fixed Prod. Time (Hours)","Production BOM No.",$D2437,"version code",$E2437,"Resource No.",O$9)</t>
  </si>
  <si>
    <t>=1/O2437</t>
  </si>
  <si>
    <t>=IF(NL(1,"Prod. BOM Equipment","Variable Prod. Time (Hours)","Production BOM No.",$D2437,"version code",$E2437,"Resource No.",$O$9)="",1,NL(1,"Prod. BOM Equipment","Variable Prod. Time (Hours)","Production BOM No.",$D2437,"version code",$E2437,"Resource No.",$O$9))</t>
  </si>
  <si>
    <t>=1/Q2437</t>
  </si>
  <si>
    <t>=R2437*N2437</t>
  </si>
  <si>
    <t>=IF(K2438=0,"hide","")</t>
  </si>
  <si>
    <t>=D2437</t>
  </si>
  <si>
    <t>=NL("sum","Production Order","Quantity","Source No.",$D2438,"Equipment Code",$L2438,"due date",F$8)/-12</t>
  </si>
  <si>
    <t>=NL("sum","Production Order","Quantity","Source No.",$D2438,"Equipment Code",$L2438,"due date",G$8)/-12</t>
  </si>
  <si>
    <t>=NL("sum","Production Order","Quantity","Source No.",$D2438,"Equipment Code",$L2438,"due date",H$8)/-12</t>
  </si>
  <si>
    <t>=NL("sum","Production Order","Quantity","Source No.",$D2438,"Equipment Code",$L2438,"due date",I$8)/-12</t>
  </si>
  <si>
    <t>=NL("sum","Production Order","Quantity","Source No.",$D2438,"Equipment Code",$L2438,"due date",J$8)/$J$7</t>
  </si>
  <si>
    <t>=AVERAGE(I2438:J2438)</t>
  </si>
  <si>
    <t>=IF(K2439=0,"hide","")</t>
  </si>
  <si>
    <t>=D2438</t>
  </si>
  <si>
    <t>=NL("sum","Production Order","Quantity","Source No.",$D2439,"Equipment Code",$L2439,"due date",F$8)/-12</t>
  </si>
  <si>
    <t>=NL("sum","Production Order","Quantity","Source No.",$D2439,"Equipment Code",$L2439,"due date",G$8)/-12</t>
  </si>
  <si>
    <t>=NL("sum","Production Order","Quantity","Source No.",$D2439,"Equipment Code",$L2439,"due date",H$8)/-12</t>
  </si>
  <si>
    <t>=NL("sum","Production Order","Quantity","Source No.",$D2439,"Equipment Code",$L2439,"due date",I$8)/-12</t>
  </si>
  <si>
    <t>=NL("sum","Production Order","Quantity","Source No.",$D2439,"Equipment Code",$L2439,"due date",J$8)/$J$7</t>
  </si>
  <si>
    <t>=AVERAGE(I2439:J2439)</t>
  </si>
  <si>
    <t>=IF(K2440=0,"hide","")</t>
  </si>
  <si>
    <t>=D2439</t>
  </si>
  <si>
    <t>=NL("sum","Production Order","Quantity","Source No.",$D2440,"Equipment Code",$L2440,"due date",F$8)/-12</t>
  </si>
  <si>
    <t>=NL("sum","Production Order","Quantity","Source No.",$D2440,"Equipment Code",$L2440,"due date",G$8)/-12</t>
  </si>
  <si>
    <t>=NL("sum","Production Order","Quantity","Source No.",$D2440,"Equipment Code",$L2440,"due date",H$8)/-12</t>
  </si>
  <si>
    <t>=NL("sum","Production Order","Quantity","Source No.",$D2440,"Equipment Code",$L2440,"due date",I$8)/-12</t>
  </si>
  <si>
    <t>=NL("sum","Production Order","Quantity","Source No.",$D2440,"Equipment Code",$L2440,"due date",J$8)/$J$7</t>
  </si>
  <si>
    <t>=AVERAGE(I2440:J2440)</t>
  </si>
  <si>
    <t>=IF(K2441=0,"hide","")</t>
  </si>
  <si>
    <t>=D2440</t>
  </si>
  <si>
    <t>=NL("sum","Production Order","Quantity","Source No.",$D2441,"Equipment Code",$L2441,"due date",F$8)/-12</t>
  </si>
  <si>
    <t>=NL("sum","Production Order","Quantity","Source No.",$D2441,"Equipment Code",$L2441,"due date",G$8)/-12</t>
  </si>
  <si>
    <t>=NL("sum","Production Order","Quantity","Source No.",$D2441,"Equipment Code",$L2441,"due date",H$8)/-12</t>
  </si>
  <si>
    <t>=NL("sum","Production Order","Quantity","Source No.",$D2441,"Equipment Code",$L2441,"due date",I$8)/-12</t>
  </si>
  <si>
    <t>=NL("sum","Production Order","Quantity","Source No.",$D2441,"Equipment Code",$L2441,"due date",J$8)/$J$7</t>
  </si>
  <si>
    <t>=AVERAGE(I2441:J2441)</t>
  </si>
  <si>
    <t>=B2438</t>
  </si>
  <si>
    <t>=B2442</t>
  </si>
  <si>
    <t>=SUM(F2438:F2442)</t>
  </si>
  <si>
    <t>=SUM(G2438:G2442)</t>
  </si>
  <si>
    <t>=SUM(H2438:H2442)</t>
  </si>
  <si>
    <t>=SUM(I2438:I2442)</t>
  </si>
  <si>
    <t>=SUM(J2438:J2442)</t>
  </si>
  <si>
    <t>=IF(K2444=0,"hide","")</t>
  </si>
  <si>
    <t>=NL("rows","Production BOM Version","Version Code","Production BOM No.",D2444,"status","certified")</t>
  </si>
  <si>
    <t>=NL("sum","Item Ledger Entry","Quantity","Item No.",$D2444,"Entry Type","Sale|Consumption","posting date","01/01/19..12/31/19")/-12</t>
  </si>
  <si>
    <t>=NL("sum","Item Ledger Entry","Quantity","Item No.",$D2444,"Entry Type","Sale|Consumption","posting date","01/01/20..12/31/20")/-12</t>
  </si>
  <si>
    <t>=NL("sum","Item Ledger Entry","Quantity","Item No.",$D2444,"Entry Type","Sale|Consumption","posting date","01/01/21..12/31/21")/-12</t>
  </si>
  <si>
    <t>=NL("sum","Item Ledger Entry","Quantity","Item No.",$D2444,"Entry Type","Sale|Consumption","posting date","01/01/22..12/31/22")/-12</t>
  </si>
  <si>
    <t>=NL("sum","Item Ledger Entry","Quantity","Item No.",$D2444,"Entry Type","Sale|Consumption","posting date","01/01/23..12/31/23")/$J$7</t>
  </si>
  <si>
    <t>=AVERAGE(I2444:J2444)</t>
  </si>
  <si>
    <t>=NL(1,"item",L$9,"no.",D2444)</t>
  </si>
  <si>
    <t>=NL(1,"item",M$9,"no.",$D2444)</t>
  </si>
  <si>
    <t>=NL(1,"item","Units Per Parcel","no.",$D2444)</t>
  </si>
  <si>
    <t>=NL(1,"Prod. BOM Equipment","Fixed Prod. Time (Hours)","Production BOM No.",$D2444,"version code",$E2444,"Resource No.",O$9)</t>
  </si>
  <si>
    <t>=1/O2444</t>
  </si>
  <si>
    <t>=IF(NL(1,"Prod. BOM Equipment","Variable Prod. Time (Hours)","Production BOM No.",$D2444,"version code",$E2444,"Resource No.",$O$9)="",1,NL(1,"Prod. BOM Equipment","Variable Prod. Time (Hours)","Production BOM No.",$D2444,"version code",$E2444,"Resource No.",$O$9))</t>
  </si>
  <si>
    <t>=1/Q2444</t>
  </si>
  <si>
    <t>=R2444*N2444</t>
  </si>
  <si>
    <t>=IF(K2445=0,"hide","")</t>
  </si>
  <si>
    <t>=D2444</t>
  </si>
  <si>
    <t>=NL("sum","Production Order","Quantity","Source No.",$D2445,"Equipment Code",$L2445,"due date",F$8)/-12</t>
  </si>
  <si>
    <t>=NL("sum","Production Order","Quantity","Source No.",$D2445,"Equipment Code",$L2445,"due date",G$8)/-12</t>
  </si>
  <si>
    <t>=NL("sum","Production Order","Quantity","Source No.",$D2445,"Equipment Code",$L2445,"due date",H$8)/-12</t>
  </si>
  <si>
    <t>=NL("sum","Production Order","Quantity","Source No.",$D2445,"Equipment Code",$L2445,"due date",I$8)/-12</t>
  </si>
  <si>
    <t>=NL("sum","Production Order","Quantity","Source No.",$D2445,"Equipment Code",$L2445,"due date",J$8)/$J$7</t>
  </si>
  <si>
    <t>=AVERAGE(I2445:J2445)</t>
  </si>
  <si>
    <t>=IF(K2446=0,"hide","")</t>
  </si>
  <si>
    <t>=D2445</t>
  </si>
  <si>
    <t>=NL("sum","Production Order","Quantity","Source No.",$D2446,"Equipment Code",$L2446,"due date",F$8)/-12</t>
  </si>
  <si>
    <t>=NL("sum","Production Order","Quantity","Source No.",$D2446,"Equipment Code",$L2446,"due date",G$8)/-12</t>
  </si>
  <si>
    <t>=NL("sum","Production Order","Quantity","Source No.",$D2446,"Equipment Code",$L2446,"due date",H$8)/-12</t>
  </si>
  <si>
    <t>=NL("sum","Production Order","Quantity","Source No.",$D2446,"Equipment Code",$L2446,"due date",I$8)/-12</t>
  </si>
  <si>
    <t>=NL("sum","Production Order","Quantity","Source No.",$D2446,"Equipment Code",$L2446,"due date",J$8)/$J$7</t>
  </si>
  <si>
    <t>=AVERAGE(I2446:J2446)</t>
  </si>
  <si>
    <t>=IF(K2447=0,"hide","")</t>
  </si>
  <si>
    <t>=D2446</t>
  </si>
  <si>
    <t>=NL("sum","Production Order","Quantity","Source No.",$D2447,"Equipment Code",$L2447,"due date",F$8)/-12</t>
  </si>
  <si>
    <t>=NL("sum","Production Order","Quantity","Source No.",$D2447,"Equipment Code",$L2447,"due date",G$8)/-12</t>
  </si>
  <si>
    <t>=NL("sum","Production Order","Quantity","Source No.",$D2447,"Equipment Code",$L2447,"due date",H$8)/-12</t>
  </si>
  <si>
    <t>=NL("sum","Production Order","Quantity","Source No.",$D2447,"Equipment Code",$L2447,"due date",I$8)/-12</t>
  </si>
  <si>
    <t>=NL("sum","Production Order","Quantity","Source No.",$D2447,"Equipment Code",$L2447,"due date",J$8)/$J$7</t>
  </si>
  <si>
    <t>=AVERAGE(I2447:J2447)</t>
  </si>
  <si>
    <t>=IF(K2448=0,"hide","")</t>
  </si>
  <si>
    <t>=D2447</t>
  </si>
  <si>
    <t>=NL("sum","Production Order","Quantity","Source No.",$D2448,"Equipment Code",$L2448,"due date",F$8)/-12</t>
  </si>
  <si>
    <t>=NL("sum","Production Order","Quantity","Source No.",$D2448,"Equipment Code",$L2448,"due date",G$8)/-12</t>
  </si>
  <si>
    <t>=NL("sum","Production Order","Quantity","Source No.",$D2448,"Equipment Code",$L2448,"due date",H$8)/-12</t>
  </si>
  <si>
    <t>=NL("sum","Production Order","Quantity","Source No.",$D2448,"Equipment Code",$L2448,"due date",I$8)/-12</t>
  </si>
  <si>
    <t>=NL("sum","Production Order","Quantity","Source No.",$D2448,"Equipment Code",$L2448,"due date",J$8)/$J$7</t>
  </si>
  <si>
    <t>=AVERAGE(I2448:J2448)</t>
  </si>
  <si>
    <t>=B2445</t>
  </si>
  <si>
    <t>=B2449</t>
  </si>
  <si>
    <t>=SUM(F2445:F2449)</t>
  </si>
  <si>
    <t>=SUM(G2445:G2449)</t>
  </si>
  <si>
    <t>=SUM(H2445:H2449)</t>
  </si>
  <si>
    <t>=SUM(I2445:I2449)</t>
  </si>
  <si>
    <t>=SUM(J2445:J2449)</t>
  </si>
  <si>
    <t>=IF(K2451=0,"hide","")</t>
  </si>
  <si>
    <t>=NL("rows","Production BOM Version","Version Code","Production BOM No.",D2451,"status","certified")</t>
  </si>
  <si>
    <t>=NL("sum","Item Ledger Entry","Quantity","Item No.",$D2451,"Entry Type","Sale|Consumption","posting date","01/01/19..12/31/19")/-12</t>
  </si>
  <si>
    <t>=NL("sum","Item Ledger Entry","Quantity","Item No.",$D2451,"Entry Type","Sale|Consumption","posting date","01/01/20..12/31/20")/-12</t>
  </si>
  <si>
    <t>=NL("sum","Item Ledger Entry","Quantity","Item No.",$D2451,"Entry Type","Sale|Consumption","posting date","01/01/21..12/31/21")/-12</t>
  </si>
  <si>
    <t>=NL("sum","Item Ledger Entry","Quantity","Item No.",$D2451,"Entry Type","Sale|Consumption","posting date","01/01/22..12/31/22")/-12</t>
  </si>
  <si>
    <t>=NL("sum","Item Ledger Entry","Quantity","Item No.",$D2451,"Entry Type","Sale|Consumption","posting date","01/01/23..12/31/23")/$J$7</t>
  </si>
  <si>
    <t>=AVERAGE(I2451:J2451)</t>
  </si>
  <si>
    <t>=NL(1,"item",L$9,"no.",D2451)</t>
  </si>
  <si>
    <t>=NL(1,"item",M$9,"no.",$D2451)</t>
  </si>
  <si>
    <t>=NL(1,"item","Units Per Parcel","no.",$D2451)</t>
  </si>
  <si>
    <t>=NL(1,"Prod. BOM Equipment","Fixed Prod. Time (Hours)","Production BOM No.",$D2451,"version code",$E2451,"Resource No.",O$9)</t>
  </si>
  <si>
    <t>=1/O2451</t>
  </si>
  <si>
    <t>=IF(NL(1,"Prod. BOM Equipment","Variable Prod. Time (Hours)","Production BOM No.",$D2451,"version code",$E2451,"Resource No.",$O$9)="",1,NL(1,"Prod. BOM Equipment","Variable Prod. Time (Hours)","Production BOM No.",$D2451,"version code",$E2451,"Resource No.",$O$9))</t>
  </si>
  <si>
    <t>=1/Q2451</t>
  </si>
  <si>
    <t>=R2451*N2451</t>
  </si>
  <si>
    <t>=IF(K2452=0,"hide","")</t>
  </si>
  <si>
    <t>=D2451</t>
  </si>
  <si>
    <t>=NL("sum","Production Order","Quantity","Source No.",$D2452,"Equipment Code",$L2452,"due date",F$8)/-12</t>
  </si>
  <si>
    <t>=NL("sum","Production Order","Quantity","Source No.",$D2452,"Equipment Code",$L2452,"due date",G$8)/-12</t>
  </si>
  <si>
    <t>=NL("sum","Production Order","Quantity","Source No.",$D2452,"Equipment Code",$L2452,"due date",H$8)/-12</t>
  </si>
  <si>
    <t>=NL("sum","Production Order","Quantity","Source No.",$D2452,"Equipment Code",$L2452,"due date",I$8)/-12</t>
  </si>
  <si>
    <t>=NL("sum","Production Order","Quantity","Source No.",$D2452,"Equipment Code",$L2452,"due date",J$8)/$J$7</t>
  </si>
  <si>
    <t>=AVERAGE(I2452:J2452)</t>
  </si>
  <si>
    <t>=IF(K2453=0,"hide","")</t>
  </si>
  <si>
    <t>=D2452</t>
  </si>
  <si>
    <t>=NL("sum","Production Order","Quantity","Source No.",$D2453,"Equipment Code",$L2453,"due date",F$8)/-12</t>
  </si>
  <si>
    <t>=NL("sum","Production Order","Quantity","Source No.",$D2453,"Equipment Code",$L2453,"due date",G$8)/-12</t>
  </si>
  <si>
    <t>=NL("sum","Production Order","Quantity","Source No.",$D2453,"Equipment Code",$L2453,"due date",H$8)/-12</t>
  </si>
  <si>
    <t>=NL("sum","Production Order","Quantity","Source No.",$D2453,"Equipment Code",$L2453,"due date",I$8)/-12</t>
  </si>
  <si>
    <t>=NL("sum","Production Order","Quantity","Source No.",$D2453,"Equipment Code",$L2453,"due date",J$8)/$J$7</t>
  </si>
  <si>
    <t>=AVERAGE(I2453:J2453)</t>
  </si>
  <si>
    <t>=IF(K2454=0,"hide","")</t>
  </si>
  <si>
    <t>=D2453</t>
  </si>
  <si>
    <t>=NL("sum","Production Order","Quantity","Source No.",$D2454,"Equipment Code",$L2454,"due date",F$8)/-12</t>
  </si>
  <si>
    <t>=NL("sum","Production Order","Quantity","Source No.",$D2454,"Equipment Code",$L2454,"due date",G$8)/-12</t>
  </si>
  <si>
    <t>=NL("sum","Production Order","Quantity","Source No.",$D2454,"Equipment Code",$L2454,"due date",H$8)/-12</t>
  </si>
  <si>
    <t>=NL("sum","Production Order","Quantity","Source No.",$D2454,"Equipment Code",$L2454,"due date",I$8)/-12</t>
  </si>
  <si>
    <t>=NL("sum","Production Order","Quantity","Source No.",$D2454,"Equipment Code",$L2454,"due date",J$8)/$J$7</t>
  </si>
  <si>
    <t>=AVERAGE(I2454:J2454)</t>
  </si>
  <si>
    <t>=IF(K2455=0,"hide","")</t>
  </si>
  <si>
    <t>=D2454</t>
  </si>
  <si>
    <t>=NL("sum","Production Order","Quantity","Source No.",$D2455,"Equipment Code",$L2455,"due date",F$8)/-12</t>
  </si>
  <si>
    <t>=NL("sum","Production Order","Quantity","Source No.",$D2455,"Equipment Code",$L2455,"due date",G$8)/-12</t>
  </si>
  <si>
    <t>=NL("sum","Production Order","Quantity","Source No.",$D2455,"Equipment Code",$L2455,"due date",H$8)/-12</t>
  </si>
  <si>
    <t>=NL("sum","Production Order","Quantity","Source No.",$D2455,"Equipment Code",$L2455,"due date",I$8)/-12</t>
  </si>
  <si>
    <t>=NL("sum","Production Order","Quantity","Source No.",$D2455,"Equipment Code",$L2455,"due date",J$8)/$J$7</t>
  </si>
  <si>
    <t>=AVERAGE(I2455:J2455)</t>
  </si>
  <si>
    <t>=B2452</t>
  </si>
  <si>
    <t>=B2456</t>
  </si>
  <si>
    <t>=SUM(F2452:F2456)</t>
  </si>
  <si>
    <t>=SUM(G2452:G2456)</t>
  </si>
  <si>
    <t>=SUM(H2452:H2456)</t>
  </si>
  <si>
    <t>=SUM(I2452:I2456)</t>
  </si>
  <si>
    <t>=SUM(J2452:J2456)</t>
  </si>
  <si>
    <t>=IF(K2458=0,"hide","")</t>
  </si>
  <si>
    <t>=NL("rows","Production BOM Version","Version Code","Production BOM No.",D2458,"status","certified")</t>
  </si>
  <si>
    <t>=NL("sum","Item Ledger Entry","Quantity","Item No.",$D2458,"Entry Type","Sale|Consumption","posting date","01/01/19..12/31/19")/-12</t>
  </si>
  <si>
    <t>=NL("sum","Item Ledger Entry","Quantity","Item No.",$D2458,"Entry Type","Sale|Consumption","posting date","01/01/20..12/31/20")/-12</t>
  </si>
  <si>
    <t>=NL("sum","Item Ledger Entry","Quantity","Item No.",$D2458,"Entry Type","Sale|Consumption","posting date","01/01/21..12/31/21")/-12</t>
  </si>
  <si>
    <t>=NL("sum","Item Ledger Entry","Quantity","Item No.",$D2458,"Entry Type","Sale|Consumption","posting date","01/01/22..12/31/22")/-12</t>
  </si>
  <si>
    <t>=NL("sum","Item Ledger Entry","Quantity","Item No.",$D2458,"Entry Type","Sale|Consumption","posting date","01/01/23..12/31/23")/$J$7</t>
  </si>
  <si>
    <t>=AVERAGE(I2458:J2458)</t>
  </si>
  <si>
    <t>=NL(1,"item",L$9,"no.",D2458)</t>
  </si>
  <si>
    <t>=NL(1,"item",M$9,"no.",$D2458)</t>
  </si>
  <si>
    <t>=NL(1,"item","Units Per Parcel","no.",$D2458)</t>
  </si>
  <si>
    <t>=NL(1,"Prod. BOM Equipment","Fixed Prod. Time (Hours)","Production BOM No.",$D2458,"version code",$E2458,"Resource No.",O$9)</t>
  </si>
  <si>
    <t>=1/O2458</t>
  </si>
  <si>
    <t>=IF(NL(1,"Prod. BOM Equipment","Variable Prod. Time (Hours)","Production BOM No.",$D2458,"version code",$E2458,"Resource No.",$O$9)="",1,NL(1,"Prod. BOM Equipment","Variable Prod. Time (Hours)","Production BOM No.",$D2458,"version code",$E2458,"Resource No.",$O$9))</t>
  </si>
  <si>
    <t>=1/Q2458</t>
  </si>
  <si>
    <t>=R2458*N2458</t>
  </si>
  <si>
    <t>=IF(K2459=0,"hide","")</t>
  </si>
  <si>
    <t>=D2458</t>
  </si>
  <si>
    <t>=NL("sum","Production Order","Quantity","Source No.",$D2459,"Equipment Code",$L2459,"due date",F$8)/-12</t>
  </si>
  <si>
    <t>=NL("sum","Production Order","Quantity","Source No.",$D2459,"Equipment Code",$L2459,"due date",G$8)/-12</t>
  </si>
  <si>
    <t>=NL("sum","Production Order","Quantity","Source No.",$D2459,"Equipment Code",$L2459,"due date",H$8)/-12</t>
  </si>
  <si>
    <t>=NL("sum","Production Order","Quantity","Source No.",$D2459,"Equipment Code",$L2459,"due date",I$8)/-12</t>
  </si>
  <si>
    <t>=NL("sum","Production Order","Quantity","Source No.",$D2459,"Equipment Code",$L2459,"due date",J$8)/$J$7</t>
  </si>
  <si>
    <t>=AVERAGE(I2459:J2459)</t>
  </si>
  <si>
    <t>=IF(K2460=0,"hide","")</t>
  </si>
  <si>
    <t>=D2459</t>
  </si>
  <si>
    <t>=NL("sum","Production Order","Quantity","Source No.",$D2460,"Equipment Code",$L2460,"due date",F$8)/-12</t>
  </si>
  <si>
    <t>=NL("sum","Production Order","Quantity","Source No.",$D2460,"Equipment Code",$L2460,"due date",G$8)/-12</t>
  </si>
  <si>
    <t>=NL("sum","Production Order","Quantity","Source No.",$D2460,"Equipment Code",$L2460,"due date",H$8)/-12</t>
  </si>
  <si>
    <t>=NL("sum","Production Order","Quantity","Source No.",$D2460,"Equipment Code",$L2460,"due date",I$8)/-12</t>
  </si>
  <si>
    <t>=NL("sum","Production Order","Quantity","Source No.",$D2460,"Equipment Code",$L2460,"due date",J$8)/$J$7</t>
  </si>
  <si>
    <t>=AVERAGE(I2460:J2460)</t>
  </si>
  <si>
    <t>=IF(K2461=0,"hide","")</t>
  </si>
  <si>
    <t>=D2460</t>
  </si>
  <si>
    <t>=NL("sum","Production Order","Quantity","Source No.",$D2461,"Equipment Code",$L2461,"due date",F$8)/-12</t>
  </si>
  <si>
    <t>=NL("sum","Production Order","Quantity","Source No.",$D2461,"Equipment Code",$L2461,"due date",G$8)/-12</t>
  </si>
  <si>
    <t>=NL("sum","Production Order","Quantity","Source No.",$D2461,"Equipment Code",$L2461,"due date",H$8)/-12</t>
  </si>
  <si>
    <t>=NL("sum","Production Order","Quantity","Source No.",$D2461,"Equipment Code",$L2461,"due date",I$8)/-12</t>
  </si>
  <si>
    <t>=NL("sum","Production Order","Quantity","Source No.",$D2461,"Equipment Code",$L2461,"due date",J$8)/$J$7</t>
  </si>
  <si>
    <t>=AVERAGE(I2461:J2461)</t>
  </si>
  <si>
    <t>=IF(K2462=0,"hide","")</t>
  </si>
  <si>
    <t>=D2461</t>
  </si>
  <si>
    <t>=NL("sum","Production Order","Quantity","Source No.",$D2462,"Equipment Code",$L2462,"due date",F$8)/-12</t>
  </si>
  <si>
    <t>=NL("sum","Production Order","Quantity","Source No.",$D2462,"Equipment Code",$L2462,"due date",G$8)/-12</t>
  </si>
  <si>
    <t>=NL("sum","Production Order","Quantity","Source No.",$D2462,"Equipment Code",$L2462,"due date",H$8)/-12</t>
  </si>
  <si>
    <t>=NL("sum","Production Order","Quantity","Source No.",$D2462,"Equipment Code",$L2462,"due date",I$8)/-12</t>
  </si>
  <si>
    <t>=NL("sum","Production Order","Quantity","Source No.",$D2462,"Equipment Code",$L2462,"due date",J$8)/$J$7</t>
  </si>
  <si>
    <t>=AVERAGE(I2462:J2462)</t>
  </si>
  <si>
    <t>=B2459</t>
  </si>
  <si>
    <t>=B2463</t>
  </si>
  <si>
    <t>=SUM(F2459:F2463)</t>
  </si>
  <si>
    <t>=SUM(G2459:G2463)</t>
  </si>
  <si>
    <t>=SUM(H2459:H2463)</t>
  </si>
  <si>
    <t>=SUM(I2459:I2463)</t>
  </si>
  <si>
    <t>=SUM(J2459:J2463)</t>
  </si>
  <si>
    <t>=IF(K2465=0,"hide","")</t>
  </si>
  <si>
    <t>=NL("rows","Production BOM Version","Version Code","Production BOM No.",D2465,"status","certified")</t>
  </si>
  <si>
    <t>=NL("sum","Item Ledger Entry","Quantity","Item No.",$D2465,"Entry Type","Sale|Consumption","posting date","01/01/19..12/31/19")/-12</t>
  </si>
  <si>
    <t>=NL("sum","Item Ledger Entry","Quantity","Item No.",$D2465,"Entry Type","Sale|Consumption","posting date","01/01/20..12/31/20")/-12</t>
  </si>
  <si>
    <t>=NL("sum","Item Ledger Entry","Quantity","Item No.",$D2465,"Entry Type","Sale|Consumption","posting date","01/01/21..12/31/21")/-12</t>
  </si>
  <si>
    <t>=NL("sum","Item Ledger Entry","Quantity","Item No.",$D2465,"Entry Type","Sale|Consumption","posting date","01/01/22..12/31/22")/-12</t>
  </si>
  <si>
    <t>=NL("sum","Item Ledger Entry","Quantity","Item No.",$D2465,"Entry Type","Sale|Consumption","posting date","01/01/23..12/31/23")/$J$7</t>
  </si>
  <si>
    <t>=AVERAGE(I2465:J2465)</t>
  </si>
  <si>
    <t>=NL(1,"item",L$9,"no.",D2465)</t>
  </si>
  <si>
    <t>=NL(1,"item",M$9,"no.",$D2465)</t>
  </si>
  <si>
    <t>=NL(1,"item","Units Per Parcel","no.",$D2465)</t>
  </si>
  <si>
    <t>=NL(1,"Prod. BOM Equipment","Fixed Prod. Time (Hours)","Production BOM No.",$D2465,"version code",$E2465,"Resource No.",O$9)</t>
  </si>
  <si>
    <t>=1/O2465</t>
  </si>
  <si>
    <t>=IF(NL(1,"Prod. BOM Equipment","Variable Prod. Time (Hours)","Production BOM No.",$D2465,"version code",$E2465,"Resource No.",$O$9)="",1,NL(1,"Prod. BOM Equipment","Variable Prod. Time (Hours)","Production BOM No.",$D2465,"version code",$E2465,"Resource No.",$O$9))</t>
  </si>
  <si>
    <t>=1/Q2465</t>
  </si>
  <si>
    <t>=R2465*N2465</t>
  </si>
  <si>
    <t>=IF(K2466=0,"hide","")</t>
  </si>
  <si>
    <t>=D2465</t>
  </si>
  <si>
    <t>=NL("sum","Production Order","Quantity","Source No.",$D2466,"Equipment Code",$L2466,"due date",F$8)/-12</t>
  </si>
  <si>
    <t>=NL("sum","Production Order","Quantity","Source No.",$D2466,"Equipment Code",$L2466,"due date",G$8)/-12</t>
  </si>
  <si>
    <t>=NL("sum","Production Order","Quantity","Source No.",$D2466,"Equipment Code",$L2466,"due date",H$8)/-12</t>
  </si>
  <si>
    <t>=NL("sum","Production Order","Quantity","Source No.",$D2466,"Equipment Code",$L2466,"due date",I$8)/-12</t>
  </si>
  <si>
    <t>=NL("sum","Production Order","Quantity","Source No.",$D2466,"Equipment Code",$L2466,"due date",J$8)/$J$7</t>
  </si>
  <si>
    <t>=AVERAGE(I2466:J2466)</t>
  </si>
  <si>
    <t>=IF(K2467=0,"hide","")</t>
  </si>
  <si>
    <t>=D2466</t>
  </si>
  <si>
    <t>=NL("sum","Production Order","Quantity","Source No.",$D2467,"Equipment Code",$L2467,"due date",F$8)/-12</t>
  </si>
  <si>
    <t>=NL("sum","Production Order","Quantity","Source No.",$D2467,"Equipment Code",$L2467,"due date",G$8)/-12</t>
  </si>
  <si>
    <t>=NL("sum","Production Order","Quantity","Source No.",$D2467,"Equipment Code",$L2467,"due date",H$8)/-12</t>
  </si>
  <si>
    <t>=NL("sum","Production Order","Quantity","Source No.",$D2467,"Equipment Code",$L2467,"due date",I$8)/-12</t>
  </si>
  <si>
    <t>=NL("sum","Production Order","Quantity","Source No.",$D2467,"Equipment Code",$L2467,"due date",J$8)/$J$7</t>
  </si>
  <si>
    <t>=AVERAGE(I2467:J2467)</t>
  </si>
  <si>
    <t>=IF(K2468=0,"hide","")</t>
  </si>
  <si>
    <t>=D2467</t>
  </si>
  <si>
    <t>=NL("sum","Production Order","Quantity","Source No.",$D2468,"Equipment Code",$L2468,"due date",F$8)/-12</t>
  </si>
  <si>
    <t>=NL("sum","Production Order","Quantity","Source No.",$D2468,"Equipment Code",$L2468,"due date",G$8)/-12</t>
  </si>
  <si>
    <t>=NL("sum","Production Order","Quantity","Source No.",$D2468,"Equipment Code",$L2468,"due date",H$8)/-12</t>
  </si>
  <si>
    <t>=NL("sum","Production Order","Quantity","Source No.",$D2468,"Equipment Code",$L2468,"due date",I$8)/-12</t>
  </si>
  <si>
    <t>=NL("sum","Production Order","Quantity","Source No.",$D2468,"Equipment Code",$L2468,"due date",J$8)/$J$7</t>
  </si>
  <si>
    <t>=AVERAGE(I2468:J2468)</t>
  </si>
  <si>
    <t>=IF(K2469=0,"hide","")</t>
  </si>
  <si>
    <t>=D2468</t>
  </si>
  <si>
    <t>=NL("sum","Production Order","Quantity","Source No.",$D2469,"Equipment Code",$L2469,"due date",F$8)/-12</t>
  </si>
  <si>
    <t>=NL("sum","Production Order","Quantity","Source No.",$D2469,"Equipment Code",$L2469,"due date",G$8)/-12</t>
  </si>
  <si>
    <t>=NL("sum","Production Order","Quantity","Source No.",$D2469,"Equipment Code",$L2469,"due date",H$8)/-12</t>
  </si>
  <si>
    <t>=NL("sum","Production Order","Quantity","Source No.",$D2469,"Equipment Code",$L2469,"due date",I$8)/-12</t>
  </si>
  <si>
    <t>=NL("sum","Production Order","Quantity","Source No.",$D2469,"Equipment Code",$L2469,"due date",J$8)/$J$7</t>
  </si>
  <si>
    <t>=AVERAGE(I2469:J2469)</t>
  </si>
  <si>
    <t>=B2466</t>
  </si>
  <si>
    <t>=B2470</t>
  </si>
  <si>
    <t>=SUM(F2466:F2470)</t>
  </si>
  <si>
    <t>=SUM(G2466:G2470)</t>
  </si>
  <si>
    <t>=SUM(H2466:H2470)</t>
  </si>
  <si>
    <t>=SUM(I2466:I2470)</t>
  </si>
  <si>
    <t>=SUM(J2466:J2470)</t>
  </si>
  <si>
    <t>=IF(K2472=0,"hide","")</t>
  </si>
  <si>
    <t>=NL("rows","Production BOM Version","Version Code","Production BOM No.",D2472,"status","certified")</t>
  </si>
  <si>
    <t>=NL("sum","Item Ledger Entry","Quantity","Item No.",$D2472,"Entry Type","Sale|Consumption","posting date","01/01/19..12/31/19")/-12</t>
  </si>
  <si>
    <t>=NL("sum","Item Ledger Entry","Quantity","Item No.",$D2472,"Entry Type","Sale|Consumption","posting date","01/01/20..12/31/20")/-12</t>
  </si>
  <si>
    <t>=NL("sum","Item Ledger Entry","Quantity","Item No.",$D2472,"Entry Type","Sale|Consumption","posting date","01/01/21..12/31/21")/-12</t>
  </si>
  <si>
    <t>=NL("sum","Item Ledger Entry","Quantity","Item No.",$D2472,"Entry Type","Sale|Consumption","posting date","01/01/22..12/31/22")/-12</t>
  </si>
  <si>
    <t>=NL("sum","Item Ledger Entry","Quantity","Item No.",$D2472,"Entry Type","Sale|Consumption","posting date","01/01/23..12/31/23")/$J$7</t>
  </si>
  <si>
    <t>=AVERAGE(I2472:J2472)</t>
  </si>
  <si>
    <t>=NL(1,"item",L$9,"no.",D2472)</t>
  </si>
  <si>
    <t>=NL(1,"item",M$9,"no.",$D2472)</t>
  </si>
  <si>
    <t>=NL(1,"item","Units Per Parcel","no.",$D2472)</t>
  </si>
  <si>
    <t>=NL(1,"Prod. BOM Equipment","Fixed Prod. Time (Hours)","Production BOM No.",$D2472,"version code",$E2472,"Resource No.",O$9)</t>
  </si>
  <si>
    <t>=1/O2472</t>
  </si>
  <si>
    <t>=IF(NL(1,"Prod. BOM Equipment","Variable Prod. Time (Hours)","Production BOM No.",$D2472,"version code",$E2472,"Resource No.",$O$9)="",1,NL(1,"Prod. BOM Equipment","Variable Prod. Time (Hours)","Production BOM No.",$D2472,"version code",$E2472,"Resource No.",$O$9))</t>
  </si>
  <si>
    <t>=1/Q2472</t>
  </si>
  <si>
    <t>=R2472*N2472</t>
  </si>
  <si>
    <t>=IF(K2473=0,"hide","")</t>
  </si>
  <si>
    <t>=D2472</t>
  </si>
  <si>
    <t>=NL("sum","Production Order","Quantity","Source No.",$D2473,"Equipment Code",$L2473,"due date",F$8)/-12</t>
  </si>
  <si>
    <t>=NL("sum","Production Order","Quantity","Source No.",$D2473,"Equipment Code",$L2473,"due date",G$8)/-12</t>
  </si>
  <si>
    <t>=NL("sum","Production Order","Quantity","Source No.",$D2473,"Equipment Code",$L2473,"due date",H$8)/-12</t>
  </si>
  <si>
    <t>=NL("sum","Production Order","Quantity","Source No.",$D2473,"Equipment Code",$L2473,"due date",I$8)/-12</t>
  </si>
  <si>
    <t>=NL("sum","Production Order","Quantity","Source No.",$D2473,"Equipment Code",$L2473,"due date",J$8)/$J$7</t>
  </si>
  <si>
    <t>=AVERAGE(I2473:J2473)</t>
  </si>
  <si>
    <t>=IF(K2474=0,"hide","")</t>
  </si>
  <si>
    <t>=D2473</t>
  </si>
  <si>
    <t>=NL("sum","Production Order","Quantity","Source No.",$D2474,"Equipment Code",$L2474,"due date",F$8)/-12</t>
  </si>
  <si>
    <t>=NL("sum","Production Order","Quantity","Source No.",$D2474,"Equipment Code",$L2474,"due date",G$8)/-12</t>
  </si>
  <si>
    <t>=NL("sum","Production Order","Quantity","Source No.",$D2474,"Equipment Code",$L2474,"due date",H$8)/-12</t>
  </si>
  <si>
    <t>=NL("sum","Production Order","Quantity","Source No.",$D2474,"Equipment Code",$L2474,"due date",I$8)/-12</t>
  </si>
  <si>
    <t>=NL("sum","Production Order","Quantity","Source No.",$D2474,"Equipment Code",$L2474,"due date",J$8)/$J$7</t>
  </si>
  <si>
    <t>=AVERAGE(I2474:J2474)</t>
  </si>
  <si>
    <t>=IF(K2475=0,"hide","")</t>
  </si>
  <si>
    <t>=D2474</t>
  </si>
  <si>
    <t>=NL("sum","Production Order","Quantity","Source No.",$D2475,"Equipment Code",$L2475,"due date",F$8)/-12</t>
  </si>
  <si>
    <t>=NL("sum","Production Order","Quantity","Source No.",$D2475,"Equipment Code",$L2475,"due date",G$8)/-12</t>
  </si>
  <si>
    <t>=NL("sum","Production Order","Quantity","Source No.",$D2475,"Equipment Code",$L2475,"due date",H$8)/-12</t>
  </si>
  <si>
    <t>=NL("sum","Production Order","Quantity","Source No.",$D2475,"Equipment Code",$L2475,"due date",I$8)/-12</t>
  </si>
  <si>
    <t>=NL("sum","Production Order","Quantity","Source No.",$D2475,"Equipment Code",$L2475,"due date",J$8)/$J$7</t>
  </si>
  <si>
    <t>=AVERAGE(I2475:J2475)</t>
  </si>
  <si>
    <t>=IF(K2476=0,"hide","")</t>
  </si>
  <si>
    <t>=D2475</t>
  </si>
  <si>
    <t>=NL("sum","Production Order","Quantity","Source No.",$D2476,"Equipment Code",$L2476,"due date",F$8)/-12</t>
  </si>
  <si>
    <t>=NL("sum","Production Order","Quantity","Source No.",$D2476,"Equipment Code",$L2476,"due date",G$8)/-12</t>
  </si>
  <si>
    <t>=NL("sum","Production Order","Quantity","Source No.",$D2476,"Equipment Code",$L2476,"due date",H$8)/-12</t>
  </si>
  <si>
    <t>=NL("sum","Production Order","Quantity","Source No.",$D2476,"Equipment Code",$L2476,"due date",I$8)/-12</t>
  </si>
  <si>
    <t>=NL("sum","Production Order","Quantity","Source No.",$D2476,"Equipment Code",$L2476,"due date",J$8)/$J$7</t>
  </si>
  <si>
    <t>=AVERAGE(I2476:J2476)</t>
  </si>
  <si>
    <t>=B2473</t>
  </si>
  <si>
    <t>=B2477</t>
  </si>
  <si>
    <t>=SUM(F2473:F2477)</t>
  </si>
  <si>
    <t>=SUM(G2473:G2477)</t>
  </si>
  <si>
    <t>=SUM(H2473:H2477)</t>
  </si>
  <si>
    <t>=SUM(I2473:I2477)</t>
  </si>
  <si>
    <t>=SUM(J2473:J2477)</t>
  </si>
  <si>
    <t>=IF(K2479=0,"hide","")</t>
  </si>
  <si>
    <t>=NL("rows","Production BOM Version","Version Code","Production BOM No.",D2479,"status","certified")</t>
  </si>
  <si>
    <t>=NL("sum","Item Ledger Entry","Quantity","Item No.",$D2479,"Entry Type","Sale|Consumption","posting date","01/01/19..12/31/19")/-12</t>
  </si>
  <si>
    <t>=NL("sum","Item Ledger Entry","Quantity","Item No.",$D2479,"Entry Type","Sale|Consumption","posting date","01/01/20..12/31/20")/-12</t>
  </si>
  <si>
    <t>=NL("sum","Item Ledger Entry","Quantity","Item No.",$D2479,"Entry Type","Sale|Consumption","posting date","01/01/21..12/31/21")/-12</t>
  </si>
  <si>
    <t>=NL("sum","Item Ledger Entry","Quantity","Item No.",$D2479,"Entry Type","Sale|Consumption","posting date","01/01/22..12/31/22")/-12</t>
  </si>
  <si>
    <t>=NL("sum","Item Ledger Entry","Quantity","Item No.",$D2479,"Entry Type","Sale|Consumption","posting date","01/01/23..12/31/23")/$J$7</t>
  </si>
  <si>
    <t>=AVERAGE(I2479:J2479)</t>
  </si>
  <si>
    <t>=NL(1,"item",L$9,"no.",D2479)</t>
  </si>
  <si>
    <t>=NL(1,"item",M$9,"no.",$D2479)</t>
  </si>
  <si>
    <t>=NL(1,"item","Units Per Parcel","no.",$D2479)</t>
  </si>
  <si>
    <t>=NL(1,"Prod. BOM Equipment","Fixed Prod. Time (Hours)","Production BOM No.",$D2479,"version code",$E2479,"Resource No.",O$9)</t>
  </si>
  <si>
    <t>=1/O2479</t>
  </si>
  <si>
    <t>=IF(NL(1,"Prod. BOM Equipment","Variable Prod. Time (Hours)","Production BOM No.",$D2479,"version code",$E2479,"Resource No.",$O$9)="",1,NL(1,"Prod. BOM Equipment","Variable Prod. Time (Hours)","Production BOM No.",$D2479,"version code",$E2479,"Resource No.",$O$9))</t>
  </si>
  <si>
    <t>=1/Q2479</t>
  </si>
  <si>
    <t>=R2479*N2479</t>
  </si>
  <si>
    <t>=IF(K2480=0,"hide","")</t>
  </si>
  <si>
    <t>=D2479</t>
  </si>
  <si>
    <t>=NL("sum","Production Order","Quantity","Source No.",$D2480,"Equipment Code",$L2480,"due date",F$8)/-12</t>
  </si>
  <si>
    <t>=NL("sum","Production Order","Quantity","Source No.",$D2480,"Equipment Code",$L2480,"due date",G$8)/-12</t>
  </si>
  <si>
    <t>=NL("sum","Production Order","Quantity","Source No.",$D2480,"Equipment Code",$L2480,"due date",H$8)/-12</t>
  </si>
  <si>
    <t>=NL("sum","Production Order","Quantity","Source No.",$D2480,"Equipment Code",$L2480,"due date",I$8)/-12</t>
  </si>
  <si>
    <t>=NL("sum","Production Order","Quantity","Source No.",$D2480,"Equipment Code",$L2480,"due date",J$8)/$J$7</t>
  </si>
  <si>
    <t>=AVERAGE(I2480:J2480)</t>
  </si>
  <si>
    <t>=IF(K2481=0,"hide","")</t>
  </si>
  <si>
    <t>=D2480</t>
  </si>
  <si>
    <t>=NL("sum","Production Order","Quantity","Source No.",$D2481,"Equipment Code",$L2481,"due date",F$8)/-12</t>
  </si>
  <si>
    <t>=NL("sum","Production Order","Quantity","Source No.",$D2481,"Equipment Code",$L2481,"due date",G$8)/-12</t>
  </si>
  <si>
    <t>=NL("sum","Production Order","Quantity","Source No.",$D2481,"Equipment Code",$L2481,"due date",H$8)/-12</t>
  </si>
  <si>
    <t>=NL("sum","Production Order","Quantity","Source No.",$D2481,"Equipment Code",$L2481,"due date",I$8)/-12</t>
  </si>
  <si>
    <t>=NL("sum","Production Order","Quantity","Source No.",$D2481,"Equipment Code",$L2481,"due date",J$8)/$J$7</t>
  </si>
  <si>
    <t>=AVERAGE(I2481:J2481)</t>
  </si>
  <si>
    <t>=IF(K2482=0,"hide","")</t>
  </si>
  <si>
    <t>=D2481</t>
  </si>
  <si>
    <t>=NL("sum","Production Order","Quantity","Source No.",$D2482,"Equipment Code",$L2482,"due date",F$8)/-12</t>
  </si>
  <si>
    <t>=NL("sum","Production Order","Quantity","Source No.",$D2482,"Equipment Code",$L2482,"due date",G$8)/-12</t>
  </si>
  <si>
    <t>=NL("sum","Production Order","Quantity","Source No.",$D2482,"Equipment Code",$L2482,"due date",H$8)/-12</t>
  </si>
  <si>
    <t>=NL("sum","Production Order","Quantity","Source No.",$D2482,"Equipment Code",$L2482,"due date",I$8)/-12</t>
  </si>
  <si>
    <t>=NL("sum","Production Order","Quantity","Source No.",$D2482,"Equipment Code",$L2482,"due date",J$8)/$J$7</t>
  </si>
  <si>
    <t>=AVERAGE(I2482:J2482)</t>
  </si>
  <si>
    <t>=IF(K2483=0,"hide","")</t>
  </si>
  <si>
    <t>=D2482</t>
  </si>
  <si>
    <t>=NL("sum","Production Order","Quantity","Source No.",$D2483,"Equipment Code",$L2483,"due date",F$8)/-12</t>
  </si>
  <si>
    <t>=NL("sum","Production Order","Quantity","Source No.",$D2483,"Equipment Code",$L2483,"due date",G$8)/-12</t>
  </si>
  <si>
    <t>=NL("sum","Production Order","Quantity","Source No.",$D2483,"Equipment Code",$L2483,"due date",H$8)/-12</t>
  </si>
  <si>
    <t>=NL("sum","Production Order","Quantity","Source No.",$D2483,"Equipment Code",$L2483,"due date",I$8)/-12</t>
  </si>
  <si>
    <t>=NL("sum","Production Order","Quantity","Source No.",$D2483,"Equipment Code",$L2483,"due date",J$8)/$J$7</t>
  </si>
  <si>
    <t>=AVERAGE(I2483:J2483)</t>
  </si>
  <si>
    <t>=B2480</t>
  </si>
  <si>
    <t>=B2484</t>
  </si>
  <si>
    <t>=SUM(F2480:F2484)</t>
  </si>
  <si>
    <t>=SUM(G2480:G2484)</t>
  </si>
  <si>
    <t>=SUM(H2480:H2484)</t>
  </si>
  <si>
    <t>=SUM(I2480:I2484)</t>
  </si>
  <si>
    <t>=SUM(J2480:J2484)</t>
  </si>
  <si>
    <t>=IF(K2486=0,"hide","")</t>
  </si>
  <si>
    <t>=NL("rows","Production BOM Version","Version Code","Production BOM No.",D2486,"status","certified")</t>
  </si>
  <si>
    <t>=NL("sum","Item Ledger Entry","Quantity","Item No.",$D2486,"Entry Type","Sale|Consumption","posting date","01/01/19..12/31/19")/-12</t>
  </si>
  <si>
    <t>=NL("sum","Item Ledger Entry","Quantity","Item No.",$D2486,"Entry Type","Sale|Consumption","posting date","01/01/20..12/31/20")/-12</t>
  </si>
  <si>
    <t>=NL("sum","Item Ledger Entry","Quantity","Item No.",$D2486,"Entry Type","Sale|Consumption","posting date","01/01/21..12/31/21")/-12</t>
  </si>
  <si>
    <t>=NL("sum","Item Ledger Entry","Quantity","Item No.",$D2486,"Entry Type","Sale|Consumption","posting date","01/01/22..12/31/22")/-12</t>
  </si>
  <si>
    <t>=NL("sum","Item Ledger Entry","Quantity","Item No.",$D2486,"Entry Type","Sale|Consumption","posting date","01/01/23..12/31/23")/$J$7</t>
  </si>
  <si>
    <t>=AVERAGE(I2486:J2486)</t>
  </si>
  <si>
    <t>=NL(1,"item",L$9,"no.",D2486)</t>
  </si>
  <si>
    <t>=NL(1,"item",M$9,"no.",$D2486)</t>
  </si>
  <si>
    <t>=NL(1,"item","Units Per Parcel","no.",$D2486)</t>
  </si>
  <si>
    <t>=NL(1,"Prod. BOM Equipment","Fixed Prod. Time (Hours)","Production BOM No.",$D2486,"version code",$E2486,"Resource No.",O$9)</t>
  </si>
  <si>
    <t>=1/O2486</t>
  </si>
  <si>
    <t>=IF(NL(1,"Prod. BOM Equipment","Variable Prod. Time (Hours)","Production BOM No.",$D2486,"version code",$E2486,"Resource No.",$O$9)="",1,NL(1,"Prod. BOM Equipment","Variable Prod. Time (Hours)","Production BOM No.",$D2486,"version code",$E2486,"Resource No.",$O$9))</t>
  </si>
  <si>
    <t>=1/Q2486</t>
  </si>
  <si>
    <t>=R2486*N2486</t>
  </si>
  <si>
    <t>=IF(K2487=0,"hide","")</t>
  </si>
  <si>
    <t>=D2486</t>
  </si>
  <si>
    <t>=NL("sum","Production Order","Quantity","Source No.",$D2487,"Equipment Code",$L2487,"due date",F$8)/-12</t>
  </si>
  <si>
    <t>=NL("sum","Production Order","Quantity","Source No.",$D2487,"Equipment Code",$L2487,"due date",G$8)/-12</t>
  </si>
  <si>
    <t>=NL("sum","Production Order","Quantity","Source No.",$D2487,"Equipment Code",$L2487,"due date",H$8)/-12</t>
  </si>
  <si>
    <t>=NL("sum","Production Order","Quantity","Source No.",$D2487,"Equipment Code",$L2487,"due date",I$8)/-12</t>
  </si>
  <si>
    <t>=NL("sum","Production Order","Quantity","Source No.",$D2487,"Equipment Code",$L2487,"due date",J$8)/$J$7</t>
  </si>
  <si>
    <t>=AVERAGE(I2487:J2487)</t>
  </si>
  <si>
    <t>=IF(K2488=0,"hide","")</t>
  </si>
  <si>
    <t>=D2487</t>
  </si>
  <si>
    <t>=NL("sum","Production Order","Quantity","Source No.",$D2488,"Equipment Code",$L2488,"due date",F$8)/-12</t>
  </si>
  <si>
    <t>=NL("sum","Production Order","Quantity","Source No.",$D2488,"Equipment Code",$L2488,"due date",G$8)/-12</t>
  </si>
  <si>
    <t>=NL("sum","Production Order","Quantity","Source No.",$D2488,"Equipment Code",$L2488,"due date",H$8)/-12</t>
  </si>
  <si>
    <t>=NL("sum","Production Order","Quantity","Source No.",$D2488,"Equipment Code",$L2488,"due date",I$8)/-12</t>
  </si>
  <si>
    <t>=NL("sum","Production Order","Quantity","Source No.",$D2488,"Equipment Code",$L2488,"due date",J$8)/$J$7</t>
  </si>
  <si>
    <t>=AVERAGE(I2488:J2488)</t>
  </si>
  <si>
    <t>=IF(K2489=0,"hide","")</t>
  </si>
  <si>
    <t>=D2488</t>
  </si>
  <si>
    <t>=NL("sum","Production Order","Quantity","Source No.",$D2489,"Equipment Code",$L2489,"due date",F$8)/-12</t>
  </si>
  <si>
    <t>=NL("sum","Production Order","Quantity","Source No.",$D2489,"Equipment Code",$L2489,"due date",G$8)/-12</t>
  </si>
  <si>
    <t>=NL("sum","Production Order","Quantity","Source No.",$D2489,"Equipment Code",$L2489,"due date",H$8)/-12</t>
  </si>
  <si>
    <t>=NL("sum","Production Order","Quantity","Source No.",$D2489,"Equipment Code",$L2489,"due date",I$8)/-12</t>
  </si>
  <si>
    <t>=NL("sum","Production Order","Quantity","Source No.",$D2489,"Equipment Code",$L2489,"due date",J$8)/$J$7</t>
  </si>
  <si>
    <t>=AVERAGE(I2489:J2489)</t>
  </si>
  <si>
    <t>=IF(K2490=0,"hide","")</t>
  </si>
  <si>
    <t>=D2489</t>
  </si>
  <si>
    <t>=NL("sum","Production Order","Quantity","Source No.",$D2490,"Equipment Code",$L2490,"due date",F$8)/-12</t>
  </si>
  <si>
    <t>=NL("sum","Production Order","Quantity","Source No.",$D2490,"Equipment Code",$L2490,"due date",G$8)/-12</t>
  </si>
  <si>
    <t>=NL("sum","Production Order","Quantity","Source No.",$D2490,"Equipment Code",$L2490,"due date",H$8)/-12</t>
  </si>
  <si>
    <t>=NL("sum","Production Order","Quantity","Source No.",$D2490,"Equipment Code",$L2490,"due date",I$8)/-12</t>
  </si>
  <si>
    <t>=NL("sum","Production Order","Quantity","Source No.",$D2490,"Equipment Code",$L2490,"due date",J$8)/$J$7</t>
  </si>
  <si>
    <t>=AVERAGE(I2490:J2490)</t>
  </si>
  <si>
    <t>=B2487</t>
  </si>
  <si>
    <t>=B2491</t>
  </si>
  <si>
    <t>=SUM(F2487:F2491)</t>
  </si>
  <si>
    <t>=SUM(G2487:G2491)</t>
  </si>
  <si>
    <t>=SUM(H2487:H2491)</t>
  </si>
  <si>
    <t>=SUM(I2487:I2491)</t>
  </si>
  <si>
    <t>=SUM(J2487:J2491)</t>
  </si>
  <si>
    <t>=IF(K2493=0,"hide","")</t>
  </si>
  <si>
    <t>=NL("rows","Production BOM Version","Version Code","Production BOM No.",D2493,"status","certified")</t>
  </si>
  <si>
    <t>=NL("sum","Item Ledger Entry","Quantity","Item No.",$D2493,"Entry Type","Sale|Consumption","posting date","01/01/19..12/31/19")/-12</t>
  </si>
  <si>
    <t>=NL("sum","Item Ledger Entry","Quantity","Item No.",$D2493,"Entry Type","Sale|Consumption","posting date","01/01/20..12/31/20")/-12</t>
  </si>
  <si>
    <t>=NL("sum","Item Ledger Entry","Quantity","Item No.",$D2493,"Entry Type","Sale|Consumption","posting date","01/01/21..12/31/21")/-12</t>
  </si>
  <si>
    <t>=NL("sum","Item Ledger Entry","Quantity","Item No.",$D2493,"Entry Type","Sale|Consumption","posting date","01/01/22..12/31/22")/-12</t>
  </si>
  <si>
    <t>=NL("sum","Item Ledger Entry","Quantity","Item No.",$D2493,"Entry Type","Sale|Consumption","posting date","01/01/23..12/31/23")/$J$7</t>
  </si>
  <si>
    <t>=AVERAGE(I2493:J2493)</t>
  </si>
  <si>
    <t>=NL(1,"item",L$9,"no.",D2493)</t>
  </si>
  <si>
    <t>=NL(1,"item",M$9,"no.",$D2493)</t>
  </si>
  <si>
    <t>=NL(1,"item","Units Per Parcel","no.",$D2493)</t>
  </si>
  <si>
    <t>=NL(1,"Prod. BOM Equipment","Fixed Prod. Time (Hours)","Production BOM No.",$D2493,"version code",$E2493,"Resource No.",O$9)</t>
  </si>
  <si>
    <t>=1/O2493</t>
  </si>
  <si>
    <t>=IF(NL(1,"Prod. BOM Equipment","Variable Prod. Time (Hours)","Production BOM No.",$D2493,"version code",$E2493,"Resource No.",$O$9)="",1,NL(1,"Prod. BOM Equipment","Variable Prod. Time (Hours)","Production BOM No.",$D2493,"version code",$E2493,"Resource No.",$O$9))</t>
  </si>
  <si>
    <t>=1/Q2493</t>
  </si>
  <si>
    <t>=R2493*N2493</t>
  </si>
  <si>
    <t>=IF(K2494=0,"hide","")</t>
  </si>
  <si>
    <t>=D2493</t>
  </si>
  <si>
    <t>=NL("sum","Production Order","Quantity","Source No.",$D2494,"Equipment Code",$L2494,"due date",F$8)/-12</t>
  </si>
  <si>
    <t>=NL("sum","Production Order","Quantity","Source No.",$D2494,"Equipment Code",$L2494,"due date",G$8)/-12</t>
  </si>
  <si>
    <t>=NL("sum","Production Order","Quantity","Source No.",$D2494,"Equipment Code",$L2494,"due date",H$8)/-12</t>
  </si>
  <si>
    <t>=NL("sum","Production Order","Quantity","Source No.",$D2494,"Equipment Code",$L2494,"due date",I$8)/-12</t>
  </si>
  <si>
    <t>=NL("sum","Production Order","Quantity","Source No.",$D2494,"Equipment Code",$L2494,"due date",J$8)/$J$7</t>
  </si>
  <si>
    <t>=AVERAGE(I2494:J2494)</t>
  </si>
  <si>
    <t>=IF(K2495=0,"hide","")</t>
  </si>
  <si>
    <t>=D2494</t>
  </si>
  <si>
    <t>=NL("sum","Production Order","Quantity","Source No.",$D2495,"Equipment Code",$L2495,"due date",F$8)/-12</t>
  </si>
  <si>
    <t>=NL("sum","Production Order","Quantity","Source No.",$D2495,"Equipment Code",$L2495,"due date",G$8)/-12</t>
  </si>
  <si>
    <t>=NL("sum","Production Order","Quantity","Source No.",$D2495,"Equipment Code",$L2495,"due date",H$8)/-12</t>
  </si>
  <si>
    <t>=NL("sum","Production Order","Quantity","Source No.",$D2495,"Equipment Code",$L2495,"due date",I$8)/-12</t>
  </si>
  <si>
    <t>=NL("sum","Production Order","Quantity","Source No.",$D2495,"Equipment Code",$L2495,"due date",J$8)/$J$7</t>
  </si>
  <si>
    <t>=AVERAGE(I2495:J2495)</t>
  </si>
  <si>
    <t>=IF(K2496=0,"hide","")</t>
  </si>
  <si>
    <t>=D2495</t>
  </si>
  <si>
    <t>=NL("sum","Production Order","Quantity","Source No.",$D2496,"Equipment Code",$L2496,"due date",F$8)/-12</t>
  </si>
  <si>
    <t>=NL("sum","Production Order","Quantity","Source No.",$D2496,"Equipment Code",$L2496,"due date",G$8)/-12</t>
  </si>
  <si>
    <t>=NL("sum","Production Order","Quantity","Source No.",$D2496,"Equipment Code",$L2496,"due date",H$8)/-12</t>
  </si>
  <si>
    <t>=NL("sum","Production Order","Quantity","Source No.",$D2496,"Equipment Code",$L2496,"due date",I$8)/-12</t>
  </si>
  <si>
    <t>=NL("sum","Production Order","Quantity","Source No.",$D2496,"Equipment Code",$L2496,"due date",J$8)/$J$7</t>
  </si>
  <si>
    <t>=AVERAGE(I2496:J2496)</t>
  </si>
  <si>
    <t>=IF(K2497=0,"hide","")</t>
  </si>
  <si>
    <t>=D2496</t>
  </si>
  <si>
    <t>=NL("sum","Production Order","Quantity","Source No.",$D2497,"Equipment Code",$L2497,"due date",F$8)/-12</t>
  </si>
  <si>
    <t>=NL("sum","Production Order","Quantity","Source No.",$D2497,"Equipment Code",$L2497,"due date",G$8)/-12</t>
  </si>
  <si>
    <t>=NL("sum","Production Order","Quantity","Source No.",$D2497,"Equipment Code",$L2497,"due date",H$8)/-12</t>
  </si>
  <si>
    <t>=NL("sum","Production Order","Quantity","Source No.",$D2497,"Equipment Code",$L2497,"due date",I$8)/-12</t>
  </si>
  <si>
    <t>=NL("sum","Production Order","Quantity","Source No.",$D2497,"Equipment Code",$L2497,"due date",J$8)/$J$7</t>
  </si>
  <si>
    <t>=AVERAGE(I2497:J2497)</t>
  </si>
  <si>
    <t>=B2494</t>
  </si>
  <si>
    <t>=B2498</t>
  </si>
  <si>
    <t>=SUM(F2494:F2498)</t>
  </si>
  <si>
    <t>=SUM(G2494:G2498)</t>
  </si>
  <si>
    <t>=SUM(H2494:H2498)</t>
  </si>
  <si>
    <t>=SUM(I2494:I2498)</t>
  </si>
  <si>
    <t>=SUM(J2494:J2498)</t>
  </si>
  <si>
    <t>=IF(K2500=0,"hide","")</t>
  </si>
  <si>
    <t>=NL("rows","Production BOM Version","Version Code","Production BOM No.",D2500,"status","certified")</t>
  </si>
  <si>
    <t>=NL("sum","Item Ledger Entry","Quantity","Item No.",$D2500,"Entry Type","Sale|Consumption","posting date","01/01/19..12/31/19")/-12</t>
  </si>
  <si>
    <t>=NL("sum","Item Ledger Entry","Quantity","Item No.",$D2500,"Entry Type","Sale|Consumption","posting date","01/01/20..12/31/20")/-12</t>
  </si>
  <si>
    <t>=NL("sum","Item Ledger Entry","Quantity","Item No.",$D2500,"Entry Type","Sale|Consumption","posting date","01/01/21..12/31/21")/-12</t>
  </si>
  <si>
    <t>=NL("sum","Item Ledger Entry","Quantity","Item No.",$D2500,"Entry Type","Sale|Consumption","posting date","01/01/22..12/31/22")/-12</t>
  </si>
  <si>
    <t>=NL("sum","Item Ledger Entry","Quantity","Item No.",$D2500,"Entry Type","Sale|Consumption","posting date","01/01/23..12/31/23")/$J$7</t>
  </si>
  <si>
    <t>=AVERAGE(I2500:J2500)</t>
  </si>
  <si>
    <t>=NL(1,"item",L$9,"no.",D2500)</t>
  </si>
  <si>
    <t>=NL(1,"item",M$9,"no.",$D2500)</t>
  </si>
  <si>
    <t>=NL(1,"item","Units Per Parcel","no.",$D2500)</t>
  </si>
  <si>
    <t>=NL(1,"Prod. BOM Equipment","Fixed Prod. Time (Hours)","Production BOM No.",$D2500,"version code",$E2500,"Resource No.",O$9)</t>
  </si>
  <si>
    <t>=1/O2500</t>
  </si>
  <si>
    <t>=IF(NL(1,"Prod. BOM Equipment","Variable Prod. Time (Hours)","Production BOM No.",$D2500,"version code",$E2500,"Resource No.",$O$9)="",1,NL(1,"Prod. BOM Equipment","Variable Prod. Time (Hours)","Production BOM No.",$D2500,"version code",$E2500,"Resource No.",$O$9))</t>
  </si>
  <si>
    <t>=1/Q2500</t>
  </si>
  <si>
    <t>=R2500*N2500</t>
  </si>
  <si>
    <t>=IF(K2501=0,"hide","")</t>
  </si>
  <si>
    <t>=D2500</t>
  </si>
  <si>
    <t>=NL("sum","Production Order","Quantity","Source No.",$D2501,"Equipment Code",$L2501,"due date",F$8)/-12</t>
  </si>
  <si>
    <t>=NL("sum","Production Order","Quantity","Source No.",$D2501,"Equipment Code",$L2501,"due date",G$8)/-12</t>
  </si>
  <si>
    <t>=NL("sum","Production Order","Quantity","Source No.",$D2501,"Equipment Code",$L2501,"due date",H$8)/-12</t>
  </si>
  <si>
    <t>=NL("sum","Production Order","Quantity","Source No.",$D2501,"Equipment Code",$L2501,"due date",I$8)/-12</t>
  </si>
  <si>
    <t>=NL("sum","Production Order","Quantity","Source No.",$D2501,"Equipment Code",$L2501,"due date",J$8)/$J$7</t>
  </si>
  <si>
    <t>=AVERAGE(I2501:J2501)</t>
  </si>
  <si>
    <t>=IF(K2502=0,"hide","")</t>
  </si>
  <si>
    <t>=D2501</t>
  </si>
  <si>
    <t>=NL("sum","Production Order","Quantity","Source No.",$D2502,"Equipment Code",$L2502,"due date",F$8)/-12</t>
  </si>
  <si>
    <t>=NL("sum","Production Order","Quantity","Source No.",$D2502,"Equipment Code",$L2502,"due date",G$8)/-12</t>
  </si>
  <si>
    <t>=NL("sum","Production Order","Quantity","Source No.",$D2502,"Equipment Code",$L2502,"due date",H$8)/-12</t>
  </si>
  <si>
    <t>=NL("sum","Production Order","Quantity","Source No.",$D2502,"Equipment Code",$L2502,"due date",I$8)/-12</t>
  </si>
  <si>
    <t>=NL("sum","Production Order","Quantity","Source No.",$D2502,"Equipment Code",$L2502,"due date",J$8)/$J$7</t>
  </si>
  <si>
    <t>=AVERAGE(I2502:J2502)</t>
  </si>
  <si>
    <t>=IF(K2503=0,"hide","")</t>
  </si>
  <si>
    <t>=D2502</t>
  </si>
  <si>
    <t>=NL("sum","Production Order","Quantity","Source No.",$D2503,"Equipment Code",$L2503,"due date",F$8)/-12</t>
  </si>
  <si>
    <t>=NL("sum","Production Order","Quantity","Source No.",$D2503,"Equipment Code",$L2503,"due date",G$8)/-12</t>
  </si>
  <si>
    <t>=NL("sum","Production Order","Quantity","Source No.",$D2503,"Equipment Code",$L2503,"due date",H$8)/-12</t>
  </si>
  <si>
    <t>=NL("sum","Production Order","Quantity","Source No.",$D2503,"Equipment Code",$L2503,"due date",I$8)/-12</t>
  </si>
  <si>
    <t>=NL("sum","Production Order","Quantity","Source No.",$D2503,"Equipment Code",$L2503,"due date",J$8)/$J$7</t>
  </si>
  <si>
    <t>=AVERAGE(I2503:J2503)</t>
  </si>
  <si>
    <t>=IF(K2504=0,"hide","")</t>
  </si>
  <si>
    <t>=D2503</t>
  </si>
  <si>
    <t>=NL("sum","Production Order","Quantity","Source No.",$D2504,"Equipment Code",$L2504,"due date",F$8)/-12</t>
  </si>
  <si>
    <t>=NL("sum","Production Order","Quantity","Source No.",$D2504,"Equipment Code",$L2504,"due date",G$8)/-12</t>
  </si>
  <si>
    <t>=NL("sum","Production Order","Quantity","Source No.",$D2504,"Equipment Code",$L2504,"due date",H$8)/-12</t>
  </si>
  <si>
    <t>=NL("sum","Production Order","Quantity","Source No.",$D2504,"Equipment Code",$L2504,"due date",I$8)/-12</t>
  </si>
  <si>
    <t>=NL("sum","Production Order","Quantity","Source No.",$D2504,"Equipment Code",$L2504,"due date",J$8)/$J$7</t>
  </si>
  <si>
    <t>=AVERAGE(I2504:J2504)</t>
  </si>
  <si>
    <t>=B2501</t>
  </si>
  <si>
    <t>=B2505</t>
  </si>
  <si>
    <t>=SUM(F2501:F2505)</t>
  </si>
  <si>
    <t>=SUM(G2501:G2505)</t>
  </si>
  <si>
    <t>=SUM(H2501:H2505)</t>
  </si>
  <si>
    <t>=SUM(I2501:I2505)</t>
  </si>
  <si>
    <t>=SUM(J2501:J2505)</t>
  </si>
  <si>
    <t>=IF(K2507=0,"hide","")</t>
  </si>
  <si>
    <t>="32139"</t>
  </si>
  <si>
    <t>=NL("rows","Production BOM Version","Version Code","Production BOM No.",D2507,"status","certified")</t>
  </si>
  <si>
    <t>=NL("sum","Item Ledger Entry","Quantity","Item No.",$D2507,"Entry Type","Sale|Consumption","posting date","01/01/19..12/31/19")/-12</t>
  </si>
  <si>
    <t>=NL("sum","Item Ledger Entry","Quantity","Item No.",$D2507,"Entry Type","Sale|Consumption","posting date","01/01/20..12/31/20")/-12</t>
  </si>
  <si>
    <t>=NL("sum","Item Ledger Entry","Quantity","Item No.",$D2507,"Entry Type","Sale|Consumption","posting date","01/01/21..12/31/21")/-12</t>
  </si>
  <si>
    <t>=NL("sum","Item Ledger Entry","Quantity","Item No.",$D2507,"Entry Type","Sale|Consumption","posting date","01/01/22..12/31/22")/-12</t>
  </si>
  <si>
    <t>=NL("sum","Item Ledger Entry","Quantity","Item No.",$D2507,"Entry Type","Sale|Consumption","posting date","01/01/23..12/31/23")/$J$7</t>
  </si>
  <si>
    <t>=AVERAGE(I2507:J2507)</t>
  </si>
  <si>
    <t>=NL(1,"item",L$9,"no.",D2507)</t>
  </si>
  <si>
    <t>=NL(1,"item",M$9,"no.",$D2507)</t>
  </si>
  <si>
    <t>=NL(1,"item","Units Per Parcel","no.",$D2507)</t>
  </si>
  <si>
    <t>=NL(1,"Prod. BOM Equipment","Fixed Prod. Time (Hours)","Production BOM No.",$D2507,"version code",$E2507,"Resource No.",O$9)</t>
  </si>
  <si>
    <t>=1/O2507</t>
  </si>
  <si>
    <t>=IF(NL(1,"Prod. BOM Equipment","Variable Prod. Time (Hours)","Production BOM No.",$D2507,"version code",$E2507,"Resource No.",$O$9)="",1,NL(1,"Prod. BOM Equipment","Variable Prod. Time (Hours)","Production BOM No.",$D2507,"version code",$E2507,"Resource No.",$O$9))</t>
  </si>
  <si>
    <t>=1/Q2507</t>
  </si>
  <si>
    <t>=R2507*N2507</t>
  </si>
  <si>
    <t>=IF(K2508=0,"hide","")</t>
  </si>
  <si>
    <t>=D2507</t>
  </si>
  <si>
    <t>=NL("sum","Production Order","Quantity","Source No.",$D2508,"Equipment Code",$L2508,"due date",F$8)/-12</t>
  </si>
  <si>
    <t>=NL("sum","Production Order","Quantity","Source No.",$D2508,"Equipment Code",$L2508,"due date",G$8)/-12</t>
  </si>
  <si>
    <t>=NL("sum","Production Order","Quantity","Source No.",$D2508,"Equipment Code",$L2508,"due date",H$8)/-12</t>
  </si>
  <si>
    <t>=NL("sum","Production Order","Quantity","Source No.",$D2508,"Equipment Code",$L2508,"due date",I$8)/-12</t>
  </si>
  <si>
    <t>=NL("sum","Production Order","Quantity","Source No.",$D2508,"Equipment Code",$L2508,"due date",J$8)/$J$7</t>
  </si>
  <si>
    <t>=AVERAGE(I2508:J2508)</t>
  </si>
  <si>
    <t>=IF(K2509=0,"hide","")</t>
  </si>
  <si>
    <t>=D2508</t>
  </si>
  <si>
    <t>=NL("sum","Production Order","Quantity","Source No.",$D2509,"Equipment Code",$L2509,"due date",F$8)/-12</t>
  </si>
  <si>
    <t>=NL("sum","Production Order","Quantity","Source No.",$D2509,"Equipment Code",$L2509,"due date",G$8)/-12</t>
  </si>
  <si>
    <t>=NL("sum","Production Order","Quantity","Source No.",$D2509,"Equipment Code",$L2509,"due date",H$8)/-12</t>
  </si>
  <si>
    <t>=NL("sum","Production Order","Quantity","Source No.",$D2509,"Equipment Code",$L2509,"due date",I$8)/-12</t>
  </si>
  <si>
    <t>=NL("sum","Production Order","Quantity","Source No.",$D2509,"Equipment Code",$L2509,"due date",J$8)/$J$7</t>
  </si>
  <si>
    <t>=AVERAGE(I2509:J2509)</t>
  </si>
  <si>
    <t>=IF(K2510=0,"hide","")</t>
  </si>
  <si>
    <t>=D2509</t>
  </si>
  <si>
    <t>=NL("sum","Production Order","Quantity","Source No.",$D2510,"Equipment Code",$L2510,"due date",F$8)/-12</t>
  </si>
  <si>
    <t>=NL("sum","Production Order","Quantity","Source No.",$D2510,"Equipment Code",$L2510,"due date",G$8)/-12</t>
  </si>
  <si>
    <t>=NL("sum","Production Order","Quantity","Source No.",$D2510,"Equipment Code",$L2510,"due date",H$8)/-12</t>
  </si>
  <si>
    <t>=NL("sum","Production Order","Quantity","Source No.",$D2510,"Equipment Code",$L2510,"due date",I$8)/-12</t>
  </si>
  <si>
    <t>=NL("sum","Production Order","Quantity","Source No.",$D2510,"Equipment Code",$L2510,"due date",J$8)/$J$7</t>
  </si>
  <si>
    <t>=AVERAGE(I2510:J2510)</t>
  </si>
  <si>
    <t>=IF(K2511=0,"hide","")</t>
  </si>
  <si>
    <t>=D2510</t>
  </si>
  <si>
    <t>=NL("sum","Production Order","Quantity","Source No.",$D2511,"Equipment Code",$L2511,"due date",F$8)/-12</t>
  </si>
  <si>
    <t>=NL("sum","Production Order","Quantity","Source No.",$D2511,"Equipment Code",$L2511,"due date",G$8)/-12</t>
  </si>
  <si>
    <t>=NL("sum","Production Order","Quantity","Source No.",$D2511,"Equipment Code",$L2511,"due date",H$8)/-12</t>
  </si>
  <si>
    <t>=NL("sum","Production Order","Quantity","Source No.",$D2511,"Equipment Code",$L2511,"due date",I$8)/-12</t>
  </si>
  <si>
    <t>=NL("sum","Production Order","Quantity","Source No.",$D2511,"Equipment Code",$L2511,"due date",J$8)/$J$7</t>
  </si>
  <si>
    <t>=AVERAGE(I2511:J2511)</t>
  </si>
  <si>
    <t>=B2508</t>
  </si>
  <si>
    <t>=B2512</t>
  </si>
  <si>
    <t>=SUM(F2508:F2512)</t>
  </si>
  <si>
    <t>=SUM(G2508:G2512)</t>
  </si>
  <si>
    <t>=SUM(H2508:H2512)</t>
  </si>
  <si>
    <t>=SUM(I2508:I2512)</t>
  </si>
  <si>
    <t>=SUM(J2508:J2512)</t>
  </si>
  <si>
    <t>=IF(K2514=0,"hide","")</t>
  </si>
  <si>
    <t>="32205"</t>
  </si>
  <si>
    <t>=NL("rows","Production BOM Version","Version Code","Production BOM No.",D2514,"status","certified")</t>
  </si>
  <si>
    <t>=NL("sum","Item Ledger Entry","Quantity","Item No.",$D2514,"Entry Type","Sale|Consumption","posting date","01/01/19..12/31/19")/-12</t>
  </si>
  <si>
    <t>=NL("sum","Item Ledger Entry","Quantity","Item No.",$D2514,"Entry Type","Sale|Consumption","posting date","01/01/20..12/31/20")/-12</t>
  </si>
  <si>
    <t>=NL("sum","Item Ledger Entry","Quantity","Item No.",$D2514,"Entry Type","Sale|Consumption","posting date","01/01/21..12/31/21")/-12</t>
  </si>
  <si>
    <t>=NL("sum","Item Ledger Entry","Quantity","Item No.",$D2514,"Entry Type","Sale|Consumption","posting date","01/01/22..12/31/22")/-12</t>
  </si>
  <si>
    <t>=NL("sum","Item Ledger Entry","Quantity","Item No.",$D2514,"Entry Type","Sale|Consumption","posting date","01/01/23..12/31/23")/$J$7</t>
  </si>
  <si>
    <t>=AVERAGE(I2514:J2514)</t>
  </si>
  <si>
    <t>=NL(1,"item",L$9,"no.",D2514)</t>
  </si>
  <si>
    <t>=NL(1,"item",M$9,"no.",$D2514)</t>
  </si>
  <si>
    <t>=NL(1,"item","Units Per Parcel","no.",$D2514)</t>
  </si>
  <si>
    <t>=NL(1,"Prod. BOM Equipment","Fixed Prod. Time (Hours)","Production BOM No.",$D2514,"version code",$E2514,"Resource No.",O$9)</t>
  </si>
  <si>
    <t>=1/O2514</t>
  </si>
  <si>
    <t>=IF(NL(1,"Prod. BOM Equipment","Variable Prod. Time (Hours)","Production BOM No.",$D2514,"version code",$E2514,"Resource No.",$O$9)="",1,NL(1,"Prod. BOM Equipment","Variable Prod. Time (Hours)","Production BOM No.",$D2514,"version code",$E2514,"Resource No.",$O$9))</t>
  </si>
  <si>
    <t>=1/Q2514</t>
  </si>
  <si>
    <t>=R2514*N2514</t>
  </si>
  <si>
    <t>=IF(K2515=0,"hide","")</t>
  </si>
  <si>
    <t>=D2514</t>
  </si>
  <si>
    <t>=NL("sum","Production Order","Quantity","Source No.",$D2515,"Equipment Code",$L2515,"due date",F$8)/-12</t>
  </si>
  <si>
    <t>=NL("sum","Production Order","Quantity","Source No.",$D2515,"Equipment Code",$L2515,"due date",G$8)/-12</t>
  </si>
  <si>
    <t>=NL("sum","Production Order","Quantity","Source No.",$D2515,"Equipment Code",$L2515,"due date",H$8)/-12</t>
  </si>
  <si>
    <t>=NL("sum","Production Order","Quantity","Source No.",$D2515,"Equipment Code",$L2515,"due date",I$8)/-12</t>
  </si>
  <si>
    <t>=NL("sum","Production Order","Quantity","Source No.",$D2515,"Equipment Code",$L2515,"due date",J$8)/$J$7</t>
  </si>
  <si>
    <t>=AVERAGE(I2515:J2515)</t>
  </si>
  <si>
    <t>=IF(K2516=0,"hide","")</t>
  </si>
  <si>
    <t>=D2515</t>
  </si>
  <si>
    <t>=NL("sum","Production Order","Quantity","Source No.",$D2516,"Equipment Code",$L2516,"due date",F$8)/-12</t>
  </si>
  <si>
    <t>=NL("sum","Production Order","Quantity","Source No.",$D2516,"Equipment Code",$L2516,"due date",G$8)/-12</t>
  </si>
  <si>
    <t>=NL("sum","Production Order","Quantity","Source No.",$D2516,"Equipment Code",$L2516,"due date",H$8)/-12</t>
  </si>
  <si>
    <t>=NL("sum","Production Order","Quantity","Source No.",$D2516,"Equipment Code",$L2516,"due date",I$8)/-12</t>
  </si>
  <si>
    <t>=NL("sum","Production Order","Quantity","Source No.",$D2516,"Equipment Code",$L2516,"due date",J$8)/$J$7</t>
  </si>
  <si>
    <t>=AVERAGE(I2516:J2516)</t>
  </si>
  <si>
    <t>=IF(K2517=0,"hide","")</t>
  </si>
  <si>
    <t>=D2516</t>
  </si>
  <si>
    <t>=NL("sum","Production Order","Quantity","Source No.",$D2517,"Equipment Code",$L2517,"due date",F$8)/-12</t>
  </si>
  <si>
    <t>=NL("sum","Production Order","Quantity","Source No.",$D2517,"Equipment Code",$L2517,"due date",G$8)/-12</t>
  </si>
  <si>
    <t>=NL("sum","Production Order","Quantity","Source No.",$D2517,"Equipment Code",$L2517,"due date",H$8)/-12</t>
  </si>
  <si>
    <t>=NL("sum","Production Order","Quantity","Source No.",$D2517,"Equipment Code",$L2517,"due date",I$8)/-12</t>
  </si>
  <si>
    <t>=NL("sum","Production Order","Quantity","Source No.",$D2517,"Equipment Code",$L2517,"due date",J$8)/$J$7</t>
  </si>
  <si>
    <t>=AVERAGE(I2517:J2517)</t>
  </si>
  <si>
    <t>=IF(K2518=0,"hide","")</t>
  </si>
  <si>
    <t>=D2517</t>
  </si>
  <si>
    <t>=NL("sum","Production Order","Quantity","Source No.",$D2518,"Equipment Code",$L2518,"due date",F$8)/-12</t>
  </si>
  <si>
    <t>=NL("sum","Production Order","Quantity","Source No.",$D2518,"Equipment Code",$L2518,"due date",G$8)/-12</t>
  </si>
  <si>
    <t>=NL("sum","Production Order","Quantity","Source No.",$D2518,"Equipment Code",$L2518,"due date",H$8)/-12</t>
  </si>
  <si>
    <t>=NL("sum","Production Order","Quantity","Source No.",$D2518,"Equipment Code",$L2518,"due date",I$8)/-12</t>
  </si>
  <si>
    <t>=NL("sum","Production Order","Quantity","Source No.",$D2518,"Equipment Code",$L2518,"due date",J$8)/$J$7</t>
  </si>
  <si>
    <t>=AVERAGE(I2518:J2518)</t>
  </si>
  <si>
    <t>=B2515</t>
  </si>
  <si>
    <t>=B2519</t>
  </si>
  <si>
    <t>=SUM(F2515:F2519)</t>
  </si>
  <si>
    <t>=SUM(G2515:G2519)</t>
  </si>
  <si>
    <t>=SUM(H2515:H2519)</t>
  </si>
  <si>
    <t>=SUM(I2515:I2519)</t>
  </si>
  <si>
    <t>=SUM(J2515:J2519)</t>
  </si>
  <si>
    <t>=IF(K2521=0,"hide","")</t>
  </si>
  <si>
    <t>="32405"</t>
  </si>
  <si>
    <t>=NL("rows","Production BOM Version","Version Code","Production BOM No.",D2521,"status","certified")</t>
  </si>
  <si>
    <t>=NL("sum","Item Ledger Entry","Quantity","Item No.",$D2521,"Entry Type","Sale|Consumption","posting date","01/01/19..12/31/19")/-12</t>
  </si>
  <si>
    <t>=NL("sum","Item Ledger Entry","Quantity","Item No.",$D2521,"Entry Type","Sale|Consumption","posting date","01/01/20..12/31/20")/-12</t>
  </si>
  <si>
    <t>=NL("sum","Item Ledger Entry","Quantity","Item No.",$D2521,"Entry Type","Sale|Consumption","posting date","01/01/21..12/31/21")/-12</t>
  </si>
  <si>
    <t>=NL("sum","Item Ledger Entry","Quantity","Item No.",$D2521,"Entry Type","Sale|Consumption","posting date","01/01/22..12/31/22")/-12</t>
  </si>
  <si>
    <t>=NL("sum","Item Ledger Entry","Quantity","Item No.",$D2521,"Entry Type","Sale|Consumption","posting date","01/01/23..12/31/23")/$J$7</t>
  </si>
  <si>
    <t>=AVERAGE(I2521:J2521)</t>
  </si>
  <si>
    <t>=NL(1,"item",L$9,"no.",D2521)</t>
  </si>
  <si>
    <t>=NL(1,"item",M$9,"no.",$D2521)</t>
  </si>
  <si>
    <t>=NL(1,"item","Units Per Parcel","no.",$D2521)</t>
  </si>
  <si>
    <t>=NL(1,"Prod. BOM Equipment","Fixed Prod. Time (Hours)","Production BOM No.",$D2521,"version code",$E2521,"Resource No.",O$9)</t>
  </si>
  <si>
    <t>=1/O2521</t>
  </si>
  <si>
    <t>=IF(NL(1,"Prod. BOM Equipment","Variable Prod. Time (Hours)","Production BOM No.",$D2521,"version code",$E2521,"Resource No.",$O$9)="",1,NL(1,"Prod. BOM Equipment","Variable Prod. Time (Hours)","Production BOM No.",$D2521,"version code",$E2521,"Resource No.",$O$9))</t>
  </si>
  <si>
    <t>=1/Q2521</t>
  </si>
  <si>
    <t>=R2521*N2521</t>
  </si>
  <si>
    <t>=IF(K2522=0,"hide","")</t>
  </si>
  <si>
    <t>=D2521</t>
  </si>
  <si>
    <t>=NL("sum","Production Order","Quantity","Source No.",$D2522,"Equipment Code",$L2522,"due date",F$8)/-12</t>
  </si>
  <si>
    <t>=NL("sum","Production Order","Quantity","Source No.",$D2522,"Equipment Code",$L2522,"due date",G$8)/-12</t>
  </si>
  <si>
    <t>=NL("sum","Production Order","Quantity","Source No.",$D2522,"Equipment Code",$L2522,"due date",H$8)/-12</t>
  </si>
  <si>
    <t>=NL("sum","Production Order","Quantity","Source No.",$D2522,"Equipment Code",$L2522,"due date",I$8)/-12</t>
  </si>
  <si>
    <t>=NL("sum","Production Order","Quantity","Source No.",$D2522,"Equipment Code",$L2522,"due date",J$8)/$J$7</t>
  </si>
  <si>
    <t>=AVERAGE(I2522:J2522)</t>
  </si>
  <si>
    <t>=IF(K2523=0,"hide","")</t>
  </si>
  <si>
    <t>=D2522</t>
  </si>
  <si>
    <t>=NL("sum","Production Order","Quantity","Source No.",$D2523,"Equipment Code",$L2523,"due date",F$8)/-12</t>
  </si>
  <si>
    <t>=NL("sum","Production Order","Quantity","Source No.",$D2523,"Equipment Code",$L2523,"due date",G$8)/-12</t>
  </si>
  <si>
    <t>=NL("sum","Production Order","Quantity","Source No.",$D2523,"Equipment Code",$L2523,"due date",H$8)/-12</t>
  </si>
  <si>
    <t>=NL("sum","Production Order","Quantity","Source No.",$D2523,"Equipment Code",$L2523,"due date",I$8)/-12</t>
  </si>
  <si>
    <t>=NL("sum","Production Order","Quantity","Source No.",$D2523,"Equipment Code",$L2523,"due date",J$8)/$J$7</t>
  </si>
  <si>
    <t>=AVERAGE(I2523:J2523)</t>
  </si>
  <si>
    <t>=IF(K2524=0,"hide","")</t>
  </si>
  <si>
    <t>=D2523</t>
  </si>
  <si>
    <t>=NL("sum","Production Order","Quantity","Source No.",$D2524,"Equipment Code",$L2524,"due date",F$8)/-12</t>
  </si>
  <si>
    <t>=NL("sum","Production Order","Quantity","Source No.",$D2524,"Equipment Code",$L2524,"due date",G$8)/-12</t>
  </si>
  <si>
    <t>=NL("sum","Production Order","Quantity","Source No.",$D2524,"Equipment Code",$L2524,"due date",H$8)/-12</t>
  </si>
  <si>
    <t>=NL("sum","Production Order","Quantity","Source No.",$D2524,"Equipment Code",$L2524,"due date",I$8)/-12</t>
  </si>
  <si>
    <t>=NL("sum","Production Order","Quantity","Source No.",$D2524,"Equipment Code",$L2524,"due date",J$8)/$J$7</t>
  </si>
  <si>
    <t>=AVERAGE(I2524:J2524)</t>
  </si>
  <si>
    <t>=IF(K2525=0,"hide","")</t>
  </si>
  <si>
    <t>=D2524</t>
  </si>
  <si>
    <t>=NL("sum","Production Order","Quantity","Source No.",$D2525,"Equipment Code",$L2525,"due date",F$8)/-12</t>
  </si>
  <si>
    <t>=NL("sum","Production Order","Quantity","Source No.",$D2525,"Equipment Code",$L2525,"due date",G$8)/-12</t>
  </si>
  <si>
    <t>=NL("sum","Production Order","Quantity","Source No.",$D2525,"Equipment Code",$L2525,"due date",H$8)/-12</t>
  </si>
  <si>
    <t>=NL("sum","Production Order","Quantity","Source No.",$D2525,"Equipment Code",$L2525,"due date",I$8)/-12</t>
  </si>
  <si>
    <t>=NL("sum","Production Order","Quantity","Source No.",$D2525,"Equipment Code",$L2525,"due date",J$8)/$J$7</t>
  </si>
  <si>
    <t>=AVERAGE(I2525:J2525)</t>
  </si>
  <si>
    <t>=B2522</t>
  </si>
  <si>
    <t>=B2526</t>
  </si>
  <si>
    <t>=SUM(F2522:F2526)</t>
  </si>
  <si>
    <t>=SUM(G2522:G2526)</t>
  </si>
  <si>
    <t>=SUM(H2522:H2526)</t>
  </si>
  <si>
    <t>=SUM(I2522:I2526)</t>
  </si>
  <si>
    <t>=SUM(J2522:J2526)</t>
  </si>
  <si>
    <t>=IF(K2528=0,"hide","")</t>
  </si>
  <si>
    <t>="32430"</t>
  </si>
  <si>
    <t>=NL("rows","Production BOM Version","Version Code","Production BOM No.",D2528,"status","certified")</t>
  </si>
  <si>
    <t>=NL("sum","Item Ledger Entry","Quantity","Item No.",$D2528,"Entry Type","Sale|Consumption","posting date","01/01/19..12/31/19")/-12</t>
  </si>
  <si>
    <t>=NL("sum","Item Ledger Entry","Quantity","Item No.",$D2528,"Entry Type","Sale|Consumption","posting date","01/01/20..12/31/20")/-12</t>
  </si>
  <si>
    <t>=NL("sum","Item Ledger Entry","Quantity","Item No.",$D2528,"Entry Type","Sale|Consumption","posting date","01/01/21..12/31/21")/-12</t>
  </si>
  <si>
    <t>=NL("sum","Item Ledger Entry","Quantity","Item No.",$D2528,"Entry Type","Sale|Consumption","posting date","01/01/22..12/31/22")/-12</t>
  </si>
  <si>
    <t>=NL("sum","Item Ledger Entry","Quantity","Item No.",$D2528,"Entry Type","Sale|Consumption","posting date","01/01/23..12/31/23")/$J$7</t>
  </si>
  <si>
    <t>=AVERAGE(I2528:J2528)</t>
  </si>
  <si>
    <t>=NL(1,"item",L$9,"no.",D2528)</t>
  </si>
  <si>
    <t>=NL(1,"item",M$9,"no.",$D2528)</t>
  </si>
  <si>
    <t>=NL(1,"item","Units Per Parcel","no.",$D2528)</t>
  </si>
  <si>
    <t>=NL(1,"Prod. BOM Equipment","Fixed Prod. Time (Hours)","Production BOM No.",$D2528,"version code",$E2528,"Resource No.",O$9)</t>
  </si>
  <si>
    <t>=1/O2528</t>
  </si>
  <si>
    <t>=IF(NL(1,"Prod. BOM Equipment","Variable Prod. Time (Hours)","Production BOM No.",$D2528,"version code",$E2528,"Resource No.",$O$9)="",1,NL(1,"Prod. BOM Equipment","Variable Prod. Time (Hours)","Production BOM No.",$D2528,"version code",$E2528,"Resource No.",$O$9))</t>
  </si>
  <si>
    <t>=1/Q2528</t>
  </si>
  <si>
    <t>=R2528*N2528</t>
  </si>
  <si>
    <t>=IF(K2529=0,"hide","")</t>
  </si>
  <si>
    <t>=D2528</t>
  </si>
  <si>
    <t>=NL("sum","Production Order","Quantity","Source No.",$D2529,"Equipment Code",$L2529,"due date",F$8)/-12</t>
  </si>
  <si>
    <t>=NL("sum","Production Order","Quantity","Source No.",$D2529,"Equipment Code",$L2529,"due date",G$8)/-12</t>
  </si>
  <si>
    <t>=NL("sum","Production Order","Quantity","Source No.",$D2529,"Equipment Code",$L2529,"due date",H$8)/-12</t>
  </si>
  <si>
    <t>=NL("sum","Production Order","Quantity","Source No.",$D2529,"Equipment Code",$L2529,"due date",I$8)/-12</t>
  </si>
  <si>
    <t>=NL("sum","Production Order","Quantity","Source No.",$D2529,"Equipment Code",$L2529,"due date",J$8)/$J$7</t>
  </si>
  <si>
    <t>=AVERAGE(I2529:J2529)</t>
  </si>
  <si>
    <t>=IF(K2530=0,"hide","")</t>
  </si>
  <si>
    <t>=D2529</t>
  </si>
  <si>
    <t>=NL("sum","Production Order","Quantity","Source No.",$D2530,"Equipment Code",$L2530,"due date",F$8)/-12</t>
  </si>
  <si>
    <t>=NL("sum","Production Order","Quantity","Source No.",$D2530,"Equipment Code",$L2530,"due date",G$8)/-12</t>
  </si>
  <si>
    <t>=NL("sum","Production Order","Quantity","Source No.",$D2530,"Equipment Code",$L2530,"due date",H$8)/-12</t>
  </si>
  <si>
    <t>=NL("sum","Production Order","Quantity","Source No.",$D2530,"Equipment Code",$L2530,"due date",I$8)/-12</t>
  </si>
  <si>
    <t>=NL("sum","Production Order","Quantity","Source No.",$D2530,"Equipment Code",$L2530,"due date",J$8)/$J$7</t>
  </si>
  <si>
    <t>=AVERAGE(I2530:J2530)</t>
  </si>
  <si>
    <t>=IF(K2531=0,"hide","")</t>
  </si>
  <si>
    <t>=D2530</t>
  </si>
  <si>
    <t>=NL("sum","Production Order","Quantity","Source No.",$D2531,"Equipment Code",$L2531,"due date",F$8)/-12</t>
  </si>
  <si>
    <t>=NL("sum","Production Order","Quantity","Source No.",$D2531,"Equipment Code",$L2531,"due date",G$8)/-12</t>
  </si>
  <si>
    <t>=NL("sum","Production Order","Quantity","Source No.",$D2531,"Equipment Code",$L2531,"due date",H$8)/-12</t>
  </si>
  <si>
    <t>=NL("sum","Production Order","Quantity","Source No.",$D2531,"Equipment Code",$L2531,"due date",I$8)/-12</t>
  </si>
  <si>
    <t>=NL("sum","Production Order","Quantity","Source No.",$D2531,"Equipment Code",$L2531,"due date",J$8)/$J$7</t>
  </si>
  <si>
    <t>=AVERAGE(I2531:J2531)</t>
  </si>
  <si>
    <t>=IF(K2532=0,"hide","")</t>
  </si>
  <si>
    <t>=D2531</t>
  </si>
  <si>
    <t>=NL("sum","Production Order","Quantity","Source No.",$D2532,"Equipment Code",$L2532,"due date",F$8)/-12</t>
  </si>
  <si>
    <t>=NL("sum","Production Order","Quantity","Source No.",$D2532,"Equipment Code",$L2532,"due date",G$8)/-12</t>
  </si>
  <si>
    <t>=NL("sum","Production Order","Quantity","Source No.",$D2532,"Equipment Code",$L2532,"due date",H$8)/-12</t>
  </si>
  <si>
    <t>=NL("sum","Production Order","Quantity","Source No.",$D2532,"Equipment Code",$L2532,"due date",I$8)/-12</t>
  </si>
  <si>
    <t>=NL("sum","Production Order","Quantity","Source No.",$D2532,"Equipment Code",$L2532,"due date",J$8)/$J$7</t>
  </si>
  <si>
    <t>=AVERAGE(I2532:J2532)</t>
  </si>
  <si>
    <t>=B2529</t>
  </si>
  <si>
    <t>=B2533</t>
  </si>
  <si>
    <t>=SUM(F2529:F2533)</t>
  </si>
  <si>
    <t>=SUM(G2529:G2533)</t>
  </si>
  <si>
    <t>=SUM(H2529:H2533)</t>
  </si>
  <si>
    <t>=SUM(I2529:I2533)</t>
  </si>
  <si>
    <t>=SUM(J2529:J2533)</t>
  </si>
  <si>
    <t>=IF(K2535=0,"hide","")</t>
  </si>
  <si>
    <t>="32739"</t>
  </si>
  <si>
    <t>=NL("rows","Production BOM Version","Version Code","Production BOM No.",D2535,"status","certified")</t>
  </si>
  <si>
    <t>=NL("sum","Item Ledger Entry","Quantity","Item No.",$D2535,"Entry Type","Sale|Consumption","posting date","01/01/19..12/31/19")/-12</t>
  </si>
  <si>
    <t>=NL("sum","Item Ledger Entry","Quantity","Item No.",$D2535,"Entry Type","Sale|Consumption","posting date","01/01/20..12/31/20")/-12</t>
  </si>
  <si>
    <t>=NL("sum","Item Ledger Entry","Quantity","Item No.",$D2535,"Entry Type","Sale|Consumption","posting date","01/01/21..12/31/21")/-12</t>
  </si>
  <si>
    <t>=NL("sum","Item Ledger Entry","Quantity","Item No.",$D2535,"Entry Type","Sale|Consumption","posting date","01/01/22..12/31/22")/-12</t>
  </si>
  <si>
    <t>=NL("sum","Item Ledger Entry","Quantity","Item No.",$D2535,"Entry Type","Sale|Consumption","posting date","01/01/23..12/31/23")/$J$7</t>
  </si>
  <si>
    <t>=AVERAGE(I2535:J2535)</t>
  </si>
  <si>
    <t>=NL(1,"item",L$9,"no.",D2535)</t>
  </si>
  <si>
    <t>=NL(1,"item",M$9,"no.",$D2535)</t>
  </si>
  <si>
    <t>=NL(1,"item","Units Per Parcel","no.",$D2535)</t>
  </si>
  <si>
    <t>=NL(1,"Prod. BOM Equipment","Fixed Prod. Time (Hours)","Production BOM No.",$D2535,"version code",$E2535,"Resource No.",O$9)</t>
  </si>
  <si>
    <t>=1/O2535</t>
  </si>
  <si>
    <t>=IF(NL(1,"Prod. BOM Equipment","Variable Prod. Time (Hours)","Production BOM No.",$D2535,"version code",$E2535,"Resource No.",$O$9)="",1,NL(1,"Prod. BOM Equipment","Variable Prod. Time (Hours)","Production BOM No.",$D2535,"version code",$E2535,"Resource No.",$O$9))</t>
  </si>
  <si>
    <t>=1/Q2535</t>
  </si>
  <si>
    <t>=R2535*N2535</t>
  </si>
  <si>
    <t>=IF(K2536=0,"hide","")</t>
  </si>
  <si>
    <t>=D2535</t>
  </si>
  <si>
    <t>=NL("sum","Production Order","Quantity","Source No.",$D2536,"Equipment Code",$L2536,"due date",F$8)/-12</t>
  </si>
  <si>
    <t>=NL("sum","Production Order","Quantity","Source No.",$D2536,"Equipment Code",$L2536,"due date",G$8)/-12</t>
  </si>
  <si>
    <t>=NL("sum","Production Order","Quantity","Source No.",$D2536,"Equipment Code",$L2536,"due date",H$8)/-12</t>
  </si>
  <si>
    <t>=NL("sum","Production Order","Quantity","Source No.",$D2536,"Equipment Code",$L2536,"due date",I$8)/-12</t>
  </si>
  <si>
    <t>=NL("sum","Production Order","Quantity","Source No.",$D2536,"Equipment Code",$L2536,"due date",J$8)/$J$7</t>
  </si>
  <si>
    <t>=AVERAGE(I2536:J2536)</t>
  </si>
  <si>
    <t>=IF(K2537=0,"hide","")</t>
  </si>
  <si>
    <t>=D2536</t>
  </si>
  <si>
    <t>=NL("sum","Production Order","Quantity","Source No.",$D2537,"Equipment Code",$L2537,"due date",F$8)/-12</t>
  </si>
  <si>
    <t>=NL("sum","Production Order","Quantity","Source No.",$D2537,"Equipment Code",$L2537,"due date",G$8)/-12</t>
  </si>
  <si>
    <t>=NL("sum","Production Order","Quantity","Source No.",$D2537,"Equipment Code",$L2537,"due date",H$8)/-12</t>
  </si>
  <si>
    <t>=NL("sum","Production Order","Quantity","Source No.",$D2537,"Equipment Code",$L2537,"due date",I$8)/-12</t>
  </si>
  <si>
    <t>=NL("sum","Production Order","Quantity","Source No.",$D2537,"Equipment Code",$L2537,"due date",J$8)/$J$7</t>
  </si>
  <si>
    <t>=AVERAGE(I2537:J2537)</t>
  </si>
  <si>
    <t>=IF(K2538=0,"hide","")</t>
  </si>
  <si>
    <t>=D2537</t>
  </si>
  <si>
    <t>=NL("sum","Production Order","Quantity","Source No.",$D2538,"Equipment Code",$L2538,"due date",F$8)/-12</t>
  </si>
  <si>
    <t>=NL("sum","Production Order","Quantity","Source No.",$D2538,"Equipment Code",$L2538,"due date",G$8)/-12</t>
  </si>
  <si>
    <t>=NL("sum","Production Order","Quantity","Source No.",$D2538,"Equipment Code",$L2538,"due date",H$8)/-12</t>
  </si>
  <si>
    <t>=NL("sum","Production Order","Quantity","Source No.",$D2538,"Equipment Code",$L2538,"due date",I$8)/-12</t>
  </si>
  <si>
    <t>=NL("sum","Production Order","Quantity","Source No.",$D2538,"Equipment Code",$L2538,"due date",J$8)/$J$7</t>
  </si>
  <si>
    <t>=AVERAGE(I2538:J2538)</t>
  </si>
  <si>
    <t>=IF(K2539=0,"hide","")</t>
  </si>
  <si>
    <t>=D2538</t>
  </si>
  <si>
    <t>=NL("sum","Production Order","Quantity","Source No.",$D2539,"Equipment Code",$L2539,"due date",F$8)/-12</t>
  </si>
  <si>
    <t>=NL("sum","Production Order","Quantity","Source No.",$D2539,"Equipment Code",$L2539,"due date",G$8)/-12</t>
  </si>
  <si>
    <t>=NL("sum","Production Order","Quantity","Source No.",$D2539,"Equipment Code",$L2539,"due date",H$8)/-12</t>
  </si>
  <si>
    <t>=NL("sum","Production Order","Quantity","Source No.",$D2539,"Equipment Code",$L2539,"due date",I$8)/-12</t>
  </si>
  <si>
    <t>=NL("sum","Production Order","Quantity","Source No.",$D2539,"Equipment Code",$L2539,"due date",J$8)/$J$7</t>
  </si>
  <si>
    <t>=AVERAGE(I2539:J2539)</t>
  </si>
  <si>
    <t>=B2536</t>
  </si>
  <si>
    <t>=B2540</t>
  </si>
  <si>
    <t>=SUM(F2536:F2540)</t>
  </si>
  <si>
    <t>=SUM(G2536:G2540)</t>
  </si>
  <si>
    <t>=SUM(H2536:H2540)</t>
  </si>
  <si>
    <t>=SUM(I2536:I2540)</t>
  </si>
  <si>
    <t>=SUM(J2536:J2540)</t>
  </si>
  <si>
    <t>=IF(K2542=0,"hide","")</t>
  </si>
  <si>
    <t>=NL("rows","Production BOM Version","Version Code","Production BOM No.",D2542,"status","certified")</t>
  </si>
  <si>
    <t>=NL("sum","Item Ledger Entry","Quantity","Item No.",$D2542,"Entry Type","Sale|Consumption","posting date","01/01/19..12/31/19")/-12</t>
  </si>
  <si>
    <t>=NL("sum","Item Ledger Entry","Quantity","Item No.",$D2542,"Entry Type","Sale|Consumption","posting date","01/01/20..12/31/20")/-12</t>
  </si>
  <si>
    <t>=NL("sum","Item Ledger Entry","Quantity","Item No.",$D2542,"Entry Type","Sale|Consumption","posting date","01/01/21..12/31/21")/-12</t>
  </si>
  <si>
    <t>=NL("sum","Item Ledger Entry","Quantity","Item No.",$D2542,"Entry Type","Sale|Consumption","posting date","01/01/22..12/31/22")/-12</t>
  </si>
  <si>
    <t>=NL("sum","Item Ledger Entry","Quantity","Item No.",$D2542,"Entry Type","Sale|Consumption","posting date","01/01/23..12/31/23")/$J$7</t>
  </si>
  <si>
    <t>=AVERAGE(I2542:J2542)</t>
  </si>
  <si>
    <t>=NL(1,"item",L$9,"no.",D2542)</t>
  </si>
  <si>
    <t>=NL(1,"item",M$9,"no.",$D2542)</t>
  </si>
  <si>
    <t>=NL(1,"item","Units Per Parcel","no.",$D2542)</t>
  </si>
  <si>
    <t>=NL(1,"Prod. BOM Equipment","Fixed Prod. Time (Hours)","Production BOM No.",$D2542,"version code",$E2542,"Resource No.",O$9)</t>
  </si>
  <si>
    <t>=1/O2542</t>
  </si>
  <si>
    <t>=IF(NL(1,"Prod. BOM Equipment","Variable Prod. Time (Hours)","Production BOM No.",$D2542,"version code",$E2542,"Resource No.",$O$9)="",1,NL(1,"Prod. BOM Equipment","Variable Prod. Time (Hours)","Production BOM No.",$D2542,"version code",$E2542,"Resource No.",$O$9))</t>
  </si>
  <si>
    <t>=1/Q2542</t>
  </si>
  <si>
    <t>=R2542*N2542</t>
  </si>
  <si>
    <t>=IF(K2543=0,"hide","")</t>
  </si>
  <si>
    <t>=D2542</t>
  </si>
  <si>
    <t>=NL("sum","Production Order","Quantity","Source No.",$D2543,"Equipment Code",$L2543,"due date",F$8)/-12</t>
  </si>
  <si>
    <t>=NL("sum","Production Order","Quantity","Source No.",$D2543,"Equipment Code",$L2543,"due date",G$8)/-12</t>
  </si>
  <si>
    <t>=NL("sum","Production Order","Quantity","Source No.",$D2543,"Equipment Code",$L2543,"due date",H$8)/-12</t>
  </si>
  <si>
    <t>=NL("sum","Production Order","Quantity","Source No.",$D2543,"Equipment Code",$L2543,"due date",I$8)/-12</t>
  </si>
  <si>
    <t>=NL("sum","Production Order","Quantity","Source No.",$D2543,"Equipment Code",$L2543,"due date",J$8)/$J$7</t>
  </si>
  <si>
    <t>=AVERAGE(I2543:J2543)</t>
  </si>
  <si>
    <t>=IF(K2544=0,"hide","")</t>
  </si>
  <si>
    <t>=D2543</t>
  </si>
  <si>
    <t>=NL("sum","Production Order","Quantity","Source No.",$D2544,"Equipment Code",$L2544,"due date",F$8)/-12</t>
  </si>
  <si>
    <t>=NL("sum","Production Order","Quantity","Source No.",$D2544,"Equipment Code",$L2544,"due date",G$8)/-12</t>
  </si>
  <si>
    <t>=NL("sum","Production Order","Quantity","Source No.",$D2544,"Equipment Code",$L2544,"due date",H$8)/-12</t>
  </si>
  <si>
    <t>=NL("sum","Production Order","Quantity","Source No.",$D2544,"Equipment Code",$L2544,"due date",I$8)/-12</t>
  </si>
  <si>
    <t>=NL("sum","Production Order","Quantity","Source No.",$D2544,"Equipment Code",$L2544,"due date",J$8)/$J$7</t>
  </si>
  <si>
    <t>=AVERAGE(I2544:J2544)</t>
  </si>
  <si>
    <t>=IF(K2545=0,"hide","")</t>
  </si>
  <si>
    <t>=D2544</t>
  </si>
  <si>
    <t>=NL("sum","Production Order","Quantity","Source No.",$D2545,"Equipment Code",$L2545,"due date",F$8)/-12</t>
  </si>
  <si>
    <t>=NL("sum","Production Order","Quantity","Source No.",$D2545,"Equipment Code",$L2545,"due date",G$8)/-12</t>
  </si>
  <si>
    <t>=NL("sum","Production Order","Quantity","Source No.",$D2545,"Equipment Code",$L2545,"due date",H$8)/-12</t>
  </si>
  <si>
    <t>=NL("sum","Production Order","Quantity","Source No.",$D2545,"Equipment Code",$L2545,"due date",I$8)/-12</t>
  </si>
  <si>
    <t>=NL("sum","Production Order","Quantity","Source No.",$D2545,"Equipment Code",$L2545,"due date",J$8)/$J$7</t>
  </si>
  <si>
    <t>=AVERAGE(I2545:J2545)</t>
  </si>
  <si>
    <t>=IF(K2546=0,"hide","")</t>
  </si>
  <si>
    <t>=D2545</t>
  </si>
  <si>
    <t>=NL("sum","Production Order","Quantity","Source No.",$D2546,"Equipment Code",$L2546,"due date",F$8)/-12</t>
  </si>
  <si>
    <t>=NL("sum","Production Order","Quantity","Source No.",$D2546,"Equipment Code",$L2546,"due date",G$8)/-12</t>
  </si>
  <si>
    <t>=NL("sum","Production Order","Quantity","Source No.",$D2546,"Equipment Code",$L2546,"due date",H$8)/-12</t>
  </si>
  <si>
    <t>=NL("sum","Production Order","Quantity","Source No.",$D2546,"Equipment Code",$L2546,"due date",I$8)/-12</t>
  </si>
  <si>
    <t>=NL("sum","Production Order","Quantity","Source No.",$D2546,"Equipment Code",$L2546,"due date",J$8)/$J$7</t>
  </si>
  <si>
    <t>=AVERAGE(I2546:J2546)</t>
  </si>
  <si>
    <t>=B2543</t>
  </si>
  <si>
    <t>=B2547</t>
  </si>
  <si>
    <t>=SUM(F2543:F2547)</t>
  </si>
  <si>
    <t>=SUM(G2543:G2547)</t>
  </si>
  <si>
    <t>=SUM(H2543:H2547)</t>
  </si>
  <si>
    <t>=SUM(I2543:I2547)</t>
  </si>
  <si>
    <t>=SUM(J2543:J2547)</t>
  </si>
  <si>
    <t>=IF(K2549=0,"hide","")</t>
  </si>
  <si>
    <t>="33505"</t>
  </si>
  <si>
    <t>=NL("rows","Production BOM Version","Version Code","Production BOM No.",D2549,"status","certified")</t>
  </si>
  <si>
    <t>=NL("sum","Item Ledger Entry","Quantity","Item No.",$D2549,"Entry Type","Sale|Consumption","posting date","01/01/19..12/31/19")/-12</t>
  </si>
  <si>
    <t>=NL("sum","Item Ledger Entry","Quantity","Item No.",$D2549,"Entry Type","Sale|Consumption","posting date","01/01/20..12/31/20")/-12</t>
  </si>
  <si>
    <t>=NL("sum","Item Ledger Entry","Quantity","Item No.",$D2549,"Entry Type","Sale|Consumption","posting date","01/01/21..12/31/21")/-12</t>
  </si>
  <si>
    <t>=NL("sum","Item Ledger Entry","Quantity","Item No.",$D2549,"Entry Type","Sale|Consumption","posting date","01/01/22..12/31/22")/-12</t>
  </si>
  <si>
    <t>=NL("sum","Item Ledger Entry","Quantity","Item No.",$D2549,"Entry Type","Sale|Consumption","posting date","01/01/23..12/31/23")/$J$7</t>
  </si>
  <si>
    <t>=AVERAGE(I2549:J2549)</t>
  </si>
  <si>
    <t>=NL(1,"item",L$9,"no.",D2549)</t>
  </si>
  <si>
    <t>=NL(1,"item",M$9,"no.",$D2549)</t>
  </si>
  <si>
    <t>=NL(1,"item","Units Per Parcel","no.",$D2549)</t>
  </si>
  <si>
    <t>=NL(1,"Prod. BOM Equipment","Fixed Prod. Time (Hours)","Production BOM No.",$D2549,"version code",$E2549,"Resource No.",O$9)</t>
  </si>
  <si>
    <t>=1/O2549</t>
  </si>
  <si>
    <t>=IF(NL(1,"Prod. BOM Equipment","Variable Prod. Time (Hours)","Production BOM No.",$D2549,"version code",$E2549,"Resource No.",$O$9)="",1,NL(1,"Prod. BOM Equipment","Variable Prod. Time (Hours)","Production BOM No.",$D2549,"version code",$E2549,"Resource No.",$O$9))</t>
  </si>
  <si>
    <t>=1/Q2549</t>
  </si>
  <si>
    <t>=R2549*N2549</t>
  </si>
  <si>
    <t>=IF(K2550=0,"hide","")</t>
  </si>
  <si>
    <t>=D2549</t>
  </si>
  <si>
    <t>=NL("sum","Production Order","Quantity","Source No.",$D2550,"Equipment Code",$L2550,"due date",F$8)/-12</t>
  </si>
  <si>
    <t>=NL("sum","Production Order","Quantity","Source No.",$D2550,"Equipment Code",$L2550,"due date",G$8)/-12</t>
  </si>
  <si>
    <t>=NL("sum","Production Order","Quantity","Source No.",$D2550,"Equipment Code",$L2550,"due date",H$8)/-12</t>
  </si>
  <si>
    <t>=NL("sum","Production Order","Quantity","Source No.",$D2550,"Equipment Code",$L2550,"due date",I$8)/-12</t>
  </si>
  <si>
    <t>=NL("sum","Production Order","Quantity","Source No.",$D2550,"Equipment Code",$L2550,"due date",J$8)/$J$7</t>
  </si>
  <si>
    <t>=AVERAGE(I2550:J2550)</t>
  </si>
  <si>
    <t>=IF(K2551=0,"hide","")</t>
  </si>
  <si>
    <t>=D2550</t>
  </si>
  <si>
    <t>=NL("sum","Production Order","Quantity","Source No.",$D2551,"Equipment Code",$L2551,"due date",F$8)/-12</t>
  </si>
  <si>
    <t>=NL("sum","Production Order","Quantity","Source No.",$D2551,"Equipment Code",$L2551,"due date",G$8)/-12</t>
  </si>
  <si>
    <t>=NL("sum","Production Order","Quantity","Source No.",$D2551,"Equipment Code",$L2551,"due date",H$8)/-12</t>
  </si>
  <si>
    <t>=NL("sum","Production Order","Quantity","Source No.",$D2551,"Equipment Code",$L2551,"due date",I$8)/-12</t>
  </si>
  <si>
    <t>=NL("sum","Production Order","Quantity","Source No.",$D2551,"Equipment Code",$L2551,"due date",J$8)/$J$7</t>
  </si>
  <si>
    <t>=AVERAGE(I2551:J2551)</t>
  </si>
  <si>
    <t>=IF(K2552=0,"hide","")</t>
  </si>
  <si>
    <t>=D2551</t>
  </si>
  <si>
    <t>=NL("sum","Production Order","Quantity","Source No.",$D2552,"Equipment Code",$L2552,"due date",F$8)/-12</t>
  </si>
  <si>
    <t>=NL("sum","Production Order","Quantity","Source No.",$D2552,"Equipment Code",$L2552,"due date",G$8)/-12</t>
  </si>
  <si>
    <t>=NL("sum","Production Order","Quantity","Source No.",$D2552,"Equipment Code",$L2552,"due date",H$8)/-12</t>
  </si>
  <si>
    <t>=NL("sum","Production Order","Quantity","Source No.",$D2552,"Equipment Code",$L2552,"due date",I$8)/-12</t>
  </si>
  <si>
    <t>=NL("sum","Production Order","Quantity","Source No.",$D2552,"Equipment Code",$L2552,"due date",J$8)/$J$7</t>
  </si>
  <si>
    <t>=AVERAGE(I2552:J2552)</t>
  </si>
  <si>
    <t>=IF(K2553=0,"hide","")</t>
  </si>
  <si>
    <t>=D2552</t>
  </si>
  <si>
    <t>=NL("sum","Production Order","Quantity","Source No.",$D2553,"Equipment Code",$L2553,"due date",F$8)/-12</t>
  </si>
  <si>
    <t>=NL("sum","Production Order","Quantity","Source No.",$D2553,"Equipment Code",$L2553,"due date",G$8)/-12</t>
  </si>
  <si>
    <t>=NL("sum","Production Order","Quantity","Source No.",$D2553,"Equipment Code",$L2553,"due date",H$8)/-12</t>
  </si>
  <si>
    <t>=NL("sum","Production Order","Quantity","Source No.",$D2553,"Equipment Code",$L2553,"due date",I$8)/-12</t>
  </si>
  <si>
    <t>=NL("sum","Production Order","Quantity","Source No.",$D2553,"Equipment Code",$L2553,"due date",J$8)/$J$7</t>
  </si>
  <si>
    <t>=AVERAGE(I2553:J2553)</t>
  </si>
  <si>
    <t>=B2550</t>
  </si>
  <si>
    <t>=B2554</t>
  </si>
  <si>
    <t>=SUM(F2550:F2554)</t>
  </si>
  <si>
    <t>=SUM(G2550:G2554)</t>
  </si>
  <si>
    <t>=SUM(H2550:H2554)</t>
  </si>
  <si>
    <t>=SUM(I2550:I2554)</t>
  </si>
  <si>
    <t>=SUM(J2550:J2554)</t>
  </si>
  <si>
    <t>=IF(K2556=0,"hide","")</t>
  </si>
  <si>
    <t>="34305"</t>
  </si>
  <si>
    <t>=NL("rows","Production BOM Version","Version Code","Production BOM No.",D2556,"status","certified")</t>
  </si>
  <si>
    <t>=NL("sum","Item Ledger Entry","Quantity","Item No.",$D2556,"Entry Type","Sale|Consumption","posting date","01/01/19..12/31/19")/-12</t>
  </si>
  <si>
    <t>=NL("sum","Item Ledger Entry","Quantity","Item No.",$D2556,"Entry Type","Sale|Consumption","posting date","01/01/20..12/31/20")/-12</t>
  </si>
  <si>
    <t>=NL("sum","Item Ledger Entry","Quantity","Item No.",$D2556,"Entry Type","Sale|Consumption","posting date","01/01/21..12/31/21")/-12</t>
  </si>
  <si>
    <t>=NL("sum","Item Ledger Entry","Quantity","Item No.",$D2556,"Entry Type","Sale|Consumption","posting date","01/01/22..12/31/22")/-12</t>
  </si>
  <si>
    <t>=NL("sum","Item Ledger Entry","Quantity","Item No.",$D2556,"Entry Type","Sale|Consumption","posting date","01/01/23..12/31/23")/$J$7</t>
  </si>
  <si>
    <t>=AVERAGE(I2556:J2556)</t>
  </si>
  <si>
    <t>=NL(1,"item",L$9,"no.",D2556)</t>
  </si>
  <si>
    <t>=NL(1,"item",M$9,"no.",$D2556)</t>
  </si>
  <si>
    <t>=NL(1,"item","Units Per Parcel","no.",$D2556)</t>
  </si>
  <si>
    <t>=NL(1,"Prod. BOM Equipment","Fixed Prod. Time (Hours)","Production BOM No.",$D2556,"version code",$E2556,"Resource No.",O$9)</t>
  </si>
  <si>
    <t>=1/O2556</t>
  </si>
  <si>
    <t>=IF(NL(1,"Prod. BOM Equipment","Variable Prod. Time (Hours)","Production BOM No.",$D2556,"version code",$E2556,"Resource No.",$O$9)="",1,NL(1,"Prod. BOM Equipment","Variable Prod. Time (Hours)","Production BOM No.",$D2556,"version code",$E2556,"Resource No.",$O$9))</t>
  </si>
  <si>
    <t>=1/Q2556</t>
  </si>
  <si>
    <t>=R2556*N2556</t>
  </si>
  <si>
    <t>=IF(K2557=0,"hide","")</t>
  </si>
  <si>
    <t>=D2556</t>
  </si>
  <si>
    <t>=NL("sum","Production Order","Quantity","Source No.",$D2557,"Equipment Code",$L2557,"due date",F$8)/-12</t>
  </si>
  <si>
    <t>=NL("sum","Production Order","Quantity","Source No.",$D2557,"Equipment Code",$L2557,"due date",G$8)/-12</t>
  </si>
  <si>
    <t>=NL("sum","Production Order","Quantity","Source No.",$D2557,"Equipment Code",$L2557,"due date",H$8)/-12</t>
  </si>
  <si>
    <t>=NL("sum","Production Order","Quantity","Source No.",$D2557,"Equipment Code",$L2557,"due date",I$8)/-12</t>
  </si>
  <si>
    <t>=NL("sum","Production Order","Quantity","Source No.",$D2557,"Equipment Code",$L2557,"due date",J$8)/$J$7</t>
  </si>
  <si>
    <t>=AVERAGE(I2557:J2557)</t>
  </si>
  <si>
    <t>=IF(K2558=0,"hide","")</t>
  </si>
  <si>
    <t>=D2557</t>
  </si>
  <si>
    <t>=NL("sum","Production Order","Quantity","Source No.",$D2558,"Equipment Code",$L2558,"due date",F$8)/-12</t>
  </si>
  <si>
    <t>=NL("sum","Production Order","Quantity","Source No.",$D2558,"Equipment Code",$L2558,"due date",G$8)/-12</t>
  </si>
  <si>
    <t>=NL("sum","Production Order","Quantity","Source No.",$D2558,"Equipment Code",$L2558,"due date",H$8)/-12</t>
  </si>
  <si>
    <t>=NL("sum","Production Order","Quantity","Source No.",$D2558,"Equipment Code",$L2558,"due date",I$8)/-12</t>
  </si>
  <si>
    <t>=NL("sum","Production Order","Quantity","Source No.",$D2558,"Equipment Code",$L2558,"due date",J$8)/$J$7</t>
  </si>
  <si>
    <t>=AVERAGE(I2558:J2558)</t>
  </si>
  <si>
    <t>=IF(K2559=0,"hide","")</t>
  </si>
  <si>
    <t>=D2558</t>
  </si>
  <si>
    <t>=NL("sum","Production Order","Quantity","Source No.",$D2559,"Equipment Code",$L2559,"due date",F$8)/-12</t>
  </si>
  <si>
    <t>=NL("sum","Production Order","Quantity","Source No.",$D2559,"Equipment Code",$L2559,"due date",G$8)/-12</t>
  </si>
  <si>
    <t>=NL("sum","Production Order","Quantity","Source No.",$D2559,"Equipment Code",$L2559,"due date",H$8)/-12</t>
  </si>
  <si>
    <t>=NL("sum","Production Order","Quantity","Source No.",$D2559,"Equipment Code",$L2559,"due date",I$8)/-12</t>
  </si>
  <si>
    <t>=NL("sum","Production Order","Quantity","Source No.",$D2559,"Equipment Code",$L2559,"due date",J$8)/$J$7</t>
  </si>
  <si>
    <t>=AVERAGE(I2559:J2559)</t>
  </si>
  <si>
    <t>=IF(K2560=0,"hide","")</t>
  </si>
  <si>
    <t>=D2559</t>
  </si>
  <si>
    <t>=NL("sum","Production Order","Quantity","Source No.",$D2560,"Equipment Code",$L2560,"due date",F$8)/-12</t>
  </si>
  <si>
    <t>=NL("sum","Production Order","Quantity","Source No.",$D2560,"Equipment Code",$L2560,"due date",G$8)/-12</t>
  </si>
  <si>
    <t>=NL("sum","Production Order","Quantity","Source No.",$D2560,"Equipment Code",$L2560,"due date",H$8)/-12</t>
  </si>
  <si>
    <t>=NL("sum","Production Order","Quantity","Source No.",$D2560,"Equipment Code",$L2560,"due date",I$8)/-12</t>
  </si>
  <si>
    <t>=NL("sum","Production Order","Quantity","Source No.",$D2560,"Equipment Code",$L2560,"due date",J$8)/$J$7</t>
  </si>
  <si>
    <t>=AVERAGE(I2560:J2560)</t>
  </si>
  <si>
    <t>=B2557</t>
  </si>
  <si>
    <t>=B2561</t>
  </si>
  <si>
    <t>=SUM(F2557:F2561)</t>
  </si>
  <si>
    <t>=SUM(G2557:G2561)</t>
  </si>
  <si>
    <t>=SUM(H2557:H2561)</t>
  </si>
  <si>
    <t>=SUM(I2557:I2561)</t>
  </si>
  <si>
    <t>=SUM(J2557:J2561)</t>
  </si>
  <si>
    <t>=IF(K2563=0,"hide","")</t>
  </si>
  <si>
    <t>="35405"</t>
  </si>
  <si>
    <t>=NL("rows","Production BOM Version","Version Code","Production BOM No.",D2563,"status","certified")</t>
  </si>
  <si>
    <t>=NL("sum","Item Ledger Entry","Quantity","Item No.",$D2563,"Entry Type","Sale|Consumption","posting date","01/01/19..12/31/19")/-12</t>
  </si>
  <si>
    <t>=NL("sum","Item Ledger Entry","Quantity","Item No.",$D2563,"Entry Type","Sale|Consumption","posting date","01/01/20..12/31/20")/-12</t>
  </si>
  <si>
    <t>=NL("sum","Item Ledger Entry","Quantity","Item No.",$D2563,"Entry Type","Sale|Consumption","posting date","01/01/21..12/31/21")/-12</t>
  </si>
  <si>
    <t>=NL("sum","Item Ledger Entry","Quantity","Item No.",$D2563,"Entry Type","Sale|Consumption","posting date","01/01/22..12/31/22")/-12</t>
  </si>
  <si>
    <t>=NL("sum","Item Ledger Entry","Quantity","Item No.",$D2563,"Entry Type","Sale|Consumption","posting date","01/01/23..12/31/23")/$J$7</t>
  </si>
  <si>
    <t>=AVERAGE(I2563:J2563)</t>
  </si>
  <si>
    <t>=NL(1,"item",L$9,"no.",D2563)</t>
  </si>
  <si>
    <t>=NL(1,"item",M$9,"no.",$D2563)</t>
  </si>
  <si>
    <t>=NL(1,"item","Units Per Parcel","no.",$D2563)</t>
  </si>
  <si>
    <t>=NL(1,"Prod. BOM Equipment","Fixed Prod. Time (Hours)","Production BOM No.",$D2563,"version code",$E2563,"Resource No.",O$9)</t>
  </si>
  <si>
    <t>=1/O2563</t>
  </si>
  <si>
    <t>=IF(NL(1,"Prod. BOM Equipment","Variable Prod. Time (Hours)","Production BOM No.",$D2563,"version code",$E2563,"Resource No.",$O$9)="",1,NL(1,"Prod. BOM Equipment","Variable Prod. Time (Hours)","Production BOM No.",$D2563,"version code",$E2563,"Resource No.",$O$9))</t>
  </si>
  <si>
    <t>=1/Q2563</t>
  </si>
  <si>
    <t>=R2563*N2563</t>
  </si>
  <si>
    <t>=IF(K2564=0,"hide","")</t>
  </si>
  <si>
    <t>=D2563</t>
  </si>
  <si>
    <t>=NL("sum","Production Order","Quantity","Source No.",$D2564,"Equipment Code",$L2564,"due date",F$8)/-12</t>
  </si>
  <si>
    <t>=NL("sum","Production Order","Quantity","Source No.",$D2564,"Equipment Code",$L2564,"due date",G$8)/-12</t>
  </si>
  <si>
    <t>=NL("sum","Production Order","Quantity","Source No.",$D2564,"Equipment Code",$L2564,"due date",H$8)/-12</t>
  </si>
  <si>
    <t>=NL("sum","Production Order","Quantity","Source No.",$D2564,"Equipment Code",$L2564,"due date",I$8)/-12</t>
  </si>
  <si>
    <t>=NL("sum","Production Order","Quantity","Source No.",$D2564,"Equipment Code",$L2564,"due date",J$8)/$J$7</t>
  </si>
  <si>
    <t>=AVERAGE(I2564:J2564)</t>
  </si>
  <si>
    <t>=IF(K2565=0,"hide","")</t>
  </si>
  <si>
    <t>=D2564</t>
  </si>
  <si>
    <t>=NL("sum","Production Order","Quantity","Source No.",$D2565,"Equipment Code",$L2565,"due date",F$8)/-12</t>
  </si>
  <si>
    <t>=NL("sum","Production Order","Quantity","Source No.",$D2565,"Equipment Code",$L2565,"due date",G$8)/-12</t>
  </si>
  <si>
    <t>=NL("sum","Production Order","Quantity","Source No.",$D2565,"Equipment Code",$L2565,"due date",H$8)/-12</t>
  </si>
  <si>
    <t>=NL("sum","Production Order","Quantity","Source No.",$D2565,"Equipment Code",$L2565,"due date",I$8)/-12</t>
  </si>
  <si>
    <t>=NL("sum","Production Order","Quantity","Source No.",$D2565,"Equipment Code",$L2565,"due date",J$8)/$J$7</t>
  </si>
  <si>
    <t>=AVERAGE(I2565:J2565)</t>
  </si>
  <si>
    <t>=IF(K2566=0,"hide","")</t>
  </si>
  <si>
    <t>=D2565</t>
  </si>
  <si>
    <t>=NL("sum","Production Order","Quantity","Source No.",$D2566,"Equipment Code",$L2566,"due date",F$8)/-12</t>
  </si>
  <si>
    <t>=NL("sum","Production Order","Quantity","Source No.",$D2566,"Equipment Code",$L2566,"due date",G$8)/-12</t>
  </si>
  <si>
    <t>=NL("sum","Production Order","Quantity","Source No.",$D2566,"Equipment Code",$L2566,"due date",H$8)/-12</t>
  </si>
  <si>
    <t>=NL("sum","Production Order","Quantity","Source No.",$D2566,"Equipment Code",$L2566,"due date",I$8)/-12</t>
  </si>
  <si>
    <t>=NL("sum","Production Order","Quantity","Source No.",$D2566,"Equipment Code",$L2566,"due date",J$8)/$J$7</t>
  </si>
  <si>
    <t>=AVERAGE(I2566:J2566)</t>
  </si>
  <si>
    <t>=IF(K2567=0,"hide","")</t>
  </si>
  <si>
    <t>=D2566</t>
  </si>
  <si>
    <t>=NL("sum","Production Order","Quantity","Source No.",$D2567,"Equipment Code",$L2567,"due date",F$8)/-12</t>
  </si>
  <si>
    <t>=NL("sum","Production Order","Quantity","Source No.",$D2567,"Equipment Code",$L2567,"due date",G$8)/-12</t>
  </si>
  <si>
    <t>=NL("sum","Production Order","Quantity","Source No.",$D2567,"Equipment Code",$L2567,"due date",H$8)/-12</t>
  </si>
  <si>
    <t>=NL("sum","Production Order","Quantity","Source No.",$D2567,"Equipment Code",$L2567,"due date",I$8)/-12</t>
  </si>
  <si>
    <t>=NL("sum","Production Order","Quantity","Source No.",$D2567,"Equipment Code",$L2567,"due date",J$8)/$J$7</t>
  </si>
  <si>
    <t>=AVERAGE(I2567:J2567)</t>
  </si>
  <si>
    <t>=B2564</t>
  </si>
  <si>
    <t>=B2568</t>
  </si>
  <si>
    <t>=SUM(F2564:F2568)</t>
  </si>
  <si>
    <t>=SUM(G2564:G2568)</t>
  </si>
  <si>
    <t>=SUM(H2564:H2568)</t>
  </si>
  <si>
    <t>=SUM(I2564:I2568)</t>
  </si>
  <si>
    <t>=SUM(J2564:J2568)</t>
  </si>
  <si>
    <t>=IF(K2570=0,"hide","")</t>
  </si>
  <si>
    <t>="35425"</t>
  </si>
  <si>
    <t>=NL("rows","Production BOM Version","Version Code","Production BOM No.",D2570,"status","certified")</t>
  </si>
  <si>
    <t>=NL("sum","Item Ledger Entry","Quantity","Item No.",$D2570,"Entry Type","Sale|Consumption","posting date","01/01/19..12/31/19")/-12</t>
  </si>
  <si>
    <t>=NL("sum","Item Ledger Entry","Quantity","Item No.",$D2570,"Entry Type","Sale|Consumption","posting date","01/01/20..12/31/20")/-12</t>
  </si>
  <si>
    <t>=NL("sum","Item Ledger Entry","Quantity","Item No.",$D2570,"Entry Type","Sale|Consumption","posting date","01/01/21..12/31/21")/-12</t>
  </si>
  <si>
    <t>=NL("sum","Item Ledger Entry","Quantity","Item No.",$D2570,"Entry Type","Sale|Consumption","posting date","01/01/22..12/31/22")/-12</t>
  </si>
  <si>
    <t>=NL("sum","Item Ledger Entry","Quantity","Item No.",$D2570,"Entry Type","Sale|Consumption","posting date","01/01/23..12/31/23")/$J$7</t>
  </si>
  <si>
    <t>=AVERAGE(I2570:J2570)</t>
  </si>
  <si>
    <t>=NL(1,"item",L$9,"no.",D2570)</t>
  </si>
  <si>
    <t>=NL(1,"item",M$9,"no.",$D2570)</t>
  </si>
  <si>
    <t>=NL(1,"item","Units Per Parcel","no.",$D2570)</t>
  </si>
  <si>
    <t>=NL(1,"Prod. BOM Equipment","Fixed Prod. Time (Hours)","Production BOM No.",$D2570,"version code",$E2570,"Resource No.",O$9)</t>
  </si>
  <si>
    <t>=1/O2570</t>
  </si>
  <si>
    <t>=IF(NL(1,"Prod. BOM Equipment","Variable Prod. Time (Hours)","Production BOM No.",$D2570,"version code",$E2570,"Resource No.",$O$9)="",1,NL(1,"Prod. BOM Equipment","Variable Prod. Time (Hours)","Production BOM No.",$D2570,"version code",$E2570,"Resource No.",$O$9))</t>
  </si>
  <si>
    <t>=1/Q2570</t>
  </si>
  <si>
    <t>=R2570*N2570</t>
  </si>
  <si>
    <t>=IF(K2571=0,"hide","")</t>
  </si>
  <si>
    <t>=D2570</t>
  </si>
  <si>
    <t>=NL("sum","Production Order","Quantity","Source No.",$D2571,"Equipment Code",$L2571,"due date",F$8)/-12</t>
  </si>
  <si>
    <t>=NL("sum","Production Order","Quantity","Source No.",$D2571,"Equipment Code",$L2571,"due date",G$8)/-12</t>
  </si>
  <si>
    <t>=NL("sum","Production Order","Quantity","Source No.",$D2571,"Equipment Code",$L2571,"due date",H$8)/-12</t>
  </si>
  <si>
    <t>=NL("sum","Production Order","Quantity","Source No.",$D2571,"Equipment Code",$L2571,"due date",I$8)/-12</t>
  </si>
  <si>
    <t>=NL("sum","Production Order","Quantity","Source No.",$D2571,"Equipment Code",$L2571,"due date",J$8)/$J$7</t>
  </si>
  <si>
    <t>=AVERAGE(I2571:J2571)</t>
  </si>
  <si>
    <t>=IF(K2572=0,"hide","")</t>
  </si>
  <si>
    <t>=D2571</t>
  </si>
  <si>
    <t>=NL("sum","Production Order","Quantity","Source No.",$D2572,"Equipment Code",$L2572,"due date",F$8)/-12</t>
  </si>
  <si>
    <t>=NL("sum","Production Order","Quantity","Source No.",$D2572,"Equipment Code",$L2572,"due date",G$8)/-12</t>
  </si>
  <si>
    <t>=NL("sum","Production Order","Quantity","Source No.",$D2572,"Equipment Code",$L2572,"due date",H$8)/-12</t>
  </si>
  <si>
    <t>=NL("sum","Production Order","Quantity","Source No.",$D2572,"Equipment Code",$L2572,"due date",I$8)/-12</t>
  </si>
  <si>
    <t>=NL("sum","Production Order","Quantity","Source No.",$D2572,"Equipment Code",$L2572,"due date",J$8)/$J$7</t>
  </si>
  <si>
    <t>=AVERAGE(I2572:J2572)</t>
  </si>
  <si>
    <t>=IF(K2573=0,"hide","")</t>
  </si>
  <si>
    <t>=D2572</t>
  </si>
  <si>
    <t>=NL("sum","Production Order","Quantity","Source No.",$D2573,"Equipment Code",$L2573,"due date",F$8)/-12</t>
  </si>
  <si>
    <t>=NL("sum","Production Order","Quantity","Source No.",$D2573,"Equipment Code",$L2573,"due date",G$8)/-12</t>
  </si>
  <si>
    <t>=NL("sum","Production Order","Quantity","Source No.",$D2573,"Equipment Code",$L2573,"due date",H$8)/-12</t>
  </si>
  <si>
    <t>=NL("sum","Production Order","Quantity","Source No.",$D2573,"Equipment Code",$L2573,"due date",I$8)/-12</t>
  </si>
  <si>
    <t>=NL("sum","Production Order","Quantity","Source No.",$D2573,"Equipment Code",$L2573,"due date",J$8)/$J$7</t>
  </si>
  <si>
    <t>=AVERAGE(I2573:J2573)</t>
  </si>
  <si>
    <t>=IF(K2574=0,"hide","")</t>
  </si>
  <si>
    <t>=D2573</t>
  </si>
  <si>
    <t>=NL("sum","Production Order","Quantity","Source No.",$D2574,"Equipment Code",$L2574,"due date",F$8)/-12</t>
  </si>
  <si>
    <t>=NL("sum","Production Order","Quantity","Source No.",$D2574,"Equipment Code",$L2574,"due date",G$8)/-12</t>
  </si>
  <si>
    <t>=NL("sum","Production Order","Quantity","Source No.",$D2574,"Equipment Code",$L2574,"due date",H$8)/-12</t>
  </si>
  <si>
    <t>=NL("sum","Production Order","Quantity","Source No.",$D2574,"Equipment Code",$L2574,"due date",I$8)/-12</t>
  </si>
  <si>
    <t>=NL("sum","Production Order","Quantity","Source No.",$D2574,"Equipment Code",$L2574,"due date",J$8)/$J$7</t>
  </si>
  <si>
    <t>=AVERAGE(I2574:J2574)</t>
  </si>
  <si>
    <t>=B2571</t>
  </si>
  <si>
    <t>=B2575</t>
  </si>
  <si>
    <t>=SUM(F2571:F2575)</t>
  </si>
  <si>
    <t>=SUM(G2571:G2575)</t>
  </si>
  <si>
    <t>=SUM(H2571:H2575)</t>
  </si>
  <si>
    <t>=SUM(I2571:I2575)</t>
  </si>
  <si>
    <t>=SUM(J2571:J2575)</t>
  </si>
  <si>
    <t>=IF(K2577=0,"hide","")</t>
  </si>
  <si>
    <t>="35705"</t>
  </si>
  <si>
    <t>=NL("rows","Production BOM Version","Version Code","Production BOM No.",D2577,"status","certified")</t>
  </si>
  <si>
    <t>=NL("sum","Item Ledger Entry","Quantity","Item No.",$D2577,"Entry Type","Sale|Consumption","posting date","01/01/19..12/31/19")/-12</t>
  </si>
  <si>
    <t>=NL("sum","Item Ledger Entry","Quantity","Item No.",$D2577,"Entry Type","Sale|Consumption","posting date","01/01/20..12/31/20")/-12</t>
  </si>
  <si>
    <t>=NL("sum","Item Ledger Entry","Quantity","Item No.",$D2577,"Entry Type","Sale|Consumption","posting date","01/01/21..12/31/21")/-12</t>
  </si>
  <si>
    <t>=NL("sum","Item Ledger Entry","Quantity","Item No.",$D2577,"Entry Type","Sale|Consumption","posting date","01/01/22..12/31/22")/-12</t>
  </si>
  <si>
    <t>=NL("sum","Item Ledger Entry","Quantity","Item No.",$D2577,"Entry Type","Sale|Consumption","posting date","01/01/23..12/31/23")/$J$7</t>
  </si>
  <si>
    <t>=AVERAGE(I2577:J2577)</t>
  </si>
  <si>
    <t>=NL(1,"item",L$9,"no.",D2577)</t>
  </si>
  <si>
    <t>=NL(1,"item",M$9,"no.",$D2577)</t>
  </si>
  <si>
    <t>=NL(1,"item","Units Per Parcel","no.",$D2577)</t>
  </si>
  <si>
    <t>=NL(1,"Prod. BOM Equipment","Fixed Prod. Time (Hours)","Production BOM No.",$D2577,"version code",$E2577,"Resource No.",O$9)</t>
  </si>
  <si>
    <t>=1/O2577</t>
  </si>
  <si>
    <t>=IF(NL(1,"Prod. BOM Equipment","Variable Prod. Time (Hours)","Production BOM No.",$D2577,"version code",$E2577,"Resource No.",$O$9)="",1,NL(1,"Prod. BOM Equipment","Variable Prod. Time (Hours)","Production BOM No.",$D2577,"version code",$E2577,"Resource No.",$O$9))</t>
  </si>
  <si>
    <t>=1/Q2577</t>
  </si>
  <si>
    <t>=R2577*N2577</t>
  </si>
  <si>
    <t>=IF(K2578=0,"hide","")</t>
  </si>
  <si>
    <t>=D2577</t>
  </si>
  <si>
    <t>=NL("sum","Production Order","Quantity","Source No.",$D2578,"Equipment Code",$L2578,"due date",F$8)/-12</t>
  </si>
  <si>
    <t>=NL("sum","Production Order","Quantity","Source No.",$D2578,"Equipment Code",$L2578,"due date",G$8)/-12</t>
  </si>
  <si>
    <t>=NL("sum","Production Order","Quantity","Source No.",$D2578,"Equipment Code",$L2578,"due date",H$8)/-12</t>
  </si>
  <si>
    <t>=NL("sum","Production Order","Quantity","Source No.",$D2578,"Equipment Code",$L2578,"due date",I$8)/-12</t>
  </si>
  <si>
    <t>=NL("sum","Production Order","Quantity","Source No.",$D2578,"Equipment Code",$L2578,"due date",J$8)/$J$7</t>
  </si>
  <si>
    <t>=AVERAGE(I2578:J2578)</t>
  </si>
  <si>
    <t>=IF(K2579=0,"hide","")</t>
  </si>
  <si>
    <t>=D2578</t>
  </si>
  <si>
    <t>=NL("sum","Production Order","Quantity","Source No.",$D2579,"Equipment Code",$L2579,"due date",F$8)/-12</t>
  </si>
  <si>
    <t>=NL("sum","Production Order","Quantity","Source No.",$D2579,"Equipment Code",$L2579,"due date",G$8)/-12</t>
  </si>
  <si>
    <t>=NL("sum","Production Order","Quantity","Source No.",$D2579,"Equipment Code",$L2579,"due date",H$8)/-12</t>
  </si>
  <si>
    <t>=NL("sum","Production Order","Quantity","Source No.",$D2579,"Equipment Code",$L2579,"due date",I$8)/-12</t>
  </si>
  <si>
    <t>=NL("sum","Production Order","Quantity","Source No.",$D2579,"Equipment Code",$L2579,"due date",J$8)/$J$7</t>
  </si>
  <si>
    <t>=AVERAGE(I2579:J2579)</t>
  </si>
  <si>
    <t>=IF(K2580=0,"hide","")</t>
  </si>
  <si>
    <t>=D2579</t>
  </si>
  <si>
    <t>=NL("sum","Production Order","Quantity","Source No.",$D2580,"Equipment Code",$L2580,"due date",F$8)/-12</t>
  </si>
  <si>
    <t>=NL("sum","Production Order","Quantity","Source No.",$D2580,"Equipment Code",$L2580,"due date",G$8)/-12</t>
  </si>
  <si>
    <t>=NL("sum","Production Order","Quantity","Source No.",$D2580,"Equipment Code",$L2580,"due date",H$8)/-12</t>
  </si>
  <si>
    <t>=NL("sum","Production Order","Quantity","Source No.",$D2580,"Equipment Code",$L2580,"due date",I$8)/-12</t>
  </si>
  <si>
    <t>=NL("sum","Production Order","Quantity","Source No.",$D2580,"Equipment Code",$L2580,"due date",J$8)/$J$7</t>
  </si>
  <si>
    <t>=AVERAGE(I2580:J2580)</t>
  </si>
  <si>
    <t>=IF(K2581=0,"hide","")</t>
  </si>
  <si>
    <t>=D2580</t>
  </si>
  <si>
    <t>=NL("sum","Production Order","Quantity","Source No.",$D2581,"Equipment Code",$L2581,"due date",F$8)/-12</t>
  </si>
  <si>
    <t>=NL("sum","Production Order","Quantity","Source No.",$D2581,"Equipment Code",$L2581,"due date",G$8)/-12</t>
  </si>
  <si>
    <t>=NL("sum","Production Order","Quantity","Source No.",$D2581,"Equipment Code",$L2581,"due date",H$8)/-12</t>
  </si>
  <si>
    <t>=NL("sum","Production Order","Quantity","Source No.",$D2581,"Equipment Code",$L2581,"due date",I$8)/-12</t>
  </si>
  <si>
    <t>=NL("sum","Production Order","Quantity","Source No.",$D2581,"Equipment Code",$L2581,"due date",J$8)/$J$7</t>
  </si>
  <si>
    <t>=AVERAGE(I2581:J2581)</t>
  </si>
  <si>
    <t>=B2578</t>
  </si>
  <si>
    <t>=B2582</t>
  </si>
  <si>
    <t>=SUM(F2578:F2582)</t>
  </si>
  <si>
    <t>=SUM(G2578:G2582)</t>
  </si>
  <si>
    <t>=SUM(H2578:H2582)</t>
  </si>
  <si>
    <t>=SUM(I2578:I2582)</t>
  </si>
  <si>
    <t>=SUM(J2578:J2582)</t>
  </si>
  <si>
    <t>=IF(K2584=0,"hide","")</t>
  </si>
  <si>
    <t>="36101"</t>
  </si>
  <si>
    <t>=NL("rows","Production BOM Version","Version Code","Production BOM No.",D2584,"status","certified")</t>
  </si>
  <si>
    <t>=NL("sum","Item Ledger Entry","Quantity","Item No.",$D2584,"Entry Type","Sale|Consumption","posting date","01/01/19..12/31/19")/-12</t>
  </si>
  <si>
    <t>=NL("sum","Item Ledger Entry","Quantity","Item No.",$D2584,"Entry Type","Sale|Consumption","posting date","01/01/20..12/31/20")/-12</t>
  </si>
  <si>
    <t>=NL("sum","Item Ledger Entry","Quantity","Item No.",$D2584,"Entry Type","Sale|Consumption","posting date","01/01/21..12/31/21")/-12</t>
  </si>
  <si>
    <t>=NL("sum","Item Ledger Entry","Quantity","Item No.",$D2584,"Entry Type","Sale|Consumption","posting date","01/01/22..12/31/22")/-12</t>
  </si>
  <si>
    <t>=NL("sum","Item Ledger Entry","Quantity","Item No.",$D2584,"Entry Type","Sale|Consumption","posting date","01/01/23..12/31/23")/$J$7</t>
  </si>
  <si>
    <t>=AVERAGE(I2584:J2584)</t>
  </si>
  <si>
    <t>=NL(1,"item",L$9,"no.",D2584)</t>
  </si>
  <si>
    <t>=NL(1,"item",M$9,"no.",$D2584)</t>
  </si>
  <si>
    <t>=NL(1,"item","Units Per Parcel","no.",$D2584)</t>
  </si>
  <si>
    <t>=NL(1,"Prod. BOM Equipment","Fixed Prod. Time (Hours)","Production BOM No.",$D2584,"version code",$E2584,"Resource No.",O$9)</t>
  </si>
  <si>
    <t>=1/O2584</t>
  </si>
  <si>
    <t>=IF(NL(1,"Prod. BOM Equipment","Variable Prod. Time (Hours)","Production BOM No.",$D2584,"version code",$E2584,"Resource No.",$O$9)="",1,NL(1,"Prod. BOM Equipment","Variable Prod. Time (Hours)","Production BOM No.",$D2584,"version code",$E2584,"Resource No.",$O$9))</t>
  </si>
  <si>
    <t>=1/Q2584</t>
  </si>
  <si>
    <t>=R2584*N2584</t>
  </si>
  <si>
    <t>=IF(K2585=0,"hide","")</t>
  </si>
  <si>
    <t>=D2584</t>
  </si>
  <si>
    <t>=NL("sum","Production Order","Quantity","Source No.",$D2585,"Equipment Code",$L2585,"due date",F$8)/-12</t>
  </si>
  <si>
    <t>=NL("sum","Production Order","Quantity","Source No.",$D2585,"Equipment Code",$L2585,"due date",G$8)/-12</t>
  </si>
  <si>
    <t>=NL("sum","Production Order","Quantity","Source No.",$D2585,"Equipment Code",$L2585,"due date",H$8)/-12</t>
  </si>
  <si>
    <t>=NL("sum","Production Order","Quantity","Source No.",$D2585,"Equipment Code",$L2585,"due date",I$8)/-12</t>
  </si>
  <si>
    <t>=NL("sum","Production Order","Quantity","Source No.",$D2585,"Equipment Code",$L2585,"due date",J$8)/$J$7</t>
  </si>
  <si>
    <t>=AVERAGE(I2585:J2585)</t>
  </si>
  <si>
    <t>=IF(K2586=0,"hide","")</t>
  </si>
  <si>
    <t>=D2585</t>
  </si>
  <si>
    <t>=NL("sum","Production Order","Quantity","Source No.",$D2586,"Equipment Code",$L2586,"due date",F$8)/-12</t>
  </si>
  <si>
    <t>=NL("sum","Production Order","Quantity","Source No.",$D2586,"Equipment Code",$L2586,"due date",G$8)/-12</t>
  </si>
  <si>
    <t>=NL("sum","Production Order","Quantity","Source No.",$D2586,"Equipment Code",$L2586,"due date",H$8)/-12</t>
  </si>
  <si>
    <t>=NL("sum","Production Order","Quantity","Source No.",$D2586,"Equipment Code",$L2586,"due date",I$8)/-12</t>
  </si>
  <si>
    <t>=NL("sum","Production Order","Quantity","Source No.",$D2586,"Equipment Code",$L2586,"due date",J$8)/$J$7</t>
  </si>
  <si>
    <t>=AVERAGE(I2586:J2586)</t>
  </si>
  <si>
    <t>=IF(K2587=0,"hide","")</t>
  </si>
  <si>
    <t>=D2586</t>
  </si>
  <si>
    <t>=NL("sum","Production Order","Quantity","Source No.",$D2587,"Equipment Code",$L2587,"due date",F$8)/-12</t>
  </si>
  <si>
    <t>=NL("sum","Production Order","Quantity","Source No.",$D2587,"Equipment Code",$L2587,"due date",G$8)/-12</t>
  </si>
  <si>
    <t>=NL("sum","Production Order","Quantity","Source No.",$D2587,"Equipment Code",$L2587,"due date",H$8)/-12</t>
  </si>
  <si>
    <t>=NL("sum","Production Order","Quantity","Source No.",$D2587,"Equipment Code",$L2587,"due date",I$8)/-12</t>
  </si>
  <si>
    <t>=NL("sum","Production Order","Quantity","Source No.",$D2587,"Equipment Code",$L2587,"due date",J$8)/$J$7</t>
  </si>
  <si>
    <t>=AVERAGE(I2587:J2587)</t>
  </si>
  <si>
    <t>=IF(K2588=0,"hide","")</t>
  </si>
  <si>
    <t>=D2587</t>
  </si>
  <si>
    <t>=NL("sum","Production Order","Quantity","Source No.",$D2588,"Equipment Code",$L2588,"due date",F$8)/-12</t>
  </si>
  <si>
    <t>=NL("sum","Production Order","Quantity","Source No.",$D2588,"Equipment Code",$L2588,"due date",G$8)/-12</t>
  </si>
  <si>
    <t>=NL("sum","Production Order","Quantity","Source No.",$D2588,"Equipment Code",$L2588,"due date",H$8)/-12</t>
  </si>
  <si>
    <t>=NL("sum","Production Order","Quantity","Source No.",$D2588,"Equipment Code",$L2588,"due date",I$8)/-12</t>
  </si>
  <si>
    <t>=NL("sum","Production Order","Quantity","Source No.",$D2588,"Equipment Code",$L2588,"due date",J$8)/$J$7</t>
  </si>
  <si>
    <t>=AVERAGE(I2588:J2588)</t>
  </si>
  <si>
    <t>=B2585</t>
  </si>
  <si>
    <t>=B2589</t>
  </si>
  <si>
    <t>=SUM(F2585:F2589)</t>
  </si>
  <si>
    <t>=SUM(G2585:G2589)</t>
  </si>
  <si>
    <t>=SUM(H2585:H2589)</t>
  </si>
  <si>
    <t>=SUM(I2585:I2589)</t>
  </si>
  <si>
    <t>=SUM(J2585:J2589)</t>
  </si>
  <si>
    <t>=IF(K2591=0,"hide","")</t>
  </si>
  <si>
    <t>="36105"</t>
  </si>
  <si>
    <t>=NL("rows","Production BOM Version","Version Code","Production BOM No.",D2591,"status","certified")</t>
  </si>
  <si>
    <t>=NL("sum","Item Ledger Entry","Quantity","Item No.",$D2591,"Entry Type","Sale|Consumption","posting date","01/01/19..12/31/19")/-12</t>
  </si>
  <si>
    <t>=NL("sum","Item Ledger Entry","Quantity","Item No.",$D2591,"Entry Type","Sale|Consumption","posting date","01/01/20..12/31/20")/-12</t>
  </si>
  <si>
    <t>=NL("sum","Item Ledger Entry","Quantity","Item No.",$D2591,"Entry Type","Sale|Consumption","posting date","01/01/21..12/31/21")/-12</t>
  </si>
  <si>
    <t>=NL("sum","Item Ledger Entry","Quantity","Item No.",$D2591,"Entry Type","Sale|Consumption","posting date","01/01/22..12/31/22")/-12</t>
  </si>
  <si>
    <t>=NL("sum","Item Ledger Entry","Quantity","Item No.",$D2591,"Entry Type","Sale|Consumption","posting date","01/01/23..12/31/23")/$J$7</t>
  </si>
  <si>
    <t>=AVERAGE(I2591:J2591)</t>
  </si>
  <si>
    <t>=NL(1,"item",L$9,"no.",D2591)</t>
  </si>
  <si>
    <t>=NL(1,"item",M$9,"no.",$D2591)</t>
  </si>
  <si>
    <t>=NL(1,"item","Units Per Parcel","no.",$D2591)</t>
  </si>
  <si>
    <t>=NL(1,"Prod. BOM Equipment","Fixed Prod. Time (Hours)","Production BOM No.",$D2591,"version code",$E2591,"Resource No.",O$9)</t>
  </si>
  <si>
    <t>=1/O2591</t>
  </si>
  <si>
    <t>=IF(NL(1,"Prod. BOM Equipment","Variable Prod. Time (Hours)","Production BOM No.",$D2591,"version code",$E2591,"Resource No.",$O$9)="",1,NL(1,"Prod. BOM Equipment","Variable Prod. Time (Hours)","Production BOM No.",$D2591,"version code",$E2591,"Resource No.",$O$9))</t>
  </si>
  <si>
    <t>=1/Q2591</t>
  </si>
  <si>
    <t>=R2591*N2591</t>
  </si>
  <si>
    <t>=IF(K2592=0,"hide","")</t>
  </si>
  <si>
    <t>=D2591</t>
  </si>
  <si>
    <t>=NL("sum","Production Order","Quantity","Source No.",$D2592,"Equipment Code",$L2592,"due date",F$8)/-12</t>
  </si>
  <si>
    <t>=NL("sum","Production Order","Quantity","Source No.",$D2592,"Equipment Code",$L2592,"due date",G$8)/-12</t>
  </si>
  <si>
    <t>=NL("sum","Production Order","Quantity","Source No.",$D2592,"Equipment Code",$L2592,"due date",H$8)/-12</t>
  </si>
  <si>
    <t>=NL("sum","Production Order","Quantity","Source No.",$D2592,"Equipment Code",$L2592,"due date",I$8)/-12</t>
  </si>
  <si>
    <t>=NL("sum","Production Order","Quantity","Source No.",$D2592,"Equipment Code",$L2592,"due date",J$8)/$J$7</t>
  </si>
  <si>
    <t>=AVERAGE(I2592:J2592)</t>
  </si>
  <si>
    <t>=IF(K2593=0,"hide","")</t>
  </si>
  <si>
    <t>=D2592</t>
  </si>
  <si>
    <t>=NL("sum","Production Order","Quantity","Source No.",$D2593,"Equipment Code",$L2593,"due date",F$8)/-12</t>
  </si>
  <si>
    <t>=NL("sum","Production Order","Quantity","Source No.",$D2593,"Equipment Code",$L2593,"due date",G$8)/-12</t>
  </si>
  <si>
    <t>=NL("sum","Production Order","Quantity","Source No.",$D2593,"Equipment Code",$L2593,"due date",H$8)/-12</t>
  </si>
  <si>
    <t>=NL("sum","Production Order","Quantity","Source No.",$D2593,"Equipment Code",$L2593,"due date",I$8)/-12</t>
  </si>
  <si>
    <t>=NL("sum","Production Order","Quantity","Source No.",$D2593,"Equipment Code",$L2593,"due date",J$8)/$J$7</t>
  </si>
  <si>
    <t>=AVERAGE(I2593:J2593)</t>
  </si>
  <si>
    <t>=IF(K2594=0,"hide","")</t>
  </si>
  <si>
    <t>=D2593</t>
  </si>
  <si>
    <t>=NL("sum","Production Order","Quantity","Source No.",$D2594,"Equipment Code",$L2594,"due date",F$8)/-12</t>
  </si>
  <si>
    <t>=NL("sum","Production Order","Quantity","Source No.",$D2594,"Equipment Code",$L2594,"due date",G$8)/-12</t>
  </si>
  <si>
    <t>=NL("sum","Production Order","Quantity","Source No.",$D2594,"Equipment Code",$L2594,"due date",H$8)/-12</t>
  </si>
  <si>
    <t>=NL("sum","Production Order","Quantity","Source No.",$D2594,"Equipment Code",$L2594,"due date",I$8)/-12</t>
  </si>
  <si>
    <t>=NL("sum","Production Order","Quantity","Source No.",$D2594,"Equipment Code",$L2594,"due date",J$8)/$J$7</t>
  </si>
  <si>
    <t>=AVERAGE(I2594:J2594)</t>
  </si>
  <si>
    <t>=IF(K2595=0,"hide","")</t>
  </si>
  <si>
    <t>=D2594</t>
  </si>
  <si>
    <t>=NL("sum","Production Order","Quantity","Source No.",$D2595,"Equipment Code",$L2595,"due date",F$8)/-12</t>
  </si>
  <si>
    <t>=NL("sum","Production Order","Quantity","Source No.",$D2595,"Equipment Code",$L2595,"due date",G$8)/-12</t>
  </si>
  <si>
    <t>=NL("sum","Production Order","Quantity","Source No.",$D2595,"Equipment Code",$L2595,"due date",H$8)/-12</t>
  </si>
  <si>
    <t>=NL("sum","Production Order","Quantity","Source No.",$D2595,"Equipment Code",$L2595,"due date",I$8)/-12</t>
  </si>
  <si>
    <t>=NL("sum","Production Order","Quantity","Source No.",$D2595,"Equipment Code",$L2595,"due date",J$8)/$J$7</t>
  </si>
  <si>
    <t>=AVERAGE(I2595:J2595)</t>
  </si>
  <si>
    <t>=B2592</t>
  </si>
  <si>
    <t>=B2596</t>
  </si>
  <si>
    <t>=SUM(F2592:F2596)</t>
  </si>
  <si>
    <t>=SUM(G2592:G2596)</t>
  </si>
  <si>
    <t>=SUM(H2592:H2596)</t>
  </si>
  <si>
    <t>=SUM(I2592:I2596)</t>
  </si>
  <si>
    <t>=SUM(J2592:J2596)</t>
  </si>
  <si>
    <t>=IF(K2598=0,"hide","")</t>
  </si>
  <si>
    <t>="36110"</t>
  </si>
  <si>
    <t>=NL("rows","Production BOM Version","Version Code","Production BOM No.",D2598,"status","certified")</t>
  </si>
  <si>
    <t>=NL("sum","Item Ledger Entry","Quantity","Item No.",$D2598,"Entry Type","Sale|Consumption","posting date","01/01/19..12/31/19")/-12</t>
  </si>
  <si>
    <t>=NL("sum","Item Ledger Entry","Quantity","Item No.",$D2598,"Entry Type","Sale|Consumption","posting date","01/01/20..12/31/20")/-12</t>
  </si>
  <si>
    <t>=NL("sum","Item Ledger Entry","Quantity","Item No.",$D2598,"Entry Type","Sale|Consumption","posting date","01/01/21..12/31/21")/-12</t>
  </si>
  <si>
    <t>=NL("sum","Item Ledger Entry","Quantity","Item No.",$D2598,"Entry Type","Sale|Consumption","posting date","01/01/22..12/31/22")/-12</t>
  </si>
  <si>
    <t>=NL("sum","Item Ledger Entry","Quantity","Item No.",$D2598,"Entry Type","Sale|Consumption","posting date","01/01/23..12/31/23")/$J$7</t>
  </si>
  <si>
    <t>=AVERAGE(I2598:J2598)</t>
  </si>
  <si>
    <t>=NL(1,"item",L$9,"no.",D2598)</t>
  </si>
  <si>
    <t>=NL(1,"item",M$9,"no.",$D2598)</t>
  </si>
  <si>
    <t>=NL(1,"item","Units Per Parcel","no.",$D2598)</t>
  </si>
  <si>
    <t>=NL(1,"Prod. BOM Equipment","Fixed Prod. Time (Hours)","Production BOM No.",$D2598,"version code",$E2598,"Resource No.",O$9)</t>
  </si>
  <si>
    <t>=1/O2598</t>
  </si>
  <si>
    <t>=IF(NL(1,"Prod. BOM Equipment","Variable Prod. Time (Hours)","Production BOM No.",$D2598,"version code",$E2598,"Resource No.",$O$9)="",1,NL(1,"Prod. BOM Equipment","Variable Prod. Time (Hours)","Production BOM No.",$D2598,"version code",$E2598,"Resource No.",$O$9))</t>
  </si>
  <si>
    <t>=1/Q2598</t>
  </si>
  <si>
    <t>=R2598*N2598</t>
  </si>
  <si>
    <t>=IF(K2599=0,"hide","")</t>
  </si>
  <si>
    <t>=D2598</t>
  </si>
  <si>
    <t>=NL("sum","Production Order","Quantity","Source No.",$D2599,"Equipment Code",$L2599,"due date",F$8)/-12</t>
  </si>
  <si>
    <t>=NL("sum","Production Order","Quantity","Source No.",$D2599,"Equipment Code",$L2599,"due date",G$8)/-12</t>
  </si>
  <si>
    <t>=NL("sum","Production Order","Quantity","Source No.",$D2599,"Equipment Code",$L2599,"due date",H$8)/-12</t>
  </si>
  <si>
    <t>=NL("sum","Production Order","Quantity","Source No.",$D2599,"Equipment Code",$L2599,"due date",I$8)/-12</t>
  </si>
  <si>
    <t>=NL("sum","Production Order","Quantity","Source No.",$D2599,"Equipment Code",$L2599,"due date",J$8)/$J$7</t>
  </si>
  <si>
    <t>=AVERAGE(I2599:J2599)</t>
  </si>
  <si>
    <t>=IF(K2600=0,"hide","")</t>
  </si>
  <si>
    <t>=D2599</t>
  </si>
  <si>
    <t>=NL("sum","Production Order","Quantity","Source No.",$D2600,"Equipment Code",$L2600,"due date",F$8)/-12</t>
  </si>
  <si>
    <t>=NL("sum","Production Order","Quantity","Source No.",$D2600,"Equipment Code",$L2600,"due date",G$8)/-12</t>
  </si>
  <si>
    <t>=NL("sum","Production Order","Quantity","Source No.",$D2600,"Equipment Code",$L2600,"due date",H$8)/-12</t>
  </si>
  <si>
    <t>=NL("sum","Production Order","Quantity","Source No.",$D2600,"Equipment Code",$L2600,"due date",I$8)/-12</t>
  </si>
  <si>
    <t>=NL("sum","Production Order","Quantity","Source No.",$D2600,"Equipment Code",$L2600,"due date",J$8)/$J$7</t>
  </si>
  <si>
    <t>=AVERAGE(I2600:J2600)</t>
  </si>
  <si>
    <t>=IF(K2601=0,"hide","")</t>
  </si>
  <si>
    <t>=D2600</t>
  </si>
  <si>
    <t>=NL("sum","Production Order","Quantity","Source No.",$D2601,"Equipment Code",$L2601,"due date",F$8)/-12</t>
  </si>
  <si>
    <t>=NL("sum","Production Order","Quantity","Source No.",$D2601,"Equipment Code",$L2601,"due date",G$8)/-12</t>
  </si>
  <si>
    <t>=NL("sum","Production Order","Quantity","Source No.",$D2601,"Equipment Code",$L2601,"due date",H$8)/-12</t>
  </si>
  <si>
    <t>=NL("sum","Production Order","Quantity","Source No.",$D2601,"Equipment Code",$L2601,"due date",I$8)/-12</t>
  </si>
  <si>
    <t>=NL("sum","Production Order","Quantity","Source No.",$D2601,"Equipment Code",$L2601,"due date",J$8)/$J$7</t>
  </si>
  <si>
    <t>=AVERAGE(I2601:J2601)</t>
  </si>
  <si>
    <t>=IF(K2602=0,"hide","")</t>
  </si>
  <si>
    <t>=D2601</t>
  </si>
  <si>
    <t>=NL("sum","Production Order","Quantity","Source No.",$D2602,"Equipment Code",$L2602,"due date",F$8)/-12</t>
  </si>
  <si>
    <t>=NL("sum","Production Order","Quantity","Source No.",$D2602,"Equipment Code",$L2602,"due date",G$8)/-12</t>
  </si>
  <si>
    <t>=NL("sum","Production Order","Quantity","Source No.",$D2602,"Equipment Code",$L2602,"due date",H$8)/-12</t>
  </si>
  <si>
    <t>=NL("sum","Production Order","Quantity","Source No.",$D2602,"Equipment Code",$L2602,"due date",I$8)/-12</t>
  </si>
  <si>
    <t>=NL("sum","Production Order","Quantity","Source No.",$D2602,"Equipment Code",$L2602,"due date",J$8)/$J$7</t>
  </si>
  <si>
    <t>=AVERAGE(I2602:J2602)</t>
  </si>
  <si>
    <t>=B2599</t>
  </si>
  <si>
    <t>=B2603</t>
  </si>
  <si>
    <t>=SUM(F2599:F2603)</t>
  </si>
  <si>
    <t>=SUM(G2599:G2603)</t>
  </si>
  <si>
    <t>=SUM(H2599:H2603)</t>
  </si>
  <si>
    <t>=SUM(I2599:I2603)</t>
  </si>
  <si>
    <t>=SUM(J2599:J2603)</t>
  </si>
  <si>
    <t>=IF(K2605=0,"hide","")</t>
  </si>
  <si>
    <t>="36130"</t>
  </si>
  <si>
    <t>=NL("rows","Production BOM Version","Version Code","Production BOM No.",D2605,"status","certified")</t>
  </si>
  <si>
    <t>=NL("sum","Item Ledger Entry","Quantity","Item No.",$D2605,"Entry Type","Sale|Consumption","posting date","01/01/19..12/31/19")/-12</t>
  </si>
  <si>
    <t>=NL("sum","Item Ledger Entry","Quantity","Item No.",$D2605,"Entry Type","Sale|Consumption","posting date","01/01/20..12/31/20")/-12</t>
  </si>
  <si>
    <t>=NL("sum","Item Ledger Entry","Quantity","Item No.",$D2605,"Entry Type","Sale|Consumption","posting date","01/01/21..12/31/21")/-12</t>
  </si>
  <si>
    <t>=NL("sum","Item Ledger Entry","Quantity","Item No.",$D2605,"Entry Type","Sale|Consumption","posting date","01/01/22..12/31/22")/-12</t>
  </si>
  <si>
    <t>=NL("sum","Item Ledger Entry","Quantity","Item No.",$D2605,"Entry Type","Sale|Consumption","posting date","01/01/23..12/31/23")/$J$7</t>
  </si>
  <si>
    <t>=AVERAGE(I2605:J2605)</t>
  </si>
  <si>
    <t>=NL(1,"item",L$9,"no.",D2605)</t>
  </si>
  <si>
    <t>=NL(1,"item",M$9,"no.",$D2605)</t>
  </si>
  <si>
    <t>=NL(1,"item","Units Per Parcel","no.",$D2605)</t>
  </si>
  <si>
    <t>=NL(1,"Prod. BOM Equipment","Fixed Prod. Time (Hours)","Production BOM No.",$D2605,"version code",$E2605,"Resource No.",O$9)</t>
  </si>
  <si>
    <t>=1/O2605</t>
  </si>
  <si>
    <t>=IF(NL(1,"Prod. BOM Equipment","Variable Prod. Time (Hours)","Production BOM No.",$D2605,"version code",$E2605,"Resource No.",$O$9)="",1,NL(1,"Prod. BOM Equipment","Variable Prod. Time (Hours)","Production BOM No.",$D2605,"version code",$E2605,"Resource No.",$O$9))</t>
  </si>
  <si>
    <t>=1/Q2605</t>
  </si>
  <si>
    <t>=R2605*N2605</t>
  </si>
  <si>
    <t>=IF(K2606=0,"hide","")</t>
  </si>
  <si>
    <t>=D2605</t>
  </si>
  <si>
    <t>=NL("sum","Production Order","Quantity","Source No.",$D2606,"Equipment Code",$L2606,"due date",F$8)/-12</t>
  </si>
  <si>
    <t>=NL("sum","Production Order","Quantity","Source No.",$D2606,"Equipment Code",$L2606,"due date",G$8)/-12</t>
  </si>
  <si>
    <t>=NL("sum","Production Order","Quantity","Source No.",$D2606,"Equipment Code",$L2606,"due date",H$8)/-12</t>
  </si>
  <si>
    <t>=NL("sum","Production Order","Quantity","Source No.",$D2606,"Equipment Code",$L2606,"due date",I$8)/-12</t>
  </si>
  <si>
    <t>=NL("sum","Production Order","Quantity","Source No.",$D2606,"Equipment Code",$L2606,"due date",J$8)/$J$7</t>
  </si>
  <si>
    <t>=AVERAGE(I2606:J2606)</t>
  </si>
  <si>
    <t>=IF(K2607=0,"hide","")</t>
  </si>
  <si>
    <t>=D2606</t>
  </si>
  <si>
    <t>=NL("sum","Production Order","Quantity","Source No.",$D2607,"Equipment Code",$L2607,"due date",F$8)/-12</t>
  </si>
  <si>
    <t>=NL("sum","Production Order","Quantity","Source No.",$D2607,"Equipment Code",$L2607,"due date",G$8)/-12</t>
  </si>
  <si>
    <t>=NL("sum","Production Order","Quantity","Source No.",$D2607,"Equipment Code",$L2607,"due date",H$8)/-12</t>
  </si>
  <si>
    <t>=NL("sum","Production Order","Quantity","Source No.",$D2607,"Equipment Code",$L2607,"due date",I$8)/-12</t>
  </si>
  <si>
    <t>=NL("sum","Production Order","Quantity","Source No.",$D2607,"Equipment Code",$L2607,"due date",J$8)/$J$7</t>
  </si>
  <si>
    <t>=AVERAGE(I2607:J2607)</t>
  </si>
  <si>
    <t>=IF(K2608=0,"hide","")</t>
  </si>
  <si>
    <t>=D2607</t>
  </si>
  <si>
    <t>=NL("sum","Production Order","Quantity","Source No.",$D2608,"Equipment Code",$L2608,"due date",F$8)/-12</t>
  </si>
  <si>
    <t>=NL("sum","Production Order","Quantity","Source No.",$D2608,"Equipment Code",$L2608,"due date",G$8)/-12</t>
  </si>
  <si>
    <t>=NL("sum","Production Order","Quantity","Source No.",$D2608,"Equipment Code",$L2608,"due date",H$8)/-12</t>
  </si>
  <si>
    <t>=NL("sum","Production Order","Quantity","Source No.",$D2608,"Equipment Code",$L2608,"due date",I$8)/-12</t>
  </si>
  <si>
    <t>=NL("sum","Production Order","Quantity","Source No.",$D2608,"Equipment Code",$L2608,"due date",J$8)/$J$7</t>
  </si>
  <si>
    <t>=AVERAGE(I2608:J2608)</t>
  </si>
  <si>
    <t>=IF(K2609=0,"hide","")</t>
  </si>
  <si>
    <t>=D2608</t>
  </si>
  <si>
    <t>=NL("sum","Production Order","Quantity","Source No.",$D2609,"Equipment Code",$L2609,"due date",F$8)/-12</t>
  </si>
  <si>
    <t>=NL("sum","Production Order","Quantity","Source No.",$D2609,"Equipment Code",$L2609,"due date",G$8)/-12</t>
  </si>
  <si>
    <t>=NL("sum","Production Order","Quantity","Source No.",$D2609,"Equipment Code",$L2609,"due date",H$8)/-12</t>
  </si>
  <si>
    <t>=NL("sum","Production Order","Quantity","Source No.",$D2609,"Equipment Code",$L2609,"due date",I$8)/-12</t>
  </si>
  <si>
    <t>=NL("sum","Production Order","Quantity","Source No.",$D2609,"Equipment Code",$L2609,"due date",J$8)/$J$7</t>
  </si>
  <si>
    <t>=AVERAGE(I2609:J2609)</t>
  </si>
  <si>
    <t>=B2606</t>
  </si>
  <si>
    <t>=B2610</t>
  </si>
  <si>
    <t>=SUM(F2606:F2610)</t>
  </si>
  <si>
    <t>=SUM(G2606:G2610)</t>
  </si>
  <si>
    <t>=SUM(H2606:H2610)</t>
  </si>
  <si>
    <t>=SUM(I2606:I2610)</t>
  </si>
  <si>
    <t>=SUM(J2606:J2610)</t>
  </si>
  <si>
    <t>=IF(K2612=0,"hide","")</t>
  </si>
  <si>
    <t>="36151"</t>
  </si>
  <si>
    <t>=NL("rows","Production BOM Version","Version Code","Production BOM No.",D2612,"status","certified")</t>
  </si>
  <si>
    <t>=NL("sum","Item Ledger Entry","Quantity","Item No.",$D2612,"Entry Type","Sale|Consumption","posting date","01/01/19..12/31/19")/-12</t>
  </si>
  <si>
    <t>=NL("sum","Item Ledger Entry","Quantity","Item No.",$D2612,"Entry Type","Sale|Consumption","posting date","01/01/20..12/31/20")/-12</t>
  </si>
  <si>
    <t>=NL("sum","Item Ledger Entry","Quantity","Item No.",$D2612,"Entry Type","Sale|Consumption","posting date","01/01/21..12/31/21")/-12</t>
  </si>
  <si>
    <t>=NL("sum","Item Ledger Entry","Quantity","Item No.",$D2612,"Entry Type","Sale|Consumption","posting date","01/01/22..12/31/22")/-12</t>
  </si>
  <si>
    <t>=NL("sum","Item Ledger Entry","Quantity","Item No.",$D2612,"Entry Type","Sale|Consumption","posting date","01/01/23..12/31/23")/$J$7</t>
  </si>
  <si>
    <t>=AVERAGE(I2612:J2612)</t>
  </si>
  <si>
    <t>=NL(1,"item",L$9,"no.",D2612)</t>
  </si>
  <si>
    <t>=NL(1,"item",M$9,"no.",$D2612)</t>
  </si>
  <si>
    <t>=NL(1,"item","Units Per Parcel","no.",$D2612)</t>
  </si>
  <si>
    <t>=NL(1,"Prod. BOM Equipment","Fixed Prod. Time (Hours)","Production BOM No.",$D2612,"version code",$E2612,"Resource No.",O$9)</t>
  </si>
  <si>
    <t>=1/O2612</t>
  </si>
  <si>
    <t>=IF(NL(1,"Prod. BOM Equipment","Variable Prod. Time (Hours)","Production BOM No.",$D2612,"version code",$E2612,"Resource No.",$O$9)="",1,NL(1,"Prod. BOM Equipment","Variable Prod. Time (Hours)","Production BOM No.",$D2612,"version code",$E2612,"Resource No.",$O$9))</t>
  </si>
  <si>
    <t>=1/Q2612</t>
  </si>
  <si>
    <t>=R2612*N2612</t>
  </si>
  <si>
    <t>=IF(K2613=0,"hide","")</t>
  </si>
  <si>
    <t>=D2612</t>
  </si>
  <si>
    <t>=NL("sum","Production Order","Quantity","Source No.",$D2613,"Equipment Code",$L2613,"due date",F$8)/-12</t>
  </si>
  <si>
    <t>=NL("sum","Production Order","Quantity","Source No.",$D2613,"Equipment Code",$L2613,"due date",G$8)/-12</t>
  </si>
  <si>
    <t>=NL("sum","Production Order","Quantity","Source No.",$D2613,"Equipment Code",$L2613,"due date",H$8)/-12</t>
  </si>
  <si>
    <t>=NL("sum","Production Order","Quantity","Source No.",$D2613,"Equipment Code",$L2613,"due date",I$8)/-12</t>
  </si>
  <si>
    <t>=NL("sum","Production Order","Quantity","Source No.",$D2613,"Equipment Code",$L2613,"due date",J$8)/$J$7</t>
  </si>
  <si>
    <t>=AVERAGE(I2613:J2613)</t>
  </si>
  <si>
    <t>=IF(K2614=0,"hide","")</t>
  </si>
  <si>
    <t>=D2613</t>
  </si>
  <si>
    <t>=NL("sum","Production Order","Quantity","Source No.",$D2614,"Equipment Code",$L2614,"due date",F$8)/-12</t>
  </si>
  <si>
    <t>=NL("sum","Production Order","Quantity","Source No.",$D2614,"Equipment Code",$L2614,"due date",G$8)/-12</t>
  </si>
  <si>
    <t>=NL("sum","Production Order","Quantity","Source No.",$D2614,"Equipment Code",$L2614,"due date",H$8)/-12</t>
  </si>
  <si>
    <t>=NL("sum","Production Order","Quantity","Source No.",$D2614,"Equipment Code",$L2614,"due date",I$8)/-12</t>
  </si>
  <si>
    <t>=NL("sum","Production Order","Quantity","Source No.",$D2614,"Equipment Code",$L2614,"due date",J$8)/$J$7</t>
  </si>
  <si>
    <t>=AVERAGE(I2614:J2614)</t>
  </si>
  <si>
    <t>=IF(K2615=0,"hide","")</t>
  </si>
  <si>
    <t>=D2614</t>
  </si>
  <si>
    <t>=NL("sum","Production Order","Quantity","Source No.",$D2615,"Equipment Code",$L2615,"due date",F$8)/-12</t>
  </si>
  <si>
    <t>=NL("sum","Production Order","Quantity","Source No.",$D2615,"Equipment Code",$L2615,"due date",G$8)/-12</t>
  </si>
  <si>
    <t>=NL("sum","Production Order","Quantity","Source No.",$D2615,"Equipment Code",$L2615,"due date",H$8)/-12</t>
  </si>
  <si>
    <t>=NL("sum","Production Order","Quantity","Source No.",$D2615,"Equipment Code",$L2615,"due date",I$8)/-12</t>
  </si>
  <si>
    <t>=NL("sum","Production Order","Quantity","Source No.",$D2615,"Equipment Code",$L2615,"due date",J$8)/$J$7</t>
  </si>
  <si>
    <t>=AVERAGE(I2615:J2615)</t>
  </si>
  <si>
    <t>=IF(K2616=0,"hide","")</t>
  </si>
  <si>
    <t>=D2615</t>
  </si>
  <si>
    <t>=NL("sum","Production Order","Quantity","Source No.",$D2616,"Equipment Code",$L2616,"due date",F$8)/-12</t>
  </si>
  <si>
    <t>=NL("sum","Production Order","Quantity","Source No.",$D2616,"Equipment Code",$L2616,"due date",G$8)/-12</t>
  </si>
  <si>
    <t>=NL("sum","Production Order","Quantity","Source No.",$D2616,"Equipment Code",$L2616,"due date",H$8)/-12</t>
  </si>
  <si>
    <t>=NL("sum","Production Order","Quantity","Source No.",$D2616,"Equipment Code",$L2616,"due date",I$8)/-12</t>
  </si>
  <si>
    <t>=NL("sum","Production Order","Quantity","Source No.",$D2616,"Equipment Code",$L2616,"due date",J$8)/$J$7</t>
  </si>
  <si>
    <t>=AVERAGE(I2616:J2616)</t>
  </si>
  <si>
    <t>=B2613</t>
  </si>
  <si>
    <t>=B2617</t>
  </si>
  <si>
    <t>=SUM(F2613:F2617)</t>
  </si>
  <si>
    <t>=SUM(G2613:G2617)</t>
  </si>
  <si>
    <t>=SUM(H2613:H2617)</t>
  </si>
  <si>
    <t>=SUM(I2613:I2617)</t>
  </si>
  <si>
    <t>=SUM(J2613:J2617)</t>
  </si>
  <si>
    <t>=IF(K2619=0,"hide","")</t>
  </si>
  <si>
    <t>="36501"</t>
  </si>
  <si>
    <t>=NL("rows","Production BOM Version","Version Code","Production BOM No.",D2619,"status","certified")</t>
  </si>
  <si>
    <t>=NL("sum","Item Ledger Entry","Quantity","Item No.",$D2619,"Entry Type","Sale|Consumption","posting date","01/01/19..12/31/19")/-12</t>
  </si>
  <si>
    <t>=NL("sum","Item Ledger Entry","Quantity","Item No.",$D2619,"Entry Type","Sale|Consumption","posting date","01/01/20..12/31/20")/-12</t>
  </si>
  <si>
    <t>=NL("sum","Item Ledger Entry","Quantity","Item No.",$D2619,"Entry Type","Sale|Consumption","posting date","01/01/21..12/31/21")/-12</t>
  </si>
  <si>
    <t>=NL("sum","Item Ledger Entry","Quantity","Item No.",$D2619,"Entry Type","Sale|Consumption","posting date","01/01/22..12/31/22")/-12</t>
  </si>
  <si>
    <t>=NL("sum","Item Ledger Entry","Quantity","Item No.",$D2619,"Entry Type","Sale|Consumption","posting date","01/01/23..12/31/23")/$J$7</t>
  </si>
  <si>
    <t>=AVERAGE(I2619:J2619)</t>
  </si>
  <si>
    <t>=NL(1,"item",L$9,"no.",D2619)</t>
  </si>
  <si>
    <t>=NL(1,"item",M$9,"no.",$D2619)</t>
  </si>
  <si>
    <t>=NL(1,"item","Units Per Parcel","no.",$D2619)</t>
  </si>
  <si>
    <t>=NL(1,"Prod. BOM Equipment","Fixed Prod. Time (Hours)","Production BOM No.",$D2619,"version code",$E2619,"Resource No.",O$9)</t>
  </si>
  <si>
    <t>=1/O2619</t>
  </si>
  <si>
    <t>=IF(NL(1,"Prod. BOM Equipment","Variable Prod. Time (Hours)","Production BOM No.",$D2619,"version code",$E2619,"Resource No.",$O$9)="",1,NL(1,"Prod. BOM Equipment","Variable Prod. Time (Hours)","Production BOM No.",$D2619,"version code",$E2619,"Resource No.",$O$9))</t>
  </si>
  <si>
    <t>=1/Q2619</t>
  </si>
  <si>
    <t>=R2619*N2619</t>
  </si>
  <si>
    <t>=IF(K2620=0,"hide","")</t>
  </si>
  <si>
    <t>=D2619</t>
  </si>
  <si>
    <t>=NL("sum","Production Order","Quantity","Source No.",$D2620,"Equipment Code",$L2620,"due date",F$8)/-12</t>
  </si>
  <si>
    <t>=NL("sum","Production Order","Quantity","Source No.",$D2620,"Equipment Code",$L2620,"due date",G$8)/-12</t>
  </si>
  <si>
    <t>=NL("sum","Production Order","Quantity","Source No.",$D2620,"Equipment Code",$L2620,"due date",H$8)/-12</t>
  </si>
  <si>
    <t>=NL("sum","Production Order","Quantity","Source No.",$D2620,"Equipment Code",$L2620,"due date",I$8)/-12</t>
  </si>
  <si>
    <t>=NL("sum","Production Order","Quantity","Source No.",$D2620,"Equipment Code",$L2620,"due date",J$8)/$J$7</t>
  </si>
  <si>
    <t>=AVERAGE(I2620:J2620)</t>
  </si>
  <si>
    <t>=IF(K2621=0,"hide","")</t>
  </si>
  <si>
    <t>=D2620</t>
  </si>
  <si>
    <t>=NL("sum","Production Order","Quantity","Source No.",$D2621,"Equipment Code",$L2621,"due date",F$8)/-12</t>
  </si>
  <si>
    <t>=NL("sum","Production Order","Quantity","Source No.",$D2621,"Equipment Code",$L2621,"due date",G$8)/-12</t>
  </si>
  <si>
    <t>=NL("sum","Production Order","Quantity","Source No.",$D2621,"Equipment Code",$L2621,"due date",H$8)/-12</t>
  </si>
  <si>
    <t>=NL("sum","Production Order","Quantity","Source No.",$D2621,"Equipment Code",$L2621,"due date",I$8)/-12</t>
  </si>
  <si>
    <t>=NL("sum","Production Order","Quantity","Source No.",$D2621,"Equipment Code",$L2621,"due date",J$8)/$J$7</t>
  </si>
  <si>
    <t>=AVERAGE(I2621:J2621)</t>
  </si>
  <si>
    <t>=IF(K2622=0,"hide","")</t>
  </si>
  <si>
    <t>=D2621</t>
  </si>
  <si>
    <t>=NL("sum","Production Order","Quantity","Source No.",$D2622,"Equipment Code",$L2622,"due date",F$8)/-12</t>
  </si>
  <si>
    <t>=NL("sum","Production Order","Quantity","Source No.",$D2622,"Equipment Code",$L2622,"due date",G$8)/-12</t>
  </si>
  <si>
    <t>=NL("sum","Production Order","Quantity","Source No.",$D2622,"Equipment Code",$L2622,"due date",H$8)/-12</t>
  </si>
  <si>
    <t>=NL("sum","Production Order","Quantity","Source No.",$D2622,"Equipment Code",$L2622,"due date",I$8)/-12</t>
  </si>
  <si>
    <t>=NL("sum","Production Order","Quantity","Source No.",$D2622,"Equipment Code",$L2622,"due date",J$8)/$J$7</t>
  </si>
  <si>
    <t>=AVERAGE(I2622:J2622)</t>
  </si>
  <si>
    <t>=IF(K2623=0,"hide","")</t>
  </si>
  <si>
    <t>=D2622</t>
  </si>
  <si>
    <t>=NL("sum","Production Order","Quantity","Source No.",$D2623,"Equipment Code",$L2623,"due date",F$8)/-12</t>
  </si>
  <si>
    <t>=NL("sum","Production Order","Quantity","Source No.",$D2623,"Equipment Code",$L2623,"due date",G$8)/-12</t>
  </si>
  <si>
    <t>=NL("sum","Production Order","Quantity","Source No.",$D2623,"Equipment Code",$L2623,"due date",H$8)/-12</t>
  </si>
  <si>
    <t>=NL("sum","Production Order","Quantity","Source No.",$D2623,"Equipment Code",$L2623,"due date",I$8)/-12</t>
  </si>
  <si>
    <t>=NL("sum","Production Order","Quantity","Source No.",$D2623,"Equipment Code",$L2623,"due date",J$8)/$J$7</t>
  </si>
  <si>
    <t>=AVERAGE(I2623:J2623)</t>
  </si>
  <si>
    <t>=B2620</t>
  </si>
  <si>
    <t>=B2624</t>
  </si>
  <si>
    <t>=SUM(F2620:F2624)</t>
  </si>
  <si>
    <t>=SUM(G2620:G2624)</t>
  </si>
  <si>
    <t>=SUM(H2620:H2624)</t>
  </si>
  <si>
    <t>=SUM(I2620:I2624)</t>
  </si>
  <si>
    <t>=SUM(J2620:J2624)</t>
  </si>
  <si>
    <t>=IF(K2626=0,"hide","")</t>
  </si>
  <si>
    <t>="36505"</t>
  </si>
  <si>
    <t>=NL("rows","Production BOM Version","Version Code","Production BOM No.",D2626,"status","certified")</t>
  </si>
  <si>
    <t>=NL("sum","Item Ledger Entry","Quantity","Item No.",$D2626,"Entry Type","Sale|Consumption","posting date","01/01/19..12/31/19")/-12</t>
  </si>
  <si>
    <t>=NL("sum","Item Ledger Entry","Quantity","Item No.",$D2626,"Entry Type","Sale|Consumption","posting date","01/01/20..12/31/20")/-12</t>
  </si>
  <si>
    <t>=NL("sum","Item Ledger Entry","Quantity","Item No.",$D2626,"Entry Type","Sale|Consumption","posting date","01/01/21..12/31/21")/-12</t>
  </si>
  <si>
    <t>=NL("sum","Item Ledger Entry","Quantity","Item No.",$D2626,"Entry Type","Sale|Consumption","posting date","01/01/22..12/31/22")/-12</t>
  </si>
  <si>
    <t>=NL("sum","Item Ledger Entry","Quantity","Item No.",$D2626,"Entry Type","Sale|Consumption","posting date","01/01/23..12/31/23")/$J$7</t>
  </si>
  <si>
    <t>=AVERAGE(I2626:J2626)</t>
  </si>
  <si>
    <t>=NL(1,"item",L$9,"no.",D2626)</t>
  </si>
  <si>
    <t>=NL(1,"item",M$9,"no.",$D2626)</t>
  </si>
  <si>
    <t>=NL(1,"item","Units Per Parcel","no.",$D2626)</t>
  </si>
  <si>
    <t>=NL(1,"Prod. BOM Equipment","Fixed Prod. Time (Hours)","Production BOM No.",$D2626,"version code",$E2626,"Resource No.",O$9)</t>
  </si>
  <si>
    <t>=1/O2626</t>
  </si>
  <si>
    <t>=IF(NL(1,"Prod. BOM Equipment","Variable Prod. Time (Hours)","Production BOM No.",$D2626,"version code",$E2626,"Resource No.",$O$9)="",1,NL(1,"Prod. BOM Equipment","Variable Prod. Time (Hours)","Production BOM No.",$D2626,"version code",$E2626,"Resource No.",$O$9))</t>
  </si>
  <si>
    <t>=1/Q2626</t>
  </si>
  <si>
    <t>=R2626*N2626</t>
  </si>
  <si>
    <t>=IF(K2627=0,"hide","")</t>
  </si>
  <si>
    <t>=D2626</t>
  </si>
  <si>
    <t>=NL("sum","Production Order","Quantity","Source No.",$D2627,"Equipment Code",$L2627,"due date",F$8)/-12</t>
  </si>
  <si>
    <t>=NL("sum","Production Order","Quantity","Source No.",$D2627,"Equipment Code",$L2627,"due date",G$8)/-12</t>
  </si>
  <si>
    <t>=NL("sum","Production Order","Quantity","Source No.",$D2627,"Equipment Code",$L2627,"due date",H$8)/-12</t>
  </si>
  <si>
    <t>=NL("sum","Production Order","Quantity","Source No.",$D2627,"Equipment Code",$L2627,"due date",I$8)/-12</t>
  </si>
  <si>
    <t>=NL("sum","Production Order","Quantity","Source No.",$D2627,"Equipment Code",$L2627,"due date",J$8)/$J$7</t>
  </si>
  <si>
    <t>=AVERAGE(I2627:J2627)</t>
  </si>
  <si>
    <t>=IF(K2628=0,"hide","")</t>
  </si>
  <si>
    <t>=D2627</t>
  </si>
  <si>
    <t>=NL("sum","Production Order","Quantity","Source No.",$D2628,"Equipment Code",$L2628,"due date",F$8)/-12</t>
  </si>
  <si>
    <t>=NL("sum","Production Order","Quantity","Source No.",$D2628,"Equipment Code",$L2628,"due date",G$8)/-12</t>
  </si>
  <si>
    <t>=NL("sum","Production Order","Quantity","Source No.",$D2628,"Equipment Code",$L2628,"due date",H$8)/-12</t>
  </si>
  <si>
    <t>=NL("sum","Production Order","Quantity","Source No.",$D2628,"Equipment Code",$L2628,"due date",I$8)/-12</t>
  </si>
  <si>
    <t>=NL("sum","Production Order","Quantity","Source No.",$D2628,"Equipment Code",$L2628,"due date",J$8)/$J$7</t>
  </si>
  <si>
    <t>=AVERAGE(I2628:J2628)</t>
  </si>
  <si>
    <t>=IF(K2629=0,"hide","")</t>
  </si>
  <si>
    <t>=D2628</t>
  </si>
  <si>
    <t>=NL("sum","Production Order","Quantity","Source No.",$D2629,"Equipment Code",$L2629,"due date",F$8)/-12</t>
  </si>
  <si>
    <t>=NL("sum","Production Order","Quantity","Source No.",$D2629,"Equipment Code",$L2629,"due date",G$8)/-12</t>
  </si>
  <si>
    <t>=NL("sum","Production Order","Quantity","Source No.",$D2629,"Equipment Code",$L2629,"due date",H$8)/-12</t>
  </si>
  <si>
    <t>=NL("sum","Production Order","Quantity","Source No.",$D2629,"Equipment Code",$L2629,"due date",I$8)/-12</t>
  </si>
  <si>
    <t>=NL("sum","Production Order","Quantity","Source No.",$D2629,"Equipment Code",$L2629,"due date",J$8)/$J$7</t>
  </si>
  <si>
    <t>=AVERAGE(I2629:J2629)</t>
  </si>
  <si>
    <t>=IF(K2630=0,"hide","")</t>
  </si>
  <si>
    <t>=D2629</t>
  </si>
  <si>
    <t>=NL("sum","Production Order","Quantity","Source No.",$D2630,"Equipment Code",$L2630,"due date",F$8)/-12</t>
  </si>
  <si>
    <t>=NL("sum","Production Order","Quantity","Source No.",$D2630,"Equipment Code",$L2630,"due date",G$8)/-12</t>
  </si>
  <si>
    <t>=NL("sum","Production Order","Quantity","Source No.",$D2630,"Equipment Code",$L2630,"due date",H$8)/-12</t>
  </si>
  <si>
    <t>=NL("sum","Production Order","Quantity","Source No.",$D2630,"Equipment Code",$L2630,"due date",I$8)/-12</t>
  </si>
  <si>
    <t>=NL("sum","Production Order","Quantity","Source No.",$D2630,"Equipment Code",$L2630,"due date",J$8)/$J$7</t>
  </si>
  <si>
    <t>=AVERAGE(I2630:J2630)</t>
  </si>
  <si>
    <t>=B2627</t>
  </si>
  <si>
    <t>=B2631</t>
  </si>
  <si>
    <t>=SUM(F2627:F2631)</t>
  </si>
  <si>
    <t>=SUM(G2627:G2631)</t>
  </si>
  <si>
    <t>=SUM(H2627:H2631)</t>
  </si>
  <si>
    <t>=SUM(I2627:I2631)</t>
  </si>
  <si>
    <t>=SUM(J2627:J2631)</t>
  </si>
  <si>
    <t>=IF(K2633=0,"hide","")</t>
  </si>
  <si>
    <t>="36530"</t>
  </si>
  <si>
    <t>=NL("rows","Production BOM Version","Version Code","Production BOM No.",D2633,"status","certified")</t>
  </si>
  <si>
    <t>=NL("sum","Item Ledger Entry","Quantity","Item No.",$D2633,"Entry Type","Sale|Consumption","posting date","01/01/19..12/31/19")/-12</t>
  </si>
  <si>
    <t>=NL("sum","Item Ledger Entry","Quantity","Item No.",$D2633,"Entry Type","Sale|Consumption","posting date","01/01/20..12/31/20")/-12</t>
  </si>
  <si>
    <t>=NL("sum","Item Ledger Entry","Quantity","Item No.",$D2633,"Entry Type","Sale|Consumption","posting date","01/01/21..12/31/21")/-12</t>
  </si>
  <si>
    <t>=NL("sum","Item Ledger Entry","Quantity","Item No.",$D2633,"Entry Type","Sale|Consumption","posting date","01/01/22..12/31/22")/-12</t>
  </si>
  <si>
    <t>=NL("sum","Item Ledger Entry","Quantity","Item No.",$D2633,"Entry Type","Sale|Consumption","posting date","01/01/23..12/31/23")/$J$7</t>
  </si>
  <si>
    <t>=AVERAGE(I2633:J2633)</t>
  </si>
  <si>
    <t>=NL(1,"item",L$9,"no.",D2633)</t>
  </si>
  <si>
    <t>=NL(1,"item",M$9,"no.",$D2633)</t>
  </si>
  <si>
    <t>=NL(1,"item","Units Per Parcel","no.",$D2633)</t>
  </si>
  <si>
    <t>=NL(1,"Prod. BOM Equipment","Fixed Prod. Time (Hours)","Production BOM No.",$D2633,"version code",$E2633,"Resource No.",O$9)</t>
  </si>
  <si>
    <t>=1/O2633</t>
  </si>
  <si>
    <t>=IF(NL(1,"Prod. BOM Equipment","Variable Prod. Time (Hours)","Production BOM No.",$D2633,"version code",$E2633,"Resource No.",$O$9)="",1,NL(1,"Prod. BOM Equipment","Variable Prod. Time (Hours)","Production BOM No.",$D2633,"version code",$E2633,"Resource No.",$O$9))</t>
  </si>
  <si>
    <t>=1/Q2633</t>
  </si>
  <si>
    <t>=R2633*N2633</t>
  </si>
  <si>
    <t>=IF(K2634=0,"hide","")</t>
  </si>
  <si>
    <t>=D2633</t>
  </si>
  <si>
    <t>=NL("sum","Production Order","Quantity","Source No.",$D2634,"Equipment Code",$L2634,"due date",F$8)/-12</t>
  </si>
  <si>
    <t>=NL("sum","Production Order","Quantity","Source No.",$D2634,"Equipment Code",$L2634,"due date",G$8)/-12</t>
  </si>
  <si>
    <t>=NL("sum","Production Order","Quantity","Source No.",$D2634,"Equipment Code",$L2634,"due date",H$8)/-12</t>
  </si>
  <si>
    <t>=NL("sum","Production Order","Quantity","Source No.",$D2634,"Equipment Code",$L2634,"due date",I$8)/-12</t>
  </si>
  <si>
    <t>=NL("sum","Production Order","Quantity","Source No.",$D2634,"Equipment Code",$L2634,"due date",J$8)/$J$7</t>
  </si>
  <si>
    <t>=AVERAGE(I2634:J2634)</t>
  </si>
  <si>
    <t>=IF(K2635=0,"hide","")</t>
  </si>
  <si>
    <t>=D2634</t>
  </si>
  <si>
    <t>=NL("sum","Production Order","Quantity","Source No.",$D2635,"Equipment Code",$L2635,"due date",F$8)/-12</t>
  </si>
  <si>
    <t>=NL("sum","Production Order","Quantity","Source No.",$D2635,"Equipment Code",$L2635,"due date",G$8)/-12</t>
  </si>
  <si>
    <t>=NL("sum","Production Order","Quantity","Source No.",$D2635,"Equipment Code",$L2635,"due date",H$8)/-12</t>
  </si>
  <si>
    <t>=NL("sum","Production Order","Quantity","Source No.",$D2635,"Equipment Code",$L2635,"due date",I$8)/-12</t>
  </si>
  <si>
    <t>=NL("sum","Production Order","Quantity","Source No.",$D2635,"Equipment Code",$L2635,"due date",J$8)/$J$7</t>
  </si>
  <si>
    <t>=AVERAGE(I2635:J2635)</t>
  </si>
  <si>
    <t>=IF(K2636=0,"hide","")</t>
  </si>
  <si>
    <t>=D2635</t>
  </si>
  <si>
    <t>=NL("sum","Production Order","Quantity","Source No.",$D2636,"Equipment Code",$L2636,"due date",F$8)/-12</t>
  </si>
  <si>
    <t>=NL("sum","Production Order","Quantity","Source No.",$D2636,"Equipment Code",$L2636,"due date",G$8)/-12</t>
  </si>
  <si>
    <t>=NL("sum","Production Order","Quantity","Source No.",$D2636,"Equipment Code",$L2636,"due date",H$8)/-12</t>
  </si>
  <si>
    <t>=NL("sum","Production Order","Quantity","Source No.",$D2636,"Equipment Code",$L2636,"due date",I$8)/-12</t>
  </si>
  <si>
    <t>=NL("sum","Production Order","Quantity","Source No.",$D2636,"Equipment Code",$L2636,"due date",J$8)/$J$7</t>
  </si>
  <si>
    <t>=AVERAGE(I2636:J2636)</t>
  </si>
  <si>
    <t>=IF(K2637=0,"hide","")</t>
  </si>
  <si>
    <t>=D2636</t>
  </si>
  <si>
    <t>=NL("sum","Production Order","Quantity","Source No.",$D2637,"Equipment Code",$L2637,"due date",F$8)/-12</t>
  </si>
  <si>
    <t>=NL("sum","Production Order","Quantity","Source No.",$D2637,"Equipment Code",$L2637,"due date",G$8)/-12</t>
  </si>
  <si>
    <t>=NL("sum","Production Order","Quantity","Source No.",$D2637,"Equipment Code",$L2637,"due date",H$8)/-12</t>
  </si>
  <si>
    <t>=NL("sum","Production Order","Quantity","Source No.",$D2637,"Equipment Code",$L2637,"due date",I$8)/-12</t>
  </si>
  <si>
    <t>=NL("sum","Production Order","Quantity","Source No.",$D2637,"Equipment Code",$L2637,"due date",J$8)/$J$7</t>
  </si>
  <si>
    <t>=AVERAGE(I2637:J2637)</t>
  </si>
  <si>
    <t>=B2634</t>
  </si>
  <si>
    <t>=B2638</t>
  </si>
  <si>
    <t>=SUM(F2634:F2638)</t>
  </si>
  <si>
    <t>=SUM(G2634:G2638)</t>
  </si>
  <si>
    <t>=SUM(H2634:H2638)</t>
  </si>
  <si>
    <t>=SUM(I2634:I2638)</t>
  </si>
  <si>
    <t>=SUM(J2634:J2638)</t>
  </si>
  <si>
    <t>=IF(K2640=0,"hide","")</t>
  </si>
  <si>
    <t>="36536"</t>
  </si>
  <si>
    <t>=NL("rows","Production BOM Version","Version Code","Production BOM No.",D2640,"status","certified")</t>
  </si>
  <si>
    <t>=NL("sum","Item Ledger Entry","Quantity","Item No.",$D2640,"Entry Type","Sale|Consumption","posting date","01/01/19..12/31/19")/-12</t>
  </si>
  <si>
    <t>=NL("sum","Item Ledger Entry","Quantity","Item No.",$D2640,"Entry Type","Sale|Consumption","posting date","01/01/20..12/31/20")/-12</t>
  </si>
  <si>
    <t>=NL("sum","Item Ledger Entry","Quantity","Item No.",$D2640,"Entry Type","Sale|Consumption","posting date","01/01/21..12/31/21")/-12</t>
  </si>
  <si>
    <t>=NL("sum","Item Ledger Entry","Quantity","Item No.",$D2640,"Entry Type","Sale|Consumption","posting date","01/01/22..12/31/22")/-12</t>
  </si>
  <si>
    <t>=NL("sum","Item Ledger Entry","Quantity","Item No.",$D2640,"Entry Type","Sale|Consumption","posting date","01/01/23..12/31/23")/$J$7</t>
  </si>
  <si>
    <t>=AVERAGE(I2640:J2640)</t>
  </si>
  <si>
    <t>=NL(1,"item",L$9,"no.",D2640)</t>
  </si>
  <si>
    <t>=NL(1,"item",M$9,"no.",$D2640)</t>
  </si>
  <si>
    <t>=NL(1,"item","Units Per Parcel","no.",$D2640)</t>
  </si>
  <si>
    <t>=NL(1,"Prod. BOM Equipment","Fixed Prod. Time (Hours)","Production BOM No.",$D2640,"version code",$E2640,"Resource No.",O$9)</t>
  </si>
  <si>
    <t>=1/O2640</t>
  </si>
  <si>
    <t>=IF(NL(1,"Prod. BOM Equipment","Variable Prod. Time (Hours)","Production BOM No.",$D2640,"version code",$E2640,"Resource No.",$O$9)="",1,NL(1,"Prod. BOM Equipment","Variable Prod. Time (Hours)","Production BOM No.",$D2640,"version code",$E2640,"Resource No.",$O$9))</t>
  </si>
  <si>
    <t>=1/Q2640</t>
  </si>
  <si>
    <t>=R2640*N2640</t>
  </si>
  <si>
    <t>=IF(K2641=0,"hide","")</t>
  </si>
  <si>
    <t>=D2640</t>
  </si>
  <si>
    <t>=NL("sum","Production Order","Quantity","Source No.",$D2641,"Equipment Code",$L2641,"due date",F$8)/-12</t>
  </si>
  <si>
    <t>=NL("sum","Production Order","Quantity","Source No.",$D2641,"Equipment Code",$L2641,"due date",G$8)/-12</t>
  </si>
  <si>
    <t>=NL("sum","Production Order","Quantity","Source No.",$D2641,"Equipment Code",$L2641,"due date",H$8)/-12</t>
  </si>
  <si>
    <t>=NL("sum","Production Order","Quantity","Source No.",$D2641,"Equipment Code",$L2641,"due date",I$8)/-12</t>
  </si>
  <si>
    <t>=NL("sum","Production Order","Quantity","Source No.",$D2641,"Equipment Code",$L2641,"due date",J$8)/$J$7</t>
  </si>
  <si>
    <t>=AVERAGE(I2641:J2641)</t>
  </si>
  <si>
    <t>=IF(K2642=0,"hide","")</t>
  </si>
  <si>
    <t>=D2641</t>
  </si>
  <si>
    <t>=NL("sum","Production Order","Quantity","Source No.",$D2642,"Equipment Code",$L2642,"due date",F$8)/-12</t>
  </si>
  <si>
    <t>=NL("sum","Production Order","Quantity","Source No.",$D2642,"Equipment Code",$L2642,"due date",G$8)/-12</t>
  </si>
  <si>
    <t>=NL("sum","Production Order","Quantity","Source No.",$D2642,"Equipment Code",$L2642,"due date",H$8)/-12</t>
  </si>
  <si>
    <t>=NL("sum","Production Order","Quantity","Source No.",$D2642,"Equipment Code",$L2642,"due date",I$8)/-12</t>
  </si>
  <si>
    <t>=NL("sum","Production Order","Quantity","Source No.",$D2642,"Equipment Code",$L2642,"due date",J$8)/$J$7</t>
  </si>
  <si>
    <t>=AVERAGE(I2642:J2642)</t>
  </si>
  <si>
    <t>=IF(K2643=0,"hide","")</t>
  </si>
  <si>
    <t>=D2642</t>
  </si>
  <si>
    <t>=NL("sum","Production Order","Quantity","Source No.",$D2643,"Equipment Code",$L2643,"due date",F$8)/-12</t>
  </si>
  <si>
    <t>=NL("sum","Production Order","Quantity","Source No.",$D2643,"Equipment Code",$L2643,"due date",G$8)/-12</t>
  </si>
  <si>
    <t>=NL("sum","Production Order","Quantity","Source No.",$D2643,"Equipment Code",$L2643,"due date",H$8)/-12</t>
  </si>
  <si>
    <t>=NL("sum","Production Order","Quantity","Source No.",$D2643,"Equipment Code",$L2643,"due date",I$8)/-12</t>
  </si>
  <si>
    <t>=NL("sum","Production Order","Quantity","Source No.",$D2643,"Equipment Code",$L2643,"due date",J$8)/$J$7</t>
  </si>
  <si>
    <t>=AVERAGE(I2643:J2643)</t>
  </si>
  <si>
    <t>=IF(K2644=0,"hide","")</t>
  </si>
  <si>
    <t>=D2643</t>
  </si>
  <si>
    <t>=NL("sum","Production Order","Quantity","Source No.",$D2644,"Equipment Code",$L2644,"due date",F$8)/-12</t>
  </si>
  <si>
    <t>=NL("sum","Production Order","Quantity","Source No.",$D2644,"Equipment Code",$L2644,"due date",G$8)/-12</t>
  </si>
  <si>
    <t>=NL("sum","Production Order","Quantity","Source No.",$D2644,"Equipment Code",$L2644,"due date",H$8)/-12</t>
  </si>
  <si>
    <t>=NL("sum","Production Order","Quantity","Source No.",$D2644,"Equipment Code",$L2644,"due date",I$8)/-12</t>
  </si>
  <si>
    <t>=NL("sum","Production Order","Quantity","Source No.",$D2644,"Equipment Code",$L2644,"due date",J$8)/$J$7</t>
  </si>
  <si>
    <t>=AVERAGE(I2644:J2644)</t>
  </si>
  <si>
    <t>=B2641</t>
  </si>
  <si>
    <t>=B2645</t>
  </si>
  <si>
    <t>=SUM(F2641:F2645)</t>
  </si>
  <si>
    <t>=SUM(G2641:G2645)</t>
  </si>
  <si>
    <t>=SUM(H2641:H2645)</t>
  </si>
  <si>
    <t>=SUM(I2641:I2645)</t>
  </si>
  <si>
    <t>=SUM(J2641:J2645)</t>
  </si>
  <si>
    <t>=IF(K2647=0,"hide","")</t>
  </si>
  <si>
    <t>="36701"</t>
  </si>
  <si>
    <t>=NL("rows","Production BOM Version","Version Code","Production BOM No.",D2647,"status","certified")</t>
  </si>
  <si>
    <t>=NL("sum","Item Ledger Entry","Quantity","Item No.",$D2647,"Entry Type","Sale|Consumption","posting date","01/01/19..12/31/19")/-12</t>
  </si>
  <si>
    <t>=NL("sum","Item Ledger Entry","Quantity","Item No.",$D2647,"Entry Type","Sale|Consumption","posting date","01/01/20..12/31/20")/-12</t>
  </si>
  <si>
    <t>=NL("sum","Item Ledger Entry","Quantity","Item No.",$D2647,"Entry Type","Sale|Consumption","posting date","01/01/21..12/31/21")/-12</t>
  </si>
  <si>
    <t>=NL("sum","Item Ledger Entry","Quantity","Item No.",$D2647,"Entry Type","Sale|Consumption","posting date","01/01/22..12/31/22")/-12</t>
  </si>
  <si>
    <t>=NL("sum","Item Ledger Entry","Quantity","Item No.",$D2647,"Entry Type","Sale|Consumption","posting date","01/01/23..12/31/23")/$J$7</t>
  </si>
  <si>
    <t>=AVERAGE(I2647:J2647)</t>
  </si>
  <si>
    <t>=NL(1,"item",L$9,"no.",D2647)</t>
  </si>
  <si>
    <t>=NL(1,"item",M$9,"no.",$D2647)</t>
  </si>
  <si>
    <t>=NL(1,"item","Units Per Parcel","no.",$D2647)</t>
  </si>
  <si>
    <t>=NL(1,"Prod. BOM Equipment","Fixed Prod. Time (Hours)","Production BOM No.",$D2647,"version code",$E2647,"Resource No.",O$9)</t>
  </si>
  <si>
    <t>=1/O2647</t>
  </si>
  <si>
    <t>=IF(NL(1,"Prod. BOM Equipment","Variable Prod. Time (Hours)","Production BOM No.",$D2647,"version code",$E2647,"Resource No.",$O$9)="",1,NL(1,"Prod. BOM Equipment","Variable Prod. Time (Hours)","Production BOM No.",$D2647,"version code",$E2647,"Resource No.",$O$9))</t>
  </si>
  <si>
    <t>=1/Q2647</t>
  </si>
  <si>
    <t>=R2647*N2647</t>
  </si>
  <si>
    <t>=IF(K2648=0,"hide","")</t>
  </si>
  <si>
    <t>=D2647</t>
  </si>
  <si>
    <t>=NL("sum","Production Order","Quantity","Source No.",$D2648,"Equipment Code",$L2648,"due date",F$8)/-12</t>
  </si>
  <si>
    <t>=NL("sum","Production Order","Quantity","Source No.",$D2648,"Equipment Code",$L2648,"due date",G$8)/-12</t>
  </si>
  <si>
    <t>=NL("sum","Production Order","Quantity","Source No.",$D2648,"Equipment Code",$L2648,"due date",H$8)/-12</t>
  </si>
  <si>
    <t>=NL("sum","Production Order","Quantity","Source No.",$D2648,"Equipment Code",$L2648,"due date",I$8)/-12</t>
  </si>
  <si>
    <t>=NL("sum","Production Order","Quantity","Source No.",$D2648,"Equipment Code",$L2648,"due date",J$8)/$J$7</t>
  </si>
  <si>
    <t>=AVERAGE(I2648:J2648)</t>
  </si>
  <si>
    <t>=IF(K2649=0,"hide","")</t>
  </si>
  <si>
    <t>=D2648</t>
  </si>
  <si>
    <t>=NL("sum","Production Order","Quantity","Source No.",$D2649,"Equipment Code",$L2649,"due date",F$8)/-12</t>
  </si>
  <si>
    <t>=NL("sum","Production Order","Quantity","Source No.",$D2649,"Equipment Code",$L2649,"due date",G$8)/-12</t>
  </si>
  <si>
    <t>=NL("sum","Production Order","Quantity","Source No.",$D2649,"Equipment Code",$L2649,"due date",H$8)/-12</t>
  </si>
  <si>
    <t>=NL("sum","Production Order","Quantity","Source No.",$D2649,"Equipment Code",$L2649,"due date",I$8)/-12</t>
  </si>
  <si>
    <t>=NL("sum","Production Order","Quantity","Source No.",$D2649,"Equipment Code",$L2649,"due date",J$8)/$J$7</t>
  </si>
  <si>
    <t>=AVERAGE(I2649:J2649)</t>
  </si>
  <si>
    <t>=IF(K2650=0,"hide","")</t>
  </si>
  <si>
    <t>=D2649</t>
  </si>
  <si>
    <t>=NL("sum","Production Order","Quantity","Source No.",$D2650,"Equipment Code",$L2650,"due date",F$8)/-12</t>
  </si>
  <si>
    <t>=NL("sum","Production Order","Quantity","Source No.",$D2650,"Equipment Code",$L2650,"due date",G$8)/-12</t>
  </si>
  <si>
    <t>=NL("sum","Production Order","Quantity","Source No.",$D2650,"Equipment Code",$L2650,"due date",H$8)/-12</t>
  </si>
  <si>
    <t>=NL("sum","Production Order","Quantity","Source No.",$D2650,"Equipment Code",$L2650,"due date",I$8)/-12</t>
  </si>
  <si>
    <t>=NL("sum","Production Order","Quantity","Source No.",$D2650,"Equipment Code",$L2650,"due date",J$8)/$J$7</t>
  </si>
  <si>
    <t>=AVERAGE(I2650:J2650)</t>
  </si>
  <si>
    <t>=IF(K2651=0,"hide","")</t>
  </si>
  <si>
    <t>=D2650</t>
  </si>
  <si>
    <t>=NL("sum","Production Order","Quantity","Source No.",$D2651,"Equipment Code",$L2651,"due date",F$8)/-12</t>
  </si>
  <si>
    <t>=NL("sum","Production Order","Quantity","Source No.",$D2651,"Equipment Code",$L2651,"due date",G$8)/-12</t>
  </si>
  <si>
    <t>=NL("sum","Production Order","Quantity","Source No.",$D2651,"Equipment Code",$L2651,"due date",H$8)/-12</t>
  </si>
  <si>
    <t>=NL("sum","Production Order","Quantity","Source No.",$D2651,"Equipment Code",$L2651,"due date",I$8)/-12</t>
  </si>
  <si>
    <t>=NL("sum","Production Order","Quantity","Source No.",$D2651,"Equipment Code",$L2651,"due date",J$8)/$J$7</t>
  </si>
  <si>
    <t>=AVERAGE(I2651:J2651)</t>
  </si>
  <si>
    <t>=B2648</t>
  </si>
  <si>
    <t>=B2652</t>
  </si>
  <si>
    <t>=SUM(F2648:F2652)</t>
  </si>
  <si>
    <t>=SUM(G2648:G2652)</t>
  </si>
  <si>
    <t>=SUM(H2648:H2652)</t>
  </si>
  <si>
    <t>=SUM(I2648:I2652)</t>
  </si>
  <si>
    <t>=SUM(J2648:J2652)</t>
  </si>
  <si>
    <t>=IF(K2654=0,"hide","")</t>
  </si>
  <si>
    <t>="36706"</t>
  </si>
  <si>
    <t>=NL("rows","Production BOM Version","Version Code","Production BOM No.",D2654,"status","certified")</t>
  </si>
  <si>
    <t>=NL("sum","Item Ledger Entry","Quantity","Item No.",$D2654,"Entry Type","Sale|Consumption","posting date","01/01/19..12/31/19")/-12</t>
  </si>
  <si>
    <t>=NL("sum","Item Ledger Entry","Quantity","Item No.",$D2654,"Entry Type","Sale|Consumption","posting date","01/01/20..12/31/20")/-12</t>
  </si>
  <si>
    <t>=NL("sum","Item Ledger Entry","Quantity","Item No.",$D2654,"Entry Type","Sale|Consumption","posting date","01/01/21..12/31/21")/-12</t>
  </si>
  <si>
    <t>=NL("sum","Item Ledger Entry","Quantity","Item No.",$D2654,"Entry Type","Sale|Consumption","posting date","01/01/22..12/31/22")/-12</t>
  </si>
  <si>
    <t>=NL("sum","Item Ledger Entry","Quantity","Item No.",$D2654,"Entry Type","Sale|Consumption","posting date","01/01/23..12/31/23")/$J$7</t>
  </si>
  <si>
    <t>=AVERAGE(I2654:J2654)</t>
  </si>
  <si>
    <t>=NL(1,"item",L$9,"no.",D2654)</t>
  </si>
  <si>
    <t>=NL(1,"item",M$9,"no.",$D2654)</t>
  </si>
  <si>
    <t>=NL(1,"item","Units Per Parcel","no.",$D2654)</t>
  </si>
  <si>
    <t>=NL(1,"Prod. BOM Equipment","Fixed Prod. Time (Hours)","Production BOM No.",$D2654,"version code",$E2654,"Resource No.",O$9)</t>
  </si>
  <si>
    <t>=1/O2654</t>
  </si>
  <si>
    <t>=IF(NL(1,"Prod. BOM Equipment","Variable Prod. Time (Hours)","Production BOM No.",$D2654,"version code",$E2654,"Resource No.",$O$9)="",1,NL(1,"Prod. BOM Equipment","Variable Prod. Time (Hours)","Production BOM No.",$D2654,"version code",$E2654,"Resource No.",$O$9))</t>
  </si>
  <si>
    <t>=1/Q2654</t>
  </si>
  <si>
    <t>=R2654*N2654</t>
  </si>
  <si>
    <t>=IF(K2655=0,"hide","")</t>
  </si>
  <si>
    <t>=D2654</t>
  </si>
  <si>
    <t>=NL("sum","Production Order","Quantity","Source No.",$D2655,"Equipment Code",$L2655,"due date",F$8)/-12</t>
  </si>
  <si>
    <t>=NL("sum","Production Order","Quantity","Source No.",$D2655,"Equipment Code",$L2655,"due date",G$8)/-12</t>
  </si>
  <si>
    <t>=NL("sum","Production Order","Quantity","Source No.",$D2655,"Equipment Code",$L2655,"due date",H$8)/-12</t>
  </si>
  <si>
    <t>=NL("sum","Production Order","Quantity","Source No.",$D2655,"Equipment Code",$L2655,"due date",I$8)/-12</t>
  </si>
  <si>
    <t>=NL("sum","Production Order","Quantity","Source No.",$D2655,"Equipment Code",$L2655,"due date",J$8)/$J$7</t>
  </si>
  <si>
    <t>=AVERAGE(I2655:J2655)</t>
  </si>
  <si>
    <t>=IF(K2656=0,"hide","")</t>
  </si>
  <si>
    <t>=D2655</t>
  </si>
  <si>
    <t>=NL("sum","Production Order","Quantity","Source No.",$D2656,"Equipment Code",$L2656,"due date",F$8)/-12</t>
  </si>
  <si>
    <t>=NL("sum","Production Order","Quantity","Source No.",$D2656,"Equipment Code",$L2656,"due date",G$8)/-12</t>
  </si>
  <si>
    <t>=NL("sum","Production Order","Quantity","Source No.",$D2656,"Equipment Code",$L2656,"due date",H$8)/-12</t>
  </si>
  <si>
    <t>=NL("sum","Production Order","Quantity","Source No.",$D2656,"Equipment Code",$L2656,"due date",I$8)/-12</t>
  </si>
  <si>
    <t>=NL("sum","Production Order","Quantity","Source No.",$D2656,"Equipment Code",$L2656,"due date",J$8)/$J$7</t>
  </si>
  <si>
    <t>=AVERAGE(I2656:J2656)</t>
  </si>
  <si>
    <t>=IF(K2657=0,"hide","")</t>
  </si>
  <si>
    <t>=D2656</t>
  </si>
  <si>
    <t>=NL("sum","Production Order","Quantity","Source No.",$D2657,"Equipment Code",$L2657,"due date",F$8)/-12</t>
  </si>
  <si>
    <t>=NL("sum","Production Order","Quantity","Source No.",$D2657,"Equipment Code",$L2657,"due date",G$8)/-12</t>
  </si>
  <si>
    <t>=NL("sum","Production Order","Quantity","Source No.",$D2657,"Equipment Code",$L2657,"due date",H$8)/-12</t>
  </si>
  <si>
    <t>=NL("sum","Production Order","Quantity","Source No.",$D2657,"Equipment Code",$L2657,"due date",I$8)/-12</t>
  </si>
  <si>
    <t>=NL("sum","Production Order","Quantity","Source No.",$D2657,"Equipment Code",$L2657,"due date",J$8)/$J$7</t>
  </si>
  <si>
    <t>=AVERAGE(I2657:J2657)</t>
  </si>
  <si>
    <t>=IF(K2658=0,"hide","")</t>
  </si>
  <si>
    <t>=D2657</t>
  </si>
  <si>
    <t>=NL("sum","Production Order","Quantity","Source No.",$D2658,"Equipment Code",$L2658,"due date",F$8)/-12</t>
  </si>
  <si>
    <t>=NL("sum","Production Order","Quantity","Source No.",$D2658,"Equipment Code",$L2658,"due date",G$8)/-12</t>
  </si>
  <si>
    <t>=NL("sum","Production Order","Quantity","Source No.",$D2658,"Equipment Code",$L2658,"due date",H$8)/-12</t>
  </si>
  <si>
    <t>=NL("sum","Production Order","Quantity","Source No.",$D2658,"Equipment Code",$L2658,"due date",I$8)/-12</t>
  </si>
  <si>
    <t>=NL("sum","Production Order","Quantity","Source No.",$D2658,"Equipment Code",$L2658,"due date",J$8)/$J$7</t>
  </si>
  <si>
    <t>=AVERAGE(I2658:J2658)</t>
  </si>
  <si>
    <t>=B2655</t>
  </si>
  <si>
    <t>=B2659</t>
  </si>
  <si>
    <t>=SUM(F2655:F2659)</t>
  </si>
  <si>
    <t>=SUM(G2655:G2659)</t>
  </si>
  <si>
    <t>=SUM(H2655:H2659)</t>
  </si>
  <si>
    <t>=SUM(I2655:I2659)</t>
  </si>
  <si>
    <t>=SUM(J2655:J2659)</t>
  </si>
  <si>
    <t>=IF(K2661=0,"hide","")</t>
  </si>
  <si>
    <t>="36795"</t>
  </si>
  <si>
    <t>=NL("rows","Production BOM Version","Version Code","Production BOM No.",D2661,"status","certified")</t>
  </si>
  <si>
    <t>=NL("sum","Item Ledger Entry","Quantity","Item No.",$D2661,"Entry Type","Sale|Consumption","posting date","01/01/19..12/31/19")/-12</t>
  </si>
  <si>
    <t>=NL("sum","Item Ledger Entry","Quantity","Item No.",$D2661,"Entry Type","Sale|Consumption","posting date","01/01/20..12/31/20")/-12</t>
  </si>
  <si>
    <t>=NL("sum","Item Ledger Entry","Quantity","Item No.",$D2661,"Entry Type","Sale|Consumption","posting date","01/01/21..12/31/21")/-12</t>
  </si>
  <si>
    <t>=NL("sum","Item Ledger Entry","Quantity","Item No.",$D2661,"Entry Type","Sale|Consumption","posting date","01/01/22..12/31/22")/-12</t>
  </si>
  <si>
    <t>=NL("sum","Item Ledger Entry","Quantity","Item No.",$D2661,"Entry Type","Sale|Consumption","posting date","01/01/23..12/31/23")/$J$7</t>
  </si>
  <si>
    <t>=AVERAGE(I2661:J2661)</t>
  </si>
  <si>
    <t>=NL(1,"item",L$9,"no.",D2661)</t>
  </si>
  <si>
    <t>=NL(1,"item",M$9,"no.",$D2661)</t>
  </si>
  <si>
    <t>=NL(1,"item","Units Per Parcel","no.",$D2661)</t>
  </si>
  <si>
    <t>=NL(1,"Prod. BOM Equipment","Fixed Prod. Time (Hours)","Production BOM No.",$D2661,"version code",$E2661,"Resource No.",O$9)</t>
  </si>
  <si>
    <t>=1/O2661</t>
  </si>
  <si>
    <t>=IF(NL(1,"Prod. BOM Equipment","Variable Prod. Time (Hours)","Production BOM No.",$D2661,"version code",$E2661,"Resource No.",$O$9)="",1,NL(1,"Prod. BOM Equipment","Variable Prod. Time (Hours)","Production BOM No.",$D2661,"version code",$E2661,"Resource No.",$O$9))</t>
  </si>
  <si>
    <t>=1/Q2661</t>
  </si>
  <si>
    <t>=R2661*N2661</t>
  </si>
  <si>
    <t>=IF(K2662=0,"hide","")</t>
  </si>
  <si>
    <t>=D2661</t>
  </si>
  <si>
    <t>=NL("sum","Production Order","Quantity","Source No.",$D2662,"Equipment Code",$L2662,"due date",F$8)/-12</t>
  </si>
  <si>
    <t>=NL("sum","Production Order","Quantity","Source No.",$D2662,"Equipment Code",$L2662,"due date",G$8)/-12</t>
  </si>
  <si>
    <t>=NL("sum","Production Order","Quantity","Source No.",$D2662,"Equipment Code",$L2662,"due date",H$8)/-12</t>
  </si>
  <si>
    <t>=NL("sum","Production Order","Quantity","Source No.",$D2662,"Equipment Code",$L2662,"due date",I$8)/-12</t>
  </si>
  <si>
    <t>=NL("sum","Production Order","Quantity","Source No.",$D2662,"Equipment Code",$L2662,"due date",J$8)/$J$7</t>
  </si>
  <si>
    <t>=AVERAGE(I2662:J2662)</t>
  </si>
  <si>
    <t>=IF(K2663=0,"hide","")</t>
  </si>
  <si>
    <t>=D2662</t>
  </si>
  <si>
    <t>=NL("sum","Production Order","Quantity","Source No.",$D2663,"Equipment Code",$L2663,"due date",F$8)/-12</t>
  </si>
  <si>
    <t>=NL("sum","Production Order","Quantity","Source No.",$D2663,"Equipment Code",$L2663,"due date",G$8)/-12</t>
  </si>
  <si>
    <t>=NL("sum","Production Order","Quantity","Source No.",$D2663,"Equipment Code",$L2663,"due date",H$8)/-12</t>
  </si>
  <si>
    <t>=NL("sum","Production Order","Quantity","Source No.",$D2663,"Equipment Code",$L2663,"due date",I$8)/-12</t>
  </si>
  <si>
    <t>=NL("sum","Production Order","Quantity","Source No.",$D2663,"Equipment Code",$L2663,"due date",J$8)/$J$7</t>
  </si>
  <si>
    <t>=AVERAGE(I2663:J2663)</t>
  </si>
  <si>
    <t>=IF(K2664=0,"hide","")</t>
  </si>
  <si>
    <t>=D2663</t>
  </si>
  <si>
    <t>=NL("sum","Production Order","Quantity","Source No.",$D2664,"Equipment Code",$L2664,"due date",F$8)/-12</t>
  </si>
  <si>
    <t>=NL("sum","Production Order","Quantity","Source No.",$D2664,"Equipment Code",$L2664,"due date",G$8)/-12</t>
  </si>
  <si>
    <t>=NL("sum","Production Order","Quantity","Source No.",$D2664,"Equipment Code",$L2664,"due date",H$8)/-12</t>
  </si>
  <si>
    <t>=NL("sum","Production Order","Quantity","Source No.",$D2664,"Equipment Code",$L2664,"due date",I$8)/-12</t>
  </si>
  <si>
    <t>=NL("sum","Production Order","Quantity","Source No.",$D2664,"Equipment Code",$L2664,"due date",J$8)/$J$7</t>
  </si>
  <si>
    <t>=AVERAGE(I2664:J2664)</t>
  </si>
  <si>
    <t>=IF(K2665=0,"hide","")</t>
  </si>
  <si>
    <t>=D2664</t>
  </si>
  <si>
    <t>=NL("sum","Production Order","Quantity","Source No.",$D2665,"Equipment Code",$L2665,"due date",F$8)/-12</t>
  </si>
  <si>
    <t>=NL("sum","Production Order","Quantity","Source No.",$D2665,"Equipment Code",$L2665,"due date",G$8)/-12</t>
  </si>
  <si>
    <t>=NL("sum","Production Order","Quantity","Source No.",$D2665,"Equipment Code",$L2665,"due date",H$8)/-12</t>
  </si>
  <si>
    <t>=NL("sum","Production Order","Quantity","Source No.",$D2665,"Equipment Code",$L2665,"due date",I$8)/-12</t>
  </si>
  <si>
    <t>=NL("sum","Production Order","Quantity","Source No.",$D2665,"Equipment Code",$L2665,"due date",J$8)/$J$7</t>
  </si>
  <si>
    <t>=AVERAGE(I2665:J2665)</t>
  </si>
  <si>
    <t>=B2662</t>
  </si>
  <si>
    <t>=B2666</t>
  </si>
  <si>
    <t>=SUM(F2662:F2666)</t>
  </si>
  <si>
    <t>=SUM(G2662:G2666)</t>
  </si>
  <si>
    <t>=SUM(H2662:H2666)</t>
  </si>
  <si>
    <t>=SUM(I2662:I2666)</t>
  </si>
  <si>
    <t>=SUM(J2662:J2666)</t>
  </si>
  <si>
    <t>=IF(K2668=0,"hide","")</t>
  </si>
  <si>
    <t>="36895"</t>
  </si>
  <si>
    <t>=NL("rows","Production BOM Version","Version Code","Production BOM No.",D2668,"status","certified")</t>
  </si>
  <si>
    <t>=NL("sum","Item Ledger Entry","Quantity","Item No.",$D2668,"Entry Type","Sale|Consumption","posting date","01/01/19..12/31/19")/-12</t>
  </si>
  <si>
    <t>=NL("sum","Item Ledger Entry","Quantity","Item No.",$D2668,"Entry Type","Sale|Consumption","posting date","01/01/20..12/31/20")/-12</t>
  </si>
  <si>
    <t>=NL("sum","Item Ledger Entry","Quantity","Item No.",$D2668,"Entry Type","Sale|Consumption","posting date","01/01/21..12/31/21")/-12</t>
  </si>
  <si>
    <t>=NL("sum","Item Ledger Entry","Quantity","Item No.",$D2668,"Entry Type","Sale|Consumption","posting date","01/01/22..12/31/22")/-12</t>
  </si>
  <si>
    <t>=NL("sum","Item Ledger Entry","Quantity","Item No.",$D2668,"Entry Type","Sale|Consumption","posting date","01/01/23..12/31/23")/$J$7</t>
  </si>
  <si>
    <t>=AVERAGE(I2668:J2668)</t>
  </si>
  <si>
    <t>=NL(1,"item",L$9,"no.",D2668)</t>
  </si>
  <si>
    <t>=NL(1,"item",M$9,"no.",$D2668)</t>
  </si>
  <si>
    <t>=NL(1,"item","Units Per Parcel","no.",$D2668)</t>
  </si>
  <si>
    <t>=NL(1,"Prod. BOM Equipment","Fixed Prod. Time (Hours)","Production BOM No.",$D2668,"version code",$E2668,"Resource No.",O$9)</t>
  </si>
  <si>
    <t>=1/O2668</t>
  </si>
  <si>
    <t>=IF(NL(1,"Prod. BOM Equipment","Variable Prod. Time (Hours)","Production BOM No.",$D2668,"version code",$E2668,"Resource No.",$O$9)="",1,NL(1,"Prod. BOM Equipment","Variable Prod. Time (Hours)","Production BOM No.",$D2668,"version code",$E2668,"Resource No.",$O$9))</t>
  </si>
  <si>
    <t>=1/Q2668</t>
  </si>
  <si>
    <t>=R2668*N2668</t>
  </si>
  <si>
    <t>=IF(K2669=0,"hide","")</t>
  </si>
  <si>
    <t>=D2668</t>
  </si>
  <si>
    <t>=NL("sum","Production Order","Quantity","Source No.",$D2669,"Equipment Code",$L2669,"due date",F$8)/-12</t>
  </si>
  <si>
    <t>=NL("sum","Production Order","Quantity","Source No.",$D2669,"Equipment Code",$L2669,"due date",G$8)/-12</t>
  </si>
  <si>
    <t>=NL("sum","Production Order","Quantity","Source No.",$D2669,"Equipment Code",$L2669,"due date",H$8)/-12</t>
  </si>
  <si>
    <t>=NL("sum","Production Order","Quantity","Source No.",$D2669,"Equipment Code",$L2669,"due date",I$8)/-12</t>
  </si>
  <si>
    <t>=NL("sum","Production Order","Quantity","Source No.",$D2669,"Equipment Code",$L2669,"due date",J$8)/$J$7</t>
  </si>
  <si>
    <t>=AVERAGE(I2669:J2669)</t>
  </si>
  <si>
    <t>=IF(K2670=0,"hide","")</t>
  </si>
  <si>
    <t>=D2669</t>
  </si>
  <si>
    <t>=NL("sum","Production Order","Quantity","Source No.",$D2670,"Equipment Code",$L2670,"due date",F$8)/-12</t>
  </si>
  <si>
    <t>=NL("sum","Production Order","Quantity","Source No.",$D2670,"Equipment Code",$L2670,"due date",G$8)/-12</t>
  </si>
  <si>
    <t>=NL("sum","Production Order","Quantity","Source No.",$D2670,"Equipment Code",$L2670,"due date",H$8)/-12</t>
  </si>
  <si>
    <t>=NL("sum","Production Order","Quantity","Source No.",$D2670,"Equipment Code",$L2670,"due date",I$8)/-12</t>
  </si>
  <si>
    <t>=NL("sum","Production Order","Quantity","Source No.",$D2670,"Equipment Code",$L2670,"due date",J$8)/$J$7</t>
  </si>
  <si>
    <t>=AVERAGE(I2670:J2670)</t>
  </si>
  <si>
    <t>=IF(K2671=0,"hide","")</t>
  </si>
  <si>
    <t>=D2670</t>
  </si>
  <si>
    <t>=NL("sum","Production Order","Quantity","Source No.",$D2671,"Equipment Code",$L2671,"due date",F$8)/-12</t>
  </si>
  <si>
    <t>=NL("sum","Production Order","Quantity","Source No.",$D2671,"Equipment Code",$L2671,"due date",G$8)/-12</t>
  </si>
  <si>
    <t>=NL("sum","Production Order","Quantity","Source No.",$D2671,"Equipment Code",$L2671,"due date",H$8)/-12</t>
  </si>
  <si>
    <t>=NL("sum","Production Order","Quantity","Source No.",$D2671,"Equipment Code",$L2671,"due date",I$8)/-12</t>
  </si>
  <si>
    <t>=NL("sum","Production Order","Quantity","Source No.",$D2671,"Equipment Code",$L2671,"due date",J$8)/$J$7</t>
  </si>
  <si>
    <t>=AVERAGE(I2671:J2671)</t>
  </si>
  <si>
    <t>=IF(K2672=0,"hide","")</t>
  </si>
  <si>
    <t>=D2671</t>
  </si>
  <si>
    <t>=NL("sum","Production Order","Quantity","Source No.",$D2672,"Equipment Code",$L2672,"due date",F$8)/-12</t>
  </si>
  <si>
    <t>=NL("sum","Production Order","Quantity","Source No.",$D2672,"Equipment Code",$L2672,"due date",G$8)/-12</t>
  </si>
  <si>
    <t>=NL("sum","Production Order","Quantity","Source No.",$D2672,"Equipment Code",$L2672,"due date",H$8)/-12</t>
  </si>
  <si>
    <t>=NL("sum","Production Order","Quantity","Source No.",$D2672,"Equipment Code",$L2672,"due date",I$8)/-12</t>
  </si>
  <si>
    <t>=NL("sum","Production Order","Quantity","Source No.",$D2672,"Equipment Code",$L2672,"due date",J$8)/$J$7</t>
  </si>
  <si>
    <t>=AVERAGE(I2672:J2672)</t>
  </si>
  <si>
    <t>=B2669</t>
  </si>
  <si>
    <t>=B2673</t>
  </si>
  <si>
    <t>=SUM(F2669:F2673)</t>
  </si>
  <si>
    <t>=SUM(G2669:G2673)</t>
  </si>
  <si>
    <t>=SUM(H2669:H2673)</t>
  </si>
  <si>
    <t>=SUM(I2669:I2673)</t>
  </si>
  <si>
    <t>=SUM(J2669:J2673)</t>
  </si>
  <si>
    <t>=IF(K2675=0,"hide","")</t>
  </si>
  <si>
    <t>="37101"</t>
  </si>
  <si>
    <t>=NL("rows","Production BOM Version","Version Code","Production BOM No.",D2675,"status","certified")</t>
  </si>
  <si>
    <t>=NL("sum","Item Ledger Entry","Quantity","Item No.",$D2675,"Entry Type","Sale|Consumption","posting date","01/01/19..12/31/19")/-12</t>
  </si>
  <si>
    <t>=NL("sum","Item Ledger Entry","Quantity","Item No.",$D2675,"Entry Type","Sale|Consumption","posting date","01/01/20..12/31/20")/-12</t>
  </si>
  <si>
    <t>=NL("sum","Item Ledger Entry","Quantity","Item No.",$D2675,"Entry Type","Sale|Consumption","posting date","01/01/21..12/31/21")/-12</t>
  </si>
  <si>
    <t>=NL("sum","Item Ledger Entry","Quantity","Item No.",$D2675,"Entry Type","Sale|Consumption","posting date","01/01/22..12/31/22")/-12</t>
  </si>
  <si>
    <t>=NL("sum","Item Ledger Entry","Quantity","Item No.",$D2675,"Entry Type","Sale|Consumption","posting date","01/01/23..12/31/23")/$J$7</t>
  </si>
  <si>
    <t>=AVERAGE(I2675:J2675)</t>
  </si>
  <si>
    <t>=NL(1,"item",L$9,"no.",D2675)</t>
  </si>
  <si>
    <t>=NL(1,"item",M$9,"no.",$D2675)</t>
  </si>
  <si>
    <t>=NL(1,"item","Units Per Parcel","no.",$D2675)</t>
  </si>
  <si>
    <t>=NL(1,"Prod. BOM Equipment","Fixed Prod. Time (Hours)","Production BOM No.",$D2675,"version code",$E2675,"Resource No.",O$9)</t>
  </si>
  <si>
    <t>=1/O2675</t>
  </si>
  <si>
    <t>=IF(NL(1,"Prod. BOM Equipment","Variable Prod. Time (Hours)","Production BOM No.",$D2675,"version code",$E2675,"Resource No.",$O$9)="",1,NL(1,"Prod. BOM Equipment","Variable Prod. Time (Hours)","Production BOM No.",$D2675,"version code",$E2675,"Resource No.",$O$9))</t>
  </si>
  <si>
    <t>=1/Q2675</t>
  </si>
  <si>
    <t>=R2675*N2675</t>
  </si>
  <si>
    <t>=IF(K2676=0,"hide","")</t>
  </si>
  <si>
    <t>=D2675</t>
  </si>
  <si>
    <t>=NL("sum","Production Order","Quantity","Source No.",$D2676,"Equipment Code",$L2676,"due date",F$8)/-12</t>
  </si>
  <si>
    <t>=NL("sum","Production Order","Quantity","Source No.",$D2676,"Equipment Code",$L2676,"due date",G$8)/-12</t>
  </si>
  <si>
    <t>=NL("sum","Production Order","Quantity","Source No.",$D2676,"Equipment Code",$L2676,"due date",H$8)/-12</t>
  </si>
  <si>
    <t>=NL("sum","Production Order","Quantity","Source No.",$D2676,"Equipment Code",$L2676,"due date",I$8)/-12</t>
  </si>
  <si>
    <t>=NL("sum","Production Order","Quantity","Source No.",$D2676,"Equipment Code",$L2676,"due date",J$8)/$J$7</t>
  </si>
  <si>
    <t>=AVERAGE(I2676:J2676)</t>
  </si>
  <si>
    <t>=IF(K2677=0,"hide","")</t>
  </si>
  <si>
    <t>=D2676</t>
  </si>
  <si>
    <t>=NL("sum","Production Order","Quantity","Source No.",$D2677,"Equipment Code",$L2677,"due date",F$8)/-12</t>
  </si>
  <si>
    <t>=NL("sum","Production Order","Quantity","Source No.",$D2677,"Equipment Code",$L2677,"due date",G$8)/-12</t>
  </si>
  <si>
    <t>=NL("sum","Production Order","Quantity","Source No.",$D2677,"Equipment Code",$L2677,"due date",H$8)/-12</t>
  </si>
  <si>
    <t>=NL("sum","Production Order","Quantity","Source No.",$D2677,"Equipment Code",$L2677,"due date",I$8)/-12</t>
  </si>
  <si>
    <t>=NL("sum","Production Order","Quantity","Source No.",$D2677,"Equipment Code",$L2677,"due date",J$8)/$J$7</t>
  </si>
  <si>
    <t>=AVERAGE(I2677:J2677)</t>
  </si>
  <si>
    <t>=IF(K2678=0,"hide","")</t>
  </si>
  <si>
    <t>=D2677</t>
  </si>
  <si>
    <t>=NL("sum","Production Order","Quantity","Source No.",$D2678,"Equipment Code",$L2678,"due date",F$8)/-12</t>
  </si>
  <si>
    <t>=NL("sum","Production Order","Quantity","Source No.",$D2678,"Equipment Code",$L2678,"due date",G$8)/-12</t>
  </si>
  <si>
    <t>=NL("sum","Production Order","Quantity","Source No.",$D2678,"Equipment Code",$L2678,"due date",H$8)/-12</t>
  </si>
  <si>
    <t>=NL("sum","Production Order","Quantity","Source No.",$D2678,"Equipment Code",$L2678,"due date",I$8)/-12</t>
  </si>
  <si>
    <t>=NL("sum","Production Order","Quantity","Source No.",$D2678,"Equipment Code",$L2678,"due date",J$8)/$J$7</t>
  </si>
  <si>
    <t>=AVERAGE(I2678:J2678)</t>
  </si>
  <si>
    <t>=IF(K2679=0,"hide","")</t>
  </si>
  <si>
    <t>=D2678</t>
  </si>
  <si>
    <t>=NL("sum","Production Order","Quantity","Source No.",$D2679,"Equipment Code",$L2679,"due date",F$8)/-12</t>
  </si>
  <si>
    <t>=NL("sum","Production Order","Quantity","Source No.",$D2679,"Equipment Code",$L2679,"due date",G$8)/-12</t>
  </si>
  <si>
    <t>=NL("sum","Production Order","Quantity","Source No.",$D2679,"Equipment Code",$L2679,"due date",H$8)/-12</t>
  </si>
  <si>
    <t>=NL("sum","Production Order","Quantity","Source No.",$D2679,"Equipment Code",$L2679,"due date",I$8)/-12</t>
  </si>
  <si>
    <t>=NL("sum","Production Order","Quantity","Source No.",$D2679,"Equipment Code",$L2679,"due date",J$8)/$J$7</t>
  </si>
  <si>
    <t>=AVERAGE(I2679:J2679)</t>
  </si>
  <si>
    <t>=B2676</t>
  </si>
  <si>
    <t>=B2680</t>
  </si>
  <si>
    <t>=SUM(F2676:F2680)</t>
  </si>
  <si>
    <t>=SUM(G2676:G2680)</t>
  </si>
  <si>
    <t>=SUM(H2676:H2680)</t>
  </si>
  <si>
    <t>=SUM(I2676:I2680)</t>
  </si>
  <si>
    <t>=SUM(J2676:J2680)</t>
  </si>
  <si>
    <t>=IF(K2682=0,"hide","")</t>
  </si>
  <si>
    <t>="37105"</t>
  </si>
  <si>
    <t>=NL("rows","Production BOM Version","Version Code","Production BOM No.",D2682,"status","certified")</t>
  </si>
  <si>
    <t>=NL("sum","Item Ledger Entry","Quantity","Item No.",$D2682,"Entry Type","Sale|Consumption","posting date","01/01/19..12/31/19")/-12</t>
  </si>
  <si>
    <t>=NL("sum","Item Ledger Entry","Quantity","Item No.",$D2682,"Entry Type","Sale|Consumption","posting date","01/01/20..12/31/20")/-12</t>
  </si>
  <si>
    <t>=NL("sum","Item Ledger Entry","Quantity","Item No.",$D2682,"Entry Type","Sale|Consumption","posting date","01/01/21..12/31/21")/-12</t>
  </si>
  <si>
    <t>=NL("sum","Item Ledger Entry","Quantity","Item No.",$D2682,"Entry Type","Sale|Consumption","posting date","01/01/22..12/31/22")/-12</t>
  </si>
  <si>
    <t>=NL("sum","Item Ledger Entry","Quantity","Item No.",$D2682,"Entry Type","Sale|Consumption","posting date","01/01/23..12/31/23")/$J$7</t>
  </si>
  <si>
    <t>=AVERAGE(I2682:J2682)</t>
  </si>
  <si>
    <t>=NL(1,"item",L$9,"no.",D2682)</t>
  </si>
  <si>
    <t>=NL(1,"item",M$9,"no.",$D2682)</t>
  </si>
  <si>
    <t>=NL(1,"item","Units Per Parcel","no.",$D2682)</t>
  </si>
  <si>
    <t>=NL(1,"Prod. BOM Equipment","Fixed Prod. Time (Hours)","Production BOM No.",$D2682,"version code",$E2682,"Resource No.",O$9)</t>
  </si>
  <si>
    <t>=1/O2682</t>
  </si>
  <si>
    <t>=IF(NL(1,"Prod. BOM Equipment","Variable Prod. Time (Hours)","Production BOM No.",$D2682,"version code",$E2682,"Resource No.",$O$9)="",1,NL(1,"Prod. BOM Equipment","Variable Prod. Time (Hours)","Production BOM No.",$D2682,"version code",$E2682,"Resource No.",$O$9))</t>
  </si>
  <si>
    <t>=1/Q2682</t>
  </si>
  <si>
    <t>=R2682*N2682</t>
  </si>
  <si>
    <t>=IF(K2683=0,"hide","")</t>
  </si>
  <si>
    <t>=D2682</t>
  </si>
  <si>
    <t>=NL("sum","Production Order","Quantity","Source No.",$D2683,"Equipment Code",$L2683,"due date",F$8)/-12</t>
  </si>
  <si>
    <t>=NL("sum","Production Order","Quantity","Source No.",$D2683,"Equipment Code",$L2683,"due date",G$8)/-12</t>
  </si>
  <si>
    <t>=NL("sum","Production Order","Quantity","Source No.",$D2683,"Equipment Code",$L2683,"due date",H$8)/-12</t>
  </si>
  <si>
    <t>=NL("sum","Production Order","Quantity","Source No.",$D2683,"Equipment Code",$L2683,"due date",I$8)/-12</t>
  </si>
  <si>
    <t>=NL("sum","Production Order","Quantity","Source No.",$D2683,"Equipment Code",$L2683,"due date",J$8)/$J$7</t>
  </si>
  <si>
    <t>=AVERAGE(I2683:J2683)</t>
  </si>
  <si>
    <t>=IF(K2684=0,"hide","")</t>
  </si>
  <si>
    <t>=D2683</t>
  </si>
  <si>
    <t>=NL("sum","Production Order","Quantity","Source No.",$D2684,"Equipment Code",$L2684,"due date",F$8)/-12</t>
  </si>
  <si>
    <t>=NL("sum","Production Order","Quantity","Source No.",$D2684,"Equipment Code",$L2684,"due date",G$8)/-12</t>
  </si>
  <si>
    <t>=NL("sum","Production Order","Quantity","Source No.",$D2684,"Equipment Code",$L2684,"due date",H$8)/-12</t>
  </si>
  <si>
    <t>=NL("sum","Production Order","Quantity","Source No.",$D2684,"Equipment Code",$L2684,"due date",I$8)/-12</t>
  </si>
  <si>
    <t>=NL("sum","Production Order","Quantity","Source No.",$D2684,"Equipment Code",$L2684,"due date",J$8)/$J$7</t>
  </si>
  <si>
    <t>=AVERAGE(I2684:J2684)</t>
  </si>
  <si>
    <t>=IF(K2685=0,"hide","")</t>
  </si>
  <si>
    <t>=D2684</t>
  </si>
  <si>
    <t>=NL("sum","Production Order","Quantity","Source No.",$D2685,"Equipment Code",$L2685,"due date",F$8)/-12</t>
  </si>
  <si>
    <t>=NL("sum","Production Order","Quantity","Source No.",$D2685,"Equipment Code",$L2685,"due date",G$8)/-12</t>
  </si>
  <si>
    <t>=NL("sum","Production Order","Quantity","Source No.",$D2685,"Equipment Code",$L2685,"due date",H$8)/-12</t>
  </si>
  <si>
    <t>=NL("sum","Production Order","Quantity","Source No.",$D2685,"Equipment Code",$L2685,"due date",I$8)/-12</t>
  </si>
  <si>
    <t>=NL("sum","Production Order","Quantity","Source No.",$D2685,"Equipment Code",$L2685,"due date",J$8)/$J$7</t>
  </si>
  <si>
    <t>=AVERAGE(I2685:J2685)</t>
  </si>
  <si>
    <t>=IF(K2686=0,"hide","")</t>
  </si>
  <si>
    <t>=D2685</t>
  </si>
  <si>
    <t>=NL("sum","Production Order","Quantity","Source No.",$D2686,"Equipment Code",$L2686,"due date",F$8)/-12</t>
  </si>
  <si>
    <t>=NL("sum","Production Order","Quantity","Source No.",$D2686,"Equipment Code",$L2686,"due date",G$8)/-12</t>
  </si>
  <si>
    <t>=NL("sum","Production Order","Quantity","Source No.",$D2686,"Equipment Code",$L2686,"due date",H$8)/-12</t>
  </si>
  <si>
    <t>=NL("sum","Production Order","Quantity","Source No.",$D2686,"Equipment Code",$L2686,"due date",I$8)/-12</t>
  </si>
  <si>
    <t>=NL("sum","Production Order","Quantity","Source No.",$D2686,"Equipment Code",$L2686,"due date",J$8)/$J$7</t>
  </si>
  <si>
    <t>=AVERAGE(I2686:J2686)</t>
  </si>
  <si>
    <t>=B2683</t>
  </si>
  <si>
    <t>=B2687</t>
  </si>
  <si>
    <t>=SUM(F2683:F2687)</t>
  </si>
  <si>
    <t>=SUM(G2683:G2687)</t>
  </si>
  <si>
    <t>=SUM(H2683:H2687)</t>
  </si>
  <si>
    <t>=SUM(I2683:I2687)</t>
  </si>
  <si>
    <t>=SUM(J2683:J2687)</t>
  </si>
  <si>
    <t>=IF(K2689=0,"hide","")</t>
  </si>
  <si>
    <t>="37136"</t>
  </si>
  <si>
    <t>=NL("rows","Production BOM Version","Version Code","Production BOM No.",D2689,"status","certified")</t>
  </si>
  <si>
    <t>=NL("sum","Item Ledger Entry","Quantity","Item No.",$D2689,"Entry Type","Sale|Consumption","posting date","01/01/19..12/31/19")/-12</t>
  </si>
  <si>
    <t>=NL("sum","Item Ledger Entry","Quantity","Item No.",$D2689,"Entry Type","Sale|Consumption","posting date","01/01/20..12/31/20")/-12</t>
  </si>
  <si>
    <t>=NL("sum","Item Ledger Entry","Quantity","Item No.",$D2689,"Entry Type","Sale|Consumption","posting date","01/01/21..12/31/21")/-12</t>
  </si>
  <si>
    <t>=NL("sum","Item Ledger Entry","Quantity","Item No.",$D2689,"Entry Type","Sale|Consumption","posting date","01/01/22..12/31/22")/-12</t>
  </si>
  <si>
    <t>=NL("sum","Item Ledger Entry","Quantity","Item No.",$D2689,"Entry Type","Sale|Consumption","posting date","01/01/23..12/31/23")/$J$7</t>
  </si>
  <si>
    <t>=AVERAGE(I2689:J2689)</t>
  </si>
  <si>
    <t>=NL(1,"item",L$9,"no.",D2689)</t>
  </si>
  <si>
    <t>=NL(1,"item",M$9,"no.",$D2689)</t>
  </si>
  <si>
    <t>=NL(1,"item","Units Per Parcel","no.",$D2689)</t>
  </si>
  <si>
    <t>=NL(1,"Prod. BOM Equipment","Fixed Prod. Time (Hours)","Production BOM No.",$D2689,"version code",$E2689,"Resource No.",O$9)</t>
  </si>
  <si>
    <t>=1/O2689</t>
  </si>
  <si>
    <t>=IF(NL(1,"Prod. BOM Equipment","Variable Prod. Time (Hours)","Production BOM No.",$D2689,"version code",$E2689,"Resource No.",$O$9)="",1,NL(1,"Prod. BOM Equipment","Variable Prod. Time (Hours)","Production BOM No.",$D2689,"version code",$E2689,"Resource No.",$O$9))</t>
  </si>
  <si>
    <t>=1/Q2689</t>
  </si>
  <si>
    <t>=R2689*N2689</t>
  </si>
  <si>
    <t>=IF(K2690=0,"hide","")</t>
  </si>
  <si>
    <t>=D2689</t>
  </si>
  <si>
    <t>=NL("sum","Production Order","Quantity","Source No.",$D2690,"Equipment Code",$L2690,"due date",F$8)/-12</t>
  </si>
  <si>
    <t>=NL("sum","Production Order","Quantity","Source No.",$D2690,"Equipment Code",$L2690,"due date",G$8)/-12</t>
  </si>
  <si>
    <t>=NL("sum","Production Order","Quantity","Source No.",$D2690,"Equipment Code",$L2690,"due date",H$8)/-12</t>
  </si>
  <si>
    <t>=NL("sum","Production Order","Quantity","Source No.",$D2690,"Equipment Code",$L2690,"due date",I$8)/-12</t>
  </si>
  <si>
    <t>=NL("sum","Production Order","Quantity","Source No.",$D2690,"Equipment Code",$L2690,"due date",J$8)/$J$7</t>
  </si>
  <si>
    <t>=AVERAGE(I2690:J2690)</t>
  </si>
  <si>
    <t>=IF(K2691=0,"hide","")</t>
  </si>
  <si>
    <t>=D2690</t>
  </si>
  <si>
    <t>=NL("sum","Production Order","Quantity","Source No.",$D2691,"Equipment Code",$L2691,"due date",F$8)/-12</t>
  </si>
  <si>
    <t>=NL("sum","Production Order","Quantity","Source No.",$D2691,"Equipment Code",$L2691,"due date",G$8)/-12</t>
  </si>
  <si>
    <t>=NL("sum","Production Order","Quantity","Source No.",$D2691,"Equipment Code",$L2691,"due date",H$8)/-12</t>
  </si>
  <si>
    <t>=NL("sum","Production Order","Quantity","Source No.",$D2691,"Equipment Code",$L2691,"due date",I$8)/-12</t>
  </si>
  <si>
    <t>=NL("sum","Production Order","Quantity","Source No.",$D2691,"Equipment Code",$L2691,"due date",J$8)/$J$7</t>
  </si>
  <si>
    <t>=AVERAGE(I2691:J2691)</t>
  </si>
  <si>
    <t>=IF(K2692=0,"hide","")</t>
  </si>
  <si>
    <t>=D2691</t>
  </si>
  <si>
    <t>=NL("sum","Production Order","Quantity","Source No.",$D2692,"Equipment Code",$L2692,"due date",F$8)/-12</t>
  </si>
  <si>
    <t>=NL("sum","Production Order","Quantity","Source No.",$D2692,"Equipment Code",$L2692,"due date",G$8)/-12</t>
  </si>
  <si>
    <t>=NL("sum","Production Order","Quantity","Source No.",$D2692,"Equipment Code",$L2692,"due date",H$8)/-12</t>
  </si>
  <si>
    <t>=NL("sum","Production Order","Quantity","Source No.",$D2692,"Equipment Code",$L2692,"due date",I$8)/-12</t>
  </si>
  <si>
    <t>=NL("sum","Production Order","Quantity","Source No.",$D2692,"Equipment Code",$L2692,"due date",J$8)/$J$7</t>
  </si>
  <si>
    <t>=AVERAGE(I2692:J2692)</t>
  </si>
  <si>
    <t>=IF(K2693=0,"hide","")</t>
  </si>
  <si>
    <t>=D2692</t>
  </si>
  <si>
    <t>=NL("sum","Production Order","Quantity","Source No.",$D2693,"Equipment Code",$L2693,"due date",F$8)/-12</t>
  </si>
  <si>
    <t>=NL("sum","Production Order","Quantity","Source No.",$D2693,"Equipment Code",$L2693,"due date",G$8)/-12</t>
  </si>
  <si>
    <t>=NL("sum","Production Order","Quantity","Source No.",$D2693,"Equipment Code",$L2693,"due date",H$8)/-12</t>
  </si>
  <si>
    <t>=NL("sum","Production Order","Quantity","Source No.",$D2693,"Equipment Code",$L2693,"due date",I$8)/-12</t>
  </si>
  <si>
    <t>=NL("sum","Production Order","Quantity","Source No.",$D2693,"Equipment Code",$L2693,"due date",J$8)/$J$7</t>
  </si>
  <si>
    <t>=AVERAGE(I2693:J2693)</t>
  </si>
  <si>
    <t>=B2690</t>
  </si>
  <si>
    <t>=B2694</t>
  </si>
  <si>
    <t>=SUM(F2690:F2694)</t>
  </si>
  <si>
    <t>=SUM(G2690:G2694)</t>
  </si>
  <si>
    <t>=SUM(H2690:H2694)</t>
  </si>
  <si>
    <t>=SUM(I2690:I2694)</t>
  </si>
  <si>
    <t>=SUM(J2690:J2694)</t>
  </si>
  <si>
    <t>=IF(K2696=0,"hide","")</t>
  </si>
  <si>
    <t>="37140"</t>
  </si>
  <si>
    <t>=NL("rows","Production BOM Version","Version Code","Production BOM No.",D2696,"status","certified")</t>
  </si>
  <si>
    <t>=NL("sum","Item Ledger Entry","Quantity","Item No.",$D2696,"Entry Type","Sale|Consumption","posting date","01/01/19..12/31/19")/-12</t>
  </si>
  <si>
    <t>=NL("sum","Item Ledger Entry","Quantity","Item No.",$D2696,"Entry Type","Sale|Consumption","posting date","01/01/20..12/31/20")/-12</t>
  </si>
  <si>
    <t>=NL("sum","Item Ledger Entry","Quantity","Item No.",$D2696,"Entry Type","Sale|Consumption","posting date","01/01/21..12/31/21")/-12</t>
  </si>
  <si>
    <t>=NL("sum","Item Ledger Entry","Quantity","Item No.",$D2696,"Entry Type","Sale|Consumption","posting date","01/01/22..12/31/22")/-12</t>
  </si>
  <si>
    <t>=NL("sum","Item Ledger Entry","Quantity","Item No.",$D2696,"Entry Type","Sale|Consumption","posting date","01/01/23..12/31/23")/$J$7</t>
  </si>
  <si>
    <t>=AVERAGE(I2696:J2696)</t>
  </si>
  <si>
    <t>=NL(1,"item",L$9,"no.",D2696)</t>
  </si>
  <si>
    <t>=NL(1,"item",M$9,"no.",$D2696)</t>
  </si>
  <si>
    <t>=NL(1,"item","Units Per Parcel","no.",$D2696)</t>
  </si>
  <si>
    <t>=NL(1,"Prod. BOM Equipment","Fixed Prod. Time (Hours)","Production BOM No.",$D2696,"version code",$E2696,"Resource No.",O$9)</t>
  </si>
  <si>
    <t>=1/O2696</t>
  </si>
  <si>
    <t>=IF(NL(1,"Prod. BOM Equipment","Variable Prod. Time (Hours)","Production BOM No.",$D2696,"version code",$E2696,"Resource No.",$O$9)="",1,NL(1,"Prod. BOM Equipment","Variable Prod. Time (Hours)","Production BOM No.",$D2696,"version code",$E2696,"Resource No.",$O$9))</t>
  </si>
  <si>
    <t>=1/Q2696</t>
  </si>
  <si>
    <t>=R2696*N2696</t>
  </si>
  <si>
    <t>=IF(K2697=0,"hide","")</t>
  </si>
  <si>
    <t>=D2696</t>
  </si>
  <si>
    <t>=NL("sum","Production Order","Quantity","Source No.",$D2697,"Equipment Code",$L2697,"due date",F$8)/-12</t>
  </si>
  <si>
    <t>=NL("sum","Production Order","Quantity","Source No.",$D2697,"Equipment Code",$L2697,"due date",G$8)/-12</t>
  </si>
  <si>
    <t>=NL("sum","Production Order","Quantity","Source No.",$D2697,"Equipment Code",$L2697,"due date",H$8)/-12</t>
  </si>
  <si>
    <t>=NL("sum","Production Order","Quantity","Source No.",$D2697,"Equipment Code",$L2697,"due date",I$8)/-12</t>
  </si>
  <si>
    <t>=NL("sum","Production Order","Quantity","Source No.",$D2697,"Equipment Code",$L2697,"due date",J$8)/$J$7</t>
  </si>
  <si>
    <t>=AVERAGE(I2697:J2697)</t>
  </si>
  <si>
    <t>=IF(K2698=0,"hide","")</t>
  </si>
  <si>
    <t>=D2697</t>
  </si>
  <si>
    <t>=NL("sum","Production Order","Quantity","Source No.",$D2698,"Equipment Code",$L2698,"due date",F$8)/-12</t>
  </si>
  <si>
    <t>=NL("sum","Production Order","Quantity","Source No.",$D2698,"Equipment Code",$L2698,"due date",G$8)/-12</t>
  </si>
  <si>
    <t>=NL("sum","Production Order","Quantity","Source No.",$D2698,"Equipment Code",$L2698,"due date",H$8)/-12</t>
  </si>
  <si>
    <t>=NL("sum","Production Order","Quantity","Source No.",$D2698,"Equipment Code",$L2698,"due date",I$8)/-12</t>
  </si>
  <si>
    <t>=NL("sum","Production Order","Quantity","Source No.",$D2698,"Equipment Code",$L2698,"due date",J$8)/$J$7</t>
  </si>
  <si>
    <t>=AVERAGE(I2698:J2698)</t>
  </si>
  <si>
    <t>=IF(K2699=0,"hide","")</t>
  </si>
  <si>
    <t>=D2698</t>
  </si>
  <si>
    <t>=NL("sum","Production Order","Quantity","Source No.",$D2699,"Equipment Code",$L2699,"due date",F$8)/-12</t>
  </si>
  <si>
    <t>=NL("sum","Production Order","Quantity","Source No.",$D2699,"Equipment Code",$L2699,"due date",G$8)/-12</t>
  </si>
  <si>
    <t>=NL("sum","Production Order","Quantity","Source No.",$D2699,"Equipment Code",$L2699,"due date",H$8)/-12</t>
  </si>
  <si>
    <t>=NL("sum","Production Order","Quantity","Source No.",$D2699,"Equipment Code",$L2699,"due date",I$8)/-12</t>
  </si>
  <si>
    <t>=NL("sum","Production Order","Quantity","Source No.",$D2699,"Equipment Code",$L2699,"due date",J$8)/$J$7</t>
  </si>
  <si>
    <t>=AVERAGE(I2699:J2699)</t>
  </si>
  <si>
    <t>=IF(K2700=0,"hide","")</t>
  </si>
  <si>
    <t>=D2699</t>
  </si>
  <si>
    <t>=NL("sum","Production Order","Quantity","Source No.",$D2700,"Equipment Code",$L2700,"due date",F$8)/-12</t>
  </si>
  <si>
    <t>=NL("sum","Production Order","Quantity","Source No.",$D2700,"Equipment Code",$L2700,"due date",G$8)/-12</t>
  </si>
  <si>
    <t>=NL("sum","Production Order","Quantity","Source No.",$D2700,"Equipment Code",$L2700,"due date",H$8)/-12</t>
  </si>
  <si>
    <t>=NL("sum","Production Order","Quantity","Source No.",$D2700,"Equipment Code",$L2700,"due date",I$8)/-12</t>
  </si>
  <si>
    <t>=NL("sum","Production Order","Quantity","Source No.",$D2700,"Equipment Code",$L2700,"due date",J$8)/$J$7</t>
  </si>
  <si>
    <t>=AVERAGE(I2700:J2700)</t>
  </si>
  <si>
    <t>=B2697</t>
  </si>
  <si>
    <t>=B2701</t>
  </si>
  <si>
    <t>=SUM(F2697:F2701)</t>
  </si>
  <si>
    <t>=SUM(G2697:G2701)</t>
  </si>
  <si>
    <t>=SUM(H2697:H2701)</t>
  </si>
  <si>
    <t>=SUM(I2697:I2701)</t>
  </si>
  <si>
    <t>=SUM(J2697:J2701)</t>
  </si>
  <si>
    <t>=IF(K2703=0,"hide","")</t>
  </si>
  <si>
    <t>="37148"</t>
  </si>
  <si>
    <t>=NL("rows","Production BOM Version","Version Code","Production BOM No.",D2703,"status","certified")</t>
  </si>
  <si>
    <t>=NL("sum","Item Ledger Entry","Quantity","Item No.",$D2703,"Entry Type","Sale|Consumption","posting date","01/01/19..12/31/19")/-12</t>
  </si>
  <si>
    <t>=NL("sum","Item Ledger Entry","Quantity","Item No.",$D2703,"Entry Type","Sale|Consumption","posting date","01/01/20..12/31/20")/-12</t>
  </si>
  <si>
    <t>=NL("sum","Item Ledger Entry","Quantity","Item No.",$D2703,"Entry Type","Sale|Consumption","posting date","01/01/21..12/31/21")/-12</t>
  </si>
  <si>
    <t>=NL("sum","Item Ledger Entry","Quantity","Item No.",$D2703,"Entry Type","Sale|Consumption","posting date","01/01/22..12/31/22")/-12</t>
  </si>
  <si>
    <t>=NL("sum","Item Ledger Entry","Quantity","Item No.",$D2703,"Entry Type","Sale|Consumption","posting date","01/01/23..12/31/23")/$J$7</t>
  </si>
  <si>
    <t>=AVERAGE(I2703:J2703)</t>
  </si>
  <si>
    <t>=NL(1,"item",L$9,"no.",D2703)</t>
  </si>
  <si>
    <t>=NL(1,"item",M$9,"no.",$D2703)</t>
  </si>
  <si>
    <t>=NL(1,"item","Units Per Parcel","no.",$D2703)</t>
  </si>
  <si>
    <t>=NL(1,"Prod. BOM Equipment","Fixed Prod. Time (Hours)","Production BOM No.",$D2703,"version code",$E2703,"Resource No.",O$9)</t>
  </si>
  <si>
    <t>=1/O2703</t>
  </si>
  <si>
    <t>=IF(NL(1,"Prod. BOM Equipment","Variable Prod. Time (Hours)","Production BOM No.",$D2703,"version code",$E2703,"Resource No.",$O$9)="",1,NL(1,"Prod. BOM Equipment","Variable Prod. Time (Hours)","Production BOM No.",$D2703,"version code",$E2703,"Resource No.",$O$9))</t>
  </si>
  <si>
    <t>=1/Q2703</t>
  </si>
  <si>
    <t>=R2703*N2703</t>
  </si>
  <si>
    <t>=IF(K2704=0,"hide","")</t>
  </si>
  <si>
    <t>=D2703</t>
  </si>
  <si>
    <t>=NL("sum","Production Order","Quantity","Source No.",$D2704,"Equipment Code",$L2704,"due date",F$8)/-12</t>
  </si>
  <si>
    <t>=NL("sum","Production Order","Quantity","Source No.",$D2704,"Equipment Code",$L2704,"due date",G$8)/-12</t>
  </si>
  <si>
    <t>=NL("sum","Production Order","Quantity","Source No.",$D2704,"Equipment Code",$L2704,"due date",H$8)/-12</t>
  </si>
  <si>
    <t>=NL("sum","Production Order","Quantity","Source No.",$D2704,"Equipment Code",$L2704,"due date",I$8)/-12</t>
  </si>
  <si>
    <t>=NL("sum","Production Order","Quantity","Source No.",$D2704,"Equipment Code",$L2704,"due date",J$8)/$J$7</t>
  </si>
  <si>
    <t>=AVERAGE(I2704:J2704)</t>
  </si>
  <si>
    <t>=IF(K2705=0,"hide","")</t>
  </si>
  <si>
    <t>=D2704</t>
  </si>
  <si>
    <t>=NL("sum","Production Order","Quantity","Source No.",$D2705,"Equipment Code",$L2705,"due date",F$8)/-12</t>
  </si>
  <si>
    <t>=NL("sum","Production Order","Quantity","Source No.",$D2705,"Equipment Code",$L2705,"due date",G$8)/-12</t>
  </si>
  <si>
    <t>=NL("sum","Production Order","Quantity","Source No.",$D2705,"Equipment Code",$L2705,"due date",H$8)/-12</t>
  </si>
  <si>
    <t>=NL("sum","Production Order","Quantity","Source No.",$D2705,"Equipment Code",$L2705,"due date",I$8)/-12</t>
  </si>
  <si>
    <t>=NL("sum","Production Order","Quantity","Source No.",$D2705,"Equipment Code",$L2705,"due date",J$8)/$J$7</t>
  </si>
  <si>
    <t>=AVERAGE(I2705:J2705)</t>
  </si>
  <si>
    <t>=IF(K2706=0,"hide","")</t>
  </si>
  <si>
    <t>=D2705</t>
  </si>
  <si>
    <t>=NL("sum","Production Order","Quantity","Source No.",$D2706,"Equipment Code",$L2706,"due date",F$8)/-12</t>
  </si>
  <si>
    <t>=NL("sum","Production Order","Quantity","Source No.",$D2706,"Equipment Code",$L2706,"due date",G$8)/-12</t>
  </si>
  <si>
    <t>=NL("sum","Production Order","Quantity","Source No.",$D2706,"Equipment Code",$L2706,"due date",H$8)/-12</t>
  </si>
  <si>
    <t>=NL("sum","Production Order","Quantity","Source No.",$D2706,"Equipment Code",$L2706,"due date",I$8)/-12</t>
  </si>
  <si>
    <t>=NL("sum","Production Order","Quantity","Source No.",$D2706,"Equipment Code",$L2706,"due date",J$8)/$J$7</t>
  </si>
  <si>
    <t>=AVERAGE(I2706:J2706)</t>
  </si>
  <si>
    <t>=IF(K2707=0,"hide","")</t>
  </si>
  <si>
    <t>=D2706</t>
  </si>
  <si>
    <t>=NL("sum","Production Order","Quantity","Source No.",$D2707,"Equipment Code",$L2707,"due date",F$8)/-12</t>
  </si>
  <si>
    <t>=NL("sum","Production Order","Quantity","Source No.",$D2707,"Equipment Code",$L2707,"due date",G$8)/-12</t>
  </si>
  <si>
    <t>=NL("sum","Production Order","Quantity","Source No.",$D2707,"Equipment Code",$L2707,"due date",H$8)/-12</t>
  </si>
  <si>
    <t>=NL("sum","Production Order","Quantity","Source No.",$D2707,"Equipment Code",$L2707,"due date",I$8)/-12</t>
  </si>
  <si>
    <t>=NL("sum","Production Order","Quantity","Source No.",$D2707,"Equipment Code",$L2707,"due date",J$8)/$J$7</t>
  </si>
  <si>
    <t>=AVERAGE(I2707:J2707)</t>
  </si>
  <si>
    <t>=B2704</t>
  </si>
  <si>
    <t>=B2708</t>
  </si>
  <si>
    <t>=SUM(F2704:F2708)</t>
  </si>
  <si>
    <t>=SUM(G2704:G2708)</t>
  </si>
  <si>
    <t>=SUM(H2704:H2708)</t>
  </si>
  <si>
    <t>=SUM(I2704:I2708)</t>
  </si>
  <si>
    <t>=SUM(J2704:J2708)</t>
  </si>
  <si>
    <t>=IF(K2710=0,"hide","")</t>
  </si>
  <si>
    <t>="37186"</t>
  </si>
  <si>
    <t>=NL("rows","Production BOM Version","Version Code","Production BOM No.",D2710,"status","certified")</t>
  </si>
  <si>
    <t>=NL("sum","Item Ledger Entry","Quantity","Item No.",$D2710,"Entry Type","Sale|Consumption","posting date","01/01/19..12/31/19")/-12</t>
  </si>
  <si>
    <t>=NL("sum","Item Ledger Entry","Quantity","Item No.",$D2710,"Entry Type","Sale|Consumption","posting date","01/01/20..12/31/20")/-12</t>
  </si>
  <si>
    <t>=NL("sum","Item Ledger Entry","Quantity","Item No.",$D2710,"Entry Type","Sale|Consumption","posting date","01/01/21..12/31/21")/-12</t>
  </si>
  <si>
    <t>=NL("sum","Item Ledger Entry","Quantity","Item No.",$D2710,"Entry Type","Sale|Consumption","posting date","01/01/22..12/31/22")/-12</t>
  </si>
  <si>
    <t>=NL("sum","Item Ledger Entry","Quantity","Item No.",$D2710,"Entry Type","Sale|Consumption","posting date","01/01/23..12/31/23")/$J$7</t>
  </si>
  <si>
    <t>=AVERAGE(I2710:J2710)</t>
  </si>
  <si>
    <t>=NL(1,"item",L$9,"no.",D2710)</t>
  </si>
  <si>
    <t>=NL(1,"item",M$9,"no.",$D2710)</t>
  </si>
  <si>
    <t>=NL(1,"item","Units Per Parcel","no.",$D2710)</t>
  </si>
  <si>
    <t>=NL(1,"Prod. BOM Equipment","Fixed Prod. Time (Hours)","Production BOM No.",$D2710,"version code",$E2710,"Resource No.",O$9)</t>
  </si>
  <si>
    <t>=1/O2710</t>
  </si>
  <si>
    <t>=IF(NL(1,"Prod. BOM Equipment","Variable Prod. Time (Hours)","Production BOM No.",$D2710,"version code",$E2710,"Resource No.",$O$9)="",1,NL(1,"Prod. BOM Equipment","Variable Prod. Time (Hours)","Production BOM No.",$D2710,"version code",$E2710,"Resource No.",$O$9))</t>
  </si>
  <si>
    <t>=1/Q2710</t>
  </si>
  <si>
    <t>=R2710*N2710</t>
  </si>
  <si>
    <t>=IF(K2711=0,"hide","")</t>
  </si>
  <si>
    <t>=D2710</t>
  </si>
  <si>
    <t>=NL("sum","Production Order","Quantity","Source No.",$D2711,"Equipment Code",$L2711,"due date",F$8)/-12</t>
  </si>
  <si>
    <t>=NL("sum","Production Order","Quantity","Source No.",$D2711,"Equipment Code",$L2711,"due date",G$8)/-12</t>
  </si>
  <si>
    <t>=NL("sum","Production Order","Quantity","Source No.",$D2711,"Equipment Code",$L2711,"due date",H$8)/-12</t>
  </si>
  <si>
    <t>=NL("sum","Production Order","Quantity","Source No.",$D2711,"Equipment Code",$L2711,"due date",I$8)/-12</t>
  </si>
  <si>
    <t>=NL("sum","Production Order","Quantity","Source No.",$D2711,"Equipment Code",$L2711,"due date",J$8)/$J$7</t>
  </si>
  <si>
    <t>=AVERAGE(I2711:J2711)</t>
  </si>
  <si>
    <t>=IF(K2712=0,"hide","")</t>
  </si>
  <si>
    <t>=D2711</t>
  </si>
  <si>
    <t>=NL("sum","Production Order","Quantity","Source No.",$D2712,"Equipment Code",$L2712,"due date",F$8)/-12</t>
  </si>
  <si>
    <t>=NL("sum","Production Order","Quantity","Source No.",$D2712,"Equipment Code",$L2712,"due date",G$8)/-12</t>
  </si>
  <si>
    <t>=NL("sum","Production Order","Quantity","Source No.",$D2712,"Equipment Code",$L2712,"due date",H$8)/-12</t>
  </si>
  <si>
    <t>=NL("sum","Production Order","Quantity","Source No.",$D2712,"Equipment Code",$L2712,"due date",I$8)/-12</t>
  </si>
  <si>
    <t>=NL("sum","Production Order","Quantity","Source No.",$D2712,"Equipment Code",$L2712,"due date",J$8)/$J$7</t>
  </si>
  <si>
    <t>=AVERAGE(I2712:J2712)</t>
  </si>
  <si>
    <t>=IF(K2713=0,"hide","")</t>
  </si>
  <si>
    <t>=D2712</t>
  </si>
  <si>
    <t>=NL("sum","Production Order","Quantity","Source No.",$D2713,"Equipment Code",$L2713,"due date",F$8)/-12</t>
  </si>
  <si>
    <t>=NL("sum","Production Order","Quantity","Source No.",$D2713,"Equipment Code",$L2713,"due date",G$8)/-12</t>
  </si>
  <si>
    <t>=NL("sum","Production Order","Quantity","Source No.",$D2713,"Equipment Code",$L2713,"due date",H$8)/-12</t>
  </si>
  <si>
    <t>=NL("sum","Production Order","Quantity","Source No.",$D2713,"Equipment Code",$L2713,"due date",I$8)/-12</t>
  </si>
  <si>
    <t>=NL("sum","Production Order","Quantity","Source No.",$D2713,"Equipment Code",$L2713,"due date",J$8)/$J$7</t>
  </si>
  <si>
    <t>=AVERAGE(I2713:J2713)</t>
  </si>
  <si>
    <t>=IF(K2714=0,"hide","")</t>
  </si>
  <si>
    <t>=D2713</t>
  </si>
  <si>
    <t>=NL("sum","Production Order","Quantity","Source No.",$D2714,"Equipment Code",$L2714,"due date",F$8)/-12</t>
  </si>
  <si>
    <t>=NL("sum","Production Order","Quantity","Source No.",$D2714,"Equipment Code",$L2714,"due date",G$8)/-12</t>
  </si>
  <si>
    <t>=NL("sum","Production Order","Quantity","Source No.",$D2714,"Equipment Code",$L2714,"due date",H$8)/-12</t>
  </si>
  <si>
    <t>=NL("sum","Production Order","Quantity","Source No.",$D2714,"Equipment Code",$L2714,"due date",I$8)/-12</t>
  </si>
  <si>
    <t>=NL("sum","Production Order","Quantity","Source No.",$D2714,"Equipment Code",$L2714,"due date",J$8)/$J$7</t>
  </si>
  <si>
    <t>=AVERAGE(I2714:J2714)</t>
  </si>
  <si>
    <t>=B2711</t>
  </si>
  <si>
    <t>=B2715</t>
  </si>
  <si>
    <t>=SUM(F2711:F2715)</t>
  </si>
  <si>
    <t>=SUM(G2711:G2715)</t>
  </si>
  <si>
    <t>=SUM(H2711:H2715)</t>
  </si>
  <si>
    <t>=SUM(I2711:I2715)</t>
  </si>
  <si>
    <t>=SUM(J2711:J2715)</t>
  </si>
  <si>
    <t>=IF(K2717=0,"hide","")</t>
  </si>
  <si>
    <t>=NL("rows","Production BOM Version","Version Code","Production BOM No.",D2717,"status","certified")</t>
  </si>
  <si>
    <t>=NL("sum","Item Ledger Entry","Quantity","Item No.",$D2717,"Entry Type","Sale|Consumption","posting date","01/01/19..12/31/19")/-12</t>
  </si>
  <si>
    <t>=NL("sum","Item Ledger Entry","Quantity","Item No.",$D2717,"Entry Type","Sale|Consumption","posting date","01/01/20..12/31/20")/-12</t>
  </si>
  <si>
    <t>=NL("sum","Item Ledger Entry","Quantity","Item No.",$D2717,"Entry Type","Sale|Consumption","posting date","01/01/21..12/31/21")/-12</t>
  </si>
  <si>
    <t>=NL("sum","Item Ledger Entry","Quantity","Item No.",$D2717,"Entry Type","Sale|Consumption","posting date","01/01/22..12/31/22")/-12</t>
  </si>
  <si>
    <t>=NL("sum","Item Ledger Entry","Quantity","Item No.",$D2717,"Entry Type","Sale|Consumption","posting date","01/01/23..12/31/23")/$J$7</t>
  </si>
  <si>
    <t>=AVERAGE(I2717:J2717)</t>
  </si>
  <si>
    <t>=NL(1,"item",L$9,"no.",D2717)</t>
  </si>
  <si>
    <t>=NL(1,"item",M$9,"no.",$D2717)</t>
  </si>
  <si>
    <t>=NL(1,"item","Units Per Parcel","no.",$D2717)</t>
  </si>
  <si>
    <t>=NL(1,"Prod. BOM Equipment","Fixed Prod. Time (Hours)","Production BOM No.",$D2717,"version code",$E2717,"Resource No.",O$9)</t>
  </si>
  <si>
    <t>=1/O2717</t>
  </si>
  <si>
    <t>=IF(NL(1,"Prod. BOM Equipment","Variable Prod. Time (Hours)","Production BOM No.",$D2717,"version code",$E2717,"Resource No.",$O$9)="",1,NL(1,"Prod. BOM Equipment","Variable Prod. Time (Hours)","Production BOM No.",$D2717,"version code",$E2717,"Resource No.",$O$9))</t>
  </si>
  <si>
    <t>=1/Q2717</t>
  </si>
  <si>
    <t>=R2717*N2717</t>
  </si>
  <si>
    <t>=IF(K2718=0,"hide","")</t>
  </si>
  <si>
    <t>=AVERAGE(I2718:J2718)</t>
  </si>
  <si>
    <t>=IF(K2719=0,"hide","")</t>
  </si>
  <si>
    <t>=D2717</t>
  </si>
  <si>
    <t>=NL("sum","Production Order","Quantity","Source No.",$D2719,"Equipment Code",$L2719,"due date",F$8)/-12</t>
  </si>
  <si>
    <t>=NL("sum","Production Order","Quantity","Source No.",$D2719,"Equipment Code",$L2719,"due date",G$8)/-12</t>
  </si>
  <si>
    <t>=NL("sum","Production Order","Quantity","Source No.",$D2719,"Equipment Code",$L2719,"due date",H$8)/-12</t>
  </si>
  <si>
    <t>=NL("sum","Production Order","Quantity","Source No.",$D2719,"Equipment Code",$L2719,"due date",I$8)/-12</t>
  </si>
  <si>
    <t>=NL("sum","Production Order","Quantity","Source No.",$D2719,"Equipment Code",$L2719,"due date",J$8)/$J$7</t>
  </si>
  <si>
    <t>=AVERAGE(I2719:J2719)</t>
  </si>
  <si>
    <t>=IF(K2720=0,"hide","")</t>
  </si>
  <si>
    <t>=D2718</t>
  </si>
  <si>
    <t>=NL("sum","Production Order","Quantity","Source No.",$D2720,"Equipment Code",$L2720,"due date",F$8)/-12</t>
  </si>
  <si>
    <t>=NL("sum","Production Order","Quantity","Source No.",$D2720,"Equipment Code",$L2720,"due date",G$8)/-12</t>
  </si>
  <si>
    <t>=NL("sum","Production Order","Quantity","Source No.",$D2720,"Equipment Code",$L2720,"due date",H$8)/-12</t>
  </si>
  <si>
    <t>=NL("sum","Production Order","Quantity","Source No.",$D2720,"Equipment Code",$L2720,"due date",I$8)/-12</t>
  </si>
  <si>
    <t>=NL("sum","Production Order","Quantity","Source No.",$D2720,"Equipment Code",$L2720,"due date",J$8)/$J$7</t>
  </si>
  <si>
    <t>=AVERAGE(I2720:J2720)</t>
  </si>
  <si>
    <t>=IF(K2721=0,"hide","")</t>
  </si>
  <si>
    <t>=D2719</t>
  </si>
  <si>
    <t>=NL("sum","Production Order","Quantity","Source No.",$D2721,"Equipment Code",$L2721,"due date",F$8)/-12</t>
  </si>
  <si>
    <t>=NL("sum","Production Order","Quantity","Source No.",$D2721,"Equipment Code",$L2721,"due date",G$8)/-12</t>
  </si>
  <si>
    <t>=NL("sum","Production Order","Quantity","Source No.",$D2721,"Equipment Code",$L2721,"due date",H$8)/-12</t>
  </si>
  <si>
    <t>=NL("sum","Production Order","Quantity","Source No.",$D2721,"Equipment Code",$L2721,"due date",I$8)/-12</t>
  </si>
  <si>
    <t>=NL("sum","Production Order","Quantity","Source No.",$D2721,"Equipment Code",$L2721,"due date",J$8)/$J$7</t>
  </si>
  <si>
    <t>=AVERAGE(I2721:J2721)</t>
  </si>
  <si>
    <t>=D2720</t>
  </si>
  <si>
    <t>=IF(K2725=0,"hide","")</t>
  </si>
  <si>
    <t>="37402"</t>
  </si>
  <si>
    <t>=AVERAGE(I2725:J2725)</t>
  </si>
  <si>
    <t>=IF(K2726=0,"hide","")</t>
  </si>
  <si>
    <t>=D2725</t>
  </si>
  <si>
    <t>=NL("sum","Production Order","Quantity","Source No.",$D2726,"Equipment Code",$L2726,"due date",F$8)/-12</t>
  </si>
  <si>
    <t>=NL("sum","Production Order","Quantity","Source No.",$D2726,"Equipment Code",$L2726,"due date",G$8)/-12</t>
  </si>
  <si>
    <t>=NL("sum","Production Order","Quantity","Source No.",$D2726,"Equipment Code",$L2726,"due date",H$8)/-12</t>
  </si>
  <si>
    <t>=NL("sum","Production Order","Quantity","Source No.",$D2726,"Equipment Code",$L2726,"due date",I$8)/-12</t>
  </si>
  <si>
    <t>=NL("sum","Production Order","Quantity","Source No.",$D2726,"Equipment Code",$L2726,"due date",J$8)/$J$7</t>
  </si>
  <si>
    <t>=AVERAGE(I2726:J2726)</t>
  </si>
  <si>
    <t>=IF(K2727=0,"hide","")</t>
  </si>
  <si>
    <t>=D2726</t>
  </si>
  <si>
    <t>=NL("sum","Production Order","Quantity","Source No.",$D2727,"Equipment Code",$L2727,"due date",F$8)/-12</t>
  </si>
  <si>
    <t>=NL("sum","Production Order","Quantity","Source No.",$D2727,"Equipment Code",$L2727,"due date",G$8)/-12</t>
  </si>
  <si>
    <t>=NL("sum","Production Order","Quantity","Source No.",$D2727,"Equipment Code",$L2727,"due date",H$8)/-12</t>
  </si>
  <si>
    <t>=NL("sum","Production Order","Quantity","Source No.",$D2727,"Equipment Code",$L2727,"due date",I$8)/-12</t>
  </si>
  <si>
    <t>=NL("sum","Production Order","Quantity","Source No.",$D2727,"Equipment Code",$L2727,"due date",J$8)/$J$7</t>
  </si>
  <si>
    <t>=AVERAGE(I2727:J2727)</t>
  </si>
  <si>
    <t>=IF(K2728=0,"hide","")</t>
  </si>
  <si>
    <t>=D2727</t>
  </si>
  <si>
    <t>=NL("sum","Production Order","Quantity","Source No.",$D2728,"Equipment Code",$L2728,"due date",F$8)/-12</t>
  </si>
  <si>
    <t>=NL("sum","Production Order","Quantity","Source No.",$D2728,"Equipment Code",$L2728,"due date",G$8)/-12</t>
  </si>
  <si>
    <t>=NL("sum","Production Order","Quantity","Source No.",$D2728,"Equipment Code",$L2728,"due date",H$8)/-12</t>
  </si>
  <si>
    <t>=NL("sum","Production Order","Quantity","Source No.",$D2728,"Equipment Code",$L2728,"due date",I$8)/-12</t>
  </si>
  <si>
    <t>=NL("sum","Production Order","Quantity","Source No.",$D2728,"Equipment Code",$L2728,"due date",J$8)/$J$7</t>
  </si>
  <si>
    <t>=AVERAGE(I2728:J2728)</t>
  </si>
  <si>
    <t>=IF(K2732=0,"hide","")</t>
  </si>
  <si>
    <t>="37403"</t>
  </si>
  <si>
    <t>=AVERAGE(I2732:J2732)</t>
  </si>
  <si>
    <t>=IF(K2733=0,"hide","")</t>
  </si>
  <si>
    <t>=D2732</t>
  </si>
  <si>
    <t>=NL("sum","Production Order","Quantity","Source No.",$D2733,"Equipment Code",$L2733,"due date",F$8)/-12</t>
  </si>
  <si>
    <t>=NL("sum","Production Order","Quantity","Source No.",$D2733,"Equipment Code",$L2733,"due date",G$8)/-12</t>
  </si>
  <si>
    <t>=NL("sum","Production Order","Quantity","Source No.",$D2733,"Equipment Code",$L2733,"due date",H$8)/-12</t>
  </si>
  <si>
    <t>=NL("sum","Production Order","Quantity","Source No.",$D2733,"Equipment Code",$L2733,"due date",I$8)/-12</t>
  </si>
  <si>
    <t>=NL("sum","Production Order","Quantity","Source No.",$D2733,"Equipment Code",$L2733,"due date",J$8)/$J$7</t>
  </si>
  <si>
    <t>=AVERAGE(I2733:J2733)</t>
  </si>
  <si>
    <t>=IF(K2734=0,"hide","")</t>
  </si>
  <si>
    <t>=D2733</t>
  </si>
  <si>
    <t>=NL("sum","Production Order","Quantity","Source No.",$D2734,"Equipment Code",$L2734,"due date",F$8)/-12</t>
  </si>
  <si>
    <t>=NL("sum","Production Order","Quantity","Source No.",$D2734,"Equipment Code",$L2734,"due date",G$8)/-12</t>
  </si>
  <si>
    <t>=NL("sum","Production Order","Quantity","Source No.",$D2734,"Equipment Code",$L2734,"due date",H$8)/-12</t>
  </si>
  <si>
    <t>=NL("sum","Production Order","Quantity","Source No.",$D2734,"Equipment Code",$L2734,"due date",I$8)/-12</t>
  </si>
  <si>
    <t>=NL("sum","Production Order","Quantity","Source No.",$D2734,"Equipment Code",$L2734,"due date",J$8)/$J$7</t>
  </si>
  <si>
    <t>=AVERAGE(I2734:J2734)</t>
  </si>
  <si>
    <t>=IF(K2735=0,"hide","")</t>
  </si>
  <si>
    <t>=D2734</t>
  </si>
  <si>
    <t>=NL("sum","Production Order","Quantity","Source No.",$D2735,"Equipment Code",$L2735,"due date",F$8)/-12</t>
  </si>
  <si>
    <t>=NL("sum","Production Order","Quantity","Source No.",$D2735,"Equipment Code",$L2735,"due date",G$8)/-12</t>
  </si>
  <si>
    <t>=NL("sum","Production Order","Quantity","Source No.",$D2735,"Equipment Code",$L2735,"due date",H$8)/-12</t>
  </si>
  <si>
    <t>=NL("sum","Production Order","Quantity","Source No.",$D2735,"Equipment Code",$L2735,"due date",I$8)/-12</t>
  </si>
  <si>
    <t>=NL("sum","Production Order","Quantity","Source No.",$D2735,"Equipment Code",$L2735,"due date",J$8)/$J$7</t>
  </si>
  <si>
    <t>=AVERAGE(I2735:J2735)</t>
  </si>
  <si>
    <t>=IF(K2739=0,"hide","")</t>
  </si>
  <si>
    <t>=NL("sum","Item Ledger Entry","Quantity","Item No.",$D2739,"Entry Type","Sale|Consumption","posting date","01/01/19..12/31/19")/-12</t>
  </si>
  <si>
    <t>=NL("sum","Item Ledger Entry","Quantity","Item No.",$D2739,"Entry Type","Sale|Consumption","posting date","01/01/20..12/31/20")/-12</t>
  </si>
  <si>
    <t>=NL("sum","Item Ledger Entry","Quantity","Item No.",$D2739,"Entry Type","Sale|Consumption","posting date","01/01/21..12/31/21")/-12</t>
  </si>
  <si>
    <t>=NL("sum","Item Ledger Entry","Quantity","Item No.",$D2739,"Entry Type","Sale|Consumption","posting date","01/01/22..12/31/22")/-12</t>
  </si>
  <si>
    <t>=NL("sum","Item Ledger Entry","Quantity","Item No.",$D2739,"Entry Type","Sale|Consumption","posting date","01/01/23..12/31/23")/$J$7</t>
  </si>
  <si>
    <t>=AVERAGE(I2739:J2739)</t>
  </si>
  <si>
    <t>=NL(1,"item",L$9,"no.",D2739)</t>
  </si>
  <si>
    <t>=NL(1,"item",M$9,"no.",$D2739)</t>
  </si>
  <si>
    <t>=NL(1,"item","Units Per Parcel","no.",$D2739)</t>
  </si>
  <si>
    <t>=NL(1,"Prod. BOM Equipment","Fixed Prod. Time (Hours)","Production BOM No.",$D2739,"version code",$E2739,"Resource No.",O$9)</t>
  </si>
  <si>
    <t>=1/O2739</t>
  </si>
  <si>
    <t>=IF(NL(1,"Prod. BOM Equipment","Variable Prod. Time (Hours)","Production BOM No.",$D2739,"version code",$E2739,"Resource No.",$O$9)="",1,NL(1,"Prod. BOM Equipment","Variable Prod. Time (Hours)","Production BOM No.",$D2739,"version code",$E2739,"Resource No.",$O$9))</t>
  </si>
  <si>
    <t>=1/Q2739</t>
  </si>
  <si>
    <t>=R2739*N2739</t>
  </si>
  <si>
    <t>=IF(K2740=0,"hide","")</t>
  </si>
  <si>
    <t>=AVERAGE(I2740:J2740)</t>
  </si>
  <si>
    <t>=IF(K2741=0,"hide","")</t>
  </si>
  <si>
    <t>=D2739</t>
  </si>
  <si>
    <t>=NL("sum","Production Order","Quantity","Source No.",$D2741,"Equipment Code",$L2741,"due date",F$8)/-12</t>
  </si>
  <si>
    <t>=NL("sum","Production Order","Quantity","Source No.",$D2741,"Equipment Code",$L2741,"due date",G$8)/-12</t>
  </si>
  <si>
    <t>=NL("sum","Production Order","Quantity","Source No.",$D2741,"Equipment Code",$L2741,"due date",H$8)/-12</t>
  </si>
  <si>
    <t>=NL("sum","Production Order","Quantity","Source No.",$D2741,"Equipment Code",$L2741,"due date",I$8)/-12</t>
  </si>
  <si>
    <t>=NL("sum","Production Order","Quantity","Source No.",$D2741,"Equipment Code",$L2741,"due date",J$8)/$J$7</t>
  </si>
  <si>
    <t>=AVERAGE(I2741:J2741)</t>
  </si>
  <si>
    <t>=IF(K2742=0,"hide","")</t>
  </si>
  <si>
    <t>=D2740</t>
  </si>
  <si>
    <t>=NL("sum","Production Order","Quantity","Source No.",$D2742,"Equipment Code",$L2742,"due date",F$8)/-12</t>
  </si>
  <si>
    <t>=NL("sum","Production Order","Quantity","Source No.",$D2742,"Equipment Code",$L2742,"due date",G$8)/-12</t>
  </si>
  <si>
    <t>=NL("sum","Production Order","Quantity","Source No.",$D2742,"Equipment Code",$L2742,"due date",H$8)/-12</t>
  </si>
  <si>
    <t>=NL("sum","Production Order","Quantity","Source No.",$D2742,"Equipment Code",$L2742,"due date",I$8)/-12</t>
  </si>
  <si>
    <t>=NL("sum","Production Order","Quantity","Source No.",$D2742,"Equipment Code",$L2742,"due date",J$8)/$J$7</t>
  </si>
  <si>
    <t>=AVERAGE(I2742:J2742)</t>
  </si>
  <si>
    <t>=IF(K2743=0,"hide","")</t>
  </si>
  <si>
    <t>=D2741</t>
  </si>
  <si>
    <t>=NL("sum","Production Order","Quantity","Source No.",$D2743,"Equipment Code",$L2743,"due date",F$8)/-12</t>
  </si>
  <si>
    <t>=NL("sum","Production Order","Quantity","Source No.",$D2743,"Equipment Code",$L2743,"due date",G$8)/-12</t>
  </si>
  <si>
    <t>=NL("sum","Production Order","Quantity","Source No.",$D2743,"Equipment Code",$L2743,"due date",H$8)/-12</t>
  </si>
  <si>
    <t>=NL("sum","Production Order","Quantity","Source No.",$D2743,"Equipment Code",$L2743,"due date",I$8)/-12</t>
  </si>
  <si>
    <t>=NL("sum","Production Order","Quantity","Source No.",$D2743,"Equipment Code",$L2743,"due date",J$8)/$J$7</t>
  </si>
  <si>
    <t>=AVERAGE(I2743:J2743)</t>
  </si>
  <si>
    <t>=IF(K2747=0,"hide","")</t>
  </si>
  <si>
    <t>="37407"</t>
  </si>
  <si>
    <t>=AVERAGE(I2747:J2747)</t>
  </si>
  <si>
    <t>=IF(K2748=0,"hide","")</t>
  </si>
  <si>
    <t>=D2747</t>
  </si>
  <si>
    <t>=NL("sum","Production Order","Quantity","Source No.",$D2748,"Equipment Code",$L2748,"due date",F$8)/-12</t>
  </si>
  <si>
    <t>=NL("sum","Production Order","Quantity","Source No.",$D2748,"Equipment Code",$L2748,"due date",G$8)/-12</t>
  </si>
  <si>
    <t>=NL("sum","Production Order","Quantity","Source No.",$D2748,"Equipment Code",$L2748,"due date",H$8)/-12</t>
  </si>
  <si>
    <t>=NL("sum","Production Order","Quantity","Source No.",$D2748,"Equipment Code",$L2748,"due date",I$8)/-12</t>
  </si>
  <si>
    <t>=NL("sum","Production Order","Quantity","Source No.",$D2748,"Equipment Code",$L2748,"due date",J$8)/$J$7</t>
  </si>
  <si>
    <t>=AVERAGE(I2748:J2748)</t>
  </si>
  <si>
    <t>=IF(K2749=0,"hide","")</t>
  </si>
  <si>
    <t>=D2748</t>
  </si>
  <si>
    <t>=NL("sum","Production Order","Quantity","Source No.",$D2749,"Equipment Code",$L2749,"due date",F$8)/-12</t>
  </si>
  <si>
    <t>=NL("sum","Production Order","Quantity","Source No.",$D2749,"Equipment Code",$L2749,"due date",G$8)/-12</t>
  </si>
  <si>
    <t>=NL("sum","Production Order","Quantity","Source No.",$D2749,"Equipment Code",$L2749,"due date",H$8)/-12</t>
  </si>
  <si>
    <t>=NL("sum","Production Order","Quantity","Source No.",$D2749,"Equipment Code",$L2749,"due date",I$8)/-12</t>
  </si>
  <si>
    <t>=NL("sum","Production Order","Quantity","Source No.",$D2749,"Equipment Code",$L2749,"due date",J$8)/$J$7</t>
  </si>
  <si>
    <t>=AVERAGE(I2749:J2749)</t>
  </si>
  <si>
    <t>=IF(K2750=0,"hide","")</t>
  </si>
  <si>
    <t>=D2749</t>
  </si>
  <si>
    <t>=NL("sum","Production Order","Quantity","Source No.",$D2750,"Equipment Code",$L2750,"due date",F$8)/-12</t>
  </si>
  <si>
    <t>=NL("sum","Production Order","Quantity","Source No.",$D2750,"Equipment Code",$L2750,"due date",G$8)/-12</t>
  </si>
  <si>
    <t>=NL("sum","Production Order","Quantity","Source No.",$D2750,"Equipment Code",$L2750,"due date",H$8)/-12</t>
  </si>
  <si>
    <t>=NL("sum","Production Order","Quantity","Source No.",$D2750,"Equipment Code",$L2750,"due date",I$8)/-12</t>
  </si>
  <si>
    <t>=NL("sum","Production Order","Quantity","Source No.",$D2750,"Equipment Code",$L2750,"due date",J$8)/$J$7</t>
  </si>
  <si>
    <t>=AVERAGE(I2750:J2750)</t>
  </si>
  <si>
    <t>=IF(K2754=0,"hide","")</t>
  </si>
  <si>
    <t>="37409"</t>
  </si>
  <si>
    <t>=AVERAGE(I2754:J2754)</t>
  </si>
  <si>
    <t>=IF(K2755=0,"hide","")</t>
  </si>
  <si>
    <t>=D2754</t>
  </si>
  <si>
    <t>=NL("sum","Production Order","Quantity","Source No.",$D2755,"Equipment Code",$L2755,"due date",F$8)/-12</t>
  </si>
  <si>
    <t>=NL("sum","Production Order","Quantity","Source No.",$D2755,"Equipment Code",$L2755,"due date",G$8)/-12</t>
  </si>
  <si>
    <t>=NL("sum","Production Order","Quantity","Source No.",$D2755,"Equipment Code",$L2755,"due date",H$8)/-12</t>
  </si>
  <si>
    <t>=NL("sum","Production Order","Quantity","Source No.",$D2755,"Equipment Code",$L2755,"due date",I$8)/-12</t>
  </si>
  <si>
    <t>=NL("sum","Production Order","Quantity","Source No.",$D2755,"Equipment Code",$L2755,"due date",J$8)/$J$7</t>
  </si>
  <si>
    <t>=AVERAGE(I2755:J2755)</t>
  </si>
  <si>
    <t>=IF(K2756=0,"hide","")</t>
  </si>
  <si>
    <t>=D2755</t>
  </si>
  <si>
    <t>=NL("sum","Production Order","Quantity","Source No.",$D2756,"Equipment Code",$L2756,"due date",F$8)/-12</t>
  </si>
  <si>
    <t>=NL("sum","Production Order","Quantity","Source No.",$D2756,"Equipment Code",$L2756,"due date",G$8)/-12</t>
  </si>
  <si>
    <t>=NL("sum","Production Order","Quantity","Source No.",$D2756,"Equipment Code",$L2756,"due date",H$8)/-12</t>
  </si>
  <si>
    <t>=NL("sum","Production Order","Quantity","Source No.",$D2756,"Equipment Code",$L2756,"due date",I$8)/-12</t>
  </si>
  <si>
    <t>=NL("sum","Production Order","Quantity","Source No.",$D2756,"Equipment Code",$L2756,"due date",J$8)/$J$7</t>
  </si>
  <si>
    <t>=AVERAGE(I2756:J2756)</t>
  </si>
  <si>
    <t>=IF(K2757=0,"hide","")</t>
  </si>
  <si>
    <t>=D2756</t>
  </si>
  <si>
    <t>=NL("sum","Production Order","Quantity","Source No.",$D2757,"Equipment Code",$L2757,"due date",F$8)/-12</t>
  </si>
  <si>
    <t>=NL("sum","Production Order","Quantity","Source No.",$D2757,"Equipment Code",$L2757,"due date",G$8)/-12</t>
  </si>
  <si>
    <t>=NL("sum","Production Order","Quantity","Source No.",$D2757,"Equipment Code",$L2757,"due date",H$8)/-12</t>
  </si>
  <si>
    <t>=NL("sum","Production Order","Quantity","Source No.",$D2757,"Equipment Code",$L2757,"due date",I$8)/-12</t>
  </si>
  <si>
    <t>=NL("sum","Production Order","Quantity","Source No.",$D2757,"Equipment Code",$L2757,"due date",J$8)/$J$7</t>
  </si>
  <si>
    <t>=AVERAGE(I2757:J2757)</t>
  </si>
  <si>
    <t>=IF(K2761=0,"hide","")</t>
  </si>
  <si>
    <t>=NL("sum","Item Ledger Entry","Quantity","Item No.",$D2761,"Entry Type","Sale|Consumption","posting date","01/01/19..12/31/19")/-12</t>
  </si>
  <si>
    <t>=NL("sum","Item Ledger Entry","Quantity","Item No.",$D2761,"Entry Type","Sale|Consumption","posting date","01/01/20..12/31/20")/-12</t>
  </si>
  <si>
    <t>=NL("sum","Item Ledger Entry","Quantity","Item No.",$D2761,"Entry Type","Sale|Consumption","posting date","01/01/21..12/31/21")/-12</t>
  </si>
  <si>
    <t>=NL("sum","Item Ledger Entry","Quantity","Item No.",$D2761,"Entry Type","Sale|Consumption","posting date","01/01/22..12/31/22")/-12</t>
  </si>
  <si>
    <t>=NL("sum","Item Ledger Entry","Quantity","Item No.",$D2761,"Entry Type","Sale|Consumption","posting date","01/01/23..12/31/23")/$J$7</t>
  </si>
  <si>
    <t>=AVERAGE(I2761:J2761)</t>
  </si>
  <si>
    <t>=NL(1,"item",L$9,"no.",D2761)</t>
  </si>
  <si>
    <t>=NL(1,"item",M$9,"no.",$D2761)</t>
  </si>
  <si>
    <t>=NL(1,"item","Units Per Parcel","no.",$D2761)</t>
  </si>
  <si>
    <t>=NL(1,"Prod. BOM Equipment","Fixed Prod. Time (Hours)","Production BOM No.",$D2761,"version code",$E2761,"Resource No.",O$9)</t>
  </si>
  <si>
    <t>=1/O2761</t>
  </si>
  <si>
    <t>=IF(NL(1,"Prod. BOM Equipment","Variable Prod. Time (Hours)","Production BOM No.",$D2761,"version code",$E2761,"Resource No.",$O$9)="",1,NL(1,"Prod. BOM Equipment","Variable Prod. Time (Hours)","Production BOM No.",$D2761,"version code",$E2761,"Resource No.",$O$9))</t>
  </si>
  <si>
    <t>=1/Q2761</t>
  </si>
  <si>
    <t>=R2761*N2761</t>
  </si>
  <si>
    <t>=IF(K2762=0,"hide","")</t>
  </si>
  <si>
    <t>=D2761</t>
  </si>
  <si>
    <t>=NL("sum","Production Order","Quantity","Source No.",$D2762,"Equipment Code",$L2762,"due date",F$8)/-12</t>
  </si>
  <si>
    <t>=NL("sum","Production Order","Quantity","Source No.",$D2762,"Equipment Code",$L2762,"due date",G$8)/-12</t>
  </si>
  <si>
    <t>=NL("sum","Production Order","Quantity","Source No.",$D2762,"Equipment Code",$L2762,"due date",H$8)/-12</t>
  </si>
  <si>
    <t>=NL("sum","Production Order","Quantity","Source No.",$D2762,"Equipment Code",$L2762,"due date",I$8)/-12</t>
  </si>
  <si>
    <t>=NL("sum","Production Order","Quantity","Source No.",$D2762,"Equipment Code",$L2762,"due date",J$8)/$J$7</t>
  </si>
  <si>
    <t>=AVERAGE(I2762:J2762)</t>
  </si>
  <si>
    <t>=IF(K2763=0,"hide","")</t>
  </si>
  <si>
    <t>=D2762</t>
  </si>
  <si>
    <t>=NL("sum","Production Order","Quantity","Source No.",$D2763,"Equipment Code",$L2763,"due date",F$8)/-12</t>
  </si>
  <si>
    <t>=NL("sum","Production Order","Quantity","Source No.",$D2763,"Equipment Code",$L2763,"due date",G$8)/-12</t>
  </si>
  <si>
    <t>=NL("sum","Production Order","Quantity","Source No.",$D2763,"Equipment Code",$L2763,"due date",H$8)/-12</t>
  </si>
  <si>
    <t>=NL("sum","Production Order","Quantity","Source No.",$D2763,"Equipment Code",$L2763,"due date",I$8)/-12</t>
  </si>
  <si>
    <t>=NL("sum","Production Order","Quantity","Source No.",$D2763,"Equipment Code",$L2763,"due date",J$8)/$J$7</t>
  </si>
  <si>
    <t>=AVERAGE(I2763:J2763)</t>
  </si>
  <si>
    <t>=IF(K2764=0,"hide","")</t>
  </si>
  <si>
    <t>=D2763</t>
  </si>
  <si>
    <t>=NL("sum","Production Order","Quantity","Source No.",$D2764,"Equipment Code",$L2764,"due date",F$8)/-12</t>
  </si>
  <si>
    <t>=NL("sum","Production Order","Quantity","Source No.",$D2764,"Equipment Code",$L2764,"due date",G$8)/-12</t>
  </si>
  <si>
    <t>=NL("sum","Production Order","Quantity","Source No.",$D2764,"Equipment Code",$L2764,"due date",H$8)/-12</t>
  </si>
  <si>
    <t>=NL("sum","Production Order","Quantity","Source No.",$D2764,"Equipment Code",$L2764,"due date",I$8)/-12</t>
  </si>
  <si>
    <t>=NL("sum","Production Order","Quantity","Source No.",$D2764,"Equipment Code",$L2764,"due date",J$8)/$J$7</t>
  </si>
  <si>
    <t>=AVERAGE(I2764:J2764)</t>
  </si>
  <si>
    <t>=IF(K2765=0,"hide","")</t>
  </si>
  <si>
    <t>=NL("sum","Production Order","Quantity","Source No.",$D2765,"Equipment Code",$L2765,"due date",F$8)/-12</t>
  </si>
  <si>
    <t>=NL("sum","Production Order","Quantity","Source No.",$D2765,"Equipment Code",$L2765,"due date",G$8)/-12</t>
  </si>
  <si>
    <t>=NL("sum","Production Order","Quantity","Source No.",$D2765,"Equipment Code",$L2765,"due date",H$8)/-12</t>
  </si>
  <si>
    <t>=NL("sum","Production Order","Quantity","Source No.",$D2765,"Equipment Code",$L2765,"due date",I$8)/-12</t>
  </si>
  <si>
    <t>=NL("sum","Production Order","Quantity","Source No.",$D2765,"Equipment Code",$L2765,"due date",J$8)/$J$7</t>
  </si>
  <si>
    <t>=AVERAGE(I2765:J2765)</t>
  </si>
  <si>
    <t>=B2762</t>
  </si>
  <si>
    <t>=B2766</t>
  </si>
  <si>
    <t>=SUM(F2762:F2766)</t>
  </si>
  <si>
    <t>=SUM(G2762:G2766)</t>
  </si>
  <si>
    <t>=SUM(H2762:H2766)</t>
  </si>
  <si>
    <t>=SUM(I2762:I2766)</t>
  </si>
  <si>
    <t>=SUM(J2762:J2766)</t>
  </si>
  <si>
    <t>=IF(K2768=0,"hide","")</t>
  </si>
  <si>
    <t>="37422"</t>
  </si>
  <si>
    <t>=NL("rows","Production BOM Version","Version Code","Production BOM No.",D2768,"status","certified")</t>
  </si>
  <si>
    <t>=NL("sum","Item Ledger Entry","Quantity","Item No.",$D2768,"Entry Type","Sale|Consumption","posting date","01/01/19..12/31/19")/-12</t>
  </si>
  <si>
    <t>=NL("sum","Item Ledger Entry","Quantity","Item No.",$D2768,"Entry Type","Sale|Consumption","posting date","01/01/20..12/31/20")/-12</t>
  </si>
  <si>
    <t>=NL("sum","Item Ledger Entry","Quantity","Item No.",$D2768,"Entry Type","Sale|Consumption","posting date","01/01/21..12/31/21")/-12</t>
  </si>
  <si>
    <t>=NL("sum","Item Ledger Entry","Quantity","Item No.",$D2768,"Entry Type","Sale|Consumption","posting date","01/01/22..12/31/22")/-12</t>
  </si>
  <si>
    <t>=NL("sum","Item Ledger Entry","Quantity","Item No.",$D2768,"Entry Type","Sale|Consumption","posting date","01/01/23..12/31/23")/$J$7</t>
  </si>
  <si>
    <t>=AVERAGE(I2768:J2768)</t>
  </si>
  <si>
    <t>=NL(1,"item",L$9,"no.",D2768)</t>
  </si>
  <si>
    <t>=NL(1,"item",M$9,"no.",$D2768)</t>
  </si>
  <si>
    <t>=NL(1,"item","Units Per Parcel","no.",$D2768)</t>
  </si>
  <si>
    <t>=NL(1,"Prod. BOM Equipment","Fixed Prod. Time (Hours)","Production BOM No.",$D2768,"version code",$E2768,"Resource No.",O$9)</t>
  </si>
  <si>
    <t>=1/O2768</t>
  </si>
  <si>
    <t>=IF(NL(1,"Prod. BOM Equipment","Variable Prod. Time (Hours)","Production BOM No.",$D2768,"version code",$E2768,"Resource No.",$O$9)="",1,NL(1,"Prod. BOM Equipment","Variable Prod. Time (Hours)","Production BOM No.",$D2768,"version code",$E2768,"Resource No.",$O$9))</t>
  </si>
  <si>
    <t>=1/Q2768</t>
  </si>
  <si>
    <t>=R2768*N2768</t>
  </si>
  <si>
    <t>=IF(K2769=0,"hide","")</t>
  </si>
  <si>
    <t>=D2768</t>
  </si>
  <si>
    <t>=NL("sum","Production Order","Quantity","Source No.",$D2769,"Equipment Code",$L2769,"due date",F$8)/-12</t>
  </si>
  <si>
    <t>=NL("sum","Production Order","Quantity","Source No.",$D2769,"Equipment Code",$L2769,"due date",G$8)/-12</t>
  </si>
  <si>
    <t>=NL("sum","Production Order","Quantity","Source No.",$D2769,"Equipment Code",$L2769,"due date",H$8)/-12</t>
  </si>
  <si>
    <t>=NL("sum","Production Order","Quantity","Source No.",$D2769,"Equipment Code",$L2769,"due date",I$8)/-12</t>
  </si>
  <si>
    <t>=NL("sum","Production Order","Quantity","Source No.",$D2769,"Equipment Code",$L2769,"due date",J$8)/$J$7</t>
  </si>
  <si>
    <t>=AVERAGE(I2769:J2769)</t>
  </si>
  <si>
    <t>=IF(K2770=0,"hide","")</t>
  </si>
  <si>
    <t>=D2769</t>
  </si>
  <si>
    <t>=NL("sum","Production Order","Quantity","Source No.",$D2770,"Equipment Code",$L2770,"due date",F$8)/-12</t>
  </si>
  <si>
    <t>=NL("sum","Production Order","Quantity","Source No.",$D2770,"Equipment Code",$L2770,"due date",G$8)/-12</t>
  </si>
  <si>
    <t>=NL("sum","Production Order","Quantity","Source No.",$D2770,"Equipment Code",$L2770,"due date",H$8)/-12</t>
  </si>
  <si>
    <t>=NL("sum","Production Order","Quantity","Source No.",$D2770,"Equipment Code",$L2770,"due date",I$8)/-12</t>
  </si>
  <si>
    <t>=NL("sum","Production Order","Quantity","Source No.",$D2770,"Equipment Code",$L2770,"due date",J$8)/$J$7</t>
  </si>
  <si>
    <t>=AVERAGE(I2770:J2770)</t>
  </si>
  <si>
    <t>=IF(K2771=0,"hide","")</t>
  </si>
  <si>
    <t>=D2770</t>
  </si>
  <si>
    <t>=NL("sum","Production Order","Quantity","Source No.",$D2771,"Equipment Code",$L2771,"due date",F$8)/-12</t>
  </si>
  <si>
    <t>=NL("sum","Production Order","Quantity","Source No.",$D2771,"Equipment Code",$L2771,"due date",G$8)/-12</t>
  </si>
  <si>
    <t>=NL("sum","Production Order","Quantity","Source No.",$D2771,"Equipment Code",$L2771,"due date",H$8)/-12</t>
  </si>
  <si>
    <t>=NL("sum","Production Order","Quantity","Source No.",$D2771,"Equipment Code",$L2771,"due date",I$8)/-12</t>
  </si>
  <si>
    <t>=NL("sum","Production Order","Quantity","Source No.",$D2771,"Equipment Code",$L2771,"due date",J$8)/$J$7</t>
  </si>
  <si>
    <t>=AVERAGE(I2771:J2771)</t>
  </si>
  <si>
    <t>=IF(K2772=0,"hide","")</t>
  </si>
  <si>
    <t>=D2771</t>
  </si>
  <si>
    <t>=NL("sum","Production Order","Quantity","Source No.",$D2772,"Equipment Code",$L2772,"due date",F$8)/-12</t>
  </si>
  <si>
    <t>=NL("sum","Production Order","Quantity","Source No.",$D2772,"Equipment Code",$L2772,"due date",G$8)/-12</t>
  </si>
  <si>
    <t>=NL("sum","Production Order","Quantity","Source No.",$D2772,"Equipment Code",$L2772,"due date",H$8)/-12</t>
  </si>
  <si>
    <t>=NL("sum","Production Order","Quantity","Source No.",$D2772,"Equipment Code",$L2772,"due date",I$8)/-12</t>
  </si>
  <si>
    <t>=NL("sum","Production Order","Quantity","Source No.",$D2772,"Equipment Code",$L2772,"due date",J$8)/$J$7</t>
  </si>
  <si>
    <t>=AVERAGE(I2772:J2772)</t>
  </si>
  <si>
    <t>=B2769</t>
  </si>
  <si>
    <t>=B2773</t>
  </si>
  <si>
    <t>=SUM(F2769:F2773)</t>
  </si>
  <si>
    <t>=SUM(G2769:G2773)</t>
  </si>
  <si>
    <t>=SUM(H2769:H2773)</t>
  </si>
  <si>
    <t>=SUM(I2769:I2773)</t>
  </si>
  <si>
    <t>=SUM(J2769:J2773)</t>
  </si>
  <si>
    <t>=IF(K2775=0,"hide","")</t>
  </si>
  <si>
    <t>="37451"</t>
  </si>
  <si>
    <t>=NL("rows","Production BOM Version","Version Code","Production BOM No.",D2775,"status","certified")</t>
  </si>
  <si>
    <t>=NL("sum","Item Ledger Entry","Quantity","Item No.",$D2775,"Entry Type","Sale|Consumption","posting date","01/01/19..12/31/19")/-12</t>
  </si>
  <si>
    <t>=NL("sum","Item Ledger Entry","Quantity","Item No.",$D2775,"Entry Type","Sale|Consumption","posting date","01/01/20..12/31/20")/-12</t>
  </si>
  <si>
    <t>=NL("sum","Item Ledger Entry","Quantity","Item No.",$D2775,"Entry Type","Sale|Consumption","posting date","01/01/21..12/31/21")/-12</t>
  </si>
  <si>
    <t>=NL("sum","Item Ledger Entry","Quantity","Item No.",$D2775,"Entry Type","Sale|Consumption","posting date","01/01/22..12/31/22")/-12</t>
  </si>
  <si>
    <t>=NL("sum","Item Ledger Entry","Quantity","Item No.",$D2775,"Entry Type","Sale|Consumption","posting date","01/01/23..12/31/23")/$J$7</t>
  </si>
  <si>
    <t>=AVERAGE(I2775:J2775)</t>
  </si>
  <si>
    <t>=NL(1,"item",L$9,"no.",D2775)</t>
  </si>
  <si>
    <t>=NL(1,"item",M$9,"no.",$D2775)</t>
  </si>
  <si>
    <t>=NL(1,"item","Units Per Parcel","no.",$D2775)</t>
  </si>
  <si>
    <t>=NL(1,"Prod. BOM Equipment","Fixed Prod. Time (Hours)","Production BOM No.",$D2775,"version code",$E2775,"Resource No.",O$9)</t>
  </si>
  <si>
    <t>=1/O2775</t>
  </si>
  <si>
    <t>=IF(NL(1,"Prod. BOM Equipment","Variable Prod. Time (Hours)","Production BOM No.",$D2775,"version code",$E2775,"Resource No.",$O$9)="",1,NL(1,"Prod. BOM Equipment","Variable Prod. Time (Hours)","Production BOM No.",$D2775,"version code",$E2775,"Resource No.",$O$9))</t>
  </si>
  <si>
    <t>=1/Q2775</t>
  </si>
  <si>
    <t>=R2775*N2775</t>
  </si>
  <si>
    <t>=IF(K2776=0,"hide","")</t>
  </si>
  <si>
    <t>=D2775</t>
  </si>
  <si>
    <t>=NL("sum","Production Order","Quantity","Source No.",$D2776,"Equipment Code",$L2776,"due date",F$8)/-12</t>
  </si>
  <si>
    <t>=NL("sum","Production Order","Quantity","Source No.",$D2776,"Equipment Code",$L2776,"due date",G$8)/-12</t>
  </si>
  <si>
    <t>=NL("sum","Production Order","Quantity","Source No.",$D2776,"Equipment Code",$L2776,"due date",H$8)/-12</t>
  </si>
  <si>
    <t>=NL("sum","Production Order","Quantity","Source No.",$D2776,"Equipment Code",$L2776,"due date",I$8)/-12</t>
  </si>
  <si>
    <t>=NL("sum","Production Order","Quantity","Source No.",$D2776,"Equipment Code",$L2776,"due date",J$8)/$J$7</t>
  </si>
  <si>
    <t>=AVERAGE(I2776:J2776)</t>
  </si>
  <si>
    <t>=IF(K2777=0,"hide","")</t>
  </si>
  <si>
    <t>=D2776</t>
  </si>
  <si>
    <t>=NL("sum","Production Order","Quantity","Source No.",$D2777,"Equipment Code",$L2777,"due date",F$8)/-12</t>
  </si>
  <si>
    <t>=NL("sum","Production Order","Quantity","Source No.",$D2777,"Equipment Code",$L2777,"due date",G$8)/-12</t>
  </si>
  <si>
    <t>=NL("sum","Production Order","Quantity","Source No.",$D2777,"Equipment Code",$L2777,"due date",H$8)/-12</t>
  </si>
  <si>
    <t>=NL("sum","Production Order","Quantity","Source No.",$D2777,"Equipment Code",$L2777,"due date",I$8)/-12</t>
  </si>
  <si>
    <t>=NL("sum","Production Order","Quantity","Source No.",$D2777,"Equipment Code",$L2777,"due date",J$8)/$J$7</t>
  </si>
  <si>
    <t>=AVERAGE(I2777:J2777)</t>
  </si>
  <si>
    <t>=IF(K2778=0,"hide","")</t>
  </si>
  <si>
    <t>=D2777</t>
  </si>
  <si>
    <t>=NL("sum","Production Order","Quantity","Source No.",$D2778,"Equipment Code",$L2778,"due date",F$8)/-12</t>
  </si>
  <si>
    <t>=NL("sum","Production Order","Quantity","Source No.",$D2778,"Equipment Code",$L2778,"due date",G$8)/-12</t>
  </si>
  <si>
    <t>=NL("sum","Production Order","Quantity","Source No.",$D2778,"Equipment Code",$L2778,"due date",H$8)/-12</t>
  </si>
  <si>
    <t>=NL("sum","Production Order","Quantity","Source No.",$D2778,"Equipment Code",$L2778,"due date",I$8)/-12</t>
  </si>
  <si>
    <t>=NL("sum","Production Order","Quantity","Source No.",$D2778,"Equipment Code",$L2778,"due date",J$8)/$J$7</t>
  </si>
  <si>
    <t>=AVERAGE(I2778:J2778)</t>
  </si>
  <si>
    <t>=IF(K2779=0,"hide","")</t>
  </si>
  <si>
    <t>=D2778</t>
  </si>
  <si>
    <t>=NL("sum","Production Order","Quantity","Source No.",$D2779,"Equipment Code",$L2779,"due date",F$8)/-12</t>
  </si>
  <si>
    <t>=NL("sum","Production Order","Quantity","Source No.",$D2779,"Equipment Code",$L2779,"due date",G$8)/-12</t>
  </si>
  <si>
    <t>=NL("sum","Production Order","Quantity","Source No.",$D2779,"Equipment Code",$L2779,"due date",H$8)/-12</t>
  </si>
  <si>
    <t>=NL("sum","Production Order","Quantity","Source No.",$D2779,"Equipment Code",$L2779,"due date",I$8)/-12</t>
  </si>
  <si>
    <t>=NL("sum","Production Order","Quantity","Source No.",$D2779,"Equipment Code",$L2779,"due date",J$8)/$J$7</t>
  </si>
  <si>
    <t>=AVERAGE(I2779:J2779)</t>
  </si>
  <si>
    <t>=B2776</t>
  </si>
  <si>
    <t>=B2780</t>
  </si>
  <si>
    <t>=SUM(F2776:F2780)</t>
  </si>
  <si>
    <t>=SUM(G2776:G2780)</t>
  </si>
  <si>
    <t>=SUM(H2776:H2780)</t>
  </si>
  <si>
    <t>=SUM(I2776:I2780)</t>
  </si>
  <si>
    <t>=SUM(J2776:J2780)</t>
  </si>
  <si>
    <t>=IF(K2782=0,"hide","")</t>
  </si>
  <si>
    <t>="37464"</t>
  </si>
  <si>
    <t>=NL("rows","Production BOM Version","Version Code","Production BOM No.",D2782,"status","certified")</t>
  </si>
  <si>
    <t>=NL("sum","Item Ledger Entry","Quantity","Item No.",$D2782,"Entry Type","Sale|Consumption","posting date","01/01/19..12/31/19")/-12</t>
  </si>
  <si>
    <t>=NL("sum","Item Ledger Entry","Quantity","Item No.",$D2782,"Entry Type","Sale|Consumption","posting date","01/01/20..12/31/20")/-12</t>
  </si>
  <si>
    <t>=NL("sum","Item Ledger Entry","Quantity","Item No.",$D2782,"Entry Type","Sale|Consumption","posting date","01/01/21..12/31/21")/-12</t>
  </si>
  <si>
    <t>=NL("sum","Item Ledger Entry","Quantity","Item No.",$D2782,"Entry Type","Sale|Consumption","posting date","01/01/22..12/31/22")/-12</t>
  </si>
  <si>
    <t>=NL("sum","Item Ledger Entry","Quantity","Item No.",$D2782,"Entry Type","Sale|Consumption","posting date","01/01/23..12/31/23")/$J$7</t>
  </si>
  <si>
    <t>=AVERAGE(I2782:J2782)</t>
  </si>
  <si>
    <t>=NL(1,"item",L$9,"no.",D2782)</t>
  </si>
  <si>
    <t>=NL(1,"item",M$9,"no.",$D2782)</t>
  </si>
  <si>
    <t>=NL(1,"item","Units Per Parcel","no.",$D2782)</t>
  </si>
  <si>
    <t>=NL(1,"Prod. BOM Equipment","Fixed Prod. Time (Hours)","Production BOM No.",$D2782,"version code",$E2782,"Resource No.",O$9)</t>
  </si>
  <si>
    <t>=1/O2782</t>
  </si>
  <si>
    <t>=IF(NL(1,"Prod. BOM Equipment","Variable Prod. Time (Hours)","Production BOM No.",$D2782,"version code",$E2782,"Resource No.",$O$9)="",1,NL(1,"Prod. BOM Equipment","Variable Prod. Time (Hours)","Production BOM No.",$D2782,"version code",$E2782,"Resource No.",$O$9))</t>
  </si>
  <si>
    <t>=1/Q2782</t>
  </si>
  <si>
    <t>=R2782*N2782</t>
  </si>
  <si>
    <t>=IF(K2783=0,"hide","")</t>
  </si>
  <si>
    <t>=AVERAGE(I2783:J2783)</t>
  </si>
  <si>
    <t>=IF(K2784=0,"hide","")</t>
  </si>
  <si>
    <t>=D2782</t>
  </si>
  <si>
    <t>=NL("sum","Production Order","Quantity","Source No.",$D2784,"Equipment Code",$L2784,"due date",F$8)/-12</t>
  </si>
  <si>
    <t>=NL("sum","Production Order","Quantity","Source No.",$D2784,"Equipment Code",$L2784,"due date",G$8)/-12</t>
  </si>
  <si>
    <t>=NL("sum","Production Order","Quantity","Source No.",$D2784,"Equipment Code",$L2784,"due date",H$8)/-12</t>
  </si>
  <si>
    <t>=NL("sum","Production Order","Quantity","Source No.",$D2784,"Equipment Code",$L2784,"due date",I$8)/-12</t>
  </si>
  <si>
    <t>=NL("sum","Production Order","Quantity","Source No.",$D2784,"Equipment Code",$L2784,"due date",J$8)/$J$7</t>
  </si>
  <si>
    <t>=AVERAGE(I2784:J2784)</t>
  </si>
  <si>
    <t>=IF(K2785=0,"hide","")</t>
  </si>
  <si>
    <t>=D2783</t>
  </si>
  <si>
    <t>=NL("sum","Production Order","Quantity","Source No.",$D2785,"Equipment Code",$L2785,"due date",F$8)/-12</t>
  </si>
  <si>
    <t>=NL("sum","Production Order","Quantity","Source No.",$D2785,"Equipment Code",$L2785,"due date",G$8)/-12</t>
  </si>
  <si>
    <t>=NL("sum","Production Order","Quantity","Source No.",$D2785,"Equipment Code",$L2785,"due date",H$8)/-12</t>
  </si>
  <si>
    <t>=NL("sum","Production Order","Quantity","Source No.",$D2785,"Equipment Code",$L2785,"due date",I$8)/-12</t>
  </si>
  <si>
    <t>=NL("sum","Production Order","Quantity","Source No.",$D2785,"Equipment Code",$L2785,"due date",J$8)/$J$7</t>
  </si>
  <si>
    <t>=AVERAGE(I2785:J2785)</t>
  </si>
  <si>
    <t>=IF(K2786=0,"hide","")</t>
  </si>
  <si>
    <t>=D2784</t>
  </si>
  <si>
    <t>=NL("sum","Production Order","Quantity","Source No.",$D2786,"Equipment Code",$L2786,"due date",F$8)/-12</t>
  </si>
  <si>
    <t>=NL("sum","Production Order","Quantity","Source No.",$D2786,"Equipment Code",$L2786,"due date",G$8)/-12</t>
  </si>
  <si>
    <t>=NL("sum","Production Order","Quantity","Source No.",$D2786,"Equipment Code",$L2786,"due date",H$8)/-12</t>
  </si>
  <si>
    <t>=NL("sum","Production Order","Quantity","Source No.",$D2786,"Equipment Code",$L2786,"due date",I$8)/-12</t>
  </si>
  <si>
    <t>=NL("sum","Production Order","Quantity","Source No.",$D2786,"Equipment Code",$L2786,"due date",J$8)/$J$7</t>
  </si>
  <si>
    <t>=AVERAGE(I2786:J2786)</t>
  </si>
  <si>
    <t>=D2785</t>
  </si>
  <si>
    <t>=IF(K2790=0,"hide","")</t>
  </si>
  <si>
    <t>="37536"</t>
  </si>
  <si>
    <t>=AVERAGE(I2790:J2790)</t>
  </si>
  <si>
    <t>=IF(K2791=0,"hide","")</t>
  </si>
  <si>
    <t>=D2790</t>
  </si>
  <si>
    <t>=NL("sum","Production Order","Quantity","Source No.",$D2791,"Equipment Code",$L2791,"due date",F$8)/-12</t>
  </si>
  <si>
    <t>=NL("sum","Production Order","Quantity","Source No.",$D2791,"Equipment Code",$L2791,"due date",G$8)/-12</t>
  </si>
  <si>
    <t>=NL("sum","Production Order","Quantity","Source No.",$D2791,"Equipment Code",$L2791,"due date",H$8)/-12</t>
  </si>
  <si>
    <t>=NL("sum","Production Order","Quantity","Source No.",$D2791,"Equipment Code",$L2791,"due date",I$8)/-12</t>
  </si>
  <si>
    <t>=NL("sum","Production Order","Quantity","Source No.",$D2791,"Equipment Code",$L2791,"due date",J$8)/$J$7</t>
  </si>
  <si>
    <t>=AVERAGE(I2791:J2791)</t>
  </si>
  <si>
    <t>=IF(K2792=0,"hide","")</t>
  </si>
  <si>
    <t>=D2791</t>
  </si>
  <si>
    <t>=NL("sum","Production Order","Quantity","Source No.",$D2792,"Equipment Code",$L2792,"due date",F$8)/-12</t>
  </si>
  <si>
    <t>=NL("sum","Production Order","Quantity","Source No.",$D2792,"Equipment Code",$L2792,"due date",G$8)/-12</t>
  </si>
  <si>
    <t>=NL("sum","Production Order","Quantity","Source No.",$D2792,"Equipment Code",$L2792,"due date",H$8)/-12</t>
  </si>
  <si>
    <t>=NL("sum","Production Order","Quantity","Source No.",$D2792,"Equipment Code",$L2792,"due date",I$8)/-12</t>
  </si>
  <si>
    <t>=NL("sum","Production Order","Quantity","Source No.",$D2792,"Equipment Code",$L2792,"due date",J$8)/$J$7</t>
  </si>
  <si>
    <t>=AVERAGE(I2792:J2792)</t>
  </si>
  <si>
    <t>=IF(K2793=0,"hide","")</t>
  </si>
  <si>
    <t>=D2792</t>
  </si>
  <si>
    <t>=NL("sum","Production Order","Quantity","Source No.",$D2793,"Equipment Code",$L2793,"due date",F$8)/-12</t>
  </si>
  <si>
    <t>=NL("sum","Production Order","Quantity","Source No.",$D2793,"Equipment Code",$L2793,"due date",G$8)/-12</t>
  </si>
  <si>
    <t>=NL("sum","Production Order","Quantity","Source No.",$D2793,"Equipment Code",$L2793,"due date",H$8)/-12</t>
  </si>
  <si>
    <t>=NL("sum","Production Order","Quantity","Source No.",$D2793,"Equipment Code",$L2793,"due date",I$8)/-12</t>
  </si>
  <si>
    <t>=NL("sum","Production Order","Quantity","Source No.",$D2793,"Equipment Code",$L2793,"due date",J$8)/$J$7</t>
  </si>
  <si>
    <t>=AVERAGE(I2793:J2793)</t>
  </si>
  <si>
    <t>=IF(K2797=0,"hide","")</t>
  </si>
  <si>
    <t>="37701"</t>
  </si>
  <si>
    <t>=AVERAGE(I2797:J2797)</t>
  </si>
  <si>
    <t>=IF(K2798=0,"hide","")</t>
  </si>
  <si>
    <t>=D2797</t>
  </si>
  <si>
    <t>=NL("sum","Production Order","Quantity","Source No.",$D2798,"Equipment Code",$L2798,"due date",F$8)/-12</t>
  </si>
  <si>
    <t>=NL("sum","Production Order","Quantity","Source No.",$D2798,"Equipment Code",$L2798,"due date",G$8)/-12</t>
  </si>
  <si>
    <t>=NL("sum","Production Order","Quantity","Source No.",$D2798,"Equipment Code",$L2798,"due date",H$8)/-12</t>
  </si>
  <si>
    <t>=NL("sum","Production Order","Quantity","Source No.",$D2798,"Equipment Code",$L2798,"due date",I$8)/-12</t>
  </si>
  <si>
    <t>=NL("sum","Production Order","Quantity","Source No.",$D2798,"Equipment Code",$L2798,"due date",J$8)/$J$7</t>
  </si>
  <si>
    <t>=AVERAGE(I2798:J2798)</t>
  </si>
  <si>
    <t>=IF(K2799=0,"hide","")</t>
  </si>
  <si>
    <t>=D2798</t>
  </si>
  <si>
    <t>=NL("sum","Production Order","Quantity","Source No.",$D2799,"Equipment Code",$L2799,"due date",F$8)/-12</t>
  </si>
  <si>
    <t>=NL("sum","Production Order","Quantity","Source No.",$D2799,"Equipment Code",$L2799,"due date",G$8)/-12</t>
  </si>
  <si>
    <t>=NL("sum","Production Order","Quantity","Source No.",$D2799,"Equipment Code",$L2799,"due date",H$8)/-12</t>
  </si>
  <si>
    <t>=NL("sum","Production Order","Quantity","Source No.",$D2799,"Equipment Code",$L2799,"due date",I$8)/-12</t>
  </si>
  <si>
    <t>=NL("sum","Production Order","Quantity","Source No.",$D2799,"Equipment Code",$L2799,"due date",J$8)/$J$7</t>
  </si>
  <si>
    <t>=AVERAGE(I2799:J2799)</t>
  </si>
  <si>
    <t>=IF(K2800=0,"hide","")</t>
  </si>
  <si>
    <t>=D2799</t>
  </si>
  <si>
    <t>=NL("sum","Production Order","Quantity","Source No.",$D2800,"Equipment Code",$L2800,"due date",F$8)/-12</t>
  </si>
  <si>
    <t>=NL("sum","Production Order","Quantity","Source No.",$D2800,"Equipment Code",$L2800,"due date",G$8)/-12</t>
  </si>
  <si>
    <t>=NL("sum","Production Order","Quantity","Source No.",$D2800,"Equipment Code",$L2800,"due date",H$8)/-12</t>
  </si>
  <si>
    <t>=NL("sum","Production Order","Quantity","Source No.",$D2800,"Equipment Code",$L2800,"due date",I$8)/-12</t>
  </si>
  <si>
    <t>=NL("sum","Production Order","Quantity","Source No.",$D2800,"Equipment Code",$L2800,"due date",J$8)/$J$7</t>
  </si>
  <si>
    <t>=AVERAGE(I2800:J2800)</t>
  </si>
  <si>
    <t>=IF(K2804=0,"hide","")</t>
  </si>
  <si>
    <t>="37801"</t>
  </si>
  <si>
    <t>=NL("sum","Item Ledger Entry","Quantity","Item No.",$D2804,"Entry Type","Sale|Consumption","posting date","01/01/19..12/31/19")/-12</t>
  </si>
  <si>
    <t>=NL("sum","Item Ledger Entry","Quantity","Item No.",$D2804,"Entry Type","Sale|Consumption","posting date","01/01/20..12/31/20")/-12</t>
  </si>
  <si>
    <t>=NL("sum","Item Ledger Entry","Quantity","Item No.",$D2804,"Entry Type","Sale|Consumption","posting date","01/01/21..12/31/21")/-12</t>
  </si>
  <si>
    <t>=NL("sum","Item Ledger Entry","Quantity","Item No.",$D2804,"Entry Type","Sale|Consumption","posting date","01/01/22..12/31/22")/-12</t>
  </si>
  <si>
    <t>=NL("sum","Item Ledger Entry","Quantity","Item No.",$D2804,"Entry Type","Sale|Consumption","posting date","01/01/23..12/31/23")/$J$7</t>
  </si>
  <si>
    <t>=AVERAGE(I2804:J2804)</t>
  </si>
  <si>
    <t>=NL(1,"item",L$9,"no.",D2804)</t>
  </si>
  <si>
    <t>=NL(1,"item",M$9,"no.",$D2804)</t>
  </si>
  <si>
    <t>=NL(1,"item","Units Per Parcel","no.",$D2804)</t>
  </si>
  <si>
    <t>=NL(1,"Prod. BOM Equipment","Fixed Prod. Time (Hours)","Production BOM No.",$D2804,"version code",$E2804,"Resource No.",O$9)</t>
  </si>
  <si>
    <t>=1/O2804</t>
  </si>
  <si>
    <t>=IF(NL(1,"Prod. BOM Equipment","Variable Prod. Time (Hours)","Production BOM No.",$D2804,"version code",$E2804,"Resource No.",$O$9)="",1,NL(1,"Prod. BOM Equipment","Variable Prod. Time (Hours)","Production BOM No.",$D2804,"version code",$E2804,"Resource No.",$O$9))</t>
  </si>
  <si>
    <t>=1/Q2804</t>
  </si>
  <si>
    <t>=R2804*N2804</t>
  </si>
  <si>
    <t>=IF(K2805=0,"hide","")</t>
  </si>
  <si>
    <t>=D2804</t>
  </si>
  <si>
    <t>=NL("sum","Production Order","Quantity","Source No.",$D2805,"Equipment Code",$L2805,"due date",F$8)/-12</t>
  </si>
  <si>
    <t>=NL("sum","Production Order","Quantity","Source No.",$D2805,"Equipment Code",$L2805,"due date",G$8)/-12</t>
  </si>
  <si>
    <t>=NL("sum","Production Order","Quantity","Source No.",$D2805,"Equipment Code",$L2805,"due date",H$8)/-12</t>
  </si>
  <si>
    <t>=NL("sum","Production Order","Quantity","Source No.",$D2805,"Equipment Code",$L2805,"due date",I$8)/-12</t>
  </si>
  <si>
    <t>=NL("sum","Production Order","Quantity","Source No.",$D2805,"Equipment Code",$L2805,"due date",J$8)/$J$7</t>
  </si>
  <si>
    <t>=AVERAGE(I2805:J2805)</t>
  </si>
  <si>
    <t>=IF(K2806=0,"hide","")</t>
  </si>
  <si>
    <t>=D2805</t>
  </si>
  <si>
    <t>=NL("sum","Production Order","Quantity","Source No.",$D2806,"Equipment Code",$L2806,"due date",F$8)/-12</t>
  </si>
  <si>
    <t>=NL("sum","Production Order","Quantity","Source No.",$D2806,"Equipment Code",$L2806,"due date",G$8)/-12</t>
  </si>
  <si>
    <t>=NL("sum","Production Order","Quantity","Source No.",$D2806,"Equipment Code",$L2806,"due date",H$8)/-12</t>
  </si>
  <si>
    <t>=NL("sum","Production Order","Quantity","Source No.",$D2806,"Equipment Code",$L2806,"due date",I$8)/-12</t>
  </si>
  <si>
    <t>=NL("sum","Production Order","Quantity","Source No.",$D2806,"Equipment Code",$L2806,"due date",J$8)/$J$7</t>
  </si>
  <si>
    <t>=AVERAGE(I2806:J2806)</t>
  </si>
  <si>
    <t>=IF(K2807=0,"hide","")</t>
  </si>
  <si>
    <t>=D2806</t>
  </si>
  <si>
    <t>=NL("sum","Production Order","Quantity","Source No.",$D2807,"Equipment Code",$L2807,"due date",F$8)/-12</t>
  </si>
  <si>
    <t>=NL("sum","Production Order","Quantity","Source No.",$D2807,"Equipment Code",$L2807,"due date",G$8)/-12</t>
  </si>
  <si>
    <t>=NL("sum","Production Order","Quantity","Source No.",$D2807,"Equipment Code",$L2807,"due date",H$8)/-12</t>
  </si>
  <si>
    <t>=NL("sum","Production Order","Quantity","Source No.",$D2807,"Equipment Code",$L2807,"due date",I$8)/-12</t>
  </si>
  <si>
    <t>=NL("sum","Production Order","Quantity","Source No.",$D2807,"Equipment Code",$L2807,"due date",J$8)/$J$7</t>
  </si>
  <si>
    <t>=AVERAGE(I2807:J2807)</t>
  </si>
  <si>
    <t>=IF(K2808=0,"hide","")</t>
  </si>
  <si>
    <t>=NL("sum","Production Order","Quantity","Source No.",$D2808,"Equipment Code",$L2808,"due date",F$8)/-12</t>
  </si>
  <si>
    <t>=NL("sum","Production Order","Quantity","Source No.",$D2808,"Equipment Code",$L2808,"due date",G$8)/-12</t>
  </si>
  <si>
    <t>=NL("sum","Production Order","Quantity","Source No.",$D2808,"Equipment Code",$L2808,"due date",H$8)/-12</t>
  </si>
  <si>
    <t>=NL("sum","Production Order","Quantity","Source No.",$D2808,"Equipment Code",$L2808,"due date",I$8)/-12</t>
  </si>
  <si>
    <t>=NL("sum","Production Order","Quantity","Source No.",$D2808,"Equipment Code",$L2808,"due date",J$8)/$J$7</t>
  </si>
  <si>
    <t>=AVERAGE(I2808:J2808)</t>
  </si>
  <si>
    <t>=B2805</t>
  </si>
  <si>
    <t>=B2809</t>
  </si>
  <si>
    <t>=SUM(F2805:F2809)</t>
  </si>
  <si>
    <t>=SUM(G2805:G2809)</t>
  </si>
  <si>
    <t>=SUM(H2805:H2809)</t>
  </si>
  <si>
    <t>=SUM(I2805:I2809)</t>
  </si>
  <si>
    <t>=SUM(J2805:J2809)</t>
  </si>
  <si>
    <t>=IF(K2811=0,"hide","")</t>
  </si>
  <si>
    <t>="37810"</t>
  </si>
  <si>
    <t>=NL("rows","Production BOM Version","Version Code","Production BOM No.",D2811,"status","certified")</t>
  </si>
  <si>
    <t>=NL("sum","Item Ledger Entry","Quantity","Item No.",$D2811,"Entry Type","Sale|Consumption","posting date","01/01/19..12/31/19")/-12</t>
  </si>
  <si>
    <t>=NL("sum","Item Ledger Entry","Quantity","Item No.",$D2811,"Entry Type","Sale|Consumption","posting date","01/01/20..12/31/20")/-12</t>
  </si>
  <si>
    <t>=NL("sum","Item Ledger Entry","Quantity","Item No.",$D2811,"Entry Type","Sale|Consumption","posting date","01/01/21..12/31/21")/-12</t>
  </si>
  <si>
    <t>=NL("sum","Item Ledger Entry","Quantity","Item No.",$D2811,"Entry Type","Sale|Consumption","posting date","01/01/22..12/31/22")/-12</t>
  </si>
  <si>
    <t>=NL("sum","Item Ledger Entry","Quantity","Item No.",$D2811,"Entry Type","Sale|Consumption","posting date","01/01/23..12/31/23")/$J$7</t>
  </si>
  <si>
    <t>=AVERAGE(I2811:J2811)</t>
  </si>
  <si>
    <t>=NL(1,"item",L$9,"no.",D2811)</t>
  </si>
  <si>
    <t>=NL(1,"item",M$9,"no.",$D2811)</t>
  </si>
  <si>
    <t>=NL(1,"item","Units Per Parcel","no.",$D2811)</t>
  </si>
  <si>
    <t>=NL(1,"Prod. BOM Equipment","Fixed Prod. Time (Hours)","Production BOM No.",$D2811,"version code",$E2811,"Resource No.",O$9)</t>
  </si>
  <si>
    <t>=1/O2811</t>
  </si>
  <si>
    <t>=IF(NL(1,"Prod. BOM Equipment","Variable Prod. Time (Hours)","Production BOM No.",$D2811,"version code",$E2811,"Resource No.",$O$9)="",1,NL(1,"Prod. BOM Equipment","Variable Prod. Time (Hours)","Production BOM No.",$D2811,"version code",$E2811,"Resource No.",$O$9))</t>
  </si>
  <si>
    <t>=1/Q2811</t>
  </si>
  <si>
    <t>=R2811*N2811</t>
  </si>
  <si>
    <t>=IF(K2812=0,"hide","")</t>
  </si>
  <si>
    <t>=D2811</t>
  </si>
  <si>
    <t>=NL("sum","Production Order","Quantity","Source No.",$D2812,"Equipment Code",$L2812,"due date",F$8)/-12</t>
  </si>
  <si>
    <t>=NL("sum","Production Order","Quantity","Source No.",$D2812,"Equipment Code",$L2812,"due date",G$8)/-12</t>
  </si>
  <si>
    <t>=NL("sum","Production Order","Quantity","Source No.",$D2812,"Equipment Code",$L2812,"due date",H$8)/-12</t>
  </si>
  <si>
    <t>=NL("sum","Production Order","Quantity","Source No.",$D2812,"Equipment Code",$L2812,"due date",I$8)/-12</t>
  </si>
  <si>
    <t>=NL("sum","Production Order","Quantity","Source No.",$D2812,"Equipment Code",$L2812,"due date",J$8)/$J$7</t>
  </si>
  <si>
    <t>=AVERAGE(I2812:J2812)</t>
  </si>
  <si>
    <t>=IF(K2813=0,"hide","")</t>
  </si>
  <si>
    <t>=D2812</t>
  </si>
  <si>
    <t>=NL("sum","Production Order","Quantity","Source No.",$D2813,"Equipment Code",$L2813,"due date",F$8)/-12</t>
  </si>
  <si>
    <t>=NL("sum","Production Order","Quantity","Source No.",$D2813,"Equipment Code",$L2813,"due date",G$8)/-12</t>
  </si>
  <si>
    <t>=NL("sum","Production Order","Quantity","Source No.",$D2813,"Equipment Code",$L2813,"due date",H$8)/-12</t>
  </si>
  <si>
    <t>=NL("sum","Production Order","Quantity","Source No.",$D2813,"Equipment Code",$L2813,"due date",I$8)/-12</t>
  </si>
  <si>
    <t>=NL("sum","Production Order","Quantity","Source No.",$D2813,"Equipment Code",$L2813,"due date",J$8)/$J$7</t>
  </si>
  <si>
    <t>=AVERAGE(I2813:J2813)</t>
  </si>
  <si>
    <t>=IF(K2814=0,"hide","")</t>
  </si>
  <si>
    <t>=D2813</t>
  </si>
  <si>
    <t>=NL("sum","Production Order","Quantity","Source No.",$D2814,"Equipment Code",$L2814,"due date",F$8)/-12</t>
  </si>
  <si>
    <t>=NL("sum","Production Order","Quantity","Source No.",$D2814,"Equipment Code",$L2814,"due date",G$8)/-12</t>
  </si>
  <si>
    <t>=NL("sum","Production Order","Quantity","Source No.",$D2814,"Equipment Code",$L2814,"due date",H$8)/-12</t>
  </si>
  <si>
    <t>=NL("sum","Production Order","Quantity","Source No.",$D2814,"Equipment Code",$L2814,"due date",I$8)/-12</t>
  </si>
  <si>
    <t>=NL("sum","Production Order","Quantity","Source No.",$D2814,"Equipment Code",$L2814,"due date",J$8)/$J$7</t>
  </si>
  <si>
    <t>=AVERAGE(I2814:J2814)</t>
  </si>
  <si>
    <t>=IF(K2815=0,"hide","")</t>
  </si>
  <si>
    <t>=D2814</t>
  </si>
  <si>
    <t>=NL("sum","Production Order","Quantity","Source No.",$D2815,"Equipment Code",$L2815,"due date",F$8)/-12</t>
  </si>
  <si>
    <t>=NL("sum","Production Order","Quantity","Source No.",$D2815,"Equipment Code",$L2815,"due date",G$8)/-12</t>
  </si>
  <si>
    <t>=NL("sum","Production Order","Quantity","Source No.",$D2815,"Equipment Code",$L2815,"due date",H$8)/-12</t>
  </si>
  <si>
    <t>=NL("sum","Production Order","Quantity","Source No.",$D2815,"Equipment Code",$L2815,"due date",I$8)/-12</t>
  </si>
  <si>
    <t>=NL("sum","Production Order","Quantity","Source No.",$D2815,"Equipment Code",$L2815,"due date",J$8)/$J$7</t>
  </si>
  <si>
    <t>=AVERAGE(I2815:J2815)</t>
  </si>
  <si>
    <t>=B2812</t>
  </si>
  <si>
    <t>=B2816</t>
  </si>
  <si>
    <t>=SUM(F2812:F2816)</t>
  </si>
  <si>
    <t>=SUM(G2812:G2816)</t>
  </si>
  <si>
    <t>=SUM(H2812:H2816)</t>
  </si>
  <si>
    <t>=SUM(I2812:I2816)</t>
  </si>
  <si>
    <t>=SUM(J2812:J2816)</t>
  </si>
  <si>
    <t>=IF(K2818=0,"hide","")</t>
  </si>
  <si>
    <t>="37830"</t>
  </si>
  <si>
    <t>=NL("rows","Production BOM Version","Version Code","Production BOM No.",D2818,"status","certified")</t>
  </si>
  <si>
    <t>=NL("sum","Item Ledger Entry","Quantity","Item No.",$D2818,"Entry Type","Sale|Consumption","posting date","01/01/19..12/31/19")/-12</t>
  </si>
  <si>
    <t>=NL("sum","Item Ledger Entry","Quantity","Item No.",$D2818,"Entry Type","Sale|Consumption","posting date","01/01/20..12/31/20")/-12</t>
  </si>
  <si>
    <t>=NL("sum","Item Ledger Entry","Quantity","Item No.",$D2818,"Entry Type","Sale|Consumption","posting date","01/01/21..12/31/21")/-12</t>
  </si>
  <si>
    <t>=NL("sum","Item Ledger Entry","Quantity","Item No.",$D2818,"Entry Type","Sale|Consumption","posting date","01/01/22..12/31/22")/-12</t>
  </si>
  <si>
    <t>=NL("sum","Item Ledger Entry","Quantity","Item No.",$D2818,"Entry Type","Sale|Consumption","posting date","01/01/23..12/31/23")/$J$7</t>
  </si>
  <si>
    <t>=AVERAGE(I2818:J2818)</t>
  </si>
  <si>
    <t>=NL(1,"item",L$9,"no.",D2818)</t>
  </si>
  <si>
    <t>=NL(1,"item",M$9,"no.",$D2818)</t>
  </si>
  <si>
    <t>=NL(1,"item","Units Per Parcel","no.",$D2818)</t>
  </si>
  <si>
    <t>=NL(1,"Prod. BOM Equipment","Fixed Prod. Time (Hours)","Production BOM No.",$D2818,"version code",$E2818,"Resource No.",O$9)</t>
  </si>
  <si>
    <t>=1/O2818</t>
  </si>
  <si>
    <t>=IF(NL(1,"Prod. BOM Equipment","Variable Prod. Time (Hours)","Production BOM No.",$D2818,"version code",$E2818,"Resource No.",$O$9)="",1,NL(1,"Prod. BOM Equipment","Variable Prod. Time (Hours)","Production BOM No.",$D2818,"version code",$E2818,"Resource No.",$O$9))</t>
  </si>
  <si>
    <t>=1/Q2818</t>
  </si>
  <si>
    <t>=R2818*N2818</t>
  </si>
  <si>
    <t>=IF(K2819=0,"hide","")</t>
  </si>
  <si>
    <t>=D2818</t>
  </si>
  <si>
    <t>=NL("sum","Production Order","Quantity","Source No.",$D2819,"Equipment Code",$L2819,"due date",F$8)/-12</t>
  </si>
  <si>
    <t>=NL("sum","Production Order","Quantity","Source No.",$D2819,"Equipment Code",$L2819,"due date",G$8)/-12</t>
  </si>
  <si>
    <t>=NL("sum","Production Order","Quantity","Source No.",$D2819,"Equipment Code",$L2819,"due date",H$8)/-12</t>
  </si>
  <si>
    <t>=NL("sum","Production Order","Quantity","Source No.",$D2819,"Equipment Code",$L2819,"due date",I$8)/-12</t>
  </si>
  <si>
    <t>=NL("sum","Production Order","Quantity","Source No.",$D2819,"Equipment Code",$L2819,"due date",J$8)/$J$7</t>
  </si>
  <si>
    <t>=AVERAGE(I2819:J2819)</t>
  </si>
  <si>
    <t>=IF(K2820=0,"hide","")</t>
  </si>
  <si>
    <t>=D2819</t>
  </si>
  <si>
    <t>=NL("sum","Production Order","Quantity","Source No.",$D2820,"Equipment Code",$L2820,"due date",F$8)/-12</t>
  </si>
  <si>
    <t>=NL("sum","Production Order","Quantity","Source No.",$D2820,"Equipment Code",$L2820,"due date",G$8)/-12</t>
  </si>
  <si>
    <t>=NL("sum","Production Order","Quantity","Source No.",$D2820,"Equipment Code",$L2820,"due date",H$8)/-12</t>
  </si>
  <si>
    <t>=NL("sum","Production Order","Quantity","Source No.",$D2820,"Equipment Code",$L2820,"due date",I$8)/-12</t>
  </si>
  <si>
    <t>=NL("sum","Production Order","Quantity","Source No.",$D2820,"Equipment Code",$L2820,"due date",J$8)/$J$7</t>
  </si>
  <si>
    <t>=AVERAGE(I2820:J2820)</t>
  </si>
  <si>
    <t>=IF(K2821=0,"hide","")</t>
  </si>
  <si>
    <t>=D2820</t>
  </si>
  <si>
    <t>=NL("sum","Production Order","Quantity","Source No.",$D2821,"Equipment Code",$L2821,"due date",F$8)/-12</t>
  </si>
  <si>
    <t>=NL("sum","Production Order","Quantity","Source No.",$D2821,"Equipment Code",$L2821,"due date",G$8)/-12</t>
  </si>
  <si>
    <t>=NL("sum","Production Order","Quantity","Source No.",$D2821,"Equipment Code",$L2821,"due date",H$8)/-12</t>
  </si>
  <si>
    <t>=NL("sum","Production Order","Quantity","Source No.",$D2821,"Equipment Code",$L2821,"due date",I$8)/-12</t>
  </si>
  <si>
    <t>=NL("sum","Production Order","Quantity","Source No.",$D2821,"Equipment Code",$L2821,"due date",J$8)/$J$7</t>
  </si>
  <si>
    <t>=AVERAGE(I2821:J2821)</t>
  </si>
  <si>
    <t>=IF(K2822=0,"hide","")</t>
  </si>
  <si>
    <t>=D2821</t>
  </si>
  <si>
    <t>=NL("sum","Production Order","Quantity","Source No.",$D2822,"Equipment Code",$L2822,"due date",F$8)/-12</t>
  </si>
  <si>
    <t>=NL("sum","Production Order","Quantity","Source No.",$D2822,"Equipment Code",$L2822,"due date",G$8)/-12</t>
  </si>
  <si>
    <t>=NL("sum","Production Order","Quantity","Source No.",$D2822,"Equipment Code",$L2822,"due date",H$8)/-12</t>
  </si>
  <si>
    <t>=NL("sum","Production Order","Quantity","Source No.",$D2822,"Equipment Code",$L2822,"due date",I$8)/-12</t>
  </si>
  <si>
    <t>=NL("sum","Production Order","Quantity","Source No.",$D2822,"Equipment Code",$L2822,"due date",J$8)/$J$7</t>
  </si>
  <si>
    <t>=AVERAGE(I2822:J2822)</t>
  </si>
  <si>
    <t>=B2819</t>
  </si>
  <si>
    <t>=B2823</t>
  </si>
  <si>
    <t>=SUM(F2819:F2823)</t>
  </si>
  <si>
    <t>=SUM(G2819:G2823)</t>
  </si>
  <si>
    <t>=SUM(H2819:H2823)</t>
  </si>
  <si>
    <t>=SUM(I2819:I2823)</t>
  </si>
  <si>
    <t>=SUM(J2819:J2823)</t>
  </si>
  <si>
    <t>=IF(K2825=0,"hide","")</t>
  </si>
  <si>
    <t>="37851"</t>
  </si>
  <si>
    <t>=NL("rows","Production BOM Version","Version Code","Production BOM No.",D2825,"status","certified")</t>
  </si>
  <si>
    <t>=NL("sum","Item Ledger Entry","Quantity","Item No.",$D2825,"Entry Type","Sale|Consumption","posting date","01/01/19..12/31/19")/-12</t>
  </si>
  <si>
    <t>=NL("sum","Item Ledger Entry","Quantity","Item No.",$D2825,"Entry Type","Sale|Consumption","posting date","01/01/20..12/31/20")/-12</t>
  </si>
  <si>
    <t>=NL("sum","Item Ledger Entry","Quantity","Item No.",$D2825,"Entry Type","Sale|Consumption","posting date","01/01/21..12/31/21")/-12</t>
  </si>
  <si>
    <t>=NL("sum","Item Ledger Entry","Quantity","Item No.",$D2825,"Entry Type","Sale|Consumption","posting date","01/01/22..12/31/22")/-12</t>
  </si>
  <si>
    <t>=NL("sum","Item Ledger Entry","Quantity","Item No.",$D2825,"Entry Type","Sale|Consumption","posting date","01/01/23..12/31/23")/$J$7</t>
  </si>
  <si>
    <t>=AVERAGE(I2825:J2825)</t>
  </si>
  <si>
    <t>=NL(1,"item",L$9,"no.",D2825)</t>
  </si>
  <si>
    <t>=NL(1,"item",M$9,"no.",$D2825)</t>
  </si>
  <si>
    <t>=NL(1,"item","Units Per Parcel","no.",$D2825)</t>
  </si>
  <si>
    <t>=NL(1,"Prod. BOM Equipment","Fixed Prod. Time (Hours)","Production BOM No.",$D2825,"version code",$E2825,"Resource No.",O$9)</t>
  </si>
  <si>
    <t>=1/O2825</t>
  </si>
  <si>
    <t>=IF(NL(1,"Prod. BOM Equipment","Variable Prod. Time (Hours)","Production BOM No.",$D2825,"version code",$E2825,"Resource No.",$O$9)="",1,NL(1,"Prod. BOM Equipment","Variable Prod. Time (Hours)","Production BOM No.",$D2825,"version code",$E2825,"Resource No.",$O$9))</t>
  </si>
  <si>
    <t>=1/Q2825</t>
  </si>
  <si>
    <t>=R2825*N2825</t>
  </si>
  <si>
    <t>=IF(K2826=0,"hide","")</t>
  </si>
  <si>
    <t>=D2825</t>
  </si>
  <si>
    <t>=NL("sum","Production Order","Quantity","Source No.",$D2826,"Equipment Code",$L2826,"due date",F$8)/-12</t>
  </si>
  <si>
    <t>=NL("sum","Production Order","Quantity","Source No.",$D2826,"Equipment Code",$L2826,"due date",G$8)/-12</t>
  </si>
  <si>
    <t>=NL("sum","Production Order","Quantity","Source No.",$D2826,"Equipment Code",$L2826,"due date",H$8)/-12</t>
  </si>
  <si>
    <t>=NL("sum","Production Order","Quantity","Source No.",$D2826,"Equipment Code",$L2826,"due date",I$8)/-12</t>
  </si>
  <si>
    <t>=NL("sum","Production Order","Quantity","Source No.",$D2826,"Equipment Code",$L2826,"due date",J$8)/$J$7</t>
  </si>
  <si>
    <t>=AVERAGE(I2826:J2826)</t>
  </si>
  <si>
    <t>=IF(K2827=0,"hide","")</t>
  </si>
  <si>
    <t>=D2826</t>
  </si>
  <si>
    <t>=NL("sum","Production Order","Quantity","Source No.",$D2827,"Equipment Code",$L2827,"due date",F$8)/-12</t>
  </si>
  <si>
    <t>=NL("sum","Production Order","Quantity","Source No.",$D2827,"Equipment Code",$L2827,"due date",G$8)/-12</t>
  </si>
  <si>
    <t>=NL("sum","Production Order","Quantity","Source No.",$D2827,"Equipment Code",$L2827,"due date",H$8)/-12</t>
  </si>
  <si>
    <t>=NL("sum","Production Order","Quantity","Source No.",$D2827,"Equipment Code",$L2827,"due date",I$8)/-12</t>
  </si>
  <si>
    <t>=NL("sum","Production Order","Quantity","Source No.",$D2827,"Equipment Code",$L2827,"due date",J$8)/$J$7</t>
  </si>
  <si>
    <t>=AVERAGE(I2827:J2827)</t>
  </si>
  <si>
    <t>=IF(K2828=0,"hide","")</t>
  </si>
  <si>
    <t>=D2827</t>
  </si>
  <si>
    <t>=NL("sum","Production Order","Quantity","Source No.",$D2828,"Equipment Code",$L2828,"due date",F$8)/-12</t>
  </si>
  <si>
    <t>=NL("sum","Production Order","Quantity","Source No.",$D2828,"Equipment Code",$L2828,"due date",G$8)/-12</t>
  </si>
  <si>
    <t>=NL("sum","Production Order","Quantity","Source No.",$D2828,"Equipment Code",$L2828,"due date",H$8)/-12</t>
  </si>
  <si>
    <t>=NL("sum","Production Order","Quantity","Source No.",$D2828,"Equipment Code",$L2828,"due date",I$8)/-12</t>
  </si>
  <si>
    <t>=NL("sum","Production Order","Quantity","Source No.",$D2828,"Equipment Code",$L2828,"due date",J$8)/$J$7</t>
  </si>
  <si>
    <t>=AVERAGE(I2828:J2828)</t>
  </si>
  <si>
    <t>=IF(K2829=0,"hide","")</t>
  </si>
  <si>
    <t>=D2828</t>
  </si>
  <si>
    <t>=NL("sum","Production Order","Quantity","Source No.",$D2829,"Equipment Code",$L2829,"due date",F$8)/-12</t>
  </si>
  <si>
    <t>=NL("sum","Production Order","Quantity","Source No.",$D2829,"Equipment Code",$L2829,"due date",G$8)/-12</t>
  </si>
  <si>
    <t>=NL("sum","Production Order","Quantity","Source No.",$D2829,"Equipment Code",$L2829,"due date",H$8)/-12</t>
  </si>
  <si>
    <t>=NL("sum","Production Order","Quantity","Source No.",$D2829,"Equipment Code",$L2829,"due date",I$8)/-12</t>
  </si>
  <si>
    <t>=NL("sum","Production Order","Quantity","Source No.",$D2829,"Equipment Code",$L2829,"due date",J$8)/$J$7</t>
  </si>
  <si>
    <t>=AVERAGE(I2829:J2829)</t>
  </si>
  <si>
    <t>=B2826</t>
  </si>
  <si>
    <t>=B2830</t>
  </si>
  <si>
    <t>=SUM(F2826:F2830)</t>
  </si>
  <si>
    <t>=SUM(G2826:G2830)</t>
  </si>
  <si>
    <t>=SUM(H2826:H2830)</t>
  </si>
  <si>
    <t>=SUM(I2826:I2830)</t>
  </si>
  <si>
    <t>=SUM(J2826:J2830)</t>
  </si>
  <si>
    <t>=IF(K2832=0,"hide","")</t>
  </si>
  <si>
    <t>="37891"</t>
  </si>
  <si>
    <t>=NL("rows","Production BOM Version","Version Code","Production BOM No.",D2832,"status","certified")</t>
  </si>
  <si>
    <t>=NL("sum","Item Ledger Entry","Quantity","Item No.",$D2832,"Entry Type","Sale|Consumption","posting date","01/01/19..12/31/19")/-12</t>
  </si>
  <si>
    <t>=NL("sum","Item Ledger Entry","Quantity","Item No.",$D2832,"Entry Type","Sale|Consumption","posting date","01/01/20..12/31/20")/-12</t>
  </si>
  <si>
    <t>=NL("sum","Item Ledger Entry","Quantity","Item No.",$D2832,"Entry Type","Sale|Consumption","posting date","01/01/21..12/31/21")/-12</t>
  </si>
  <si>
    <t>=NL("sum","Item Ledger Entry","Quantity","Item No.",$D2832,"Entry Type","Sale|Consumption","posting date","01/01/22..12/31/22")/-12</t>
  </si>
  <si>
    <t>=NL("sum","Item Ledger Entry","Quantity","Item No.",$D2832,"Entry Type","Sale|Consumption","posting date","01/01/23..12/31/23")/$J$7</t>
  </si>
  <si>
    <t>=AVERAGE(I2832:J2832)</t>
  </si>
  <si>
    <t>=NL(1,"item",L$9,"no.",D2832)</t>
  </si>
  <si>
    <t>=NL(1,"item",M$9,"no.",$D2832)</t>
  </si>
  <si>
    <t>=NL(1,"item","Units Per Parcel","no.",$D2832)</t>
  </si>
  <si>
    <t>=NL(1,"Prod. BOM Equipment","Fixed Prod. Time (Hours)","Production BOM No.",$D2832,"version code",$E2832,"Resource No.",O$9)</t>
  </si>
  <si>
    <t>=1/O2832</t>
  </si>
  <si>
    <t>=IF(NL(1,"Prod. BOM Equipment","Variable Prod. Time (Hours)","Production BOM No.",$D2832,"version code",$E2832,"Resource No.",$O$9)="",1,NL(1,"Prod. BOM Equipment","Variable Prod. Time (Hours)","Production BOM No.",$D2832,"version code",$E2832,"Resource No.",$O$9))</t>
  </si>
  <si>
    <t>=1/Q2832</t>
  </si>
  <si>
    <t>=R2832*N2832</t>
  </si>
  <si>
    <t>=IF(K2833=0,"hide","")</t>
  </si>
  <si>
    <t>=D2832</t>
  </si>
  <si>
    <t>=NL("sum","Production Order","Quantity","Source No.",$D2833,"Equipment Code",$L2833,"due date",F$8)/-12</t>
  </si>
  <si>
    <t>=NL("sum","Production Order","Quantity","Source No.",$D2833,"Equipment Code",$L2833,"due date",G$8)/-12</t>
  </si>
  <si>
    <t>=NL("sum","Production Order","Quantity","Source No.",$D2833,"Equipment Code",$L2833,"due date",H$8)/-12</t>
  </si>
  <si>
    <t>=NL("sum","Production Order","Quantity","Source No.",$D2833,"Equipment Code",$L2833,"due date",I$8)/-12</t>
  </si>
  <si>
    <t>=NL("sum","Production Order","Quantity","Source No.",$D2833,"Equipment Code",$L2833,"due date",J$8)/$J$7</t>
  </si>
  <si>
    <t>=AVERAGE(I2833:J2833)</t>
  </si>
  <si>
    <t>=IF(K2834=0,"hide","")</t>
  </si>
  <si>
    <t>=D2833</t>
  </si>
  <si>
    <t>=NL("sum","Production Order","Quantity","Source No.",$D2834,"Equipment Code",$L2834,"due date",F$8)/-12</t>
  </si>
  <si>
    <t>=NL("sum","Production Order","Quantity","Source No.",$D2834,"Equipment Code",$L2834,"due date",G$8)/-12</t>
  </si>
  <si>
    <t>=NL("sum","Production Order","Quantity","Source No.",$D2834,"Equipment Code",$L2834,"due date",H$8)/-12</t>
  </si>
  <si>
    <t>=NL("sum","Production Order","Quantity","Source No.",$D2834,"Equipment Code",$L2834,"due date",I$8)/-12</t>
  </si>
  <si>
    <t>=NL("sum","Production Order","Quantity","Source No.",$D2834,"Equipment Code",$L2834,"due date",J$8)/$J$7</t>
  </si>
  <si>
    <t>=AVERAGE(I2834:J2834)</t>
  </si>
  <si>
    <t>=IF(K2835=0,"hide","")</t>
  </si>
  <si>
    <t>=D2834</t>
  </si>
  <si>
    <t>=NL("sum","Production Order","Quantity","Source No.",$D2835,"Equipment Code",$L2835,"due date",F$8)/-12</t>
  </si>
  <si>
    <t>=NL("sum","Production Order","Quantity","Source No.",$D2835,"Equipment Code",$L2835,"due date",G$8)/-12</t>
  </si>
  <si>
    <t>=NL("sum","Production Order","Quantity","Source No.",$D2835,"Equipment Code",$L2835,"due date",H$8)/-12</t>
  </si>
  <si>
    <t>=NL("sum","Production Order","Quantity","Source No.",$D2835,"Equipment Code",$L2835,"due date",I$8)/-12</t>
  </si>
  <si>
    <t>=NL("sum","Production Order","Quantity","Source No.",$D2835,"Equipment Code",$L2835,"due date",J$8)/$J$7</t>
  </si>
  <si>
    <t>=AVERAGE(I2835:J2835)</t>
  </si>
  <si>
    <t>=IF(K2836=0,"hide","")</t>
  </si>
  <si>
    <t>=D2835</t>
  </si>
  <si>
    <t>=NL("sum","Production Order","Quantity","Source No.",$D2836,"Equipment Code",$L2836,"due date",F$8)/-12</t>
  </si>
  <si>
    <t>=NL("sum","Production Order","Quantity","Source No.",$D2836,"Equipment Code",$L2836,"due date",G$8)/-12</t>
  </si>
  <si>
    <t>=NL("sum","Production Order","Quantity","Source No.",$D2836,"Equipment Code",$L2836,"due date",H$8)/-12</t>
  </si>
  <si>
    <t>=NL("sum","Production Order","Quantity","Source No.",$D2836,"Equipment Code",$L2836,"due date",I$8)/-12</t>
  </si>
  <si>
    <t>=NL("sum","Production Order","Quantity","Source No.",$D2836,"Equipment Code",$L2836,"due date",J$8)/$J$7</t>
  </si>
  <si>
    <t>=AVERAGE(I2836:J2836)</t>
  </si>
  <si>
    <t>=B2833</t>
  </si>
  <si>
    <t>=B2837</t>
  </si>
  <si>
    <t>=SUM(F2833:F2837)</t>
  </si>
  <si>
    <t>=SUM(G2833:G2837)</t>
  </si>
  <si>
    <t>=SUM(H2833:H2837)</t>
  </si>
  <si>
    <t>=SUM(I2833:I2837)</t>
  </si>
  <si>
    <t>=SUM(J2833:J2837)</t>
  </si>
  <si>
    <t>=IF(K2839=0,"hide","")</t>
  </si>
  <si>
    <t>="38205"</t>
  </si>
  <si>
    <t>=NL("rows","Production BOM Version","Version Code","Production BOM No.",D2839,"status","certified")</t>
  </si>
  <si>
    <t>=NL("sum","Item Ledger Entry","Quantity","Item No.",$D2839,"Entry Type","Sale|Consumption","posting date","01/01/19..12/31/19")/-12</t>
  </si>
  <si>
    <t>=NL("sum","Item Ledger Entry","Quantity","Item No.",$D2839,"Entry Type","Sale|Consumption","posting date","01/01/20..12/31/20")/-12</t>
  </si>
  <si>
    <t>=NL("sum","Item Ledger Entry","Quantity","Item No.",$D2839,"Entry Type","Sale|Consumption","posting date","01/01/21..12/31/21")/-12</t>
  </si>
  <si>
    <t>=NL("sum","Item Ledger Entry","Quantity","Item No.",$D2839,"Entry Type","Sale|Consumption","posting date","01/01/22..12/31/22")/-12</t>
  </si>
  <si>
    <t>=NL("sum","Item Ledger Entry","Quantity","Item No.",$D2839,"Entry Type","Sale|Consumption","posting date","01/01/23..12/31/23")/$J$7</t>
  </si>
  <si>
    <t>=AVERAGE(I2839:J2839)</t>
  </si>
  <si>
    <t>=NL(1,"item",L$9,"no.",D2839)</t>
  </si>
  <si>
    <t>=NL(1,"item",M$9,"no.",$D2839)</t>
  </si>
  <si>
    <t>=NL(1,"item","Units Per Parcel","no.",$D2839)</t>
  </si>
  <si>
    <t>=NL(1,"Prod. BOM Equipment","Fixed Prod. Time (Hours)","Production BOM No.",$D2839,"version code",$E2839,"Resource No.",O$9)</t>
  </si>
  <si>
    <t>=1/O2839</t>
  </si>
  <si>
    <t>=IF(NL(1,"Prod. BOM Equipment","Variable Prod. Time (Hours)","Production BOM No.",$D2839,"version code",$E2839,"Resource No.",$O$9)="",1,NL(1,"Prod. BOM Equipment","Variable Prod. Time (Hours)","Production BOM No.",$D2839,"version code",$E2839,"Resource No.",$O$9))</t>
  </si>
  <si>
    <t>=1/Q2839</t>
  </si>
  <si>
    <t>=R2839*N2839</t>
  </si>
  <si>
    <t>=IF(K2840=0,"hide","")</t>
  </si>
  <si>
    <t>=D2839</t>
  </si>
  <si>
    <t>=NL("sum","Production Order","Quantity","Source No.",$D2840,"Equipment Code",$L2840,"due date",F$8)/-12</t>
  </si>
  <si>
    <t>=NL("sum","Production Order","Quantity","Source No.",$D2840,"Equipment Code",$L2840,"due date",G$8)/-12</t>
  </si>
  <si>
    <t>=NL("sum","Production Order","Quantity","Source No.",$D2840,"Equipment Code",$L2840,"due date",H$8)/-12</t>
  </si>
  <si>
    <t>=NL("sum","Production Order","Quantity","Source No.",$D2840,"Equipment Code",$L2840,"due date",I$8)/-12</t>
  </si>
  <si>
    <t>=NL("sum","Production Order","Quantity","Source No.",$D2840,"Equipment Code",$L2840,"due date",J$8)/$J$7</t>
  </si>
  <si>
    <t>=AVERAGE(I2840:J2840)</t>
  </si>
  <si>
    <t>=IF(K2841=0,"hide","")</t>
  </si>
  <si>
    <t>=D2840</t>
  </si>
  <si>
    <t>=NL("sum","Production Order","Quantity","Source No.",$D2841,"Equipment Code",$L2841,"due date",F$8)/-12</t>
  </si>
  <si>
    <t>=NL("sum","Production Order","Quantity","Source No.",$D2841,"Equipment Code",$L2841,"due date",G$8)/-12</t>
  </si>
  <si>
    <t>=NL("sum","Production Order","Quantity","Source No.",$D2841,"Equipment Code",$L2841,"due date",H$8)/-12</t>
  </si>
  <si>
    <t>=NL("sum","Production Order","Quantity","Source No.",$D2841,"Equipment Code",$L2841,"due date",I$8)/-12</t>
  </si>
  <si>
    <t>=NL("sum","Production Order","Quantity","Source No.",$D2841,"Equipment Code",$L2841,"due date",J$8)/$J$7</t>
  </si>
  <si>
    <t>=AVERAGE(I2841:J2841)</t>
  </si>
  <si>
    <t>=IF(K2842=0,"hide","")</t>
  </si>
  <si>
    <t>=D2841</t>
  </si>
  <si>
    <t>=NL("sum","Production Order","Quantity","Source No.",$D2842,"Equipment Code",$L2842,"due date",F$8)/-12</t>
  </si>
  <si>
    <t>=NL("sum","Production Order","Quantity","Source No.",$D2842,"Equipment Code",$L2842,"due date",G$8)/-12</t>
  </si>
  <si>
    <t>=NL("sum","Production Order","Quantity","Source No.",$D2842,"Equipment Code",$L2842,"due date",H$8)/-12</t>
  </si>
  <si>
    <t>=NL("sum","Production Order","Quantity","Source No.",$D2842,"Equipment Code",$L2842,"due date",I$8)/-12</t>
  </si>
  <si>
    <t>=NL("sum","Production Order","Quantity","Source No.",$D2842,"Equipment Code",$L2842,"due date",J$8)/$J$7</t>
  </si>
  <si>
    <t>=AVERAGE(I2842:J2842)</t>
  </si>
  <si>
    <t>=IF(K2843=0,"hide","")</t>
  </si>
  <si>
    <t>=D2842</t>
  </si>
  <si>
    <t>=NL("sum","Production Order","Quantity","Source No.",$D2843,"Equipment Code",$L2843,"due date",F$8)/-12</t>
  </si>
  <si>
    <t>=NL("sum","Production Order","Quantity","Source No.",$D2843,"Equipment Code",$L2843,"due date",G$8)/-12</t>
  </si>
  <si>
    <t>=NL("sum","Production Order","Quantity","Source No.",$D2843,"Equipment Code",$L2843,"due date",H$8)/-12</t>
  </si>
  <si>
    <t>=NL("sum","Production Order","Quantity","Source No.",$D2843,"Equipment Code",$L2843,"due date",I$8)/-12</t>
  </si>
  <si>
    <t>=NL("sum","Production Order","Quantity","Source No.",$D2843,"Equipment Code",$L2843,"due date",J$8)/$J$7</t>
  </si>
  <si>
    <t>=AVERAGE(I2843:J2843)</t>
  </si>
  <si>
    <t>=B2840</t>
  </si>
  <si>
    <t>=B2844</t>
  </si>
  <si>
    <t>=SUM(F2840:F2844)</t>
  </si>
  <si>
    <t>=SUM(G2840:G2844)</t>
  </si>
  <si>
    <t>=SUM(H2840:H2844)</t>
  </si>
  <si>
    <t>=SUM(I2840:I2844)</t>
  </si>
  <si>
    <t>=SUM(J2840:J2844)</t>
  </si>
  <si>
    <t>=IF(K2846=0,"hide","")</t>
  </si>
  <si>
    <t>="38405"</t>
  </si>
  <si>
    <t>=NL("rows","Production BOM Version","Version Code","Production BOM No.",D2846,"status","certified")</t>
  </si>
  <si>
    <t>=NL("sum","Item Ledger Entry","Quantity","Item No.",$D2846,"Entry Type","Sale|Consumption","posting date","01/01/19..12/31/19")/-12</t>
  </si>
  <si>
    <t>=NL("sum","Item Ledger Entry","Quantity","Item No.",$D2846,"Entry Type","Sale|Consumption","posting date","01/01/20..12/31/20")/-12</t>
  </si>
  <si>
    <t>=NL("sum","Item Ledger Entry","Quantity","Item No.",$D2846,"Entry Type","Sale|Consumption","posting date","01/01/21..12/31/21")/-12</t>
  </si>
  <si>
    <t>=NL("sum","Item Ledger Entry","Quantity","Item No.",$D2846,"Entry Type","Sale|Consumption","posting date","01/01/22..12/31/22")/-12</t>
  </si>
  <si>
    <t>=NL("sum","Item Ledger Entry","Quantity","Item No.",$D2846,"Entry Type","Sale|Consumption","posting date","01/01/23..12/31/23")/$J$7</t>
  </si>
  <si>
    <t>=AVERAGE(I2846:J2846)</t>
  </si>
  <si>
    <t>=NL(1,"item",L$9,"no.",D2846)</t>
  </si>
  <si>
    <t>=NL(1,"item",M$9,"no.",$D2846)</t>
  </si>
  <si>
    <t>=NL(1,"item","Units Per Parcel","no.",$D2846)</t>
  </si>
  <si>
    <t>=NL(1,"Prod. BOM Equipment","Fixed Prod. Time (Hours)","Production BOM No.",$D2846,"version code",$E2846,"Resource No.",O$9)</t>
  </si>
  <si>
    <t>=1/O2846</t>
  </si>
  <si>
    <t>=IF(NL(1,"Prod. BOM Equipment","Variable Prod. Time (Hours)","Production BOM No.",$D2846,"version code",$E2846,"Resource No.",$O$9)="",1,NL(1,"Prod. BOM Equipment","Variable Prod. Time (Hours)","Production BOM No.",$D2846,"version code",$E2846,"Resource No.",$O$9))</t>
  </si>
  <si>
    <t>=1/Q2846</t>
  </si>
  <si>
    <t>=R2846*N2846</t>
  </si>
  <si>
    <t>=IF(K2847=0,"hide","")</t>
  </si>
  <si>
    <t>=D2846</t>
  </si>
  <si>
    <t>=NL("sum","Production Order","Quantity","Source No.",$D2847,"Equipment Code",$L2847,"due date",F$8)/-12</t>
  </si>
  <si>
    <t>=NL("sum","Production Order","Quantity","Source No.",$D2847,"Equipment Code",$L2847,"due date",G$8)/-12</t>
  </si>
  <si>
    <t>=NL("sum","Production Order","Quantity","Source No.",$D2847,"Equipment Code",$L2847,"due date",H$8)/-12</t>
  </si>
  <si>
    <t>=NL("sum","Production Order","Quantity","Source No.",$D2847,"Equipment Code",$L2847,"due date",I$8)/-12</t>
  </si>
  <si>
    <t>=NL("sum","Production Order","Quantity","Source No.",$D2847,"Equipment Code",$L2847,"due date",J$8)/$J$7</t>
  </si>
  <si>
    <t>=AVERAGE(I2847:J2847)</t>
  </si>
  <si>
    <t>=IF(K2848=0,"hide","")</t>
  </si>
  <si>
    <t>=D2847</t>
  </si>
  <si>
    <t>=NL("sum","Production Order","Quantity","Source No.",$D2848,"Equipment Code",$L2848,"due date",F$8)/-12</t>
  </si>
  <si>
    <t>=NL("sum","Production Order","Quantity","Source No.",$D2848,"Equipment Code",$L2848,"due date",G$8)/-12</t>
  </si>
  <si>
    <t>=NL("sum","Production Order","Quantity","Source No.",$D2848,"Equipment Code",$L2848,"due date",H$8)/-12</t>
  </si>
  <si>
    <t>=NL("sum","Production Order","Quantity","Source No.",$D2848,"Equipment Code",$L2848,"due date",I$8)/-12</t>
  </si>
  <si>
    <t>=NL("sum","Production Order","Quantity","Source No.",$D2848,"Equipment Code",$L2848,"due date",J$8)/$J$7</t>
  </si>
  <si>
    <t>=AVERAGE(I2848:J2848)</t>
  </si>
  <si>
    <t>=IF(K2849=0,"hide","")</t>
  </si>
  <si>
    <t>=D2848</t>
  </si>
  <si>
    <t>=NL("sum","Production Order","Quantity","Source No.",$D2849,"Equipment Code",$L2849,"due date",F$8)/-12</t>
  </si>
  <si>
    <t>=NL("sum","Production Order","Quantity","Source No.",$D2849,"Equipment Code",$L2849,"due date",G$8)/-12</t>
  </si>
  <si>
    <t>=NL("sum","Production Order","Quantity","Source No.",$D2849,"Equipment Code",$L2849,"due date",H$8)/-12</t>
  </si>
  <si>
    <t>=NL("sum","Production Order","Quantity","Source No.",$D2849,"Equipment Code",$L2849,"due date",I$8)/-12</t>
  </si>
  <si>
    <t>=NL("sum","Production Order","Quantity","Source No.",$D2849,"Equipment Code",$L2849,"due date",J$8)/$J$7</t>
  </si>
  <si>
    <t>=AVERAGE(I2849:J2849)</t>
  </si>
  <si>
    <t>=IF(K2850=0,"hide","")</t>
  </si>
  <si>
    <t>=D2849</t>
  </si>
  <si>
    <t>=NL("sum","Production Order","Quantity","Source No.",$D2850,"Equipment Code",$L2850,"due date",F$8)/-12</t>
  </si>
  <si>
    <t>=NL("sum","Production Order","Quantity","Source No.",$D2850,"Equipment Code",$L2850,"due date",G$8)/-12</t>
  </si>
  <si>
    <t>=NL("sum","Production Order","Quantity","Source No.",$D2850,"Equipment Code",$L2850,"due date",H$8)/-12</t>
  </si>
  <si>
    <t>=NL("sum","Production Order","Quantity","Source No.",$D2850,"Equipment Code",$L2850,"due date",I$8)/-12</t>
  </si>
  <si>
    <t>=NL("sum","Production Order","Quantity","Source No.",$D2850,"Equipment Code",$L2850,"due date",J$8)/$J$7</t>
  </si>
  <si>
    <t>=AVERAGE(I2850:J2850)</t>
  </si>
  <si>
    <t>=B2847</t>
  </si>
  <si>
    <t>=B2851</t>
  </si>
  <si>
    <t>=SUM(F2847:F2851)</t>
  </si>
  <si>
    <t>=SUM(G2847:G2851)</t>
  </si>
  <si>
    <t>=SUM(H2847:H2851)</t>
  </si>
  <si>
    <t>=SUM(I2847:I2851)</t>
  </si>
  <si>
    <t>=SUM(J2847:J2851)</t>
  </si>
  <si>
    <t>=IF(K2853=0,"hide","")</t>
  </si>
  <si>
    <t>="38430"</t>
  </si>
  <si>
    <t>=NL("rows","Production BOM Version","Version Code","Production BOM No.",D2853,"status","certified")</t>
  </si>
  <si>
    <t>=NL("sum","Item Ledger Entry","Quantity","Item No.",$D2853,"Entry Type","Sale|Consumption","posting date","01/01/19..12/31/19")/-12</t>
  </si>
  <si>
    <t>=NL("sum","Item Ledger Entry","Quantity","Item No.",$D2853,"Entry Type","Sale|Consumption","posting date","01/01/20..12/31/20")/-12</t>
  </si>
  <si>
    <t>=NL("sum","Item Ledger Entry","Quantity","Item No.",$D2853,"Entry Type","Sale|Consumption","posting date","01/01/21..12/31/21")/-12</t>
  </si>
  <si>
    <t>=NL("sum","Item Ledger Entry","Quantity","Item No.",$D2853,"Entry Type","Sale|Consumption","posting date","01/01/22..12/31/22")/-12</t>
  </si>
  <si>
    <t>=NL("sum","Item Ledger Entry","Quantity","Item No.",$D2853,"Entry Type","Sale|Consumption","posting date","01/01/23..12/31/23")/$J$7</t>
  </si>
  <si>
    <t>=AVERAGE(I2853:J2853)</t>
  </si>
  <si>
    <t>=NL(1,"item",L$9,"no.",D2853)</t>
  </si>
  <si>
    <t>=NL(1,"item",M$9,"no.",$D2853)</t>
  </si>
  <si>
    <t>=NL(1,"item","Units Per Parcel","no.",$D2853)</t>
  </si>
  <si>
    <t>=NL(1,"Prod. BOM Equipment","Fixed Prod. Time (Hours)","Production BOM No.",$D2853,"version code",$E2853,"Resource No.",O$9)</t>
  </si>
  <si>
    <t>=1/O2853</t>
  </si>
  <si>
    <t>=IF(NL(1,"Prod. BOM Equipment","Variable Prod. Time (Hours)","Production BOM No.",$D2853,"version code",$E2853,"Resource No.",$O$9)="",1,NL(1,"Prod. BOM Equipment","Variable Prod. Time (Hours)","Production BOM No.",$D2853,"version code",$E2853,"Resource No.",$O$9))</t>
  </si>
  <si>
    <t>=1/Q2853</t>
  </si>
  <si>
    <t>=R2853*N2853</t>
  </si>
  <si>
    <t>=IF(K2854=0,"hide","")</t>
  </si>
  <si>
    <t>=D2853</t>
  </si>
  <si>
    <t>=NL("sum","Production Order","Quantity","Source No.",$D2854,"Equipment Code",$L2854,"due date",F$8)/-12</t>
  </si>
  <si>
    <t>=NL("sum","Production Order","Quantity","Source No.",$D2854,"Equipment Code",$L2854,"due date",G$8)/-12</t>
  </si>
  <si>
    <t>=NL("sum","Production Order","Quantity","Source No.",$D2854,"Equipment Code",$L2854,"due date",H$8)/-12</t>
  </si>
  <si>
    <t>=NL("sum","Production Order","Quantity","Source No.",$D2854,"Equipment Code",$L2854,"due date",I$8)/-12</t>
  </si>
  <si>
    <t>=NL("sum","Production Order","Quantity","Source No.",$D2854,"Equipment Code",$L2854,"due date",J$8)/$J$7</t>
  </si>
  <si>
    <t>=AVERAGE(I2854:J2854)</t>
  </si>
  <si>
    <t>=IF(K2855=0,"hide","")</t>
  </si>
  <si>
    <t>=D2854</t>
  </si>
  <si>
    <t>=NL("sum","Production Order","Quantity","Source No.",$D2855,"Equipment Code",$L2855,"due date",F$8)/-12</t>
  </si>
  <si>
    <t>=NL("sum","Production Order","Quantity","Source No.",$D2855,"Equipment Code",$L2855,"due date",G$8)/-12</t>
  </si>
  <si>
    <t>=NL("sum","Production Order","Quantity","Source No.",$D2855,"Equipment Code",$L2855,"due date",H$8)/-12</t>
  </si>
  <si>
    <t>=NL("sum","Production Order","Quantity","Source No.",$D2855,"Equipment Code",$L2855,"due date",I$8)/-12</t>
  </si>
  <si>
    <t>=NL("sum","Production Order","Quantity","Source No.",$D2855,"Equipment Code",$L2855,"due date",J$8)/$J$7</t>
  </si>
  <si>
    <t>=AVERAGE(I2855:J2855)</t>
  </si>
  <si>
    <t>=IF(K2856=0,"hide","")</t>
  </si>
  <si>
    <t>=D2855</t>
  </si>
  <si>
    <t>=NL("sum","Production Order","Quantity","Source No.",$D2856,"Equipment Code",$L2856,"due date",F$8)/-12</t>
  </si>
  <si>
    <t>=NL("sum","Production Order","Quantity","Source No.",$D2856,"Equipment Code",$L2856,"due date",G$8)/-12</t>
  </si>
  <si>
    <t>=NL("sum","Production Order","Quantity","Source No.",$D2856,"Equipment Code",$L2856,"due date",H$8)/-12</t>
  </si>
  <si>
    <t>=NL("sum","Production Order","Quantity","Source No.",$D2856,"Equipment Code",$L2856,"due date",I$8)/-12</t>
  </si>
  <si>
    <t>=NL("sum","Production Order","Quantity","Source No.",$D2856,"Equipment Code",$L2856,"due date",J$8)/$J$7</t>
  </si>
  <si>
    <t>=AVERAGE(I2856:J2856)</t>
  </si>
  <si>
    <t>=IF(K2857=0,"hide","")</t>
  </si>
  <si>
    <t>=D2856</t>
  </si>
  <si>
    <t>=NL("sum","Production Order","Quantity","Source No.",$D2857,"Equipment Code",$L2857,"due date",F$8)/-12</t>
  </si>
  <si>
    <t>=NL("sum","Production Order","Quantity","Source No.",$D2857,"Equipment Code",$L2857,"due date",G$8)/-12</t>
  </si>
  <si>
    <t>=NL("sum","Production Order","Quantity","Source No.",$D2857,"Equipment Code",$L2857,"due date",H$8)/-12</t>
  </si>
  <si>
    <t>=NL("sum","Production Order","Quantity","Source No.",$D2857,"Equipment Code",$L2857,"due date",I$8)/-12</t>
  </si>
  <si>
    <t>=NL("sum","Production Order","Quantity","Source No.",$D2857,"Equipment Code",$L2857,"due date",J$8)/$J$7</t>
  </si>
  <si>
    <t>=AVERAGE(I2857:J2857)</t>
  </si>
  <si>
    <t>=B2854</t>
  </si>
  <si>
    <t>=B2858</t>
  </si>
  <si>
    <t>=SUM(F2854:F2858)</t>
  </si>
  <si>
    <t>=SUM(G2854:G2858)</t>
  </si>
  <si>
    <t>=SUM(H2854:H2858)</t>
  </si>
  <si>
    <t>=SUM(I2854:I2858)</t>
  </si>
  <si>
    <t>=SUM(J2854:J2858)</t>
  </si>
  <si>
    <t>=IF(K2860=0,"hide","")</t>
  </si>
  <si>
    <t>="38605"</t>
  </si>
  <si>
    <t>=NL("rows","Production BOM Version","Version Code","Production BOM No.",D2860,"status","certified")</t>
  </si>
  <si>
    <t>=NL("sum","Item Ledger Entry","Quantity","Item No.",$D2860,"Entry Type","Sale|Consumption","posting date","01/01/19..12/31/19")/-12</t>
  </si>
  <si>
    <t>=NL("sum","Item Ledger Entry","Quantity","Item No.",$D2860,"Entry Type","Sale|Consumption","posting date","01/01/20..12/31/20")/-12</t>
  </si>
  <si>
    <t>=NL("sum","Item Ledger Entry","Quantity","Item No.",$D2860,"Entry Type","Sale|Consumption","posting date","01/01/21..12/31/21")/-12</t>
  </si>
  <si>
    <t>=NL("sum","Item Ledger Entry","Quantity","Item No.",$D2860,"Entry Type","Sale|Consumption","posting date","01/01/22..12/31/22")/-12</t>
  </si>
  <si>
    <t>=NL("sum","Item Ledger Entry","Quantity","Item No.",$D2860,"Entry Type","Sale|Consumption","posting date","01/01/23..12/31/23")/$J$7</t>
  </si>
  <si>
    <t>=AVERAGE(I2860:J2860)</t>
  </si>
  <si>
    <t>=NL(1,"item",L$9,"no.",D2860)</t>
  </si>
  <si>
    <t>=NL(1,"item",M$9,"no.",$D2860)</t>
  </si>
  <si>
    <t>=NL(1,"item","Units Per Parcel","no.",$D2860)</t>
  </si>
  <si>
    <t>=NL(1,"Prod. BOM Equipment","Fixed Prod. Time (Hours)","Production BOM No.",$D2860,"version code",$E2860,"Resource No.",O$9)</t>
  </si>
  <si>
    <t>=1/O2860</t>
  </si>
  <si>
    <t>=IF(NL(1,"Prod. BOM Equipment","Variable Prod. Time (Hours)","Production BOM No.",$D2860,"version code",$E2860,"Resource No.",$O$9)="",1,NL(1,"Prod. BOM Equipment","Variable Prod. Time (Hours)","Production BOM No.",$D2860,"version code",$E2860,"Resource No.",$O$9))</t>
  </si>
  <si>
    <t>=1/Q2860</t>
  </si>
  <si>
    <t>=R2860*N2860</t>
  </si>
  <si>
    <t>=IF(K2861=0,"hide","")</t>
  </si>
  <si>
    <t>=D2860</t>
  </si>
  <si>
    <t>=NL("sum","Production Order","Quantity","Source No.",$D2861,"Equipment Code",$L2861,"due date",F$8)/-12</t>
  </si>
  <si>
    <t>=NL("sum","Production Order","Quantity","Source No.",$D2861,"Equipment Code",$L2861,"due date",G$8)/-12</t>
  </si>
  <si>
    <t>=NL("sum","Production Order","Quantity","Source No.",$D2861,"Equipment Code",$L2861,"due date",H$8)/-12</t>
  </si>
  <si>
    <t>=NL("sum","Production Order","Quantity","Source No.",$D2861,"Equipment Code",$L2861,"due date",I$8)/-12</t>
  </si>
  <si>
    <t>=NL("sum","Production Order","Quantity","Source No.",$D2861,"Equipment Code",$L2861,"due date",J$8)/$J$7</t>
  </si>
  <si>
    <t>=AVERAGE(I2861:J2861)</t>
  </si>
  <si>
    <t>=IF(K2862=0,"hide","")</t>
  </si>
  <si>
    <t>=D2861</t>
  </si>
  <si>
    <t>=NL("sum","Production Order","Quantity","Source No.",$D2862,"Equipment Code",$L2862,"due date",F$8)/-12</t>
  </si>
  <si>
    <t>=NL("sum","Production Order","Quantity","Source No.",$D2862,"Equipment Code",$L2862,"due date",G$8)/-12</t>
  </si>
  <si>
    <t>=NL("sum","Production Order","Quantity","Source No.",$D2862,"Equipment Code",$L2862,"due date",H$8)/-12</t>
  </si>
  <si>
    <t>=NL("sum","Production Order","Quantity","Source No.",$D2862,"Equipment Code",$L2862,"due date",I$8)/-12</t>
  </si>
  <si>
    <t>=NL("sum","Production Order","Quantity","Source No.",$D2862,"Equipment Code",$L2862,"due date",J$8)/$J$7</t>
  </si>
  <si>
    <t>=AVERAGE(I2862:J2862)</t>
  </si>
  <si>
    <t>=IF(K2863=0,"hide","")</t>
  </si>
  <si>
    <t>=D2862</t>
  </si>
  <si>
    <t>=NL("sum","Production Order","Quantity","Source No.",$D2863,"Equipment Code",$L2863,"due date",F$8)/-12</t>
  </si>
  <si>
    <t>=NL("sum","Production Order","Quantity","Source No.",$D2863,"Equipment Code",$L2863,"due date",G$8)/-12</t>
  </si>
  <si>
    <t>=NL("sum","Production Order","Quantity","Source No.",$D2863,"Equipment Code",$L2863,"due date",H$8)/-12</t>
  </si>
  <si>
    <t>=NL("sum","Production Order","Quantity","Source No.",$D2863,"Equipment Code",$L2863,"due date",I$8)/-12</t>
  </si>
  <si>
    <t>=NL("sum","Production Order","Quantity","Source No.",$D2863,"Equipment Code",$L2863,"due date",J$8)/$J$7</t>
  </si>
  <si>
    <t>=AVERAGE(I2863:J2863)</t>
  </si>
  <si>
    <t>=IF(K2864=0,"hide","")</t>
  </si>
  <si>
    <t>=D2863</t>
  </si>
  <si>
    <t>=NL("sum","Production Order","Quantity","Source No.",$D2864,"Equipment Code",$L2864,"due date",F$8)/-12</t>
  </si>
  <si>
    <t>=NL("sum","Production Order","Quantity","Source No.",$D2864,"Equipment Code",$L2864,"due date",G$8)/-12</t>
  </si>
  <si>
    <t>=NL("sum","Production Order","Quantity","Source No.",$D2864,"Equipment Code",$L2864,"due date",H$8)/-12</t>
  </si>
  <si>
    <t>=NL("sum","Production Order","Quantity","Source No.",$D2864,"Equipment Code",$L2864,"due date",I$8)/-12</t>
  </si>
  <si>
    <t>=NL("sum","Production Order","Quantity","Source No.",$D2864,"Equipment Code",$L2864,"due date",J$8)/$J$7</t>
  </si>
  <si>
    <t>=AVERAGE(I2864:J2864)</t>
  </si>
  <si>
    <t>=B2861</t>
  </si>
  <si>
    <t>=B2865</t>
  </si>
  <si>
    <t>=SUM(F2861:F2865)</t>
  </si>
  <si>
    <t>=SUM(G2861:G2865)</t>
  </si>
  <si>
    <t>=SUM(H2861:H2865)</t>
  </si>
  <si>
    <t>=SUM(I2861:I2865)</t>
  </si>
  <si>
    <t>=SUM(J2861:J2865)</t>
  </si>
  <si>
    <t>=IF(K2867=0,"hide","")</t>
  </si>
  <si>
    <t>="38661"</t>
  </si>
  <si>
    <t>=NL("rows","Production BOM Version","Version Code","Production BOM No.",D2867,"status","certified")</t>
  </si>
  <si>
    <t>=NL("sum","Item Ledger Entry","Quantity","Item No.",$D2867,"Entry Type","Sale|Consumption","posting date","01/01/19..12/31/19")/-12</t>
  </si>
  <si>
    <t>=NL("sum","Item Ledger Entry","Quantity","Item No.",$D2867,"Entry Type","Sale|Consumption","posting date","01/01/20..12/31/20")/-12</t>
  </si>
  <si>
    <t>=NL("sum","Item Ledger Entry","Quantity","Item No.",$D2867,"Entry Type","Sale|Consumption","posting date","01/01/21..12/31/21")/-12</t>
  </si>
  <si>
    <t>=NL("sum","Item Ledger Entry","Quantity","Item No.",$D2867,"Entry Type","Sale|Consumption","posting date","01/01/22..12/31/22")/-12</t>
  </si>
  <si>
    <t>=NL("sum","Item Ledger Entry","Quantity","Item No.",$D2867,"Entry Type","Sale|Consumption","posting date","01/01/23..12/31/23")/$J$7</t>
  </si>
  <si>
    <t>=AVERAGE(I2867:J2867)</t>
  </si>
  <si>
    <t>=NL(1,"item",L$9,"no.",D2867)</t>
  </si>
  <si>
    <t>=NL(1,"item",M$9,"no.",$D2867)</t>
  </si>
  <si>
    <t>=NL(1,"item","Units Per Parcel","no.",$D2867)</t>
  </si>
  <si>
    <t>=NL(1,"Prod. BOM Equipment","Fixed Prod. Time (Hours)","Production BOM No.",$D2867,"version code",$E2867,"Resource No.",O$9)</t>
  </si>
  <si>
    <t>=1/O2867</t>
  </si>
  <si>
    <t>=IF(NL(1,"Prod. BOM Equipment","Variable Prod. Time (Hours)","Production BOM No.",$D2867,"version code",$E2867,"Resource No.",$O$9)="",1,NL(1,"Prod. BOM Equipment","Variable Prod. Time (Hours)","Production BOM No.",$D2867,"version code",$E2867,"Resource No.",$O$9))</t>
  </si>
  <si>
    <t>=1/Q2867</t>
  </si>
  <si>
    <t>=R2867*N2867</t>
  </si>
  <si>
    <t>=IF(K2868=0,"hide","")</t>
  </si>
  <si>
    <t>=D2867</t>
  </si>
  <si>
    <t>=NL("sum","Production Order","Quantity","Source No.",$D2868,"Equipment Code",$L2868,"due date",F$8)/-12</t>
  </si>
  <si>
    <t>=NL("sum","Production Order","Quantity","Source No.",$D2868,"Equipment Code",$L2868,"due date",G$8)/-12</t>
  </si>
  <si>
    <t>=NL("sum","Production Order","Quantity","Source No.",$D2868,"Equipment Code",$L2868,"due date",H$8)/-12</t>
  </si>
  <si>
    <t>=NL("sum","Production Order","Quantity","Source No.",$D2868,"Equipment Code",$L2868,"due date",I$8)/-12</t>
  </si>
  <si>
    <t>=NL("sum","Production Order","Quantity","Source No.",$D2868,"Equipment Code",$L2868,"due date",J$8)/$J$7</t>
  </si>
  <si>
    <t>=AVERAGE(I2868:J2868)</t>
  </si>
  <si>
    <t>=IF(K2869=0,"hide","")</t>
  </si>
  <si>
    <t>=D2868</t>
  </si>
  <si>
    <t>=NL("sum","Production Order","Quantity","Source No.",$D2869,"Equipment Code",$L2869,"due date",F$8)/-12</t>
  </si>
  <si>
    <t>=NL("sum","Production Order","Quantity","Source No.",$D2869,"Equipment Code",$L2869,"due date",G$8)/-12</t>
  </si>
  <si>
    <t>=NL("sum","Production Order","Quantity","Source No.",$D2869,"Equipment Code",$L2869,"due date",H$8)/-12</t>
  </si>
  <si>
    <t>=NL("sum","Production Order","Quantity","Source No.",$D2869,"Equipment Code",$L2869,"due date",I$8)/-12</t>
  </si>
  <si>
    <t>=NL("sum","Production Order","Quantity","Source No.",$D2869,"Equipment Code",$L2869,"due date",J$8)/$J$7</t>
  </si>
  <si>
    <t>=AVERAGE(I2869:J2869)</t>
  </si>
  <si>
    <t>=IF(K2870=0,"hide","")</t>
  </si>
  <si>
    <t>=D2869</t>
  </si>
  <si>
    <t>=NL("sum","Production Order","Quantity","Source No.",$D2870,"Equipment Code",$L2870,"due date",F$8)/-12</t>
  </si>
  <si>
    <t>=NL("sum","Production Order","Quantity","Source No.",$D2870,"Equipment Code",$L2870,"due date",G$8)/-12</t>
  </si>
  <si>
    <t>=NL("sum","Production Order","Quantity","Source No.",$D2870,"Equipment Code",$L2870,"due date",H$8)/-12</t>
  </si>
  <si>
    <t>=NL("sum","Production Order","Quantity","Source No.",$D2870,"Equipment Code",$L2870,"due date",I$8)/-12</t>
  </si>
  <si>
    <t>=NL("sum","Production Order","Quantity","Source No.",$D2870,"Equipment Code",$L2870,"due date",J$8)/$J$7</t>
  </si>
  <si>
    <t>=AVERAGE(I2870:J2870)</t>
  </si>
  <si>
    <t>=IF(K2871=0,"hide","")</t>
  </si>
  <si>
    <t>=D2870</t>
  </si>
  <si>
    <t>=NL("sum","Production Order","Quantity","Source No.",$D2871,"Equipment Code",$L2871,"due date",F$8)/-12</t>
  </si>
  <si>
    <t>=NL("sum","Production Order","Quantity","Source No.",$D2871,"Equipment Code",$L2871,"due date",G$8)/-12</t>
  </si>
  <si>
    <t>=NL("sum","Production Order","Quantity","Source No.",$D2871,"Equipment Code",$L2871,"due date",H$8)/-12</t>
  </si>
  <si>
    <t>=NL("sum","Production Order","Quantity","Source No.",$D2871,"Equipment Code",$L2871,"due date",I$8)/-12</t>
  </si>
  <si>
    <t>=NL("sum","Production Order","Quantity","Source No.",$D2871,"Equipment Code",$L2871,"due date",J$8)/$J$7</t>
  </si>
  <si>
    <t>=AVERAGE(I2871:J2871)</t>
  </si>
  <si>
    <t>=B2868</t>
  </si>
  <si>
    <t>=B2872</t>
  </si>
  <si>
    <t>=SUM(F2868:F2872)</t>
  </si>
  <si>
    <t>=SUM(G2868:G2872)</t>
  </si>
  <si>
    <t>=SUM(H2868:H2872)</t>
  </si>
  <si>
    <t>=SUM(I2868:I2872)</t>
  </si>
  <si>
    <t>=SUM(J2868:J2872)</t>
  </si>
  <si>
    <t>=IF(K2874=0,"hide","")</t>
  </si>
  <si>
    <t>="38666"</t>
  </si>
  <si>
    <t>=NL("rows","Production BOM Version","Version Code","Production BOM No.",D2874,"status","certified")</t>
  </si>
  <si>
    <t>=NL("sum","Item Ledger Entry","Quantity","Item No.",$D2874,"Entry Type","Sale|Consumption","posting date","01/01/19..12/31/19")/-12</t>
  </si>
  <si>
    <t>=NL("sum","Item Ledger Entry","Quantity","Item No.",$D2874,"Entry Type","Sale|Consumption","posting date","01/01/20..12/31/20")/-12</t>
  </si>
  <si>
    <t>=NL("sum","Item Ledger Entry","Quantity","Item No.",$D2874,"Entry Type","Sale|Consumption","posting date","01/01/21..12/31/21")/-12</t>
  </si>
  <si>
    <t>=NL("sum","Item Ledger Entry","Quantity","Item No.",$D2874,"Entry Type","Sale|Consumption","posting date","01/01/22..12/31/22")/-12</t>
  </si>
  <si>
    <t>=NL("sum","Item Ledger Entry","Quantity","Item No.",$D2874,"Entry Type","Sale|Consumption","posting date","01/01/23..12/31/23")/$J$7</t>
  </si>
  <si>
    <t>=AVERAGE(I2874:J2874)</t>
  </si>
  <si>
    <t>=NL(1,"item",L$9,"no.",D2874)</t>
  </si>
  <si>
    <t>=NL(1,"item",M$9,"no.",$D2874)</t>
  </si>
  <si>
    <t>=NL(1,"item","Units Per Parcel","no.",$D2874)</t>
  </si>
  <si>
    <t>=NL(1,"Prod. BOM Equipment","Fixed Prod. Time (Hours)","Production BOM No.",$D2874,"version code",$E2874,"Resource No.",O$9)</t>
  </si>
  <si>
    <t>=1/O2874</t>
  </si>
  <si>
    <t>=IF(NL(1,"Prod. BOM Equipment","Variable Prod. Time (Hours)","Production BOM No.",$D2874,"version code",$E2874,"Resource No.",$O$9)="",1,NL(1,"Prod. BOM Equipment","Variable Prod. Time (Hours)","Production BOM No.",$D2874,"version code",$E2874,"Resource No.",$O$9))</t>
  </si>
  <si>
    <t>=1/Q2874</t>
  </si>
  <si>
    <t>=R2874*N2874</t>
  </si>
  <si>
    <t>=IF(K2875=0,"hide","")</t>
  </si>
  <si>
    <t>=D2874</t>
  </si>
  <si>
    <t>=NL("sum","Production Order","Quantity","Source No.",$D2875,"Equipment Code",$L2875,"due date",F$8)/-12</t>
  </si>
  <si>
    <t>=NL("sum","Production Order","Quantity","Source No.",$D2875,"Equipment Code",$L2875,"due date",G$8)/-12</t>
  </si>
  <si>
    <t>=NL("sum","Production Order","Quantity","Source No.",$D2875,"Equipment Code",$L2875,"due date",H$8)/-12</t>
  </si>
  <si>
    <t>=NL("sum","Production Order","Quantity","Source No.",$D2875,"Equipment Code",$L2875,"due date",I$8)/-12</t>
  </si>
  <si>
    <t>=NL("sum","Production Order","Quantity","Source No.",$D2875,"Equipment Code",$L2875,"due date",J$8)/$J$7</t>
  </si>
  <si>
    <t>=AVERAGE(I2875:J2875)</t>
  </si>
  <si>
    <t>=IF(K2876=0,"hide","")</t>
  </si>
  <si>
    <t>=D2875</t>
  </si>
  <si>
    <t>=NL("sum","Production Order","Quantity","Source No.",$D2876,"Equipment Code",$L2876,"due date",F$8)/-12</t>
  </si>
  <si>
    <t>=NL("sum","Production Order","Quantity","Source No.",$D2876,"Equipment Code",$L2876,"due date",G$8)/-12</t>
  </si>
  <si>
    <t>=NL("sum","Production Order","Quantity","Source No.",$D2876,"Equipment Code",$L2876,"due date",H$8)/-12</t>
  </si>
  <si>
    <t>=NL("sum","Production Order","Quantity","Source No.",$D2876,"Equipment Code",$L2876,"due date",I$8)/-12</t>
  </si>
  <si>
    <t>=NL("sum","Production Order","Quantity","Source No.",$D2876,"Equipment Code",$L2876,"due date",J$8)/$J$7</t>
  </si>
  <si>
    <t>=AVERAGE(I2876:J2876)</t>
  </si>
  <si>
    <t>=IF(K2877=0,"hide","")</t>
  </si>
  <si>
    <t>=D2876</t>
  </si>
  <si>
    <t>=NL("sum","Production Order","Quantity","Source No.",$D2877,"Equipment Code",$L2877,"due date",F$8)/-12</t>
  </si>
  <si>
    <t>=NL("sum","Production Order","Quantity","Source No.",$D2877,"Equipment Code",$L2877,"due date",G$8)/-12</t>
  </si>
  <si>
    <t>=NL("sum","Production Order","Quantity","Source No.",$D2877,"Equipment Code",$L2877,"due date",H$8)/-12</t>
  </si>
  <si>
    <t>=NL("sum","Production Order","Quantity","Source No.",$D2877,"Equipment Code",$L2877,"due date",I$8)/-12</t>
  </si>
  <si>
    <t>=NL("sum","Production Order","Quantity","Source No.",$D2877,"Equipment Code",$L2877,"due date",J$8)/$J$7</t>
  </si>
  <si>
    <t>=AVERAGE(I2877:J2877)</t>
  </si>
  <si>
    <t>=IF(K2878=0,"hide","")</t>
  </si>
  <si>
    <t>=D2877</t>
  </si>
  <si>
    <t>=NL("sum","Production Order","Quantity","Source No.",$D2878,"Equipment Code",$L2878,"due date",F$8)/-12</t>
  </si>
  <si>
    <t>=NL("sum","Production Order","Quantity","Source No.",$D2878,"Equipment Code",$L2878,"due date",G$8)/-12</t>
  </si>
  <si>
    <t>=NL("sum","Production Order","Quantity","Source No.",$D2878,"Equipment Code",$L2878,"due date",H$8)/-12</t>
  </si>
  <si>
    <t>=NL("sum","Production Order","Quantity","Source No.",$D2878,"Equipment Code",$L2878,"due date",I$8)/-12</t>
  </si>
  <si>
    <t>=NL("sum","Production Order","Quantity","Source No.",$D2878,"Equipment Code",$L2878,"due date",J$8)/$J$7</t>
  </si>
  <si>
    <t>=AVERAGE(I2878:J2878)</t>
  </si>
  <si>
    <t>=B2875</t>
  </si>
  <si>
    <t>=B2879</t>
  </si>
  <si>
    <t>=SUM(F2875:F2879)</t>
  </si>
  <si>
    <t>=SUM(G2875:G2879)</t>
  </si>
  <si>
    <t>=SUM(H2875:H2879)</t>
  </si>
  <si>
    <t>=SUM(I2875:I2879)</t>
  </si>
  <si>
    <t>=SUM(J2875:J2879)</t>
  </si>
  <si>
    <t>=IF(K2881=0,"hide","")</t>
  </si>
  <si>
    <t>="38667"</t>
  </si>
  <si>
    <t>=NL("rows","Production BOM Version","Version Code","Production BOM No.",D2881,"status","certified")</t>
  </si>
  <si>
    <t>=NL("sum","Item Ledger Entry","Quantity","Item No.",$D2881,"Entry Type","Sale|Consumption","posting date","01/01/19..12/31/19")/-12</t>
  </si>
  <si>
    <t>=NL("sum","Item Ledger Entry","Quantity","Item No.",$D2881,"Entry Type","Sale|Consumption","posting date","01/01/20..12/31/20")/-12</t>
  </si>
  <si>
    <t>=NL("sum","Item Ledger Entry","Quantity","Item No.",$D2881,"Entry Type","Sale|Consumption","posting date","01/01/21..12/31/21")/-12</t>
  </si>
  <si>
    <t>=NL("sum","Item Ledger Entry","Quantity","Item No.",$D2881,"Entry Type","Sale|Consumption","posting date","01/01/22..12/31/22")/-12</t>
  </si>
  <si>
    <t>=NL("sum","Item Ledger Entry","Quantity","Item No.",$D2881,"Entry Type","Sale|Consumption","posting date","01/01/23..12/31/23")/$J$7</t>
  </si>
  <si>
    <t>=AVERAGE(I2881:J2881)</t>
  </si>
  <si>
    <t>=NL(1,"item",L$9,"no.",D2881)</t>
  </si>
  <si>
    <t>=NL(1,"item",M$9,"no.",$D2881)</t>
  </si>
  <si>
    <t>=NL(1,"item","Units Per Parcel","no.",$D2881)</t>
  </si>
  <si>
    <t>=NL(1,"Prod. BOM Equipment","Fixed Prod. Time (Hours)","Production BOM No.",$D2881,"version code",$E2881,"Resource No.",O$9)</t>
  </si>
  <si>
    <t>=1/O2881</t>
  </si>
  <si>
    <t>=IF(NL(1,"Prod. BOM Equipment","Variable Prod. Time (Hours)","Production BOM No.",$D2881,"version code",$E2881,"Resource No.",$O$9)="",1,NL(1,"Prod. BOM Equipment","Variable Prod. Time (Hours)","Production BOM No.",$D2881,"version code",$E2881,"Resource No.",$O$9))</t>
  </si>
  <si>
    <t>=1/Q2881</t>
  </si>
  <si>
    <t>=R2881*N2881</t>
  </si>
  <si>
    <t>=IF(K2882=0,"hide","")</t>
  </si>
  <si>
    <t>=D2881</t>
  </si>
  <si>
    <t>=NL("sum","Production Order","Quantity","Source No.",$D2882,"Equipment Code",$L2882,"due date",F$8)/-12</t>
  </si>
  <si>
    <t>=NL("sum","Production Order","Quantity","Source No.",$D2882,"Equipment Code",$L2882,"due date",G$8)/-12</t>
  </si>
  <si>
    <t>=NL("sum","Production Order","Quantity","Source No.",$D2882,"Equipment Code",$L2882,"due date",H$8)/-12</t>
  </si>
  <si>
    <t>=NL("sum","Production Order","Quantity","Source No.",$D2882,"Equipment Code",$L2882,"due date",I$8)/-12</t>
  </si>
  <si>
    <t>=NL("sum","Production Order","Quantity","Source No.",$D2882,"Equipment Code",$L2882,"due date",J$8)/$J$7</t>
  </si>
  <si>
    <t>=AVERAGE(I2882:J2882)</t>
  </si>
  <si>
    <t>=IF(K2883=0,"hide","")</t>
  </si>
  <si>
    <t>=D2882</t>
  </si>
  <si>
    <t>=NL("sum","Production Order","Quantity","Source No.",$D2883,"Equipment Code",$L2883,"due date",F$8)/-12</t>
  </si>
  <si>
    <t>=NL("sum","Production Order","Quantity","Source No.",$D2883,"Equipment Code",$L2883,"due date",G$8)/-12</t>
  </si>
  <si>
    <t>=NL("sum","Production Order","Quantity","Source No.",$D2883,"Equipment Code",$L2883,"due date",H$8)/-12</t>
  </si>
  <si>
    <t>=NL("sum","Production Order","Quantity","Source No.",$D2883,"Equipment Code",$L2883,"due date",I$8)/-12</t>
  </si>
  <si>
    <t>=NL("sum","Production Order","Quantity","Source No.",$D2883,"Equipment Code",$L2883,"due date",J$8)/$J$7</t>
  </si>
  <si>
    <t>=AVERAGE(I2883:J2883)</t>
  </si>
  <si>
    <t>=IF(K2884=0,"hide","")</t>
  </si>
  <si>
    <t>=D2883</t>
  </si>
  <si>
    <t>=NL("sum","Production Order","Quantity","Source No.",$D2884,"Equipment Code",$L2884,"due date",F$8)/-12</t>
  </si>
  <si>
    <t>=NL("sum","Production Order","Quantity","Source No.",$D2884,"Equipment Code",$L2884,"due date",G$8)/-12</t>
  </si>
  <si>
    <t>=NL("sum","Production Order","Quantity","Source No.",$D2884,"Equipment Code",$L2884,"due date",H$8)/-12</t>
  </si>
  <si>
    <t>=NL("sum","Production Order","Quantity","Source No.",$D2884,"Equipment Code",$L2884,"due date",I$8)/-12</t>
  </si>
  <si>
    <t>=NL("sum","Production Order","Quantity","Source No.",$D2884,"Equipment Code",$L2884,"due date",J$8)/$J$7</t>
  </si>
  <si>
    <t>=AVERAGE(I2884:J2884)</t>
  </si>
  <si>
    <t>=IF(K2885=0,"hide","")</t>
  </si>
  <si>
    <t>=D2884</t>
  </si>
  <si>
    <t>=NL("sum","Production Order","Quantity","Source No.",$D2885,"Equipment Code",$L2885,"due date",F$8)/-12</t>
  </si>
  <si>
    <t>=NL("sum","Production Order","Quantity","Source No.",$D2885,"Equipment Code",$L2885,"due date",G$8)/-12</t>
  </si>
  <si>
    <t>=NL("sum","Production Order","Quantity","Source No.",$D2885,"Equipment Code",$L2885,"due date",H$8)/-12</t>
  </si>
  <si>
    <t>=NL("sum","Production Order","Quantity","Source No.",$D2885,"Equipment Code",$L2885,"due date",I$8)/-12</t>
  </si>
  <si>
    <t>=NL("sum","Production Order","Quantity","Source No.",$D2885,"Equipment Code",$L2885,"due date",J$8)/$J$7</t>
  </si>
  <si>
    <t>=AVERAGE(I2885:J2885)</t>
  </si>
  <si>
    <t>=B2882</t>
  </si>
  <si>
    <t>=B2886</t>
  </si>
  <si>
    <t>=SUM(F2882:F2886)</t>
  </si>
  <si>
    <t>=SUM(G2882:G2886)</t>
  </si>
  <si>
    <t>=SUM(H2882:H2886)</t>
  </si>
  <si>
    <t>=SUM(I2882:I2886)</t>
  </si>
  <si>
    <t>=SUM(J2882:J2886)</t>
  </si>
  <si>
    <t>=IF(K2888=0,"hide","")</t>
  </si>
  <si>
    <t>="38670"</t>
  </si>
  <si>
    <t>=NL("rows","Production BOM Version","Version Code","Production BOM No.",D2888,"status","certified")</t>
  </si>
  <si>
    <t>=NL("sum","Item Ledger Entry","Quantity","Item No.",$D2888,"Entry Type","Sale|Consumption","posting date","01/01/19..12/31/19")/-12</t>
  </si>
  <si>
    <t>=NL("sum","Item Ledger Entry","Quantity","Item No.",$D2888,"Entry Type","Sale|Consumption","posting date","01/01/20..12/31/20")/-12</t>
  </si>
  <si>
    <t>=NL("sum","Item Ledger Entry","Quantity","Item No.",$D2888,"Entry Type","Sale|Consumption","posting date","01/01/21..12/31/21")/-12</t>
  </si>
  <si>
    <t>=NL("sum","Item Ledger Entry","Quantity","Item No.",$D2888,"Entry Type","Sale|Consumption","posting date","01/01/22..12/31/22")/-12</t>
  </si>
  <si>
    <t>=NL("sum","Item Ledger Entry","Quantity","Item No.",$D2888,"Entry Type","Sale|Consumption","posting date","01/01/23..12/31/23")/$J$7</t>
  </si>
  <si>
    <t>=AVERAGE(I2888:J2888)</t>
  </si>
  <si>
    <t>=NL(1,"item",L$9,"no.",D2888)</t>
  </si>
  <si>
    <t>=NL(1,"item",M$9,"no.",$D2888)</t>
  </si>
  <si>
    <t>=NL(1,"item","Units Per Parcel","no.",$D2888)</t>
  </si>
  <si>
    <t>=NL(1,"Prod. BOM Equipment","Fixed Prod. Time (Hours)","Production BOM No.",$D2888,"version code",$E2888,"Resource No.",O$9)</t>
  </si>
  <si>
    <t>=1/O2888</t>
  </si>
  <si>
    <t>=IF(NL(1,"Prod. BOM Equipment","Variable Prod. Time (Hours)","Production BOM No.",$D2888,"version code",$E2888,"Resource No.",$O$9)="",1,NL(1,"Prod. BOM Equipment","Variable Prod. Time (Hours)","Production BOM No.",$D2888,"version code",$E2888,"Resource No.",$O$9))</t>
  </si>
  <si>
    <t>=1/Q2888</t>
  </si>
  <si>
    <t>=R2888*N2888</t>
  </si>
  <si>
    <t>=IF(K2889=0,"hide","")</t>
  </si>
  <si>
    <t>=D2888</t>
  </si>
  <si>
    <t>=NL("sum","Production Order","Quantity","Source No.",$D2889,"Equipment Code",$L2889,"due date",F$8)/-12</t>
  </si>
  <si>
    <t>=NL("sum","Production Order","Quantity","Source No.",$D2889,"Equipment Code",$L2889,"due date",G$8)/-12</t>
  </si>
  <si>
    <t>=NL("sum","Production Order","Quantity","Source No.",$D2889,"Equipment Code",$L2889,"due date",H$8)/-12</t>
  </si>
  <si>
    <t>=NL("sum","Production Order","Quantity","Source No.",$D2889,"Equipment Code",$L2889,"due date",I$8)/-12</t>
  </si>
  <si>
    <t>=NL("sum","Production Order","Quantity","Source No.",$D2889,"Equipment Code",$L2889,"due date",J$8)/$J$7</t>
  </si>
  <si>
    <t>=AVERAGE(I2889:J2889)</t>
  </si>
  <si>
    <t>=IF(K2890=0,"hide","")</t>
  </si>
  <si>
    <t>=D2889</t>
  </si>
  <si>
    <t>=NL("sum","Production Order","Quantity","Source No.",$D2890,"Equipment Code",$L2890,"due date",F$8)/-12</t>
  </si>
  <si>
    <t>=NL("sum","Production Order","Quantity","Source No.",$D2890,"Equipment Code",$L2890,"due date",G$8)/-12</t>
  </si>
  <si>
    <t>=NL("sum","Production Order","Quantity","Source No.",$D2890,"Equipment Code",$L2890,"due date",H$8)/-12</t>
  </si>
  <si>
    <t>=NL("sum","Production Order","Quantity","Source No.",$D2890,"Equipment Code",$L2890,"due date",I$8)/-12</t>
  </si>
  <si>
    <t>=NL("sum","Production Order","Quantity","Source No.",$D2890,"Equipment Code",$L2890,"due date",J$8)/$J$7</t>
  </si>
  <si>
    <t>=AVERAGE(I2890:J2890)</t>
  </si>
  <si>
    <t>=IF(K2891=0,"hide","")</t>
  </si>
  <si>
    <t>=D2890</t>
  </si>
  <si>
    <t>=NL("sum","Production Order","Quantity","Source No.",$D2891,"Equipment Code",$L2891,"due date",F$8)/-12</t>
  </si>
  <si>
    <t>=NL("sum","Production Order","Quantity","Source No.",$D2891,"Equipment Code",$L2891,"due date",G$8)/-12</t>
  </si>
  <si>
    <t>=NL("sum","Production Order","Quantity","Source No.",$D2891,"Equipment Code",$L2891,"due date",H$8)/-12</t>
  </si>
  <si>
    <t>=NL("sum","Production Order","Quantity","Source No.",$D2891,"Equipment Code",$L2891,"due date",I$8)/-12</t>
  </si>
  <si>
    <t>=NL("sum","Production Order","Quantity","Source No.",$D2891,"Equipment Code",$L2891,"due date",J$8)/$J$7</t>
  </si>
  <si>
    <t>=AVERAGE(I2891:J2891)</t>
  </si>
  <si>
    <t>=IF(K2892=0,"hide","")</t>
  </si>
  <si>
    <t>=D2891</t>
  </si>
  <si>
    <t>=NL("sum","Production Order","Quantity","Source No.",$D2892,"Equipment Code",$L2892,"due date",F$8)/-12</t>
  </si>
  <si>
    <t>=NL("sum","Production Order","Quantity","Source No.",$D2892,"Equipment Code",$L2892,"due date",G$8)/-12</t>
  </si>
  <si>
    <t>=NL("sum","Production Order","Quantity","Source No.",$D2892,"Equipment Code",$L2892,"due date",H$8)/-12</t>
  </si>
  <si>
    <t>=NL("sum","Production Order","Quantity","Source No.",$D2892,"Equipment Code",$L2892,"due date",I$8)/-12</t>
  </si>
  <si>
    <t>=NL("sum","Production Order","Quantity","Source No.",$D2892,"Equipment Code",$L2892,"due date",J$8)/$J$7</t>
  </si>
  <si>
    <t>=AVERAGE(I2892:J2892)</t>
  </si>
  <si>
    <t>=B2889</t>
  </si>
  <si>
    <t>=B2893</t>
  </si>
  <si>
    <t>=SUM(F2889:F2893)</t>
  </si>
  <si>
    <t>=SUM(G2889:G2893)</t>
  </si>
  <si>
    <t>=SUM(H2889:H2893)</t>
  </si>
  <si>
    <t>=SUM(I2889:I2893)</t>
  </si>
  <si>
    <t>=SUM(J2889:J2893)</t>
  </si>
  <si>
    <t>=IF(K2895=0,"hide","")</t>
  </si>
  <si>
    <t>="38905"</t>
  </si>
  <si>
    <t>=NL("rows","Production BOM Version","Version Code","Production BOM No.",D2895,"status","certified")</t>
  </si>
  <si>
    <t>=NL("sum","Item Ledger Entry","Quantity","Item No.",$D2895,"Entry Type","Sale|Consumption","posting date","01/01/19..12/31/19")/-12</t>
  </si>
  <si>
    <t>=NL("sum","Item Ledger Entry","Quantity","Item No.",$D2895,"Entry Type","Sale|Consumption","posting date","01/01/20..12/31/20")/-12</t>
  </si>
  <si>
    <t>=NL("sum","Item Ledger Entry","Quantity","Item No.",$D2895,"Entry Type","Sale|Consumption","posting date","01/01/21..12/31/21")/-12</t>
  </si>
  <si>
    <t>=NL("sum","Item Ledger Entry","Quantity","Item No.",$D2895,"Entry Type","Sale|Consumption","posting date","01/01/22..12/31/22")/-12</t>
  </si>
  <si>
    <t>=NL("sum","Item Ledger Entry","Quantity","Item No.",$D2895,"Entry Type","Sale|Consumption","posting date","01/01/23..12/31/23")/$J$7</t>
  </si>
  <si>
    <t>=AVERAGE(I2895:J2895)</t>
  </si>
  <si>
    <t>=NL(1,"item",L$9,"no.",D2895)</t>
  </si>
  <si>
    <t>=NL(1,"item",M$9,"no.",$D2895)</t>
  </si>
  <si>
    <t>=NL(1,"item","Units Per Parcel","no.",$D2895)</t>
  </si>
  <si>
    <t>=NL(1,"Prod. BOM Equipment","Fixed Prod. Time (Hours)","Production BOM No.",$D2895,"version code",$E2895,"Resource No.",O$9)</t>
  </si>
  <si>
    <t>=1/O2895</t>
  </si>
  <si>
    <t>=IF(NL(1,"Prod. BOM Equipment","Variable Prod. Time (Hours)","Production BOM No.",$D2895,"version code",$E2895,"Resource No.",$O$9)="",1,NL(1,"Prod. BOM Equipment","Variable Prod. Time (Hours)","Production BOM No.",$D2895,"version code",$E2895,"Resource No.",$O$9))</t>
  </si>
  <si>
    <t>=1/Q2895</t>
  </si>
  <si>
    <t>=R2895*N2895</t>
  </si>
  <si>
    <t>=IF(K2896=0,"hide","")</t>
  </si>
  <si>
    <t>=D2895</t>
  </si>
  <si>
    <t>=NL("sum","Production Order","Quantity","Source No.",$D2896,"Equipment Code",$L2896,"due date",F$8)/-12</t>
  </si>
  <si>
    <t>=NL("sum","Production Order","Quantity","Source No.",$D2896,"Equipment Code",$L2896,"due date",G$8)/-12</t>
  </si>
  <si>
    <t>=NL("sum","Production Order","Quantity","Source No.",$D2896,"Equipment Code",$L2896,"due date",H$8)/-12</t>
  </si>
  <si>
    <t>=NL("sum","Production Order","Quantity","Source No.",$D2896,"Equipment Code",$L2896,"due date",I$8)/-12</t>
  </si>
  <si>
    <t>=NL("sum","Production Order","Quantity","Source No.",$D2896,"Equipment Code",$L2896,"due date",J$8)/$J$7</t>
  </si>
  <si>
    <t>=AVERAGE(I2896:J2896)</t>
  </si>
  <si>
    <t>=IF(K2897=0,"hide","")</t>
  </si>
  <si>
    <t>=D2896</t>
  </si>
  <si>
    <t>=NL("sum","Production Order","Quantity","Source No.",$D2897,"Equipment Code",$L2897,"due date",F$8)/-12</t>
  </si>
  <si>
    <t>=NL("sum","Production Order","Quantity","Source No.",$D2897,"Equipment Code",$L2897,"due date",G$8)/-12</t>
  </si>
  <si>
    <t>=NL("sum","Production Order","Quantity","Source No.",$D2897,"Equipment Code",$L2897,"due date",H$8)/-12</t>
  </si>
  <si>
    <t>=NL("sum","Production Order","Quantity","Source No.",$D2897,"Equipment Code",$L2897,"due date",I$8)/-12</t>
  </si>
  <si>
    <t>=NL("sum","Production Order","Quantity","Source No.",$D2897,"Equipment Code",$L2897,"due date",J$8)/$J$7</t>
  </si>
  <si>
    <t>=AVERAGE(I2897:J2897)</t>
  </si>
  <si>
    <t>=IF(K2898=0,"hide","")</t>
  </si>
  <si>
    <t>=D2897</t>
  </si>
  <si>
    <t>=NL("sum","Production Order","Quantity","Source No.",$D2898,"Equipment Code",$L2898,"due date",F$8)/-12</t>
  </si>
  <si>
    <t>=NL("sum","Production Order","Quantity","Source No.",$D2898,"Equipment Code",$L2898,"due date",G$8)/-12</t>
  </si>
  <si>
    <t>=NL("sum","Production Order","Quantity","Source No.",$D2898,"Equipment Code",$L2898,"due date",H$8)/-12</t>
  </si>
  <si>
    <t>=NL("sum","Production Order","Quantity","Source No.",$D2898,"Equipment Code",$L2898,"due date",I$8)/-12</t>
  </si>
  <si>
    <t>=NL("sum","Production Order","Quantity","Source No.",$D2898,"Equipment Code",$L2898,"due date",J$8)/$J$7</t>
  </si>
  <si>
    <t>=AVERAGE(I2898:J2898)</t>
  </si>
  <si>
    <t>=IF(K2899=0,"hide","")</t>
  </si>
  <si>
    <t>=D2898</t>
  </si>
  <si>
    <t>=NL("sum","Production Order","Quantity","Source No.",$D2899,"Equipment Code",$L2899,"due date",F$8)/-12</t>
  </si>
  <si>
    <t>=NL("sum","Production Order","Quantity","Source No.",$D2899,"Equipment Code",$L2899,"due date",G$8)/-12</t>
  </si>
  <si>
    <t>=NL("sum","Production Order","Quantity","Source No.",$D2899,"Equipment Code",$L2899,"due date",H$8)/-12</t>
  </si>
  <si>
    <t>=NL("sum","Production Order","Quantity","Source No.",$D2899,"Equipment Code",$L2899,"due date",I$8)/-12</t>
  </si>
  <si>
    <t>=NL("sum","Production Order","Quantity","Source No.",$D2899,"Equipment Code",$L2899,"due date",J$8)/$J$7</t>
  </si>
  <si>
    <t>=AVERAGE(I2899:J2899)</t>
  </si>
  <si>
    <t>=B2896</t>
  </si>
  <si>
    <t>=B2900</t>
  </si>
  <si>
    <t>=SUM(F2896:F2900)</t>
  </si>
  <si>
    <t>=SUM(G2896:G2900)</t>
  </si>
  <si>
    <t>=SUM(H2896:H2900)</t>
  </si>
  <si>
    <t>=SUM(I2896:I2900)</t>
  </si>
  <si>
    <t>=SUM(J2896:J2900)</t>
  </si>
  <si>
    <t>=IF(K2902=0,"hide","")</t>
  </si>
  <si>
    <t>="38965"</t>
  </si>
  <si>
    <t>=NL("rows","Production BOM Version","Version Code","Production BOM No.",D2902,"status","certified")</t>
  </si>
  <si>
    <t>=NL("sum","Item Ledger Entry","Quantity","Item No.",$D2902,"Entry Type","Sale|Consumption","posting date","01/01/19..12/31/19")/-12</t>
  </si>
  <si>
    <t>=NL("sum","Item Ledger Entry","Quantity","Item No.",$D2902,"Entry Type","Sale|Consumption","posting date","01/01/20..12/31/20")/-12</t>
  </si>
  <si>
    <t>=NL("sum","Item Ledger Entry","Quantity","Item No.",$D2902,"Entry Type","Sale|Consumption","posting date","01/01/21..12/31/21")/-12</t>
  </si>
  <si>
    <t>=NL("sum","Item Ledger Entry","Quantity","Item No.",$D2902,"Entry Type","Sale|Consumption","posting date","01/01/22..12/31/22")/-12</t>
  </si>
  <si>
    <t>=NL("sum","Item Ledger Entry","Quantity","Item No.",$D2902,"Entry Type","Sale|Consumption","posting date","01/01/23..12/31/23")/$J$7</t>
  </si>
  <si>
    <t>=AVERAGE(I2902:J2902)</t>
  </si>
  <si>
    <t>=NL(1,"item",L$9,"no.",D2902)</t>
  </si>
  <si>
    <t>=NL(1,"item",M$9,"no.",$D2902)</t>
  </si>
  <si>
    <t>=NL(1,"item","Units Per Parcel","no.",$D2902)</t>
  </si>
  <si>
    <t>=NL(1,"Prod. BOM Equipment","Fixed Prod. Time (Hours)","Production BOM No.",$D2902,"version code",$E2902,"Resource No.",O$9)</t>
  </si>
  <si>
    <t>=1/O2902</t>
  </si>
  <si>
    <t>=IF(NL(1,"Prod. BOM Equipment","Variable Prod. Time (Hours)","Production BOM No.",$D2902,"version code",$E2902,"Resource No.",$O$9)="",1,NL(1,"Prod. BOM Equipment","Variable Prod. Time (Hours)","Production BOM No.",$D2902,"version code",$E2902,"Resource No.",$O$9))</t>
  </si>
  <si>
    <t>=1/Q2902</t>
  </si>
  <si>
    <t>=R2902*N2902</t>
  </si>
  <si>
    <t>=IF(K2903=0,"hide","")</t>
  </si>
  <si>
    <t>=D2902</t>
  </si>
  <si>
    <t>=NL("sum","Production Order","Quantity","Source No.",$D2903,"Equipment Code",$L2903,"due date",F$8)/-12</t>
  </si>
  <si>
    <t>=NL("sum","Production Order","Quantity","Source No.",$D2903,"Equipment Code",$L2903,"due date",G$8)/-12</t>
  </si>
  <si>
    <t>=NL("sum","Production Order","Quantity","Source No.",$D2903,"Equipment Code",$L2903,"due date",H$8)/-12</t>
  </si>
  <si>
    <t>=NL("sum","Production Order","Quantity","Source No.",$D2903,"Equipment Code",$L2903,"due date",I$8)/-12</t>
  </si>
  <si>
    <t>=NL("sum","Production Order","Quantity","Source No.",$D2903,"Equipment Code",$L2903,"due date",J$8)/$J$7</t>
  </si>
  <si>
    <t>=AVERAGE(I2903:J2903)</t>
  </si>
  <si>
    <t>=IF(K2904=0,"hide","")</t>
  </si>
  <si>
    <t>=D2903</t>
  </si>
  <si>
    <t>=NL("sum","Production Order","Quantity","Source No.",$D2904,"Equipment Code",$L2904,"due date",F$8)/-12</t>
  </si>
  <si>
    <t>=NL("sum","Production Order","Quantity","Source No.",$D2904,"Equipment Code",$L2904,"due date",G$8)/-12</t>
  </si>
  <si>
    <t>=NL("sum","Production Order","Quantity","Source No.",$D2904,"Equipment Code",$L2904,"due date",H$8)/-12</t>
  </si>
  <si>
    <t>=NL("sum","Production Order","Quantity","Source No.",$D2904,"Equipment Code",$L2904,"due date",I$8)/-12</t>
  </si>
  <si>
    <t>=NL("sum","Production Order","Quantity","Source No.",$D2904,"Equipment Code",$L2904,"due date",J$8)/$J$7</t>
  </si>
  <si>
    <t>=AVERAGE(I2904:J2904)</t>
  </si>
  <si>
    <t>=IF(K2905=0,"hide","")</t>
  </si>
  <si>
    <t>=D2904</t>
  </si>
  <si>
    <t>=NL("sum","Production Order","Quantity","Source No.",$D2905,"Equipment Code",$L2905,"due date",F$8)/-12</t>
  </si>
  <si>
    <t>=NL("sum","Production Order","Quantity","Source No.",$D2905,"Equipment Code",$L2905,"due date",G$8)/-12</t>
  </si>
  <si>
    <t>=NL("sum","Production Order","Quantity","Source No.",$D2905,"Equipment Code",$L2905,"due date",H$8)/-12</t>
  </si>
  <si>
    <t>=NL("sum","Production Order","Quantity","Source No.",$D2905,"Equipment Code",$L2905,"due date",I$8)/-12</t>
  </si>
  <si>
    <t>=NL("sum","Production Order","Quantity","Source No.",$D2905,"Equipment Code",$L2905,"due date",J$8)/$J$7</t>
  </si>
  <si>
    <t>=AVERAGE(I2905:J2905)</t>
  </si>
  <si>
    <t>=IF(K2906=0,"hide","")</t>
  </si>
  <si>
    <t>=D2905</t>
  </si>
  <si>
    <t>=NL("sum","Production Order","Quantity","Source No.",$D2906,"Equipment Code",$L2906,"due date",F$8)/-12</t>
  </si>
  <si>
    <t>=NL("sum","Production Order","Quantity","Source No.",$D2906,"Equipment Code",$L2906,"due date",G$8)/-12</t>
  </si>
  <si>
    <t>=NL("sum","Production Order","Quantity","Source No.",$D2906,"Equipment Code",$L2906,"due date",H$8)/-12</t>
  </si>
  <si>
    <t>=NL("sum","Production Order","Quantity","Source No.",$D2906,"Equipment Code",$L2906,"due date",I$8)/-12</t>
  </si>
  <si>
    <t>=NL("sum","Production Order","Quantity","Source No.",$D2906,"Equipment Code",$L2906,"due date",J$8)/$J$7</t>
  </si>
  <si>
    <t>=AVERAGE(I2906:J2906)</t>
  </si>
  <si>
    <t>=B2903</t>
  </si>
  <si>
    <t>=B2907</t>
  </si>
  <si>
    <t>=SUM(F2903:F2907)</t>
  </si>
  <si>
    <t>=SUM(G2903:G2907)</t>
  </si>
  <si>
    <t>=SUM(H2903:H2907)</t>
  </si>
  <si>
    <t>=SUM(I2903:I2907)</t>
  </si>
  <si>
    <t>=SUM(J2903:J2907)</t>
  </si>
  <si>
    <t>=IF(K2909=0,"hide","")</t>
  </si>
  <si>
    <t>="39363"</t>
  </si>
  <si>
    <t>=NL("rows","Production BOM Version","Version Code","Production BOM No.",D2909,"status","certified")</t>
  </si>
  <si>
    <t>=NL("sum","Item Ledger Entry","Quantity","Item No.",$D2909,"Entry Type","Sale|Consumption","posting date","01/01/19..12/31/19")/-12</t>
  </si>
  <si>
    <t>=NL("sum","Item Ledger Entry","Quantity","Item No.",$D2909,"Entry Type","Sale|Consumption","posting date","01/01/20..12/31/20")/-12</t>
  </si>
  <si>
    <t>=NL("sum","Item Ledger Entry","Quantity","Item No.",$D2909,"Entry Type","Sale|Consumption","posting date","01/01/21..12/31/21")/-12</t>
  </si>
  <si>
    <t>=NL("sum","Item Ledger Entry","Quantity","Item No.",$D2909,"Entry Type","Sale|Consumption","posting date","01/01/22..12/31/22")/-12</t>
  </si>
  <si>
    <t>=NL("sum","Item Ledger Entry","Quantity","Item No.",$D2909,"Entry Type","Sale|Consumption","posting date","01/01/23..12/31/23")/$J$7</t>
  </si>
  <si>
    <t>=AVERAGE(I2909:J2909)</t>
  </si>
  <si>
    <t>=NL(1,"item",L$9,"no.",D2909)</t>
  </si>
  <si>
    <t>=NL(1,"item",M$9,"no.",$D2909)</t>
  </si>
  <si>
    <t>=NL(1,"item","Units Per Parcel","no.",$D2909)</t>
  </si>
  <si>
    <t>=NL(1,"Prod. BOM Equipment","Fixed Prod. Time (Hours)","Production BOM No.",$D2909,"version code",$E2909,"Resource No.",O$9)</t>
  </si>
  <si>
    <t>=1/O2909</t>
  </si>
  <si>
    <t>=IF(NL(1,"Prod. BOM Equipment","Variable Prod. Time (Hours)","Production BOM No.",$D2909,"version code",$E2909,"Resource No.",$O$9)="",1,NL(1,"Prod. BOM Equipment","Variable Prod. Time (Hours)","Production BOM No.",$D2909,"version code",$E2909,"Resource No.",$O$9))</t>
  </si>
  <si>
    <t>=1/Q2909</t>
  </si>
  <si>
    <t>=R2909*N2909</t>
  </si>
  <si>
    <t>=IF(K2910=0,"hide","")</t>
  </si>
  <si>
    <t>=D2909</t>
  </si>
  <si>
    <t>=NL("sum","Production Order","Quantity","Source No.",$D2910,"Equipment Code",$L2910,"due date",F$8)/-12</t>
  </si>
  <si>
    <t>=NL("sum","Production Order","Quantity","Source No.",$D2910,"Equipment Code",$L2910,"due date",G$8)/-12</t>
  </si>
  <si>
    <t>=NL("sum","Production Order","Quantity","Source No.",$D2910,"Equipment Code",$L2910,"due date",H$8)/-12</t>
  </si>
  <si>
    <t>=NL("sum","Production Order","Quantity","Source No.",$D2910,"Equipment Code",$L2910,"due date",I$8)/-12</t>
  </si>
  <si>
    <t>=NL("sum","Production Order","Quantity","Source No.",$D2910,"Equipment Code",$L2910,"due date",J$8)/$J$7</t>
  </si>
  <si>
    <t>=AVERAGE(I2910:J2910)</t>
  </si>
  <si>
    <t>=IF(K2911=0,"hide","")</t>
  </si>
  <si>
    <t>=D2910</t>
  </si>
  <si>
    <t>=NL("sum","Production Order","Quantity","Source No.",$D2911,"Equipment Code",$L2911,"due date",F$8)/-12</t>
  </si>
  <si>
    <t>=NL("sum","Production Order","Quantity","Source No.",$D2911,"Equipment Code",$L2911,"due date",G$8)/-12</t>
  </si>
  <si>
    <t>=NL("sum","Production Order","Quantity","Source No.",$D2911,"Equipment Code",$L2911,"due date",H$8)/-12</t>
  </si>
  <si>
    <t>=NL("sum","Production Order","Quantity","Source No.",$D2911,"Equipment Code",$L2911,"due date",I$8)/-12</t>
  </si>
  <si>
    <t>=NL("sum","Production Order","Quantity","Source No.",$D2911,"Equipment Code",$L2911,"due date",J$8)/$J$7</t>
  </si>
  <si>
    <t>=AVERAGE(I2911:J2911)</t>
  </si>
  <si>
    <t>=IF(K2912=0,"hide","")</t>
  </si>
  <si>
    <t>=D2911</t>
  </si>
  <si>
    <t>=NL("sum","Production Order","Quantity","Source No.",$D2912,"Equipment Code",$L2912,"due date",F$8)/-12</t>
  </si>
  <si>
    <t>=NL("sum","Production Order","Quantity","Source No.",$D2912,"Equipment Code",$L2912,"due date",G$8)/-12</t>
  </si>
  <si>
    <t>=NL("sum","Production Order","Quantity","Source No.",$D2912,"Equipment Code",$L2912,"due date",H$8)/-12</t>
  </si>
  <si>
    <t>=NL("sum","Production Order","Quantity","Source No.",$D2912,"Equipment Code",$L2912,"due date",I$8)/-12</t>
  </si>
  <si>
    <t>=NL("sum","Production Order","Quantity","Source No.",$D2912,"Equipment Code",$L2912,"due date",J$8)/$J$7</t>
  </si>
  <si>
    <t>=AVERAGE(I2912:J2912)</t>
  </si>
  <si>
    <t>=IF(K2913=0,"hide","")</t>
  </si>
  <si>
    <t>=D2912</t>
  </si>
  <si>
    <t>=NL("sum","Production Order","Quantity","Source No.",$D2913,"Equipment Code",$L2913,"due date",F$8)/-12</t>
  </si>
  <si>
    <t>=NL("sum","Production Order","Quantity","Source No.",$D2913,"Equipment Code",$L2913,"due date",G$8)/-12</t>
  </si>
  <si>
    <t>=NL("sum","Production Order","Quantity","Source No.",$D2913,"Equipment Code",$L2913,"due date",H$8)/-12</t>
  </si>
  <si>
    <t>=NL("sum","Production Order","Quantity","Source No.",$D2913,"Equipment Code",$L2913,"due date",I$8)/-12</t>
  </si>
  <si>
    <t>=NL("sum","Production Order","Quantity","Source No.",$D2913,"Equipment Code",$L2913,"due date",J$8)/$J$7</t>
  </si>
  <si>
    <t>=AVERAGE(I2913:J2913)</t>
  </si>
  <si>
    <t>=B2910</t>
  </si>
  <si>
    <t>=B2914</t>
  </si>
  <si>
    <t>=SUM(F2910:F2914)</t>
  </si>
  <si>
    <t>=SUM(G2910:G2914)</t>
  </si>
  <si>
    <t>=SUM(H2910:H2914)</t>
  </si>
  <si>
    <t>=SUM(I2910:I2914)</t>
  </si>
  <si>
    <t>=SUM(J2910:J2914)</t>
  </si>
  <si>
    <t>=IF(K2916=0,"hide","")</t>
  </si>
  <si>
    <t>="39601"</t>
  </si>
  <si>
    <t>=NL("rows","Production BOM Version","Version Code","Production BOM No.",D2916,"status","certified")</t>
  </si>
  <si>
    <t>=NL("sum","Item Ledger Entry","Quantity","Item No.",$D2916,"Entry Type","Sale|Consumption","posting date","01/01/19..12/31/19")/-12</t>
  </si>
  <si>
    <t>=NL("sum","Item Ledger Entry","Quantity","Item No.",$D2916,"Entry Type","Sale|Consumption","posting date","01/01/20..12/31/20")/-12</t>
  </si>
  <si>
    <t>=NL("sum","Item Ledger Entry","Quantity","Item No.",$D2916,"Entry Type","Sale|Consumption","posting date","01/01/21..12/31/21")/-12</t>
  </si>
  <si>
    <t>=NL("sum","Item Ledger Entry","Quantity","Item No.",$D2916,"Entry Type","Sale|Consumption","posting date","01/01/22..12/31/22")/-12</t>
  </si>
  <si>
    <t>=NL("sum","Item Ledger Entry","Quantity","Item No.",$D2916,"Entry Type","Sale|Consumption","posting date","01/01/23..12/31/23")/$J$7</t>
  </si>
  <si>
    <t>=AVERAGE(I2916:J2916)</t>
  </si>
  <si>
    <t>=NL(1,"item",L$9,"no.",D2916)</t>
  </si>
  <si>
    <t>=NL(1,"item",M$9,"no.",$D2916)</t>
  </si>
  <si>
    <t>=NL(1,"item","Units Per Parcel","no.",$D2916)</t>
  </si>
  <si>
    <t>=NL(1,"Prod. BOM Equipment","Fixed Prod. Time (Hours)","Production BOM No.",$D2916,"version code",$E2916,"Resource No.",O$9)</t>
  </si>
  <si>
    <t>=1/O2916</t>
  </si>
  <si>
    <t>=IF(NL(1,"Prod. BOM Equipment","Variable Prod. Time (Hours)","Production BOM No.",$D2916,"version code",$E2916,"Resource No.",$O$9)="",1,NL(1,"Prod. BOM Equipment","Variable Prod. Time (Hours)","Production BOM No.",$D2916,"version code",$E2916,"Resource No.",$O$9))</t>
  </si>
  <si>
    <t>=1/Q2916</t>
  </si>
  <si>
    <t>=R2916*N2916</t>
  </si>
  <si>
    <t>=IF(K2917=0,"hide","")</t>
  </si>
  <si>
    <t>=D2916</t>
  </si>
  <si>
    <t>=NL("sum","Production Order","Quantity","Source No.",$D2917,"Equipment Code",$L2917,"due date",F$8)/-12</t>
  </si>
  <si>
    <t>=NL("sum","Production Order","Quantity","Source No.",$D2917,"Equipment Code",$L2917,"due date",G$8)/-12</t>
  </si>
  <si>
    <t>=NL("sum","Production Order","Quantity","Source No.",$D2917,"Equipment Code",$L2917,"due date",H$8)/-12</t>
  </si>
  <si>
    <t>=NL("sum","Production Order","Quantity","Source No.",$D2917,"Equipment Code",$L2917,"due date",I$8)/-12</t>
  </si>
  <si>
    <t>=NL("sum","Production Order","Quantity","Source No.",$D2917,"Equipment Code",$L2917,"due date",J$8)/$J$7</t>
  </si>
  <si>
    <t>=AVERAGE(I2917:J2917)</t>
  </si>
  <si>
    <t>=IF(K2918=0,"hide","")</t>
  </si>
  <si>
    <t>=D2917</t>
  </si>
  <si>
    <t>=NL("sum","Production Order","Quantity","Source No.",$D2918,"Equipment Code",$L2918,"due date",F$8)/-12</t>
  </si>
  <si>
    <t>=NL("sum","Production Order","Quantity","Source No.",$D2918,"Equipment Code",$L2918,"due date",G$8)/-12</t>
  </si>
  <si>
    <t>=NL("sum","Production Order","Quantity","Source No.",$D2918,"Equipment Code",$L2918,"due date",H$8)/-12</t>
  </si>
  <si>
    <t>=NL("sum","Production Order","Quantity","Source No.",$D2918,"Equipment Code",$L2918,"due date",I$8)/-12</t>
  </si>
  <si>
    <t>=NL("sum","Production Order","Quantity","Source No.",$D2918,"Equipment Code",$L2918,"due date",J$8)/$J$7</t>
  </si>
  <si>
    <t>=AVERAGE(I2918:J2918)</t>
  </si>
  <si>
    <t>=IF(K2919=0,"hide","")</t>
  </si>
  <si>
    <t>=D2918</t>
  </si>
  <si>
    <t>=NL("sum","Production Order","Quantity","Source No.",$D2919,"Equipment Code",$L2919,"due date",F$8)/-12</t>
  </si>
  <si>
    <t>=NL("sum","Production Order","Quantity","Source No.",$D2919,"Equipment Code",$L2919,"due date",G$8)/-12</t>
  </si>
  <si>
    <t>=NL("sum","Production Order","Quantity","Source No.",$D2919,"Equipment Code",$L2919,"due date",H$8)/-12</t>
  </si>
  <si>
    <t>=NL("sum","Production Order","Quantity","Source No.",$D2919,"Equipment Code",$L2919,"due date",I$8)/-12</t>
  </si>
  <si>
    <t>=NL("sum","Production Order","Quantity","Source No.",$D2919,"Equipment Code",$L2919,"due date",J$8)/$J$7</t>
  </si>
  <si>
    <t>=AVERAGE(I2919:J2919)</t>
  </si>
  <si>
    <t>=IF(K2920=0,"hide","")</t>
  </si>
  <si>
    <t>=D2919</t>
  </si>
  <si>
    <t>=NL("sum","Production Order","Quantity","Source No.",$D2920,"Equipment Code",$L2920,"due date",F$8)/-12</t>
  </si>
  <si>
    <t>=NL("sum","Production Order","Quantity","Source No.",$D2920,"Equipment Code",$L2920,"due date",G$8)/-12</t>
  </si>
  <si>
    <t>=NL("sum","Production Order","Quantity","Source No.",$D2920,"Equipment Code",$L2920,"due date",H$8)/-12</t>
  </si>
  <si>
    <t>=NL("sum","Production Order","Quantity","Source No.",$D2920,"Equipment Code",$L2920,"due date",I$8)/-12</t>
  </si>
  <si>
    <t>=NL("sum","Production Order","Quantity","Source No.",$D2920,"Equipment Code",$L2920,"due date",J$8)/$J$7</t>
  </si>
  <si>
    <t>=AVERAGE(I2920:J2920)</t>
  </si>
  <si>
    <t>=B2917</t>
  </si>
  <si>
    <t>=B2921</t>
  </si>
  <si>
    <t>=SUM(F2917:F2921)</t>
  </si>
  <si>
    <t>=SUM(G2917:G2921)</t>
  </si>
  <si>
    <t>=SUM(H2917:H2921)</t>
  </si>
  <si>
    <t>=SUM(I2917:I2921)</t>
  </si>
  <si>
    <t>=SUM(J2917:J2921)</t>
  </si>
  <si>
    <t>=IF(K2923=0,"hide","")</t>
  </si>
  <si>
    <t>="39605"</t>
  </si>
  <si>
    <t>=NL("rows","Production BOM Version","Version Code","Production BOM No.",D2923,"status","certified")</t>
  </si>
  <si>
    <t>=NL("sum","Item Ledger Entry","Quantity","Item No.",$D2923,"Entry Type","Sale|Consumption","posting date","01/01/19..12/31/19")/-12</t>
  </si>
  <si>
    <t>=NL("sum","Item Ledger Entry","Quantity","Item No.",$D2923,"Entry Type","Sale|Consumption","posting date","01/01/20..12/31/20")/-12</t>
  </si>
  <si>
    <t>=NL("sum","Item Ledger Entry","Quantity","Item No.",$D2923,"Entry Type","Sale|Consumption","posting date","01/01/21..12/31/21")/-12</t>
  </si>
  <si>
    <t>=NL("sum","Item Ledger Entry","Quantity","Item No.",$D2923,"Entry Type","Sale|Consumption","posting date","01/01/22..12/31/22")/-12</t>
  </si>
  <si>
    <t>=NL("sum","Item Ledger Entry","Quantity","Item No.",$D2923,"Entry Type","Sale|Consumption","posting date","01/01/23..12/31/23")/$J$7</t>
  </si>
  <si>
    <t>=AVERAGE(I2923:J2923)</t>
  </si>
  <si>
    <t>=NL(1,"item",L$9,"no.",D2923)</t>
  </si>
  <si>
    <t>=NL(1,"item",M$9,"no.",$D2923)</t>
  </si>
  <si>
    <t>=NL(1,"item","Units Per Parcel","no.",$D2923)</t>
  </si>
  <si>
    <t>=NL(1,"Prod. BOM Equipment","Fixed Prod. Time (Hours)","Production BOM No.",$D2923,"version code",$E2923,"Resource No.",O$9)</t>
  </si>
  <si>
    <t>=1/O2923</t>
  </si>
  <si>
    <t>=IF(NL(1,"Prod. BOM Equipment","Variable Prod. Time (Hours)","Production BOM No.",$D2923,"version code",$E2923,"Resource No.",$O$9)="",1,NL(1,"Prod. BOM Equipment","Variable Prod. Time (Hours)","Production BOM No.",$D2923,"version code",$E2923,"Resource No.",$O$9))</t>
  </si>
  <si>
    <t>=1/Q2923</t>
  </si>
  <si>
    <t>=R2923*N2923</t>
  </si>
  <si>
    <t>=IF(K2924=0,"hide","")</t>
  </si>
  <si>
    <t>=D2923</t>
  </si>
  <si>
    <t>=NL("sum","Production Order","Quantity","Source No.",$D2924,"Equipment Code",$L2924,"due date",F$8)/-12</t>
  </si>
  <si>
    <t>=NL("sum","Production Order","Quantity","Source No.",$D2924,"Equipment Code",$L2924,"due date",G$8)/-12</t>
  </si>
  <si>
    <t>=NL("sum","Production Order","Quantity","Source No.",$D2924,"Equipment Code",$L2924,"due date",H$8)/-12</t>
  </si>
  <si>
    <t>=NL("sum","Production Order","Quantity","Source No.",$D2924,"Equipment Code",$L2924,"due date",I$8)/-12</t>
  </si>
  <si>
    <t>=NL("sum","Production Order","Quantity","Source No.",$D2924,"Equipment Code",$L2924,"due date",J$8)/$J$7</t>
  </si>
  <si>
    <t>=AVERAGE(I2924:J2924)</t>
  </si>
  <si>
    <t>=IF(K2925=0,"hide","")</t>
  </si>
  <si>
    <t>=D2924</t>
  </si>
  <si>
    <t>=NL("sum","Production Order","Quantity","Source No.",$D2925,"Equipment Code",$L2925,"due date",F$8)/-12</t>
  </si>
  <si>
    <t>=NL("sum","Production Order","Quantity","Source No.",$D2925,"Equipment Code",$L2925,"due date",G$8)/-12</t>
  </si>
  <si>
    <t>=NL("sum","Production Order","Quantity","Source No.",$D2925,"Equipment Code",$L2925,"due date",H$8)/-12</t>
  </si>
  <si>
    <t>=NL("sum","Production Order","Quantity","Source No.",$D2925,"Equipment Code",$L2925,"due date",I$8)/-12</t>
  </si>
  <si>
    <t>=NL("sum","Production Order","Quantity","Source No.",$D2925,"Equipment Code",$L2925,"due date",J$8)/$J$7</t>
  </si>
  <si>
    <t>=AVERAGE(I2925:J2925)</t>
  </si>
  <si>
    <t>=IF(K2926=0,"hide","")</t>
  </si>
  <si>
    <t>=D2925</t>
  </si>
  <si>
    <t>=NL("sum","Production Order","Quantity","Source No.",$D2926,"Equipment Code",$L2926,"due date",F$8)/-12</t>
  </si>
  <si>
    <t>=NL("sum","Production Order","Quantity","Source No.",$D2926,"Equipment Code",$L2926,"due date",G$8)/-12</t>
  </si>
  <si>
    <t>=NL("sum","Production Order","Quantity","Source No.",$D2926,"Equipment Code",$L2926,"due date",H$8)/-12</t>
  </si>
  <si>
    <t>=NL("sum","Production Order","Quantity","Source No.",$D2926,"Equipment Code",$L2926,"due date",I$8)/-12</t>
  </si>
  <si>
    <t>=NL("sum","Production Order","Quantity","Source No.",$D2926,"Equipment Code",$L2926,"due date",J$8)/$J$7</t>
  </si>
  <si>
    <t>=AVERAGE(I2926:J2926)</t>
  </si>
  <si>
    <t>=IF(K2927=0,"hide","")</t>
  </si>
  <si>
    <t>=D2926</t>
  </si>
  <si>
    <t>=NL("sum","Production Order","Quantity","Source No.",$D2927,"Equipment Code",$L2927,"due date",F$8)/-12</t>
  </si>
  <si>
    <t>=NL("sum","Production Order","Quantity","Source No.",$D2927,"Equipment Code",$L2927,"due date",G$8)/-12</t>
  </si>
  <si>
    <t>=NL("sum","Production Order","Quantity","Source No.",$D2927,"Equipment Code",$L2927,"due date",H$8)/-12</t>
  </si>
  <si>
    <t>=NL("sum","Production Order","Quantity","Source No.",$D2927,"Equipment Code",$L2927,"due date",I$8)/-12</t>
  </si>
  <si>
    <t>=NL("sum","Production Order","Quantity","Source No.",$D2927,"Equipment Code",$L2927,"due date",J$8)/$J$7</t>
  </si>
  <si>
    <t>=AVERAGE(I2927:J2927)</t>
  </si>
  <si>
    <t>=B2924</t>
  </si>
  <si>
    <t>=B2928</t>
  </si>
  <si>
    <t>=SUM(F2924:F2928)</t>
  </si>
  <si>
    <t>=SUM(G2924:G2928)</t>
  </si>
  <si>
    <t>=SUM(H2924:H2928)</t>
  </si>
  <si>
    <t>=SUM(I2924:I2928)</t>
  </si>
  <si>
    <t>=SUM(J2924:J2928)</t>
  </si>
  <si>
    <t>=IF(K2930=0,"hide","")</t>
  </si>
  <si>
    <t>=NL("rows","Production BOM Version","Version Code","Production BOM No.",D2930,"status","certified")</t>
  </si>
  <si>
    <t>=NL("sum","Item Ledger Entry","Quantity","Item No.",$D2930,"Entry Type","Sale|Consumption","posting date","01/01/19..12/31/19")/-12</t>
  </si>
  <si>
    <t>=NL("sum","Item Ledger Entry","Quantity","Item No.",$D2930,"Entry Type","Sale|Consumption","posting date","01/01/20..12/31/20")/-12</t>
  </si>
  <si>
    <t>=NL("sum","Item Ledger Entry","Quantity","Item No.",$D2930,"Entry Type","Sale|Consumption","posting date","01/01/21..12/31/21")/-12</t>
  </si>
  <si>
    <t>=NL("sum","Item Ledger Entry","Quantity","Item No.",$D2930,"Entry Type","Sale|Consumption","posting date","01/01/22..12/31/22")/-12</t>
  </si>
  <si>
    <t>=NL("sum","Item Ledger Entry","Quantity","Item No.",$D2930,"Entry Type","Sale|Consumption","posting date","01/01/23..12/31/23")/$J$7</t>
  </si>
  <si>
    <t>=AVERAGE(I2930:J2930)</t>
  </si>
  <si>
    <t>=NL(1,"item",L$9,"no.",D2930)</t>
  </si>
  <si>
    <t>=NL(1,"item",M$9,"no.",$D2930)</t>
  </si>
  <si>
    <t>=NL(1,"item","Units Per Parcel","no.",$D2930)</t>
  </si>
  <si>
    <t>=NL(1,"Prod. BOM Equipment","Fixed Prod. Time (Hours)","Production BOM No.",$D2930,"version code",$E2930,"Resource No.",O$9)</t>
  </si>
  <si>
    <t>=1/O2930</t>
  </si>
  <si>
    <t>=IF(NL(1,"Prod. BOM Equipment","Variable Prod. Time (Hours)","Production BOM No.",$D2930,"version code",$E2930,"Resource No.",$O$9)="",1,NL(1,"Prod. BOM Equipment","Variable Prod. Time (Hours)","Production BOM No.",$D2930,"version code",$E2930,"Resource No.",$O$9))</t>
  </si>
  <si>
    <t>=1/Q2930</t>
  </si>
  <si>
    <t>=R2930*N2930</t>
  </si>
  <si>
    <t>=IF(K2931=0,"hide","")</t>
  </si>
  <si>
    <t>=D2930</t>
  </si>
  <si>
    <t>=NL("sum","Production Order","Quantity","Source No.",$D2931,"Equipment Code",$L2931,"due date",F$8)/-12</t>
  </si>
  <si>
    <t>=NL("sum","Production Order","Quantity","Source No.",$D2931,"Equipment Code",$L2931,"due date",G$8)/-12</t>
  </si>
  <si>
    <t>=NL("sum","Production Order","Quantity","Source No.",$D2931,"Equipment Code",$L2931,"due date",H$8)/-12</t>
  </si>
  <si>
    <t>=NL("sum","Production Order","Quantity","Source No.",$D2931,"Equipment Code",$L2931,"due date",I$8)/-12</t>
  </si>
  <si>
    <t>=NL("sum","Production Order","Quantity","Source No.",$D2931,"Equipment Code",$L2931,"due date",J$8)/$J$7</t>
  </si>
  <si>
    <t>=AVERAGE(I2931:J2931)</t>
  </si>
  <si>
    <t>=IF(K2932=0,"hide","")</t>
  </si>
  <si>
    <t>=D2931</t>
  </si>
  <si>
    <t>=NL("sum","Production Order","Quantity","Source No.",$D2932,"Equipment Code",$L2932,"due date",F$8)/-12</t>
  </si>
  <si>
    <t>=NL("sum","Production Order","Quantity","Source No.",$D2932,"Equipment Code",$L2932,"due date",G$8)/-12</t>
  </si>
  <si>
    <t>=NL("sum","Production Order","Quantity","Source No.",$D2932,"Equipment Code",$L2932,"due date",H$8)/-12</t>
  </si>
  <si>
    <t>=NL("sum","Production Order","Quantity","Source No.",$D2932,"Equipment Code",$L2932,"due date",I$8)/-12</t>
  </si>
  <si>
    <t>=NL("sum","Production Order","Quantity","Source No.",$D2932,"Equipment Code",$L2932,"due date",J$8)/$J$7</t>
  </si>
  <si>
    <t>=AVERAGE(I2932:J2932)</t>
  </si>
  <si>
    <t>=IF(K2933=0,"hide","")</t>
  </si>
  <si>
    <t>=D2932</t>
  </si>
  <si>
    <t>=NL("sum","Production Order","Quantity","Source No.",$D2933,"Equipment Code",$L2933,"due date",F$8)/-12</t>
  </si>
  <si>
    <t>=NL("sum","Production Order","Quantity","Source No.",$D2933,"Equipment Code",$L2933,"due date",G$8)/-12</t>
  </si>
  <si>
    <t>=NL("sum","Production Order","Quantity","Source No.",$D2933,"Equipment Code",$L2933,"due date",H$8)/-12</t>
  </si>
  <si>
    <t>=NL("sum","Production Order","Quantity","Source No.",$D2933,"Equipment Code",$L2933,"due date",I$8)/-12</t>
  </si>
  <si>
    <t>=NL("sum","Production Order","Quantity","Source No.",$D2933,"Equipment Code",$L2933,"due date",J$8)/$J$7</t>
  </si>
  <si>
    <t>=AVERAGE(I2933:J2933)</t>
  </si>
  <si>
    <t>=IF(K2934=0,"hide","")</t>
  </si>
  <si>
    <t>=D2933</t>
  </si>
  <si>
    <t>=NL("sum","Production Order","Quantity","Source No.",$D2934,"Equipment Code",$L2934,"due date",F$8)/-12</t>
  </si>
  <si>
    <t>=NL("sum","Production Order","Quantity","Source No.",$D2934,"Equipment Code",$L2934,"due date",G$8)/-12</t>
  </si>
  <si>
    <t>=NL("sum","Production Order","Quantity","Source No.",$D2934,"Equipment Code",$L2934,"due date",H$8)/-12</t>
  </si>
  <si>
    <t>=NL("sum","Production Order","Quantity","Source No.",$D2934,"Equipment Code",$L2934,"due date",I$8)/-12</t>
  </si>
  <si>
    <t>=NL("sum","Production Order","Quantity","Source No.",$D2934,"Equipment Code",$L2934,"due date",J$8)/$J$7</t>
  </si>
  <si>
    <t>=AVERAGE(I2934:J2934)</t>
  </si>
  <si>
    <t>=B2931</t>
  </si>
  <si>
    <t>=B2935</t>
  </si>
  <si>
    <t>=SUM(F2931:F2935)</t>
  </si>
  <si>
    <t>=SUM(G2931:G2935)</t>
  </si>
  <si>
    <t>=SUM(H2931:H2935)</t>
  </si>
  <si>
    <t>=SUM(I2931:I2935)</t>
  </si>
  <si>
    <t>=SUM(J2931:J2935)</t>
  </si>
  <si>
    <t>=IF(K2937=0,"hide","")</t>
  </si>
  <si>
    <t>="39636"</t>
  </si>
  <si>
    <t>=NL("rows","Production BOM Version","Version Code","Production BOM No.",D2937,"status","certified")</t>
  </si>
  <si>
    <t>=NL("sum","Item Ledger Entry","Quantity","Item No.",$D2937,"Entry Type","Sale|Consumption","posting date","01/01/19..12/31/19")/-12</t>
  </si>
  <si>
    <t>=NL("sum","Item Ledger Entry","Quantity","Item No.",$D2937,"Entry Type","Sale|Consumption","posting date","01/01/20..12/31/20")/-12</t>
  </si>
  <si>
    <t>=NL("sum","Item Ledger Entry","Quantity","Item No.",$D2937,"Entry Type","Sale|Consumption","posting date","01/01/21..12/31/21")/-12</t>
  </si>
  <si>
    <t>=NL("sum","Item Ledger Entry","Quantity","Item No.",$D2937,"Entry Type","Sale|Consumption","posting date","01/01/22..12/31/22")/-12</t>
  </si>
  <si>
    <t>=NL("sum","Item Ledger Entry","Quantity","Item No.",$D2937,"Entry Type","Sale|Consumption","posting date","01/01/23..12/31/23")/$J$7</t>
  </si>
  <si>
    <t>=AVERAGE(I2937:J2937)</t>
  </si>
  <si>
    <t>=NL(1,"item",L$9,"no.",D2937)</t>
  </si>
  <si>
    <t>=NL(1,"item",M$9,"no.",$D2937)</t>
  </si>
  <si>
    <t>=NL(1,"item","Units Per Parcel","no.",$D2937)</t>
  </si>
  <si>
    <t>=NL(1,"Prod. BOM Equipment","Fixed Prod. Time (Hours)","Production BOM No.",$D2937,"version code",$E2937,"Resource No.",O$9)</t>
  </si>
  <si>
    <t>=1/O2937</t>
  </si>
  <si>
    <t>=IF(NL(1,"Prod. BOM Equipment","Variable Prod. Time (Hours)","Production BOM No.",$D2937,"version code",$E2937,"Resource No.",$O$9)="",1,NL(1,"Prod. BOM Equipment","Variable Prod. Time (Hours)","Production BOM No.",$D2937,"version code",$E2937,"Resource No.",$O$9))</t>
  </si>
  <si>
    <t>=1/Q2937</t>
  </si>
  <si>
    <t>=R2937*N2937</t>
  </si>
  <si>
    <t>=IF(K2938=0,"hide","")</t>
  </si>
  <si>
    <t>=D2937</t>
  </si>
  <si>
    <t>=NL("sum","Production Order","Quantity","Source No.",$D2938,"Equipment Code",$L2938,"due date",F$8)/-12</t>
  </si>
  <si>
    <t>=NL("sum","Production Order","Quantity","Source No.",$D2938,"Equipment Code",$L2938,"due date",G$8)/-12</t>
  </si>
  <si>
    <t>=NL("sum","Production Order","Quantity","Source No.",$D2938,"Equipment Code",$L2938,"due date",H$8)/-12</t>
  </si>
  <si>
    <t>=NL("sum","Production Order","Quantity","Source No.",$D2938,"Equipment Code",$L2938,"due date",I$8)/-12</t>
  </si>
  <si>
    <t>=NL("sum","Production Order","Quantity","Source No.",$D2938,"Equipment Code",$L2938,"due date",J$8)/$J$7</t>
  </si>
  <si>
    <t>=AVERAGE(I2938:J2938)</t>
  </si>
  <si>
    <t>=IF(K2939=0,"hide","")</t>
  </si>
  <si>
    <t>=D2938</t>
  </si>
  <si>
    <t>=NL("sum","Production Order","Quantity","Source No.",$D2939,"Equipment Code",$L2939,"due date",F$8)/-12</t>
  </si>
  <si>
    <t>=NL("sum","Production Order","Quantity","Source No.",$D2939,"Equipment Code",$L2939,"due date",G$8)/-12</t>
  </si>
  <si>
    <t>=NL("sum","Production Order","Quantity","Source No.",$D2939,"Equipment Code",$L2939,"due date",H$8)/-12</t>
  </si>
  <si>
    <t>=NL("sum","Production Order","Quantity","Source No.",$D2939,"Equipment Code",$L2939,"due date",I$8)/-12</t>
  </si>
  <si>
    <t>=NL("sum","Production Order","Quantity","Source No.",$D2939,"Equipment Code",$L2939,"due date",J$8)/$J$7</t>
  </si>
  <si>
    <t>=AVERAGE(I2939:J2939)</t>
  </si>
  <si>
    <t>=IF(K2940=0,"hide","")</t>
  </si>
  <si>
    <t>=D2939</t>
  </si>
  <si>
    <t>=NL("sum","Production Order","Quantity","Source No.",$D2940,"Equipment Code",$L2940,"due date",F$8)/-12</t>
  </si>
  <si>
    <t>=NL("sum","Production Order","Quantity","Source No.",$D2940,"Equipment Code",$L2940,"due date",G$8)/-12</t>
  </si>
  <si>
    <t>=NL("sum","Production Order","Quantity","Source No.",$D2940,"Equipment Code",$L2940,"due date",H$8)/-12</t>
  </si>
  <si>
    <t>=NL("sum","Production Order","Quantity","Source No.",$D2940,"Equipment Code",$L2940,"due date",I$8)/-12</t>
  </si>
  <si>
    <t>=NL("sum","Production Order","Quantity","Source No.",$D2940,"Equipment Code",$L2940,"due date",J$8)/$J$7</t>
  </si>
  <si>
    <t>=AVERAGE(I2940:J2940)</t>
  </si>
  <si>
    <t>=IF(K2941=0,"hide","")</t>
  </si>
  <si>
    <t>=D2940</t>
  </si>
  <si>
    <t>=NL("sum","Production Order","Quantity","Source No.",$D2941,"Equipment Code",$L2941,"due date",F$8)/-12</t>
  </si>
  <si>
    <t>=NL("sum","Production Order","Quantity","Source No.",$D2941,"Equipment Code",$L2941,"due date",G$8)/-12</t>
  </si>
  <si>
    <t>=NL("sum","Production Order","Quantity","Source No.",$D2941,"Equipment Code",$L2941,"due date",H$8)/-12</t>
  </si>
  <si>
    <t>=NL("sum","Production Order","Quantity","Source No.",$D2941,"Equipment Code",$L2941,"due date",I$8)/-12</t>
  </si>
  <si>
    <t>=NL("sum","Production Order","Quantity","Source No.",$D2941,"Equipment Code",$L2941,"due date",J$8)/$J$7</t>
  </si>
  <si>
    <t>=AVERAGE(I2941:J2941)</t>
  </si>
  <si>
    <t>=B2938</t>
  </si>
  <si>
    <t>=B2942</t>
  </si>
  <si>
    <t>=SUM(F2938:F2942)</t>
  </si>
  <si>
    <t>=SUM(G2938:G2942)</t>
  </si>
  <si>
    <t>=SUM(H2938:H2942)</t>
  </si>
  <si>
    <t>=SUM(I2938:I2942)</t>
  </si>
  <si>
    <t>=SUM(J2938:J2942)</t>
  </si>
  <si>
    <t>=IF(K2944=0,"hide","")</t>
  </si>
  <si>
    <t>="40129"</t>
  </si>
  <si>
    <t>=NL("rows","Production BOM Version","Version Code","Production BOM No.",D2944,"status","certified")</t>
  </si>
  <si>
    <t>=NL("sum","Item Ledger Entry","Quantity","Item No.",$D2944,"Entry Type","Sale|Consumption","posting date","01/01/19..12/31/19")/-12</t>
  </si>
  <si>
    <t>=NL("sum","Item Ledger Entry","Quantity","Item No.",$D2944,"Entry Type","Sale|Consumption","posting date","01/01/20..12/31/20")/-12</t>
  </si>
  <si>
    <t>=NL("sum","Item Ledger Entry","Quantity","Item No.",$D2944,"Entry Type","Sale|Consumption","posting date","01/01/21..12/31/21")/-12</t>
  </si>
  <si>
    <t>=NL("sum","Item Ledger Entry","Quantity","Item No.",$D2944,"Entry Type","Sale|Consumption","posting date","01/01/22..12/31/22")/-12</t>
  </si>
  <si>
    <t>=NL("sum","Item Ledger Entry","Quantity","Item No.",$D2944,"Entry Type","Sale|Consumption","posting date","01/01/23..12/31/23")/$J$7</t>
  </si>
  <si>
    <t>=AVERAGE(I2944:J2944)</t>
  </si>
  <si>
    <t>=NL(1,"item",L$9,"no.",D2944)</t>
  </si>
  <si>
    <t>=NL(1,"item",M$9,"no.",$D2944)</t>
  </si>
  <si>
    <t>=NL(1,"item","Units Per Parcel","no.",$D2944)</t>
  </si>
  <si>
    <t>=NL(1,"Prod. BOM Equipment","Fixed Prod. Time (Hours)","Production BOM No.",$D2944,"version code",$E2944,"Resource No.",O$9)</t>
  </si>
  <si>
    <t>=1/O2944</t>
  </si>
  <si>
    <t>=IF(NL(1,"Prod. BOM Equipment","Variable Prod. Time (Hours)","Production BOM No.",$D2944,"version code",$E2944,"Resource No.",$O$9)="",1,NL(1,"Prod. BOM Equipment","Variable Prod. Time (Hours)","Production BOM No.",$D2944,"version code",$E2944,"Resource No.",$O$9))</t>
  </si>
  <si>
    <t>=1/Q2944</t>
  </si>
  <si>
    <t>=R2944*N2944</t>
  </si>
  <si>
    <t>=IF(K2945=0,"hide","")</t>
  </si>
  <si>
    <t>=D2944</t>
  </si>
  <si>
    <t>=NL("sum","Production Order","Quantity","Source No.",$D2945,"Equipment Code",$L2945,"due date",F$8)/-12</t>
  </si>
  <si>
    <t>=NL("sum","Production Order","Quantity","Source No.",$D2945,"Equipment Code",$L2945,"due date",G$8)/-12</t>
  </si>
  <si>
    <t>=NL("sum","Production Order","Quantity","Source No.",$D2945,"Equipment Code",$L2945,"due date",H$8)/-12</t>
  </si>
  <si>
    <t>=NL("sum","Production Order","Quantity","Source No.",$D2945,"Equipment Code",$L2945,"due date",I$8)/-12</t>
  </si>
  <si>
    <t>=NL("sum","Production Order","Quantity","Source No.",$D2945,"Equipment Code",$L2945,"due date",J$8)/$J$7</t>
  </si>
  <si>
    <t>=AVERAGE(I2945:J2945)</t>
  </si>
  <si>
    <t>=IF(K2946=0,"hide","")</t>
  </si>
  <si>
    <t>=D2945</t>
  </si>
  <si>
    <t>=NL("sum","Production Order","Quantity","Source No.",$D2946,"Equipment Code",$L2946,"due date",F$8)/-12</t>
  </si>
  <si>
    <t>=NL("sum","Production Order","Quantity","Source No.",$D2946,"Equipment Code",$L2946,"due date",G$8)/-12</t>
  </si>
  <si>
    <t>=NL("sum","Production Order","Quantity","Source No.",$D2946,"Equipment Code",$L2946,"due date",H$8)/-12</t>
  </si>
  <si>
    <t>=NL("sum","Production Order","Quantity","Source No.",$D2946,"Equipment Code",$L2946,"due date",I$8)/-12</t>
  </si>
  <si>
    <t>=NL("sum","Production Order","Quantity","Source No.",$D2946,"Equipment Code",$L2946,"due date",J$8)/$J$7</t>
  </si>
  <si>
    <t>=AVERAGE(I2946:J2946)</t>
  </si>
  <si>
    <t>=IF(K2947=0,"hide","")</t>
  </si>
  <si>
    <t>=D2946</t>
  </si>
  <si>
    <t>=NL("sum","Production Order","Quantity","Source No.",$D2947,"Equipment Code",$L2947,"due date",F$8)/-12</t>
  </si>
  <si>
    <t>=NL("sum","Production Order","Quantity","Source No.",$D2947,"Equipment Code",$L2947,"due date",G$8)/-12</t>
  </si>
  <si>
    <t>=NL("sum","Production Order","Quantity","Source No.",$D2947,"Equipment Code",$L2947,"due date",H$8)/-12</t>
  </si>
  <si>
    <t>=NL("sum","Production Order","Quantity","Source No.",$D2947,"Equipment Code",$L2947,"due date",I$8)/-12</t>
  </si>
  <si>
    <t>=NL("sum","Production Order","Quantity","Source No.",$D2947,"Equipment Code",$L2947,"due date",J$8)/$J$7</t>
  </si>
  <si>
    <t>=AVERAGE(I2947:J2947)</t>
  </si>
  <si>
    <t>=IF(K2948=0,"hide","")</t>
  </si>
  <si>
    <t>=D2947</t>
  </si>
  <si>
    <t>=NL("sum","Production Order","Quantity","Source No.",$D2948,"Equipment Code",$L2948,"due date",F$8)/-12</t>
  </si>
  <si>
    <t>=NL("sum","Production Order","Quantity","Source No.",$D2948,"Equipment Code",$L2948,"due date",G$8)/-12</t>
  </si>
  <si>
    <t>=NL("sum","Production Order","Quantity","Source No.",$D2948,"Equipment Code",$L2948,"due date",H$8)/-12</t>
  </si>
  <si>
    <t>=NL("sum","Production Order","Quantity","Source No.",$D2948,"Equipment Code",$L2948,"due date",I$8)/-12</t>
  </si>
  <si>
    <t>=NL("sum","Production Order","Quantity","Source No.",$D2948,"Equipment Code",$L2948,"due date",J$8)/$J$7</t>
  </si>
  <si>
    <t>=AVERAGE(I2948:J2948)</t>
  </si>
  <si>
    <t>=B2945</t>
  </si>
  <si>
    <t>=B2949</t>
  </si>
  <si>
    <t>=SUM(F2945:F2949)</t>
  </si>
  <si>
    <t>=SUM(G2945:G2949)</t>
  </si>
  <si>
    <t>=SUM(H2945:H2949)</t>
  </si>
  <si>
    <t>=SUM(I2945:I2949)</t>
  </si>
  <si>
    <t>=SUM(J2945:J2949)</t>
  </si>
  <si>
    <t>=IF(K2951=0,"hide","")</t>
  </si>
  <si>
    <t>="40966"</t>
  </si>
  <si>
    <t>=NL("rows","Production BOM Version","Version Code","Production BOM No.",D2951,"status","certified")</t>
  </si>
  <si>
    <t>=NL("sum","Item Ledger Entry","Quantity","Item No.",$D2951,"Entry Type","Sale|Consumption","posting date","01/01/19..12/31/19")/-12</t>
  </si>
  <si>
    <t>=NL("sum","Item Ledger Entry","Quantity","Item No.",$D2951,"Entry Type","Sale|Consumption","posting date","01/01/20..12/31/20")/-12</t>
  </si>
  <si>
    <t>=NL("sum","Item Ledger Entry","Quantity","Item No.",$D2951,"Entry Type","Sale|Consumption","posting date","01/01/21..12/31/21")/-12</t>
  </si>
  <si>
    <t>=NL("sum","Item Ledger Entry","Quantity","Item No.",$D2951,"Entry Type","Sale|Consumption","posting date","01/01/22..12/31/22")/-12</t>
  </si>
  <si>
    <t>=NL("sum","Item Ledger Entry","Quantity","Item No.",$D2951,"Entry Type","Sale|Consumption","posting date","01/01/23..12/31/23")/$J$7</t>
  </si>
  <si>
    <t>=AVERAGE(I2951:J2951)</t>
  </si>
  <si>
    <t>=NL(1,"item",L$9,"no.",D2951)</t>
  </si>
  <si>
    <t>=NL(1,"item",M$9,"no.",$D2951)</t>
  </si>
  <si>
    <t>=NL(1,"item","Units Per Parcel","no.",$D2951)</t>
  </si>
  <si>
    <t>=NL(1,"Prod. BOM Equipment","Fixed Prod. Time (Hours)","Production BOM No.",$D2951,"version code",$E2951,"Resource No.",O$9)</t>
  </si>
  <si>
    <t>=1/O2951</t>
  </si>
  <si>
    <t>=IF(NL(1,"Prod. BOM Equipment","Variable Prod. Time (Hours)","Production BOM No.",$D2951,"version code",$E2951,"Resource No.",$O$9)="",1,NL(1,"Prod. BOM Equipment","Variable Prod. Time (Hours)","Production BOM No.",$D2951,"version code",$E2951,"Resource No.",$O$9))</t>
  </si>
  <si>
    <t>=1/Q2951</t>
  </si>
  <si>
    <t>=R2951*N2951</t>
  </si>
  <si>
    <t>=IF(K2952=0,"hide","")</t>
  </si>
  <si>
    <t>=D2951</t>
  </si>
  <si>
    <t>=NL("sum","Production Order","Quantity","Source No.",$D2952,"Equipment Code",$L2952,"due date",F$8)/-12</t>
  </si>
  <si>
    <t>=NL("sum","Production Order","Quantity","Source No.",$D2952,"Equipment Code",$L2952,"due date",G$8)/-12</t>
  </si>
  <si>
    <t>=NL("sum","Production Order","Quantity","Source No.",$D2952,"Equipment Code",$L2952,"due date",H$8)/-12</t>
  </si>
  <si>
    <t>=NL("sum","Production Order","Quantity","Source No.",$D2952,"Equipment Code",$L2952,"due date",I$8)/-12</t>
  </si>
  <si>
    <t>=NL("sum","Production Order","Quantity","Source No.",$D2952,"Equipment Code",$L2952,"due date",J$8)/$J$7</t>
  </si>
  <si>
    <t>=AVERAGE(I2952:J2952)</t>
  </si>
  <si>
    <t>=IF(K2953=0,"hide","")</t>
  </si>
  <si>
    <t>=D2952</t>
  </si>
  <si>
    <t>=NL("sum","Production Order","Quantity","Source No.",$D2953,"Equipment Code",$L2953,"due date",F$8)/-12</t>
  </si>
  <si>
    <t>=NL("sum","Production Order","Quantity","Source No.",$D2953,"Equipment Code",$L2953,"due date",G$8)/-12</t>
  </si>
  <si>
    <t>=NL("sum","Production Order","Quantity","Source No.",$D2953,"Equipment Code",$L2953,"due date",H$8)/-12</t>
  </si>
  <si>
    <t>=NL("sum","Production Order","Quantity","Source No.",$D2953,"Equipment Code",$L2953,"due date",I$8)/-12</t>
  </si>
  <si>
    <t>=NL("sum","Production Order","Quantity","Source No.",$D2953,"Equipment Code",$L2953,"due date",J$8)/$J$7</t>
  </si>
  <si>
    <t>=AVERAGE(I2953:J2953)</t>
  </si>
  <si>
    <t>=IF(K2954=0,"hide","")</t>
  </si>
  <si>
    <t>=D2953</t>
  </si>
  <si>
    <t>=NL("sum","Production Order","Quantity","Source No.",$D2954,"Equipment Code",$L2954,"due date",F$8)/-12</t>
  </si>
  <si>
    <t>=NL("sum","Production Order","Quantity","Source No.",$D2954,"Equipment Code",$L2954,"due date",G$8)/-12</t>
  </si>
  <si>
    <t>=NL("sum","Production Order","Quantity","Source No.",$D2954,"Equipment Code",$L2954,"due date",H$8)/-12</t>
  </si>
  <si>
    <t>=NL("sum","Production Order","Quantity","Source No.",$D2954,"Equipment Code",$L2954,"due date",I$8)/-12</t>
  </si>
  <si>
    <t>=NL("sum","Production Order","Quantity","Source No.",$D2954,"Equipment Code",$L2954,"due date",J$8)/$J$7</t>
  </si>
  <si>
    <t>=AVERAGE(I2954:J2954)</t>
  </si>
  <si>
    <t>=IF(K2955=0,"hide","")</t>
  </si>
  <si>
    <t>=D2954</t>
  </si>
  <si>
    <t>=NL("sum","Production Order","Quantity","Source No.",$D2955,"Equipment Code",$L2955,"due date",F$8)/-12</t>
  </si>
  <si>
    <t>=NL("sum","Production Order","Quantity","Source No.",$D2955,"Equipment Code",$L2955,"due date",G$8)/-12</t>
  </si>
  <si>
    <t>=NL("sum","Production Order","Quantity","Source No.",$D2955,"Equipment Code",$L2955,"due date",H$8)/-12</t>
  </si>
  <si>
    <t>=NL("sum","Production Order","Quantity","Source No.",$D2955,"Equipment Code",$L2955,"due date",I$8)/-12</t>
  </si>
  <si>
    <t>=NL("sum","Production Order","Quantity","Source No.",$D2955,"Equipment Code",$L2955,"due date",J$8)/$J$7</t>
  </si>
  <si>
    <t>=AVERAGE(I2955:J2955)</t>
  </si>
  <si>
    <t>=B2952</t>
  </si>
  <si>
    <t>=B2956</t>
  </si>
  <si>
    <t>=SUM(F2952:F2956)</t>
  </si>
  <si>
    <t>=SUM(G2952:G2956)</t>
  </si>
  <si>
    <t>=SUM(H2952:H2956)</t>
  </si>
  <si>
    <t>=SUM(I2952:I2956)</t>
  </si>
  <si>
    <t>=SUM(J2952:J2956)</t>
  </si>
  <si>
    <t>=IF(K2958=0,"hide","")</t>
  </si>
  <si>
    <t>=NL("rows","Production BOM Version","Version Code","Production BOM No.",D2958,"status","certified")</t>
  </si>
  <si>
    <t>=NL("sum","Item Ledger Entry","Quantity","Item No.",$D2958,"Entry Type","Sale|Consumption","posting date","01/01/19..12/31/19")/-12</t>
  </si>
  <si>
    <t>=NL("sum","Item Ledger Entry","Quantity","Item No.",$D2958,"Entry Type","Sale|Consumption","posting date","01/01/20..12/31/20")/-12</t>
  </si>
  <si>
    <t>=NL("sum","Item Ledger Entry","Quantity","Item No.",$D2958,"Entry Type","Sale|Consumption","posting date","01/01/21..12/31/21")/-12</t>
  </si>
  <si>
    <t>=NL("sum","Item Ledger Entry","Quantity","Item No.",$D2958,"Entry Type","Sale|Consumption","posting date","01/01/22..12/31/22")/-12</t>
  </si>
  <si>
    <t>=NL("sum","Item Ledger Entry","Quantity","Item No.",$D2958,"Entry Type","Sale|Consumption","posting date","01/01/23..12/31/23")/$J$7</t>
  </si>
  <si>
    <t>=AVERAGE(I2958:J2958)</t>
  </si>
  <si>
    <t>=NL(1,"item",L$9,"no.",D2958)</t>
  </si>
  <si>
    <t>=NL(1,"item",M$9,"no.",$D2958)</t>
  </si>
  <si>
    <t>=NL(1,"item","Units Per Parcel","no.",$D2958)</t>
  </si>
  <si>
    <t>=NL(1,"Prod. BOM Equipment","Fixed Prod. Time (Hours)","Production BOM No.",$D2958,"version code",$E2958,"Resource No.",O$9)</t>
  </si>
  <si>
    <t>=1/O2958</t>
  </si>
  <si>
    <t>=IF(NL(1,"Prod. BOM Equipment","Variable Prod. Time (Hours)","Production BOM No.",$D2958,"version code",$E2958,"Resource No.",$O$9)="",1,NL(1,"Prod. BOM Equipment","Variable Prod. Time (Hours)","Production BOM No.",$D2958,"version code",$E2958,"Resource No.",$O$9))</t>
  </si>
  <si>
    <t>=1/Q2958</t>
  </si>
  <si>
    <t>=R2958*N2958</t>
  </si>
  <si>
    <t>=IF(K2959=0,"hide","")</t>
  </si>
  <si>
    <t>=D2958</t>
  </si>
  <si>
    <t>=NL("sum","Production Order","Quantity","Source No.",$D2959,"Equipment Code",$L2959,"due date",F$8)/-12</t>
  </si>
  <si>
    <t>=NL("sum","Production Order","Quantity","Source No.",$D2959,"Equipment Code",$L2959,"due date",G$8)/-12</t>
  </si>
  <si>
    <t>=NL("sum","Production Order","Quantity","Source No.",$D2959,"Equipment Code",$L2959,"due date",H$8)/-12</t>
  </si>
  <si>
    <t>=NL("sum","Production Order","Quantity","Source No.",$D2959,"Equipment Code",$L2959,"due date",I$8)/-12</t>
  </si>
  <si>
    <t>=NL("sum","Production Order","Quantity","Source No.",$D2959,"Equipment Code",$L2959,"due date",J$8)/$J$7</t>
  </si>
  <si>
    <t>=AVERAGE(I2959:J2959)</t>
  </si>
  <si>
    <t>=IF(K2960=0,"hide","")</t>
  </si>
  <si>
    <t>=D2959</t>
  </si>
  <si>
    <t>=NL("sum","Production Order","Quantity","Source No.",$D2960,"Equipment Code",$L2960,"due date",F$8)/-12</t>
  </si>
  <si>
    <t>=NL("sum","Production Order","Quantity","Source No.",$D2960,"Equipment Code",$L2960,"due date",G$8)/-12</t>
  </si>
  <si>
    <t>=NL("sum","Production Order","Quantity","Source No.",$D2960,"Equipment Code",$L2960,"due date",H$8)/-12</t>
  </si>
  <si>
    <t>=NL("sum","Production Order","Quantity","Source No.",$D2960,"Equipment Code",$L2960,"due date",I$8)/-12</t>
  </si>
  <si>
    <t>=NL("sum","Production Order","Quantity","Source No.",$D2960,"Equipment Code",$L2960,"due date",J$8)/$J$7</t>
  </si>
  <si>
    <t>=AVERAGE(I2960:J2960)</t>
  </si>
  <si>
    <t>=IF(K2961=0,"hide","")</t>
  </si>
  <si>
    <t>=D2960</t>
  </si>
  <si>
    <t>=NL("sum","Production Order","Quantity","Source No.",$D2961,"Equipment Code",$L2961,"due date",F$8)/-12</t>
  </si>
  <si>
    <t>=NL("sum","Production Order","Quantity","Source No.",$D2961,"Equipment Code",$L2961,"due date",G$8)/-12</t>
  </si>
  <si>
    <t>=NL("sum","Production Order","Quantity","Source No.",$D2961,"Equipment Code",$L2961,"due date",H$8)/-12</t>
  </si>
  <si>
    <t>=NL("sum","Production Order","Quantity","Source No.",$D2961,"Equipment Code",$L2961,"due date",I$8)/-12</t>
  </si>
  <si>
    <t>=NL("sum","Production Order","Quantity","Source No.",$D2961,"Equipment Code",$L2961,"due date",J$8)/$J$7</t>
  </si>
  <si>
    <t>=AVERAGE(I2961:J2961)</t>
  </si>
  <si>
    <t>=IF(K2962=0,"hide","")</t>
  </si>
  <si>
    <t>=D2961</t>
  </si>
  <si>
    <t>=NL("sum","Production Order","Quantity","Source No.",$D2962,"Equipment Code",$L2962,"due date",F$8)/-12</t>
  </si>
  <si>
    <t>=NL("sum","Production Order","Quantity","Source No.",$D2962,"Equipment Code",$L2962,"due date",G$8)/-12</t>
  </si>
  <si>
    <t>=NL("sum","Production Order","Quantity","Source No.",$D2962,"Equipment Code",$L2962,"due date",H$8)/-12</t>
  </si>
  <si>
    <t>=NL("sum","Production Order","Quantity","Source No.",$D2962,"Equipment Code",$L2962,"due date",I$8)/-12</t>
  </si>
  <si>
    <t>=NL("sum","Production Order","Quantity","Source No.",$D2962,"Equipment Code",$L2962,"due date",J$8)/$J$7</t>
  </si>
  <si>
    <t>=AVERAGE(I2962:J2962)</t>
  </si>
  <si>
    <t>=B2959</t>
  </si>
  <si>
    <t>=B2963</t>
  </si>
  <si>
    <t>=SUM(F2959:F2963)</t>
  </si>
  <si>
    <t>=SUM(G2959:G2963)</t>
  </si>
  <si>
    <t>=SUM(H2959:H2963)</t>
  </si>
  <si>
    <t>=SUM(I2959:I2963)</t>
  </si>
  <si>
    <t>=SUM(J2959:J2963)</t>
  </si>
  <si>
    <t>=IF(K2965=0,"hide","")</t>
  </si>
  <si>
    <t>="41405"</t>
  </si>
  <si>
    <t>=NL("rows","Production BOM Version","Version Code","Production BOM No.",D2965,"status","certified")</t>
  </si>
  <si>
    <t>=NL("sum","Item Ledger Entry","Quantity","Item No.",$D2965,"Entry Type","Sale|Consumption","posting date","01/01/19..12/31/19")/-12</t>
  </si>
  <si>
    <t>=NL("sum","Item Ledger Entry","Quantity","Item No.",$D2965,"Entry Type","Sale|Consumption","posting date","01/01/20..12/31/20")/-12</t>
  </si>
  <si>
    <t>=NL("sum","Item Ledger Entry","Quantity","Item No.",$D2965,"Entry Type","Sale|Consumption","posting date","01/01/21..12/31/21")/-12</t>
  </si>
  <si>
    <t>=NL("sum","Item Ledger Entry","Quantity","Item No.",$D2965,"Entry Type","Sale|Consumption","posting date","01/01/22..12/31/22")/-12</t>
  </si>
  <si>
    <t>=NL("sum","Item Ledger Entry","Quantity","Item No.",$D2965,"Entry Type","Sale|Consumption","posting date","01/01/23..12/31/23")/$J$7</t>
  </si>
  <si>
    <t>=AVERAGE(I2965:J2965)</t>
  </si>
  <si>
    <t>=NL(1,"item",L$9,"no.",D2965)</t>
  </si>
  <si>
    <t>=NL(1,"item",M$9,"no.",$D2965)</t>
  </si>
  <si>
    <t>=NL(1,"item","Units Per Parcel","no.",$D2965)</t>
  </si>
  <si>
    <t>=NL(1,"Prod. BOM Equipment","Fixed Prod. Time (Hours)","Production BOM No.",$D2965,"version code",$E2965,"Resource No.",O$9)</t>
  </si>
  <si>
    <t>=1/O2965</t>
  </si>
  <si>
    <t>=IF(NL(1,"Prod. BOM Equipment","Variable Prod. Time (Hours)","Production BOM No.",$D2965,"version code",$E2965,"Resource No.",$O$9)="",1,NL(1,"Prod. BOM Equipment","Variable Prod. Time (Hours)","Production BOM No.",$D2965,"version code",$E2965,"Resource No.",$O$9))</t>
  </si>
  <si>
    <t>=1/Q2965</t>
  </si>
  <si>
    <t>=R2965*N2965</t>
  </si>
  <si>
    <t>=IF(K2966=0,"hide","")</t>
  </si>
  <si>
    <t>=D2965</t>
  </si>
  <si>
    <t>=NL("sum","Production Order","Quantity","Source No.",$D2966,"Equipment Code",$L2966,"due date",F$8)/-12</t>
  </si>
  <si>
    <t>=NL("sum","Production Order","Quantity","Source No.",$D2966,"Equipment Code",$L2966,"due date",G$8)/-12</t>
  </si>
  <si>
    <t>=NL("sum","Production Order","Quantity","Source No.",$D2966,"Equipment Code",$L2966,"due date",H$8)/-12</t>
  </si>
  <si>
    <t>=NL("sum","Production Order","Quantity","Source No.",$D2966,"Equipment Code",$L2966,"due date",I$8)/-12</t>
  </si>
  <si>
    <t>=NL("sum","Production Order","Quantity","Source No.",$D2966,"Equipment Code",$L2966,"due date",J$8)/$J$7</t>
  </si>
  <si>
    <t>=AVERAGE(I2966:J2966)</t>
  </si>
  <si>
    <t>=IF(K2967=0,"hide","")</t>
  </si>
  <si>
    <t>=D2966</t>
  </si>
  <si>
    <t>=NL("sum","Production Order","Quantity","Source No.",$D2967,"Equipment Code",$L2967,"due date",F$8)/-12</t>
  </si>
  <si>
    <t>=NL("sum","Production Order","Quantity","Source No.",$D2967,"Equipment Code",$L2967,"due date",G$8)/-12</t>
  </si>
  <si>
    <t>=NL("sum","Production Order","Quantity","Source No.",$D2967,"Equipment Code",$L2967,"due date",H$8)/-12</t>
  </si>
  <si>
    <t>=NL("sum","Production Order","Quantity","Source No.",$D2967,"Equipment Code",$L2967,"due date",I$8)/-12</t>
  </si>
  <si>
    <t>=NL("sum","Production Order","Quantity","Source No.",$D2967,"Equipment Code",$L2967,"due date",J$8)/$J$7</t>
  </si>
  <si>
    <t>=AVERAGE(I2967:J2967)</t>
  </si>
  <si>
    <t>=IF(K2968=0,"hide","")</t>
  </si>
  <si>
    <t>=D2967</t>
  </si>
  <si>
    <t>=NL("sum","Production Order","Quantity","Source No.",$D2968,"Equipment Code",$L2968,"due date",F$8)/-12</t>
  </si>
  <si>
    <t>=NL("sum","Production Order","Quantity","Source No.",$D2968,"Equipment Code",$L2968,"due date",G$8)/-12</t>
  </si>
  <si>
    <t>=NL("sum","Production Order","Quantity","Source No.",$D2968,"Equipment Code",$L2968,"due date",H$8)/-12</t>
  </si>
  <si>
    <t>=NL("sum","Production Order","Quantity","Source No.",$D2968,"Equipment Code",$L2968,"due date",I$8)/-12</t>
  </si>
  <si>
    <t>=NL("sum","Production Order","Quantity","Source No.",$D2968,"Equipment Code",$L2968,"due date",J$8)/$J$7</t>
  </si>
  <si>
    <t>=AVERAGE(I2968:J2968)</t>
  </si>
  <si>
    <t>=IF(K2969=0,"hide","")</t>
  </si>
  <si>
    <t>=D2968</t>
  </si>
  <si>
    <t>=NL("sum","Production Order","Quantity","Source No.",$D2969,"Equipment Code",$L2969,"due date",F$8)/-12</t>
  </si>
  <si>
    <t>=NL("sum","Production Order","Quantity","Source No.",$D2969,"Equipment Code",$L2969,"due date",G$8)/-12</t>
  </si>
  <si>
    <t>=NL("sum","Production Order","Quantity","Source No.",$D2969,"Equipment Code",$L2969,"due date",H$8)/-12</t>
  </si>
  <si>
    <t>=NL("sum","Production Order","Quantity","Source No.",$D2969,"Equipment Code",$L2969,"due date",I$8)/-12</t>
  </si>
  <si>
    <t>=NL("sum","Production Order","Quantity","Source No.",$D2969,"Equipment Code",$L2969,"due date",J$8)/$J$7</t>
  </si>
  <si>
    <t>=AVERAGE(I2969:J2969)</t>
  </si>
  <si>
    <t>=B2966</t>
  </si>
  <si>
    <t>=B2970</t>
  </si>
  <si>
    <t>=SUM(F2966:F2970)</t>
  </si>
  <si>
    <t>=SUM(G2966:G2970)</t>
  </si>
  <si>
    <t>=SUM(H2966:H2970)</t>
  </si>
  <si>
    <t>=SUM(I2966:I2970)</t>
  </si>
  <si>
    <t>=SUM(J2966:J2970)</t>
  </si>
  <si>
    <t>=IF(K2972=0,"hide","")</t>
  </si>
  <si>
    <t>="41410"</t>
  </si>
  <si>
    <t>=NL("rows","Production BOM Version","Version Code","Production BOM No.",D2972,"status","certified")</t>
  </si>
  <si>
    <t>=NL("sum","Item Ledger Entry","Quantity","Item No.",$D2972,"Entry Type","Sale|Consumption","posting date","01/01/19..12/31/19")/-12</t>
  </si>
  <si>
    <t>=NL("sum","Item Ledger Entry","Quantity","Item No.",$D2972,"Entry Type","Sale|Consumption","posting date","01/01/20..12/31/20")/-12</t>
  </si>
  <si>
    <t>=NL("sum","Item Ledger Entry","Quantity","Item No.",$D2972,"Entry Type","Sale|Consumption","posting date","01/01/21..12/31/21")/-12</t>
  </si>
  <si>
    <t>=NL("sum","Item Ledger Entry","Quantity","Item No.",$D2972,"Entry Type","Sale|Consumption","posting date","01/01/22..12/31/22")/-12</t>
  </si>
  <si>
    <t>=NL("sum","Item Ledger Entry","Quantity","Item No.",$D2972,"Entry Type","Sale|Consumption","posting date","01/01/23..12/31/23")/$J$7</t>
  </si>
  <si>
    <t>=AVERAGE(I2972:J2972)</t>
  </si>
  <si>
    <t>=NL(1,"item",L$9,"no.",D2972)</t>
  </si>
  <si>
    <t>=NL(1,"item",M$9,"no.",$D2972)</t>
  </si>
  <si>
    <t>=NL(1,"item","Units Per Parcel","no.",$D2972)</t>
  </si>
  <si>
    <t>=NL(1,"Prod. BOM Equipment","Fixed Prod. Time (Hours)","Production BOM No.",$D2972,"version code",$E2972,"Resource No.",O$9)</t>
  </si>
  <si>
    <t>=1/O2972</t>
  </si>
  <si>
    <t>=IF(NL(1,"Prod. BOM Equipment","Variable Prod. Time (Hours)","Production BOM No.",$D2972,"version code",$E2972,"Resource No.",$O$9)="",1,NL(1,"Prod. BOM Equipment","Variable Prod. Time (Hours)","Production BOM No.",$D2972,"version code",$E2972,"Resource No.",$O$9))</t>
  </si>
  <si>
    <t>=1/Q2972</t>
  </si>
  <si>
    <t>=R2972*N2972</t>
  </si>
  <si>
    <t>=IF(K2973=0,"hide","")</t>
  </si>
  <si>
    <t>=D2972</t>
  </si>
  <si>
    <t>=NL("sum","Production Order","Quantity","Source No.",$D2973,"Equipment Code",$L2973,"due date",F$8)/-12</t>
  </si>
  <si>
    <t>=NL("sum","Production Order","Quantity","Source No.",$D2973,"Equipment Code",$L2973,"due date",G$8)/-12</t>
  </si>
  <si>
    <t>=NL("sum","Production Order","Quantity","Source No.",$D2973,"Equipment Code",$L2973,"due date",H$8)/-12</t>
  </si>
  <si>
    <t>=NL("sum","Production Order","Quantity","Source No.",$D2973,"Equipment Code",$L2973,"due date",I$8)/-12</t>
  </si>
  <si>
    <t>=NL("sum","Production Order","Quantity","Source No.",$D2973,"Equipment Code",$L2973,"due date",J$8)/$J$7</t>
  </si>
  <si>
    <t>=AVERAGE(I2973:J2973)</t>
  </si>
  <si>
    <t>=IF(K2974=0,"hide","")</t>
  </si>
  <si>
    <t>=D2973</t>
  </si>
  <si>
    <t>=NL("sum","Production Order","Quantity","Source No.",$D2974,"Equipment Code",$L2974,"due date",F$8)/-12</t>
  </si>
  <si>
    <t>=NL("sum","Production Order","Quantity","Source No.",$D2974,"Equipment Code",$L2974,"due date",G$8)/-12</t>
  </si>
  <si>
    <t>=NL("sum","Production Order","Quantity","Source No.",$D2974,"Equipment Code",$L2974,"due date",H$8)/-12</t>
  </si>
  <si>
    <t>=NL("sum","Production Order","Quantity","Source No.",$D2974,"Equipment Code",$L2974,"due date",I$8)/-12</t>
  </si>
  <si>
    <t>=NL("sum","Production Order","Quantity","Source No.",$D2974,"Equipment Code",$L2974,"due date",J$8)/$J$7</t>
  </si>
  <si>
    <t>=AVERAGE(I2974:J2974)</t>
  </si>
  <si>
    <t>=IF(K2975=0,"hide","")</t>
  </si>
  <si>
    <t>=D2974</t>
  </si>
  <si>
    <t>=NL("sum","Production Order","Quantity","Source No.",$D2975,"Equipment Code",$L2975,"due date",F$8)/-12</t>
  </si>
  <si>
    <t>=NL("sum","Production Order","Quantity","Source No.",$D2975,"Equipment Code",$L2975,"due date",G$8)/-12</t>
  </si>
  <si>
    <t>=NL("sum","Production Order","Quantity","Source No.",$D2975,"Equipment Code",$L2975,"due date",H$8)/-12</t>
  </si>
  <si>
    <t>=NL("sum","Production Order","Quantity","Source No.",$D2975,"Equipment Code",$L2975,"due date",I$8)/-12</t>
  </si>
  <si>
    <t>=NL("sum","Production Order","Quantity","Source No.",$D2975,"Equipment Code",$L2975,"due date",J$8)/$J$7</t>
  </si>
  <si>
    <t>=AVERAGE(I2975:J2975)</t>
  </si>
  <si>
    <t>=IF(K2976=0,"hide","")</t>
  </si>
  <si>
    <t>=D2975</t>
  </si>
  <si>
    <t>=NL("sum","Production Order","Quantity","Source No.",$D2976,"Equipment Code",$L2976,"due date",F$8)/-12</t>
  </si>
  <si>
    <t>=NL("sum","Production Order","Quantity","Source No.",$D2976,"Equipment Code",$L2976,"due date",G$8)/-12</t>
  </si>
  <si>
    <t>=NL("sum","Production Order","Quantity","Source No.",$D2976,"Equipment Code",$L2976,"due date",H$8)/-12</t>
  </si>
  <si>
    <t>=NL("sum","Production Order","Quantity","Source No.",$D2976,"Equipment Code",$L2976,"due date",I$8)/-12</t>
  </si>
  <si>
    <t>=NL("sum","Production Order","Quantity","Source No.",$D2976,"Equipment Code",$L2976,"due date",J$8)/$J$7</t>
  </si>
  <si>
    <t>=AVERAGE(I2976:J2976)</t>
  </si>
  <si>
    <t>=B2973</t>
  </si>
  <si>
    <t>=B2977</t>
  </si>
  <si>
    <t>=SUM(F2973:F2977)</t>
  </si>
  <si>
    <t>=SUM(G2973:G2977)</t>
  </si>
  <si>
    <t>=SUM(H2973:H2977)</t>
  </si>
  <si>
    <t>=SUM(I2973:I2977)</t>
  </si>
  <si>
    <t>=SUM(J2973:J2977)</t>
  </si>
  <si>
    <t>=IF(K2979=0,"hide","")</t>
  </si>
  <si>
    <t>="41501"</t>
  </si>
  <si>
    <t>=NL("rows","Production BOM Version","Version Code","Production BOM No.",D2979,"status","certified")</t>
  </si>
  <si>
    <t>=NL("sum","Item Ledger Entry","Quantity","Item No.",$D2979,"Entry Type","Sale|Consumption","posting date","01/01/19..12/31/19")/-12</t>
  </si>
  <si>
    <t>=NL("sum","Item Ledger Entry","Quantity","Item No.",$D2979,"Entry Type","Sale|Consumption","posting date","01/01/20..12/31/20")/-12</t>
  </si>
  <si>
    <t>=NL("sum","Item Ledger Entry","Quantity","Item No.",$D2979,"Entry Type","Sale|Consumption","posting date","01/01/21..12/31/21")/-12</t>
  </si>
  <si>
    <t>=NL("sum","Item Ledger Entry","Quantity","Item No.",$D2979,"Entry Type","Sale|Consumption","posting date","01/01/22..12/31/22")/-12</t>
  </si>
  <si>
    <t>=NL("sum","Item Ledger Entry","Quantity","Item No.",$D2979,"Entry Type","Sale|Consumption","posting date","01/01/23..12/31/23")/$J$7</t>
  </si>
  <si>
    <t>=AVERAGE(I2979:J2979)</t>
  </si>
  <si>
    <t>=NL(1,"item",L$9,"no.",D2979)</t>
  </si>
  <si>
    <t>=NL(1,"item",M$9,"no.",$D2979)</t>
  </si>
  <si>
    <t>=NL(1,"item","Units Per Parcel","no.",$D2979)</t>
  </si>
  <si>
    <t>=NL(1,"Prod. BOM Equipment","Fixed Prod. Time (Hours)","Production BOM No.",$D2979,"version code",$E2979,"Resource No.",O$9)</t>
  </si>
  <si>
    <t>=1/O2979</t>
  </si>
  <si>
    <t>=IF(NL(1,"Prod. BOM Equipment","Variable Prod. Time (Hours)","Production BOM No.",$D2979,"version code",$E2979,"Resource No.",$O$9)="",1,NL(1,"Prod. BOM Equipment","Variable Prod. Time (Hours)","Production BOM No.",$D2979,"version code",$E2979,"Resource No.",$O$9))</t>
  </si>
  <si>
    <t>=1/Q2979</t>
  </si>
  <si>
    <t>=R2979*N2979</t>
  </si>
  <si>
    <t>=IF(K2980=0,"hide","")</t>
  </si>
  <si>
    <t>=D2979</t>
  </si>
  <si>
    <t>=NL("sum","Production Order","Quantity","Source No.",$D2980,"Equipment Code",$L2980,"due date",F$8)/-12</t>
  </si>
  <si>
    <t>=NL("sum","Production Order","Quantity","Source No.",$D2980,"Equipment Code",$L2980,"due date",G$8)/-12</t>
  </si>
  <si>
    <t>=NL("sum","Production Order","Quantity","Source No.",$D2980,"Equipment Code",$L2980,"due date",H$8)/-12</t>
  </si>
  <si>
    <t>=NL("sum","Production Order","Quantity","Source No.",$D2980,"Equipment Code",$L2980,"due date",I$8)/-12</t>
  </si>
  <si>
    <t>=NL("sum","Production Order","Quantity","Source No.",$D2980,"Equipment Code",$L2980,"due date",J$8)/$J$7</t>
  </si>
  <si>
    <t>=AVERAGE(I2980:J2980)</t>
  </si>
  <si>
    <t>=IF(K2981=0,"hide","")</t>
  </si>
  <si>
    <t>=D2980</t>
  </si>
  <si>
    <t>=NL("sum","Production Order","Quantity","Source No.",$D2981,"Equipment Code",$L2981,"due date",F$8)/-12</t>
  </si>
  <si>
    <t>=NL("sum","Production Order","Quantity","Source No.",$D2981,"Equipment Code",$L2981,"due date",G$8)/-12</t>
  </si>
  <si>
    <t>=NL("sum","Production Order","Quantity","Source No.",$D2981,"Equipment Code",$L2981,"due date",H$8)/-12</t>
  </si>
  <si>
    <t>=NL("sum","Production Order","Quantity","Source No.",$D2981,"Equipment Code",$L2981,"due date",I$8)/-12</t>
  </si>
  <si>
    <t>=NL("sum","Production Order","Quantity","Source No.",$D2981,"Equipment Code",$L2981,"due date",J$8)/$J$7</t>
  </si>
  <si>
    <t>=AVERAGE(I2981:J2981)</t>
  </si>
  <si>
    <t>=IF(K2982=0,"hide","")</t>
  </si>
  <si>
    <t>=D2981</t>
  </si>
  <si>
    <t>=NL("sum","Production Order","Quantity","Source No.",$D2982,"Equipment Code",$L2982,"due date",F$8)/-12</t>
  </si>
  <si>
    <t>=NL("sum","Production Order","Quantity","Source No.",$D2982,"Equipment Code",$L2982,"due date",G$8)/-12</t>
  </si>
  <si>
    <t>=NL("sum","Production Order","Quantity","Source No.",$D2982,"Equipment Code",$L2982,"due date",H$8)/-12</t>
  </si>
  <si>
    <t>=NL("sum","Production Order","Quantity","Source No.",$D2982,"Equipment Code",$L2982,"due date",I$8)/-12</t>
  </si>
  <si>
    <t>=NL("sum","Production Order","Quantity","Source No.",$D2982,"Equipment Code",$L2982,"due date",J$8)/$J$7</t>
  </si>
  <si>
    <t>=AVERAGE(I2982:J2982)</t>
  </si>
  <si>
    <t>=IF(K2983=0,"hide","")</t>
  </si>
  <si>
    <t>=D2982</t>
  </si>
  <si>
    <t>=NL("sum","Production Order","Quantity","Source No.",$D2983,"Equipment Code",$L2983,"due date",F$8)/-12</t>
  </si>
  <si>
    <t>=NL("sum","Production Order","Quantity","Source No.",$D2983,"Equipment Code",$L2983,"due date",G$8)/-12</t>
  </si>
  <si>
    <t>=NL("sum","Production Order","Quantity","Source No.",$D2983,"Equipment Code",$L2983,"due date",H$8)/-12</t>
  </si>
  <si>
    <t>=NL("sum","Production Order","Quantity","Source No.",$D2983,"Equipment Code",$L2983,"due date",I$8)/-12</t>
  </si>
  <si>
    <t>=NL("sum","Production Order","Quantity","Source No.",$D2983,"Equipment Code",$L2983,"due date",J$8)/$J$7</t>
  </si>
  <si>
    <t>=AVERAGE(I2983:J2983)</t>
  </si>
  <si>
    <t>=B2980</t>
  </si>
  <si>
    <t>=B2984</t>
  </si>
  <si>
    <t>=SUM(F2980:F2984)</t>
  </si>
  <si>
    <t>=SUM(G2980:G2984)</t>
  </si>
  <si>
    <t>=SUM(H2980:H2984)</t>
  </si>
  <si>
    <t>=SUM(I2980:I2984)</t>
  </si>
  <si>
    <t>=SUM(J2980:J2984)</t>
  </si>
  <si>
    <t>=IF(K2986=0,"hide","")</t>
  </si>
  <si>
    <t>="41505"</t>
  </si>
  <si>
    <t>=NL("rows","Production BOM Version","Version Code","Production BOM No.",D2986,"status","certified")</t>
  </si>
  <si>
    <t>=NL("sum","Item Ledger Entry","Quantity","Item No.",$D2986,"Entry Type","Sale|Consumption","posting date","01/01/19..12/31/19")/-12</t>
  </si>
  <si>
    <t>=NL("sum","Item Ledger Entry","Quantity","Item No.",$D2986,"Entry Type","Sale|Consumption","posting date","01/01/20..12/31/20")/-12</t>
  </si>
  <si>
    <t>=NL("sum","Item Ledger Entry","Quantity","Item No.",$D2986,"Entry Type","Sale|Consumption","posting date","01/01/21..12/31/21")/-12</t>
  </si>
  <si>
    <t>=NL("sum","Item Ledger Entry","Quantity","Item No.",$D2986,"Entry Type","Sale|Consumption","posting date","01/01/22..12/31/22")/-12</t>
  </si>
  <si>
    <t>=NL("sum","Item Ledger Entry","Quantity","Item No.",$D2986,"Entry Type","Sale|Consumption","posting date","01/01/23..12/31/23")/$J$7</t>
  </si>
  <si>
    <t>=AVERAGE(I2986:J2986)</t>
  </si>
  <si>
    <t>=NL(1,"item",L$9,"no.",D2986)</t>
  </si>
  <si>
    <t>=NL(1,"item",M$9,"no.",$D2986)</t>
  </si>
  <si>
    <t>=NL(1,"item","Units Per Parcel","no.",$D2986)</t>
  </si>
  <si>
    <t>=NL(1,"Prod. BOM Equipment","Fixed Prod. Time (Hours)","Production BOM No.",$D2986,"version code",$E2986,"Resource No.",O$9)</t>
  </si>
  <si>
    <t>=1/O2986</t>
  </si>
  <si>
    <t>=IF(NL(1,"Prod. BOM Equipment","Variable Prod. Time (Hours)","Production BOM No.",$D2986,"version code",$E2986,"Resource No.",$O$9)="",1,NL(1,"Prod. BOM Equipment","Variable Prod. Time (Hours)","Production BOM No.",$D2986,"version code",$E2986,"Resource No.",$O$9))</t>
  </si>
  <si>
    <t>=1/Q2986</t>
  </si>
  <si>
    <t>=R2986*N2986</t>
  </si>
  <si>
    <t>=IF(K2987=0,"hide","")</t>
  </si>
  <si>
    <t>=D2986</t>
  </si>
  <si>
    <t>=NL("sum","Production Order","Quantity","Source No.",$D2987,"Equipment Code",$L2987,"due date",F$8)/-12</t>
  </si>
  <si>
    <t>=NL("sum","Production Order","Quantity","Source No.",$D2987,"Equipment Code",$L2987,"due date",G$8)/-12</t>
  </si>
  <si>
    <t>=NL("sum","Production Order","Quantity","Source No.",$D2987,"Equipment Code",$L2987,"due date",H$8)/-12</t>
  </si>
  <si>
    <t>=NL("sum","Production Order","Quantity","Source No.",$D2987,"Equipment Code",$L2987,"due date",I$8)/-12</t>
  </si>
  <si>
    <t>=NL("sum","Production Order","Quantity","Source No.",$D2987,"Equipment Code",$L2987,"due date",J$8)/$J$7</t>
  </si>
  <si>
    <t>=AVERAGE(I2987:J2987)</t>
  </si>
  <si>
    <t>=IF(K2988=0,"hide","")</t>
  </si>
  <si>
    <t>=D2987</t>
  </si>
  <si>
    <t>=NL("sum","Production Order","Quantity","Source No.",$D2988,"Equipment Code",$L2988,"due date",F$8)/-12</t>
  </si>
  <si>
    <t>=NL("sum","Production Order","Quantity","Source No.",$D2988,"Equipment Code",$L2988,"due date",G$8)/-12</t>
  </si>
  <si>
    <t>=NL("sum","Production Order","Quantity","Source No.",$D2988,"Equipment Code",$L2988,"due date",H$8)/-12</t>
  </si>
  <si>
    <t>=NL("sum","Production Order","Quantity","Source No.",$D2988,"Equipment Code",$L2988,"due date",I$8)/-12</t>
  </si>
  <si>
    <t>=NL("sum","Production Order","Quantity","Source No.",$D2988,"Equipment Code",$L2988,"due date",J$8)/$J$7</t>
  </si>
  <si>
    <t>=AVERAGE(I2988:J2988)</t>
  </si>
  <si>
    <t>=IF(K2989=0,"hide","")</t>
  </si>
  <si>
    <t>=D2988</t>
  </si>
  <si>
    <t>=NL("sum","Production Order","Quantity","Source No.",$D2989,"Equipment Code",$L2989,"due date",F$8)/-12</t>
  </si>
  <si>
    <t>=NL("sum","Production Order","Quantity","Source No.",$D2989,"Equipment Code",$L2989,"due date",G$8)/-12</t>
  </si>
  <si>
    <t>=NL("sum","Production Order","Quantity","Source No.",$D2989,"Equipment Code",$L2989,"due date",H$8)/-12</t>
  </si>
  <si>
    <t>=NL("sum","Production Order","Quantity","Source No.",$D2989,"Equipment Code",$L2989,"due date",I$8)/-12</t>
  </si>
  <si>
    <t>=NL("sum","Production Order","Quantity","Source No.",$D2989,"Equipment Code",$L2989,"due date",J$8)/$J$7</t>
  </si>
  <si>
    <t>=AVERAGE(I2989:J2989)</t>
  </si>
  <si>
    <t>=IF(K2990=0,"hide","")</t>
  </si>
  <si>
    <t>=D2989</t>
  </si>
  <si>
    <t>=NL("sum","Production Order","Quantity","Source No.",$D2990,"Equipment Code",$L2990,"due date",F$8)/-12</t>
  </si>
  <si>
    <t>=NL("sum","Production Order","Quantity","Source No.",$D2990,"Equipment Code",$L2990,"due date",G$8)/-12</t>
  </si>
  <si>
    <t>=NL("sum","Production Order","Quantity","Source No.",$D2990,"Equipment Code",$L2990,"due date",H$8)/-12</t>
  </si>
  <si>
    <t>=NL("sum","Production Order","Quantity","Source No.",$D2990,"Equipment Code",$L2990,"due date",I$8)/-12</t>
  </si>
  <si>
    <t>=NL("sum","Production Order","Quantity","Source No.",$D2990,"Equipment Code",$L2990,"due date",J$8)/$J$7</t>
  </si>
  <si>
    <t>=AVERAGE(I2990:J2990)</t>
  </si>
  <si>
    <t>=B2987</t>
  </si>
  <si>
    <t>=B2991</t>
  </si>
  <si>
    <t>=SUM(F2987:F2991)</t>
  </si>
  <si>
    <t>=SUM(G2987:G2991)</t>
  </si>
  <si>
    <t>=SUM(H2987:H2991)</t>
  </si>
  <si>
    <t>=SUM(I2987:I2991)</t>
  </si>
  <si>
    <t>=SUM(J2987:J2991)</t>
  </si>
  <si>
    <t>=IF(K2993=0,"hide","")</t>
  </si>
  <si>
    <t>="41510"</t>
  </si>
  <si>
    <t>=NL("rows","Production BOM Version","Version Code","Production BOM No.",D2993,"status","certified")</t>
  </si>
  <si>
    <t>=NL("sum","Item Ledger Entry","Quantity","Item No.",$D2993,"Entry Type","Sale|Consumption","posting date","01/01/19..12/31/19")/-12</t>
  </si>
  <si>
    <t>=NL("sum","Item Ledger Entry","Quantity","Item No.",$D2993,"Entry Type","Sale|Consumption","posting date","01/01/20..12/31/20")/-12</t>
  </si>
  <si>
    <t>=NL("sum","Item Ledger Entry","Quantity","Item No.",$D2993,"Entry Type","Sale|Consumption","posting date","01/01/21..12/31/21")/-12</t>
  </si>
  <si>
    <t>=NL("sum","Item Ledger Entry","Quantity","Item No.",$D2993,"Entry Type","Sale|Consumption","posting date","01/01/22..12/31/22")/-12</t>
  </si>
  <si>
    <t>=NL("sum","Item Ledger Entry","Quantity","Item No.",$D2993,"Entry Type","Sale|Consumption","posting date","01/01/23..12/31/23")/$J$7</t>
  </si>
  <si>
    <t>=AVERAGE(I2993:J2993)</t>
  </si>
  <si>
    <t>=NL(1,"item",L$9,"no.",D2993)</t>
  </si>
  <si>
    <t>=NL(1,"item",M$9,"no.",$D2993)</t>
  </si>
  <si>
    <t>=NL(1,"item","Units Per Parcel","no.",$D2993)</t>
  </si>
  <si>
    <t>=NL(1,"Prod. BOM Equipment","Fixed Prod. Time (Hours)","Production BOM No.",$D2993,"version code",$E2993,"Resource No.",O$9)</t>
  </si>
  <si>
    <t>=1/O2993</t>
  </si>
  <si>
    <t>=IF(NL(1,"Prod. BOM Equipment","Variable Prod. Time (Hours)","Production BOM No.",$D2993,"version code",$E2993,"Resource No.",$O$9)="",1,NL(1,"Prod. BOM Equipment","Variable Prod. Time (Hours)","Production BOM No.",$D2993,"version code",$E2993,"Resource No.",$O$9))</t>
  </si>
  <si>
    <t>=1/Q2993</t>
  </si>
  <si>
    <t>=R2993*N2993</t>
  </si>
  <si>
    <t>=IF(K2994=0,"hide","")</t>
  </si>
  <si>
    <t>=D2993</t>
  </si>
  <si>
    <t>=NL("sum","Production Order","Quantity","Source No.",$D2994,"Equipment Code",$L2994,"due date",F$8)/-12</t>
  </si>
  <si>
    <t>=NL("sum","Production Order","Quantity","Source No.",$D2994,"Equipment Code",$L2994,"due date",G$8)/-12</t>
  </si>
  <si>
    <t>=NL("sum","Production Order","Quantity","Source No.",$D2994,"Equipment Code",$L2994,"due date",H$8)/-12</t>
  </si>
  <si>
    <t>=NL("sum","Production Order","Quantity","Source No.",$D2994,"Equipment Code",$L2994,"due date",I$8)/-12</t>
  </si>
  <si>
    <t>=NL("sum","Production Order","Quantity","Source No.",$D2994,"Equipment Code",$L2994,"due date",J$8)/$J$7</t>
  </si>
  <si>
    <t>=AVERAGE(I2994:J2994)</t>
  </si>
  <si>
    <t>=IF(K2995=0,"hide","")</t>
  </si>
  <si>
    <t>=D2994</t>
  </si>
  <si>
    <t>=NL("sum","Production Order","Quantity","Source No.",$D2995,"Equipment Code",$L2995,"due date",F$8)/-12</t>
  </si>
  <si>
    <t>=NL("sum","Production Order","Quantity","Source No.",$D2995,"Equipment Code",$L2995,"due date",G$8)/-12</t>
  </si>
  <si>
    <t>=NL("sum","Production Order","Quantity","Source No.",$D2995,"Equipment Code",$L2995,"due date",H$8)/-12</t>
  </si>
  <si>
    <t>=NL("sum","Production Order","Quantity","Source No.",$D2995,"Equipment Code",$L2995,"due date",I$8)/-12</t>
  </si>
  <si>
    <t>=NL("sum","Production Order","Quantity","Source No.",$D2995,"Equipment Code",$L2995,"due date",J$8)/$J$7</t>
  </si>
  <si>
    <t>=AVERAGE(I2995:J2995)</t>
  </si>
  <si>
    <t>=IF(K2996=0,"hide","")</t>
  </si>
  <si>
    <t>=D2995</t>
  </si>
  <si>
    <t>=NL("sum","Production Order","Quantity","Source No.",$D2996,"Equipment Code",$L2996,"due date",F$8)/-12</t>
  </si>
  <si>
    <t>=NL("sum","Production Order","Quantity","Source No.",$D2996,"Equipment Code",$L2996,"due date",G$8)/-12</t>
  </si>
  <si>
    <t>=NL("sum","Production Order","Quantity","Source No.",$D2996,"Equipment Code",$L2996,"due date",H$8)/-12</t>
  </si>
  <si>
    <t>=NL("sum","Production Order","Quantity","Source No.",$D2996,"Equipment Code",$L2996,"due date",I$8)/-12</t>
  </si>
  <si>
    <t>=NL("sum","Production Order","Quantity","Source No.",$D2996,"Equipment Code",$L2996,"due date",J$8)/$J$7</t>
  </si>
  <si>
    <t>=AVERAGE(I2996:J2996)</t>
  </si>
  <si>
    <t>=IF(K2997=0,"hide","")</t>
  </si>
  <si>
    <t>=D2996</t>
  </si>
  <si>
    <t>=NL("sum","Production Order","Quantity","Source No.",$D2997,"Equipment Code",$L2997,"due date",F$8)/-12</t>
  </si>
  <si>
    <t>=NL("sum","Production Order","Quantity","Source No.",$D2997,"Equipment Code",$L2997,"due date",G$8)/-12</t>
  </si>
  <si>
    <t>=NL("sum","Production Order","Quantity","Source No.",$D2997,"Equipment Code",$L2997,"due date",H$8)/-12</t>
  </si>
  <si>
    <t>=NL("sum","Production Order","Quantity","Source No.",$D2997,"Equipment Code",$L2997,"due date",I$8)/-12</t>
  </si>
  <si>
    <t>=NL("sum","Production Order","Quantity","Source No.",$D2997,"Equipment Code",$L2997,"due date",J$8)/$J$7</t>
  </si>
  <si>
    <t>=AVERAGE(I2997:J2997)</t>
  </si>
  <si>
    <t>=B2994</t>
  </si>
  <si>
    <t>=B2998</t>
  </si>
  <si>
    <t>=SUM(F2994:F2998)</t>
  </si>
  <si>
    <t>=SUM(G2994:G2998)</t>
  </si>
  <si>
    <t>=SUM(H2994:H2998)</t>
  </si>
  <si>
    <t>=SUM(I2994:I2998)</t>
  </si>
  <si>
    <t>=SUM(J2994:J2998)</t>
  </si>
  <si>
    <t>=IF(K3000=0,"hide","")</t>
  </si>
  <si>
    <t>="41521"</t>
  </si>
  <si>
    <t>=NL("rows","Production BOM Version","Version Code","Production BOM No.",D3000,"status","certified")</t>
  </si>
  <si>
    <t>=NL("sum","Item Ledger Entry","Quantity","Item No.",$D3000,"Entry Type","Sale|Consumption","posting date","01/01/19..12/31/19")/-12</t>
  </si>
  <si>
    <t>=NL("sum","Item Ledger Entry","Quantity","Item No.",$D3000,"Entry Type","Sale|Consumption","posting date","01/01/20..12/31/20")/-12</t>
  </si>
  <si>
    <t>=NL("sum","Item Ledger Entry","Quantity","Item No.",$D3000,"Entry Type","Sale|Consumption","posting date","01/01/21..12/31/21")/-12</t>
  </si>
  <si>
    <t>=NL("sum","Item Ledger Entry","Quantity","Item No.",$D3000,"Entry Type","Sale|Consumption","posting date","01/01/22..12/31/22")/-12</t>
  </si>
  <si>
    <t>=NL("sum","Item Ledger Entry","Quantity","Item No.",$D3000,"Entry Type","Sale|Consumption","posting date","01/01/23..12/31/23")/$J$7</t>
  </si>
  <si>
    <t>=AVERAGE(I3000:J3000)</t>
  </si>
  <si>
    <t>=NL(1,"item",L$9,"no.",D3000)</t>
  </si>
  <si>
    <t>=NL(1,"item",M$9,"no.",$D3000)</t>
  </si>
  <si>
    <t>=NL(1,"item","Units Per Parcel","no.",$D3000)</t>
  </si>
  <si>
    <t>=NL(1,"Prod. BOM Equipment","Fixed Prod. Time (Hours)","Production BOM No.",$D3000,"version code",$E3000,"Resource No.",O$9)</t>
  </si>
  <si>
    <t>=1/O3000</t>
  </si>
  <si>
    <t>=IF(NL(1,"Prod. BOM Equipment","Variable Prod. Time (Hours)","Production BOM No.",$D3000,"version code",$E3000,"Resource No.",$O$9)="",1,NL(1,"Prod. BOM Equipment","Variable Prod. Time (Hours)","Production BOM No.",$D3000,"version code",$E3000,"Resource No.",$O$9))</t>
  </si>
  <si>
    <t>=1/Q3000</t>
  </si>
  <si>
    <t>=R3000*N3000</t>
  </si>
  <si>
    <t>=IF(K3001=0,"hide","")</t>
  </si>
  <si>
    <t>=D3000</t>
  </si>
  <si>
    <t>=NL("sum","Production Order","Quantity","Source No.",$D3001,"Equipment Code",$L3001,"due date",F$8)/-12</t>
  </si>
  <si>
    <t>=NL("sum","Production Order","Quantity","Source No.",$D3001,"Equipment Code",$L3001,"due date",G$8)/-12</t>
  </si>
  <si>
    <t>=NL("sum","Production Order","Quantity","Source No.",$D3001,"Equipment Code",$L3001,"due date",H$8)/-12</t>
  </si>
  <si>
    <t>=NL("sum","Production Order","Quantity","Source No.",$D3001,"Equipment Code",$L3001,"due date",I$8)/-12</t>
  </si>
  <si>
    <t>=NL("sum","Production Order","Quantity","Source No.",$D3001,"Equipment Code",$L3001,"due date",J$8)/$J$7</t>
  </si>
  <si>
    <t>=AVERAGE(I3001:J3001)</t>
  </si>
  <si>
    <t>=IF(K3002=0,"hide","")</t>
  </si>
  <si>
    <t>=D3001</t>
  </si>
  <si>
    <t>=NL("sum","Production Order","Quantity","Source No.",$D3002,"Equipment Code",$L3002,"due date",F$8)/-12</t>
  </si>
  <si>
    <t>=NL("sum","Production Order","Quantity","Source No.",$D3002,"Equipment Code",$L3002,"due date",G$8)/-12</t>
  </si>
  <si>
    <t>=NL("sum","Production Order","Quantity","Source No.",$D3002,"Equipment Code",$L3002,"due date",H$8)/-12</t>
  </si>
  <si>
    <t>=NL("sum","Production Order","Quantity","Source No.",$D3002,"Equipment Code",$L3002,"due date",I$8)/-12</t>
  </si>
  <si>
    <t>=NL("sum","Production Order","Quantity","Source No.",$D3002,"Equipment Code",$L3002,"due date",J$8)/$J$7</t>
  </si>
  <si>
    <t>=AVERAGE(I3002:J3002)</t>
  </si>
  <si>
    <t>=IF(K3003=0,"hide","")</t>
  </si>
  <si>
    <t>=D3002</t>
  </si>
  <si>
    <t>=NL("sum","Production Order","Quantity","Source No.",$D3003,"Equipment Code",$L3003,"due date",F$8)/-12</t>
  </si>
  <si>
    <t>=NL("sum","Production Order","Quantity","Source No.",$D3003,"Equipment Code",$L3003,"due date",G$8)/-12</t>
  </si>
  <si>
    <t>=NL("sum","Production Order","Quantity","Source No.",$D3003,"Equipment Code",$L3003,"due date",H$8)/-12</t>
  </si>
  <si>
    <t>=NL("sum","Production Order","Quantity","Source No.",$D3003,"Equipment Code",$L3003,"due date",I$8)/-12</t>
  </si>
  <si>
    <t>=NL("sum","Production Order","Quantity","Source No.",$D3003,"Equipment Code",$L3003,"due date",J$8)/$J$7</t>
  </si>
  <si>
    <t>=AVERAGE(I3003:J3003)</t>
  </si>
  <si>
    <t>=IF(K3004=0,"hide","")</t>
  </si>
  <si>
    <t>=D3003</t>
  </si>
  <si>
    <t>=NL("sum","Production Order","Quantity","Source No.",$D3004,"Equipment Code",$L3004,"due date",F$8)/-12</t>
  </si>
  <si>
    <t>=NL("sum","Production Order","Quantity","Source No.",$D3004,"Equipment Code",$L3004,"due date",G$8)/-12</t>
  </si>
  <si>
    <t>=NL("sum","Production Order","Quantity","Source No.",$D3004,"Equipment Code",$L3004,"due date",H$8)/-12</t>
  </si>
  <si>
    <t>=NL("sum","Production Order","Quantity","Source No.",$D3004,"Equipment Code",$L3004,"due date",I$8)/-12</t>
  </si>
  <si>
    <t>=NL("sum","Production Order","Quantity","Source No.",$D3004,"Equipment Code",$L3004,"due date",J$8)/$J$7</t>
  </si>
  <si>
    <t>=AVERAGE(I3004:J3004)</t>
  </si>
  <si>
    <t>=B3001</t>
  </si>
  <si>
    <t>=B3005</t>
  </si>
  <si>
    <t>=SUM(F3001:F3005)</t>
  </si>
  <si>
    <t>=SUM(G3001:G3005)</t>
  </si>
  <si>
    <t>=SUM(H3001:H3005)</t>
  </si>
  <si>
    <t>=SUM(I3001:I3005)</t>
  </si>
  <si>
    <t>=SUM(J3001:J3005)</t>
  </si>
  <si>
    <t>=IF(K3007=0,"hide","")</t>
  </si>
  <si>
    <t>="41522"</t>
  </si>
  <si>
    <t>=NL("rows","Production BOM Version","Version Code","Production BOM No.",D3007,"status","certified")</t>
  </si>
  <si>
    <t>=NL("sum","Item Ledger Entry","Quantity","Item No.",$D3007,"Entry Type","Sale|Consumption","posting date","01/01/19..12/31/19")/-12</t>
  </si>
  <si>
    <t>=NL("sum","Item Ledger Entry","Quantity","Item No.",$D3007,"Entry Type","Sale|Consumption","posting date","01/01/20..12/31/20")/-12</t>
  </si>
  <si>
    <t>=NL("sum","Item Ledger Entry","Quantity","Item No.",$D3007,"Entry Type","Sale|Consumption","posting date","01/01/21..12/31/21")/-12</t>
  </si>
  <si>
    <t>=NL("sum","Item Ledger Entry","Quantity","Item No.",$D3007,"Entry Type","Sale|Consumption","posting date","01/01/22..12/31/22")/-12</t>
  </si>
  <si>
    <t>=NL("sum","Item Ledger Entry","Quantity","Item No.",$D3007,"Entry Type","Sale|Consumption","posting date","01/01/23..12/31/23")/$J$7</t>
  </si>
  <si>
    <t>=AVERAGE(I3007:J3007)</t>
  </si>
  <si>
    <t>=NL(1,"item",L$9,"no.",D3007)</t>
  </si>
  <si>
    <t>=NL(1,"item",M$9,"no.",$D3007)</t>
  </si>
  <si>
    <t>=NL(1,"item","Units Per Parcel","no.",$D3007)</t>
  </si>
  <si>
    <t>=NL(1,"Prod. BOM Equipment","Fixed Prod. Time (Hours)","Production BOM No.",$D3007,"version code",$E3007,"Resource No.",O$9)</t>
  </si>
  <si>
    <t>=1/O3007</t>
  </si>
  <si>
    <t>=IF(NL(1,"Prod. BOM Equipment","Variable Prod. Time (Hours)","Production BOM No.",$D3007,"version code",$E3007,"Resource No.",$O$9)="",1,NL(1,"Prod. BOM Equipment","Variable Prod. Time (Hours)","Production BOM No.",$D3007,"version code",$E3007,"Resource No.",$O$9))</t>
  </si>
  <si>
    <t>=1/Q3007</t>
  </si>
  <si>
    <t>=R3007*N3007</t>
  </si>
  <si>
    <t>=IF(K3008=0,"hide","")</t>
  </si>
  <si>
    <t>=D3007</t>
  </si>
  <si>
    <t>=NL("sum","Production Order","Quantity","Source No.",$D3008,"Equipment Code",$L3008,"due date",F$8)/-12</t>
  </si>
  <si>
    <t>=NL("sum","Production Order","Quantity","Source No.",$D3008,"Equipment Code",$L3008,"due date",G$8)/-12</t>
  </si>
  <si>
    <t>=NL("sum","Production Order","Quantity","Source No.",$D3008,"Equipment Code",$L3008,"due date",H$8)/-12</t>
  </si>
  <si>
    <t>=NL("sum","Production Order","Quantity","Source No.",$D3008,"Equipment Code",$L3008,"due date",I$8)/-12</t>
  </si>
  <si>
    <t>=NL("sum","Production Order","Quantity","Source No.",$D3008,"Equipment Code",$L3008,"due date",J$8)/$J$7</t>
  </si>
  <si>
    <t>=AVERAGE(I3008:J3008)</t>
  </si>
  <si>
    <t>=IF(K3009=0,"hide","")</t>
  </si>
  <si>
    <t>=D3008</t>
  </si>
  <si>
    <t>=NL("sum","Production Order","Quantity","Source No.",$D3009,"Equipment Code",$L3009,"due date",F$8)/-12</t>
  </si>
  <si>
    <t>=NL("sum","Production Order","Quantity","Source No.",$D3009,"Equipment Code",$L3009,"due date",G$8)/-12</t>
  </si>
  <si>
    <t>=NL("sum","Production Order","Quantity","Source No.",$D3009,"Equipment Code",$L3009,"due date",H$8)/-12</t>
  </si>
  <si>
    <t>=NL("sum","Production Order","Quantity","Source No.",$D3009,"Equipment Code",$L3009,"due date",I$8)/-12</t>
  </si>
  <si>
    <t>=NL("sum","Production Order","Quantity","Source No.",$D3009,"Equipment Code",$L3009,"due date",J$8)/$J$7</t>
  </si>
  <si>
    <t>=AVERAGE(I3009:J3009)</t>
  </si>
  <si>
    <t>=IF(K3010=0,"hide","")</t>
  </si>
  <si>
    <t>=D3009</t>
  </si>
  <si>
    <t>=NL("sum","Production Order","Quantity","Source No.",$D3010,"Equipment Code",$L3010,"due date",F$8)/-12</t>
  </si>
  <si>
    <t>=NL("sum","Production Order","Quantity","Source No.",$D3010,"Equipment Code",$L3010,"due date",G$8)/-12</t>
  </si>
  <si>
    <t>=NL("sum","Production Order","Quantity","Source No.",$D3010,"Equipment Code",$L3010,"due date",H$8)/-12</t>
  </si>
  <si>
    <t>=NL("sum","Production Order","Quantity","Source No.",$D3010,"Equipment Code",$L3010,"due date",I$8)/-12</t>
  </si>
  <si>
    <t>=NL("sum","Production Order","Quantity","Source No.",$D3010,"Equipment Code",$L3010,"due date",J$8)/$J$7</t>
  </si>
  <si>
    <t>=AVERAGE(I3010:J3010)</t>
  </si>
  <si>
    <t>=IF(K3011=0,"hide","")</t>
  </si>
  <si>
    <t>=D3010</t>
  </si>
  <si>
    <t>=NL("sum","Production Order","Quantity","Source No.",$D3011,"Equipment Code",$L3011,"due date",F$8)/-12</t>
  </si>
  <si>
    <t>=NL("sum","Production Order","Quantity","Source No.",$D3011,"Equipment Code",$L3011,"due date",G$8)/-12</t>
  </si>
  <si>
    <t>=NL("sum","Production Order","Quantity","Source No.",$D3011,"Equipment Code",$L3011,"due date",H$8)/-12</t>
  </si>
  <si>
    <t>=NL("sum","Production Order","Quantity","Source No.",$D3011,"Equipment Code",$L3011,"due date",I$8)/-12</t>
  </si>
  <si>
    <t>=NL("sum","Production Order","Quantity","Source No.",$D3011,"Equipment Code",$L3011,"due date",J$8)/$J$7</t>
  </si>
  <si>
    <t>=AVERAGE(I3011:J3011)</t>
  </si>
  <si>
    <t>=B3008</t>
  </si>
  <si>
    <t>=B3012</t>
  </si>
  <si>
    <t>=SUM(F3008:F3012)</t>
  </si>
  <si>
    <t>=SUM(G3008:G3012)</t>
  </si>
  <si>
    <t>=SUM(H3008:H3012)</t>
  </si>
  <si>
    <t>=SUM(I3008:I3012)</t>
  </si>
  <si>
    <t>=SUM(J3008:J3012)</t>
  </si>
  <si>
    <t>=IF(K3014=0,"hide","")</t>
  </si>
  <si>
    <t>="41548"</t>
  </si>
  <si>
    <t>=NL("rows","Production BOM Version","Version Code","Production BOM No.",D3014,"status","certified")</t>
  </si>
  <si>
    <t>=NL("sum","Item Ledger Entry","Quantity","Item No.",$D3014,"Entry Type","Sale|Consumption","posting date","01/01/19..12/31/19")/-12</t>
  </si>
  <si>
    <t>=NL("sum","Item Ledger Entry","Quantity","Item No.",$D3014,"Entry Type","Sale|Consumption","posting date","01/01/20..12/31/20")/-12</t>
  </si>
  <si>
    <t>=NL("sum","Item Ledger Entry","Quantity","Item No.",$D3014,"Entry Type","Sale|Consumption","posting date","01/01/21..12/31/21")/-12</t>
  </si>
  <si>
    <t>=NL("sum","Item Ledger Entry","Quantity","Item No.",$D3014,"Entry Type","Sale|Consumption","posting date","01/01/22..12/31/22")/-12</t>
  </si>
  <si>
    <t>=NL("sum","Item Ledger Entry","Quantity","Item No.",$D3014,"Entry Type","Sale|Consumption","posting date","01/01/23..12/31/23")/$J$7</t>
  </si>
  <si>
    <t>=AVERAGE(I3014:J3014)</t>
  </si>
  <si>
    <t>=NL(1,"item",L$9,"no.",D3014)</t>
  </si>
  <si>
    <t>=NL(1,"item",M$9,"no.",$D3014)</t>
  </si>
  <si>
    <t>=NL(1,"item","Units Per Parcel","no.",$D3014)</t>
  </si>
  <si>
    <t>=NL(1,"Prod. BOM Equipment","Fixed Prod. Time (Hours)","Production BOM No.",$D3014,"version code",$E3014,"Resource No.",O$9)</t>
  </si>
  <si>
    <t>=1/O3014</t>
  </si>
  <si>
    <t>=IF(NL(1,"Prod. BOM Equipment","Variable Prod. Time (Hours)","Production BOM No.",$D3014,"version code",$E3014,"Resource No.",$O$9)="",1,NL(1,"Prod. BOM Equipment","Variable Prod. Time (Hours)","Production BOM No.",$D3014,"version code",$E3014,"Resource No.",$O$9))</t>
  </si>
  <si>
    <t>=1/Q3014</t>
  </si>
  <si>
    <t>=R3014*N3014</t>
  </si>
  <si>
    <t>=IF(K3015=0,"hide","")</t>
  </si>
  <si>
    <t>=D3014</t>
  </si>
  <si>
    <t>=NL("sum","Production Order","Quantity","Source No.",$D3015,"Equipment Code",$L3015,"due date",F$8)/-12</t>
  </si>
  <si>
    <t>=NL("sum","Production Order","Quantity","Source No.",$D3015,"Equipment Code",$L3015,"due date",G$8)/-12</t>
  </si>
  <si>
    <t>=NL("sum","Production Order","Quantity","Source No.",$D3015,"Equipment Code",$L3015,"due date",H$8)/-12</t>
  </si>
  <si>
    <t>=NL("sum","Production Order","Quantity","Source No.",$D3015,"Equipment Code",$L3015,"due date",I$8)/-12</t>
  </si>
  <si>
    <t>=NL("sum","Production Order","Quantity","Source No.",$D3015,"Equipment Code",$L3015,"due date",J$8)/$J$7</t>
  </si>
  <si>
    <t>=AVERAGE(I3015:J3015)</t>
  </si>
  <si>
    <t>=IF(K3016=0,"hide","")</t>
  </si>
  <si>
    <t>=D3015</t>
  </si>
  <si>
    <t>=NL("sum","Production Order","Quantity","Source No.",$D3016,"Equipment Code",$L3016,"due date",F$8)/-12</t>
  </si>
  <si>
    <t>=NL("sum","Production Order","Quantity","Source No.",$D3016,"Equipment Code",$L3016,"due date",G$8)/-12</t>
  </si>
  <si>
    <t>=NL("sum","Production Order","Quantity","Source No.",$D3016,"Equipment Code",$L3016,"due date",H$8)/-12</t>
  </si>
  <si>
    <t>=NL("sum","Production Order","Quantity","Source No.",$D3016,"Equipment Code",$L3016,"due date",I$8)/-12</t>
  </si>
  <si>
    <t>=NL("sum","Production Order","Quantity","Source No.",$D3016,"Equipment Code",$L3016,"due date",J$8)/$J$7</t>
  </si>
  <si>
    <t>=AVERAGE(I3016:J3016)</t>
  </si>
  <si>
    <t>=IF(K3017=0,"hide","")</t>
  </si>
  <si>
    <t>=D3016</t>
  </si>
  <si>
    <t>=NL("sum","Production Order","Quantity","Source No.",$D3017,"Equipment Code",$L3017,"due date",F$8)/-12</t>
  </si>
  <si>
    <t>=NL("sum","Production Order","Quantity","Source No.",$D3017,"Equipment Code",$L3017,"due date",G$8)/-12</t>
  </si>
  <si>
    <t>=NL("sum","Production Order","Quantity","Source No.",$D3017,"Equipment Code",$L3017,"due date",H$8)/-12</t>
  </si>
  <si>
    <t>=NL("sum","Production Order","Quantity","Source No.",$D3017,"Equipment Code",$L3017,"due date",I$8)/-12</t>
  </si>
  <si>
    <t>=NL("sum","Production Order","Quantity","Source No.",$D3017,"Equipment Code",$L3017,"due date",J$8)/$J$7</t>
  </si>
  <si>
    <t>=AVERAGE(I3017:J3017)</t>
  </si>
  <si>
    <t>=IF(K3018=0,"hide","")</t>
  </si>
  <si>
    <t>=D3017</t>
  </si>
  <si>
    <t>=NL("sum","Production Order","Quantity","Source No.",$D3018,"Equipment Code",$L3018,"due date",F$8)/-12</t>
  </si>
  <si>
    <t>=NL("sum","Production Order","Quantity","Source No.",$D3018,"Equipment Code",$L3018,"due date",G$8)/-12</t>
  </si>
  <si>
    <t>=NL("sum","Production Order","Quantity","Source No.",$D3018,"Equipment Code",$L3018,"due date",H$8)/-12</t>
  </si>
  <si>
    <t>=NL("sum","Production Order","Quantity","Source No.",$D3018,"Equipment Code",$L3018,"due date",I$8)/-12</t>
  </si>
  <si>
    <t>=NL("sum","Production Order","Quantity","Source No.",$D3018,"Equipment Code",$L3018,"due date",J$8)/$J$7</t>
  </si>
  <si>
    <t>=AVERAGE(I3018:J3018)</t>
  </si>
  <si>
    <t>=B3015</t>
  </si>
  <si>
    <t>=B3019</t>
  </si>
  <si>
    <t>=SUM(F3015:F3019)</t>
  </si>
  <si>
    <t>=SUM(G3015:G3019)</t>
  </si>
  <si>
    <t>=SUM(H3015:H3019)</t>
  </si>
  <si>
    <t>=SUM(I3015:I3019)</t>
  </si>
  <si>
    <t>=SUM(J3015:J3019)</t>
  </si>
  <si>
    <t>=IF(K3021=0,"hide","")</t>
  </si>
  <si>
    <t>="41667"</t>
  </si>
  <si>
    <t>=NL("rows","Production BOM Version","Version Code","Production BOM No.",D3021,"status","certified")</t>
  </si>
  <si>
    <t>=NL("sum","Item Ledger Entry","Quantity","Item No.",$D3021,"Entry Type","Sale|Consumption","posting date","01/01/19..12/31/19")/-12</t>
  </si>
  <si>
    <t>=NL("sum","Item Ledger Entry","Quantity","Item No.",$D3021,"Entry Type","Sale|Consumption","posting date","01/01/20..12/31/20")/-12</t>
  </si>
  <si>
    <t>=NL("sum","Item Ledger Entry","Quantity","Item No.",$D3021,"Entry Type","Sale|Consumption","posting date","01/01/21..12/31/21")/-12</t>
  </si>
  <si>
    <t>=NL("sum","Item Ledger Entry","Quantity","Item No.",$D3021,"Entry Type","Sale|Consumption","posting date","01/01/22..12/31/22")/-12</t>
  </si>
  <si>
    <t>=NL("sum","Item Ledger Entry","Quantity","Item No.",$D3021,"Entry Type","Sale|Consumption","posting date","01/01/23..12/31/23")/$J$7</t>
  </si>
  <si>
    <t>=AVERAGE(I3021:J3021)</t>
  </si>
  <si>
    <t>=NL(1,"item",L$9,"no.",D3021)</t>
  </si>
  <si>
    <t>=NL(1,"item",M$9,"no.",$D3021)</t>
  </si>
  <si>
    <t>=NL(1,"item","Units Per Parcel","no.",$D3021)</t>
  </si>
  <si>
    <t>=NL(1,"Prod. BOM Equipment","Fixed Prod. Time (Hours)","Production BOM No.",$D3021,"version code",$E3021,"Resource No.",O$9)</t>
  </si>
  <si>
    <t>=1/O3021</t>
  </si>
  <si>
    <t>=IF(NL(1,"Prod. BOM Equipment","Variable Prod. Time (Hours)","Production BOM No.",$D3021,"version code",$E3021,"Resource No.",$O$9)="",1,NL(1,"Prod. BOM Equipment","Variable Prod. Time (Hours)","Production BOM No.",$D3021,"version code",$E3021,"Resource No.",$O$9))</t>
  </si>
  <si>
    <t>=1/Q3021</t>
  </si>
  <si>
    <t>=R3021*N3021</t>
  </si>
  <si>
    <t>=IF(K3022=0,"hide","")</t>
  </si>
  <si>
    <t>=D3021</t>
  </si>
  <si>
    <t>=NL("sum","Production Order","Quantity","Source No.",$D3022,"Equipment Code",$L3022,"due date",F$8)/-12</t>
  </si>
  <si>
    <t>=NL("sum","Production Order","Quantity","Source No.",$D3022,"Equipment Code",$L3022,"due date",G$8)/-12</t>
  </si>
  <si>
    <t>=NL("sum","Production Order","Quantity","Source No.",$D3022,"Equipment Code",$L3022,"due date",H$8)/-12</t>
  </si>
  <si>
    <t>=NL("sum","Production Order","Quantity","Source No.",$D3022,"Equipment Code",$L3022,"due date",I$8)/-12</t>
  </si>
  <si>
    <t>=NL("sum","Production Order","Quantity","Source No.",$D3022,"Equipment Code",$L3022,"due date",J$8)/$J$7</t>
  </si>
  <si>
    <t>=AVERAGE(I3022:J3022)</t>
  </si>
  <si>
    <t>=IF(K3023=0,"hide","")</t>
  </si>
  <si>
    <t>=D3022</t>
  </si>
  <si>
    <t>=NL("sum","Production Order","Quantity","Source No.",$D3023,"Equipment Code",$L3023,"due date",F$8)/-12</t>
  </si>
  <si>
    <t>=NL("sum","Production Order","Quantity","Source No.",$D3023,"Equipment Code",$L3023,"due date",G$8)/-12</t>
  </si>
  <si>
    <t>=NL("sum","Production Order","Quantity","Source No.",$D3023,"Equipment Code",$L3023,"due date",H$8)/-12</t>
  </si>
  <si>
    <t>=NL("sum","Production Order","Quantity","Source No.",$D3023,"Equipment Code",$L3023,"due date",I$8)/-12</t>
  </si>
  <si>
    <t>=NL("sum","Production Order","Quantity","Source No.",$D3023,"Equipment Code",$L3023,"due date",J$8)/$J$7</t>
  </si>
  <si>
    <t>=AVERAGE(I3023:J3023)</t>
  </si>
  <si>
    <t>=IF(K3024=0,"hide","")</t>
  </si>
  <si>
    <t>=D3023</t>
  </si>
  <si>
    <t>=NL("sum","Production Order","Quantity","Source No.",$D3024,"Equipment Code",$L3024,"due date",F$8)/-12</t>
  </si>
  <si>
    <t>=NL("sum","Production Order","Quantity","Source No.",$D3024,"Equipment Code",$L3024,"due date",G$8)/-12</t>
  </si>
  <si>
    <t>=NL("sum","Production Order","Quantity","Source No.",$D3024,"Equipment Code",$L3024,"due date",H$8)/-12</t>
  </si>
  <si>
    <t>=NL("sum","Production Order","Quantity","Source No.",$D3024,"Equipment Code",$L3024,"due date",I$8)/-12</t>
  </si>
  <si>
    <t>=NL("sum","Production Order","Quantity","Source No.",$D3024,"Equipment Code",$L3024,"due date",J$8)/$J$7</t>
  </si>
  <si>
    <t>=AVERAGE(I3024:J3024)</t>
  </si>
  <si>
    <t>=IF(K3025=0,"hide","")</t>
  </si>
  <si>
    <t>=D3024</t>
  </si>
  <si>
    <t>=NL("sum","Production Order","Quantity","Source No.",$D3025,"Equipment Code",$L3025,"due date",F$8)/-12</t>
  </si>
  <si>
    <t>=NL("sum","Production Order","Quantity","Source No.",$D3025,"Equipment Code",$L3025,"due date",G$8)/-12</t>
  </si>
  <si>
    <t>=NL("sum","Production Order","Quantity","Source No.",$D3025,"Equipment Code",$L3025,"due date",H$8)/-12</t>
  </si>
  <si>
    <t>=NL("sum","Production Order","Quantity","Source No.",$D3025,"Equipment Code",$L3025,"due date",I$8)/-12</t>
  </si>
  <si>
    <t>=NL("sum","Production Order","Quantity","Source No.",$D3025,"Equipment Code",$L3025,"due date",J$8)/$J$7</t>
  </si>
  <si>
    <t>=AVERAGE(I3025:J3025)</t>
  </si>
  <si>
    <t>=B3022</t>
  </si>
  <si>
    <t>=B3026</t>
  </si>
  <si>
    <t>=SUM(F3022:F3026)</t>
  </si>
  <si>
    <t>=SUM(G3022:G3026)</t>
  </si>
  <si>
    <t>=SUM(H3022:H3026)</t>
  </si>
  <si>
    <t>=SUM(I3022:I3026)</t>
  </si>
  <si>
    <t>=SUM(J3022:J3026)</t>
  </si>
  <si>
    <t>=IF(K3028=0,"hide","")</t>
  </si>
  <si>
    <t>="41673"</t>
  </si>
  <si>
    <t>=NL("rows","Production BOM Version","Version Code","Production BOM No.",D3028,"status","certified")</t>
  </si>
  <si>
    <t>=NL("sum","Item Ledger Entry","Quantity","Item No.",$D3028,"Entry Type","Sale|Consumption","posting date","01/01/19..12/31/19")/-12</t>
  </si>
  <si>
    <t>=NL("sum","Item Ledger Entry","Quantity","Item No.",$D3028,"Entry Type","Sale|Consumption","posting date","01/01/20..12/31/20")/-12</t>
  </si>
  <si>
    <t>=NL("sum","Item Ledger Entry","Quantity","Item No.",$D3028,"Entry Type","Sale|Consumption","posting date","01/01/21..12/31/21")/-12</t>
  </si>
  <si>
    <t>=NL("sum","Item Ledger Entry","Quantity","Item No.",$D3028,"Entry Type","Sale|Consumption","posting date","01/01/22..12/31/22")/-12</t>
  </si>
  <si>
    <t>=NL("sum","Item Ledger Entry","Quantity","Item No.",$D3028,"Entry Type","Sale|Consumption","posting date","01/01/23..12/31/23")/$J$7</t>
  </si>
  <si>
    <t>=AVERAGE(I3028:J3028)</t>
  </si>
  <si>
    <t>=NL(1,"item",L$9,"no.",D3028)</t>
  </si>
  <si>
    <t>=NL(1,"item",M$9,"no.",$D3028)</t>
  </si>
  <si>
    <t>=NL(1,"item","Units Per Parcel","no.",$D3028)</t>
  </si>
  <si>
    <t>=NL(1,"Prod. BOM Equipment","Fixed Prod. Time (Hours)","Production BOM No.",$D3028,"version code",$E3028,"Resource No.",O$9)</t>
  </si>
  <si>
    <t>=1/O3028</t>
  </si>
  <si>
    <t>=IF(NL(1,"Prod. BOM Equipment","Variable Prod. Time (Hours)","Production BOM No.",$D3028,"version code",$E3028,"Resource No.",$O$9)="",1,NL(1,"Prod. BOM Equipment","Variable Prod. Time (Hours)","Production BOM No.",$D3028,"version code",$E3028,"Resource No.",$O$9))</t>
  </si>
  <si>
    <t>=1/Q3028</t>
  </si>
  <si>
    <t>=R3028*N3028</t>
  </si>
  <si>
    <t>=IF(K3029=0,"hide","")</t>
  </si>
  <si>
    <t>=D3028</t>
  </si>
  <si>
    <t>=NL("sum","Production Order","Quantity","Source No.",$D3029,"Equipment Code",$L3029,"due date",F$8)/-12</t>
  </si>
  <si>
    <t>=NL("sum","Production Order","Quantity","Source No.",$D3029,"Equipment Code",$L3029,"due date",G$8)/-12</t>
  </si>
  <si>
    <t>=NL("sum","Production Order","Quantity","Source No.",$D3029,"Equipment Code",$L3029,"due date",H$8)/-12</t>
  </si>
  <si>
    <t>=NL("sum","Production Order","Quantity","Source No.",$D3029,"Equipment Code",$L3029,"due date",I$8)/-12</t>
  </si>
  <si>
    <t>=NL("sum","Production Order","Quantity","Source No.",$D3029,"Equipment Code",$L3029,"due date",J$8)/$J$7</t>
  </si>
  <si>
    <t>=AVERAGE(I3029:J3029)</t>
  </si>
  <si>
    <t>=IF(K3030=0,"hide","")</t>
  </si>
  <si>
    <t>=D3029</t>
  </si>
  <si>
    <t>=NL("sum","Production Order","Quantity","Source No.",$D3030,"Equipment Code",$L3030,"due date",F$8)/-12</t>
  </si>
  <si>
    <t>=NL("sum","Production Order","Quantity","Source No.",$D3030,"Equipment Code",$L3030,"due date",G$8)/-12</t>
  </si>
  <si>
    <t>=NL("sum","Production Order","Quantity","Source No.",$D3030,"Equipment Code",$L3030,"due date",H$8)/-12</t>
  </si>
  <si>
    <t>=NL("sum","Production Order","Quantity","Source No.",$D3030,"Equipment Code",$L3030,"due date",I$8)/-12</t>
  </si>
  <si>
    <t>=NL("sum","Production Order","Quantity","Source No.",$D3030,"Equipment Code",$L3030,"due date",J$8)/$J$7</t>
  </si>
  <si>
    <t>=AVERAGE(I3030:J3030)</t>
  </si>
  <si>
    <t>=IF(K3031=0,"hide","")</t>
  </si>
  <si>
    <t>=D3030</t>
  </si>
  <si>
    <t>=NL("sum","Production Order","Quantity","Source No.",$D3031,"Equipment Code",$L3031,"due date",F$8)/-12</t>
  </si>
  <si>
    <t>=NL("sum","Production Order","Quantity","Source No.",$D3031,"Equipment Code",$L3031,"due date",G$8)/-12</t>
  </si>
  <si>
    <t>=NL("sum","Production Order","Quantity","Source No.",$D3031,"Equipment Code",$L3031,"due date",H$8)/-12</t>
  </si>
  <si>
    <t>=NL("sum","Production Order","Quantity","Source No.",$D3031,"Equipment Code",$L3031,"due date",I$8)/-12</t>
  </si>
  <si>
    <t>=NL("sum","Production Order","Quantity","Source No.",$D3031,"Equipment Code",$L3031,"due date",J$8)/$J$7</t>
  </si>
  <si>
    <t>=AVERAGE(I3031:J3031)</t>
  </si>
  <si>
    <t>=IF(K3032=0,"hide","")</t>
  </si>
  <si>
    <t>=D3031</t>
  </si>
  <si>
    <t>=NL("sum","Production Order","Quantity","Source No.",$D3032,"Equipment Code",$L3032,"due date",F$8)/-12</t>
  </si>
  <si>
    <t>=NL("sum","Production Order","Quantity","Source No.",$D3032,"Equipment Code",$L3032,"due date",G$8)/-12</t>
  </si>
  <si>
    <t>=NL("sum","Production Order","Quantity","Source No.",$D3032,"Equipment Code",$L3032,"due date",H$8)/-12</t>
  </si>
  <si>
    <t>=NL("sum","Production Order","Quantity","Source No.",$D3032,"Equipment Code",$L3032,"due date",I$8)/-12</t>
  </si>
  <si>
    <t>=NL("sum","Production Order","Quantity","Source No.",$D3032,"Equipment Code",$L3032,"due date",J$8)/$J$7</t>
  </si>
  <si>
    <t>=AVERAGE(I3032:J3032)</t>
  </si>
  <si>
    <t>=B3029</t>
  </si>
  <si>
    <t>=B3033</t>
  </si>
  <si>
    <t>=SUM(F3029:F3033)</t>
  </si>
  <si>
    <t>=SUM(G3029:G3033)</t>
  </si>
  <si>
    <t>=SUM(H3029:H3033)</t>
  </si>
  <si>
    <t>=SUM(I3029:I3033)</t>
  </si>
  <si>
    <t>=SUM(J3029:J3033)</t>
  </si>
  <si>
    <t>=IF(K3035=0,"hide","")</t>
  </si>
  <si>
    <t>="41701"</t>
  </si>
  <si>
    <t>=NL("rows","Production BOM Version","Version Code","Production BOM No.",D3035,"status","certified")</t>
  </si>
  <si>
    <t>=NL("sum","Item Ledger Entry","Quantity","Item No.",$D3035,"Entry Type","Sale|Consumption","posting date","01/01/19..12/31/19")/-12</t>
  </si>
  <si>
    <t>=NL("sum","Item Ledger Entry","Quantity","Item No.",$D3035,"Entry Type","Sale|Consumption","posting date","01/01/20..12/31/20")/-12</t>
  </si>
  <si>
    <t>=NL("sum","Item Ledger Entry","Quantity","Item No.",$D3035,"Entry Type","Sale|Consumption","posting date","01/01/21..12/31/21")/-12</t>
  </si>
  <si>
    <t>=NL("sum","Item Ledger Entry","Quantity","Item No.",$D3035,"Entry Type","Sale|Consumption","posting date","01/01/22..12/31/22")/-12</t>
  </si>
  <si>
    <t>=NL("sum","Item Ledger Entry","Quantity","Item No.",$D3035,"Entry Type","Sale|Consumption","posting date","01/01/23..12/31/23")/$J$7</t>
  </si>
  <si>
    <t>=AVERAGE(I3035:J3035)</t>
  </si>
  <si>
    <t>=NL(1,"item",L$9,"no.",D3035)</t>
  </si>
  <si>
    <t>=NL(1,"item",M$9,"no.",$D3035)</t>
  </si>
  <si>
    <t>=NL(1,"item","Units Per Parcel","no.",$D3035)</t>
  </si>
  <si>
    <t>=NL(1,"Prod. BOM Equipment","Fixed Prod. Time (Hours)","Production BOM No.",$D3035,"version code",$E3035,"Resource No.",O$9)</t>
  </si>
  <si>
    <t>=1/O3035</t>
  </si>
  <si>
    <t>=IF(NL(1,"Prod. BOM Equipment","Variable Prod. Time (Hours)","Production BOM No.",$D3035,"version code",$E3035,"Resource No.",$O$9)="",1,NL(1,"Prod. BOM Equipment","Variable Prod. Time (Hours)","Production BOM No.",$D3035,"version code",$E3035,"Resource No.",$O$9))</t>
  </si>
  <si>
    <t>=1/Q3035</t>
  </si>
  <si>
    <t>=R3035*N3035</t>
  </si>
  <si>
    <t>=IF(K3036=0,"hide","")</t>
  </si>
  <si>
    <t>=D3035</t>
  </si>
  <si>
    <t>=NL("sum","Production Order","Quantity","Source No.",$D3036,"Equipment Code",$L3036,"due date",F$8)/-12</t>
  </si>
  <si>
    <t>=NL("sum","Production Order","Quantity","Source No.",$D3036,"Equipment Code",$L3036,"due date",G$8)/-12</t>
  </si>
  <si>
    <t>=NL("sum","Production Order","Quantity","Source No.",$D3036,"Equipment Code",$L3036,"due date",H$8)/-12</t>
  </si>
  <si>
    <t>=NL("sum","Production Order","Quantity","Source No.",$D3036,"Equipment Code",$L3036,"due date",I$8)/-12</t>
  </si>
  <si>
    <t>=NL("sum","Production Order","Quantity","Source No.",$D3036,"Equipment Code",$L3036,"due date",J$8)/$J$7</t>
  </si>
  <si>
    <t>=AVERAGE(I3036:J3036)</t>
  </si>
  <si>
    <t>=IF(K3037=0,"hide","")</t>
  </si>
  <si>
    <t>=D3036</t>
  </si>
  <si>
    <t>=NL("sum","Production Order","Quantity","Source No.",$D3037,"Equipment Code",$L3037,"due date",F$8)/-12</t>
  </si>
  <si>
    <t>=NL("sum","Production Order","Quantity","Source No.",$D3037,"Equipment Code",$L3037,"due date",G$8)/-12</t>
  </si>
  <si>
    <t>=NL("sum","Production Order","Quantity","Source No.",$D3037,"Equipment Code",$L3037,"due date",H$8)/-12</t>
  </si>
  <si>
    <t>=NL("sum","Production Order","Quantity","Source No.",$D3037,"Equipment Code",$L3037,"due date",I$8)/-12</t>
  </si>
  <si>
    <t>=NL("sum","Production Order","Quantity","Source No.",$D3037,"Equipment Code",$L3037,"due date",J$8)/$J$7</t>
  </si>
  <si>
    <t>=AVERAGE(I3037:J3037)</t>
  </si>
  <si>
    <t>=IF(K3038=0,"hide","")</t>
  </si>
  <si>
    <t>=D3037</t>
  </si>
  <si>
    <t>=NL("sum","Production Order","Quantity","Source No.",$D3038,"Equipment Code",$L3038,"due date",F$8)/-12</t>
  </si>
  <si>
    <t>=NL("sum","Production Order","Quantity","Source No.",$D3038,"Equipment Code",$L3038,"due date",G$8)/-12</t>
  </si>
  <si>
    <t>=NL("sum","Production Order","Quantity","Source No.",$D3038,"Equipment Code",$L3038,"due date",H$8)/-12</t>
  </si>
  <si>
    <t>=NL("sum","Production Order","Quantity","Source No.",$D3038,"Equipment Code",$L3038,"due date",I$8)/-12</t>
  </si>
  <si>
    <t>=NL("sum","Production Order","Quantity","Source No.",$D3038,"Equipment Code",$L3038,"due date",J$8)/$J$7</t>
  </si>
  <si>
    <t>=AVERAGE(I3038:J3038)</t>
  </si>
  <si>
    <t>=IF(K3039=0,"hide","")</t>
  </si>
  <si>
    <t>=D3038</t>
  </si>
  <si>
    <t>=NL("sum","Production Order","Quantity","Source No.",$D3039,"Equipment Code",$L3039,"due date",F$8)/-12</t>
  </si>
  <si>
    <t>=NL("sum","Production Order","Quantity","Source No.",$D3039,"Equipment Code",$L3039,"due date",G$8)/-12</t>
  </si>
  <si>
    <t>=NL("sum","Production Order","Quantity","Source No.",$D3039,"Equipment Code",$L3039,"due date",H$8)/-12</t>
  </si>
  <si>
    <t>=NL("sum","Production Order","Quantity","Source No.",$D3039,"Equipment Code",$L3039,"due date",I$8)/-12</t>
  </si>
  <si>
    <t>=NL("sum","Production Order","Quantity","Source No.",$D3039,"Equipment Code",$L3039,"due date",J$8)/$J$7</t>
  </si>
  <si>
    <t>=AVERAGE(I3039:J3039)</t>
  </si>
  <si>
    <t>=B3036</t>
  </si>
  <si>
    <t>=B3040</t>
  </si>
  <si>
    <t>=SUM(F3036:F3040)</t>
  </si>
  <si>
    <t>=SUM(G3036:G3040)</t>
  </si>
  <si>
    <t>=SUM(H3036:H3040)</t>
  </si>
  <si>
    <t>=SUM(I3036:I3040)</t>
  </si>
  <si>
    <t>=SUM(J3036:J3040)</t>
  </si>
  <si>
    <t>=IF(K3042=0,"hide","")</t>
  </si>
  <si>
    <t>="41705"</t>
  </si>
  <si>
    <t>=NL("rows","Production BOM Version","Version Code","Production BOM No.",D3042,"status","certified")</t>
  </si>
  <si>
    <t>=NL("sum","Item Ledger Entry","Quantity","Item No.",$D3042,"Entry Type","Sale|Consumption","posting date","01/01/19..12/31/19")/-12</t>
  </si>
  <si>
    <t>=NL("sum","Item Ledger Entry","Quantity","Item No.",$D3042,"Entry Type","Sale|Consumption","posting date","01/01/20..12/31/20")/-12</t>
  </si>
  <si>
    <t>=NL("sum","Item Ledger Entry","Quantity","Item No.",$D3042,"Entry Type","Sale|Consumption","posting date","01/01/21..12/31/21")/-12</t>
  </si>
  <si>
    <t>=NL("sum","Item Ledger Entry","Quantity","Item No.",$D3042,"Entry Type","Sale|Consumption","posting date","01/01/22..12/31/22")/-12</t>
  </si>
  <si>
    <t>=NL("sum","Item Ledger Entry","Quantity","Item No.",$D3042,"Entry Type","Sale|Consumption","posting date","01/01/23..12/31/23")/$J$7</t>
  </si>
  <si>
    <t>=AVERAGE(I3042:J3042)</t>
  </si>
  <si>
    <t>=NL(1,"item",L$9,"no.",D3042)</t>
  </si>
  <si>
    <t>=NL(1,"item",M$9,"no.",$D3042)</t>
  </si>
  <si>
    <t>=NL(1,"item","Units Per Parcel","no.",$D3042)</t>
  </si>
  <si>
    <t>=NL(1,"Prod. BOM Equipment","Fixed Prod. Time (Hours)","Production BOM No.",$D3042,"version code",$E3042,"Resource No.",O$9)</t>
  </si>
  <si>
    <t>=1/O3042</t>
  </si>
  <si>
    <t>=IF(NL(1,"Prod. BOM Equipment","Variable Prod. Time (Hours)","Production BOM No.",$D3042,"version code",$E3042,"Resource No.",$O$9)="",1,NL(1,"Prod. BOM Equipment","Variable Prod. Time (Hours)","Production BOM No.",$D3042,"version code",$E3042,"Resource No.",$O$9))</t>
  </si>
  <si>
    <t>=1/Q3042</t>
  </si>
  <si>
    <t>=R3042*N3042</t>
  </si>
  <si>
    <t>=IF(K3043=0,"hide","")</t>
  </si>
  <si>
    <t>=D3042</t>
  </si>
  <si>
    <t>=NL("sum","Production Order","Quantity","Source No.",$D3043,"Equipment Code",$L3043,"due date",F$8)/-12</t>
  </si>
  <si>
    <t>=NL("sum","Production Order","Quantity","Source No.",$D3043,"Equipment Code",$L3043,"due date",G$8)/-12</t>
  </si>
  <si>
    <t>=NL("sum","Production Order","Quantity","Source No.",$D3043,"Equipment Code",$L3043,"due date",H$8)/-12</t>
  </si>
  <si>
    <t>=NL("sum","Production Order","Quantity","Source No.",$D3043,"Equipment Code",$L3043,"due date",I$8)/-12</t>
  </si>
  <si>
    <t>=NL("sum","Production Order","Quantity","Source No.",$D3043,"Equipment Code",$L3043,"due date",J$8)/$J$7</t>
  </si>
  <si>
    <t>=AVERAGE(I3043:J3043)</t>
  </si>
  <si>
    <t>=IF(K3044=0,"hide","")</t>
  </si>
  <si>
    <t>=D3043</t>
  </si>
  <si>
    <t>=NL("sum","Production Order","Quantity","Source No.",$D3044,"Equipment Code",$L3044,"due date",F$8)/-12</t>
  </si>
  <si>
    <t>=NL("sum","Production Order","Quantity","Source No.",$D3044,"Equipment Code",$L3044,"due date",G$8)/-12</t>
  </si>
  <si>
    <t>=NL("sum","Production Order","Quantity","Source No.",$D3044,"Equipment Code",$L3044,"due date",H$8)/-12</t>
  </si>
  <si>
    <t>=NL("sum","Production Order","Quantity","Source No.",$D3044,"Equipment Code",$L3044,"due date",I$8)/-12</t>
  </si>
  <si>
    <t>=NL("sum","Production Order","Quantity","Source No.",$D3044,"Equipment Code",$L3044,"due date",J$8)/$J$7</t>
  </si>
  <si>
    <t>=AVERAGE(I3044:J3044)</t>
  </si>
  <si>
    <t>=IF(K3045=0,"hide","")</t>
  </si>
  <si>
    <t>=D3044</t>
  </si>
  <si>
    <t>=NL("sum","Production Order","Quantity","Source No.",$D3045,"Equipment Code",$L3045,"due date",F$8)/-12</t>
  </si>
  <si>
    <t>=NL("sum","Production Order","Quantity","Source No.",$D3045,"Equipment Code",$L3045,"due date",G$8)/-12</t>
  </si>
  <si>
    <t>=NL("sum","Production Order","Quantity","Source No.",$D3045,"Equipment Code",$L3045,"due date",H$8)/-12</t>
  </si>
  <si>
    <t>=NL("sum","Production Order","Quantity","Source No.",$D3045,"Equipment Code",$L3045,"due date",I$8)/-12</t>
  </si>
  <si>
    <t>=NL("sum","Production Order","Quantity","Source No.",$D3045,"Equipment Code",$L3045,"due date",J$8)/$J$7</t>
  </si>
  <si>
    <t>=AVERAGE(I3045:J3045)</t>
  </si>
  <si>
    <t>=IF(K3046=0,"hide","")</t>
  </si>
  <si>
    <t>=D3045</t>
  </si>
  <si>
    <t>=NL("sum","Production Order","Quantity","Source No.",$D3046,"Equipment Code",$L3046,"due date",F$8)/-12</t>
  </si>
  <si>
    <t>=NL("sum","Production Order","Quantity","Source No.",$D3046,"Equipment Code",$L3046,"due date",G$8)/-12</t>
  </si>
  <si>
    <t>=NL("sum","Production Order","Quantity","Source No.",$D3046,"Equipment Code",$L3046,"due date",H$8)/-12</t>
  </si>
  <si>
    <t>=NL("sum","Production Order","Quantity","Source No.",$D3046,"Equipment Code",$L3046,"due date",I$8)/-12</t>
  </si>
  <si>
    <t>=NL("sum","Production Order","Quantity","Source No.",$D3046,"Equipment Code",$L3046,"due date",J$8)/$J$7</t>
  </si>
  <si>
    <t>=AVERAGE(I3046:J3046)</t>
  </si>
  <si>
    <t>=B3043</t>
  </si>
  <si>
    <t>=B3047</t>
  </si>
  <si>
    <t>=SUM(F3043:F3047)</t>
  </si>
  <si>
    <t>=SUM(G3043:G3047)</t>
  </si>
  <si>
    <t>=SUM(H3043:H3047)</t>
  </si>
  <si>
    <t>=SUM(I3043:I3047)</t>
  </si>
  <si>
    <t>=SUM(J3043:J3047)</t>
  </si>
  <si>
    <t>=IF(K3049=0,"hide","")</t>
  </si>
  <si>
    <t>="42101"</t>
  </si>
  <si>
    <t>=NL("rows","Production BOM Version","Version Code","Production BOM No.",D3049,"status","certified")</t>
  </si>
  <si>
    <t>=NL("sum","Item Ledger Entry","Quantity","Item No.",$D3049,"Entry Type","Sale|Consumption","posting date","01/01/19..12/31/19")/-12</t>
  </si>
  <si>
    <t>=NL("sum","Item Ledger Entry","Quantity","Item No.",$D3049,"Entry Type","Sale|Consumption","posting date","01/01/20..12/31/20")/-12</t>
  </si>
  <si>
    <t>=NL("sum","Item Ledger Entry","Quantity","Item No.",$D3049,"Entry Type","Sale|Consumption","posting date","01/01/21..12/31/21")/-12</t>
  </si>
  <si>
    <t>=NL("sum","Item Ledger Entry","Quantity","Item No.",$D3049,"Entry Type","Sale|Consumption","posting date","01/01/22..12/31/22")/-12</t>
  </si>
  <si>
    <t>=NL("sum","Item Ledger Entry","Quantity","Item No.",$D3049,"Entry Type","Sale|Consumption","posting date","01/01/23..12/31/23")/$J$7</t>
  </si>
  <si>
    <t>=AVERAGE(I3049:J3049)</t>
  </si>
  <si>
    <t>=NL(1,"item",L$9,"no.",D3049)</t>
  </si>
  <si>
    <t>=NL(1,"item",M$9,"no.",$D3049)</t>
  </si>
  <si>
    <t>=NL(1,"item","Units Per Parcel","no.",$D3049)</t>
  </si>
  <si>
    <t>=NL(1,"Prod. BOM Equipment","Fixed Prod. Time (Hours)","Production BOM No.",$D3049,"version code",$E3049,"Resource No.",O$9)</t>
  </si>
  <si>
    <t>=1/O3049</t>
  </si>
  <si>
    <t>=IF(NL(1,"Prod. BOM Equipment","Variable Prod. Time (Hours)","Production BOM No.",$D3049,"version code",$E3049,"Resource No.",$O$9)="",1,NL(1,"Prod. BOM Equipment","Variable Prod. Time (Hours)","Production BOM No.",$D3049,"version code",$E3049,"Resource No.",$O$9))</t>
  </si>
  <si>
    <t>=1/Q3049</t>
  </si>
  <si>
    <t>=R3049*N3049</t>
  </si>
  <si>
    <t>=IF(K3050=0,"hide","")</t>
  </si>
  <si>
    <t>=D3049</t>
  </si>
  <si>
    <t>=NL("sum","Production Order","Quantity","Source No.",$D3050,"Equipment Code",$L3050,"due date",F$8)/-12</t>
  </si>
  <si>
    <t>=NL("sum","Production Order","Quantity","Source No.",$D3050,"Equipment Code",$L3050,"due date",G$8)/-12</t>
  </si>
  <si>
    <t>=NL("sum","Production Order","Quantity","Source No.",$D3050,"Equipment Code",$L3050,"due date",H$8)/-12</t>
  </si>
  <si>
    <t>=NL("sum","Production Order","Quantity","Source No.",$D3050,"Equipment Code",$L3050,"due date",I$8)/-12</t>
  </si>
  <si>
    <t>=NL("sum","Production Order","Quantity","Source No.",$D3050,"Equipment Code",$L3050,"due date",J$8)/$J$7</t>
  </si>
  <si>
    <t>=AVERAGE(I3050:J3050)</t>
  </si>
  <si>
    <t>=IF(K3051=0,"hide","")</t>
  </si>
  <si>
    <t>=D3050</t>
  </si>
  <si>
    <t>=NL("sum","Production Order","Quantity","Source No.",$D3051,"Equipment Code",$L3051,"due date",F$8)/-12</t>
  </si>
  <si>
    <t>=NL("sum","Production Order","Quantity","Source No.",$D3051,"Equipment Code",$L3051,"due date",G$8)/-12</t>
  </si>
  <si>
    <t>=NL("sum","Production Order","Quantity","Source No.",$D3051,"Equipment Code",$L3051,"due date",H$8)/-12</t>
  </si>
  <si>
    <t>=NL("sum","Production Order","Quantity","Source No.",$D3051,"Equipment Code",$L3051,"due date",I$8)/-12</t>
  </si>
  <si>
    <t>=NL("sum","Production Order","Quantity","Source No.",$D3051,"Equipment Code",$L3051,"due date",J$8)/$J$7</t>
  </si>
  <si>
    <t>=AVERAGE(I3051:J3051)</t>
  </si>
  <si>
    <t>=IF(K3052=0,"hide","")</t>
  </si>
  <si>
    <t>=D3051</t>
  </si>
  <si>
    <t>=NL("sum","Production Order","Quantity","Source No.",$D3052,"Equipment Code",$L3052,"due date",F$8)/-12</t>
  </si>
  <si>
    <t>=NL("sum","Production Order","Quantity","Source No.",$D3052,"Equipment Code",$L3052,"due date",G$8)/-12</t>
  </si>
  <si>
    <t>=NL("sum","Production Order","Quantity","Source No.",$D3052,"Equipment Code",$L3052,"due date",H$8)/-12</t>
  </si>
  <si>
    <t>=NL("sum","Production Order","Quantity","Source No.",$D3052,"Equipment Code",$L3052,"due date",I$8)/-12</t>
  </si>
  <si>
    <t>=NL("sum","Production Order","Quantity","Source No.",$D3052,"Equipment Code",$L3052,"due date",J$8)/$J$7</t>
  </si>
  <si>
    <t>=AVERAGE(I3052:J3052)</t>
  </si>
  <si>
    <t>=IF(K3053=0,"hide","")</t>
  </si>
  <si>
    <t>=D3052</t>
  </si>
  <si>
    <t>=NL("sum","Production Order","Quantity","Source No.",$D3053,"Equipment Code",$L3053,"due date",F$8)/-12</t>
  </si>
  <si>
    <t>=NL("sum","Production Order","Quantity","Source No.",$D3053,"Equipment Code",$L3053,"due date",G$8)/-12</t>
  </si>
  <si>
    <t>=NL("sum","Production Order","Quantity","Source No.",$D3053,"Equipment Code",$L3053,"due date",H$8)/-12</t>
  </si>
  <si>
    <t>=NL("sum","Production Order","Quantity","Source No.",$D3053,"Equipment Code",$L3053,"due date",I$8)/-12</t>
  </si>
  <si>
    <t>=NL("sum","Production Order","Quantity","Source No.",$D3053,"Equipment Code",$L3053,"due date",J$8)/$J$7</t>
  </si>
  <si>
    <t>=AVERAGE(I3053:J3053)</t>
  </si>
  <si>
    <t>=B3050</t>
  </si>
  <si>
    <t>=B3054</t>
  </si>
  <si>
    <t>=SUM(F3050:F3054)</t>
  </si>
  <si>
    <t>=SUM(G3050:G3054)</t>
  </si>
  <si>
    <t>=SUM(H3050:H3054)</t>
  </si>
  <si>
    <t>=SUM(I3050:I3054)</t>
  </si>
  <si>
    <t>=SUM(J3050:J3054)</t>
  </si>
  <si>
    <t>=IF(K3056=0,"hide","")</t>
  </si>
  <si>
    <t>="42201"</t>
  </si>
  <si>
    <t>=NL("rows","Production BOM Version","Version Code","Production BOM No.",D3056,"status","certified")</t>
  </si>
  <si>
    <t>=NL("sum","Item Ledger Entry","Quantity","Item No.",$D3056,"Entry Type","Sale|Consumption","posting date","01/01/19..12/31/19")/-12</t>
  </si>
  <si>
    <t>=NL("sum","Item Ledger Entry","Quantity","Item No.",$D3056,"Entry Type","Sale|Consumption","posting date","01/01/20..12/31/20")/-12</t>
  </si>
  <si>
    <t>=NL("sum","Item Ledger Entry","Quantity","Item No.",$D3056,"Entry Type","Sale|Consumption","posting date","01/01/21..12/31/21")/-12</t>
  </si>
  <si>
    <t>=NL("sum","Item Ledger Entry","Quantity","Item No.",$D3056,"Entry Type","Sale|Consumption","posting date","01/01/22..12/31/22")/-12</t>
  </si>
  <si>
    <t>=NL("sum","Item Ledger Entry","Quantity","Item No.",$D3056,"Entry Type","Sale|Consumption","posting date","01/01/23..12/31/23")/$J$7</t>
  </si>
  <si>
    <t>=AVERAGE(I3056:J3056)</t>
  </si>
  <si>
    <t>=NL(1,"item",L$9,"no.",D3056)</t>
  </si>
  <si>
    <t>=NL(1,"item",M$9,"no.",$D3056)</t>
  </si>
  <si>
    <t>=NL(1,"item","Units Per Parcel","no.",$D3056)</t>
  </si>
  <si>
    <t>=NL(1,"Prod. BOM Equipment","Fixed Prod. Time (Hours)","Production BOM No.",$D3056,"version code",$E3056,"Resource No.",O$9)</t>
  </si>
  <si>
    <t>=1/O3056</t>
  </si>
  <si>
    <t>=IF(NL(1,"Prod. BOM Equipment","Variable Prod. Time (Hours)","Production BOM No.",$D3056,"version code",$E3056,"Resource No.",$O$9)="",1,NL(1,"Prod. BOM Equipment","Variable Prod. Time (Hours)","Production BOM No.",$D3056,"version code",$E3056,"Resource No.",$O$9))</t>
  </si>
  <si>
    <t>=1/Q3056</t>
  </si>
  <si>
    <t>=R3056*N3056</t>
  </si>
  <si>
    <t>=IF(K3057=0,"hide","")</t>
  </si>
  <si>
    <t>=D3056</t>
  </si>
  <si>
    <t>=NL("sum","Production Order","Quantity","Source No.",$D3057,"Equipment Code",$L3057,"due date",F$8)/-12</t>
  </si>
  <si>
    <t>=NL("sum","Production Order","Quantity","Source No.",$D3057,"Equipment Code",$L3057,"due date",G$8)/-12</t>
  </si>
  <si>
    <t>=NL("sum","Production Order","Quantity","Source No.",$D3057,"Equipment Code",$L3057,"due date",H$8)/-12</t>
  </si>
  <si>
    <t>=NL("sum","Production Order","Quantity","Source No.",$D3057,"Equipment Code",$L3057,"due date",I$8)/-12</t>
  </si>
  <si>
    <t>=NL("sum","Production Order","Quantity","Source No.",$D3057,"Equipment Code",$L3057,"due date",J$8)/$J$7</t>
  </si>
  <si>
    <t>=AVERAGE(I3057:J3057)</t>
  </si>
  <si>
    <t>=IF(K3058=0,"hide","")</t>
  </si>
  <si>
    <t>=D3057</t>
  </si>
  <si>
    <t>=NL("sum","Production Order","Quantity","Source No.",$D3058,"Equipment Code",$L3058,"due date",F$8)/-12</t>
  </si>
  <si>
    <t>=NL("sum","Production Order","Quantity","Source No.",$D3058,"Equipment Code",$L3058,"due date",G$8)/-12</t>
  </si>
  <si>
    <t>=NL("sum","Production Order","Quantity","Source No.",$D3058,"Equipment Code",$L3058,"due date",H$8)/-12</t>
  </si>
  <si>
    <t>=NL("sum","Production Order","Quantity","Source No.",$D3058,"Equipment Code",$L3058,"due date",I$8)/-12</t>
  </si>
  <si>
    <t>=NL("sum","Production Order","Quantity","Source No.",$D3058,"Equipment Code",$L3058,"due date",J$8)/$J$7</t>
  </si>
  <si>
    <t>=AVERAGE(I3058:J3058)</t>
  </si>
  <si>
    <t>=IF(K3059=0,"hide","")</t>
  </si>
  <si>
    <t>=D3058</t>
  </si>
  <si>
    <t>=NL("sum","Production Order","Quantity","Source No.",$D3059,"Equipment Code",$L3059,"due date",F$8)/-12</t>
  </si>
  <si>
    <t>=NL("sum","Production Order","Quantity","Source No.",$D3059,"Equipment Code",$L3059,"due date",G$8)/-12</t>
  </si>
  <si>
    <t>=NL("sum","Production Order","Quantity","Source No.",$D3059,"Equipment Code",$L3059,"due date",H$8)/-12</t>
  </si>
  <si>
    <t>=NL("sum","Production Order","Quantity","Source No.",$D3059,"Equipment Code",$L3059,"due date",I$8)/-12</t>
  </si>
  <si>
    <t>=NL("sum","Production Order","Quantity","Source No.",$D3059,"Equipment Code",$L3059,"due date",J$8)/$J$7</t>
  </si>
  <si>
    <t>=AVERAGE(I3059:J3059)</t>
  </si>
  <si>
    <t>=IF(K3060=0,"hide","")</t>
  </si>
  <si>
    <t>=D3059</t>
  </si>
  <si>
    <t>=NL("sum","Production Order","Quantity","Source No.",$D3060,"Equipment Code",$L3060,"due date",F$8)/-12</t>
  </si>
  <si>
    <t>=NL("sum","Production Order","Quantity","Source No.",$D3060,"Equipment Code",$L3060,"due date",G$8)/-12</t>
  </si>
  <si>
    <t>=NL("sum","Production Order","Quantity","Source No.",$D3060,"Equipment Code",$L3060,"due date",H$8)/-12</t>
  </si>
  <si>
    <t>=NL("sum","Production Order","Quantity","Source No.",$D3060,"Equipment Code",$L3060,"due date",I$8)/-12</t>
  </si>
  <si>
    <t>=NL("sum","Production Order","Quantity","Source No.",$D3060,"Equipment Code",$L3060,"due date",J$8)/$J$7</t>
  </si>
  <si>
    <t>=AVERAGE(I3060:J3060)</t>
  </si>
  <si>
    <t>=B3057</t>
  </si>
  <si>
    <t>=B3061</t>
  </si>
  <si>
    <t>=SUM(F3057:F3061)</t>
  </si>
  <si>
    <t>=SUM(G3057:G3061)</t>
  </si>
  <si>
    <t>=SUM(H3057:H3061)</t>
  </si>
  <si>
    <t>=SUM(I3057:I3061)</t>
  </si>
  <si>
    <t>=SUM(J3057:J3061)</t>
  </si>
  <si>
    <t>=IF(K3063=0,"hide","")</t>
  </si>
  <si>
    <t>="42205"</t>
  </si>
  <si>
    <t>=NL("rows","Production BOM Version","Version Code","Production BOM No.",D3063,"status","certified")</t>
  </si>
  <si>
    <t>=NL("sum","Item Ledger Entry","Quantity","Item No.",$D3063,"Entry Type","Sale|Consumption","posting date","01/01/19..12/31/19")/-12</t>
  </si>
  <si>
    <t>=NL("sum","Item Ledger Entry","Quantity","Item No.",$D3063,"Entry Type","Sale|Consumption","posting date","01/01/20..12/31/20")/-12</t>
  </si>
  <si>
    <t>=NL("sum","Item Ledger Entry","Quantity","Item No.",$D3063,"Entry Type","Sale|Consumption","posting date","01/01/21..12/31/21")/-12</t>
  </si>
  <si>
    <t>=NL("sum","Item Ledger Entry","Quantity","Item No.",$D3063,"Entry Type","Sale|Consumption","posting date","01/01/22..12/31/22")/-12</t>
  </si>
  <si>
    <t>=NL("sum","Item Ledger Entry","Quantity","Item No.",$D3063,"Entry Type","Sale|Consumption","posting date","01/01/23..12/31/23")/$J$7</t>
  </si>
  <si>
    <t>=AVERAGE(I3063:J3063)</t>
  </si>
  <si>
    <t>=NL(1,"item",L$9,"no.",D3063)</t>
  </si>
  <si>
    <t>=NL(1,"item",M$9,"no.",$D3063)</t>
  </si>
  <si>
    <t>=NL(1,"item","Units Per Parcel","no.",$D3063)</t>
  </si>
  <si>
    <t>=NL(1,"Prod. BOM Equipment","Fixed Prod. Time (Hours)","Production BOM No.",$D3063,"version code",$E3063,"Resource No.",O$9)</t>
  </si>
  <si>
    <t>=1/O3063</t>
  </si>
  <si>
    <t>=IF(NL(1,"Prod. BOM Equipment","Variable Prod. Time (Hours)","Production BOM No.",$D3063,"version code",$E3063,"Resource No.",$O$9)="",1,NL(1,"Prod. BOM Equipment","Variable Prod. Time (Hours)","Production BOM No.",$D3063,"version code",$E3063,"Resource No.",$O$9))</t>
  </si>
  <si>
    <t>=1/Q3063</t>
  </si>
  <si>
    <t>=R3063*N3063</t>
  </si>
  <si>
    <t>=IF(K3064=0,"hide","")</t>
  </si>
  <si>
    <t>=D3063</t>
  </si>
  <si>
    <t>=NL("sum","Production Order","Quantity","Source No.",$D3064,"Equipment Code",$L3064,"due date",F$8)/-12</t>
  </si>
  <si>
    <t>=NL("sum","Production Order","Quantity","Source No.",$D3064,"Equipment Code",$L3064,"due date",G$8)/-12</t>
  </si>
  <si>
    <t>=NL("sum","Production Order","Quantity","Source No.",$D3064,"Equipment Code",$L3064,"due date",H$8)/-12</t>
  </si>
  <si>
    <t>=NL("sum","Production Order","Quantity","Source No.",$D3064,"Equipment Code",$L3064,"due date",I$8)/-12</t>
  </si>
  <si>
    <t>=NL("sum","Production Order","Quantity","Source No.",$D3064,"Equipment Code",$L3064,"due date",J$8)/$J$7</t>
  </si>
  <si>
    <t>=AVERAGE(I3064:J3064)</t>
  </si>
  <si>
    <t>=IF(K3065=0,"hide","")</t>
  </si>
  <si>
    <t>=D3064</t>
  </si>
  <si>
    <t>=NL("sum","Production Order","Quantity","Source No.",$D3065,"Equipment Code",$L3065,"due date",F$8)/-12</t>
  </si>
  <si>
    <t>=NL("sum","Production Order","Quantity","Source No.",$D3065,"Equipment Code",$L3065,"due date",G$8)/-12</t>
  </si>
  <si>
    <t>=NL("sum","Production Order","Quantity","Source No.",$D3065,"Equipment Code",$L3065,"due date",H$8)/-12</t>
  </si>
  <si>
    <t>=NL("sum","Production Order","Quantity","Source No.",$D3065,"Equipment Code",$L3065,"due date",I$8)/-12</t>
  </si>
  <si>
    <t>=NL("sum","Production Order","Quantity","Source No.",$D3065,"Equipment Code",$L3065,"due date",J$8)/$J$7</t>
  </si>
  <si>
    <t>=AVERAGE(I3065:J3065)</t>
  </si>
  <si>
    <t>=IF(K3066=0,"hide","")</t>
  </si>
  <si>
    <t>=D3065</t>
  </si>
  <si>
    <t>=NL("sum","Production Order","Quantity","Source No.",$D3066,"Equipment Code",$L3066,"due date",F$8)/-12</t>
  </si>
  <si>
    <t>=NL("sum","Production Order","Quantity","Source No.",$D3066,"Equipment Code",$L3066,"due date",G$8)/-12</t>
  </si>
  <si>
    <t>=NL("sum","Production Order","Quantity","Source No.",$D3066,"Equipment Code",$L3066,"due date",H$8)/-12</t>
  </si>
  <si>
    <t>=NL("sum","Production Order","Quantity","Source No.",$D3066,"Equipment Code",$L3066,"due date",I$8)/-12</t>
  </si>
  <si>
    <t>=NL("sum","Production Order","Quantity","Source No.",$D3066,"Equipment Code",$L3066,"due date",J$8)/$J$7</t>
  </si>
  <si>
    <t>=AVERAGE(I3066:J3066)</t>
  </si>
  <si>
    <t>=IF(K3067=0,"hide","")</t>
  </si>
  <si>
    <t>=D3066</t>
  </si>
  <si>
    <t>=NL("sum","Production Order","Quantity","Source No.",$D3067,"Equipment Code",$L3067,"due date",F$8)/-12</t>
  </si>
  <si>
    <t>=NL("sum","Production Order","Quantity","Source No.",$D3067,"Equipment Code",$L3067,"due date",G$8)/-12</t>
  </si>
  <si>
    <t>=NL("sum","Production Order","Quantity","Source No.",$D3067,"Equipment Code",$L3067,"due date",H$8)/-12</t>
  </si>
  <si>
    <t>=NL("sum","Production Order","Quantity","Source No.",$D3067,"Equipment Code",$L3067,"due date",I$8)/-12</t>
  </si>
  <si>
    <t>=NL("sum","Production Order","Quantity","Source No.",$D3067,"Equipment Code",$L3067,"due date",J$8)/$J$7</t>
  </si>
  <si>
    <t>=AVERAGE(I3067:J3067)</t>
  </si>
  <si>
    <t>=B3064</t>
  </si>
  <si>
    <t>=B3068</t>
  </si>
  <si>
    <t>=SUM(F3064:F3068)</t>
  </si>
  <si>
    <t>=SUM(G3064:G3068)</t>
  </si>
  <si>
    <t>=SUM(H3064:H3068)</t>
  </si>
  <si>
    <t>=SUM(I3064:I3068)</t>
  </si>
  <si>
    <t>=SUM(J3064:J3068)</t>
  </si>
  <si>
    <t>=IF(K3070=0,"hide","")</t>
  </si>
  <si>
    <t>="42206"</t>
  </si>
  <si>
    <t>=NL("rows","Production BOM Version","Version Code","Production BOM No.",D3070,"status","certified")</t>
  </si>
  <si>
    <t>=NL("sum","Item Ledger Entry","Quantity","Item No.",$D3070,"Entry Type","Sale|Consumption","posting date","01/01/19..12/31/19")/-12</t>
  </si>
  <si>
    <t>=NL("sum","Item Ledger Entry","Quantity","Item No.",$D3070,"Entry Type","Sale|Consumption","posting date","01/01/20..12/31/20")/-12</t>
  </si>
  <si>
    <t>=NL("sum","Item Ledger Entry","Quantity","Item No.",$D3070,"Entry Type","Sale|Consumption","posting date","01/01/21..12/31/21")/-12</t>
  </si>
  <si>
    <t>=NL("sum","Item Ledger Entry","Quantity","Item No.",$D3070,"Entry Type","Sale|Consumption","posting date","01/01/22..12/31/22")/-12</t>
  </si>
  <si>
    <t>=NL("sum","Item Ledger Entry","Quantity","Item No.",$D3070,"Entry Type","Sale|Consumption","posting date","01/01/23..12/31/23")/$J$7</t>
  </si>
  <si>
    <t>=AVERAGE(I3070:J3070)</t>
  </si>
  <si>
    <t>=NL(1,"item",L$9,"no.",D3070)</t>
  </si>
  <si>
    <t>=NL(1,"item",M$9,"no.",$D3070)</t>
  </si>
  <si>
    <t>=NL(1,"item","Units Per Parcel","no.",$D3070)</t>
  </si>
  <si>
    <t>=NL(1,"Prod. BOM Equipment","Fixed Prod. Time (Hours)","Production BOM No.",$D3070,"version code",$E3070,"Resource No.",O$9)</t>
  </si>
  <si>
    <t>=1/O3070</t>
  </si>
  <si>
    <t>=IF(NL(1,"Prod. BOM Equipment","Variable Prod. Time (Hours)","Production BOM No.",$D3070,"version code",$E3070,"Resource No.",$O$9)="",1,NL(1,"Prod. BOM Equipment","Variable Prod. Time (Hours)","Production BOM No.",$D3070,"version code",$E3070,"Resource No.",$O$9))</t>
  </si>
  <si>
    <t>=1/Q3070</t>
  </si>
  <si>
    <t>=R3070*N3070</t>
  </si>
  <si>
    <t>=IF(K3071=0,"hide","")</t>
  </si>
  <si>
    <t>=D3070</t>
  </si>
  <si>
    <t>=NL("sum","Production Order","Quantity","Source No.",$D3071,"Equipment Code",$L3071,"due date",F$8)/-12</t>
  </si>
  <si>
    <t>=NL("sum","Production Order","Quantity","Source No.",$D3071,"Equipment Code",$L3071,"due date",G$8)/-12</t>
  </si>
  <si>
    <t>=NL("sum","Production Order","Quantity","Source No.",$D3071,"Equipment Code",$L3071,"due date",H$8)/-12</t>
  </si>
  <si>
    <t>=NL("sum","Production Order","Quantity","Source No.",$D3071,"Equipment Code",$L3071,"due date",I$8)/-12</t>
  </si>
  <si>
    <t>=NL("sum","Production Order","Quantity","Source No.",$D3071,"Equipment Code",$L3071,"due date",J$8)/$J$7</t>
  </si>
  <si>
    <t>=AVERAGE(I3071:J3071)</t>
  </si>
  <si>
    <t>=IF(K3072=0,"hide","")</t>
  </si>
  <si>
    <t>=D3071</t>
  </si>
  <si>
    <t>=NL("sum","Production Order","Quantity","Source No.",$D3072,"Equipment Code",$L3072,"due date",F$8)/-12</t>
  </si>
  <si>
    <t>=NL("sum","Production Order","Quantity","Source No.",$D3072,"Equipment Code",$L3072,"due date",G$8)/-12</t>
  </si>
  <si>
    <t>=NL("sum","Production Order","Quantity","Source No.",$D3072,"Equipment Code",$L3072,"due date",H$8)/-12</t>
  </si>
  <si>
    <t>=NL("sum","Production Order","Quantity","Source No.",$D3072,"Equipment Code",$L3072,"due date",I$8)/-12</t>
  </si>
  <si>
    <t>=NL("sum","Production Order","Quantity","Source No.",$D3072,"Equipment Code",$L3072,"due date",J$8)/$J$7</t>
  </si>
  <si>
    <t>=AVERAGE(I3072:J3072)</t>
  </si>
  <si>
    <t>=IF(K3073=0,"hide","")</t>
  </si>
  <si>
    <t>=D3072</t>
  </si>
  <si>
    <t>=NL("sum","Production Order","Quantity","Source No.",$D3073,"Equipment Code",$L3073,"due date",F$8)/-12</t>
  </si>
  <si>
    <t>=NL("sum","Production Order","Quantity","Source No.",$D3073,"Equipment Code",$L3073,"due date",G$8)/-12</t>
  </si>
  <si>
    <t>=NL("sum","Production Order","Quantity","Source No.",$D3073,"Equipment Code",$L3073,"due date",H$8)/-12</t>
  </si>
  <si>
    <t>=NL("sum","Production Order","Quantity","Source No.",$D3073,"Equipment Code",$L3073,"due date",I$8)/-12</t>
  </si>
  <si>
    <t>=NL("sum","Production Order","Quantity","Source No.",$D3073,"Equipment Code",$L3073,"due date",J$8)/$J$7</t>
  </si>
  <si>
    <t>=AVERAGE(I3073:J3073)</t>
  </si>
  <si>
    <t>=IF(K3074=0,"hide","")</t>
  </si>
  <si>
    <t>=D3073</t>
  </si>
  <si>
    <t>=NL("sum","Production Order","Quantity","Source No.",$D3074,"Equipment Code",$L3074,"due date",F$8)/-12</t>
  </si>
  <si>
    <t>=NL("sum","Production Order","Quantity","Source No.",$D3074,"Equipment Code",$L3074,"due date",G$8)/-12</t>
  </si>
  <si>
    <t>=NL("sum","Production Order","Quantity","Source No.",$D3074,"Equipment Code",$L3074,"due date",H$8)/-12</t>
  </si>
  <si>
    <t>=NL("sum","Production Order","Quantity","Source No.",$D3074,"Equipment Code",$L3074,"due date",I$8)/-12</t>
  </si>
  <si>
    <t>=NL("sum","Production Order","Quantity","Source No.",$D3074,"Equipment Code",$L3074,"due date",J$8)/$J$7</t>
  </si>
  <si>
    <t>=AVERAGE(I3074:J3074)</t>
  </si>
  <si>
    <t>=B3071</t>
  </si>
  <si>
    <t>=B3075</t>
  </si>
  <si>
    <t>=SUM(F3071:F3075)</t>
  </si>
  <si>
    <t>=SUM(G3071:G3075)</t>
  </si>
  <si>
    <t>=SUM(H3071:H3075)</t>
  </si>
  <si>
    <t>=SUM(I3071:I3075)</t>
  </si>
  <si>
    <t>=SUM(J3071:J3075)</t>
  </si>
  <si>
    <t>=IF(K3077=0,"hide","")</t>
  </si>
  <si>
    <t>="42207"</t>
  </si>
  <si>
    <t>=NL("rows","Production BOM Version","Version Code","Production BOM No.",D3077,"status","certified")</t>
  </si>
  <si>
    <t>=NL("sum","Item Ledger Entry","Quantity","Item No.",$D3077,"Entry Type","Sale|Consumption","posting date","01/01/19..12/31/19")/-12</t>
  </si>
  <si>
    <t>=NL("sum","Item Ledger Entry","Quantity","Item No.",$D3077,"Entry Type","Sale|Consumption","posting date","01/01/20..12/31/20")/-12</t>
  </si>
  <si>
    <t>=NL("sum","Item Ledger Entry","Quantity","Item No.",$D3077,"Entry Type","Sale|Consumption","posting date","01/01/21..12/31/21")/-12</t>
  </si>
  <si>
    <t>=NL("sum","Item Ledger Entry","Quantity","Item No.",$D3077,"Entry Type","Sale|Consumption","posting date","01/01/22..12/31/22")/-12</t>
  </si>
  <si>
    <t>=NL("sum","Item Ledger Entry","Quantity","Item No.",$D3077,"Entry Type","Sale|Consumption","posting date","01/01/23..12/31/23")/$J$7</t>
  </si>
  <si>
    <t>=AVERAGE(I3077:J3077)</t>
  </si>
  <si>
    <t>=NL(1,"item",L$9,"no.",D3077)</t>
  </si>
  <si>
    <t>=NL(1,"item",M$9,"no.",$D3077)</t>
  </si>
  <si>
    <t>=NL(1,"item","Units Per Parcel","no.",$D3077)</t>
  </si>
  <si>
    <t>=NL(1,"Prod. BOM Equipment","Fixed Prod. Time (Hours)","Production BOM No.",$D3077,"version code",$E3077,"Resource No.",O$9)</t>
  </si>
  <si>
    <t>=1/O3077</t>
  </si>
  <si>
    <t>=IF(NL(1,"Prod. BOM Equipment","Variable Prod. Time (Hours)","Production BOM No.",$D3077,"version code",$E3077,"Resource No.",$O$9)="",1,NL(1,"Prod. BOM Equipment","Variable Prod. Time (Hours)","Production BOM No.",$D3077,"version code",$E3077,"Resource No.",$O$9))</t>
  </si>
  <si>
    <t>=1/Q3077</t>
  </si>
  <si>
    <t>=R3077*N3077</t>
  </si>
  <si>
    <t>=IF(K3078=0,"hide","")</t>
  </si>
  <si>
    <t>=D3077</t>
  </si>
  <si>
    <t>=NL("sum","Production Order","Quantity","Source No.",$D3078,"Equipment Code",$L3078,"due date",F$8)/-12</t>
  </si>
  <si>
    <t>=NL("sum","Production Order","Quantity","Source No.",$D3078,"Equipment Code",$L3078,"due date",G$8)/-12</t>
  </si>
  <si>
    <t>=NL("sum","Production Order","Quantity","Source No.",$D3078,"Equipment Code",$L3078,"due date",H$8)/-12</t>
  </si>
  <si>
    <t>=NL("sum","Production Order","Quantity","Source No.",$D3078,"Equipment Code",$L3078,"due date",I$8)/-12</t>
  </si>
  <si>
    <t>=NL("sum","Production Order","Quantity","Source No.",$D3078,"Equipment Code",$L3078,"due date",J$8)/$J$7</t>
  </si>
  <si>
    <t>=AVERAGE(I3078:J3078)</t>
  </si>
  <si>
    <t>=IF(K3079=0,"hide","")</t>
  </si>
  <si>
    <t>=D3078</t>
  </si>
  <si>
    <t>=NL("sum","Production Order","Quantity","Source No.",$D3079,"Equipment Code",$L3079,"due date",F$8)/-12</t>
  </si>
  <si>
    <t>=NL("sum","Production Order","Quantity","Source No.",$D3079,"Equipment Code",$L3079,"due date",G$8)/-12</t>
  </si>
  <si>
    <t>=NL("sum","Production Order","Quantity","Source No.",$D3079,"Equipment Code",$L3079,"due date",H$8)/-12</t>
  </si>
  <si>
    <t>=NL("sum","Production Order","Quantity","Source No.",$D3079,"Equipment Code",$L3079,"due date",I$8)/-12</t>
  </si>
  <si>
    <t>=NL("sum","Production Order","Quantity","Source No.",$D3079,"Equipment Code",$L3079,"due date",J$8)/$J$7</t>
  </si>
  <si>
    <t>=AVERAGE(I3079:J3079)</t>
  </si>
  <si>
    <t>=IF(K3080=0,"hide","")</t>
  </si>
  <si>
    <t>=D3079</t>
  </si>
  <si>
    <t>=NL("sum","Production Order","Quantity","Source No.",$D3080,"Equipment Code",$L3080,"due date",F$8)/-12</t>
  </si>
  <si>
    <t>=NL("sum","Production Order","Quantity","Source No.",$D3080,"Equipment Code",$L3080,"due date",G$8)/-12</t>
  </si>
  <si>
    <t>=NL("sum","Production Order","Quantity","Source No.",$D3080,"Equipment Code",$L3080,"due date",H$8)/-12</t>
  </si>
  <si>
    <t>=NL("sum","Production Order","Quantity","Source No.",$D3080,"Equipment Code",$L3080,"due date",I$8)/-12</t>
  </si>
  <si>
    <t>=NL("sum","Production Order","Quantity","Source No.",$D3080,"Equipment Code",$L3080,"due date",J$8)/$J$7</t>
  </si>
  <si>
    <t>=AVERAGE(I3080:J3080)</t>
  </si>
  <si>
    <t>=IF(K3081=0,"hide","")</t>
  </si>
  <si>
    <t>=D3080</t>
  </si>
  <si>
    <t>=NL("sum","Production Order","Quantity","Source No.",$D3081,"Equipment Code",$L3081,"due date",F$8)/-12</t>
  </si>
  <si>
    <t>=NL("sum","Production Order","Quantity","Source No.",$D3081,"Equipment Code",$L3081,"due date",G$8)/-12</t>
  </si>
  <si>
    <t>=NL("sum","Production Order","Quantity","Source No.",$D3081,"Equipment Code",$L3081,"due date",H$8)/-12</t>
  </si>
  <si>
    <t>=NL("sum","Production Order","Quantity","Source No.",$D3081,"Equipment Code",$L3081,"due date",I$8)/-12</t>
  </si>
  <si>
    <t>=NL("sum","Production Order","Quantity","Source No.",$D3081,"Equipment Code",$L3081,"due date",J$8)/$J$7</t>
  </si>
  <si>
    <t>=AVERAGE(I3081:J3081)</t>
  </si>
  <si>
    <t>=B3078</t>
  </si>
  <si>
    <t>=B3082</t>
  </si>
  <si>
    <t>=SUM(F3078:F3082)</t>
  </si>
  <si>
    <t>=SUM(G3078:G3082)</t>
  </si>
  <si>
    <t>=SUM(H3078:H3082)</t>
  </si>
  <si>
    <t>=SUM(I3078:I3082)</t>
  </si>
  <si>
    <t>=SUM(J3078:J3082)</t>
  </si>
  <si>
    <t>=IF(K3084=0,"hide","")</t>
  </si>
  <si>
    <t>="42209"</t>
  </si>
  <si>
    <t>=NL("rows","Production BOM Version","Version Code","Production BOM No.",D3084,"status","certified")</t>
  </si>
  <si>
    <t>=NL("sum","Item Ledger Entry","Quantity","Item No.",$D3084,"Entry Type","Sale|Consumption","posting date","01/01/19..12/31/19")/-12</t>
  </si>
  <si>
    <t>=NL("sum","Item Ledger Entry","Quantity","Item No.",$D3084,"Entry Type","Sale|Consumption","posting date","01/01/20..12/31/20")/-12</t>
  </si>
  <si>
    <t>=NL("sum","Item Ledger Entry","Quantity","Item No.",$D3084,"Entry Type","Sale|Consumption","posting date","01/01/21..12/31/21")/-12</t>
  </si>
  <si>
    <t>=NL("sum","Item Ledger Entry","Quantity","Item No.",$D3084,"Entry Type","Sale|Consumption","posting date","01/01/22..12/31/22")/-12</t>
  </si>
  <si>
    <t>=NL("sum","Item Ledger Entry","Quantity","Item No.",$D3084,"Entry Type","Sale|Consumption","posting date","01/01/23..12/31/23")/$J$7</t>
  </si>
  <si>
    <t>=AVERAGE(I3084:J3084)</t>
  </si>
  <si>
    <t>=NL(1,"item",L$9,"no.",D3084)</t>
  </si>
  <si>
    <t>=NL(1,"item",M$9,"no.",$D3084)</t>
  </si>
  <si>
    <t>=NL(1,"item","Units Per Parcel","no.",$D3084)</t>
  </si>
  <si>
    <t>=NL(1,"Prod. BOM Equipment","Fixed Prod. Time (Hours)","Production BOM No.",$D3084,"version code",$E3084,"Resource No.",O$9)</t>
  </si>
  <si>
    <t>=1/O3084</t>
  </si>
  <si>
    <t>=IF(NL(1,"Prod. BOM Equipment","Variable Prod. Time (Hours)","Production BOM No.",$D3084,"version code",$E3084,"Resource No.",$O$9)="",1,NL(1,"Prod. BOM Equipment","Variable Prod. Time (Hours)","Production BOM No.",$D3084,"version code",$E3084,"Resource No.",$O$9))</t>
  </si>
  <si>
    <t>=1/Q3084</t>
  </si>
  <si>
    <t>=R3084*N3084</t>
  </si>
  <si>
    <t>=IF(K3085=0,"hide","")</t>
  </si>
  <si>
    <t>=D3084</t>
  </si>
  <si>
    <t>=NL("sum","Production Order","Quantity","Source No.",$D3085,"Equipment Code",$L3085,"due date",F$8)/-12</t>
  </si>
  <si>
    <t>=NL("sum","Production Order","Quantity","Source No.",$D3085,"Equipment Code",$L3085,"due date",G$8)/-12</t>
  </si>
  <si>
    <t>=NL("sum","Production Order","Quantity","Source No.",$D3085,"Equipment Code",$L3085,"due date",H$8)/-12</t>
  </si>
  <si>
    <t>=NL("sum","Production Order","Quantity","Source No.",$D3085,"Equipment Code",$L3085,"due date",I$8)/-12</t>
  </si>
  <si>
    <t>=NL("sum","Production Order","Quantity","Source No.",$D3085,"Equipment Code",$L3085,"due date",J$8)/$J$7</t>
  </si>
  <si>
    <t>=AVERAGE(I3085:J3085)</t>
  </si>
  <si>
    <t>=IF(K3086=0,"hide","")</t>
  </si>
  <si>
    <t>=D3085</t>
  </si>
  <si>
    <t>=NL("sum","Production Order","Quantity","Source No.",$D3086,"Equipment Code",$L3086,"due date",F$8)/-12</t>
  </si>
  <si>
    <t>=NL("sum","Production Order","Quantity","Source No.",$D3086,"Equipment Code",$L3086,"due date",G$8)/-12</t>
  </si>
  <si>
    <t>=NL("sum","Production Order","Quantity","Source No.",$D3086,"Equipment Code",$L3086,"due date",H$8)/-12</t>
  </si>
  <si>
    <t>=NL("sum","Production Order","Quantity","Source No.",$D3086,"Equipment Code",$L3086,"due date",I$8)/-12</t>
  </si>
  <si>
    <t>=NL("sum","Production Order","Quantity","Source No.",$D3086,"Equipment Code",$L3086,"due date",J$8)/$J$7</t>
  </si>
  <si>
    <t>=AVERAGE(I3086:J3086)</t>
  </si>
  <si>
    <t>=IF(K3087=0,"hide","")</t>
  </si>
  <si>
    <t>=D3086</t>
  </si>
  <si>
    <t>=NL("sum","Production Order","Quantity","Source No.",$D3087,"Equipment Code",$L3087,"due date",F$8)/-12</t>
  </si>
  <si>
    <t>=NL("sum","Production Order","Quantity","Source No.",$D3087,"Equipment Code",$L3087,"due date",G$8)/-12</t>
  </si>
  <si>
    <t>=NL("sum","Production Order","Quantity","Source No.",$D3087,"Equipment Code",$L3087,"due date",H$8)/-12</t>
  </si>
  <si>
    <t>=NL("sum","Production Order","Quantity","Source No.",$D3087,"Equipment Code",$L3087,"due date",I$8)/-12</t>
  </si>
  <si>
    <t>=NL("sum","Production Order","Quantity","Source No.",$D3087,"Equipment Code",$L3087,"due date",J$8)/$J$7</t>
  </si>
  <si>
    <t>=AVERAGE(I3087:J3087)</t>
  </si>
  <si>
    <t>=IF(K3088=0,"hide","")</t>
  </si>
  <si>
    <t>=D3087</t>
  </si>
  <si>
    <t>=NL("sum","Production Order","Quantity","Source No.",$D3088,"Equipment Code",$L3088,"due date",F$8)/-12</t>
  </si>
  <si>
    <t>=NL("sum","Production Order","Quantity","Source No.",$D3088,"Equipment Code",$L3088,"due date",G$8)/-12</t>
  </si>
  <si>
    <t>=NL("sum","Production Order","Quantity","Source No.",$D3088,"Equipment Code",$L3088,"due date",H$8)/-12</t>
  </si>
  <si>
    <t>=NL("sum","Production Order","Quantity","Source No.",$D3088,"Equipment Code",$L3088,"due date",I$8)/-12</t>
  </si>
  <si>
    <t>=NL("sum","Production Order","Quantity","Source No.",$D3088,"Equipment Code",$L3088,"due date",J$8)/$J$7</t>
  </si>
  <si>
    <t>=AVERAGE(I3088:J3088)</t>
  </si>
  <si>
    <t>=B3085</t>
  </si>
  <si>
    <t>=B3089</t>
  </si>
  <si>
    <t>=SUM(F3085:F3089)</t>
  </si>
  <si>
    <t>=SUM(G3085:G3089)</t>
  </si>
  <si>
    <t>=SUM(H3085:H3089)</t>
  </si>
  <si>
    <t>=SUM(I3085:I3089)</t>
  </si>
  <si>
    <t>=SUM(J3085:J3089)</t>
  </si>
  <si>
    <t>=IF(K3091=0,"hide","")</t>
  </si>
  <si>
    <t>="42210"</t>
  </si>
  <si>
    <t>=NL("rows","Production BOM Version","Version Code","Production BOM No.",D3091,"status","certified")</t>
  </si>
  <si>
    <t>=NL("sum","Item Ledger Entry","Quantity","Item No.",$D3091,"Entry Type","Sale|Consumption","posting date","01/01/19..12/31/19")/-12</t>
  </si>
  <si>
    <t>=NL("sum","Item Ledger Entry","Quantity","Item No.",$D3091,"Entry Type","Sale|Consumption","posting date","01/01/20..12/31/20")/-12</t>
  </si>
  <si>
    <t>=NL("sum","Item Ledger Entry","Quantity","Item No.",$D3091,"Entry Type","Sale|Consumption","posting date","01/01/21..12/31/21")/-12</t>
  </si>
  <si>
    <t>=NL("sum","Item Ledger Entry","Quantity","Item No.",$D3091,"Entry Type","Sale|Consumption","posting date","01/01/22..12/31/22")/-12</t>
  </si>
  <si>
    <t>=NL("sum","Item Ledger Entry","Quantity","Item No.",$D3091,"Entry Type","Sale|Consumption","posting date","01/01/23..12/31/23")/$J$7</t>
  </si>
  <si>
    <t>=AVERAGE(I3091:J3091)</t>
  </si>
  <si>
    <t>=NL(1,"item",L$9,"no.",D3091)</t>
  </si>
  <si>
    <t>=NL(1,"item",M$9,"no.",$D3091)</t>
  </si>
  <si>
    <t>=NL(1,"item","Units Per Parcel","no.",$D3091)</t>
  </si>
  <si>
    <t>=NL(1,"Prod. BOM Equipment","Fixed Prod. Time (Hours)","Production BOM No.",$D3091,"version code",$E3091,"Resource No.",O$9)</t>
  </si>
  <si>
    <t>=1/O3091</t>
  </si>
  <si>
    <t>=IF(NL(1,"Prod. BOM Equipment","Variable Prod. Time (Hours)","Production BOM No.",$D3091,"version code",$E3091,"Resource No.",$O$9)="",1,NL(1,"Prod. BOM Equipment","Variable Prod. Time (Hours)","Production BOM No.",$D3091,"version code",$E3091,"Resource No.",$O$9))</t>
  </si>
  <si>
    <t>=1/Q3091</t>
  </si>
  <si>
    <t>=R3091*N3091</t>
  </si>
  <si>
    <t>=IF(K3092=0,"hide","")</t>
  </si>
  <si>
    <t>=D3091</t>
  </si>
  <si>
    <t>=NL("sum","Production Order","Quantity","Source No.",$D3092,"Equipment Code",$L3092,"due date",F$8)/-12</t>
  </si>
  <si>
    <t>=NL("sum","Production Order","Quantity","Source No.",$D3092,"Equipment Code",$L3092,"due date",G$8)/-12</t>
  </si>
  <si>
    <t>=NL("sum","Production Order","Quantity","Source No.",$D3092,"Equipment Code",$L3092,"due date",H$8)/-12</t>
  </si>
  <si>
    <t>=NL("sum","Production Order","Quantity","Source No.",$D3092,"Equipment Code",$L3092,"due date",I$8)/-12</t>
  </si>
  <si>
    <t>=NL("sum","Production Order","Quantity","Source No.",$D3092,"Equipment Code",$L3092,"due date",J$8)/$J$7</t>
  </si>
  <si>
    <t>=AVERAGE(I3092:J3092)</t>
  </si>
  <si>
    <t>=IF(K3093=0,"hide","")</t>
  </si>
  <si>
    <t>=D3092</t>
  </si>
  <si>
    <t>=NL("sum","Production Order","Quantity","Source No.",$D3093,"Equipment Code",$L3093,"due date",F$8)/-12</t>
  </si>
  <si>
    <t>=NL("sum","Production Order","Quantity","Source No.",$D3093,"Equipment Code",$L3093,"due date",G$8)/-12</t>
  </si>
  <si>
    <t>=NL("sum","Production Order","Quantity","Source No.",$D3093,"Equipment Code",$L3093,"due date",H$8)/-12</t>
  </si>
  <si>
    <t>=NL("sum","Production Order","Quantity","Source No.",$D3093,"Equipment Code",$L3093,"due date",I$8)/-12</t>
  </si>
  <si>
    <t>=NL("sum","Production Order","Quantity","Source No.",$D3093,"Equipment Code",$L3093,"due date",J$8)/$J$7</t>
  </si>
  <si>
    <t>=AVERAGE(I3093:J3093)</t>
  </si>
  <si>
    <t>=IF(K3094=0,"hide","")</t>
  </si>
  <si>
    <t>=D3093</t>
  </si>
  <si>
    <t>=NL("sum","Production Order","Quantity","Source No.",$D3094,"Equipment Code",$L3094,"due date",F$8)/-12</t>
  </si>
  <si>
    <t>=NL("sum","Production Order","Quantity","Source No.",$D3094,"Equipment Code",$L3094,"due date",G$8)/-12</t>
  </si>
  <si>
    <t>=NL("sum","Production Order","Quantity","Source No.",$D3094,"Equipment Code",$L3094,"due date",H$8)/-12</t>
  </si>
  <si>
    <t>=NL("sum","Production Order","Quantity","Source No.",$D3094,"Equipment Code",$L3094,"due date",I$8)/-12</t>
  </si>
  <si>
    <t>=NL("sum","Production Order","Quantity","Source No.",$D3094,"Equipment Code",$L3094,"due date",J$8)/$J$7</t>
  </si>
  <si>
    <t>=AVERAGE(I3094:J3094)</t>
  </si>
  <si>
    <t>=IF(K3095=0,"hide","")</t>
  </si>
  <si>
    <t>=D3094</t>
  </si>
  <si>
    <t>=NL("sum","Production Order","Quantity","Source No.",$D3095,"Equipment Code",$L3095,"due date",F$8)/-12</t>
  </si>
  <si>
    <t>=NL("sum","Production Order","Quantity","Source No.",$D3095,"Equipment Code",$L3095,"due date",G$8)/-12</t>
  </si>
  <si>
    <t>=NL("sum","Production Order","Quantity","Source No.",$D3095,"Equipment Code",$L3095,"due date",H$8)/-12</t>
  </si>
  <si>
    <t>=NL("sum","Production Order","Quantity","Source No.",$D3095,"Equipment Code",$L3095,"due date",I$8)/-12</t>
  </si>
  <si>
    <t>=NL("sum","Production Order","Quantity","Source No.",$D3095,"Equipment Code",$L3095,"due date",J$8)/$J$7</t>
  </si>
  <si>
    <t>=AVERAGE(I3095:J3095)</t>
  </si>
  <si>
    <t>=B3092</t>
  </si>
  <si>
    <t>=B3096</t>
  </si>
  <si>
    <t>=SUM(F3092:F3096)</t>
  </si>
  <si>
    <t>=SUM(G3092:G3096)</t>
  </si>
  <si>
    <t>=SUM(H3092:H3096)</t>
  </si>
  <si>
    <t>=SUM(I3092:I3096)</t>
  </si>
  <si>
    <t>=SUM(J3092:J3096)</t>
  </si>
  <si>
    <t>=IF(K3098=0,"hide","")</t>
  </si>
  <si>
    <t>="42251"</t>
  </si>
  <si>
    <t>=NL("rows","Production BOM Version","Version Code","Production BOM No.",D3098,"status","certified")</t>
  </si>
  <si>
    <t>=NL("sum","Item Ledger Entry","Quantity","Item No.",$D3098,"Entry Type","Sale|Consumption","posting date","01/01/19..12/31/19")/-12</t>
  </si>
  <si>
    <t>=NL("sum","Item Ledger Entry","Quantity","Item No.",$D3098,"Entry Type","Sale|Consumption","posting date","01/01/20..12/31/20")/-12</t>
  </si>
  <si>
    <t>=NL("sum","Item Ledger Entry","Quantity","Item No.",$D3098,"Entry Type","Sale|Consumption","posting date","01/01/21..12/31/21")/-12</t>
  </si>
  <si>
    <t>=NL("sum","Item Ledger Entry","Quantity","Item No.",$D3098,"Entry Type","Sale|Consumption","posting date","01/01/22..12/31/22")/-12</t>
  </si>
  <si>
    <t>=NL("sum","Item Ledger Entry","Quantity","Item No.",$D3098,"Entry Type","Sale|Consumption","posting date","01/01/23..12/31/23")/$J$7</t>
  </si>
  <si>
    <t>=AVERAGE(I3098:J3098)</t>
  </si>
  <si>
    <t>=NL(1,"item",L$9,"no.",D3098)</t>
  </si>
  <si>
    <t>=NL(1,"item",M$9,"no.",$D3098)</t>
  </si>
  <si>
    <t>=NL(1,"item","Units Per Parcel","no.",$D3098)</t>
  </si>
  <si>
    <t>=NL(1,"Prod. BOM Equipment","Fixed Prod. Time (Hours)","Production BOM No.",$D3098,"version code",$E3098,"Resource No.",O$9)</t>
  </si>
  <si>
    <t>=1/O3098</t>
  </si>
  <si>
    <t>=IF(NL(1,"Prod. BOM Equipment","Variable Prod. Time (Hours)","Production BOM No.",$D3098,"version code",$E3098,"Resource No.",$O$9)="",1,NL(1,"Prod. BOM Equipment","Variable Prod. Time (Hours)","Production BOM No.",$D3098,"version code",$E3098,"Resource No.",$O$9))</t>
  </si>
  <si>
    <t>=1/Q3098</t>
  </si>
  <si>
    <t>=R3098*N3098</t>
  </si>
  <si>
    <t>=IF(K3099=0,"hide","")</t>
  </si>
  <si>
    <t>=D3098</t>
  </si>
  <si>
    <t>=NL("sum","Production Order","Quantity","Source No.",$D3099,"Equipment Code",$L3099,"due date",F$8)/-12</t>
  </si>
  <si>
    <t>=NL("sum","Production Order","Quantity","Source No.",$D3099,"Equipment Code",$L3099,"due date",G$8)/-12</t>
  </si>
  <si>
    <t>=NL("sum","Production Order","Quantity","Source No.",$D3099,"Equipment Code",$L3099,"due date",H$8)/-12</t>
  </si>
  <si>
    <t>=NL("sum","Production Order","Quantity","Source No.",$D3099,"Equipment Code",$L3099,"due date",I$8)/-12</t>
  </si>
  <si>
    <t>=NL("sum","Production Order","Quantity","Source No.",$D3099,"Equipment Code",$L3099,"due date",J$8)/$J$7</t>
  </si>
  <si>
    <t>=AVERAGE(I3099:J3099)</t>
  </si>
  <si>
    <t>=IF(K3100=0,"hide","")</t>
  </si>
  <si>
    <t>=D3099</t>
  </si>
  <si>
    <t>=NL("sum","Production Order","Quantity","Source No.",$D3100,"Equipment Code",$L3100,"due date",F$8)/-12</t>
  </si>
  <si>
    <t>=NL("sum","Production Order","Quantity","Source No.",$D3100,"Equipment Code",$L3100,"due date",G$8)/-12</t>
  </si>
  <si>
    <t>=NL("sum","Production Order","Quantity","Source No.",$D3100,"Equipment Code",$L3100,"due date",H$8)/-12</t>
  </si>
  <si>
    <t>=NL("sum","Production Order","Quantity","Source No.",$D3100,"Equipment Code",$L3100,"due date",I$8)/-12</t>
  </si>
  <si>
    <t>=NL("sum","Production Order","Quantity","Source No.",$D3100,"Equipment Code",$L3100,"due date",J$8)/$J$7</t>
  </si>
  <si>
    <t>=AVERAGE(I3100:J3100)</t>
  </si>
  <si>
    <t>=IF(K3101=0,"hide","")</t>
  </si>
  <si>
    <t>=D3100</t>
  </si>
  <si>
    <t>=NL("sum","Production Order","Quantity","Source No.",$D3101,"Equipment Code",$L3101,"due date",F$8)/-12</t>
  </si>
  <si>
    <t>=NL("sum","Production Order","Quantity","Source No.",$D3101,"Equipment Code",$L3101,"due date",G$8)/-12</t>
  </si>
  <si>
    <t>=NL("sum","Production Order","Quantity","Source No.",$D3101,"Equipment Code",$L3101,"due date",H$8)/-12</t>
  </si>
  <si>
    <t>=NL("sum","Production Order","Quantity","Source No.",$D3101,"Equipment Code",$L3101,"due date",I$8)/-12</t>
  </si>
  <si>
    <t>=NL("sum","Production Order","Quantity","Source No.",$D3101,"Equipment Code",$L3101,"due date",J$8)/$J$7</t>
  </si>
  <si>
    <t>=AVERAGE(I3101:J3101)</t>
  </si>
  <si>
    <t>=IF(K3102=0,"hide","")</t>
  </si>
  <si>
    <t>=D3101</t>
  </si>
  <si>
    <t>=NL("sum","Production Order","Quantity","Source No.",$D3102,"Equipment Code",$L3102,"due date",F$8)/-12</t>
  </si>
  <si>
    <t>=NL("sum","Production Order","Quantity","Source No.",$D3102,"Equipment Code",$L3102,"due date",G$8)/-12</t>
  </si>
  <si>
    <t>=NL("sum","Production Order","Quantity","Source No.",$D3102,"Equipment Code",$L3102,"due date",H$8)/-12</t>
  </si>
  <si>
    <t>=NL("sum","Production Order","Quantity","Source No.",$D3102,"Equipment Code",$L3102,"due date",I$8)/-12</t>
  </si>
  <si>
    <t>=NL("sum","Production Order","Quantity","Source No.",$D3102,"Equipment Code",$L3102,"due date",J$8)/$J$7</t>
  </si>
  <si>
    <t>=AVERAGE(I3102:J3102)</t>
  </si>
  <si>
    <t>=B3099</t>
  </si>
  <si>
    <t>=B3103</t>
  </si>
  <si>
    <t>=SUM(F3099:F3103)</t>
  </si>
  <si>
    <t>=SUM(G3099:G3103)</t>
  </si>
  <si>
    <t>=SUM(H3099:H3103)</t>
  </si>
  <si>
    <t>=SUM(I3099:I3103)</t>
  </si>
  <si>
    <t>=SUM(J3099:J3103)</t>
  </si>
  <si>
    <t>=IF(K3105=0,"hide","")</t>
  </si>
  <si>
    <t>="42261"</t>
  </si>
  <si>
    <t>=NL("rows","Production BOM Version","Version Code","Production BOM No.",D3105,"status","certified")</t>
  </si>
  <si>
    <t>=NL("sum","Item Ledger Entry","Quantity","Item No.",$D3105,"Entry Type","Sale|Consumption","posting date","01/01/19..12/31/19")/-12</t>
  </si>
  <si>
    <t>=NL("sum","Item Ledger Entry","Quantity","Item No.",$D3105,"Entry Type","Sale|Consumption","posting date","01/01/20..12/31/20")/-12</t>
  </si>
  <si>
    <t>=NL("sum","Item Ledger Entry","Quantity","Item No.",$D3105,"Entry Type","Sale|Consumption","posting date","01/01/21..12/31/21")/-12</t>
  </si>
  <si>
    <t>=NL("sum","Item Ledger Entry","Quantity","Item No.",$D3105,"Entry Type","Sale|Consumption","posting date","01/01/22..12/31/22")/-12</t>
  </si>
  <si>
    <t>=NL("sum","Item Ledger Entry","Quantity","Item No.",$D3105,"Entry Type","Sale|Consumption","posting date","01/01/23..12/31/23")/$J$7</t>
  </si>
  <si>
    <t>=AVERAGE(I3105:J3105)</t>
  </si>
  <si>
    <t>=NL(1,"item",L$9,"no.",D3105)</t>
  </si>
  <si>
    <t>=NL(1,"item",M$9,"no.",$D3105)</t>
  </si>
  <si>
    <t>=NL(1,"item","Units Per Parcel","no.",$D3105)</t>
  </si>
  <si>
    <t>=NL(1,"Prod. BOM Equipment","Fixed Prod. Time (Hours)","Production BOM No.",$D3105,"version code",$E3105,"Resource No.",O$9)</t>
  </si>
  <si>
    <t>=1/O3105</t>
  </si>
  <si>
    <t>=IF(NL(1,"Prod. BOM Equipment","Variable Prod. Time (Hours)","Production BOM No.",$D3105,"version code",$E3105,"Resource No.",$O$9)="",1,NL(1,"Prod. BOM Equipment","Variable Prod. Time (Hours)","Production BOM No.",$D3105,"version code",$E3105,"Resource No.",$O$9))</t>
  </si>
  <si>
    <t>=1/Q3105</t>
  </si>
  <si>
    <t>=R3105*N3105</t>
  </si>
  <si>
    <t>=IF(K3106=0,"hide","")</t>
  </si>
  <si>
    <t>=D3105</t>
  </si>
  <si>
    <t>=NL("sum","Production Order","Quantity","Source No.",$D3106,"Equipment Code",$L3106,"due date",F$8)/-12</t>
  </si>
  <si>
    <t>=NL("sum","Production Order","Quantity","Source No.",$D3106,"Equipment Code",$L3106,"due date",G$8)/-12</t>
  </si>
  <si>
    <t>=NL("sum","Production Order","Quantity","Source No.",$D3106,"Equipment Code",$L3106,"due date",H$8)/-12</t>
  </si>
  <si>
    <t>=NL("sum","Production Order","Quantity","Source No.",$D3106,"Equipment Code",$L3106,"due date",I$8)/-12</t>
  </si>
  <si>
    <t>=NL("sum","Production Order","Quantity","Source No.",$D3106,"Equipment Code",$L3106,"due date",J$8)/$J$7</t>
  </si>
  <si>
    <t>=AVERAGE(I3106:J3106)</t>
  </si>
  <si>
    <t>=IF(K3107=0,"hide","")</t>
  </si>
  <si>
    <t>=D3106</t>
  </si>
  <si>
    <t>=NL("sum","Production Order","Quantity","Source No.",$D3107,"Equipment Code",$L3107,"due date",F$8)/-12</t>
  </si>
  <si>
    <t>=NL("sum","Production Order","Quantity","Source No.",$D3107,"Equipment Code",$L3107,"due date",G$8)/-12</t>
  </si>
  <si>
    <t>=NL("sum","Production Order","Quantity","Source No.",$D3107,"Equipment Code",$L3107,"due date",H$8)/-12</t>
  </si>
  <si>
    <t>=NL("sum","Production Order","Quantity","Source No.",$D3107,"Equipment Code",$L3107,"due date",I$8)/-12</t>
  </si>
  <si>
    <t>=NL("sum","Production Order","Quantity","Source No.",$D3107,"Equipment Code",$L3107,"due date",J$8)/$J$7</t>
  </si>
  <si>
    <t>=AVERAGE(I3107:J3107)</t>
  </si>
  <si>
    <t>=IF(K3108=0,"hide","")</t>
  </si>
  <si>
    <t>=D3107</t>
  </si>
  <si>
    <t>=NL("sum","Production Order","Quantity","Source No.",$D3108,"Equipment Code",$L3108,"due date",F$8)/-12</t>
  </si>
  <si>
    <t>=NL("sum","Production Order","Quantity","Source No.",$D3108,"Equipment Code",$L3108,"due date",G$8)/-12</t>
  </si>
  <si>
    <t>=NL("sum","Production Order","Quantity","Source No.",$D3108,"Equipment Code",$L3108,"due date",H$8)/-12</t>
  </si>
  <si>
    <t>=NL("sum","Production Order","Quantity","Source No.",$D3108,"Equipment Code",$L3108,"due date",I$8)/-12</t>
  </si>
  <si>
    <t>=NL("sum","Production Order","Quantity","Source No.",$D3108,"Equipment Code",$L3108,"due date",J$8)/$J$7</t>
  </si>
  <si>
    <t>=AVERAGE(I3108:J3108)</t>
  </si>
  <si>
    <t>=IF(K3109=0,"hide","")</t>
  </si>
  <si>
    <t>=D3108</t>
  </si>
  <si>
    <t>=NL("sum","Production Order","Quantity","Source No.",$D3109,"Equipment Code",$L3109,"due date",F$8)/-12</t>
  </si>
  <si>
    <t>=NL("sum","Production Order","Quantity","Source No.",$D3109,"Equipment Code",$L3109,"due date",G$8)/-12</t>
  </si>
  <si>
    <t>=NL("sum","Production Order","Quantity","Source No.",$D3109,"Equipment Code",$L3109,"due date",H$8)/-12</t>
  </si>
  <si>
    <t>=NL("sum","Production Order","Quantity","Source No.",$D3109,"Equipment Code",$L3109,"due date",I$8)/-12</t>
  </si>
  <si>
    <t>=NL("sum","Production Order","Quantity","Source No.",$D3109,"Equipment Code",$L3109,"due date",J$8)/$J$7</t>
  </si>
  <si>
    <t>=AVERAGE(I3109:J3109)</t>
  </si>
  <si>
    <t>=B3106</t>
  </si>
  <si>
    <t>=B3110</t>
  </si>
  <si>
    <t>=SUM(F3106:F3110)</t>
  </si>
  <si>
    <t>=SUM(G3106:G3110)</t>
  </si>
  <si>
    <t>=SUM(H3106:H3110)</t>
  </si>
  <si>
    <t>=SUM(I3106:I3110)</t>
  </si>
  <si>
    <t>=SUM(J3106:J3110)</t>
  </si>
  <si>
    <t>=IF(K3112=0,"hide","")</t>
  </si>
  <si>
    <t>="42275"</t>
  </si>
  <si>
    <t>=NL("rows","Production BOM Version","Version Code","Production BOM No.",D3112,"status","certified")</t>
  </si>
  <si>
    <t>=NL("sum","Item Ledger Entry","Quantity","Item No.",$D3112,"Entry Type","Sale|Consumption","posting date","01/01/19..12/31/19")/-12</t>
  </si>
  <si>
    <t>=NL("sum","Item Ledger Entry","Quantity","Item No.",$D3112,"Entry Type","Sale|Consumption","posting date","01/01/20..12/31/20")/-12</t>
  </si>
  <si>
    <t>=NL("sum","Item Ledger Entry","Quantity","Item No.",$D3112,"Entry Type","Sale|Consumption","posting date","01/01/21..12/31/21")/-12</t>
  </si>
  <si>
    <t>=NL("sum","Item Ledger Entry","Quantity","Item No.",$D3112,"Entry Type","Sale|Consumption","posting date","01/01/22..12/31/22")/-12</t>
  </si>
  <si>
    <t>=NL("sum","Item Ledger Entry","Quantity","Item No.",$D3112,"Entry Type","Sale|Consumption","posting date","01/01/23..12/31/23")/$J$7</t>
  </si>
  <si>
    <t>=AVERAGE(I3112:J3112)</t>
  </si>
  <si>
    <t>=NL(1,"item",L$9,"no.",D3112)</t>
  </si>
  <si>
    <t>=NL(1,"item",M$9,"no.",$D3112)</t>
  </si>
  <si>
    <t>=NL(1,"item","Units Per Parcel","no.",$D3112)</t>
  </si>
  <si>
    <t>=NL(1,"Prod. BOM Equipment","Fixed Prod. Time (Hours)","Production BOM No.",$D3112,"version code",$E3112,"Resource No.",O$9)</t>
  </si>
  <si>
    <t>=1/O3112</t>
  </si>
  <si>
    <t>=IF(NL(1,"Prod. BOM Equipment","Variable Prod. Time (Hours)","Production BOM No.",$D3112,"version code",$E3112,"Resource No.",$O$9)="",1,NL(1,"Prod. BOM Equipment","Variable Prod. Time (Hours)","Production BOM No.",$D3112,"version code",$E3112,"Resource No.",$O$9))</t>
  </si>
  <si>
    <t>=1/Q3112</t>
  </si>
  <si>
    <t>=R3112*N3112</t>
  </si>
  <si>
    <t>=IF(K3113=0,"hide","")</t>
  </si>
  <si>
    <t>=D3112</t>
  </si>
  <si>
    <t>=NL("sum","Production Order","Quantity","Source No.",$D3113,"Equipment Code",$L3113,"due date",F$8)/-12</t>
  </si>
  <si>
    <t>=NL("sum","Production Order","Quantity","Source No.",$D3113,"Equipment Code",$L3113,"due date",G$8)/-12</t>
  </si>
  <si>
    <t>=NL("sum","Production Order","Quantity","Source No.",$D3113,"Equipment Code",$L3113,"due date",H$8)/-12</t>
  </si>
  <si>
    <t>=NL("sum","Production Order","Quantity","Source No.",$D3113,"Equipment Code",$L3113,"due date",I$8)/-12</t>
  </si>
  <si>
    <t>=NL("sum","Production Order","Quantity","Source No.",$D3113,"Equipment Code",$L3113,"due date",J$8)/$J$7</t>
  </si>
  <si>
    <t>=AVERAGE(I3113:J3113)</t>
  </si>
  <si>
    <t>=IF(K3114=0,"hide","")</t>
  </si>
  <si>
    <t>=D3113</t>
  </si>
  <si>
    <t>=NL("sum","Production Order","Quantity","Source No.",$D3114,"Equipment Code",$L3114,"due date",F$8)/-12</t>
  </si>
  <si>
    <t>=NL("sum","Production Order","Quantity","Source No.",$D3114,"Equipment Code",$L3114,"due date",G$8)/-12</t>
  </si>
  <si>
    <t>=NL("sum","Production Order","Quantity","Source No.",$D3114,"Equipment Code",$L3114,"due date",H$8)/-12</t>
  </si>
  <si>
    <t>=NL("sum","Production Order","Quantity","Source No.",$D3114,"Equipment Code",$L3114,"due date",I$8)/-12</t>
  </si>
  <si>
    <t>=NL("sum","Production Order","Quantity","Source No.",$D3114,"Equipment Code",$L3114,"due date",J$8)/$J$7</t>
  </si>
  <si>
    <t>=AVERAGE(I3114:J3114)</t>
  </si>
  <si>
    <t>=IF(K3115=0,"hide","")</t>
  </si>
  <si>
    <t>=D3114</t>
  </si>
  <si>
    <t>=NL("sum","Production Order","Quantity","Source No.",$D3115,"Equipment Code",$L3115,"due date",F$8)/-12</t>
  </si>
  <si>
    <t>=NL("sum","Production Order","Quantity","Source No.",$D3115,"Equipment Code",$L3115,"due date",G$8)/-12</t>
  </si>
  <si>
    <t>=NL("sum","Production Order","Quantity","Source No.",$D3115,"Equipment Code",$L3115,"due date",H$8)/-12</t>
  </si>
  <si>
    <t>=NL("sum","Production Order","Quantity","Source No.",$D3115,"Equipment Code",$L3115,"due date",I$8)/-12</t>
  </si>
  <si>
    <t>=NL("sum","Production Order","Quantity","Source No.",$D3115,"Equipment Code",$L3115,"due date",J$8)/$J$7</t>
  </si>
  <si>
    <t>=AVERAGE(I3115:J3115)</t>
  </si>
  <si>
    <t>=IF(K3116=0,"hide","")</t>
  </si>
  <si>
    <t>=D3115</t>
  </si>
  <si>
    <t>=NL("sum","Production Order","Quantity","Source No.",$D3116,"Equipment Code",$L3116,"due date",F$8)/-12</t>
  </si>
  <si>
    <t>=NL("sum","Production Order","Quantity","Source No.",$D3116,"Equipment Code",$L3116,"due date",G$8)/-12</t>
  </si>
  <si>
    <t>=NL("sum","Production Order","Quantity","Source No.",$D3116,"Equipment Code",$L3116,"due date",H$8)/-12</t>
  </si>
  <si>
    <t>=NL("sum","Production Order","Quantity","Source No.",$D3116,"Equipment Code",$L3116,"due date",I$8)/-12</t>
  </si>
  <si>
    <t>=NL("sum","Production Order","Quantity","Source No.",$D3116,"Equipment Code",$L3116,"due date",J$8)/$J$7</t>
  </si>
  <si>
    <t>=AVERAGE(I3116:J3116)</t>
  </si>
  <si>
    <t>=B3113</t>
  </si>
  <si>
    <t>=B3117</t>
  </si>
  <si>
    <t>=SUM(F3113:F3117)</t>
  </si>
  <si>
    <t>=SUM(G3113:G3117)</t>
  </si>
  <si>
    <t>=SUM(H3113:H3117)</t>
  </si>
  <si>
    <t>=SUM(I3113:I3117)</t>
  </si>
  <si>
    <t>=SUM(J3113:J3117)</t>
  </si>
  <si>
    <t>=IF(K3119=0,"hide","")</t>
  </si>
  <si>
    <t>="42501"</t>
  </si>
  <si>
    <t>=NL("rows","Production BOM Version","Version Code","Production BOM No.",D3119,"status","certified")</t>
  </si>
  <si>
    <t>=NL("sum","Item Ledger Entry","Quantity","Item No.",$D3119,"Entry Type","Sale|Consumption","posting date","01/01/19..12/31/19")/-12</t>
  </si>
  <si>
    <t>=NL("sum","Item Ledger Entry","Quantity","Item No.",$D3119,"Entry Type","Sale|Consumption","posting date","01/01/20..12/31/20")/-12</t>
  </si>
  <si>
    <t>=NL("sum","Item Ledger Entry","Quantity","Item No.",$D3119,"Entry Type","Sale|Consumption","posting date","01/01/21..12/31/21")/-12</t>
  </si>
  <si>
    <t>=NL("sum","Item Ledger Entry","Quantity","Item No.",$D3119,"Entry Type","Sale|Consumption","posting date","01/01/22..12/31/22")/-12</t>
  </si>
  <si>
    <t>=NL("sum","Item Ledger Entry","Quantity","Item No.",$D3119,"Entry Type","Sale|Consumption","posting date","01/01/23..12/31/23")/$J$7</t>
  </si>
  <si>
    <t>=AVERAGE(I3119:J3119)</t>
  </si>
  <si>
    <t>=NL(1,"item",L$9,"no.",D3119)</t>
  </si>
  <si>
    <t>=NL(1,"item",M$9,"no.",$D3119)</t>
  </si>
  <si>
    <t>=NL(1,"item","Units Per Parcel","no.",$D3119)</t>
  </si>
  <si>
    <t>=NL(1,"Prod. BOM Equipment","Fixed Prod. Time (Hours)","Production BOM No.",$D3119,"version code",$E3119,"Resource No.",O$9)</t>
  </si>
  <si>
    <t>=1/O3119</t>
  </si>
  <si>
    <t>=IF(NL(1,"Prod. BOM Equipment","Variable Prod. Time (Hours)","Production BOM No.",$D3119,"version code",$E3119,"Resource No.",$O$9)="",1,NL(1,"Prod. BOM Equipment","Variable Prod. Time (Hours)","Production BOM No.",$D3119,"version code",$E3119,"Resource No.",$O$9))</t>
  </si>
  <si>
    <t>=1/Q3119</t>
  </si>
  <si>
    <t>=R3119*N3119</t>
  </si>
  <si>
    <t>=IF(K3120=0,"hide","")</t>
  </si>
  <si>
    <t>=D3119</t>
  </si>
  <si>
    <t>=NL("sum","Production Order","Quantity","Source No.",$D3120,"Equipment Code",$L3120,"due date",F$8)/-12</t>
  </si>
  <si>
    <t>=NL("sum","Production Order","Quantity","Source No.",$D3120,"Equipment Code",$L3120,"due date",G$8)/-12</t>
  </si>
  <si>
    <t>=NL("sum","Production Order","Quantity","Source No.",$D3120,"Equipment Code",$L3120,"due date",H$8)/-12</t>
  </si>
  <si>
    <t>=NL("sum","Production Order","Quantity","Source No.",$D3120,"Equipment Code",$L3120,"due date",I$8)/-12</t>
  </si>
  <si>
    <t>=NL("sum","Production Order","Quantity","Source No.",$D3120,"Equipment Code",$L3120,"due date",J$8)/$J$7</t>
  </si>
  <si>
    <t>=AVERAGE(I3120:J3120)</t>
  </si>
  <si>
    <t>=IF(K3121=0,"hide","")</t>
  </si>
  <si>
    <t>=D3120</t>
  </si>
  <si>
    <t>=NL("sum","Production Order","Quantity","Source No.",$D3121,"Equipment Code",$L3121,"due date",F$8)/-12</t>
  </si>
  <si>
    <t>=NL("sum","Production Order","Quantity","Source No.",$D3121,"Equipment Code",$L3121,"due date",G$8)/-12</t>
  </si>
  <si>
    <t>=NL("sum","Production Order","Quantity","Source No.",$D3121,"Equipment Code",$L3121,"due date",H$8)/-12</t>
  </si>
  <si>
    <t>=NL("sum","Production Order","Quantity","Source No.",$D3121,"Equipment Code",$L3121,"due date",I$8)/-12</t>
  </si>
  <si>
    <t>=NL("sum","Production Order","Quantity","Source No.",$D3121,"Equipment Code",$L3121,"due date",J$8)/$J$7</t>
  </si>
  <si>
    <t>=AVERAGE(I3121:J3121)</t>
  </si>
  <si>
    <t>=IF(K3122=0,"hide","")</t>
  </si>
  <si>
    <t>=D3121</t>
  </si>
  <si>
    <t>=NL("sum","Production Order","Quantity","Source No.",$D3122,"Equipment Code",$L3122,"due date",F$8)/-12</t>
  </si>
  <si>
    <t>=NL("sum","Production Order","Quantity","Source No.",$D3122,"Equipment Code",$L3122,"due date",G$8)/-12</t>
  </si>
  <si>
    <t>=NL("sum","Production Order","Quantity","Source No.",$D3122,"Equipment Code",$L3122,"due date",H$8)/-12</t>
  </si>
  <si>
    <t>=NL("sum","Production Order","Quantity","Source No.",$D3122,"Equipment Code",$L3122,"due date",I$8)/-12</t>
  </si>
  <si>
    <t>=NL("sum","Production Order","Quantity","Source No.",$D3122,"Equipment Code",$L3122,"due date",J$8)/$J$7</t>
  </si>
  <si>
    <t>=AVERAGE(I3122:J3122)</t>
  </si>
  <si>
    <t>=IF(K3123=0,"hide","")</t>
  </si>
  <si>
    <t>=D3122</t>
  </si>
  <si>
    <t>=NL("sum","Production Order","Quantity","Source No.",$D3123,"Equipment Code",$L3123,"due date",F$8)/-12</t>
  </si>
  <si>
    <t>=NL("sum","Production Order","Quantity","Source No.",$D3123,"Equipment Code",$L3123,"due date",G$8)/-12</t>
  </si>
  <si>
    <t>=NL("sum","Production Order","Quantity","Source No.",$D3123,"Equipment Code",$L3123,"due date",H$8)/-12</t>
  </si>
  <si>
    <t>=NL("sum","Production Order","Quantity","Source No.",$D3123,"Equipment Code",$L3123,"due date",I$8)/-12</t>
  </si>
  <si>
    <t>=NL("sum","Production Order","Quantity","Source No.",$D3123,"Equipment Code",$L3123,"due date",J$8)/$J$7</t>
  </si>
  <si>
    <t>=AVERAGE(I3123:J3123)</t>
  </si>
  <si>
    <t>=B3120</t>
  </si>
  <si>
    <t>=B3124</t>
  </si>
  <si>
    <t>=SUM(F3120:F3124)</t>
  </si>
  <si>
    <t>=SUM(G3120:G3124)</t>
  </si>
  <si>
    <t>=SUM(H3120:H3124)</t>
  </si>
  <si>
    <t>=SUM(I3120:I3124)</t>
  </si>
  <si>
    <t>=SUM(J3120:J3124)</t>
  </si>
  <si>
    <t>=IF(K3126=0,"hide","")</t>
  </si>
  <si>
    <t>="42538"</t>
  </si>
  <si>
    <t>=NL("rows","Production BOM Version","Version Code","Production BOM No.",D3126,"status","certified")</t>
  </si>
  <si>
    <t>=NL("sum","Item Ledger Entry","Quantity","Item No.",$D3126,"Entry Type","Sale|Consumption","posting date","01/01/19..12/31/19")/-12</t>
  </si>
  <si>
    <t>=NL("sum","Item Ledger Entry","Quantity","Item No.",$D3126,"Entry Type","Sale|Consumption","posting date","01/01/20..12/31/20")/-12</t>
  </si>
  <si>
    <t>=NL("sum","Item Ledger Entry","Quantity","Item No.",$D3126,"Entry Type","Sale|Consumption","posting date","01/01/21..12/31/21")/-12</t>
  </si>
  <si>
    <t>=NL("sum","Item Ledger Entry","Quantity","Item No.",$D3126,"Entry Type","Sale|Consumption","posting date","01/01/22..12/31/22")/-12</t>
  </si>
  <si>
    <t>=NL("sum","Item Ledger Entry","Quantity","Item No.",$D3126,"Entry Type","Sale|Consumption","posting date","01/01/23..12/31/23")/$J$7</t>
  </si>
  <si>
    <t>=AVERAGE(I3126:J3126)</t>
  </si>
  <si>
    <t>=NL(1,"item",L$9,"no.",D3126)</t>
  </si>
  <si>
    <t>=NL(1,"item",M$9,"no.",$D3126)</t>
  </si>
  <si>
    <t>=NL(1,"item","Units Per Parcel","no.",$D3126)</t>
  </si>
  <si>
    <t>=NL(1,"Prod. BOM Equipment","Fixed Prod. Time (Hours)","Production BOM No.",$D3126,"version code",$E3126,"Resource No.",O$9)</t>
  </si>
  <si>
    <t>=1/O3126</t>
  </si>
  <si>
    <t>=IF(NL(1,"Prod. BOM Equipment","Variable Prod. Time (Hours)","Production BOM No.",$D3126,"version code",$E3126,"Resource No.",$O$9)="",1,NL(1,"Prod. BOM Equipment","Variable Prod. Time (Hours)","Production BOM No.",$D3126,"version code",$E3126,"Resource No.",$O$9))</t>
  </si>
  <si>
    <t>=1/Q3126</t>
  </si>
  <si>
    <t>=R3126*N3126</t>
  </si>
  <si>
    <t>=IF(K3127=0,"hide","")</t>
  </si>
  <si>
    <t>=D3126</t>
  </si>
  <si>
    <t>=NL("sum","Production Order","Quantity","Source No.",$D3127,"Equipment Code",$L3127,"due date",F$8)/-12</t>
  </si>
  <si>
    <t>=NL("sum","Production Order","Quantity","Source No.",$D3127,"Equipment Code",$L3127,"due date",G$8)/-12</t>
  </si>
  <si>
    <t>=NL("sum","Production Order","Quantity","Source No.",$D3127,"Equipment Code",$L3127,"due date",H$8)/-12</t>
  </si>
  <si>
    <t>=NL("sum","Production Order","Quantity","Source No.",$D3127,"Equipment Code",$L3127,"due date",I$8)/-12</t>
  </si>
  <si>
    <t>=NL("sum","Production Order","Quantity","Source No.",$D3127,"Equipment Code",$L3127,"due date",J$8)/$J$7</t>
  </si>
  <si>
    <t>=AVERAGE(I3127:J3127)</t>
  </si>
  <si>
    <t>=IF(K3128=0,"hide","")</t>
  </si>
  <si>
    <t>=D3127</t>
  </si>
  <si>
    <t>=NL("sum","Production Order","Quantity","Source No.",$D3128,"Equipment Code",$L3128,"due date",F$8)/-12</t>
  </si>
  <si>
    <t>=NL("sum","Production Order","Quantity","Source No.",$D3128,"Equipment Code",$L3128,"due date",G$8)/-12</t>
  </si>
  <si>
    <t>=NL("sum","Production Order","Quantity","Source No.",$D3128,"Equipment Code",$L3128,"due date",H$8)/-12</t>
  </si>
  <si>
    <t>=NL("sum","Production Order","Quantity","Source No.",$D3128,"Equipment Code",$L3128,"due date",I$8)/-12</t>
  </si>
  <si>
    <t>=NL("sum","Production Order","Quantity","Source No.",$D3128,"Equipment Code",$L3128,"due date",J$8)/$J$7</t>
  </si>
  <si>
    <t>=AVERAGE(I3128:J3128)</t>
  </si>
  <si>
    <t>=IF(K3129=0,"hide","")</t>
  </si>
  <si>
    <t>=D3128</t>
  </si>
  <si>
    <t>=NL("sum","Production Order","Quantity","Source No.",$D3129,"Equipment Code",$L3129,"due date",F$8)/-12</t>
  </si>
  <si>
    <t>=NL("sum","Production Order","Quantity","Source No.",$D3129,"Equipment Code",$L3129,"due date",G$8)/-12</t>
  </si>
  <si>
    <t>=NL("sum","Production Order","Quantity","Source No.",$D3129,"Equipment Code",$L3129,"due date",H$8)/-12</t>
  </si>
  <si>
    <t>=NL("sum","Production Order","Quantity","Source No.",$D3129,"Equipment Code",$L3129,"due date",I$8)/-12</t>
  </si>
  <si>
    <t>=NL("sum","Production Order","Quantity","Source No.",$D3129,"Equipment Code",$L3129,"due date",J$8)/$J$7</t>
  </si>
  <si>
    <t>=AVERAGE(I3129:J3129)</t>
  </si>
  <si>
    <t>=IF(K3130=0,"hide","")</t>
  </si>
  <si>
    <t>=D3129</t>
  </si>
  <si>
    <t>=NL("sum","Production Order","Quantity","Source No.",$D3130,"Equipment Code",$L3130,"due date",F$8)/-12</t>
  </si>
  <si>
    <t>=NL("sum","Production Order","Quantity","Source No.",$D3130,"Equipment Code",$L3130,"due date",G$8)/-12</t>
  </si>
  <si>
    <t>=NL("sum","Production Order","Quantity","Source No.",$D3130,"Equipment Code",$L3130,"due date",H$8)/-12</t>
  </si>
  <si>
    <t>=NL("sum","Production Order","Quantity","Source No.",$D3130,"Equipment Code",$L3130,"due date",I$8)/-12</t>
  </si>
  <si>
    <t>=NL("sum","Production Order","Quantity","Source No.",$D3130,"Equipment Code",$L3130,"due date",J$8)/$J$7</t>
  </si>
  <si>
    <t>=AVERAGE(I3130:J3130)</t>
  </si>
  <si>
    <t>=B3127</t>
  </si>
  <si>
    <t>=B3131</t>
  </si>
  <si>
    <t>=SUM(F3127:F3131)</t>
  </si>
  <si>
    <t>=SUM(G3127:G3131)</t>
  </si>
  <si>
    <t>=SUM(H3127:H3131)</t>
  </si>
  <si>
    <t>=SUM(I3127:I3131)</t>
  </si>
  <si>
    <t>=SUM(J3127:J3131)</t>
  </si>
  <si>
    <t>=IF(K3133=0,"hide","")</t>
  </si>
  <si>
    <t>="42618"</t>
  </si>
  <si>
    <t>=NL("rows","Production BOM Version","Version Code","Production BOM No.",D3133,"status","certified")</t>
  </si>
  <si>
    <t>=NL("sum","Item Ledger Entry","Quantity","Item No.",$D3133,"Entry Type","Sale|Consumption","posting date","01/01/19..12/31/19")/-12</t>
  </si>
  <si>
    <t>=NL("sum","Item Ledger Entry","Quantity","Item No.",$D3133,"Entry Type","Sale|Consumption","posting date","01/01/20..12/31/20")/-12</t>
  </si>
  <si>
    <t>=NL("sum","Item Ledger Entry","Quantity","Item No.",$D3133,"Entry Type","Sale|Consumption","posting date","01/01/21..12/31/21")/-12</t>
  </si>
  <si>
    <t>=NL("sum","Item Ledger Entry","Quantity","Item No.",$D3133,"Entry Type","Sale|Consumption","posting date","01/01/22..12/31/22")/-12</t>
  </si>
  <si>
    <t>=NL("sum","Item Ledger Entry","Quantity","Item No.",$D3133,"Entry Type","Sale|Consumption","posting date","01/01/23..12/31/23")/$J$7</t>
  </si>
  <si>
    <t>=AVERAGE(I3133:J3133)</t>
  </si>
  <si>
    <t>=NL(1,"item",L$9,"no.",D3133)</t>
  </si>
  <si>
    <t>=NL(1,"item",M$9,"no.",$D3133)</t>
  </si>
  <si>
    <t>=NL(1,"item","Units Per Parcel","no.",$D3133)</t>
  </si>
  <si>
    <t>=NL(1,"Prod. BOM Equipment","Fixed Prod. Time (Hours)","Production BOM No.",$D3133,"version code",$E3133,"Resource No.",O$9)</t>
  </si>
  <si>
    <t>=1/O3133</t>
  </si>
  <si>
    <t>=IF(NL(1,"Prod. BOM Equipment","Variable Prod. Time (Hours)","Production BOM No.",$D3133,"version code",$E3133,"Resource No.",$O$9)="",1,NL(1,"Prod. BOM Equipment","Variable Prod. Time (Hours)","Production BOM No.",$D3133,"version code",$E3133,"Resource No.",$O$9))</t>
  </si>
  <si>
    <t>=1/Q3133</t>
  </si>
  <si>
    <t>=R3133*N3133</t>
  </si>
  <si>
    <t>=IF(K3134=0,"hide","")</t>
  </si>
  <si>
    <t>=D3133</t>
  </si>
  <si>
    <t>=NL("sum","Production Order","Quantity","Source No.",$D3134,"Equipment Code",$L3134,"due date",F$8)/-12</t>
  </si>
  <si>
    <t>=NL("sum","Production Order","Quantity","Source No.",$D3134,"Equipment Code",$L3134,"due date",G$8)/-12</t>
  </si>
  <si>
    <t>=NL("sum","Production Order","Quantity","Source No.",$D3134,"Equipment Code",$L3134,"due date",H$8)/-12</t>
  </si>
  <si>
    <t>=NL("sum","Production Order","Quantity","Source No.",$D3134,"Equipment Code",$L3134,"due date",I$8)/-12</t>
  </si>
  <si>
    <t>=NL("sum","Production Order","Quantity","Source No.",$D3134,"Equipment Code",$L3134,"due date",J$8)/$J$7</t>
  </si>
  <si>
    <t>=AVERAGE(I3134:J3134)</t>
  </si>
  <si>
    <t>=IF(K3135=0,"hide","")</t>
  </si>
  <si>
    <t>=D3134</t>
  </si>
  <si>
    <t>=NL("sum","Production Order","Quantity","Source No.",$D3135,"Equipment Code",$L3135,"due date",F$8)/-12</t>
  </si>
  <si>
    <t>=NL("sum","Production Order","Quantity","Source No.",$D3135,"Equipment Code",$L3135,"due date",G$8)/-12</t>
  </si>
  <si>
    <t>=NL("sum","Production Order","Quantity","Source No.",$D3135,"Equipment Code",$L3135,"due date",H$8)/-12</t>
  </si>
  <si>
    <t>=NL("sum","Production Order","Quantity","Source No.",$D3135,"Equipment Code",$L3135,"due date",I$8)/-12</t>
  </si>
  <si>
    <t>=NL("sum","Production Order","Quantity","Source No.",$D3135,"Equipment Code",$L3135,"due date",J$8)/$J$7</t>
  </si>
  <si>
    <t>=AVERAGE(I3135:J3135)</t>
  </si>
  <si>
    <t>=IF(K3136=0,"hide","")</t>
  </si>
  <si>
    <t>=D3135</t>
  </si>
  <si>
    <t>=NL("sum","Production Order","Quantity","Source No.",$D3136,"Equipment Code",$L3136,"due date",F$8)/-12</t>
  </si>
  <si>
    <t>=NL("sum","Production Order","Quantity","Source No.",$D3136,"Equipment Code",$L3136,"due date",G$8)/-12</t>
  </si>
  <si>
    <t>=NL("sum","Production Order","Quantity","Source No.",$D3136,"Equipment Code",$L3136,"due date",H$8)/-12</t>
  </si>
  <si>
    <t>=NL("sum","Production Order","Quantity","Source No.",$D3136,"Equipment Code",$L3136,"due date",I$8)/-12</t>
  </si>
  <si>
    <t>=NL("sum","Production Order","Quantity","Source No.",$D3136,"Equipment Code",$L3136,"due date",J$8)/$J$7</t>
  </si>
  <si>
    <t>=AVERAGE(I3136:J3136)</t>
  </si>
  <si>
    <t>=IF(K3137=0,"hide","")</t>
  </si>
  <si>
    <t>=D3136</t>
  </si>
  <si>
    <t>=NL("sum","Production Order","Quantity","Source No.",$D3137,"Equipment Code",$L3137,"due date",F$8)/-12</t>
  </si>
  <si>
    <t>=NL("sum","Production Order","Quantity","Source No.",$D3137,"Equipment Code",$L3137,"due date",G$8)/-12</t>
  </si>
  <si>
    <t>=NL("sum","Production Order","Quantity","Source No.",$D3137,"Equipment Code",$L3137,"due date",H$8)/-12</t>
  </si>
  <si>
    <t>=NL("sum","Production Order","Quantity","Source No.",$D3137,"Equipment Code",$L3137,"due date",I$8)/-12</t>
  </si>
  <si>
    <t>=NL("sum","Production Order","Quantity","Source No.",$D3137,"Equipment Code",$L3137,"due date",J$8)/$J$7</t>
  </si>
  <si>
    <t>=AVERAGE(I3137:J3137)</t>
  </si>
  <si>
    <t>=B3134</t>
  </si>
  <si>
    <t>=B3138</t>
  </si>
  <si>
    <t>=SUM(F3134:F3138)</t>
  </si>
  <si>
    <t>=SUM(G3134:G3138)</t>
  </si>
  <si>
    <t>=SUM(H3134:H3138)</t>
  </si>
  <si>
    <t>=SUM(I3134:I3138)</t>
  </si>
  <si>
    <t>=SUM(J3134:J3138)</t>
  </si>
  <si>
    <t>=IF(K3140=0,"hide","")</t>
  </si>
  <si>
    <t>="42633"</t>
  </si>
  <si>
    <t>=NL("rows","Production BOM Version","Version Code","Production BOM No.",D3140,"status","certified")</t>
  </si>
  <si>
    <t>=NL("sum","Item Ledger Entry","Quantity","Item No.",$D3140,"Entry Type","Sale|Consumption","posting date","01/01/19..12/31/19")/-12</t>
  </si>
  <si>
    <t>=NL("sum","Item Ledger Entry","Quantity","Item No.",$D3140,"Entry Type","Sale|Consumption","posting date","01/01/20..12/31/20")/-12</t>
  </si>
  <si>
    <t>=NL("sum","Item Ledger Entry","Quantity","Item No.",$D3140,"Entry Type","Sale|Consumption","posting date","01/01/21..12/31/21")/-12</t>
  </si>
  <si>
    <t>=NL("sum","Item Ledger Entry","Quantity","Item No.",$D3140,"Entry Type","Sale|Consumption","posting date","01/01/22..12/31/22")/-12</t>
  </si>
  <si>
    <t>=NL("sum","Item Ledger Entry","Quantity","Item No.",$D3140,"Entry Type","Sale|Consumption","posting date","01/01/23..12/31/23")/$J$7</t>
  </si>
  <si>
    <t>=AVERAGE(I3140:J3140)</t>
  </si>
  <si>
    <t>=NL(1,"item",L$9,"no.",D3140)</t>
  </si>
  <si>
    <t>=NL(1,"item",M$9,"no.",$D3140)</t>
  </si>
  <si>
    <t>=NL(1,"item","Units Per Parcel","no.",$D3140)</t>
  </si>
  <si>
    <t>=NL(1,"Prod. BOM Equipment","Fixed Prod. Time (Hours)","Production BOM No.",$D3140,"version code",$E3140,"Resource No.",O$9)</t>
  </si>
  <si>
    <t>=1/O3140</t>
  </si>
  <si>
    <t>=IF(NL(1,"Prod. BOM Equipment","Variable Prod. Time (Hours)","Production BOM No.",$D3140,"version code",$E3140,"Resource No.",$O$9)="",1,NL(1,"Prod. BOM Equipment","Variable Prod. Time (Hours)","Production BOM No.",$D3140,"version code",$E3140,"Resource No.",$O$9))</t>
  </si>
  <si>
    <t>=1/Q3140</t>
  </si>
  <si>
    <t>=R3140*N3140</t>
  </si>
  <si>
    <t>=IF(K3141=0,"hide","")</t>
  </si>
  <si>
    <t>=D3140</t>
  </si>
  <si>
    <t>=NL("sum","Production Order","Quantity","Source No.",$D3141,"Equipment Code",$L3141,"due date",F$8)/-12</t>
  </si>
  <si>
    <t>=NL("sum","Production Order","Quantity","Source No.",$D3141,"Equipment Code",$L3141,"due date",G$8)/-12</t>
  </si>
  <si>
    <t>=NL("sum","Production Order","Quantity","Source No.",$D3141,"Equipment Code",$L3141,"due date",H$8)/-12</t>
  </si>
  <si>
    <t>=NL("sum","Production Order","Quantity","Source No.",$D3141,"Equipment Code",$L3141,"due date",I$8)/-12</t>
  </si>
  <si>
    <t>=NL("sum","Production Order","Quantity","Source No.",$D3141,"Equipment Code",$L3141,"due date",J$8)/$J$7</t>
  </si>
  <si>
    <t>=AVERAGE(I3141:J3141)</t>
  </si>
  <si>
    <t>=IF(K3142=0,"hide","")</t>
  </si>
  <si>
    <t>=D3141</t>
  </si>
  <si>
    <t>=NL("sum","Production Order","Quantity","Source No.",$D3142,"Equipment Code",$L3142,"due date",F$8)/-12</t>
  </si>
  <si>
    <t>=NL("sum","Production Order","Quantity","Source No.",$D3142,"Equipment Code",$L3142,"due date",G$8)/-12</t>
  </si>
  <si>
    <t>=NL("sum","Production Order","Quantity","Source No.",$D3142,"Equipment Code",$L3142,"due date",H$8)/-12</t>
  </si>
  <si>
    <t>=NL("sum","Production Order","Quantity","Source No.",$D3142,"Equipment Code",$L3142,"due date",I$8)/-12</t>
  </si>
  <si>
    <t>=NL("sum","Production Order","Quantity","Source No.",$D3142,"Equipment Code",$L3142,"due date",J$8)/$J$7</t>
  </si>
  <si>
    <t>=AVERAGE(I3142:J3142)</t>
  </si>
  <si>
    <t>=IF(K3143=0,"hide","")</t>
  </si>
  <si>
    <t>=D3142</t>
  </si>
  <si>
    <t>=NL("sum","Production Order","Quantity","Source No.",$D3143,"Equipment Code",$L3143,"due date",F$8)/-12</t>
  </si>
  <si>
    <t>=NL("sum","Production Order","Quantity","Source No.",$D3143,"Equipment Code",$L3143,"due date",G$8)/-12</t>
  </si>
  <si>
    <t>=NL("sum","Production Order","Quantity","Source No.",$D3143,"Equipment Code",$L3143,"due date",H$8)/-12</t>
  </si>
  <si>
    <t>=NL("sum","Production Order","Quantity","Source No.",$D3143,"Equipment Code",$L3143,"due date",I$8)/-12</t>
  </si>
  <si>
    <t>=NL("sum","Production Order","Quantity","Source No.",$D3143,"Equipment Code",$L3143,"due date",J$8)/$J$7</t>
  </si>
  <si>
    <t>=AVERAGE(I3143:J3143)</t>
  </si>
  <si>
    <t>=IF(K3144=0,"hide","")</t>
  </si>
  <si>
    <t>=D3143</t>
  </si>
  <si>
    <t>=NL("sum","Production Order","Quantity","Source No.",$D3144,"Equipment Code",$L3144,"due date",F$8)/-12</t>
  </si>
  <si>
    <t>=NL("sum","Production Order","Quantity","Source No.",$D3144,"Equipment Code",$L3144,"due date",G$8)/-12</t>
  </si>
  <si>
    <t>=NL("sum","Production Order","Quantity","Source No.",$D3144,"Equipment Code",$L3144,"due date",H$8)/-12</t>
  </si>
  <si>
    <t>=NL("sum","Production Order","Quantity","Source No.",$D3144,"Equipment Code",$L3144,"due date",I$8)/-12</t>
  </si>
  <si>
    <t>=NL("sum","Production Order","Quantity","Source No.",$D3144,"Equipment Code",$L3144,"due date",J$8)/$J$7</t>
  </si>
  <si>
    <t>=AVERAGE(I3144:J3144)</t>
  </si>
  <si>
    <t>=B3141</t>
  </si>
  <si>
    <t>=B3145</t>
  </si>
  <si>
    <t>=SUM(F3141:F3145)</t>
  </si>
  <si>
    <t>=SUM(G3141:G3145)</t>
  </si>
  <si>
    <t>=SUM(H3141:H3145)</t>
  </si>
  <si>
    <t>=SUM(I3141:I3145)</t>
  </si>
  <si>
    <t>=SUM(J3141:J3145)</t>
  </si>
  <si>
    <t>=IF(K3147=0,"hide","")</t>
  </si>
  <si>
    <t>="42661"</t>
  </si>
  <si>
    <t>=NL("rows","Production BOM Version","Version Code","Production BOM No.",D3147,"status","certified")</t>
  </si>
  <si>
    <t>=NL("sum","Item Ledger Entry","Quantity","Item No.",$D3147,"Entry Type","Sale|Consumption","posting date","01/01/19..12/31/19")/-12</t>
  </si>
  <si>
    <t>=NL("sum","Item Ledger Entry","Quantity","Item No.",$D3147,"Entry Type","Sale|Consumption","posting date","01/01/20..12/31/20")/-12</t>
  </si>
  <si>
    <t>=NL("sum","Item Ledger Entry","Quantity","Item No.",$D3147,"Entry Type","Sale|Consumption","posting date","01/01/21..12/31/21")/-12</t>
  </si>
  <si>
    <t>=NL("sum","Item Ledger Entry","Quantity","Item No.",$D3147,"Entry Type","Sale|Consumption","posting date","01/01/22..12/31/22")/-12</t>
  </si>
  <si>
    <t>=NL("sum","Item Ledger Entry","Quantity","Item No.",$D3147,"Entry Type","Sale|Consumption","posting date","01/01/23..12/31/23")/$J$7</t>
  </si>
  <si>
    <t>=AVERAGE(I3147:J3147)</t>
  </si>
  <si>
    <t>=NL(1,"item",L$9,"no.",D3147)</t>
  </si>
  <si>
    <t>=NL(1,"item",M$9,"no.",$D3147)</t>
  </si>
  <si>
    <t>=NL(1,"item","Units Per Parcel","no.",$D3147)</t>
  </si>
  <si>
    <t>=NL(1,"Prod. BOM Equipment","Fixed Prod. Time (Hours)","Production BOM No.",$D3147,"version code",$E3147,"Resource No.",O$9)</t>
  </si>
  <si>
    <t>=1/O3147</t>
  </si>
  <si>
    <t>=IF(NL(1,"Prod. BOM Equipment","Variable Prod. Time (Hours)","Production BOM No.",$D3147,"version code",$E3147,"Resource No.",$O$9)="",1,NL(1,"Prod. BOM Equipment","Variable Prod. Time (Hours)","Production BOM No.",$D3147,"version code",$E3147,"Resource No.",$O$9))</t>
  </si>
  <si>
    <t>=1/Q3147</t>
  </si>
  <si>
    <t>=R3147*N3147</t>
  </si>
  <si>
    <t>=IF(K3148=0,"hide","")</t>
  </si>
  <si>
    <t>=D3147</t>
  </si>
  <si>
    <t>=NL("sum","Production Order","Quantity","Source No.",$D3148,"Equipment Code",$L3148,"due date",F$8)/-12</t>
  </si>
  <si>
    <t>=NL("sum","Production Order","Quantity","Source No.",$D3148,"Equipment Code",$L3148,"due date",G$8)/-12</t>
  </si>
  <si>
    <t>=NL("sum","Production Order","Quantity","Source No.",$D3148,"Equipment Code",$L3148,"due date",H$8)/-12</t>
  </si>
  <si>
    <t>=NL("sum","Production Order","Quantity","Source No.",$D3148,"Equipment Code",$L3148,"due date",I$8)/-12</t>
  </si>
  <si>
    <t>=NL("sum","Production Order","Quantity","Source No.",$D3148,"Equipment Code",$L3148,"due date",J$8)/$J$7</t>
  </si>
  <si>
    <t>=AVERAGE(I3148:J3148)</t>
  </si>
  <si>
    <t>=IF(K3149=0,"hide","")</t>
  </si>
  <si>
    <t>=D3148</t>
  </si>
  <si>
    <t>=NL("sum","Production Order","Quantity","Source No.",$D3149,"Equipment Code",$L3149,"due date",F$8)/-12</t>
  </si>
  <si>
    <t>=NL("sum","Production Order","Quantity","Source No.",$D3149,"Equipment Code",$L3149,"due date",G$8)/-12</t>
  </si>
  <si>
    <t>=NL("sum","Production Order","Quantity","Source No.",$D3149,"Equipment Code",$L3149,"due date",H$8)/-12</t>
  </si>
  <si>
    <t>=NL("sum","Production Order","Quantity","Source No.",$D3149,"Equipment Code",$L3149,"due date",I$8)/-12</t>
  </si>
  <si>
    <t>=NL("sum","Production Order","Quantity","Source No.",$D3149,"Equipment Code",$L3149,"due date",J$8)/$J$7</t>
  </si>
  <si>
    <t>=AVERAGE(I3149:J3149)</t>
  </si>
  <si>
    <t>=IF(K3150=0,"hide","")</t>
  </si>
  <si>
    <t>=D3149</t>
  </si>
  <si>
    <t>=NL("sum","Production Order","Quantity","Source No.",$D3150,"Equipment Code",$L3150,"due date",F$8)/-12</t>
  </si>
  <si>
    <t>=NL("sum","Production Order","Quantity","Source No.",$D3150,"Equipment Code",$L3150,"due date",G$8)/-12</t>
  </si>
  <si>
    <t>=NL("sum","Production Order","Quantity","Source No.",$D3150,"Equipment Code",$L3150,"due date",H$8)/-12</t>
  </si>
  <si>
    <t>=NL("sum","Production Order","Quantity","Source No.",$D3150,"Equipment Code",$L3150,"due date",I$8)/-12</t>
  </si>
  <si>
    <t>=NL("sum","Production Order","Quantity","Source No.",$D3150,"Equipment Code",$L3150,"due date",J$8)/$J$7</t>
  </si>
  <si>
    <t>=AVERAGE(I3150:J3150)</t>
  </si>
  <si>
    <t>=IF(K3151=0,"hide","")</t>
  </si>
  <si>
    <t>=D3150</t>
  </si>
  <si>
    <t>=NL("sum","Production Order","Quantity","Source No.",$D3151,"Equipment Code",$L3151,"due date",F$8)/-12</t>
  </si>
  <si>
    <t>=NL("sum","Production Order","Quantity","Source No.",$D3151,"Equipment Code",$L3151,"due date",G$8)/-12</t>
  </si>
  <si>
    <t>=NL("sum","Production Order","Quantity","Source No.",$D3151,"Equipment Code",$L3151,"due date",H$8)/-12</t>
  </si>
  <si>
    <t>=NL("sum","Production Order","Quantity","Source No.",$D3151,"Equipment Code",$L3151,"due date",I$8)/-12</t>
  </si>
  <si>
    <t>=NL("sum","Production Order","Quantity","Source No.",$D3151,"Equipment Code",$L3151,"due date",J$8)/$J$7</t>
  </si>
  <si>
    <t>=AVERAGE(I3151:J3151)</t>
  </si>
  <si>
    <t>=B3148</t>
  </si>
  <si>
    <t>=B3152</t>
  </si>
  <si>
    <t>=SUM(F3148:F3152)</t>
  </si>
  <si>
    <t>=SUM(G3148:G3152)</t>
  </si>
  <si>
    <t>=SUM(H3148:H3152)</t>
  </si>
  <si>
    <t>=SUM(I3148:I3152)</t>
  </si>
  <si>
    <t>=SUM(J3148:J3152)</t>
  </si>
  <si>
    <t>=IF(K3154=0,"hide","")</t>
  </si>
  <si>
    <t>="42665"</t>
  </si>
  <si>
    <t>=NL("rows","Production BOM Version","Version Code","Production BOM No.",D3154,"status","certified")</t>
  </si>
  <si>
    <t>=NL("sum","Item Ledger Entry","Quantity","Item No.",$D3154,"Entry Type","Sale|Consumption","posting date","01/01/19..12/31/19")/-12</t>
  </si>
  <si>
    <t>=NL("sum","Item Ledger Entry","Quantity","Item No.",$D3154,"Entry Type","Sale|Consumption","posting date","01/01/20..12/31/20")/-12</t>
  </si>
  <si>
    <t>=NL("sum","Item Ledger Entry","Quantity","Item No.",$D3154,"Entry Type","Sale|Consumption","posting date","01/01/21..12/31/21")/-12</t>
  </si>
  <si>
    <t>=NL("sum","Item Ledger Entry","Quantity","Item No.",$D3154,"Entry Type","Sale|Consumption","posting date","01/01/22..12/31/22")/-12</t>
  </si>
  <si>
    <t>=NL("sum","Item Ledger Entry","Quantity","Item No.",$D3154,"Entry Type","Sale|Consumption","posting date","01/01/23..12/31/23")/$J$7</t>
  </si>
  <si>
    <t>=AVERAGE(I3154:J3154)</t>
  </si>
  <si>
    <t>=NL(1,"item",L$9,"no.",D3154)</t>
  </si>
  <si>
    <t>=NL(1,"item",M$9,"no.",$D3154)</t>
  </si>
  <si>
    <t>=NL(1,"item","Units Per Parcel","no.",$D3154)</t>
  </si>
  <si>
    <t>=NL(1,"Prod. BOM Equipment","Fixed Prod. Time (Hours)","Production BOM No.",$D3154,"version code",$E3154,"Resource No.",O$9)</t>
  </si>
  <si>
    <t>=1/O3154</t>
  </si>
  <si>
    <t>=IF(NL(1,"Prod. BOM Equipment","Variable Prod. Time (Hours)","Production BOM No.",$D3154,"version code",$E3154,"Resource No.",$O$9)="",1,NL(1,"Prod. BOM Equipment","Variable Prod. Time (Hours)","Production BOM No.",$D3154,"version code",$E3154,"Resource No.",$O$9))</t>
  </si>
  <si>
    <t>=1/Q3154</t>
  </si>
  <si>
    <t>=R3154*N3154</t>
  </si>
  <si>
    <t>=IF(K3155=0,"hide","")</t>
  </si>
  <si>
    <t>=D3154</t>
  </si>
  <si>
    <t>=NL("sum","Production Order","Quantity","Source No.",$D3155,"Equipment Code",$L3155,"due date",F$8)/-12</t>
  </si>
  <si>
    <t>=NL("sum","Production Order","Quantity","Source No.",$D3155,"Equipment Code",$L3155,"due date",G$8)/-12</t>
  </si>
  <si>
    <t>=NL("sum","Production Order","Quantity","Source No.",$D3155,"Equipment Code",$L3155,"due date",H$8)/-12</t>
  </si>
  <si>
    <t>=NL("sum","Production Order","Quantity","Source No.",$D3155,"Equipment Code",$L3155,"due date",I$8)/-12</t>
  </si>
  <si>
    <t>=NL("sum","Production Order","Quantity","Source No.",$D3155,"Equipment Code",$L3155,"due date",J$8)/$J$7</t>
  </si>
  <si>
    <t>=AVERAGE(I3155:J3155)</t>
  </si>
  <si>
    <t>=IF(K3156=0,"hide","")</t>
  </si>
  <si>
    <t>=D3155</t>
  </si>
  <si>
    <t>=NL("sum","Production Order","Quantity","Source No.",$D3156,"Equipment Code",$L3156,"due date",F$8)/-12</t>
  </si>
  <si>
    <t>=NL("sum","Production Order","Quantity","Source No.",$D3156,"Equipment Code",$L3156,"due date",G$8)/-12</t>
  </si>
  <si>
    <t>=NL("sum","Production Order","Quantity","Source No.",$D3156,"Equipment Code",$L3156,"due date",H$8)/-12</t>
  </si>
  <si>
    <t>=NL("sum","Production Order","Quantity","Source No.",$D3156,"Equipment Code",$L3156,"due date",I$8)/-12</t>
  </si>
  <si>
    <t>=NL("sum","Production Order","Quantity","Source No.",$D3156,"Equipment Code",$L3156,"due date",J$8)/$J$7</t>
  </si>
  <si>
    <t>=AVERAGE(I3156:J3156)</t>
  </si>
  <si>
    <t>=IF(K3157=0,"hide","")</t>
  </si>
  <si>
    <t>=D3156</t>
  </si>
  <si>
    <t>=NL("sum","Production Order","Quantity","Source No.",$D3157,"Equipment Code",$L3157,"due date",F$8)/-12</t>
  </si>
  <si>
    <t>=NL("sum","Production Order","Quantity","Source No.",$D3157,"Equipment Code",$L3157,"due date",G$8)/-12</t>
  </si>
  <si>
    <t>=NL("sum","Production Order","Quantity","Source No.",$D3157,"Equipment Code",$L3157,"due date",H$8)/-12</t>
  </si>
  <si>
    <t>=NL("sum","Production Order","Quantity","Source No.",$D3157,"Equipment Code",$L3157,"due date",I$8)/-12</t>
  </si>
  <si>
    <t>=NL("sum","Production Order","Quantity","Source No.",$D3157,"Equipment Code",$L3157,"due date",J$8)/$J$7</t>
  </si>
  <si>
    <t>=AVERAGE(I3157:J3157)</t>
  </si>
  <si>
    <t>=IF(K3158=0,"hide","")</t>
  </si>
  <si>
    <t>=D3157</t>
  </si>
  <si>
    <t>=NL("sum","Production Order","Quantity","Source No.",$D3158,"Equipment Code",$L3158,"due date",F$8)/-12</t>
  </si>
  <si>
    <t>=NL("sum","Production Order","Quantity","Source No.",$D3158,"Equipment Code",$L3158,"due date",G$8)/-12</t>
  </si>
  <si>
    <t>=NL("sum","Production Order","Quantity","Source No.",$D3158,"Equipment Code",$L3158,"due date",H$8)/-12</t>
  </si>
  <si>
    <t>=NL("sum","Production Order","Quantity","Source No.",$D3158,"Equipment Code",$L3158,"due date",I$8)/-12</t>
  </si>
  <si>
    <t>=NL("sum","Production Order","Quantity","Source No.",$D3158,"Equipment Code",$L3158,"due date",J$8)/$J$7</t>
  </si>
  <si>
    <t>=AVERAGE(I3158:J3158)</t>
  </si>
  <si>
    <t>=B3155</t>
  </si>
  <si>
    <t>=B3159</t>
  </si>
  <si>
    <t>=SUM(F3155:F3159)</t>
  </si>
  <si>
    <t>=SUM(G3155:G3159)</t>
  </si>
  <si>
    <t>=SUM(H3155:H3159)</t>
  </si>
  <si>
    <t>=SUM(I3155:I3159)</t>
  </si>
  <si>
    <t>=SUM(J3155:J3159)</t>
  </si>
  <si>
    <t>=IF(K3161=0,"hide","")</t>
  </si>
  <si>
    <t>="42666"</t>
  </si>
  <si>
    <t>=NL("rows","Production BOM Version","Version Code","Production BOM No.",D3161,"status","certified")</t>
  </si>
  <si>
    <t>=NL("sum","Item Ledger Entry","Quantity","Item No.",$D3161,"Entry Type","Sale|Consumption","posting date","01/01/19..12/31/19")/-12</t>
  </si>
  <si>
    <t>=NL("sum","Item Ledger Entry","Quantity","Item No.",$D3161,"Entry Type","Sale|Consumption","posting date","01/01/20..12/31/20")/-12</t>
  </si>
  <si>
    <t>=NL("sum","Item Ledger Entry","Quantity","Item No.",$D3161,"Entry Type","Sale|Consumption","posting date","01/01/21..12/31/21")/-12</t>
  </si>
  <si>
    <t>=NL("sum","Item Ledger Entry","Quantity","Item No.",$D3161,"Entry Type","Sale|Consumption","posting date","01/01/22..12/31/22")/-12</t>
  </si>
  <si>
    <t>=NL("sum","Item Ledger Entry","Quantity","Item No.",$D3161,"Entry Type","Sale|Consumption","posting date","01/01/23..12/31/23")/$J$7</t>
  </si>
  <si>
    <t>=AVERAGE(I3161:J3161)</t>
  </si>
  <si>
    <t>=NL(1,"item",L$9,"no.",D3161)</t>
  </si>
  <si>
    <t>=NL(1,"item",M$9,"no.",$D3161)</t>
  </si>
  <si>
    <t>=NL(1,"item","Units Per Parcel","no.",$D3161)</t>
  </si>
  <si>
    <t>=NL(1,"Prod. BOM Equipment","Fixed Prod. Time (Hours)","Production BOM No.",$D3161,"version code",$E3161,"Resource No.",O$9)</t>
  </si>
  <si>
    <t>=1/O3161</t>
  </si>
  <si>
    <t>=IF(NL(1,"Prod. BOM Equipment","Variable Prod. Time (Hours)","Production BOM No.",$D3161,"version code",$E3161,"Resource No.",$O$9)="",1,NL(1,"Prod. BOM Equipment","Variable Prod. Time (Hours)","Production BOM No.",$D3161,"version code",$E3161,"Resource No.",$O$9))</t>
  </si>
  <si>
    <t>=1/Q3161</t>
  </si>
  <si>
    <t>=R3161*N3161</t>
  </si>
  <si>
    <t>=IF(K3162=0,"hide","")</t>
  </si>
  <si>
    <t>=D3161</t>
  </si>
  <si>
    <t>=NL("sum","Production Order","Quantity","Source No.",$D3162,"Equipment Code",$L3162,"due date",F$8)/-12</t>
  </si>
  <si>
    <t>=NL("sum","Production Order","Quantity","Source No.",$D3162,"Equipment Code",$L3162,"due date",G$8)/-12</t>
  </si>
  <si>
    <t>=NL("sum","Production Order","Quantity","Source No.",$D3162,"Equipment Code",$L3162,"due date",H$8)/-12</t>
  </si>
  <si>
    <t>=NL("sum","Production Order","Quantity","Source No.",$D3162,"Equipment Code",$L3162,"due date",I$8)/-12</t>
  </si>
  <si>
    <t>=NL("sum","Production Order","Quantity","Source No.",$D3162,"Equipment Code",$L3162,"due date",J$8)/$J$7</t>
  </si>
  <si>
    <t>=AVERAGE(I3162:J3162)</t>
  </si>
  <si>
    <t>=IF(K3163=0,"hide","")</t>
  </si>
  <si>
    <t>=D3162</t>
  </si>
  <si>
    <t>=NL("sum","Production Order","Quantity","Source No.",$D3163,"Equipment Code",$L3163,"due date",F$8)/-12</t>
  </si>
  <si>
    <t>=NL("sum","Production Order","Quantity","Source No.",$D3163,"Equipment Code",$L3163,"due date",G$8)/-12</t>
  </si>
  <si>
    <t>=NL("sum","Production Order","Quantity","Source No.",$D3163,"Equipment Code",$L3163,"due date",H$8)/-12</t>
  </si>
  <si>
    <t>=NL("sum","Production Order","Quantity","Source No.",$D3163,"Equipment Code",$L3163,"due date",I$8)/-12</t>
  </si>
  <si>
    <t>=NL("sum","Production Order","Quantity","Source No.",$D3163,"Equipment Code",$L3163,"due date",J$8)/$J$7</t>
  </si>
  <si>
    <t>=AVERAGE(I3163:J3163)</t>
  </si>
  <si>
    <t>=IF(K3164=0,"hide","")</t>
  </si>
  <si>
    <t>=D3163</t>
  </si>
  <si>
    <t>=NL("sum","Production Order","Quantity","Source No.",$D3164,"Equipment Code",$L3164,"due date",F$8)/-12</t>
  </si>
  <si>
    <t>=NL("sum","Production Order","Quantity","Source No.",$D3164,"Equipment Code",$L3164,"due date",G$8)/-12</t>
  </si>
  <si>
    <t>=NL("sum","Production Order","Quantity","Source No.",$D3164,"Equipment Code",$L3164,"due date",H$8)/-12</t>
  </si>
  <si>
    <t>=NL("sum","Production Order","Quantity","Source No.",$D3164,"Equipment Code",$L3164,"due date",I$8)/-12</t>
  </si>
  <si>
    <t>=NL("sum","Production Order","Quantity","Source No.",$D3164,"Equipment Code",$L3164,"due date",J$8)/$J$7</t>
  </si>
  <si>
    <t>=AVERAGE(I3164:J3164)</t>
  </si>
  <si>
    <t>=IF(K3165=0,"hide","")</t>
  </si>
  <si>
    <t>=D3164</t>
  </si>
  <si>
    <t>=NL("sum","Production Order","Quantity","Source No.",$D3165,"Equipment Code",$L3165,"due date",F$8)/-12</t>
  </si>
  <si>
    <t>=NL("sum","Production Order","Quantity","Source No.",$D3165,"Equipment Code",$L3165,"due date",G$8)/-12</t>
  </si>
  <si>
    <t>=NL("sum","Production Order","Quantity","Source No.",$D3165,"Equipment Code",$L3165,"due date",H$8)/-12</t>
  </si>
  <si>
    <t>=NL("sum","Production Order","Quantity","Source No.",$D3165,"Equipment Code",$L3165,"due date",I$8)/-12</t>
  </si>
  <si>
    <t>=NL("sum","Production Order","Quantity","Source No.",$D3165,"Equipment Code",$L3165,"due date",J$8)/$J$7</t>
  </si>
  <si>
    <t>=AVERAGE(I3165:J3165)</t>
  </si>
  <si>
    <t>=B3162</t>
  </si>
  <si>
    <t>=B3166</t>
  </si>
  <si>
    <t>=SUM(F3162:F3166)</t>
  </si>
  <si>
    <t>=SUM(G3162:G3166)</t>
  </si>
  <si>
    <t>=SUM(H3162:H3166)</t>
  </si>
  <si>
    <t>=SUM(I3162:I3166)</t>
  </si>
  <si>
    <t>=SUM(J3162:J3166)</t>
  </si>
  <si>
    <t>=IF(K3168=0,"hide","")</t>
  </si>
  <si>
    <t>="42670"</t>
  </si>
  <si>
    <t>=NL("rows","Production BOM Version","Version Code","Production BOM No.",D3168,"status","certified")</t>
  </si>
  <si>
    <t>=NL("sum","Item Ledger Entry","Quantity","Item No.",$D3168,"Entry Type","Sale|Consumption","posting date","01/01/19..12/31/19")/-12</t>
  </si>
  <si>
    <t>=NL("sum","Item Ledger Entry","Quantity","Item No.",$D3168,"Entry Type","Sale|Consumption","posting date","01/01/20..12/31/20")/-12</t>
  </si>
  <si>
    <t>=NL("sum","Item Ledger Entry","Quantity","Item No.",$D3168,"Entry Type","Sale|Consumption","posting date","01/01/21..12/31/21")/-12</t>
  </si>
  <si>
    <t>=NL("sum","Item Ledger Entry","Quantity","Item No.",$D3168,"Entry Type","Sale|Consumption","posting date","01/01/22..12/31/22")/-12</t>
  </si>
  <si>
    <t>=NL("sum","Item Ledger Entry","Quantity","Item No.",$D3168,"Entry Type","Sale|Consumption","posting date","01/01/23..12/31/23")/$J$7</t>
  </si>
  <si>
    <t>=AVERAGE(I3168:J3168)</t>
  </si>
  <si>
    <t>=NL(1,"item",L$9,"no.",D3168)</t>
  </si>
  <si>
    <t>=NL(1,"item",M$9,"no.",$D3168)</t>
  </si>
  <si>
    <t>=NL(1,"item","Units Per Parcel","no.",$D3168)</t>
  </si>
  <si>
    <t>=NL(1,"Prod. BOM Equipment","Fixed Prod. Time (Hours)","Production BOM No.",$D3168,"version code",$E3168,"Resource No.",O$9)</t>
  </si>
  <si>
    <t>=1/O3168</t>
  </si>
  <si>
    <t>=IF(NL(1,"Prod. BOM Equipment","Variable Prod. Time (Hours)","Production BOM No.",$D3168,"version code",$E3168,"Resource No.",$O$9)="",1,NL(1,"Prod. BOM Equipment","Variable Prod. Time (Hours)","Production BOM No.",$D3168,"version code",$E3168,"Resource No.",$O$9))</t>
  </si>
  <si>
    <t>=1/Q3168</t>
  </si>
  <si>
    <t>=R3168*N3168</t>
  </si>
  <si>
    <t>=IF(K3169=0,"hide","")</t>
  </si>
  <si>
    <t>=D3168</t>
  </si>
  <si>
    <t>=NL("sum","Production Order","Quantity","Source No.",$D3169,"Equipment Code",$L3169,"due date",F$8)/-12</t>
  </si>
  <si>
    <t>=NL("sum","Production Order","Quantity","Source No.",$D3169,"Equipment Code",$L3169,"due date",G$8)/-12</t>
  </si>
  <si>
    <t>=NL("sum","Production Order","Quantity","Source No.",$D3169,"Equipment Code",$L3169,"due date",H$8)/-12</t>
  </si>
  <si>
    <t>=NL("sum","Production Order","Quantity","Source No.",$D3169,"Equipment Code",$L3169,"due date",I$8)/-12</t>
  </si>
  <si>
    <t>=NL("sum","Production Order","Quantity","Source No.",$D3169,"Equipment Code",$L3169,"due date",J$8)/$J$7</t>
  </si>
  <si>
    <t>=AVERAGE(I3169:J3169)</t>
  </si>
  <si>
    <t>=IF(K3170=0,"hide","")</t>
  </si>
  <si>
    <t>=D3169</t>
  </si>
  <si>
    <t>=NL("sum","Production Order","Quantity","Source No.",$D3170,"Equipment Code",$L3170,"due date",F$8)/-12</t>
  </si>
  <si>
    <t>=NL("sum","Production Order","Quantity","Source No.",$D3170,"Equipment Code",$L3170,"due date",G$8)/-12</t>
  </si>
  <si>
    <t>=NL("sum","Production Order","Quantity","Source No.",$D3170,"Equipment Code",$L3170,"due date",H$8)/-12</t>
  </si>
  <si>
    <t>=NL("sum","Production Order","Quantity","Source No.",$D3170,"Equipment Code",$L3170,"due date",I$8)/-12</t>
  </si>
  <si>
    <t>=NL("sum","Production Order","Quantity","Source No.",$D3170,"Equipment Code",$L3170,"due date",J$8)/$J$7</t>
  </si>
  <si>
    <t>=AVERAGE(I3170:J3170)</t>
  </si>
  <si>
    <t>=IF(K3171=0,"hide","")</t>
  </si>
  <si>
    <t>=D3170</t>
  </si>
  <si>
    <t>=NL("sum","Production Order","Quantity","Source No.",$D3171,"Equipment Code",$L3171,"due date",F$8)/-12</t>
  </si>
  <si>
    <t>=NL("sum","Production Order","Quantity","Source No.",$D3171,"Equipment Code",$L3171,"due date",G$8)/-12</t>
  </si>
  <si>
    <t>=NL("sum","Production Order","Quantity","Source No.",$D3171,"Equipment Code",$L3171,"due date",H$8)/-12</t>
  </si>
  <si>
    <t>=NL("sum","Production Order","Quantity","Source No.",$D3171,"Equipment Code",$L3171,"due date",I$8)/-12</t>
  </si>
  <si>
    <t>=NL("sum","Production Order","Quantity","Source No.",$D3171,"Equipment Code",$L3171,"due date",J$8)/$J$7</t>
  </si>
  <si>
    <t>=AVERAGE(I3171:J3171)</t>
  </si>
  <si>
    <t>=IF(K3172=0,"hide","")</t>
  </si>
  <si>
    <t>=D3171</t>
  </si>
  <si>
    <t>=NL("sum","Production Order","Quantity","Source No.",$D3172,"Equipment Code",$L3172,"due date",F$8)/-12</t>
  </si>
  <si>
    <t>=NL("sum","Production Order","Quantity","Source No.",$D3172,"Equipment Code",$L3172,"due date",G$8)/-12</t>
  </si>
  <si>
    <t>=NL("sum","Production Order","Quantity","Source No.",$D3172,"Equipment Code",$L3172,"due date",H$8)/-12</t>
  </si>
  <si>
    <t>=NL("sum","Production Order","Quantity","Source No.",$D3172,"Equipment Code",$L3172,"due date",I$8)/-12</t>
  </si>
  <si>
    <t>=NL("sum","Production Order","Quantity","Source No.",$D3172,"Equipment Code",$L3172,"due date",J$8)/$J$7</t>
  </si>
  <si>
    <t>=AVERAGE(I3172:J3172)</t>
  </si>
  <si>
    <t>=B3169</t>
  </si>
  <si>
    <t>=B3173</t>
  </si>
  <si>
    <t>=SUM(F3169:F3173)</t>
  </si>
  <si>
    <t>=SUM(G3169:G3173)</t>
  </si>
  <si>
    <t>=SUM(H3169:H3173)</t>
  </si>
  <si>
    <t>=SUM(I3169:I3173)</t>
  </si>
  <si>
    <t>=SUM(J3169:J3173)</t>
  </si>
  <si>
    <t>=IF(K3175=0,"hide","")</t>
  </si>
  <si>
    <t>="42675"</t>
  </si>
  <si>
    <t>=NL("rows","Production BOM Version","Version Code","Production BOM No.",D3175,"status","certified")</t>
  </si>
  <si>
    <t>=NL("sum","Item Ledger Entry","Quantity","Item No.",$D3175,"Entry Type","Sale|Consumption","posting date","01/01/19..12/31/19")/-12</t>
  </si>
  <si>
    <t>=NL("sum","Item Ledger Entry","Quantity","Item No.",$D3175,"Entry Type","Sale|Consumption","posting date","01/01/20..12/31/20")/-12</t>
  </si>
  <si>
    <t>=NL("sum","Item Ledger Entry","Quantity","Item No.",$D3175,"Entry Type","Sale|Consumption","posting date","01/01/21..12/31/21")/-12</t>
  </si>
  <si>
    <t>=NL("sum","Item Ledger Entry","Quantity","Item No.",$D3175,"Entry Type","Sale|Consumption","posting date","01/01/22..12/31/22")/-12</t>
  </si>
  <si>
    <t>=NL("sum","Item Ledger Entry","Quantity","Item No.",$D3175,"Entry Type","Sale|Consumption","posting date","01/01/23..12/31/23")/$J$7</t>
  </si>
  <si>
    <t>=AVERAGE(I3175:J3175)</t>
  </si>
  <si>
    <t>=NL(1,"item",L$9,"no.",D3175)</t>
  </si>
  <si>
    <t>=NL(1,"item",M$9,"no.",$D3175)</t>
  </si>
  <si>
    <t>=NL(1,"item","Units Per Parcel","no.",$D3175)</t>
  </si>
  <si>
    <t>=NL(1,"Prod. BOM Equipment","Fixed Prod. Time (Hours)","Production BOM No.",$D3175,"version code",$E3175,"Resource No.",O$9)</t>
  </si>
  <si>
    <t>=1/O3175</t>
  </si>
  <si>
    <t>=IF(NL(1,"Prod. BOM Equipment","Variable Prod. Time (Hours)","Production BOM No.",$D3175,"version code",$E3175,"Resource No.",$O$9)="",1,NL(1,"Prod. BOM Equipment","Variable Prod. Time (Hours)","Production BOM No.",$D3175,"version code",$E3175,"Resource No.",$O$9))</t>
  </si>
  <si>
    <t>=1/Q3175</t>
  </si>
  <si>
    <t>=R3175*N3175</t>
  </si>
  <si>
    <t>=IF(K3176=0,"hide","")</t>
  </si>
  <si>
    <t>=D3175</t>
  </si>
  <si>
    <t>=NL("sum","Production Order","Quantity","Source No.",$D3176,"Equipment Code",$L3176,"due date",F$8)/-12</t>
  </si>
  <si>
    <t>=NL("sum","Production Order","Quantity","Source No.",$D3176,"Equipment Code",$L3176,"due date",G$8)/-12</t>
  </si>
  <si>
    <t>=NL("sum","Production Order","Quantity","Source No.",$D3176,"Equipment Code",$L3176,"due date",H$8)/-12</t>
  </si>
  <si>
    <t>=NL("sum","Production Order","Quantity","Source No.",$D3176,"Equipment Code",$L3176,"due date",I$8)/-12</t>
  </si>
  <si>
    <t>=NL("sum","Production Order","Quantity","Source No.",$D3176,"Equipment Code",$L3176,"due date",J$8)/$J$7</t>
  </si>
  <si>
    <t>=AVERAGE(I3176:J3176)</t>
  </si>
  <si>
    <t>=IF(K3177=0,"hide","")</t>
  </si>
  <si>
    <t>=D3176</t>
  </si>
  <si>
    <t>=NL("sum","Production Order","Quantity","Source No.",$D3177,"Equipment Code",$L3177,"due date",F$8)/-12</t>
  </si>
  <si>
    <t>=NL("sum","Production Order","Quantity","Source No.",$D3177,"Equipment Code",$L3177,"due date",G$8)/-12</t>
  </si>
  <si>
    <t>=NL("sum","Production Order","Quantity","Source No.",$D3177,"Equipment Code",$L3177,"due date",H$8)/-12</t>
  </si>
  <si>
    <t>=NL("sum","Production Order","Quantity","Source No.",$D3177,"Equipment Code",$L3177,"due date",I$8)/-12</t>
  </si>
  <si>
    <t>=NL("sum","Production Order","Quantity","Source No.",$D3177,"Equipment Code",$L3177,"due date",J$8)/$J$7</t>
  </si>
  <si>
    <t>=AVERAGE(I3177:J3177)</t>
  </si>
  <si>
    <t>=IF(K3178=0,"hide","")</t>
  </si>
  <si>
    <t>=D3177</t>
  </si>
  <si>
    <t>=NL("sum","Production Order","Quantity","Source No.",$D3178,"Equipment Code",$L3178,"due date",F$8)/-12</t>
  </si>
  <si>
    <t>=NL("sum","Production Order","Quantity","Source No.",$D3178,"Equipment Code",$L3178,"due date",G$8)/-12</t>
  </si>
  <si>
    <t>=NL("sum","Production Order","Quantity","Source No.",$D3178,"Equipment Code",$L3178,"due date",H$8)/-12</t>
  </si>
  <si>
    <t>=NL("sum","Production Order","Quantity","Source No.",$D3178,"Equipment Code",$L3178,"due date",I$8)/-12</t>
  </si>
  <si>
    <t>=NL("sum","Production Order","Quantity","Source No.",$D3178,"Equipment Code",$L3178,"due date",J$8)/$J$7</t>
  </si>
  <si>
    <t>=AVERAGE(I3178:J3178)</t>
  </si>
  <si>
    <t>=IF(K3179=0,"hide","")</t>
  </si>
  <si>
    <t>=D3178</t>
  </si>
  <si>
    <t>=NL("sum","Production Order","Quantity","Source No.",$D3179,"Equipment Code",$L3179,"due date",F$8)/-12</t>
  </si>
  <si>
    <t>=NL("sum","Production Order","Quantity","Source No.",$D3179,"Equipment Code",$L3179,"due date",G$8)/-12</t>
  </si>
  <si>
    <t>=NL("sum","Production Order","Quantity","Source No.",$D3179,"Equipment Code",$L3179,"due date",H$8)/-12</t>
  </si>
  <si>
    <t>=NL("sum","Production Order","Quantity","Source No.",$D3179,"Equipment Code",$L3179,"due date",I$8)/-12</t>
  </si>
  <si>
    <t>=NL("sum","Production Order","Quantity","Source No.",$D3179,"Equipment Code",$L3179,"due date",J$8)/$J$7</t>
  </si>
  <si>
    <t>=AVERAGE(I3179:J3179)</t>
  </si>
  <si>
    <t>=B3176</t>
  </si>
  <si>
    <t>=B3180</t>
  </si>
  <si>
    <t>=SUM(F3176:F3180)</t>
  </si>
  <si>
    <t>=SUM(G3176:G3180)</t>
  </si>
  <si>
    <t>=SUM(H3176:H3180)</t>
  </si>
  <si>
    <t>=SUM(I3176:I3180)</t>
  </si>
  <si>
    <t>=SUM(J3176:J3180)</t>
  </si>
  <si>
    <t>=IF(K3182=0,"hide","")</t>
  </si>
  <si>
    <t>="42961"</t>
  </si>
  <si>
    <t>=NL("rows","Production BOM Version","Version Code","Production BOM No.",D3182,"status","certified")</t>
  </si>
  <si>
    <t>=NL("sum","Item Ledger Entry","Quantity","Item No.",$D3182,"Entry Type","Sale|Consumption","posting date","01/01/19..12/31/19")/-12</t>
  </si>
  <si>
    <t>=NL("sum","Item Ledger Entry","Quantity","Item No.",$D3182,"Entry Type","Sale|Consumption","posting date","01/01/20..12/31/20")/-12</t>
  </si>
  <si>
    <t>=NL("sum","Item Ledger Entry","Quantity","Item No.",$D3182,"Entry Type","Sale|Consumption","posting date","01/01/21..12/31/21")/-12</t>
  </si>
  <si>
    <t>=NL("sum","Item Ledger Entry","Quantity","Item No.",$D3182,"Entry Type","Sale|Consumption","posting date","01/01/22..12/31/22")/-12</t>
  </si>
  <si>
    <t>=NL("sum","Item Ledger Entry","Quantity","Item No.",$D3182,"Entry Type","Sale|Consumption","posting date","01/01/23..12/31/23")/$J$7</t>
  </si>
  <si>
    <t>=AVERAGE(I3182:J3182)</t>
  </si>
  <si>
    <t>=NL(1,"item",L$9,"no.",D3182)</t>
  </si>
  <si>
    <t>=NL(1,"item",M$9,"no.",$D3182)</t>
  </si>
  <si>
    <t>=NL(1,"item","Units Per Parcel","no.",$D3182)</t>
  </si>
  <si>
    <t>=NL(1,"Prod. BOM Equipment","Fixed Prod. Time (Hours)","Production BOM No.",$D3182,"version code",$E3182,"Resource No.",O$9)</t>
  </si>
  <si>
    <t>=1/O3182</t>
  </si>
  <si>
    <t>=IF(NL(1,"Prod. BOM Equipment","Variable Prod. Time (Hours)","Production BOM No.",$D3182,"version code",$E3182,"Resource No.",$O$9)="",1,NL(1,"Prod. BOM Equipment","Variable Prod. Time (Hours)","Production BOM No.",$D3182,"version code",$E3182,"Resource No.",$O$9))</t>
  </si>
  <si>
    <t>=1/Q3182</t>
  </si>
  <si>
    <t>=R3182*N3182</t>
  </si>
  <si>
    <t>=IF(K3183=0,"hide","")</t>
  </si>
  <si>
    <t>=D3182</t>
  </si>
  <si>
    <t>=NL("sum","Production Order","Quantity","Source No.",$D3183,"Equipment Code",$L3183,"due date",F$8)/-12</t>
  </si>
  <si>
    <t>=NL("sum","Production Order","Quantity","Source No.",$D3183,"Equipment Code",$L3183,"due date",G$8)/-12</t>
  </si>
  <si>
    <t>=NL("sum","Production Order","Quantity","Source No.",$D3183,"Equipment Code",$L3183,"due date",H$8)/-12</t>
  </si>
  <si>
    <t>=NL("sum","Production Order","Quantity","Source No.",$D3183,"Equipment Code",$L3183,"due date",I$8)/-12</t>
  </si>
  <si>
    <t>=NL("sum","Production Order","Quantity","Source No.",$D3183,"Equipment Code",$L3183,"due date",J$8)/$J$7</t>
  </si>
  <si>
    <t>=AVERAGE(I3183:J3183)</t>
  </si>
  <si>
    <t>=IF(K3184=0,"hide","")</t>
  </si>
  <si>
    <t>=D3183</t>
  </si>
  <si>
    <t>=NL("sum","Production Order","Quantity","Source No.",$D3184,"Equipment Code",$L3184,"due date",F$8)/-12</t>
  </si>
  <si>
    <t>=NL("sum","Production Order","Quantity","Source No.",$D3184,"Equipment Code",$L3184,"due date",G$8)/-12</t>
  </si>
  <si>
    <t>=NL("sum","Production Order","Quantity","Source No.",$D3184,"Equipment Code",$L3184,"due date",H$8)/-12</t>
  </si>
  <si>
    <t>=NL("sum","Production Order","Quantity","Source No.",$D3184,"Equipment Code",$L3184,"due date",I$8)/-12</t>
  </si>
  <si>
    <t>=NL("sum","Production Order","Quantity","Source No.",$D3184,"Equipment Code",$L3184,"due date",J$8)/$J$7</t>
  </si>
  <si>
    <t>=AVERAGE(I3184:J3184)</t>
  </si>
  <si>
    <t>=IF(K3185=0,"hide","")</t>
  </si>
  <si>
    <t>=D3184</t>
  </si>
  <si>
    <t>=NL("sum","Production Order","Quantity","Source No.",$D3185,"Equipment Code",$L3185,"due date",F$8)/-12</t>
  </si>
  <si>
    <t>=NL("sum","Production Order","Quantity","Source No.",$D3185,"Equipment Code",$L3185,"due date",G$8)/-12</t>
  </si>
  <si>
    <t>=NL("sum","Production Order","Quantity","Source No.",$D3185,"Equipment Code",$L3185,"due date",H$8)/-12</t>
  </si>
  <si>
    <t>=NL("sum","Production Order","Quantity","Source No.",$D3185,"Equipment Code",$L3185,"due date",I$8)/-12</t>
  </si>
  <si>
    <t>=NL("sum","Production Order","Quantity","Source No.",$D3185,"Equipment Code",$L3185,"due date",J$8)/$J$7</t>
  </si>
  <si>
    <t>=AVERAGE(I3185:J3185)</t>
  </si>
  <si>
    <t>=IF(K3186=0,"hide","")</t>
  </si>
  <si>
    <t>=D3185</t>
  </si>
  <si>
    <t>=NL("sum","Production Order","Quantity","Source No.",$D3186,"Equipment Code",$L3186,"due date",F$8)/-12</t>
  </si>
  <si>
    <t>=NL("sum","Production Order","Quantity","Source No.",$D3186,"Equipment Code",$L3186,"due date",G$8)/-12</t>
  </si>
  <si>
    <t>=NL("sum","Production Order","Quantity","Source No.",$D3186,"Equipment Code",$L3186,"due date",H$8)/-12</t>
  </si>
  <si>
    <t>=NL("sum","Production Order","Quantity","Source No.",$D3186,"Equipment Code",$L3186,"due date",I$8)/-12</t>
  </si>
  <si>
    <t>=NL("sum","Production Order","Quantity","Source No.",$D3186,"Equipment Code",$L3186,"due date",J$8)/$J$7</t>
  </si>
  <si>
    <t>=AVERAGE(I3186:J3186)</t>
  </si>
  <si>
    <t>=B3183</t>
  </si>
  <si>
    <t>=B3187</t>
  </si>
  <si>
    <t>=SUM(F3183:F3187)</t>
  </si>
  <si>
    <t>=SUM(G3183:G3187)</t>
  </si>
  <si>
    <t>=SUM(H3183:H3187)</t>
  </si>
  <si>
    <t>=SUM(I3183:I3187)</t>
  </si>
  <si>
    <t>=SUM(J3183:J3187)</t>
  </si>
  <si>
    <t>=IF(K3189=0,"hide","")</t>
  </si>
  <si>
    <t>="42965"</t>
  </si>
  <si>
    <t>=NL("rows","Production BOM Version","Version Code","Production BOM No.",D3189,"status","certified")</t>
  </si>
  <si>
    <t>=NL("sum","Item Ledger Entry","Quantity","Item No.",$D3189,"Entry Type","Sale|Consumption","posting date","01/01/19..12/31/19")/-12</t>
  </si>
  <si>
    <t>=NL("sum","Item Ledger Entry","Quantity","Item No.",$D3189,"Entry Type","Sale|Consumption","posting date","01/01/20..12/31/20")/-12</t>
  </si>
  <si>
    <t>=NL("sum","Item Ledger Entry","Quantity","Item No.",$D3189,"Entry Type","Sale|Consumption","posting date","01/01/21..12/31/21")/-12</t>
  </si>
  <si>
    <t>=NL("sum","Item Ledger Entry","Quantity","Item No.",$D3189,"Entry Type","Sale|Consumption","posting date","01/01/22..12/31/22")/-12</t>
  </si>
  <si>
    <t>=NL("sum","Item Ledger Entry","Quantity","Item No.",$D3189,"Entry Type","Sale|Consumption","posting date","01/01/23..12/31/23")/$J$7</t>
  </si>
  <si>
    <t>=AVERAGE(I3189:J3189)</t>
  </si>
  <si>
    <t>=NL(1,"item",L$9,"no.",D3189)</t>
  </si>
  <si>
    <t>=NL(1,"item",M$9,"no.",$D3189)</t>
  </si>
  <si>
    <t>=NL(1,"item","Units Per Parcel","no.",$D3189)</t>
  </si>
  <si>
    <t>=NL(1,"Prod. BOM Equipment","Fixed Prod. Time (Hours)","Production BOM No.",$D3189,"version code",$E3189,"Resource No.",O$9)</t>
  </si>
  <si>
    <t>=1/O3189</t>
  </si>
  <si>
    <t>=IF(NL(1,"Prod. BOM Equipment","Variable Prod. Time (Hours)","Production BOM No.",$D3189,"version code",$E3189,"Resource No.",$O$9)="",1,NL(1,"Prod. BOM Equipment","Variable Prod. Time (Hours)","Production BOM No.",$D3189,"version code",$E3189,"Resource No.",$O$9))</t>
  </si>
  <si>
    <t>=1/Q3189</t>
  </si>
  <si>
    <t>=R3189*N3189</t>
  </si>
  <si>
    <t>=IF(K3190=0,"hide","")</t>
  </si>
  <si>
    <t>=D3189</t>
  </si>
  <si>
    <t>=NL("sum","Production Order","Quantity","Source No.",$D3190,"Equipment Code",$L3190,"due date",F$8)/-12</t>
  </si>
  <si>
    <t>=NL("sum","Production Order","Quantity","Source No.",$D3190,"Equipment Code",$L3190,"due date",G$8)/-12</t>
  </si>
  <si>
    <t>=NL("sum","Production Order","Quantity","Source No.",$D3190,"Equipment Code",$L3190,"due date",H$8)/-12</t>
  </si>
  <si>
    <t>=NL("sum","Production Order","Quantity","Source No.",$D3190,"Equipment Code",$L3190,"due date",I$8)/-12</t>
  </si>
  <si>
    <t>=NL("sum","Production Order","Quantity","Source No.",$D3190,"Equipment Code",$L3190,"due date",J$8)/$J$7</t>
  </si>
  <si>
    <t>=AVERAGE(I3190:J3190)</t>
  </si>
  <si>
    <t>=IF(K3191=0,"hide","")</t>
  </si>
  <si>
    <t>=D3190</t>
  </si>
  <si>
    <t>=NL("sum","Production Order","Quantity","Source No.",$D3191,"Equipment Code",$L3191,"due date",F$8)/-12</t>
  </si>
  <si>
    <t>=NL("sum","Production Order","Quantity","Source No.",$D3191,"Equipment Code",$L3191,"due date",G$8)/-12</t>
  </si>
  <si>
    <t>=NL("sum","Production Order","Quantity","Source No.",$D3191,"Equipment Code",$L3191,"due date",H$8)/-12</t>
  </si>
  <si>
    <t>=NL("sum","Production Order","Quantity","Source No.",$D3191,"Equipment Code",$L3191,"due date",I$8)/-12</t>
  </si>
  <si>
    <t>=NL("sum","Production Order","Quantity","Source No.",$D3191,"Equipment Code",$L3191,"due date",J$8)/$J$7</t>
  </si>
  <si>
    <t>=AVERAGE(I3191:J3191)</t>
  </si>
  <si>
    <t>=IF(K3192=0,"hide","")</t>
  </si>
  <si>
    <t>=D3191</t>
  </si>
  <si>
    <t>=NL("sum","Production Order","Quantity","Source No.",$D3192,"Equipment Code",$L3192,"due date",F$8)/-12</t>
  </si>
  <si>
    <t>=NL("sum","Production Order","Quantity","Source No.",$D3192,"Equipment Code",$L3192,"due date",G$8)/-12</t>
  </si>
  <si>
    <t>=NL("sum","Production Order","Quantity","Source No.",$D3192,"Equipment Code",$L3192,"due date",H$8)/-12</t>
  </si>
  <si>
    <t>=NL("sum","Production Order","Quantity","Source No.",$D3192,"Equipment Code",$L3192,"due date",I$8)/-12</t>
  </si>
  <si>
    <t>=NL("sum","Production Order","Quantity","Source No.",$D3192,"Equipment Code",$L3192,"due date",J$8)/$J$7</t>
  </si>
  <si>
    <t>=AVERAGE(I3192:J3192)</t>
  </si>
  <si>
    <t>=IF(K3193=0,"hide","")</t>
  </si>
  <si>
    <t>=D3192</t>
  </si>
  <si>
    <t>=NL("sum","Production Order","Quantity","Source No.",$D3193,"Equipment Code",$L3193,"due date",F$8)/-12</t>
  </si>
  <si>
    <t>=NL("sum","Production Order","Quantity","Source No.",$D3193,"Equipment Code",$L3193,"due date",G$8)/-12</t>
  </si>
  <si>
    <t>=NL("sum","Production Order","Quantity","Source No.",$D3193,"Equipment Code",$L3193,"due date",H$8)/-12</t>
  </si>
  <si>
    <t>=NL("sum","Production Order","Quantity","Source No.",$D3193,"Equipment Code",$L3193,"due date",I$8)/-12</t>
  </si>
  <si>
    <t>=NL("sum","Production Order","Quantity","Source No.",$D3193,"Equipment Code",$L3193,"due date",J$8)/$J$7</t>
  </si>
  <si>
    <t>=AVERAGE(I3193:J3193)</t>
  </si>
  <si>
    <t>=B3190</t>
  </si>
  <si>
    <t>=B3194</t>
  </si>
  <si>
    <t>=SUM(F3190:F3194)</t>
  </si>
  <si>
    <t>=SUM(G3190:G3194)</t>
  </si>
  <si>
    <t>=SUM(H3190:H3194)</t>
  </si>
  <si>
    <t>=SUM(I3190:I3194)</t>
  </si>
  <si>
    <t>=SUM(J3190:J3194)</t>
  </si>
  <si>
    <t>=IF(K3196=0,"hide","")</t>
  </si>
  <si>
    <t>="42966"</t>
  </si>
  <si>
    <t>=NL("rows","Production BOM Version","Version Code","Production BOM No.",D3196,"status","certified")</t>
  </si>
  <si>
    <t>=NL("sum","Item Ledger Entry","Quantity","Item No.",$D3196,"Entry Type","Sale|Consumption","posting date","01/01/19..12/31/19")/-12</t>
  </si>
  <si>
    <t>=NL("sum","Item Ledger Entry","Quantity","Item No.",$D3196,"Entry Type","Sale|Consumption","posting date","01/01/20..12/31/20")/-12</t>
  </si>
  <si>
    <t>=NL("sum","Item Ledger Entry","Quantity","Item No.",$D3196,"Entry Type","Sale|Consumption","posting date","01/01/21..12/31/21")/-12</t>
  </si>
  <si>
    <t>=NL("sum","Item Ledger Entry","Quantity","Item No.",$D3196,"Entry Type","Sale|Consumption","posting date","01/01/22..12/31/22")/-12</t>
  </si>
  <si>
    <t>=NL("sum","Item Ledger Entry","Quantity","Item No.",$D3196,"Entry Type","Sale|Consumption","posting date","01/01/23..12/31/23")/$J$7</t>
  </si>
  <si>
    <t>=AVERAGE(I3196:J3196)</t>
  </si>
  <si>
    <t>=NL(1,"item",L$9,"no.",D3196)</t>
  </si>
  <si>
    <t>=NL(1,"item",M$9,"no.",$D3196)</t>
  </si>
  <si>
    <t>=NL(1,"item","Units Per Parcel","no.",$D3196)</t>
  </si>
  <si>
    <t>=NL(1,"Prod. BOM Equipment","Fixed Prod. Time (Hours)","Production BOM No.",$D3196,"version code",$E3196,"Resource No.",O$9)</t>
  </si>
  <si>
    <t>=1/O3196</t>
  </si>
  <si>
    <t>=IF(NL(1,"Prod. BOM Equipment","Variable Prod. Time (Hours)","Production BOM No.",$D3196,"version code",$E3196,"Resource No.",$O$9)="",1,NL(1,"Prod. BOM Equipment","Variable Prod. Time (Hours)","Production BOM No.",$D3196,"version code",$E3196,"Resource No.",$O$9))</t>
  </si>
  <si>
    <t>=1/Q3196</t>
  </si>
  <si>
    <t>=R3196*N3196</t>
  </si>
  <si>
    <t>=IF(K3197=0,"hide","")</t>
  </si>
  <si>
    <t>=D3196</t>
  </si>
  <si>
    <t>=NL("sum","Production Order","Quantity","Source No.",$D3197,"Equipment Code",$L3197,"due date",F$8)/-12</t>
  </si>
  <si>
    <t>=NL("sum","Production Order","Quantity","Source No.",$D3197,"Equipment Code",$L3197,"due date",G$8)/-12</t>
  </si>
  <si>
    <t>=NL("sum","Production Order","Quantity","Source No.",$D3197,"Equipment Code",$L3197,"due date",H$8)/-12</t>
  </si>
  <si>
    <t>=NL("sum","Production Order","Quantity","Source No.",$D3197,"Equipment Code",$L3197,"due date",I$8)/-12</t>
  </si>
  <si>
    <t>=NL("sum","Production Order","Quantity","Source No.",$D3197,"Equipment Code",$L3197,"due date",J$8)/$J$7</t>
  </si>
  <si>
    <t>=AVERAGE(I3197:J3197)</t>
  </si>
  <si>
    <t>=IF(K3198=0,"hide","")</t>
  </si>
  <si>
    <t>=D3197</t>
  </si>
  <si>
    <t>=NL("sum","Production Order","Quantity","Source No.",$D3198,"Equipment Code",$L3198,"due date",F$8)/-12</t>
  </si>
  <si>
    <t>=NL("sum","Production Order","Quantity","Source No.",$D3198,"Equipment Code",$L3198,"due date",G$8)/-12</t>
  </si>
  <si>
    <t>=NL("sum","Production Order","Quantity","Source No.",$D3198,"Equipment Code",$L3198,"due date",H$8)/-12</t>
  </si>
  <si>
    <t>=NL("sum","Production Order","Quantity","Source No.",$D3198,"Equipment Code",$L3198,"due date",I$8)/-12</t>
  </si>
  <si>
    <t>=NL("sum","Production Order","Quantity","Source No.",$D3198,"Equipment Code",$L3198,"due date",J$8)/$J$7</t>
  </si>
  <si>
    <t>=AVERAGE(I3198:J3198)</t>
  </si>
  <si>
    <t>=IF(K3199=0,"hide","")</t>
  </si>
  <si>
    <t>=D3198</t>
  </si>
  <si>
    <t>=NL("sum","Production Order","Quantity","Source No.",$D3199,"Equipment Code",$L3199,"due date",F$8)/-12</t>
  </si>
  <si>
    <t>=NL("sum","Production Order","Quantity","Source No.",$D3199,"Equipment Code",$L3199,"due date",G$8)/-12</t>
  </si>
  <si>
    <t>=NL("sum","Production Order","Quantity","Source No.",$D3199,"Equipment Code",$L3199,"due date",H$8)/-12</t>
  </si>
  <si>
    <t>=NL("sum","Production Order","Quantity","Source No.",$D3199,"Equipment Code",$L3199,"due date",I$8)/-12</t>
  </si>
  <si>
    <t>=NL("sum","Production Order","Quantity","Source No.",$D3199,"Equipment Code",$L3199,"due date",J$8)/$J$7</t>
  </si>
  <si>
    <t>=AVERAGE(I3199:J3199)</t>
  </si>
  <si>
    <t>=IF(K3200=0,"hide","")</t>
  </si>
  <si>
    <t>=D3199</t>
  </si>
  <si>
    <t>=NL("sum","Production Order","Quantity","Source No.",$D3200,"Equipment Code",$L3200,"due date",F$8)/-12</t>
  </si>
  <si>
    <t>=NL("sum","Production Order","Quantity","Source No.",$D3200,"Equipment Code",$L3200,"due date",G$8)/-12</t>
  </si>
  <si>
    <t>=NL("sum","Production Order","Quantity","Source No.",$D3200,"Equipment Code",$L3200,"due date",H$8)/-12</t>
  </si>
  <si>
    <t>=NL("sum","Production Order","Quantity","Source No.",$D3200,"Equipment Code",$L3200,"due date",I$8)/-12</t>
  </si>
  <si>
    <t>=NL("sum","Production Order","Quantity","Source No.",$D3200,"Equipment Code",$L3200,"due date",J$8)/$J$7</t>
  </si>
  <si>
    <t>=AVERAGE(I3200:J3200)</t>
  </si>
  <si>
    <t>=B3197</t>
  </si>
  <si>
    <t>=B3201</t>
  </si>
  <si>
    <t>=SUM(F3197:F3201)</t>
  </si>
  <si>
    <t>=SUM(G3197:G3201)</t>
  </si>
  <si>
    <t>=SUM(H3197:H3201)</t>
  </si>
  <si>
    <t>=SUM(I3197:I3201)</t>
  </si>
  <si>
    <t>=SUM(J3197:J3201)</t>
  </si>
  <si>
    <t>=IF(K3203=0,"hide","")</t>
  </si>
  <si>
    <t>="42970"</t>
  </si>
  <si>
    <t>=NL("rows","Production BOM Version","Version Code","Production BOM No.",D3203,"status","certified")</t>
  </si>
  <si>
    <t>=NL("sum","Item Ledger Entry","Quantity","Item No.",$D3203,"Entry Type","Sale|Consumption","posting date","01/01/19..12/31/19")/-12</t>
  </si>
  <si>
    <t>=NL("sum","Item Ledger Entry","Quantity","Item No.",$D3203,"Entry Type","Sale|Consumption","posting date","01/01/20..12/31/20")/-12</t>
  </si>
  <si>
    <t>=NL("sum","Item Ledger Entry","Quantity","Item No.",$D3203,"Entry Type","Sale|Consumption","posting date","01/01/21..12/31/21")/-12</t>
  </si>
  <si>
    <t>=NL("sum","Item Ledger Entry","Quantity","Item No.",$D3203,"Entry Type","Sale|Consumption","posting date","01/01/22..12/31/22")/-12</t>
  </si>
  <si>
    <t>=NL("sum","Item Ledger Entry","Quantity","Item No.",$D3203,"Entry Type","Sale|Consumption","posting date","01/01/23..12/31/23")/$J$7</t>
  </si>
  <si>
    <t>=AVERAGE(I3203:J3203)</t>
  </si>
  <si>
    <t>=NL(1,"item",L$9,"no.",D3203)</t>
  </si>
  <si>
    <t>=NL(1,"item",M$9,"no.",$D3203)</t>
  </si>
  <si>
    <t>=NL(1,"item","Units Per Parcel","no.",$D3203)</t>
  </si>
  <si>
    <t>=NL(1,"Prod. BOM Equipment","Fixed Prod. Time (Hours)","Production BOM No.",$D3203,"version code",$E3203,"Resource No.",O$9)</t>
  </si>
  <si>
    <t>=1/O3203</t>
  </si>
  <si>
    <t>=IF(NL(1,"Prod. BOM Equipment","Variable Prod. Time (Hours)","Production BOM No.",$D3203,"version code",$E3203,"Resource No.",$O$9)="",1,NL(1,"Prod. BOM Equipment","Variable Prod. Time (Hours)","Production BOM No.",$D3203,"version code",$E3203,"Resource No.",$O$9))</t>
  </si>
  <si>
    <t>=1/Q3203</t>
  </si>
  <si>
    <t>=R3203*N3203</t>
  </si>
  <si>
    <t>=IF(K3204=0,"hide","")</t>
  </si>
  <si>
    <t>=D3203</t>
  </si>
  <si>
    <t>=NL("sum","Production Order","Quantity","Source No.",$D3204,"Equipment Code",$L3204,"due date",F$8)/-12</t>
  </si>
  <si>
    <t>=NL("sum","Production Order","Quantity","Source No.",$D3204,"Equipment Code",$L3204,"due date",G$8)/-12</t>
  </si>
  <si>
    <t>=NL("sum","Production Order","Quantity","Source No.",$D3204,"Equipment Code",$L3204,"due date",H$8)/-12</t>
  </si>
  <si>
    <t>=NL("sum","Production Order","Quantity","Source No.",$D3204,"Equipment Code",$L3204,"due date",I$8)/-12</t>
  </si>
  <si>
    <t>=NL("sum","Production Order","Quantity","Source No.",$D3204,"Equipment Code",$L3204,"due date",J$8)/$J$7</t>
  </si>
  <si>
    <t>=AVERAGE(I3204:J3204)</t>
  </si>
  <si>
    <t>=IF(K3205=0,"hide","")</t>
  </si>
  <si>
    <t>=D3204</t>
  </si>
  <si>
    <t>=NL("sum","Production Order","Quantity","Source No.",$D3205,"Equipment Code",$L3205,"due date",F$8)/-12</t>
  </si>
  <si>
    <t>=NL("sum","Production Order","Quantity","Source No.",$D3205,"Equipment Code",$L3205,"due date",G$8)/-12</t>
  </si>
  <si>
    <t>=NL("sum","Production Order","Quantity","Source No.",$D3205,"Equipment Code",$L3205,"due date",H$8)/-12</t>
  </si>
  <si>
    <t>=NL("sum","Production Order","Quantity","Source No.",$D3205,"Equipment Code",$L3205,"due date",I$8)/-12</t>
  </si>
  <si>
    <t>=NL("sum","Production Order","Quantity","Source No.",$D3205,"Equipment Code",$L3205,"due date",J$8)/$J$7</t>
  </si>
  <si>
    <t>=AVERAGE(I3205:J3205)</t>
  </si>
  <si>
    <t>=IF(K3206=0,"hide","")</t>
  </si>
  <si>
    <t>=D3205</t>
  </si>
  <si>
    <t>=NL("sum","Production Order","Quantity","Source No.",$D3206,"Equipment Code",$L3206,"due date",F$8)/-12</t>
  </si>
  <si>
    <t>=NL("sum","Production Order","Quantity","Source No.",$D3206,"Equipment Code",$L3206,"due date",G$8)/-12</t>
  </si>
  <si>
    <t>=NL("sum","Production Order","Quantity","Source No.",$D3206,"Equipment Code",$L3206,"due date",H$8)/-12</t>
  </si>
  <si>
    <t>=NL("sum","Production Order","Quantity","Source No.",$D3206,"Equipment Code",$L3206,"due date",I$8)/-12</t>
  </si>
  <si>
    <t>=NL("sum","Production Order","Quantity","Source No.",$D3206,"Equipment Code",$L3206,"due date",J$8)/$J$7</t>
  </si>
  <si>
    <t>=AVERAGE(I3206:J3206)</t>
  </si>
  <si>
    <t>=IF(K3207=0,"hide","")</t>
  </si>
  <si>
    <t>=D3206</t>
  </si>
  <si>
    <t>=NL("sum","Production Order","Quantity","Source No.",$D3207,"Equipment Code",$L3207,"due date",F$8)/-12</t>
  </si>
  <si>
    <t>=NL("sum","Production Order","Quantity","Source No.",$D3207,"Equipment Code",$L3207,"due date",G$8)/-12</t>
  </si>
  <si>
    <t>=NL("sum","Production Order","Quantity","Source No.",$D3207,"Equipment Code",$L3207,"due date",H$8)/-12</t>
  </si>
  <si>
    <t>=NL("sum","Production Order","Quantity","Source No.",$D3207,"Equipment Code",$L3207,"due date",I$8)/-12</t>
  </si>
  <si>
    <t>=NL("sum","Production Order","Quantity","Source No.",$D3207,"Equipment Code",$L3207,"due date",J$8)/$J$7</t>
  </si>
  <si>
    <t>=AVERAGE(I3207:J3207)</t>
  </si>
  <si>
    <t>=B3204</t>
  </si>
  <si>
    <t>=B3208</t>
  </si>
  <si>
    <t>=SUM(F3204:F3208)</t>
  </si>
  <si>
    <t>=SUM(G3204:G3208)</t>
  </si>
  <si>
    <t>=SUM(H3204:H3208)</t>
  </si>
  <si>
    <t>=SUM(I3204:I3208)</t>
  </si>
  <si>
    <t>=SUM(J3204:J3208)</t>
  </si>
  <si>
    <t>=IF(K3210=0,"hide","")</t>
  </si>
  <si>
    <t>="42975"</t>
  </si>
  <si>
    <t>=NL("rows","Production BOM Version","Version Code","Production BOM No.",D3210,"status","certified")</t>
  </si>
  <si>
    <t>=NL("sum","Item Ledger Entry","Quantity","Item No.",$D3210,"Entry Type","Sale|Consumption","posting date","01/01/19..12/31/19")/-12</t>
  </si>
  <si>
    <t>=NL("sum","Item Ledger Entry","Quantity","Item No.",$D3210,"Entry Type","Sale|Consumption","posting date","01/01/20..12/31/20")/-12</t>
  </si>
  <si>
    <t>=NL("sum","Item Ledger Entry","Quantity","Item No.",$D3210,"Entry Type","Sale|Consumption","posting date","01/01/21..12/31/21")/-12</t>
  </si>
  <si>
    <t>=NL("sum","Item Ledger Entry","Quantity","Item No.",$D3210,"Entry Type","Sale|Consumption","posting date","01/01/22..12/31/22")/-12</t>
  </si>
  <si>
    <t>=NL("sum","Item Ledger Entry","Quantity","Item No.",$D3210,"Entry Type","Sale|Consumption","posting date","01/01/23..12/31/23")/$J$7</t>
  </si>
  <si>
    <t>=AVERAGE(I3210:J3210)</t>
  </si>
  <si>
    <t>=NL(1,"item",L$9,"no.",D3210)</t>
  </si>
  <si>
    <t>=NL(1,"item",M$9,"no.",$D3210)</t>
  </si>
  <si>
    <t>=NL(1,"item","Units Per Parcel","no.",$D3210)</t>
  </si>
  <si>
    <t>=NL(1,"Prod. BOM Equipment","Fixed Prod. Time (Hours)","Production BOM No.",$D3210,"version code",$E3210,"Resource No.",O$9)</t>
  </si>
  <si>
    <t>=1/O3210</t>
  </si>
  <si>
    <t>=IF(NL(1,"Prod. BOM Equipment","Variable Prod. Time (Hours)","Production BOM No.",$D3210,"version code",$E3210,"Resource No.",$O$9)="",1,NL(1,"Prod. BOM Equipment","Variable Prod. Time (Hours)","Production BOM No.",$D3210,"version code",$E3210,"Resource No.",$O$9))</t>
  </si>
  <si>
    <t>=1/Q3210</t>
  </si>
  <si>
    <t>=R3210*N3210</t>
  </si>
  <si>
    <t>=IF(K3211=0,"hide","")</t>
  </si>
  <si>
    <t>=D3210</t>
  </si>
  <si>
    <t>=NL("sum","Production Order","Quantity","Source No.",$D3211,"Equipment Code",$L3211,"due date",F$8)/-12</t>
  </si>
  <si>
    <t>=NL("sum","Production Order","Quantity","Source No.",$D3211,"Equipment Code",$L3211,"due date",G$8)/-12</t>
  </si>
  <si>
    <t>=NL("sum","Production Order","Quantity","Source No.",$D3211,"Equipment Code",$L3211,"due date",H$8)/-12</t>
  </si>
  <si>
    <t>=NL("sum","Production Order","Quantity","Source No.",$D3211,"Equipment Code",$L3211,"due date",I$8)/-12</t>
  </si>
  <si>
    <t>=NL("sum","Production Order","Quantity","Source No.",$D3211,"Equipment Code",$L3211,"due date",J$8)/$J$7</t>
  </si>
  <si>
    <t>=AVERAGE(I3211:J3211)</t>
  </si>
  <si>
    <t>=IF(K3212=0,"hide","")</t>
  </si>
  <si>
    <t>=D3211</t>
  </si>
  <si>
    <t>=NL("sum","Production Order","Quantity","Source No.",$D3212,"Equipment Code",$L3212,"due date",F$8)/-12</t>
  </si>
  <si>
    <t>=NL("sum","Production Order","Quantity","Source No.",$D3212,"Equipment Code",$L3212,"due date",G$8)/-12</t>
  </si>
  <si>
    <t>=NL("sum","Production Order","Quantity","Source No.",$D3212,"Equipment Code",$L3212,"due date",H$8)/-12</t>
  </si>
  <si>
    <t>=NL("sum","Production Order","Quantity","Source No.",$D3212,"Equipment Code",$L3212,"due date",I$8)/-12</t>
  </si>
  <si>
    <t>=NL("sum","Production Order","Quantity","Source No.",$D3212,"Equipment Code",$L3212,"due date",J$8)/$J$7</t>
  </si>
  <si>
    <t>=AVERAGE(I3212:J3212)</t>
  </si>
  <si>
    <t>=IF(K3213=0,"hide","")</t>
  </si>
  <si>
    <t>=D3212</t>
  </si>
  <si>
    <t>=NL("sum","Production Order","Quantity","Source No.",$D3213,"Equipment Code",$L3213,"due date",F$8)/-12</t>
  </si>
  <si>
    <t>=NL("sum","Production Order","Quantity","Source No.",$D3213,"Equipment Code",$L3213,"due date",G$8)/-12</t>
  </si>
  <si>
    <t>=NL("sum","Production Order","Quantity","Source No.",$D3213,"Equipment Code",$L3213,"due date",H$8)/-12</t>
  </si>
  <si>
    <t>=NL("sum","Production Order","Quantity","Source No.",$D3213,"Equipment Code",$L3213,"due date",I$8)/-12</t>
  </si>
  <si>
    <t>=NL("sum","Production Order","Quantity","Source No.",$D3213,"Equipment Code",$L3213,"due date",J$8)/$J$7</t>
  </si>
  <si>
    <t>=AVERAGE(I3213:J3213)</t>
  </si>
  <si>
    <t>=IF(K3214=0,"hide","")</t>
  </si>
  <si>
    <t>=D3213</t>
  </si>
  <si>
    <t>=NL("sum","Production Order","Quantity","Source No.",$D3214,"Equipment Code",$L3214,"due date",F$8)/-12</t>
  </si>
  <si>
    <t>=NL("sum","Production Order","Quantity","Source No.",$D3214,"Equipment Code",$L3214,"due date",G$8)/-12</t>
  </si>
  <si>
    <t>=NL("sum","Production Order","Quantity","Source No.",$D3214,"Equipment Code",$L3214,"due date",H$8)/-12</t>
  </si>
  <si>
    <t>=NL("sum","Production Order","Quantity","Source No.",$D3214,"Equipment Code",$L3214,"due date",I$8)/-12</t>
  </si>
  <si>
    <t>=NL("sum","Production Order","Quantity","Source No.",$D3214,"Equipment Code",$L3214,"due date",J$8)/$J$7</t>
  </si>
  <si>
    <t>=AVERAGE(I3214:J3214)</t>
  </si>
  <si>
    <t>=B3211</t>
  </si>
  <si>
    <t>=B3215</t>
  </si>
  <si>
    <t>=SUM(F3211:F3215)</t>
  </si>
  <si>
    <t>=SUM(G3211:G3215)</t>
  </si>
  <si>
    <t>=SUM(H3211:H3215)</t>
  </si>
  <si>
    <t>=SUM(I3211:I3215)</t>
  </si>
  <si>
    <t>=SUM(J3211:J3215)</t>
  </si>
  <si>
    <t>=IF(K3217=0,"hide","")</t>
  </si>
  <si>
    <t>="42985"</t>
  </si>
  <si>
    <t>=NL("rows","Production BOM Version","Version Code","Production BOM No.",D3217,"status","certified")</t>
  </si>
  <si>
    <t>=NL("sum","Item Ledger Entry","Quantity","Item No.",$D3217,"Entry Type","Sale|Consumption","posting date","01/01/19..12/31/19")/-12</t>
  </si>
  <si>
    <t>=NL("sum","Item Ledger Entry","Quantity","Item No.",$D3217,"Entry Type","Sale|Consumption","posting date","01/01/20..12/31/20")/-12</t>
  </si>
  <si>
    <t>=NL("sum","Item Ledger Entry","Quantity","Item No.",$D3217,"Entry Type","Sale|Consumption","posting date","01/01/21..12/31/21")/-12</t>
  </si>
  <si>
    <t>=NL("sum","Item Ledger Entry","Quantity","Item No.",$D3217,"Entry Type","Sale|Consumption","posting date","01/01/22..12/31/22")/-12</t>
  </si>
  <si>
    <t>=NL("sum","Item Ledger Entry","Quantity","Item No.",$D3217,"Entry Type","Sale|Consumption","posting date","01/01/23..12/31/23")/$J$7</t>
  </si>
  <si>
    <t>=AVERAGE(I3217:J3217)</t>
  </si>
  <si>
    <t>=NL(1,"item",L$9,"no.",D3217)</t>
  </si>
  <si>
    <t>=NL(1,"item",M$9,"no.",$D3217)</t>
  </si>
  <si>
    <t>=NL(1,"item","Units Per Parcel","no.",$D3217)</t>
  </si>
  <si>
    <t>=NL(1,"Prod. BOM Equipment","Fixed Prod. Time (Hours)","Production BOM No.",$D3217,"version code",$E3217,"Resource No.",O$9)</t>
  </si>
  <si>
    <t>=1/O3217</t>
  </si>
  <si>
    <t>=IF(NL(1,"Prod. BOM Equipment","Variable Prod. Time (Hours)","Production BOM No.",$D3217,"version code",$E3217,"Resource No.",$O$9)="",1,NL(1,"Prod. BOM Equipment","Variable Prod. Time (Hours)","Production BOM No.",$D3217,"version code",$E3217,"Resource No.",$O$9))</t>
  </si>
  <si>
    <t>=1/Q3217</t>
  </si>
  <si>
    <t>=R3217*N3217</t>
  </si>
  <si>
    <t>=IF(K3218=0,"hide","")</t>
  </si>
  <si>
    <t>=D3217</t>
  </si>
  <si>
    <t>=NL("sum","Production Order","Quantity","Source No.",$D3218,"Equipment Code",$L3218,"due date",F$8)/-12</t>
  </si>
  <si>
    <t>=NL("sum","Production Order","Quantity","Source No.",$D3218,"Equipment Code",$L3218,"due date",G$8)/-12</t>
  </si>
  <si>
    <t>=NL("sum","Production Order","Quantity","Source No.",$D3218,"Equipment Code",$L3218,"due date",H$8)/-12</t>
  </si>
  <si>
    <t>=NL("sum","Production Order","Quantity","Source No.",$D3218,"Equipment Code",$L3218,"due date",I$8)/-12</t>
  </si>
  <si>
    <t>=NL("sum","Production Order","Quantity","Source No.",$D3218,"Equipment Code",$L3218,"due date",J$8)/$J$7</t>
  </si>
  <si>
    <t>=AVERAGE(I3218:J3218)</t>
  </si>
  <si>
    <t>=IF(K3219=0,"hide","")</t>
  </si>
  <si>
    <t>=D3218</t>
  </si>
  <si>
    <t>=NL("sum","Production Order","Quantity","Source No.",$D3219,"Equipment Code",$L3219,"due date",F$8)/-12</t>
  </si>
  <si>
    <t>=NL("sum","Production Order","Quantity","Source No.",$D3219,"Equipment Code",$L3219,"due date",G$8)/-12</t>
  </si>
  <si>
    <t>=NL("sum","Production Order","Quantity","Source No.",$D3219,"Equipment Code",$L3219,"due date",H$8)/-12</t>
  </si>
  <si>
    <t>=NL("sum","Production Order","Quantity","Source No.",$D3219,"Equipment Code",$L3219,"due date",I$8)/-12</t>
  </si>
  <si>
    <t>=NL("sum","Production Order","Quantity","Source No.",$D3219,"Equipment Code",$L3219,"due date",J$8)/$J$7</t>
  </si>
  <si>
    <t>=AVERAGE(I3219:J3219)</t>
  </si>
  <si>
    <t>=IF(K3220=0,"hide","")</t>
  </si>
  <si>
    <t>=D3219</t>
  </si>
  <si>
    <t>=NL("sum","Production Order","Quantity","Source No.",$D3220,"Equipment Code",$L3220,"due date",F$8)/-12</t>
  </si>
  <si>
    <t>=NL("sum","Production Order","Quantity","Source No.",$D3220,"Equipment Code",$L3220,"due date",G$8)/-12</t>
  </si>
  <si>
    <t>=NL("sum","Production Order","Quantity","Source No.",$D3220,"Equipment Code",$L3220,"due date",H$8)/-12</t>
  </si>
  <si>
    <t>=NL("sum","Production Order","Quantity","Source No.",$D3220,"Equipment Code",$L3220,"due date",I$8)/-12</t>
  </si>
  <si>
    <t>=NL("sum","Production Order","Quantity","Source No.",$D3220,"Equipment Code",$L3220,"due date",J$8)/$J$7</t>
  </si>
  <si>
    <t>=AVERAGE(I3220:J3220)</t>
  </si>
  <si>
    <t>=IF(K3221=0,"hide","")</t>
  </si>
  <si>
    <t>=D3220</t>
  </si>
  <si>
    <t>=NL("sum","Production Order","Quantity","Source No.",$D3221,"Equipment Code",$L3221,"due date",F$8)/-12</t>
  </si>
  <si>
    <t>=NL("sum","Production Order","Quantity","Source No.",$D3221,"Equipment Code",$L3221,"due date",G$8)/-12</t>
  </si>
  <si>
    <t>=NL("sum","Production Order","Quantity","Source No.",$D3221,"Equipment Code",$L3221,"due date",H$8)/-12</t>
  </si>
  <si>
    <t>=NL("sum","Production Order","Quantity","Source No.",$D3221,"Equipment Code",$L3221,"due date",I$8)/-12</t>
  </si>
  <si>
    <t>=NL("sum","Production Order","Quantity","Source No.",$D3221,"Equipment Code",$L3221,"due date",J$8)/$J$7</t>
  </si>
  <si>
    <t>=AVERAGE(I3221:J3221)</t>
  </si>
  <si>
    <t>=B3218</t>
  </si>
  <si>
    <t>=B3222</t>
  </si>
  <si>
    <t>=SUM(F3218:F3222)</t>
  </si>
  <si>
    <t>=SUM(G3218:G3222)</t>
  </si>
  <si>
    <t>=SUM(H3218:H3222)</t>
  </si>
  <si>
    <t>=SUM(I3218:I3222)</t>
  </si>
  <si>
    <t>=SUM(J3218:J3222)</t>
  </si>
  <si>
    <t>=IF(K3224=0,"hide","")</t>
  </si>
  <si>
    <t>="43005"</t>
  </si>
  <si>
    <t>=NL("rows","Production BOM Version","Version Code","Production BOM No.",D3224,"status","certified")</t>
  </si>
  <si>
    <t>=NL("sum","Item Ledger Entry","Quantity","Item No.",$D3224,"Entry Type","Sale|Consumption","posting date","01/01/19..12/31/19")/-12</t>
  </si>
  <si>
    <t>=NL("sum","Item Ledger Entry","Quantity","Item No.",$D3224,"Entry Type","Sale|Consumption","posting date","01/01/20..12/31/20")/-12</t>
  </si>
  <si>
    <t>=NL("sum","Item Ledger Entry","Quantity","Item No.",$D3224,"Entry Type","Sale|Consumption","posting date","01/01/21..12/31/21")/-12</t>
  </si>
  <si>
    <t>=NL("sum","Item Ledger Entry","Quantity","Item No.",$D3224,"Entry Type","Sale|Consumption","posting date","01/01/22..12/31/22")/-12</t>
  </si>
  <si>
    <t>=NL("sum","Item Ledger Entry","Quantity","Item No.",$D3224,"Entry Type","Sale|Consumption","posting date","01/01/23..12/31/23")/$J$7</t>
  </si>
  <si>
    <t>=AVERAGE(I3224:J3224)</t>
  </si>
  <si>
    <t>=NL(1,"item",L$9,"no.",D3224)</t>
  </si>
  <si>
    <t>=NL(1,"item",M$9,"no.",$D3224)</t>
  </si>
  <si>
    <t>=NL(1,"item","Units Per Parcel","no.",$D3224)</t>
  </si>
  <si>
    <t>=NL(1,"Prod. BOM Equipment","Fixed Prod. Time (Hours)","Production BOM No.",$D3224,"version code",$E3224,"Resource No.",O$9)</t>
  </si>
  <si>
    <t>=1/O3224</t>
  </si>
  <si>
    <t>=IF(NL(1,"Prod. BOM Equipment","Variable Prod. Time (Hours)","Production BOM No.",$D3224,"version code",$E3224,"Resource No.",$O$9)="",1,NL(1,"Prod. BOM Equipment","Variable Prod. Time (Hours)","Production BOM No.",$D3224,"version code",$E3224,"Resource No.",$O$9))</t>
  </si>
  <si>
    <t>=1/Q3224</t>
  </si>
  <si>
    <t>=R3224*N3224</t>
  </si>
  <si>
    <t>=IF(K3225=0,"hide","")</t>
  </si>
  <si>
    <t>=D3224</t>
  </si>
  <si>
    <t>=NL("sum","Production Order","Quantity","Source No.",$D3225,"Equipment Code",$L3225,"due date",F$8)/-12</t>
  </si>
  <si>
    <t>=NL("sum","Production Order","Quantity","Source No.",$D3225,"Equipment Code",$L3225,"due date",G$8)/-12</t>
  </si>
  <si>
    <t>=NL("sum","Production Order","Quantity","Source No.",$D3225,"Equipment Code",$L3225,"due date",H$8)/-12</t>
  </si>
  <si>
    <t>=NL("sum","Production Order","Quantity","Source No.",$D3225,"Equipment Code",$L3225,"due date",I$8)/-12</t>
  </si>
  <si>
    <t>=NL("sum","Production Order","Quantity","Source No.",$D3225,"Equipment Code",$L3225,"due date",J$8)/$J$7</t>
  </si>
  <si>
    <t>=AVERAGE(I3225:J3225)</t>
  </si>
  <si>
    <t>=IF(K3226=0,"hide","")</t>
  </si>
  <si>
    <t>=D3225</t>
  </si>
  <si>
    <t>=NL("sum","Production Order","Quantity","Source No.",$D3226,"Equipment Code",$L3226,"due date",F$8)/-12</t>
  </si>
  <si>
    <t>=NL("sum","Production Order","Quantity","Source No.",$D3226,"Equipment Code",$L3226,"due date",G$8)/-12</t>
  </si>
  <si>
    <t>=NL("sum","Production Order","Quantity","Source No.",$D3226,"Equipment Code",$L3226,"due date",H$8)/-12</t>
  </si>
  <si>
    <t>=NL("sum","Production Order","Quantity","Source No.",$D3226,"Equipment Code",$L3226,"due date",I$8)/-12</t>
  </si>
  <si>
    <t>=NL("sum","Production Order","Quantity","Source No.",$D3226,"Equipment Code",$L3226,"due date",J$8)/$J$7</t>
  </si>
  <si>
    <t>=AVERAGE(I3226:J3226)</t>
  </si>
  <si>
    <t>=IF(K3227=0,"hide","")</t>
  </si>
  <si>
    <t>=D3226</t>
  </si>
  <si>
    <t>=NL("sum","Production Order","Quantity","Source No.",$D3227,"Equipment Code",$L3227,"due date",F$8)/-12</t>
  </si>
  <si>
    <t>=NL("sum","Production Order","Quantity","Source No.",$D3227,"Equipment Code",$L3227,"due date",G$8)/-12</t>
  </si>
  <si>
    <t>=NL("sum","Production Order","Quantity","Source No.",$D3227,"Equipment Code",$L3227,"due date",H$8)/-12</t>
  </si>
  <si>
    <t>=NL("sum","Production Order","Quantity","Source No.",$D3227,"Equipment Code",$L3227,"due date",I$8)/-12</t>
  </si>
  <si>
    <t>=NL("sum","Production Order","Quantity","Source No.",$D3227,"Equipment Code",$L3227,"due date",J$8)/$J$7</t>
  </si>
  <si>
    <t>=AVERAGE(I3227:J3227)</t>
  </si>
  <si>
    <t>=IF(K3228=0,"hide","")</t>
  </si>
  <si>
    <t>=D3227</t>
  </si>
  <si>
    <t>=NL("sum","Production Order","Quantity","Source No.",$D3228,"Equipment Code",$L3228,"due date",F$8)/-12</t>
  </si>
  <si>
    <t>=NL("sum","Production Order","Quantity","Source No.",$D3228,"Equipment Code",$L3228,"due date",G$8)/-12</t>
  </si>
  <si>
    <t>=NL("sum","Production Order","Quantity","Source No.",$D3228,"Equipment Code",$L3228,"due date",H$8)/-12</t>
  </si>
  <si>
    <t>=NL("sum","Production Order","Quantity","Source No.",$D3228,"Equipment Code",$L3228,"due date",I$8)/-12</t>
  </si>
  <si>
    <t>=NL("sum","Production Order","Quantity","Source No.",$D3228,"Equipment Code",$L3228,"due date",J$8)/$J$7</t>
  </si>
  <si>
    <t>=AVERAGE(I3228:J3228)</t>
  </si>
  <si>
    <t>=B3225</t>
  </si>
  <si>
    <t>=B3229</t>
  </si>
  <si>
    <t>=SUM(F3225:F3229)</t>
  </si>
  <si>
    <t>=SUM(G3225:G3229)</t>
  </si>
  <si>
    <t>=SUM(H3225:H3229)</t>
  </si>
  <si>
    <t>=SUM(I3225:I3229)</t>
  </si>
  <si>
    <t>=SUM(J3225:J3229)</t>
  </si>
  <si>
    <t>=IF(K3231=0,"hide","")</t>
  </si>
  <si>
    <t>=NL("rows","Production BOM Version","Version Code","Production BOM No.",D3231,"status","certified")</t>
  </si>
  <si>
    <t>=NL("sum","Item Ledger Entry","Quantity","Item No.",$D3231,"Entry Type","Sale|Consumption","posting date","01/01/19..12/31/19")/-12</t>
  </si>
  <si>
    <t>=NL("sum","Item Ledger Entry","Quantity","Item No.",$D3231,"Entry Type","Sale|Consumption","posting date","01/01/20..12/31/20")/-12</t>
  </si>
  <si>
    <t>=NL("sum","Item Ledger Entry","Quantity","Item No.",$D3231,"Entry Type","Sale|Consumption","posting date","01/01/21..12/31/21")/-12</t>
  </si>
  <si>
    <t>=NL("sum","Item Ledger Entry","Quantity","Item No.",$D3231,"Entry Type","Sale|Consumption","posting date","01/01/22..12/31/22")/-12</t>
  </si>
  <si>
    <t>=NL("sum","Item Ledger Entry","Quantity","Item No.",$D3231,"Entry Type","Sale|Consumption","posting date","01/01/23..12/31/23")/$J$7</t>
  </si>
  <si>
    <t>=AVERAGE(I3231:J3231)</t>
  </si>
  <si>
    <t>=NL(1,"item",L$9,"no.",D3231)</t>
  </si>
  <si>
    <t>=NL(1,"item",M$9,"no.",$D3231)</t>
  </si>
  <si>
    <t>=NL(1,"item","Units Per Parcel","no.",$D3231)</t>
  </si>
  <si>
    <t>=NL(1,"Prod. BOM Equipment","Fixed Prod. Time (Hours)","Production BOM No.",$D3231,"version code",$E3231,"Resource No.",O$9)</t>
  </si>
  <si>
    <t>=1/O3231</t>
  </si>
  <si>
    <t>=IF(NL(1,"Prod. BOM Equipment","Variable Prod. Time (Hours)","Production BOM No.",$D3231,"version code",$E3231,"Resource No.",$O$9)="",1,NL(1,"Prod. BOM Equipment","Variable Prod. Time (Hours)","Production BOM No.",$D3231,"version code",$E3231,"Resource No.",$O$9))</t>
  </si>
  <si>
    <t>=1/Q3231</t>
  </si>
  <si>
    <t>=R3231*N3231</t>
  </si>
  <si>
    <t>=IF(K3232=0,"hide","")</t>
  </si>
  <si>
    <t>=D3231</t>
  </si>
  <si>
    <t>=NL("sum","Production Order","Quantity","Source No.",$D3232,"Equipment Code",$L3232,"due date",F$8)/-12</t>
  </si>
  <si>
    <t>=NL("sum","Production Order","Quantity","Source No.",$D3232,"Equipment Code",$L3232,"due date",G$8)/-12</t>
  </si>
  <si>
    <t>=NL("sum","Production Order","Quantity","Source No.",$D3232,"Equipment Code",$L3232,"due date",H$8)/-12</t>
  </si>
  <si>
    <t>=NL("sum","Production Order","Quantity","Source No.",$D3232,"Equipment Code",$L3232,"due date",I$8)/-12</t>
  </si>
  <si>
    <t>=NL("sum","Production Order","Quantity","Source No.",$D3232,"Equipment Code",$L3232,"due date",J$8)/$J$7</t>
  </si>
  <si>
    <t>=AVERAGE(I3232:J3232)</t>
  </si>
  <si>
    <t>=IF(K3233=0,"hide","")</t>
  </si>
  <si>
    <t>=D3232</t>
  </si>
  <si>
    <t>=NL("sum","Production Order","Quantity","Source No.",$D3233,"Equipment Code",$L3233,"due date",F$8)/-12</t>
  </si>
  <si>
    <t>=NL("sum","Production Order","Quantity","Source No.",$D3233,"Equipment Code",$L3233,"due date",G$8)/-12</t>
  </si>
  <si>
    <t>=NL("sum","Production Order","Quantity","Source No.",$D3233,"Equipment Code",$L3233,"due date",H$8)/-12</t>
  </si>
  <si>
    <t>=NL("sum","Production Order","Quantity","Source No.",$D3233,"Equipment Code",$L3233,"due date",I$8)/-12</t>
  </si>
  <si>
    <t>=NL("sum","Production Order","Quantity","Source No.",$D3233,"Equipment Code",$L3233,"due date",J$8)/$J$7</t>
  </si>
  <si>
    <t>=AVERAGE(I3233:J3233)</t>
  </si>
  <si>
    <t>=IF(K3234=0,"hide","")</t>
  </si>
  <si>
    <t>=D3233</t>
  </si>
  <si>
    <t>=NL("sum","Production Order","Quantity","Source No.",$D3234,"Equipment Code",$L3234,"due date",F$8)/-12</t>
  </si>
  <si>
    <t>=NL("sum","Production Order","Quantity","Source No.",$D3234,"Equipment Code",$L3234,"due date",G$8)/-12</t>
  </si>
  <si>
    <t>=NL("sum","Production Order","Quantity","Source No.",$D3234,"Equipment Code",$L3234,"due date",H$8)/-12</t>
  </si>
  <si>
    <t>=NL("sum","Production Order","Quantity","Source No.",$D3234,"Equipment Code",$L3234,"due date",I$8)/-12</t>
  </si>
  <si>
    <t>=NL("sum","Production Order","Quantity","Source No.",$D3234,"Equipment Code",$L3234,"due date",J$8)/$J$7</t>
  </si>
  <si>
    <t>=AVERAGE(I3234:J3234)</t>
  </si>
  <si>
    <t>=IF(K3235=0,"hide","")</t>
  </si>
  <si>
    <t>=D3234</t>
  </si>
  <si>
    <t>=NL("sum","Production Order","Quantity","Source No.",$D3235,"Equipment Code",$L3235,"due date",F$8)/-12</t>
  </si>
  <si>
    <t>=NL("sum","Production Order","Quantity","Source No.",$D3235,"Equipment Code",$L3235,"due date",G$8)/-12</t>
  </si>
  <si>
    <t>=NL("sum","Production Order","Quantity","Source No.",$D3235,"Equipment Code",$L3235,"due date",H$8)/-12</t>
  </si>
  <si>
    <t>=NL("sum","Production Order","Quantity","Source No.",$D3235,"Equipment Code",$L3235,"due date",I$8)/-12</t>
  </si>
  <si>
    <t>=NL("sum","Production Order","Quantity","Source No.",$D3235,"Equipment Code",$L3235,"due date",J$8)/$J$7</t>
  </si>
  <si>
    <t>=AVERAGE(I3235:J3235)</t>
  </si>
  <si>
    <t>=B3232</t>
  </si>
  <si>
    <t>=B3236</t>
  </si>
  <si>
    <t>=SUM(F3232:F3236)</t>
  </si>
  <si>
    <t>=SUM(G3232:G3236)</t>
  </si>
  <si>
    <t>=SUM(H3232:H3236)</t>
  </si>
  <si>
    <t>=SUM(I3232:I3236)</t>
  </si>
  <si>
    <t>=SUM(J3232:J3236)</t>
  </si>
  <si>
    <t>=IF(K3238=0,"hide","")</t>
  </si>
  <si>
    <t>=NL("rows","Production BOM Version","Version Code","Production BOM No.",D3238,"status","certified")</t>
  </si>
  <si>
    <t>=NL("sum","Item Ledger Entry","Quantity","Item No.",$D3238,"Entry Type","Sale|Consumption","posting date","01/01/19..12/31/19")/-12</t>
  </si>
  <si>
    <t>=NL("sum","Item Ledger Entry","Quantity","Item No.",$D3238,"Entry Type","Sale|Consumption","posting date","01/01/20..12/31/20")/-12</t>
  </si>
  <si>
    <t>=NL("sum","Item Ledger Entry","Quantity","Item No.",$D3238,"Entry Type","Sale|Consumption","posting date","01/01/21..12/31/21")/-12</t>
  </si>
  <si>
    <t>=NL("sum","Item Ledger Entry","Quantity","Item No.",$D3238,"Entry Type","Sale|Consumption","posting date","01/01/22..12/31/22")/-12</t>
  </si>
  <si>
    <t>=NL("sum","Item Ledger Entry","Quantity","Item No.",$D3238,"Entry Type","Sale|Consumption","posting date","01/01/23..12/31/23")/$J$7</t>
  </si>
  <si>
    <t>=AVERAGE(I3238:J3238)</t>
  </si>
  <si>
    <t>=NL(1,"item",L$9,"no.",D3238)</t>
  </si>
  <si>
    <t>=NL(1,"item",M$9,"no.",$D3238)</t>
  </si>
  <si>
    <t>=NL(1,"item","Units Per Parcel","no.",$D3238)</t>
  </si>
  <si>
    <t>=NL(1,"Prod. BOM Equipment","Fixed Prod. Time (Hours)","Production BOM No.",$D3238,"version code",$E3238,"Resource No.",O$9)</t>
  </si>
  <si>
    <t>=1/O3238</t>
  </si>
  <si>
    <t>=IF(NL(1,"Prod. BOM Equipment","Variable Prod. Time (Hours)","Production BOM No.",$D3238,"version code",$E3238,"Resource No.",$O$9)="",1,NL(1,"Prod. BOM Equipment","Variable Prod. Time (Hours)","Production BOM No.",$D3238,"version code",$E3238,"Resource No.",$O$9))</t>
  </si>
  <si>
    <t>=1/Q3238</t>
  </si>
  <si>
    <t>=R3238*N3238</t>
  </si>
  <si>
    <t>=IF(K3239=0,"hide","")</t>
  </si>
  <si>
    <t>=D3238</t>
  </si>
  <si>
    <t>=NL("sum","Production Order","Quantity","Source No.",$D3239,"Equipment Code",$L3239,"due date",F$8)/-12</t>
  </si>
  <si>
    <t>=NL("sum","Production Order","Quantity","Source No.",$D3239,"Equipment Code",$L3239,"due date",G$8)/-12</t>
  </si>
  <si>
    <t>=NL("sum","Production Order","Quantity","Source No.",$D3239,"Equipment Code",$L3239,"due date",H$8)/-12</t>
  </si>
  <si>
    <t>=NL("sum","Production Order","Quantity","Source No.",$D3239,"Equipment Code",$L3239,"due date",I$8)/-12</t>
  </si>
  <si>
    <t>=NL("sum","Production Order","Quantity","Source No.",$D3239,"Equipment Code",$L3239,"due date",J$8)/$J$7</t>
  </si>
  <si>
    <t>=AVERAGE(I3239:J3239)</t>
  </si>
  <si>
    <t>=IF(K3240=0,"hide","")</t>
  </si>
  <si>
    <t>=D3239</t>
  </si>
  <si>
    <t>=NL("sum","Production Order","Quantity","Source No.",$D3240,"Equipment Code",$L3240,"due date",F$8)/-12</t>
  </si>
  <si>
    <t>=NL("sum","Production Order","Quantity","Source No.",$D3240,"Equipment Code",$L3240,"due date",G$8)/-12</t>
  </si>
  <si>
    <t>=NL("sum","Production Order","Quantity","Source No.",$D3240,"Equipment Code",$L3240,"due date",H$8)/-12</t>
  </si>
  <si>
    <t>=NL("sum","Production Order","Quantity","Source No.",$D3240,"Equipment Code",$L3240,"due date",I$8)/-12</t>
  </si>
  <si>
    <t>=NL("sum","Production Order","Quantity","Source No.",$D3240,"Equipment Code",$L3240,"due date",J$8)/$J$7</t>
  </si>
  <si>
    <t>=AVERAGE(I3240:J3240)</t>
  </si>
  <si>
    <t>=IF(K3241=0,"hide","")</t>
  </si>
  <si>
    <t>=D3240</t>
  </si>
  <si>
    <t>=NL("sum","Production Order","Quantity","Source No.",$D3241,"Equipment Code",$L3241,"due date",F$8)/-12</t>
  </si>
  <si>
    <t>=NL("sum","Production Order","Quantity","Source No.",$D3241,"Equipment Code",$L3241,"due date",G$8)/-12</t>
  </si>
  <si>
    <t>=NL("sum","Production Order","Quantity","Source No.",$D3241,"Equipment Code",$L3241,"due date",H$8)/-12</t>
  </si>
  <si>
    <t>=NL("sum","Production Order","Quantity","Source No.",$D3241,"Equipment Code",$L3241,"due date",I$8)/-12</t>
  </si>
  <si>
    <t>=NL("sum","Production Order","Quantity","Source No.",$D3241,"Equipment Code",$L3241,"due date",J$8)/$J$7</t>
  </si>
  <si>
    <t>=AVERAGE(I3241:J3241)</t>
  </si>
  <si>
    <t>=IF(K3242=0,"hide","")</t>
  </si>
  <si>
    <t>=D3241</t>
  </si>
  <si>
    <t>=NL("sum","Production Order","Quantity","Source No.",$D3242,"Equipment Code",$L3242,"due date",F$8)/-12</t>
  </si>
  <si>
    <t>=NL("sum","Production Order","Quantity","Source No.",$D3242,"Equipment Code",$L3242,"due date",G$8)/-12</t>
  </si>
  <si>
    <t>=NL("sum","Production Order","Quantity","Source No.",$D3242,"Equipment Code",$L3242,"due date",H$8)/-12</t>
  </si>
  <si>
    <t>=NL("sum","Production Order","Quantity","Source No.",$D3242,"Equipment Code",$L3242,"due date",I$8)/-12</t>
  </si>
  <si>
    <t>=NL("sum","Production Order","Quantity","Source No.",$D3242,"Equipment Code",$L3242,"due date",J$8)/$J$7</t>
  </si>
  <si>
    <t>=AVERAGE(I3242:J3242)</t>
  </si>
  <si>
    <t>=B3239</t>
  </si>
  <si>
    <t>=B3243</t>
  </si>
  <si>
    <t>=SUM(F3239:F3243)</t>
  </si>
  <si>
    <t>=SUM(G3239:G3243)</t>
  </si>
  <si>
    <t>=SUM(H3239:H3243)</t>
  </si>
  <si>
    <t>=SUM(I3239:I3243)</t>
  </si>
  <si>
    <t>=SUM(J3239:J3243)</t>
  </si>
  <si>
    <t>=IF(K3245=0,"hide","")</t>
  </si>
  <si>
    <t>="43205"</t>
  </si>
  <si>
    <t>=NL("rows","Production BOM Version","Version Code","Production BOM No.",D3245,"status","certified")</t>
  </si>
  <si>
    <t>=NL("sum","Item Ledger Entry","Quantity","Item No.",$D3245,"Entry Type","Sale|Consumption","posting date","01/01/19..12/31/19")/-12</t>
  </si>
  <si>
    <t>=NL("sum","Item Ledger Entry","Quantity","Item No.",$D3245,"Entry Type","Sale|Consumption","posting date","01/01/20..12/31/20")/-12</t>
  </si>
  <si>
    <t>=NL("sum","Item Ledger Entry","Quantity","Item No.",$D3245,"Entry Type","Sale|Consumption","posting date","01/01/21..12/31/21")/-12</t>
  </si>
  <si>
    <t>=NL("sum","Item Ledger Entry","Quantity","Item No.",$D3245,"Entry Type","Sale|Consumption","posting date","01/01/22..12/31/22")/-12</t>
  </si>
  <si>
    <t>=NL("sum","Item Ledger Entry","Quantity","Item No.",$D3245,"Entry Type","Sale|Consumption","posting date","01/01/23..12/31/23")/$J$7</t>
  </si>
  <si>
    <t>=AVERAGE(I3245:J3245)</t>
  </si>
  <si>
    <t>=NL(1,"item",L$9,"no.",D3245)</t>
  </si>
  <si>
    <t>=NL(1,"item",M$9,"no.",$D3245)</t>
  </si>
  <si>
    <t>=NL(1,"item","Units Per Parcel","no.",$D3245)</t>
  </si>
  <si>
    <t>=NL(1,"Prod. BOM Equipment","Fixed Prod. Time (Hours)","Production BOM No.",$D3245,"version code",$E3245,"Resource No.",O$9)</t>
  </si>
  <si>
    <t>=1/O3245</t>
  </si>
  <si>
    <t>=IF(NL(1,"Prod. BOM Equipment","Variable Prod. Time (Hours)","Production BOM No.",$D3245,"version code",$E3245,"Resource No.",$O$9)="",1,NL(1,"Prod. BOM Equipment","Variable Prod. Time (Hours)","Production BOM No.",$D3245,"version code",$E3245,"Resource No.",$O$9))</t>
  </si>
  <si>
    <t>=1/Q3245</t>
  </si>
  <si>
    <t>=R3245*N3245</t>
  </si>
  <si>
    <t>=IF(K3246=0,"hide","")</t>
  </si>
  <si>
    <t>=D3245</t>
  </si>
  <si>
    <t>=NL("sum","Production Order","Quantity","Source No.",$D3246,"Equipment Code",$L3246,"due date",F$8)/-12</t>
  </si>
  <si>
    <t>=NL("sum","Production Order","Quantity","Source No.",$D3246,"Equipment Code",$L3246,"due date",G$8)/-12</t>
  </si>
  <si>
    <t>=NL("sum","Production Order","Quantity","Source No.",$D3246,"Equipment Code",$L3246,"due date",H$8)/-12</t>
  </si>
  <si>
    <t>=NL("sum","Production Order","Quantity","Source No.",$D3246,"Equipment Code",$L3246,"due date",I$8)/-12</t>
  </si>
  <si>
    <t>=NL("sum","Production Order","Quantity","Source No.",$D3246,"Equipment Code",$L3246,"due date",J$8)/$J$7</t>
  </si>
  <si>
    <t>=AVERAGE(I3246:J3246)</t>
  </si>
  <si>
    <t>=IF(K3247=0,"hide","")</t>
  </si>
  <si>
    <t>=D3246</t>
  </si>
  <si>
    <t>=NL("sum","Production Order","Quantity","Source No.",$D3247,"Equipment Code",$L3247,"due date",F$8)/-12</t>
  </si>
  <si>
    <t>=NL("sum","Production Order","Quantity","Source No.",$D3247,"Equipment Code",$L3247,"due date",G$8)/-12</t>
  </si>
  <si>
    <t>=NL("sum","Production Order","Quantity","Source No.",$D3247,"Equipment Code",$L3247,"due date",H$8)/-12</t>
  </si>
  <si>
    <t>=NL("sum","Production Order","Quantity","Source No.",$D3247,"Equipment Code",$L3247,"due date",I$8)/-12</t>
  </si>
  <si>
    <t>=NL("sum","Production Order","Quantity","Source No.",$D3247,"Equipment Code",$L3247,"due date",J$8)/$J$7</t>
  </si>
  <si>
    <t>=AVERAGE(I3247:J3247)</t>
  </si>
  <si>
    <t>=IF(K3248=0,"hide","")</t>
  </si>
  <si>
    <t>=D3247</t>
  </si>
  <si>
    <t>=NL("sum","Production Order","Quantity","Source No.",$D3248,"Equipment Code",$L3248,"due date",F$8)/-12</t>
  </si>
  <si>
    <t>=NL("sum","Production Order","Quantity","Source No.",$D3248,"Equipment Code",$L3248,"due date",G$8)/-12</t>
  </si>
  <si>
    <t>=NL("sum","Production Order","Quantity","Source No.",$D3248,"Equipment Code",$L3248,"due date",H$8)/-12</t>
  </si>
  <si>
    <t>=NL("sum","Production Order","Quantity","Source No.",$D3248,"Equipment Code",$L3248,"due date",I$8)/-12</t>
  </si>
  <si>
    <t>=NL("sum","Production Order","Quantity","Source No.",$D3248,"Equipment Code",$L3248,"due date",J$8)/$J$7</t>
  </si>
  <si>
    <t>=AVERAGE(I3248:J3248)</t>
  </si>
  <si>
    <t>=IF(K3249=0,"hide","")</t>
  </si>
  <si>
    <t>=D3248</t>
  </si>
  <si>
    <t>=NL("sum","Production Order","Quantity","Source No.",$D3249,"Equipment Code",$L3249,"due date",F$8)/-12</t>
  </si>
  <si>
    <t>=NL("sum","Production Order","Quantity","Source No.",$D3249,"Equipment Code",$L3249,"due date",G$8)/-12</t>
  </si>
  <si>
    <t>=NL("sum","Production Order","Quantity","Source No.",$D3249,"Equipment Code",$L3249,"due date",H$8)/-12</t>
  </si>
  <si>
    <t>=NL("sum","Production Order","Quantity","Source No.",$D3249,"Equipment Code",$L3249,"due date",I$8)/-12</t>
  </si>
  <si>
    <t>=NL("sum","Production Order","Quantity","Source No.",$D3249,"Equipment Code",$L3249,"due date",J$8)/$J$7</t>
  </si>
  <si>
    <t>=AVERAGE(I3249:J3249)</t>
  </si>
  <si>
    <t>=B3246</t>
  </si>
  <si>
    <t>=B3250</t>
  </si>
  <si>
    <t>=SUM(F3246:F3250)</t>
  </si>
  <si>
    <t>=SUM(G3246:G3250)</t>
  </si>
  <si>
    <t>=SUM(H3246:H3250)</t>
  </si>
  <si>
    <t>=SUM(I3246:I3250)</t>
  </si>
  <si>
    <t>=SUM(J3246:J3250)</t>
  </si>
  <si>
    <t>=IF(K3252=0,"hide","")</t>
  </si>
  <si>
    <t>="43403"</t>
  </si>
  <si>
    <t>=NL("rows","Production BOM Version","Version Code","Production BOM No.",D3252,"status","certified")</t>
  </si>
  <si>
    <t>=NL("sum","Item Ledger Entry","Quantity","Item No.",$D3252,"Entry Type","Sale|Consumption","posting date","01/01/19..12/31/19")/-12</t>
  </si>
  <si>
    <t>=NL("sum","Item Ledger Entry","Quantity","Item No.",$D3252,"Entry Type","Sale|Consumption","posting date","01/01/20..12/31/20")/-12</t>
  </si>
  <si>
    <t>=NL("sum","Item Ledger Entry","Quantity","Item No.",$D3252,"Entry Type","Sale|Consumption","posting date","01/01/21..12/31/21")/-12</t>
  </si>
  <si>
    <t>=NL("sum","Item Ledger Entry","Quantity","Item No.",$D3252,"Entry Type","Sale|Consumption","posting date","01/01/22..12/31/22")/-12</t>
  </si>
  <si>
    <t>=NL("sum","Item Ledger Entry","Quantity","Item No.",$D3252,"Entry Type","Sale|Consumption","posting date","01/01/23..12/31/23")/$J$7</t>
  </si>
  <si>
    <t>=AVERAGE(I3252:J3252)</t>
  </si>
  <si>
    <t>=NL(1,"item",L$9,"no.",D3252)</t>
  </si>
  <si>
    <t>=NL(1,"item",M$9,"no.",$D3252)</t>
  </si>
  <si>
    <t>=NL(1,"item","Units Per Parcel","no.",$D3252)</t>
  </si>
  <si>
    <t>=NL(1,"Prod. BOM Equipment","Fixed Prod. Time (Hours)","Production BOM No.",$D3252,"version code",$E3252,"Resource No.",O$9)</t>
  </si>
  <si>
    <t>=1/O3252</t>
  </si>
  <si>
    <t>=IF(NL(1,"Prod. BOM Equipment","Variable Prod. Time (Hours)","Production BOM No.",$D3252,"version code",$E3252,"Resource No.",$O$9)="",1,NL(1,"Prod. BOM Equipment","Variable Prod. Time (Hours)","Production BOM No.",$D3252,"version code",$E3252,"Resource No.",$O$9))</t>
  </si>
  <si>
    <t>=1/Q3252</t>
  </si>
  <si>
    <t>=R3252*N3252</t>
  </si>
  <si>
    <t>=IF(K3253=0,"hide","")</t>
  </si>
  <si>
    <t>=D3252</t>
  </si>
  <si>
    <t>=NL("sum","Production Order","Quantity","Source No.",$D3253,"Equipment Code",$L3253,"due date",F$8)/-12</t>
  </si>
  <si>
    <t>=NL("sum","Production Order","Quantity","Source No.",$D3253,"Equipment Code",$L3253,"due date",G$8)/-12</t>
  </si>
  <si>
    <t>=NL("sum","Production Order","Quantity","Source No.",$D3253,"Equipment Code",$L3253,"due date",H$8)/-12</t>
  </si>
  <si>
    <t>=NL("sum","Production Order","Quantity","Source No.",$D3253,"Equipment Code",$L3253,"due date",I$8)/-12</t>
  </si>
  <si>
    <t>=NL("sum","Production Order","Quantity","Source No.",$D3253,"Equipment Code",$L3253,"due date",J$8)/$J$7</t>
  </si>
  <si>
    <t>=AVERAGE(I3253:J3253)</t>
  </si>
  <si>
    <t>=IF(K3254=0,"hide","")</t>
  </si>
  <si>
    <t>=D3253</t>
  </si>
  <si>
    <t>=NL("sum","Production Order","Quantity","Source No.",$D3254,"Equipment Code",$L3254,"due date",F$8)/-12</t>
  </si>
  <si>
    <t>=NL("sum","Production Order","Quantity","Source No.",$D3254,"Equipment Code",$L3254,"due date",G$8)/-12</t>
  </si>
  <si>
    <t>=NL("sum","Production Order","Quantity","Source No.",$D3254,"Equipment Code",$L3254,"due date",H$8)/-12</t>
  </si>
  <si>
    <t>=NL("sum","Production Order","Quantity","Source No.",$D3254,"Equipment Code",$L3254,"due date",I$8)/-12</t>
  </si>
  <si>
    <t>=NL("sum","Production Order","Quantity","Source No.",$D3254,"Equipment Code",$L3254,"due date",J$8)/$J$7</t>
  </si>
  <si>
    <t>=AVERAGE(I3254:J3254)</t>
  </si>
  <si>
    <t>=IF(K3255=0,"hide","")</t>
  </si>
  <si>
    <t>=D3254</t>
  </si>
  <si>
    <t>=NL("sum","Production Order","Quantity","Source No.",$D3255,"Equipment Code",$L3255,"due date",F$8)/-12</t>
  </si>
  <si>
    <t>=NL("sum","Production Order","Quantity","Source No.",$D3255,"Equipment Code",$L3255,"due date",G$8)/-12</t>
  </si>
  <si>
    <t>=NL("sum","Production Order","Quantity","Source No.",$D3255,"Equipment Code",$L3255,"due date",H$8)/-12</t>
  </si>
  <si>
    <t>=NL("sum","Production Order","Quantity","Source No.",$D3255,"Equipment Code",$L3255,"due date",I$8)/-12</t>
  </si>
  <si>
    <t>=NL("sum","Production Order","Quantity","Source No.",$D3255,"Equipment Code",$L3255,"due date",J$8)/$J$7</t>
  </si>
  <si>
    <t>=AVERAGE(I3255:J3255)</t>
  </si>
  <si>
    <t>=IF(K3256=0,"hide","")</t>
  </si>
  <si>
    <t>=D3255</t>
  </si>
  <si>
    <t>=NL("sum","Production Order","Quantity","Source No.",$D3256,"Equipment Code",$L3256,"due date",F$8)/-12</t>
  </si>
  <si>
    <t>=NL("sum","Production Order","Quantity","Source No.",$D3256,"Equipment Code",$L3256,"due date",G$8)/-12</t>
  </si>
  <si>
    <t>=NL("sum","Production Order","Quantity","Source No.",$D3256,"Equipment Code",$L3256,"due date",H$8)/-12</t>
  </si>
  <si>
    <t>=NL("sum","Production Order","Quantity","Source No.",$D3256,"Equipment Code",$L3256,"due date",I$8)/-12</t>
  </si>
  <si>
    <t>=NL("sum","Production Order","Quantity","Source No.",$D3256,"Equipment Code",$L3256,"due date",J$8)/$J$7</t>
  </si>
  <si>
    <t>=AVERAGE(I3256:J3256)</t>
  </si>
  <si>
    <t>=B3253</t>
  </si>
  <si>
    <t>=B3257</t>
  </si>
  <si>
    <t>=SUM(F3253:F3257)</t>
  </si>
  <si>
    <t>=SUM(G3253:G3257)</t>
  </si>
  <si>
    <t>=SUM(H3253:H3257)</t>
  </si>
  <si>
    <t>=SUM(I3253:I3257)</t>
  </si>
  <si>
    <t>=SUM(J3253:J3257)</t>
  </si>
  <si>
    <t>=IF(K3259=0,"hide","")</t>
  </si>
  <si>
    <t>="43405"</t>
  </si>
  <si>
    <t>=NL("rows","Production BOM Version","Version Code","Production BOM No.",D3259,"status","certified")</t>
  </si>
  <si>
    <t>=NL("sum","Item Ledger Entry","Quantity","Item No.",$D3259,"Entry Type","Sale|Consumption","posting date","01/01/19..12/31/19")/-12</t>
  </si>
  <si>
    <t>=NL("sum","Item Ledger Entry","Quantity","Item No.",$D3259,"Entry Type","Sale|Consumption","posting date","01/01/20..12/31/20")/-12</t>
  </si>
  <si>
    <t>=NL("sum","Item Ledger Entry","Quantity","Item No.",$D3259,"Entry Type","Sale|Consumption","posting date","01/01/21..12/31/21")/-12</t>
  </si>
  <si>
    <t>=NL("sum","Item Ledger Entry","Quantity","Item No.",$D3259,"Entry Type","Sale|Consumption","posting date","01/01/22..12/31/22")/-12</t>
  </si>
  <si>
    <t>=NL("sum","Item Ledger Entry","Quantity","Item No.",$D3259,"Entry Type","Sale|Consumption","posting date","01/01/23..12/31/23")/$J$7</t>
  </si>
  <si>
    <t>=AVERAGE(I3259:J3259)</t>
  </si>
  <si>
    <t>=NL(1,"item",L$9,"no.",D3259)</t>
  </si>
  <si>
    <t>=NL(1,"item",M$9,"no.",$D3259)</t>
  </si>
  <si>
    <t>=NL(1,"item","Units Per Parcel","no.",$D3259)</t>
  </si>
  <si>
    <t>=NL(1,"Prod. BOM Equipment","Fixed Prod. Time (Hours)","Production BOM No.",$D3259,"version code",$E3259,"Resource No.",O$9)</t>
  </si>
  <si>
    <t>=1/O3259</t>
  </si>
  <si>
    <t>=IF(NL(1,"Prod. BOM Equipment","Variable Prod. Time (Hours)","Production BOM No.",$D3259,"version code",$E3259,"Resource No.",$O$9)="",1,NL(1,"Prod. BOM Equipment","Variable Prod. Time (Hours)","Production BOM No.",$D3259,"version code",$E3259,"Resource No.",$O$9))</t>
  </si>
  <si>
    <t>=1/Q3259</t>
  </si>
  <si>
    <t>=R3259*N3259</t>
  </si>
  <si>
    <t>=IF(K3260=0,"hide","")</t>
  </si>
  <si>
    <t>=D3259</t>
  </si>
  <si>
    <t>=NL("sum","Production Order","Quantity","Source No.",$D3260,"Equipment Code",$L3260,"due date",F$8)/-12</t>
  </si>
  <si>
    <t>=NL("sum","Production Order","Quantity","Source No.",$D3260,"Equipment Code",$L3260,"due date",G$8)/-12</t>
  </si>
  <si>
    <t>=NL("sum","Production Order","Quantity","Source No.",$D3260,"Equipment Code",$L3260,"due date",H$8)/-12</t>
  </si>
  <si>
    <t>=NL("sum","Production Order","Quantity","Source No.",$D3260,"Equipment Code",$L3260,"due date",I$8)/-12</t>
  </si>
  <si>
    <t>=NL("sum","Production Order","Quantity","Source No.",$D3260,"Equipment Code",$L3260,"due date",J$8)/$J$7</t>
  </si>
  <si>
    <t>=AVERAGE(I3260:J3260)</t>
  </si>
  <si>
    <t>=IF(K3261=0,"hide","")</t>
  </si>
  <si>
    <t>=D3260</t>
  </si>
  <si>
    <t>=NL("sum","Production Order","Quantity","Source No.",$D3261,"Equipment Code",$L3261,"due date",F$8)/-12</t>
  </si>
  <si>
    <t>=NL("sum","Production Order","Quantity","Source No.",$D3261,"Equipment Code",$L3261,"due date",G$8)/-12</t>
  </si>
  <si>
    <t>=NL("sum","Production Order","Quantity","Source No.",$D3261,"Equipment Code",$L3261,"due date",H$8)/-12</t>
  </si>
  <si>
    <t>=NL("sum","Production Order","Quantity","Source No.",$D3261,"Equipment Code",$L3261,"due date",I$8)/-12</t>
  </si>
  <si>
    <t>=NL("sum","Production Order","Quantity","Source No.",$D3261,"Equipment Code",$L3261,"due date",J$8)/$J$7</t>
  </si>
  <si>
    <t>=AVERAGE(I3261:J3261)</t>
  </si>
  <si>
    <t>=IF(K3262=0,"hide","")</t>
  </si>
  <si>
    <t>=D3261</t>
  </si>
  <si>
    <t>=NL("sum","Production Order","Quantity","Source No.",$D3262,"Equipment Code",$L3262,"due date",F$8)/-12</t>
  </si>
  <si>
    <t>=NL("sum","Production Order","Quantity","Source No.",$D3262,"Equipment Code",$L3262,"due date",G$8)/-12</t>
  </si>
  <si>
    <t>=NL("sum","Production Order","Quantity","Source No.",$D3262,"Equipment Code",$L3262,"due date",H$8)/-12</t>
  </si>
  <si>
    <t>=NL("sum","Production Order","Quantity","Source No.",$D3262,"Equipment Code",$L3262,"due date",I$8)/-12</t>
  </si>
  <si>
    <t>=NL("sum","Production Order","Quantity","Source No.",$D3262,"Equipment Code",$L3262,"due date",J$8)/$J$7</t>
  </si>
  <si>
    <t>=AVERAGE(I3262:J3262)</t>
  </si>
  <si>
    <t>=IF(K3263=0,"hide","")</t>
  </si>
  <si>
    <t>=D3262</t>
  </si>
  <si>
    <t>=NL("sum","Production Order","Quantity","Source No.",$D3263,"Equipment Code",$L3263,"due date",F$8)/-12</t>
  </si>
  <si>
    <t>=NL("sum","Production Order","Quantity","Source No.",$D3263,"Equipment Code",$L3263,"due date",G$8)/-12</t>
  </si>
  <si>
    <t>=NL("sum","Production Order","Quantity","Source No.",$D3263,"Equipment Code",$L3263,"due date",H$8)/-12</t>
  </si>
  <si>
    <t>=NL("sum","Production Order","Quantity","Source No.",$D3263,"Equipment Code",$L3263,"due date",I$8)/-12</t>
  </si>
  <si>
    <t>=NL("sum","Production Order","Quantity","Source No.",$D3263,"Equipment Code",$L3263,"due date",J$8)/$J$7</t>
  </si>
  <si>
    <t>=AVERAGE(I3263:J3263)</t>
  </si>
  <si>
    <t>=B3260</t>
  </si>
  <si>
    <t>=B3264</t>
  </si>
  <si>
    <t>=SUM(F3260:F3264)</t>
  </si>
  <si>
    <t>=SUM(G3260:G3264)</t>
  </si>
  <si>
    <t>=SUM(H3260:H3264)</t>
  </si>
  <si>
    <t>=SUM(I3260:I3264)</t>
  </si>
  <si>
    <t>=SUM(J3260:J3264)</t>
  </si>
  <si>
    <t>=IF(K3266=0,"hide","")</t>
  </si>
  <si>
    <t>="43422"</t>
  </si>
  <si>
    <t>=NL("rows","Production BOM Version","Version Code","Production BOM No.",D3266,"status","certified")</t>
  </si>
  <si>
    <t>=NL("sum","Item Ledger Entry","Quantity","Item No.",$D3266,"Entry Type","Sale|Consumption","posting date","01/01/19..12/31/19")/-12</t>
  </si>
  <si>
    <t>=NL("sum","Item Ledger Entry","Quantity","Item No.",$D3266,"Entry Type","Sale|Consumption","posting date","01/01/20..12/31/20")/-12</t>
  </si>
  <si>
    <t>=NL("sum","Item Ledger Entry","Quantity","Item No.",$D3266,"Entry Type","Sale|Consumption","posting date","01/01/21..12/31/21")/-12</t>
  </si>
  <si>
    <t>=NL("sum","Item Ledger Entry","Quantity","Item No.",$D3266,"Entry Type","Sale|Consumption","posting date","01/01/22..12/31/22")/-12</t>
  </si>
  <si>
    <t>=NL("sum","Item Ledger Entry","Quantity","Item No.",$D3266,"Entry Type","Sale|Consumption","posting date","01/01/23..12/31/23")/$J$7</t>
  </si>
  <si>
    <t>=AVERAGE(I3266:J3266)</t>
  </si>
  <si>
    <t>=NL(1,"item",L$9,"no.",D3266)</t>
  </si>
  <si>
    <t>=NL(1,"item",M$9,"no.",$D3266)</t>
  </si>
  <si>
    <t>=NL(1,"item","Units Per Parcel","no.",$D3266)</t>
  </si>
  <si>
    <t>=NL(1,"Prod. BOM Equipment","Fixed Prod. Time (Hours)","Production BOM No.",$D3266,"version code",$E3266,"Resource No.",O$9)</t>
  </si>
  <si>
    <t>=1/O3266</t>
  </si>
  <si>
    <t>=IF(NL(1,"Prod. BOM Equipment","Variable Prod. Time (Hours)","Production BOM No.",$D3266,"version code",$E3266,"Resource No.",$O$9)="",1,NL(1,"Prod. BOM Equipment","Variable Prod. Time (Hours)","Production BOM No.",$D3266,"version code",$E3266,"Resource No.",$O$9))</t>
  </si>
  <si>
    <t>=1/Q3266</t>
  </si>
  <si>
    <t>=R3266*N3266</t>
  </si>
  <si>
    <t>=IF(K3267=0,"hide","")</t>
  </si>
  <si>
    <t>=D3266</t>
  </si>
  <si>
    <t>=NL("sum","Production Order","Quantity","Source No.",$D3267,"Equipment Code",$L3267,"due date",F$8)/-12</t>
  </si>
  <si>
    <t>=NL("sum","Production Order","Quantity","Source No.",$D3267,"Equipment Code",$L3267,"due date",G$8)/-12</t>
  </si>
  <si>
    <t>=NL("sum","Production Order","Quantity","Source No.",$D3267,"Equipment Code",$L3267,"due date",H$8)/-12</t>
  </si>
  <si>
    <t>=NL("sum","Production Order","Quantity","Source No.",$D3267,"Equipment Code",$L3267,"due date",I$8)/-12</t>
  </si>
  <si>
    <t>=NL("sum","Production Order","Quantity","Source No.",$D3267,"Equipment Code",$L3267,"due date",J$8)/$J$7</t>
  </si>
  <si>
    <t>=AVERAGE(I3267:J3267)</t>
  </si>
  <si>
    <t>=IF(K3268=0,"hide","")</t>
  </si>
  <si>
    <t>=D3267</t>
  </si>
  <si>
    <t>=NL("sum","Production Order","Quantity","Source No.",$D3268,"Equipment Code",$L3268,"due date",F$8)/-12</t>
  </si>
  <si>
    <t>=NL("sum","Production Order","Quantity","Source No.",$D3268,"Equipment Code",$L3268,"due date",G$8)/-12</t>
  </si>
  <si>
    <t>=NL("sum","Production Order","Quantity","Source No.",$D3268,"Equipment Code",$L3268,"due date",H$8)/-12</t>
  </si>
  <si>
    <t>=NL("sum","Production Order","Quantity","Source No.",$D3268,"Equipment Code",$L3268,"due date",I$8)/-12</t>
  </si>
  <si>
    <t>=NL("sum","Production Order","Quantity","Source No.",$D3268,"Equipment Code",$L3268,"due date",J$8)/$J$7</t>
  </si>
  <si>
    <t>=AVERAGE(I3268:J3268)</t>
  </si>
  <si>
    <t>=IF(K3269=0,"hide","")</t>
  </si>
  <si>
    <t>=D3268</t>
  </si>
  <si>
    <t>=NL("sum","Production Order","Quantity","Source No.",$D3269,"Equipment Code",$L3269,"due date",F$8)/-12</t>
  </si>
  <si>
    <t>=NL("sum","Production Order","Quantity","Source No.",$D3269,"Equipment Code",$L3269,"due date",G$8)/-12</t>
  </si>
  <si>
    <t>=NL("sum","Production Order","Quantity","Source No.",$D3269,"Equipment Code",$L3269,"due date",H$8)/-12</t>
  </si>
  <si>
    <t>=NL("sum","Production Order","Quantity","Source No.",$D3269,"Equipment Code",$L3269,"due date",I$8)/-12</t>
  </si>
  <si>
    <t>=NL("sum","Production Order","Quantity","Source No.",$D3269,"Equipment Code",$L3269,"due date",J$8)/$J$7</t>
  </si>
  <si>
    <t>=AVERAGE(I3269:J3269)</t>
  </si>
  <si>
    <t>=IF(K3270=0,"hide","")</t>
  </si>
  <si>
    <t>=D3269</t>
  </si>
  <si>
    <t>=NL("sum","Production Order","Quantity","Source No.",$D3270,"Equipment Code",$L3270,"due date",F$8)/-12</t>
  </si>
  <si>
    <t>=NL("sum","Production Order","Quantity","Source No.",$D3270,"Equipment Code",$L3270,"due date",G$8)/-12</t>
  </si>
  <si>
    <t>=NL("sum","Production Order","Quantity","Source No.",$D3270,"Equipment Code",$L3270,"due date",H$8)/-12</t>
  </si>
  <si>
    <t>=NL("sum","Production Order","Quantity","Source No.",$D3270,"Equipment Code",$L3270,"due date",I$8)/-12</t>
  </si>
  <si>
    <t>=NL("sum","Production Order","Quantity","Source No.",$D3270,"Equipment Code",$L3270,"due date",J$8)/$J$7</t>
  </si>
  <si>
    <t>=AVERAGE(I3270:J3270)</t>
  </si>
  <si>
    <t>=B3267</t>
  </si>
  <si>
    <t>=B3271</t>
  </si>
  <si>
    <t>=SUM(F3267:F3271)</t>
  </si>
  <si>
    <t>=SUM(G3267:G3271)</t>
  </si>
  <si>
    <t>=SUM(H3267:H3271)</t>
  </si>
  <si>
    <t>=SUM(I3267:I3271)</t>
  </si>
  <si>
    <t>=SUM(J3267:J3271)</t>
  </si>
  <si>
    <t>=IF(K3273=0,"hide","")</t>
  </si>
  <si>
    <t>="43425"</t>
  </si>
  <si>
    <t>=NL("rows","Production BOM Version","Version Code","Production BOM No.",D3273,"status","certified")</t>
  </si>
  <si>
    <t>=NL("sum","Item Ledger Entry","Quantity","Item No.",$D3273,"Entry Type","Sale|Consumption","posting date","01/01/19..12/31/19")/-12</t>
  </si>
  <si>
    <t>=NL("sum","Item Ledger Entry","Quantity","Item No.",$D3273,"Entry Type","Sale|Consumption","posting date","01/01/20..12/31/20")/-12</t>
  </si>
  <si>
    <t>=NL("sum","Item Ledger Entry","Quantity","Item No.",$D3273,"Entry Type","Sale|Consumption","posting date","01/01/21..12/31/21")/-12</t>
  </si>
  <si>
    <t>=NL("sum","Item Ledger Entry","Quantity","Item No.",$D3273,"Entry Type","Sale|Consumption","posting date","01/01/22..12/31/22")/-12</t>
  </si>
  <si>
    <t>=NL("sum","Item Ledger Entry","Quantity","Item No.",$D3273,"Entry Type","Sale|Consumption","posting date","01/01/23..12/31/23")/$J$7</t>
  </si>
  <si>
    <t>=AVERAGE(I3273:J3273)</t>
  </si>
  <si>
    <t>=NL(1,"item",L$9,"no.",D3273)</t>
  </si>
  <si>
    <t>=NL(1,"item",M$9,"no.",$D3273)</t>
  </si>
  <si>
    <t>=NL(1,"item","Units Per Parcel","no.",$D3273)</t>
  </si>
  <si>
    <t>=NL(1,"Prod. BOM Equipment","Fixed Prod. Time (Hours)","Production BOM No.",$D3273,"version code",$E3273,"Resource No.",O$9)</t>
  </si>
  <si>
    <t>=1/O3273</t>
  </si>
  <si>
    <t>=IF(NL(1,"Prod. BOM Equipment","Variable Prod. Time (Hours)","Production BOM No.",$D3273,"version code",$E3273,"Resource No.",$O$9)="",1,NL(1,"Prod. BOM Equipment","Variable Prod. Time (Hours)","Production BOM No.",$D3273,"version code",$E3273,"Resource No.",$O$9))</t>
  </si>
  <si>
    <t>=1/Q3273</t>
  </si>
  <si>
    <t>=R3273*N3273</t>
  </si>
  <si>
    <t>=IF(K3274=0,"hide","")</t>
  </si>
  <si>
    <t>=D3273</t>
  </si>
  <si>
    <t>=NL("sum","Production Order","Quantity","Source No.",$D3274,"Equipment Code",$L3274,"due date",F$8)/-12</t>
  </si>
  <si>
    <t>=NL("sum","Production Order","Quantity","Source No.",$D3274,"Equipment Code",$L3274,"due date",G$8)/-12</t>
  </si>
  <si>
    <t>=NL("sum","Production Order","Quantity","Source No.",$D3274,"Equipment Code",$L3274,"due date",H$8)/-12</t>
  </si>
  <si>
    <t>=NL("sum","Production Order","Quantity","Source No.",$D3274,"Equipment Code",$L3274,"due date",I$8)/-12</t>
  </si>
  <si>
    <t>=NL("sum","Production Order","Quantity","Source No.",$D3274,"Equipment Code",$L3274,"due date",J$8)/$J$7</t>
  </si>
  <si>
    <t>=AVERAGE(I3274:J3274)</t>
  </si>
  <si>
    <t>=IF(K3275=0,"hide","")</t>
  </si>
  <si>
    <t>=D3274</t>
  </si>
  <si>
    <t>=NL("sum","Production Order","Quantity","Source No.",$D3275,"Equipment Code",$L3275,"due date",F$8)/-12</t>
  </si>
  <si>
    <t>=NL("sum","Production Order","Quantity","Source No.",$D3275,"Equipment Code",$L3275,"due date",G$8)/-12</t>
  </si>
  <si>
    <t>=NL("sum","Production Order","Quantity","Source No.",$D3275,"Equipment Code",$L3275,"due date",H$8)/-12</t>
  </si>
  <si>
    <t>=NL("sum","Production Order","Quantity","Source No.",$D3275,"Equipment Code",$L3275,"due date",I$8)/-12</t>
  </si>
  <si>
    <t>=NL("sum","Production Order","Quantity","Source No.",$D3275,"Equipment Code",$L3275,"due date",J$8)/$J$7</t>
  </si>
  <si>
    <t>=AVERAGE(I3275:J3275)</t>
  </si>
  <si>
    <t>=IF(K3276=0,"hide","")</t>
  </si>
  <si>
    <t>=D3275</t>
  </si>
  <si>
    <t>=NL("sum","Production Order","Quantity","Source No.",$D3276,"Equipment Code",$L3276,"due date",F$8)/-12</t>
  </si>
  <si>
    <t>=NL("sum","Production Order","Quantity","Source No.",$D3276,"Equipment Code",$L3276,"due date",G$8)/-12</t>
  </si>
  <si>
    <t>=NL("sum","Production Order","Quantity","Source No.",$D3276,"Equipment Code",$L3276,"due date",H$8)/-12</t>
  </si>
  <si>
    <t>=NL("sum","Production Order","Quantity","Source No.",$D3276,"Equipment Code",$L3276,"due date",I$8)/-12</t>
  </si>
  <si>
    <t>=NL("sum","Production Order","Quantity","Source No.",$D3276,"Equipment Code",$L3276,"due date",J$8)/$J$7</t>
  </si>
  <si>
    <t>=AVERAGE(I3276:J3276)</t>
  </si>
  <si>
    <t>=IF(K3277=0,"hide","")</t>
  </si>
  <si>
    <t>=D3276</t>
  </si>
  <si>
    <t>=NL("sum","Production Order","Quantity","Source No.",$D3277,"Equipment Code",$L3277,"due date",F$8)/-12</t>
  </si>
  <si>
    <t>=NL("sum","Production Order","Quantity","Source No.",$D3277,"Equipment Code",$L3277,"due date",G$8)/-12</t>
  </si>
  <si>
    <t>=NL("sum","Production Order","Quantity","Source No.",$D3277,"Equipment Code",$L3277,"due date",H$8)/-12</t>
  </si>
  <si>
    <t>=NL("sum","Production Order","Quantity","Source No.",$D3277,"Equipment Code",$L3277,"due date",I$8)/-12</t>
  </si>
  <si>
    <t>=NL("sum","Production Order","Quantity","Source No.",$D3277,"Equipment Code",$L3277,"due date",J$8)/$J$7</t>
  </si>
  <si>
    <t>=AVERAGE(I3277:J3277)</t>
  </si>
  <si>
    <t>=B3274</t>
  </si>
  <si>
    <t>=B3278</t>
  </si>
  <si>
    <t>=SUM(F3274:F3278)</t>
  </si>
  <si>
    <t>=SUM(G3274:G3278)</t>
  </si>
  <si>
    <t>=SUM(H3274:H3278)</t>
  </si>
  <si>
    <t>=SUM(I3274:I3278)</t>
  </si>
  <si>
    <t>=SUM(J3274:J3278)</t>
  </si>
  <si>
    <t>=IF(K3280=0,"hide","")</t>
  </si>
  <si>
    <t>="43705"</t>
  </si>
  <si>
    <t>=NL("rows","Production BOM Version","Version Code","Production BOM No.",D3280,"status","certified")</t>
  </si>
  <si>
    <t>=NL("sum","Item Ledger Entry","Quantity","Item No.",$D3280,"Entry Type","Sale|Consumption","posting date","01/01/19..12/31/19")/-12</t>
  </si>
  <si>
    <t>=NL("sum","Item Ledger Entry","Quantity","Item No.",$D3280,"Entry Type","Sale|Consumption","posting date","01/01/20..12/31/20")/-12</t>
  </si>
  <si>
    <t>=NL("sum","Item Ledger Entry","Quantity","Item No.",$D3280,"Entry Type","Sale|Consumption","posting date","01/01/21..12/31/21")/-12</t>
  </si>
  <si>
    <t>=NL("sum","Item Ledger Entry","Quantity","Item No.",$D3280,"Entry Type","Sale|Consumption","posting date","01/01/22..12/31/22")/-12</t>
  </si>
  <si>
    <t>=NL("sum","Item Ledger Entry","Quantity","Item No.",$D3280,"Entry Type","Sale|Consumption","posting date","01/01/23..12/31/23")/$J$7</t>
  </si>
  <si>
    <t>=AVERAGE(I3280:J3280)</t>
  </si>
  <si>
    <t>=NL(1,"item",L$9,"no.",D3280)</t>
  </si>
  <si>
    <t>=NL(1,"item",M$9,"no.",$D3280)</t>
  </si>
  <si>
    <t>=NL(1,"item","Units Per Parcel","no.",$D3280)</t>
  </si>
  <si>
    <t>=NL(1,"Prod. BOM Equipment","Fixed Prod. Time (Hours)","Production BOM No.",$D3280,"version code",$E3280,"Resource No.",O$9)</t>
  </si>
  <si>
    <t>=1/O3280</t>
  </si>
  <si>
    <t>=IF(NL(1,"Prod. BOM Equipment","Variable Prod. Time (Hours)","Production BOM No.",$D3280,"version code",$E3280,"Resource No.",$O$9)="",1,NL(1,"Prod. BOM Equipment","Variable Prod. Time (Hours)","Production BOM No.",$D3280,"version code",$E3280,"Resource No.",$O$9))</t>
  </si>
  <si>
    <t>=1/Q3280</t>
  </si>
  <si>
    <t>=R3280*N3280</t>
  </si>
  <si>
    <t>=IF(K3281=0,"hide","")</t>
  </si>
  <si>
    <t>=D3280</t>
  </si>
  <si>
    <t>=NL("sum","Production Order","Quantity","Source No.",$D3281,"Equipment Code",$L3281,"due date",F$8)/-12</t>
  </si>
  <si>
    <t>=NL("sum","Production Order","Quantity","Source No.",$D3281,"Equipment Code",$L3281,"due date",G$8)/-12</t>
  </si>
  <si>
    <t>=NL("sum","Production Order","Quantity","Source No.",$D3281,"Equipment Code",$L3281,"due date",H$8)/-12</t>
  </si>
  <si>
    <t>=NL("sum","Production Order","Quantity","Source No.",$D3281,"Equipment Code",$L3281,"due date",I$8)/-12</t>
  </si>
  <si>
    <t>=NL("sum","Production Order","Quantity","Source No.",$D3281,"Equipment Code",$L3281,"due date",J$8)/$J$7</t>
  </si>
  <si>
    <t>=AVERAGE(I3281:J3281)</t>
  </si>
  <si>
    <t>=IF(K3282=0,"hide","")</t>
  </si>
  <si>
    <t>=D3281</t>
  </si>
  <si>
    <t>=NL("sum","Production Order","Quantity","Source No.",$D3282,"Equipment Code",$L3282,"due date",F$8)/-12</t>
  </si>
  <si>
    <t>=NL("sum","Production Order","Quantity","Source No.",$D3282,"Equipment Code",$L3282,"due date",G$8)/-12</t>
  </si>
  <si>
    <t>=NL("sum","Production Order","Quantity","Source No.",$D3282,"Equipment Code",$L3282,"due date",H$8)/-12</t>
  </si>
  <si>
    <t>=NL("sum","Production Order","Quantity","Source No.",$D3282,"Equipment Code",$L3282,"due date",I$8)/-12</t>
  </si>
  <si>
    <t>=NL("sum","Production Order","Quantity","Source No.",$D3282,"Equipment Code",$L3282,"due date",J$8)/$J$7</t>
  </si>
  <si>
    <t>=AVERAGE(I3282:J3282)</t>
  </si>
  <si>
    <t>=IF(K3283=0,"hide","")</t>
  </si>
  <si>
    <t>=D3282</t>
  </si>
  <si>
    <t>=NL("sum","Production Order","Quantity","Source No.",$D3283,"Equipment Code",$L3283,"due date",F$8)/-12</t>
  </si>
  <si>
    <t>=NL("sum","Production Order","Quantity","Source No.",$D3283,"Equipment Code",$L3283,"due date",G$8)/-12</t>
  </si>
  <si>
    <t>=NL("sum","Production Order","Quantity","Source No.",$D3283,"Equipment Code",$L3283,"due date",H$8)/-12</t>
  </si>
  <si>
    <t>=NL("sum","Production Order","Quantity","Source No.",$D3283,"Equipment Code",$L3283,"due date",I$8)/-12</t>
  </si>
  <si>
    <t>=NL("sum","Production Order","Quantity","Source No.",$D3283,"Equipment Code",$L3283,"due date",J$8)/$J$7</t>
  </si>
  <si>
    <t>=AVERAGE(I3283:J3283)</t>
  </si>
  <si>
    <t>=IF(K3284=0,"hide","")</t>
  </si>
  <si>
    <t>=D3283</t>
  </si>
  <si>
    <t>=NL("sum","Production Order","Quantity","Source No.",$D3284,"Equipment Code",$L3284,"due date",F$8)/-12</t>
  </si>
  <si>
    <t>=NL("sum","Production Order","Quantity","Source No.",$D3284,"Equipment Code",$L3284,"due date",G$8)/-12</t>
  </si>
  <si>
    <t>=NL("sum","Production Order","Quantity","Source No.",$D3284,"Equipment Code",$L3284,"due date",H$8)/-12</t>
  </si>
  <si>
    <t>=NL("sum","Production Order","Quantity","Source No.",$D3284,"Equipment Code",$L3284,"due date",I$8)/-12</t>
  </si>
  <si>
    <t>=NL("sum","Production Order","Quantity","Source No.",$D3284,"Equipment Code",$L3284,"due date",J$8)/$J$7</t>
  </si>
  <si>
    <t>=AVERAGE(I3284:J3284)</t>
  </si>
  <si>
    <t>=B3281</t>
  </si>
  <si>
    <t>=B3285</t>
  </si>
  <si>
    <t>=SUM(F3281:F3285)</t>
  </si>
  <si>
    <t>=SUM(G3281:G3285)</t>
  </si>
  <si>
    <t>=SUM(H3281:H3285)</t>
  </si>
  <si>
    <t>=SUM(I3281:I3285)</t>
  </si>
  <si>
    <t>=SUM(J3281:J3285)</t>
  </si>
  <si>
    <t>=IF(K3287=0,"hide","")</t>
  </si>
  <si>
    <t>="45301"</t>
  </si>
  <si>
    <t>=NL("rows","Production BOM Version","Version Code","Production BOM No.",D3287,"status","certified")</t>
  </si>
  <si>
    <t>=NL("sum","Item Ledger Entry","Quantity","Item No.",$D3287,"Entry Type","Sale|Consumption","posting date","01/01/19..12/31/19")/-12</t>
  </si>
  <si>
    <t>=NL("sum","Item Ledger Entry","Quantity","Item No.",$D3287,"Entry Type","Sale|Consumption","posting date","01/01/20..12/31/20")/-12</t>
  </si>
  <si>
    <t>=NL("sum","Item Ledger Entry","Quantity","Item No.",$D3287,"Entry Type","Sale|Consumption","posting date","01/01/21..12/31/21")/-12</t>
  </si>
  <si>
    <t>=NL("sum","Item Ledger Entry","Quantity","Item No.",$D3287,"Entry Type","Sale|Consumption","posting date","01/01/22..12/31/22")/-12</t>
  </si>
  <si>
    <t>=NL("sum","Item Ledger Entry","Quantity","Item No.",$D3287,"Entry Type","Sale|Consumption","posting date","01/01/23..12/31/23")/$J$7</t>
  </si>
  <si>
    <t>=AVERAGE(I3287:J3287)</t>
  </si>
  <si>
    <t>=NL(1,"item",L$9,"no.",D3287)</t>
  </si>
  <si>
    <t>=NL(1,"item",M$9,"no.",$D3287)</t>
  </si>
  <si>
    <t>=NL(1,"item","Units Per Parcel","no.",$D3287)</t>
  </si>
  <si>
    <t>=NL(1,"Prod. BOM Equipment","Fixed Prod. Time (Hours)","Production BOM No.",$D3287,"version code",$E3287,"Resource No.",O$9)</t>
  </si>
  <si>
    <t>=1/O3287</t>
  </si>
  <si>
    <t>=IF(NL(1,"Prod. BOM Equipment","Variable Prod. Time (Hours)","Production BOM No.",$D3287,"version code",$E3287,"Resource No.",$O$9)="",1,NL(1,"Prod. BOM Equipment","Variable Prod. Time (Hours)","Production BOM No.",$D3287,"version code",$E3287,"Resource No.",$O$9))</t>
  </si>
  <si>
    <t>=1/Q3287</t>
  </si>
  <si>
    <t>=R3287*N3287</t>
  </si>
  <si>
    <t>=IF(K3288=0,"hide","")</t>
  </si>
  <si>
    <t>=D3287</t>
  </si>
  <si>
    <t>=NL("sum","Production Order","Quantity","Source No.",$D3288,"Equipment Code",$L3288,"due date",F$8)/-12</t>
  </si>
  <si>
    <t>=NL("sum","Production Order","Quantity","Source No.",$D3288,"Equipment Code",$L3288,"due date",G$8)/-12</t>
  </si>
  <si>
    <t>=NL("sum","Production Order","Quantity","Source No.",$D3288,"Equipment Code",$L3288,"due date",H$8)/-12</t>
  </si>
  <si>
    <t>=NL("sum","Production Order","Quantity","Source No.",$D3288,"Equipment Code",$L3288,"due date",I$8)/-12</t>
  </si>
  <si>
    <t>=NL("sum","Production Order","Quantity","Source No.",$D3288,"Equipment Code",$L3288,"due date",J$8)/$J$7</t>
  </si>
  <si>
    <t>=AVERAGE(I3288:J3288)</t>
  </si>
  <si>
    <t>=IF(K3289=0,"hide","")</t>
  </si>
  <si>
    <t>=D3288</t>
  </si>
  <si>
    <t>=NL("sum","Production Order","Quantity","Source No.",$D3289,"Equipment Code",$L3289,"due date",F$8)/-12</t>
  </si>
  <si>
    <t>=NL("sum","Production Order","Quantity","Source No.",$D3289,"Equipment Code",$L3289,"due date",G$8)/-12</t>
  </si>
  <si>
    <t>=NL("sum","Production Order","Quantity","Source No.",$D3289,"Equipment Code",$L3289,"due date",H$8)/-12</t>
  </si>
  <si>
    <t>=NL("sum","Production Order","Quantity","Source No.",$D3289,"Equipment Code",$L3289,"due date",I$8)/-12</t>
  </si>
  <si>
    <t>=NL("sum","Production Order","Quantity","Source No.",$D3289,"Equipment Code",$L3289,"due date",J$8)/$J$7</t>
  </si>
  <si>
    <t>=AVERAGE(I3289:J3289)</t>
  </si>
  <si>
    <t>=IF(K3290=0,"hide","")</t>
  </si>
  <si>
    <t>=D3289</t>
  </si>
  <si>
    <t>=NL("sum","Production Order","Quantity","Source No.",$D3290,"Equipment Code",$L3290,"due date",F$8)/-12</t>
  </si>
  <si>
    <t>=NL("sum","Production Order","Quantity","Source No.",$D3290,"Equipment Code",$L3290,"due date",G$8)/-12</t>
  </si>
  <si>
    <t>=NL("sum","Production Order","Quantity","Source No.",$D3290,"Equipment Code",$L3290,"due date",H$8)/-12</t>
  </si>
  <si>
    <t>=NL("sum","Production Order","Quantity","Source No.",$D3290,"Equipment Code",$L3290,"due date",I$8)/-12</t>
  </si>
  <si>
    <t>=NL("sum","Production Order","Quantity","Source No.",$D3290,"Equipment Code",$L3290,"due date",J$8)/$J$7</t>
  </si>
  <si>
    <t>=AVERAGE(I3290:J3290)</t>
  </si>
  <si>
    <t>=IF(K3291=0,"hide","")</t>
  </si>
  <si>
    <t>=D3290</t>
  </si>
  <si>
    <t>=NL("sum","Production Order","Quantity","Source No.",$D3291,"Equipment Code",$L3291,"due date",F$8)/-12</t>
  </si>
  <si>
    <t>=NL("sum","Production Order","Quantity","Source No.",$D3291,"Equipment Code",$L3291,"due date",G$8)/-12</t>
  </si>
  <si>
    <t>=NL("sum","Production Order","Quantity","Source No.",$D3291,"Equipment Code",$L3291,"due date",H$8)/-12</t>
  </si>
  <si>
    <t>=NL("sum","Production Order","Quantity","Source No.",$D3291,"Equipment Code",$L3291,"due date",I$8)/-12</t>
  </si>
  <si>
    <t>=NL("sum","Production Order","Quantity","Source No.",$D3291,"Equipment Code",$L3291,"due date",J$8)/$J$7</t>
  </si>
  <si>
    <t>=AVERAGE(I3291:J3291)</t>
  </si>
  <si>
    <t>=B3288</t>
  </si>
  <si>
    <t>=B3292</t>
  </si>
  <si>
    <t>=SUM(F3288:F3292)</t>
  </si>
  <si>
    <t>=SUM(G3288:G3292)</t>
  </si>
  <si>
    <t>=SUM(H3288:H3292)</t>
  </si>
  <si>
    <t>=SUM(I3288:I3292)</t>
  </si>
  <si>
    <t>=SUM(J3288:J3292)</t>
  </si>
  <si>
    <t>=IF(K3294=0,"hide","")</t>
  </si>
  <si>
    <t>="45305"</t>
  </si>
  <si>
    <t>=NL("rows","Production BOM Version","Version Code","Production BOM No.",D3294,"status","certified")</t>
  </si>
  <si>
    <t>=NL("sum","Item Ledger Entry","Quantity","Item No.",$D3294,"Entry Type","Sale|Consumption","posting date","01/01/19..12/31/19")/-12</t>
  </si>
  <si>
    <t>=NL("sum","Item Ledger Entry","Quantity","Item No.",$D3294,"Entry Type","Sale|Consumption","posting date","01/01/20..12/31/20")/-12</t>
  </si>
  <si>
    <t>=NL("sum","Item Ledger Entry","Quantity","Item No.",$D3294,"Entry Type","Sale|Consumption","posting date","01/01/21..12/31/21")/-12</t>
  </si>
  <si>
    <t>=NL("sum","Item Ledger Entry","Quantity","Item No.",$D3294,"Entry Type","Sale|Consumption","posting date","01/01/22..12/31/22")/-12</t>
  </si>
  <si>
    <t>=NL("sum","Item Ledger Entry","Quantity","Item No.",$D3294,"Entry Type","Sale|Consumption","posting date","01/01/23..12/31/23")/$J$7</t>
  </si>
  <si>
    <t>=AVERAGE(I3294:J3294)</t>
  </si>
  <si>
    <t>=NL(1,"item",L$9,"no.",D3294)</t>
  </si>
  <si>
    <t>=NL(1,"item",M$9,"no.",$D3294)</t>
  </si>
  <si>
    <t>=NL(1,"item","Units Per Parcel","no.",$D3294)</t>
  </si>
  <si>
    <t>=NL(1,"Prod. BOM Equipment","Fixed Prod. Time (Hours)","Production BOM No.",$D3294,"version code",$E3294,"Resource No.",O$9)</t>
  </si>
  <si>
    <t>=1/O3294</t>
  </si>
  <si>
    <t>=IF(NL(1,"Prod. BOM Equipment","Variable Prod. Time (Hours)","Production BOM No.",$D3294,"version code",$E3294,"Resource No.",$O$9)="",1,NL(1,"Prod. BOM Equipment","Variable Prod. Time (Hours)","Production BOM No.",$D3294,"version code",$E3294,"Resource No.",$O$9))</t>
  </si>
  <si>
    <t>=1/Q3294</t>
  </si>
  <si>
    <t>=R3294*N3294</t>
  </si>
  <si>
    <t>=IF(K3295=0,"hide","")</t>
  </si>
  <si>
    <t>=D3294</t>
  </si>
  <si>
    <t>=NL("sum","Production Order","Quantity","Source No.",$D3295,"Equipment Code",$L3295,"due date",F$8)/-12</t>
  </si>
  <si>
    <t>=NL("sum","Production Order","Quantity","Source No.",$D3295,"Equipment Code",$L3295,"due date",G$8)/-12</t>
  </si>
  <si>
    <t>=NL("sum","Production Order","Quantity","Source No.",$D3295,"Equipment Code",$L3295,"due date",H$8)/-12</t>
  </si>
  <si>
    <t>=NL("sum","Production Order","Quantity","Source No.",$D3295,"Equipment Code",$L3295,"due date",I$8)/-12</t>
  </si>
  <si>
    <t>=NL("sum","Production Order","Quantity","Source No.",$D3295,"Equipment Code",$L3295,"due date",J$8)/$J$7</t>
  </si>
  <si>
    <t>=AVERAGE(I3295:J3295)</t>
  </si>
  <si>
    <t>=IF(K3296=0,"hide","")</t>
  </si>
  <si>
    <t>=D3295</t>
  </si>
  <si>
    <t>=NL("sum","Production Order","Quantity","Source No.",$D3296,"Equipment Code",$L3296,"due date",F$8)/-12</t>
  </si>
  <si>
    <t>=NL("sum","Production Order","Quantity","Source No.",$D3296,"Equipment Code",$L3296,"due date",G$8)/-12</t>
  </si>
  <si>
    <t>=NL("sum","Production Order","Quantity","Source No.",$D3296,"Equipment Code",$L3296,"due date",H$8)/-12</t>
  </si>
  <si>
    <t>=NL("sum","Production Order","Quantity","Source No.",$D3296,"Equipment Code",$L3296,"due date",I$8)/-12</t>
  </si>
  <si>
    <t>=NL("sum","Production Order","Quantity","Source No.",$D3296,"Equipment Code",$L3296,"due date",J$8)/$J$7</t>
  </si>
  <si>
    <t>=AVERAGE(I3296:J3296)</t>
  </si>
  <si>
    <t>=IF(K3297=0,"hide","")</t>
  </si>
  <si>
    <t>=D3296</t>
  </si>
  <si>
    <t>=NL("sum","Production Order","Quantity","Source No.",$D3297,"Equipment Code",$L3297,"due date",F$8)/-12</t>
  </si>
  <si>
    <t>=NL("sum","Production Order","Quantity","Source No.",$D3297,"Equipment Code",$L3297,"due date",G$8)/-12</t>
  </si>
  <si>
    <t>=NL("sum","Production Order","Quantity","Source No.",$D3297,"Equipment Code",$L3297,"due date",H$8)/-12</t>
  </si>
  <si>
    <t>=NL("sum","Production Order","Quantity","Source No.",$D3297,"Equipment Code",$L3297,"due date",I$8)/-12</t>
  </si>
  <si>
    <t>=NL("sum","Production Order","Quantity","Source No.",$D3297,"Equipment Code",$L3297,"due date",J$8)/$J$7</t>
  </si>
  <si>
    <t>=AVERAGE(I3297:J3297)</t>
  </si>
  <si>
    <t>=IF(K3298=0,"hide","")</t>
  </si>
  <si>
    <t>=D3297</t>
  </si>
  <si>
    <t>=NL("sum","Production Order","Quantity","Source No.",$D3298,"Equipment Code",$L3298,"due date",F$8)/-12</t>
  </si>
  <si>
    <t>=NL("sum","Production Order","Quantity","Source No.",$D3298,"Equipment Code",$L3298,"due date",G$8)/-12</t>
  </si>
  <si>
    <t>=NL("sum","Production Order","Quantity","Source No.",$D3298,"Equipment Code",$L3298,"due date",H$8)/-12</t>
  </si>
  <si>
    <t>=NL("sum","Production Order","Quantity","Source No.",$D3298,"Equipment Code",$L3298,"due date",I$8)/-12</t>
  </si>
  <si>
    <t>=NL("sum","Production Order","Quantity","Source No.",$D3298,"Equipment Code",$L3298,"due date",J$8)/$J$7</t>
  </si>
  <si>
    <t>=AVERAGE(I3298:J3298)</t>
  </si>
  <si>
    <t>=B3295</t>
  </si>
  <si>
    <t>=B3299</t>
  </si>
  <si>
    <t>=SUM(F3295:F3299)</t>
  </si>
  <si>
    <t>=SUM(G3295:G3299)</t>
  </si>
  <si>
    <t>=SUM(H3295:H3299)</t>
  </si>
  <si>
    <t>=SUM(I3295:I3299)</t>
  </si>
  <si>
    <t>=SUM(J3295:J3299)</t>
  </si>
  <si>
    <t>=IF(K3301=0,"hide","")</t>
  </si>
  <si>
    <t>="45306"</t>
  </si>
  <si>
    <t>=NL("rows","Production BOM Version","Version Code","Production BOM No.",D3301,"status","certified")</t>
  </si>
  <si>
    <t>=NL("sum","Item Ledger Entry","Quantity","Item No.",$D3301,"Entry Type","Sale|Consumption","posting date","01/01/19..12/31/19")/-12</t>
  </si>
  <si>
    <t>=NL("sum","Item Ledger Entry","Quantity","Item No.",$D3301,"Entry Type","Sale|Consumption","posting date","01/01/20..12/31/20")/-12</t>
  </si>
  <si>
    <t>=NL("sum","Item Ledger Entry","Quantity","Item No.",$D3301,"Entry Type","Sale|Consumption","posting date","01/01/21..12/31/21")/-12</t>
  </si>
  <si>
    <t>=NL("sum","Item Ledger Entry","Quantity","Item No.",$D3301,"Entry Type","Sale|Consumption","posting date","01/01/22..12/31/22")/-12</t>
  </si>
  <si>
    <t>=NL("sum","Item Ledger Entry","Quantity","Item No.",$D3301,"Entry Type","Sale|Consumption","posting date","01/01/23..12/31/23")/$J$7</t>
  </si>
  <si>
    <t>=AVERAGE(I3301:J3301)</t>
  </si>
  <si>
    <t>=NL(1,"item",L$9,"no.",D3301)</t>
  </si>
  <si>
    <t>=NL(1,"item",M$9,"no.",$D3301)</t>
  </si>
  <si>
    <t>=NL(1,"item","Units Per Parcel","no.",$D3301)</t>
  </si>
  <si>
    <t>=NL(1,"Prod. BOM Equipment","Fixed Prod. Time (Hours)","Production BOM No.",$D3301,"version code",$E3301,"Resource No.",O$9)</t>
  </si>
  <si>
    <t>=1/O3301</t>
  </si>
  <si>
    <t>=IF(NL(1,"Prod. BOM Equipment","Variable Prod. Time (Hours)","Production BOM No.",$D3301,"version code",$E3301,"Resource No.",$O$9)="",1,NL(1,"Prod. BOM Equipment","Variable Prod. Time (Hours)","Production BOM No.",$D3301,"version code",$E3301,"Resource No.",$O$9))</t>
  </si>
  <si>
    <t>=1/Q3301</t>
  </si>
  <si>
    <t>=R3301*N3301</t>
  </si>
  <si>
    <t>=IF(K3302=0,"hide","")</t>
  </si>
  <si>
    <t>=D3301</t>
  </si>
  <si>
    <t>=NL("sum","Production Order","Quantity","Source No.",$D3302,"Equipment Code",$L3302,"due date",F$8)/-12</t>
  </si>
  <si>
    <t>=NL("sum","Production Order","Quantity","Source No.",$D3302,"Equipment Code",$L3302,"due date",G$8)/-12</t>
  </si>
  <si>
    <t>=NL("sum","Production Order","Quantity","Source No.",$D3302,"Equipment Code",$L3302,"due date",H$8)/-12</t>
  </si>
  <si>
    <t>=NL("sum","Production Order","Quantity","Source No.",$D3302,"Equipment Code",$L3302,"due date",I$8)/-12</t>
  </si>
  <si>
    <t>=NL("sum","Production Order","Quantity","Source No.",$D3302,"Equipment Code",$L3302,"due date",J$8)/$J$7</t>
  </si>
  <si>
    <t>=AVERAGE(I3302:J3302)</t>
  </si>
  <si>
    <t>=IF(K3303=0,"hide","")</t>
  </si>
  <si>
    <t>=D3302</t>
  </si>
  <si>
    <t>=NL("sum","Production Order","Quantity","Source No.",$D3303,"Equipment Code",$L3303,"due date",F$8)/-12</t>
  </si>
  <si>
    <t>=NL("sum","Production Order","Quantity","Source No.",$D3303,"Equipment Code",$L3303,"due date",G$8)/-12</t>
  </si>
  <si>
    <t>=NL("sum","Production Order","Quantity","Source No.",$D3303,"Equipment Code",$L3303,"due date",H$8)/-12</t>
  </si>
  <si>
    <t>=NL("sum","Production Order","Quantity","Source No.",$D3303,"Equipment Code",$L3303,"due date",I$8)/-12</t>
  </si>
  <si>
    <t>=NL("sum","Production Order","Quantity","Source No.",$D3303,"Equipment Code",$L3303,"due date",J$8)/$J$7</t>
  </si>
  <si>
    <t>=AVERAGE(I3303:J3303)</t>
  </si>
  <si>
    <t>=IF(K3304=0,"hide","")</t>
  </si>
  <si>
    <t>=D3303</t>
  </si>
  <si>
    <t>=NL("sum","Production Order","Quantity","Source No.",$D3304,"Equipment Code",$L3304,"due date",F$8)/-12</t>
  </si>
  <si>
    <t>=NL("sum","Production Order","Quantity","Source No.",$D3304,"Equipment Code",$L3304,"due date",G$8)/-12</t>
  </si>
  <si>
    <t>=NL("sum","Production Order","Quantity","Source No.",$D3304,"Equipment Code",$L3304,"due date",H$8)/-12</t>
  </si>
  <si>
    <t>=NL("sum","Production Order","Quantity","Source No.",$D3304,"Equipment Code",$L3304,"due date",I$8)/-12</t>
  </si>
  <si>
    <t>=NL("sum","Production Order","Quantity","Source No.",$D3304,"Equipment Code",$L3304,"due date",J$8)/$J$7</t>
  </si>
  <si>
    <t>=AVERAGE(I3304:J3304)</t>
  </si>
  <si>
    <t>=IF(K3305=0,"hide","")</t>
  </si>
  <si>
    <t>=D3304</t>
  </si>
  <si>
    <t>=NL("sum","Production Order","Quantity","Source No.",$D3305,"Equipment Code",$L3305,"due date",F$8)/-12</t>
  </si>
  <si>
    <t>=NL("sum","Production Order","Quantity","Source No.",$D3305,"Equipment Code",$L3305,"due date",G$8)/-12</t>
  </si>
  <si>
    <t>=NL("sum","Production Order","Quantity","Source No.",$D3305,"Equipment Code",$L3305,"due date",H$8)/-12</t>
  </si>
  <si>
    <t>=NL("sum","Production Order","Quantity","Source No.",$D3305,"Equipment Code",$L3305,"due date",I$8)/-12</t>
  </si>
  <si>
    <t>=NL("sum","Production Order","Quantity","Source No.",$D3305,"Equipment Code",$L3305,"due date",J$8)/$J$7</t>
  </si>
  <si>
    <t>=AVERAGE(I3305:J3305)</t>
  </si>
  <si>
    <t>=B3302</t>
  </si>
  <si>
    <t>=B3306</t>
  </si>
  <si>
    <t>=SUM(F3302:F3306)</t>
  </si>
  <si>
    <t>=SUM(G3302:G3306)</t>
  </si>
  <si>
    <t>=SUM(H3302:H3306)</t>
  </si>
  <si>
    <t>=SUM(I3302:I3306)</t>
  </si>
  <si>
    <t>=SUM(J3302:J3306)</t>
  </si>
  <si>
    <t>=IF(K3308=0,"hide","")</t>
  </si>
  <si>
    <t>="45310"</t>
  </si>
  <si>
    <t>=NL("rows","Production BOM Version","Version Code","Production BOM No.",D3308,"status","certified")</t>
  </si>
  <si>
    <t>=NL("sum","Item Ledger Entry","Quantity","Item No.",$D3308,"Entry Type","Sale|Consumption","posting date","01/01/19..12/31/19")/-12</t>
  </si>
  <si>
    <t>=NL("sum","Item Ledger Entry","Quantity","Item No.",$D3308,"Entry Type","Sale|Consumption","posting date","01/01/20..12/31/20")/-12</t>
  </si>
  <si>
    <t>=NL("sum","Item Ledger Entry","Quantity","Item No.",$D3308,"Entry Type","Sale|Consumption","posting date","01/01/21..12/31/21")/-12</t>
  </si>
  <si>
    <t>=NL("sum","Item Ledger Entry","Quantity","Item No.",$D3308,"Entry Type","Sale|Consumption","posting date","01/01/22..12/31/22")/-12</t>
  </si>
  <si>
    <t>=NL("sum","Item Ledger Entry","Quantity","Item No.",$D3308,"Entry Type","Sale|Consumption","posting date","01/01/23..12/31/23")/$J$7</t>
  </si>
  <si>
    <t>=AVERAGE(I3308:J3308)</t>
  </si>
  <si>
    <t>=NL(1,"item",L$9,"no.",D3308)</t>
  </si>
  <si>
    <t>=NL(1,"item",M$9,"no.",$D3308)</t>
  </si>
  <si>
    <t>=NL(1,"item","Units Per Parcel","no.",$D3308)</t>
  </si>
  <si>
    <t>=NL(1,"Prod. BOM Equipment","Fixed Prod. Time (Hours)","Production BOM No.",$D3308,"version code",$E3308,"Resource No.",O$9)</t>
  </si>
  <si>
    <t>=1/O3308</t>
  </si>
  <si>
    <t>=IF(NL(1,"Prod. BOM Equipment","Variable Prod. Time (Hours)","Production BOM No.",$D3308,"version code",$E3308,"Resource No.",$O$9)="",1,NL(1,"Prod. BOM Equipment","Variable Prod. Time (Hours)","Production BOM No.",$D3308,"version code",$E3308,"Resource No.",$O$9))</t>
  </si>
  <si>
    <t>=1/Q3308</t>
  </si>
  <si>
    <t>=R3308*N3308</t>
  </si>
  <si>
    <t>=IF(K3309=0,"hide","")</t>
  </si>
  <si>
    <t>=D3308</t>
  </si>
  <si>
    <t>=NL("sum","Production Order","Quantity","Source No.",$D3309,"Equipment Code",$L3309,"due date",F$8)/-12</t>
  </si>
  <si>
    <t>=NL("sum","Production Order","Quantity","Source No.",$D3309,"Equipment Code",$L3309,"due date",G$8)/-12</t>
  </si>
  <si>
    <t>=NL("sum","Production Order","Quantity","Source No.",$D3309,"Equipment Code",$L3309,"due date",H$8)/-12</t>
  </si>
  <si>
    <t>=NL("sum","Production Order","Quantity","Source No.",$D3309,"Equipment Code",$L3309,"due date",I$8)/-12</t>
  </si>
  <si>
    <t>=NL("sum","Production Order","Quantity","Source No.",$D3309,"Equipment Code",$L3309,"due date",J$8)/$J$7</t>
  </si>
  <si>
    <t>=AVERAGE(I3309:J3309)</t>
  </si>
  <si>
    <t>=IF(K3310=0,"hide","")</t>
  </si>
  <si>
    <t>=D3309</t>
  </si>
  <si>
    <t>=NL("sum","Production Order","Quantity","Source No.",$D3310,"Equipment Code",$L3310,"due date",F$8)/-12</t>
  </si>
  <si>
    <t>=NL("sum","Production Order","Quantity","Source No.",$D3310,"Equipment Code",$L3310,"due date",G$8)/-12</t>
  </si>
  <si>
    <t>=NL("sum","Production Order","Quantity","Source No.",$D3310,"Equipment Code",$L3310,"due date",H$8)/-12</t>
  </si>
  <si>
    <t>=NL("sum","Production Order","Quantity","Source No.",$D3310,"Equipment Code",$L3310,"due date",I$8)/-12</t>
  </si>
  <si>
    <t>=NL("sum","Production Order","Quantity","Source No.",$D3310,"Equipment Code",$L3310,"due date",J$8)/$J$7</t>
  </si>
  <si>
    <t>=AVERAGE(I3310:J3310)</t>
  </si>
  <si>
    <t>=IF(K3311=0,"hide","")</t>
  </si>
  <si>
    <t>=D3310</t>
  </si>
  <si>
    <t>=NL("sum","Production Order","Quantity","Source No.",$D3311,"Equipment Code",$L3311,"due date",F$8)/-12</t>
  </si>
  <si>
    <t>=NL("sum","Production Order","Quantity","Source No.",$D3311,"Equipment Code",$L3311,"due date",G$8)/-12</t>
  </si>
  <si>
    <t>=NL("sum","Production Order","Quantity","Source No.",$D3311,"Equipment Code",$L3311,"due date",H$8)/-12</t>
  </si>
  <si>
    <t>=NL("sum","Production Order","Quantity","Source No.",$D3311,"Equipment Code",$L3311,"due date",I$8)/-12</t>
  </si>
  <si>
    <t>=NL("sum","Production Order","Quantity","Source No.",$D3311,"Equipment Code",$L3311,"due date",J$8)/$J$7</t>
  </si>
  <si>
    <t>=AVERAGE(I3311:J3311)</t>
  </si>
  <si>
    <t>=IF(K3312=0,"hide","")</t>
  </si>
  <si>
    <t>=D3311</t>
  </si>
  <si>
    <t>=NL("sum","Production Order","Quantity","Source No.",$D3312,"Equipment Code",$L3312,"due date",F$8)/-12</t>
  </si>
  <si>
    <t>=NL("sum","Production Order","Quantity","Source No.",$D3312,"Equipment Code",$L3312,"due date",G$8)/-12</t>
  </si>
  <si>
    <t>=NL("sum","Production Order","Quantity","Source No.",$D3312,"Equipment Code",$L3312,"due date",H$8)/-12</t>
  </si>
  <si>
    <t>=NL("sum","Production Order","Quantity","Source No.",$D3312,"Equipment Code",$L3312,"due date",I$8)/-12</t>
  </si>
  <si>
    <t>=NL("sum","Production Order","Quantity","Source No.",$D3312,"Equipment Code",$L3312,"due date",J$8)/$J$7</t>
  </si>
  <si>
    <t>=AVERAGE(I3312:J3312)</t>
  </si>
  <si>
    <t>=B3309</t>
  </si>
  <si>
    <t>=B3313</t>
  </si>
  <si>
    <t>=SUM(F3309:F3313)</t>
  </si>
  <si>
    <t>=SUM(G3309:G3313)</t>
  </si>
  <si>
    <t>=SUM(H3309:H3313)</t>
  </si>
  <si>
    <t>=SUM(I3309:I3313)</t>
  </si>
  <si>
    <t>=SUM(J3309:J3313)</t>
  </si>
  <si>
    <t>=IF(K3315=0,"hide","")</t>
  </si>
  <si>
    <t>="45322"</t>
  </si>
  <si>
    <t>=NL("rows","Production BOM Version","Version Code","Production BOM No.",D3315,"status","certified")</t>
  </si>
  <si>
    <t>=NL("sum","Item Ledger Entry","Quantity","Item No.",$D3315,"Entry Type","Sale|Consumption","posting date","01/01/19..12/31/19")/-12</t>
  </si>
  <si>
    <t>=NL("sum","Item Ledger Entry","Quantity","Item No.",$D3315,"Entry Type","Sale|Consumption","posting date","01/01/20..12/31/20")/-12</t>
  </si>
  <si>
    <t>=NL("sum","Item Ledger Entry","Quantity","Item No.",$D3315,"Entry Type","Sale|Consumption","posting date","01/01/21..12/31/21")/-12</t>
  </si>
  <si>
    <t>=NL("sum","Item Ledger Entry","Quantity","Item No.",$D3315,"Entry Type","Sale|Consumption","posting date","01/01/22..12/31/22")/-12</t>
  </si>
  <si>
    <t>=NL("sum","Item Ledger Entry","Quantity","Item No.",$D3315,"Entry Type","Sale|Consumption","posting date","01/01/23..12/31/23")/$J$7</t>
  </si>
  <si>
    <t>=AVERAGE(I3315:J3315)</t>
  </si>
  <si>
    <t>=NL(1,"item",L$9,"no.",D3315)</t>
  </si>
  <si>
    <t>=NL(1,"item",M$9,"no.",$D3315)</t>
  </si>
  <si>
    <t>=NL(1,"item","Units Per Parcel","no.",$D3315)</t>
  </si>
  <si>
    <t>=NL(1,"Prod. BOM Equipment","Fixed Prod. Time (Hours)","Production BOM No.",$D3315,"version code",$E3315,"Resource No.",O$9)</t>
  </si>
  <si>
    <t>=1/O3315</t>
  </si>
  <si>
    <t>=IF(NL(1,"Prod. BOM Equipment","Variable Prod. Time (Hours)","Production BOM No.",$D3315,"version code",$E3315,"Resource No.",$O$9)="",1,NL(1,"Prod. BOM Equipment","Variable Prod. Time (Hours)","Production BOM No.",$D3315,"version code",$E3315,"Resource No.",$O$9))</t>
  </si>
  <si>
    <t>=1/Q3315</t>
  </si>
  <si>
    <t>=R3315*N3315</t>
  </si>
  <si>
    <t>=IF(K3316=0,"hide","")</t>
  </si>
  <si>
    <t>=D3315</t>
  </si>
  <si>
    <t>=NL("sum","Production Order","Quantity","Source No.",$D3316,"Equipment Code",$L3316,"due date",F$8)/-12</t>
  </si>
  <si>
    <t>=NL("sum","Production Order","Quantity","Source No.",$D3316,"Equipment Code",$L3316,"due date",G$8)/-12</t>
  </si>
  <si>
    <t>=NL("sum","Production Order","Quantity","Source No.",$D3316,"Equipment Code",$L3316,"due date",H$8)/-12</t>
  </si>
  <si>
    <t>=NL("sum","Production Order","Quantity","Source No.",$D3316,"Equipment Code",$L3316,"due date",I$8)/-12</t>
  </si>
  <si>
    <t>=NL("sum","Production Order","Quantity","Source No.",$D3316,"Equipment Code",$L3316,"due date",J$8)/$J$7</t>
  </si>
  <si>
    <t>=AVERAGE(I3316:J3316)</t>
  </si>
  <si>
    <t>=IF(K3317=0,"hide","")</t>
  </si>
  <si>
    <t>=D3316</t>
  </si>
  <si>
    <t>=NL("sum","Production Order","Quantity","Source No.",$D3317,"Equipment Code",$L3317,"due date",F$8)/-12</t>
  </si>
  <si>
    <t>=NL("sum","Production Order","Quantity","Source No.",$D3317,"Equipment Code",$L3317,"due date",G$8)/-12</t>
  </si>
  <si>
    <t>=NL("sum","Production Order","Quantity","Source No.",$D3317,"Equipment Code",$L3317,"due date",H$8)/-12</t>
  </si>
  <si>
    <t>=NL("sum","Production Order","Quantity","Source No.",$D3317,"Equipment Code",$L3317,"due date",I$8)/-12</t>
  </si>
  <si>
    <t>=NL("sum","Production Order","Quantity","Source No.",$D3317,"Equipment Code",$L3317,"due date",J$8)/$J$7</t>
  </si>
  <si>
    <t>=AVERAGE(I3317:J3317)</t>
  </si>
  <si>
    <t>=IF(K3318=0,"hide","")</t>
  </si>
  <si>
    <t>=D3317</t>
  </si>
  <si>
    <t>=NL("sum","Production Order","Quantity","Source No.",$D3318,"Equipment Code",$L3318,"due date",F$8)/-12</t>
  </si>
  <si>
    <t>=NL("sum","Production Order","Quantity","Source No.",$D3318,"Equipment Code",$L3318,"due date",G$8)/-12</t>
  </si>
  <si>
    <t>=NL("sum","Production Order","Quantity","Source No.",$D3318,"Equipment Code",$L3318,"due date",H$8)/-12</t>
  </si>
  <si>
    <t>=NL("sum","Production Order","Quantity","Source No.",$D3318,"Equipment Code",$L3318,"due date",I$8)/-12</t>
  </si>
  <si>
    <t>=NL("sum","Production Order","Quantity","Source No.",$D3318,"Equipment Code",$L3318,"due date",J$8)/$J$7</t>
  </si>
  <si>
    <t>=AVERAGE(I3318:J3318)</t>
  </si>
  <si>
    <t>=IF(K3319=0,"hide","")</t>
  </si>
  <si>
    <t>=D3318</t>
  </si>
  <si>
    <t>=NL("sum","Production Order","Quantity","Source No.",$D3319,"Equipment Code",$L3319,"due date",F$8)/-12</t>
  </si>
  <si>
    <t>=NL("sum","Production Order","Quantity","Source No.",$D3319,"Equipment Code",$L3319,"due date",G$8)/-12</t>
  </si>
  <si>
    <t>=NL("sum","Production Order","Quantity","Source No.",$D3319,"Equipment Code",$L3319,"due date",H$8)/-12</t>
  </si>
  <si>
    <t>=NL("sum","Production Order","Quantity","Source No.",$D3319,"Equipment Code",$L3319,"due date",I$8)/-12</t>
  </si>
  <si>
    <t>=NL("sum","Production Order","Quantity","Source No.",$D3319,"Equipment Code",$L3319,"due date",J$8)/$J$7</t>
  </si>
  <si>
    <t>=AVERAGE(I3319:J3319)</t>
  </si>
  <si>
    <t>=B3316</t>
  </si>
  <si>
    <t>=B3320</t>
  </si>
  <si>
    <t>=SUM(F3316:F3320)</t>
  </si>
  <si>
    <t>=SUM(G3316:G3320)</t>
  </si>
  <si>
    <t>=SUM(H3316:H3320)</t>
  </si>
  <si>
    <t>=SUM(I3316:I3320)</t>
  </si>
  <si>
    <t>=SUM(J3316:J3320)</t>
  </si>
  <si>
    <t>=IF(K3322=0,"hide","")</t>
  </si>
  <si>
    <t>="45348"</t>
  </si>
  <si>
    <t>=NL("rows","Production BOM Version","Version Code","Production BOM No.",D3322,"status","certified")</t>
  </si>
  <si>
    <t>=NL("sum","Item Ledger Entry","Quantity","Item No.",$D3322,"Entry Type","Sale|Consumption","posting date","01/01/19..12/31/19")/-12</t>
  </si>
  <si>
    <t>=NL("sum","Item Ledger Entry","Quantity","Item No.",$D3322,"Entry Type","Sale|Consumption","posting date","01/01/20..12/31/20")/-12</t>
  </si>
  <si>
    <t>=NL("sum","Item Ledger Entry","Quantity","Item No.",$D3322,"Entry Type","Sale|Consumption","posting date","01/01/21..12/31/21")/-12</t>
  </si>
  <si>
    <t>=NL("sum","Item Ledger Entry","Quantity","Item No.",$D3322,"Entry Type","Sale|Consumption","posting date","01/01/22..12/31/22")/-12</t>
  </si>
  <si>
    <t>=NL("sum","Item Ledger Entry","Quantity","Item No.",$D3322,"Entry Type","Sale|Consumption","posting date","01/01/23..12/31/23")/$J$7</t>
  </si>
  <si>
    <t>=AVERAGE(I3322:J3322)</t>
  </si>
  <si>
    <t>=NL(1,"item",L$9,"no.",D3322)</t>
  </si>
  <si>
    <t>=NL(1,"item",M$9,"no.",$D3322)</t>
  </si>
  <si>
    <t>=NL(1,"item","Units Per Parcel","no.",$D3322)</t>
  </si>
  <si>
    <t>=NL(1,"Prod. BOM Equipment","Fixed Prod. Time (Hours)","Production BOM No.",$D3322,"version code",$E3322,"Resource No.",O$9)</t>
  </si>
  <si>
    <t>=1/O3322</t>
  </si>
  <si>
    <t>=IF(NL(1,"Prod. BOM Equipment","Variable Prod. Time (Hours)","Production BOM No.",$D3322,"version code",$E3322,"Resource No.",$O$9)="",1,NL(1,"Prod. BOM Equipment","Variable Prod. Time (Hours)","Production BOM No.",$D3322,"version code",$E3322,"Resource No.",$O$9))</t>
  </si>
  <si>
    <t>=1/Q3322</t>
  </si>
  <si>
    <t>=R3322*N3322</t>
  </si>
  <si>
    <t>=IF(K3323=0,"hide","")</t>
  </si>
  <si>
    <t>=D3322</t>
  </si>
  <si>
    <t>=NL("sum","Production Order","Quantity","Source No.",$D3323,"Equipment Code",$L3323,"due date",F$8)/-12</t>
  </si>
  <si>
    <t>=NL("sum","Production Order","Quantity","Source No.",$D3323,"Equipment Code",$L3323,"due date",G$8)/-12</t>
  </si>
  <si>
    <t>=NL("sum","Production Order","Quantity","Source No.",$D3323,"Equipment Code",$L3323,"due date",H$8)/-12</t>
  </si>
  <si>
    <t>=NL("sum","Production Order","Quantity","Source No.",$D3323,"Equipment Code",$L3323,"due date",I$8)/-12</t>
  </si>
  <si>
    <t>=NL("sum","Production Order","Quantity","Source No.",$D3323,"Equipment Code",$L3323,"due date",J$8)/$J$7</t>
  </si>
  <si>
    <t>=AVERAGE(I3323:J3323)</t>
  </si>
  <si>
    <t>=IF(K3324=0,"hide","")</t>
  </si>
  <si>
    <t>=D3323</t>
  </si>
  <si>
    <t>=NL("sum","Production Order","Quantity","Source No.",$D3324,"Equipment Code",$L3324,"due date",F$8)/-12</t>
  </si>
  <si>
    <t>=NL("sum","Production Order","Quantity","Source No.",$D3324,"Equipment Code",$L3324,"due date",G$8)/-12</t>
  </si>
  <si>
    <t>=NL("sum","Production Order","Quantity","Source No.",$D3324,"Equipment Code",$L3324,"due date",H$8)/-12</t>
  </si>
  <si>
    <t>=NL("sum","Production Order","Quantity","Source No.",$D3324,"Equipment Code",$L3324,"due date",I$8)/-12</t>
  </si>
  <si>
    <t>=NL("sum","Production Order","Quantity","Source No.",$D3324,"Equipment Code",$L3324,"due date",J$8)/$J$7</t>
  </si>
  <si>
    <t>=AVERAGE(I3324:J3324)</t>
  </si>
  <si>
    <t>=IF(K3325=0,"hide","")</t>
  </si>
  <si>
    <t>=D3324</t>
  </si>
  <si>
    <t>=NL("sum","Production Order","Quantity","Source No.",$D3325,"Equipment Code",$L3325,"due date",F$8)/-12</t>
  </si>
  <si>
    <t>=NL("sum","Production Order","Quantity","Source No.",$D3325,"Equipment Code",$L3325,"due date",G$8)/-12</t>
  </si>
  <si>
    <t>=NL("sum","Production Order","Quantity","Source No.",$D3325,"Equipment Code",$L3325,"due date",H$8)/-12</t>
  </si>
  <si>
    <t>=NL("sum","Production Order","Quantity","Source No.",$D3325,"Equipment Code",$L3325,"due date",I$8)/-12</t>
  </si>
  <si>
    <t>=NL("sum","Production Order","Quantity","Source No.",$D3325,"Equipment Code",$L3325,"due date",J$8)/$J$7</t>
  </si>
  <si>
    <t>=AVERAGE(I3325:J3325)</t>
  </si>
  <si>
    <t>=IF(K3326=0,"hide","")</t>
  </si>
  <si>
    <t>=D3325</t>
  </si>
  <si>
    <t>=NL("sum","Production Order","Quantity","Source No.",$D3326,"Equipment Code",$L3326,"due date",F$8)/-12</t>
  </si>
  <si>
    <t>=NL("sum","Production Order","Quantity","Source No.",$D3326,"Equipment Code",$L3326,"due date",G$8)/-12</t>
  </si>
  <si>
    <t>=NL("sum","Production Order","Quantity","Source No.",$D3326,"Equipment Code",$L3326,"due date",H$8)/-12</t>
  </si>
  <si>
    <t>=NL("sum","Production Order","Quantity","Source No.",$D3326,"Equipment Code",$L3326,"due date",I$8)/-12</t>
  </si>
  <si>
    <t>=NL("sum","Production Order","Quantity","Source No.",$D3326,"Equipment Code",$L3326,"due date",J$8)/$J$7</t>
  </si>
  <si>
    <t>=AVERAGE(I3326:J3326)</t>
  </si>
  <si>
    <t>=B3323</t>
  </si>
  <si>
    <t>=B3327</t>
  </si>
  <si>
    <t>=SUM(F3323:F3327)</t>
  </si>
  <si>
    <t>=SUM(G3323:G3327)</t>
  </si>
  <si>
    <t>=SUM(H3323:H3327)</t>
  </si>
  <si>
    <t>=SUM(I3323:I3327)</t>
  </si>
  <si>
    <t>=SUM(J3323:J3327)</t>
  </si>
  <si>
    <t>=IF(K3329=0,"hide","")</t>
  </si>
  <si>
    <t>="46001"</t>
  </si>
  <si>
    <t>=NL("rows","Production BOM Version","Version Code","Production BOM No.",D3329,"status","certified")</t>
  </si>
  <si>
    <t>=NL("sum","Item Ledger Entry","Quantity","Item No.",$D3329,"Entry Type","Sale|Consumption","posting date","01/01/19..12/31/19")/-12</t>
  </si>
  <si>
    <t>=NL("sum","Item Ledger Entry","Quantity","Item No.",$D3329,"Entry Type","Sale|Consumption","posting date","01/01/20..12/31/20")/-12</t>
  </si>
  <si>
    <t>=NL("sum","Item Ledger Entry","Quantity","Item No.",$D3329,"Entry Type","Sale|Consumption","posting date","01/01/21..12/31/21")/-12</t>
  </si>
  <si>
    <t>=NL("sum","Item Ledger Entry","Quantity","Item No.",$D3329,"Entry Type","Sale|Consumption","posting date","01/01/22..12/31/22")/-12</t>
  </si>
  <si>
    <t>=NL("sum","Item Ledger Entry","Quantity","Item No.",$D3329,"Entry Type","Sale|Consumption","posting date","01/01/23..12/31/23")/$J$7</t>
  </si>
  <si>
    <t>=AVERAGE(I3329:J3329)</t>
  </si>
  <si>
    <t>=NL(1,"item",L$9,"no.",D3329)</t>
  </si>
  <si>
    <t>=NL(1,"item",M$9,"no.",$D3329)</t>
  </si>
  <si>
    <t>=NL(1,"item","Units Per Parcel","no.",$D3329)</t>
  </si>
  <si>
    <t>=NL(1,"Prod. BOM Equipment","Fixed Prod. Time (Hours)","Production BOM No.",$D3329,"version code",$E3329,"Resource No.",O$9)</t>
  </si>
  <si>
    <t>=1/O3329</t>
  </si>
  <si>
    <t>=IF(NL(1,"Prod. BOM Equipment","Variable Prod. Time (Hours)","Production BOM No.",$D3329,"version code",$E3329,"Resource No.",$O$9)="",1,NL(1,"Prod. BOM Equipment","Variable Prod. Time (Hours)","Production BOM No.",$D3329,"version code",$E3329,"Resource No.",$O$9))</t>
  </si>
  <si>
    <t>=1/Q3329</t>
  </si>
  <si>
    <t>=R3329*N3329</t>
  </si>
  <si>
    <t>=IF(K3330=0,"hide","")</t>
  </si>
  <si>
    <t>=D3329</t>
  </si>
  <si>
    <t>=NL("sum","Production Order","Quantity","Source No.",$D3330,"Equipment Code",$L3330,"due date",F$8)/-12</t>
  </si>
  <si>
    <t>=NL("sum","Production Order","Quantity","Source No.",$D3330,"Equipment Code",$L3330,"due date",G$8)/-12</t>
  </si>
  <si>
    <t>=NL("sum","Production Order","Quantity","Source No.",$D3330,"Equipment Code",$L3330,"due date",H$8)/-12</t>
  </si>
  <si>
    <t>=NL("sum","Production Order","Quantity","Source No.",$D3330,"Equipment Code",$L3330,"due date",I$8)/-12</t>
  </si>
  <si>
    <t>=NL("sum","Production Order","Quantity","Source No.",$D3330,"Equipment Code",$L3330,"due date",J$8)/$J$7</t>
  </si>
  <si>
    <t>=AVERAGE(I3330:J3330)</t>
  </si>
  <si>
    <t>=IF(K3331=0,"hide","")</t>
  </si>
  <si>
    <t>=D3330</t>
  </si>
  <si>
    <t>=NL("sum","Production Order","Quantity","Source No.",$D3331,"Equipment Code",$L3331,"due date",F$8)/-12</t>
  </si>
  <si>
    <t>=NL("sum","Production Order","Quantity","Source No.",$D3331,"Equipment Code",$L3331,"due date",G$8)/-12</t>
  </si>
  <si>
    <t>=NL("sum","Production Order","Quantity","Source No.",$D3331,"Equipment Code",$L3331,"due date",H$8)/-12</t>
  </si>
  <si>
    <t>=NL("sum","Production Order","Quantity","Source No.",$D3331,"Equipment Code",$L3331,"due date",I$8)/-12</t>
  </si>
  <si>
    <t>=NL("sum","Production Order","Quantity","Source No.",$D3331,"Equipment Code",$L3331,"due date",J$8)/$J$7</t>
  </si>
  <si>
    <t>=AVERAGE(I3331:J3331)</t>
  </si>
  <si>
    <t>=IF(K3332=0,"hide","")</t>
  </si>
  <si>
    <t>=D3331</t>
  </si>
  <si>
    <t>=NL("sum","Production Order","Quantity","Source No.",$D3332,"Equipment Code",$L3332,"due date",F$8)/-12</t>
  </si>
  <si>
    <t>=NL("sum","Production Order","Quantity","Source No.",$D3332,"Equipment Code",$L3332,"due date",G$8)/-12</t>
  </si>
  <si>
    <t>=NL("sum","Production Order","Quantity","Source No.",$D3332,"Equipment Code",$L3332,"due date",H$8)/-12</t>
  </si>
  <si>
    <t>=NL("sum","Production Order","Quantity","Source No.",$D3332,"Equipment Code",$L3332,"due date",I$8)/-12</t>
  </si>
  <si>
    <t>=NL("sum","Production Order","Quantity","Source No.",$D3332,"Equipment Code",$L3332,"due date",J$8)/$J$7</t>
  </si>
  <si>
    <t>=AVERAGE(I3332:J3332)</t>
  </si>
  <si>
    <t>=IF(K3333=0,"hide","")</t>
  </si>
  <si>
    <t>=D3332</t>
  </si>
  <si>
    <t>=NL("sum","Production Order","Quantity","Source No.",$D3333,"Equipment Code",$L3333,"due date",F$8)/-12</t>
  </si>
  <si>
    <t>=NL("sum","Production Order","Quantity","Source No.",$D3333,"Equipment Code",$L3333,"due date",G$8)/-12</t>
  </si>
  <si>
    <t>=NL("sum","Production Order","Quantity","Source No.",$D3333,"Equipment Code",$L3333,"due date",H$8)/-12</t>
  </si>
  <si>
    <t>=NL("sum","Production Order","Quantity","Source No.",$D3333,"Equipment Code",$L3333,"due date",I$8)/-12</t>
  </si>
  <si>
    <t>=NL("sum","Production Order","Quantity","Source No.",$D3333,"Equipment Code",$L3333,"due date",J$8)/$J$7</t>
  </si>
  <si>
    <t>=AVERAGE(I3333:J3333)</t>
  </si>
  <si>
    <t>=B3330</t>
  </si>
  <si>
    <t>=B3334</t>
  </si>
  <si>
    <t>=SUM(F3330:F3334)</t>
  </si>
  <si>
    <t>=SUM(G3330:G3334)</t>
  </si>
  <si>
    <t>=SUM(H3330:H3334)</t>
  </si>
  <si>
    <t>=SUM(I3330:I3334)</t>
  </si>
  <si>
    <t>=SUM(J3330:J3334)</t>
  </si>
  <si>
    <t>=IF(K3336=0,"hide","")</t>
  </si>
  <si>
    <t>="46005"</t>
  </si>
  <si>
    <t>=NL("rows","Production BOM Version","Version Code","Production BOM No.",D3336,"status","certified")</t>
  </si>
  <si>
    <t>=NL("sum","Item Ledger Entry","Quantity","Item No.",$D3336,"Entry Type","Sale|Consumption","posting date","01/01/19..12/31/19")/-12</t>
  </si>
  <si>
    <t>=NL("sum","Item Ledger Entry","Quantity","Item No.",$D3336,"Entry Type","Sale|Consumption","posting date","01/01/20..12/31/20")/-12</t>
  </si>
  <si>
    <t>=NL("sum","Item Ledger Entry","Quantity","Item No.",$D3336,"Entry Type","Sale|Consumption","posting date","01/01/21..12/31/21")/-12</t>
  </si>
  <si>
    <t>=NL("sum","Item Ledger Entry","Quantity","Item No.",$D3336,"Entry Type","Sale|Consumption","posting date","01/01/22..12/31/22")/-12</t>
  </si>
  <si>
    <t>=NL("sum","Item Ledger Entry","Quantity","Item No.",$D3336,"Entry Type","Sale|Consumption","posting date","01/01/23..12/31/23")/$J$7</t>
  </si>
  <si>
    <t>=AVERAGE(I3336:J3336)</t>
  </si>
  <si>
    <t>=NL(1,"item",L$9,"no.",D3336)</t>
  </si>
  <si>
    <t>=NL(1,"item",M$9,"no.",$D3336)</t>
  </si>
  <si>
    <t>=NL(1,"item","Units Per Parcel","no.",$D3336)</t>
  </si>
  <si>
    <t>=NL(1,"Prod. BOM Equipment","Fixed Prod. Time (Hours)","Production BOM No.",$D3336,"version code",$E3336,"Resource No.",O$9)</t>
  </si>
  <si>
    <t>=1/O3336</t>
  </si>
  <si>
    <t>=IF(NL(1,"Prod. BOM Equipment","Variable Prod. Time (Hours)","Production BOM No.",$D3336,"version code",$E3336,"Resource No.",$O$9)="",1,NL(1,"Prod. BOM Equipment","Variable Prod. Time (Hours)","Production BOM No.",$D3336,"version code",$E3336,"Resource No.",$O$9))</t>
  </si>
  <si>
    <t>=1/Q3336</t>
  </si>
  <si>
    <t>=R3336*N3336</t>
  </si>
  <si>
    <t>=IF(K3337=0,"hide","")</t>
  </si>
  <si>
    <t>=D3336</t>
  </si>
  <si>
    <t>=NL("sum","Production Order","Quantity","Source No.",$D3337,"Equipment Code",$L3337,"due date",F$8)/-12</t>
  </si>
  <si>
    <t>=NL("sum","Production Order","Quantity","Source No.",$D3337,"Equipment Code",$L3337,"due date",G$8)/-12</t>
  </si>
  <si>
    <t>=NL("sum","Production Order","Quantity","Source No.",$D3337,"Equipment Code",$L3337,"due date",H$8)/-12</t>
  </si>
  <si>
    <t>=NL("sum","Production Order","Quantity","Source No.",$D3337,"Equipment Code",$L3337,"due date",I$8)/-12</t>
  </si>
  <si>
    <t>=NL("sum","Production Order","Quantity","Source No.",$D3337,"Equipment Code",$L3337,"due date",J$8)/$J$7</t>
  </si>
  <si>
    <t>=AVERAGE(I3337:J3337)</t>
  </si>
  <si>
    <t>=IF(K3338=0,"hide","")</t>
  </si>
  <si>
    <t>=D3337</t>
  </si>
  <si>
    <t>=NL("sum","Production Order","Quantity","Source No.",$D3338,"Equipment Code",$L3338,"due date",F$8)/-12</t>
  </si>
  <si>
    <t>=NL("sum","Production Order","Quantity","Source No.",$D3338,"Equipment Code",$L3338,"due date",G$8)/-12</t>
  </si>
  <si>
    <t>=NL("sum","Production Order","Quantity","Source No.",$D3338,"Equipment Code",$L3338,"due date",H$8)/-12</t>
  </si>
  <si>
    <t>=NL("sum","Production Order","Quantity","Source No.",$D3338,"Equipment Code",$L3338,"due date",I$8)/-12</t>
  </si>
  <si>
    <t>=NL("sum","Production Order","Quantity","Source No.",$D3338,"Equipment Code",$L3338,"due date",J$8)/$J$7</t>
  </si>
  <si>
    <t>=AVERAGE(I3338:J3338)</t>
  </si>
  <si>
    <t>=IF(K3339=0,"hide","")</t>
  </si>
  <si>
    <t>=D3338</t>
  </si>
  <si>
    <t>=NL("sum","Production Order","Quantity","Source No.",$D3339,"Equipment Code",$L3339,"due date",F$8)/-12</t>
  </si>
  <si>
    <t>=NL("sum","Production Order","Quantity","Source No.",$D3339,"Equipment Code",$L3339,"due date",G$8)/-12</t>
  </si>
  <si>
    <t>=NL("sum","Production Order","Quantity","Source No.",$D3339,"Equipment Code",$L3339,"due date",H$8)/-12</t>
  </si>
  <si>
    <t>=NL("sum","Production Order","Quantity","Source No.",$D3339,"Equipment Code",$L3339,"due date",I$8)/-12</t>
  </si>
  <si>
    <t>=NL("sum","Production Order","Quantity","Source No.",$D3339,"Equipment Code",$L3339,"due date",J$8)/$J$7</t>
  </si>
  <si>
    <t>=AVERAGE(I3339:J3339)</t>
  </si>
  <si>
    <t>=IF(K3340=0,"hide","")</t>
  </si>
  <si>
    <t>=D3339</t>
  </si>
  <si>
    <t>=NL("sum","Production Order","Quantity","Source No.",$D3340,"Equipment Code",$L3340,"due date",F$8)/-12</t>
  </si>
  <si>
    <t>=NL("sum","Production Order","Quantity","Source No.",$D3340,"Equipment Code",$L3340,"due date",G$8)/-12</t>
  </si>
  <si>
    <t>=NL("sum","Production Order","Quantity","Source No.",$D3340,"Equipment Code",$L3340,"due date",H$8)/-12</t>
  </si>
  <si>
    <t>=NL("sum","Production Order","Quantity","Source No.",$D3340,"Equipment Code",$L3340,"due date",I$8)/-12</t>
  </si>
  <si>
    <t>=NL("sum","Production Order","Quantity","Source No.",$D3340,"Equipment Code",$L3340,"due date",J$8)/$J$7</t>
  </si>
  <si>
    <t>=AVERAGE(I3340:J3340)</t>
  </si>
  <si>
    <t>=B3337</t>
  </si>
  <si>
    <t>=B3341</t>
  </si>
  <si>
    <t>=SUM(F3337:F3341)</t>
  </si>
  <si>
    <t>=SUM(G3337:G3341)</t>
  </si>
  <si>
    <t>=SUM(H3337:H3341)</t>
  </si>
  <si>
    <t>=SUM(I3337:I3341)</t>
  </si>
  <si>
    <t>=SUM(J3337:J3341)</t>
  </si>
  <si>
    <t>=IF(K3343=0,"hide","")</t>
  </si>
  <si>
    <t>="46009"</t>
  </si>
  <si>
    <t>=NL("rows","Production BOM Version","Version Code","Production BOM No.",D3343,"status","certified")</t>
  </si>
  <si>
    <t>=NL("sum","Item Ledger Entry","Quantity","Item No.",$D3343,"Entry Type","Sale|Consumption","posting date","01/01/19..12/31/19")/-12</t>
  </si>
  <si>
    <t>=NL("sum","Item Ledger Entry","Quantity","Item No.",$D3343,"Entry Type","Sale|Consumption","posting date","01/01/20..12/31/20")/-12</t>
  </si>
  <si>
    <t>=NL("sum","Item Ledger Entry","Quantity","Item No.",$D3343,"Entry Type","Sale|Consumption","posting date","01/01/21..12/31/21")/-12</t>
  </si>
  <si>
    <t>=NL("sum","Item Ledger Entry","Quantity","Item No.",$D3343,"Entry Type","Sale|Consumption","posting date","01/01/22..12/31/22")/-12</t>
  </si>
  <si>
    <t>=NL("sum","Item Ledger Entry","Quantity","Item No.",$D3343,"Entry Type","Sale|Consumption","posting date","01/01/23..12/31/23")/$J$7</t>
  </si>
  <si>
    <t>=AVERAGE(I3343:J3343)</t>
  </si>
  <si>
    <t>=NL(1,"item",L$9,"no.",D3343)</t>
  </si>
  <si>
    <t>=NL(1,"item",M$9,"no.",$D3343)</t>
  </si>
  <si>
    <t>=NL(1,"item","Units Per Parcel","no.",$D3343)</t>
  </si>
  <si>
    <t>=NL(1,"Prod. BOM Equipment","Fixed Prod. Time (Hours)","Production BOM No.",$D3343,"version code",$E3343,"Resource No.",O$9)</t>
  </si>
  <si>
    <t>=1/O3343</t>
  </si>
  <si>
    <t>=IF(NL(1,"Prod. BOM Equipment","Variable Prod. Time (Hours)","Production BOM No.",$D3343,"version code",$E3343,"Resource No.",$O$9)="",1,NL(1,"Prod. BOM Equipment","Variable Prod. Time (Hours)","Production BOM No.",$D3343,"version code",$E3343,"Resource No.",$O$9))</t>
  </si>
  <si>
    <t>=1/Q3343</t>
  </si>
  <si>
    <t>=R3343*N3343</t>
  </si>
  <si>
    <t>=IF(K3344=0,"hide","")</t>
  </si>
  <si>
    <t>=D3343</t>
  </si>
  <si>
    <t>=NL("sum","Production Order","Quantity","Source No.",$D3344,"Equipment Code",$L3344,"due date",F$8)/-12</t>
  </si>
  <si>
    <t>=NL("sum","Production Order","Quantity","Source No.",$D3344,"Equipment Code",$L3344,"due date",G$8)/-12</t>
  </si>
  <si>
    <t>=NL("sum","Production Order","Quantity","Source No.",$D3344,"Equipment Code",$L3344,"due date",H$8)/-12</t>
  </si>
  <si>
    <t>=NL("sum","Production Order","Quantity","Source No.",$D3344,"Equipment Code",$L3344,"due date",I$8)/-12</t>
  </si>
  <si>
    <t>=NL("sum","Production Order","Quantity","Source No.",$D3344,"Equipment Code",$L3344,"due date",J$8)/$J$7</t>
  </si>
  <si>
    <t>=AVERAGE(I3344:J3344)</t>
  </si>
  <si>
    <t>=IF(K3345=0,"hide","")</t>
  </si>
  <si>
    <t>=D3344</t>
  </si>
  <si>
    <t>=NL("sum","Production Order","Quantity","Source No.",$D3345,"Equipment Code",$L3345,"due date",F$8)/-12</t>
  </si>
  <si>
    <t>=NL("sum","Production Order","Quantity","Source No.",$D3345,"Equipment Code",$L3345,"due date",G$8)/-12</t>
  </si>
  <si>
    <t>=NL("sum","Production Order","Quantity","Source No.",$D3345,"Equipment Code",$L3345,"due date",H$8)/-12</t>
  </si>
  <si>
    <t>=NL("sum","Production Order","Quantity","Source No.",$D3345,"Equipment Code",$L3345,"due date",I$8)/-12</t>
  </si>
  <si>
    <t>=NL("sum","Production Order","Quantity","Source No.",$D3345,"Equipment Code",$L3345,"due date",J$8)/$J$7</t>
  </si>
  <si>
    <t>=AVERAGE(I3345:J3345)</t>
  </si>
  <si>
    <t>=IF(K3346=0,"hide","")</t>
  </si>
  <si>
    <t>=D3345</t>
  </si>
  <si>
    <t>=NL("sum","Production Order","Quantity","Source No.",$D3346,"Equipment Code",$L3346,"due date",F$8)/-12</t>
  </si>
  <si>
    <t>=NL("sum","Production Order","Quantity","Source No.",$D3346,"Equipment Code",$L3346,"due date",G$8)/-12</t>
  </si>
  <si>
    <t>=NL("sum","Production Order","Quantity","Source No.",$D3346,"Equipment Code",$L3346,"due date",H$8)/-12</t>
  </si>
  <si>
    <t>=NL("sum","Production Order","Quantity","Source No.",$D3346,"Equipment Code",$L3346,"due date",I$8)/-12</t>
  </si>
  <si>
    <t>=NL("sum","Production Order","Quantity","Source No.",$D3346,"Equipment Code",$L3346,"due date",J$8)/$J$7</t>
  </si>
  <si>
    <t>=AVERAGE(I3346:J3346)</t>
  </si>
  <si>
    <t>=IF(K3347=0,"hide","")</t>
  </si>
  <si>
    <t>=D3346</t>
  </si>
  <si>
    <t>=NL("sum","Production Order","Quantity","Source No.",$D3347,"Equipment Code",$L3347,"due date",F$8)/-12</t>
  </si>
  <si>
    <t>=NL("sum","Production Order","Quantity","Source No.",$D3347,"Equipment Code",$L3347,"due date",G$8)/-12</t>
  </si>
  <si>
    <t>=NL("sum","Production Order","Quantity","Source No.",$D3347,"Equipment Code",$L3347,"due date",H$8)/-12</t>
  </si>
  <si>
    <t>=NL("sum","Production Order","Quantity","Source No.",$D3347,"Equipment Code",$L3347,"due date",I$8)/-12</t>
  </si>
  <si>
    <t>=NL("sum","Production Order","Quantity","Source No.",$D3347,"Equipment Code",$L3347,"due date",J$8)/$J$7</t>
  </si>
  <si>
    <t>=AVERAGE(I3347:J3347)</t>
  </si>
  <si>
    <t>=B3344</t>
  </si>
  <si>
    <t>=B3348</t>
  </si>
  <si>
    <t>=SUM(F3344:F3348)</t>
  </si>
  <si>
    <t>=SUM(G3344:G3348)</t>
  </si>
  <si>
    <t>=SUM(H3344:H3348)</t>
  </si>
  <si>
    <t>=SUM(I3344:I3348)</t>
  </si>
  <si>
    <t>=SUM(J3344:J3348)</t>
  </si>
  <si>
    <t>=IF(K3350=0,"hide","")</t>
  </si>
  <si>
    <t>="46010"</t>
  </si>
  <si>
    <t>=NL("rows","Production BOM Version","Version Code","Production BOM No.",D3350,"status","certified")</t>
  </si>
  <si>
    <t>=NL("sum","Item Ledger Entry","Quantity","Item No.",$D3350,"Entry Type","Sale|Consumption","posting date","01/01/19..12/31/19")/-12</t>
  </si>
  <si>
    <t>=NL("sum","Item Ledger Entry","Quantity","Item No.",$D3350,"Entry Type","Sale|Consumption","posting date","01/01/20..12/31/20")/-12</t>
  </si>
  <si>
    <t>=NL("sum","Item Ledger Entry","Quantity","Item No.",$D3350,"Entry Type","Sale|Consumption","posting date","01/01/21..12/31/21")/-12</t>
  </si>
  <si>
    <t>=NL("sum","Item Ledger Entry","Quantity","Item No.",$D3350,"Entry Type","Sale|Consumption","posting date","01/01/22..12/31/22")/-12</t>
  </si>
  <si>
    <t>=NL("sum","Item Ledger Entry","Quantity","Item No.",$D3350,"Entry Type","Sale|Consumption","posting date","01/01/23..12/31/23")/$J$7</t>
  </si>
  <si>
    <t>=AVERAGE(I3350:J3350)</t>
  </si>
  <si>
    <t>=NL(1,"item",L$9,"no.",D3350)</t>
  </si>
  <si>
    <t>=NL(1,"item",M$9,"no.",$D3350)</t>
  </si>
  <si>
    <t>=NL(1,"item","Units Per Parcel","no.",$D3350)</t>
  </si>
  <si>
    <t>=NL(1,"Prod. BOM Equipment","Fixed Prod. Time (Hours)","Production BOM No.",$D3350,"version code",$E3350,"Resource No.",O$9)</t>
  </si>
  <si>
    <t>=1/O3350</t>
  </si>
  <si>
    <t>=IF(NL(1,"Prod. BOM Equipment","Variable Prod. Time (Hours)","Production BOM No.",$D3350,"version code",$E3350,"Resource No.",$O$9)="",1,NL(1,"Prod. BOM Equipment","Variable Prod. Time (Hours)","Production BOM No.",$D3350,"version code",$E3350,"Resource No.",$O$9))</t>
  </si>
  <si>
    <t>=1/Q3350</t>
  </si>
  <si>
    <t>=R3350*N3350</t>
  </si>
  <si>
    <t>=IF(K3351=0,"hide","")</t>
  </si>
  <si>
    <t>=D3350</t>
  </si>
  <si>
    <t>=NL("sum","Production Order","Quantity","Source No.",$D3351,"Equipment Code",$L3351,"due date",F$8)/-12</t>
  </si>
  <si>
    <t>=NL("sum","Production Order","Quantity","Source No.",$D3351,"Equipment Code",$L3351,"due date",G$8)/-12</t>
  </si>
  <si>
    <t>=NL("sum","Production Order","Quantity","Source No.",$D3351,"Equipment Code",$L3351,"due date",H$8)/-12</t>
  </si>
  <si>
    <t>=NL("sum","Production Order","Quantity","Source No.",$D3351,"Equipment Code",$L3351,"due date",I$8)/-12</t>
  </si>
  <si>
    <t>=NL("sum","Production Order","Quantity","Source No.",$D3351,"Equipment Code",$L3351,"due date",J$8)/$J$7</t>
  </si>
  <si>
    <t>=AVERAGE(I3351:J3351)</t>
  </si>
  <si>
    <t>=IF(K3352=0,"hide","")</t>
  </si>
  <si>
    <t>=D3351</t>
  </si>
  <si>
    <t>=NL("sum","Production Order","Quantity","Source No.",$D3352,"Equipment Code",$L3352,"due date",F$8)/-12</t>
  </si>
  <si>
    <t>=NL("sum","Production Order","Quantity","Source No.",$D3352,"Equipment Code",$L3352,"due date",G$8)/-12</t>
  </si>
  <si>
    <t>=NL("sum","Production Order","Quantity","Source No.",$D3352,"Equipment Code",$L3352,"due date",H$8)/-12</t>
  </si>
  <si>
    <t>=NL("sum","Production Order","Quantity","Source No.",$D3352,"Equipment Code",$L3352,"due date",I$8)/-12</t>
  </si>
  <si>
    <t>=NL("sum","Production Order","Quantity","Source No.",$D3352,"Equipment Code",$L3352,"due date",J$8)/$J$7</t>
  </si>
  <si>
    <t>=AVERAGE(I3352:J3352)</t>
  </si>
  <si>
    <t>=IF(K3353=0,"hide","")</t>
  </si>
  <si>
    <t>=D3352</t>
  </si>
  <si>
    <t>=NL("sum","Production Order","Quantity","Source No.",$D3353,"Equipment Code",$L3353,"due date",F$8)/-12</t>
  </si>
  <si>
    <t>=NL("sum","Production Order","Quantity","Source No.",$D3353,"Equipment Code",$L3353,"due date",G$8)/-12</t>
  </si>
  <si>
    <t>=NL("sum","Production Order","Quantity","Source No.",$D3353,"Equipment Code",$L3353,"due date",H$8)/-12</t>
  </si>
  <si>
    <t>=NL("sum","Production Order","Quantity","Source No.",$D3353,"Equipment Code",$L3353,"due date",I$8)/-12</t>
  </si>
  <si>
    <t>=NL("sum","Production Order","Quantity","Source No.",$D3353,"Equipment Code",$L3353,"due date",J$8)/$J$7</t>
  </si>
  <si>
    <t>=AVERAGE(I3353:J3353)</t>
  </si>
  <si>
    <t>=IF(K3354=0,"hide","")</t>
  </si>
  <si>
    <t>=D3353</t>
  </si>
  <si>
    <t>=NL("sum","Production Order","Quantity","Source No.",$D3354,"Equipment Code",$L3354,"due date",F$8)/-12</t>
  </si>
  <si>
    <t>=NL("sum","Production Order","Quantity","Source No.",$D3354,"Equipment Code",$L3354,"due date",G$8)/-12</t>
  </si>
  <si>
    <t>=NL("sum","Production Order","Quantity","Source No.",$D3354,"Equipment Code",$L3354,"due date",H$8)/-12</t>
  </si>
  <si>
    <t>=NL("sum","Production Order","Quantity","Source No.",$D3354,"Equipment Code",$L3354,"due date",I$8)/-12</t>
  </si>
  <si>
    <t>=NL("sum","Production Order","Quantity","Source No.",$D3354,"Equipment Code",$L3354,"due date",J$8)/$J$7</t>
  </si>
  <si>
    <t>=AVERAGE(I3354:J3354)</t>
  </si>
  <si>
    <t>=B3351</t>
  </si>
  <si>
    <t>=B3355</t>
  </si>
  <si>
    <t>=SUM(F3351:F3355)</t>
  </si>
  <si>
    <t>=SUM(G3351:G3355)</t>
  </si>
  <si>
    <t>=SUM(H3351:H3355)</t>
  </si>
  <si>
    <t>=SUM(I3351:I3355)</t>
  </si>
  <si>
    <t>=SUM(J3351:J3355)</t>
  </si>
  <si>
    <t>=IF(K3357=0,"hide","")</t>
  </si>
  <si>
    <t>="46051"</t>
  </si>
  <si>
    <t>=NL("rows","Production BOM Version","Version Code","Production BOM No.",D3357,"status","certified")</t>
  </si>
  <si>
    <t>=NL("sum","Item Ledger Entry","Quantity","Item No.",$D3357,"Entry Type","Sale|Consumption","posting date","01/01/19..12/31/19")/-12</t>
  </si>
  <si>
    <t>=NL("sum","Item Ledger Entry","Quantity","Item No.",$D3357,"Entry Type","Sale|Consumption","posting date","01/01/20..12/31/20")/-12</t>
  </si>
  <si>
    <t>=NL("sum","Item Ledger Entry","Quantity","Item No.",$D3357,"Entry Type","Sale|Consumption","posting date","01/01/21..12/31/21")/-12</t>
  </si>
  <si>
    <t>=NL("sum","Item Ledger Entry","Quantity","Item No.",$D3357,"Entry Type","Sale|Consumption","posting date","01/01/22..12/31/22")/-12</t>
  </si>
  <si>
    <t>=NL("sum","Item Ledger Entry","Quantity","Item No.",$D3357,"Entry Type","Sale|Consumption","posting date","01/01/23..12/31/23")/$J$7</t>
  </si>
  <si>
    <t>=AVERAGE(I3357:J3357)</t>
  </si>
  <si>
    <t>=NL(1,"item",L$9,"no.",D3357)</t>
  </si>
  <si>
    <t>=NL(1,"item",M$9,"no.",$D3357)</t>
  </si>
  <si>
    <t>=NL(1,"item","Units Per Parcel","no.",$D3357)</t>
  </si>
  <si>
    <t>=NL(1,"Prod. BOM Equipment","Fixed Prod. Time (Hours)","Production BOM No.",$D3357,"version code",$E3357,"Resource No.",O$9)</t>
  </si>
  <si>
    <t>=1/O3357</t>
  </si>
  <si>
    <t>=IF(NL(1,"Prod. BOM Equipment","Variable Prod. Time (Hours)","Production BOM No.",$D3357,"version code",$E3357,"Resource No.",$O$9)="",1,NL(1,"Prod. BOM Equipment","Variable Prod. Time (Hours)","Production BOM No.",$D3357,"version code",$E3357,"Resource No.",$O$9))</t>
  </si>
  <si>
    <t>=1/Q3357</t>
  </si>
  <si>
    <t>=R3357*N3357</t>
  </si>
  <si>
    <t>=IF(K3358=0,"hide","")</t>
  </si>
  <si>
    <t>=D3357</t>
  </si>
  <si>
    <t>=NL("sum","Production Order","Quantity","Source No.",$D3358,"Equipment Code",$L3358,"due date",F$8)/-12</t>
  </si>
  <si>
    <t>=NL("sum","Production Order","Quantity","Source No.",$D3358,"Equipment Code",$L3358,"due date",G$8)/-12</t>
  </si>
  <si>
    <t>=NL("sum","Production Order","Quantity","Source No.",$D3358,"Equipment Code",$L3358,"due date",H$8)/-12</t>
  </si>
  <si>
    <t>=NL("sum","Production Order","Quantity","Source No.",$D3358,"Equipment Code",$L3358,"due date",I$8)/-12</t>
  </si>
  <si>
    <t>=NL("sum","Production Order","Quantity","Source No.",$D3358,"Equipment Code",$L3358,"due date",J$8)/$J$7</t>
  </si>
  <si>
    <t>=AVERAGE(I3358:J3358)</t>
  </si>
  <si>
    <t>=IF(K3359=0,"hide","")</t>
  </si>
  <si>
    <t>=D3358</t>
  </si>
  <si>
    <t>=NL("sum","Production Order","Quantity","Source No.",$D3359,"Equipment Code",$L3359,"due date",F$8)/-12</t>
  </si>
  <si>
    <t>=NL("sum","Production Order","Quantity","Source No.",$D3359,"Equipment Code",$L3359,"due date",G$8)/-12</t>
  </si>
  <si>
    <t>=NL("sum","Production Order","Quantity","Source No.",$D3359,"Equipment Code",$L3359,"due date",H$8)/-12</t>
  </si>
  <si>
    <t>=NL("sum","Production Order","Quantity","Source No.",$D3359,"Equipment Code",$L3359,"due date",I$8)/-12</t>
  </si>
  <si>
    <t>=NL("sum","Production Order","Quantity","Source No.",$D3359,"Equipment Code",$L3359,"due date",J$8)/$J$7</t>
  </si>
  <si>
    <t>=AVERAGE(I3359:J3359)</t>
  </si>
  <si>
    <t>=IF(K3360=0,"hide","")</t>
  </si>
  <si>
    <t>=D3359</t>
  </si>
  <si>
    <t>=NL("sum","Production Order","Quantity","Source No.",$D3360,"Equipment Code",$L3360,"due date",F$8)/-12</t>
  </si>
  <si>
    <t>=NL("sum","Production Order","Quantity","Source No.",$D3360,"Equipment Code",$L3360,"due date",G$8)/-12</t>
  </si>
  <si>
    <t>=NL("sum","Production Order","Quantity","Source No.",$D3360,"Equipment Code",$L3360,"due date",H$8)/-12</t>
  </si>
  <si>
    <t>=NL("sum","Production Order","Quantity","Source No.",$D3360,"Equipment Code",$L3360,"due date",I$8)/-12</t>
  </si>
  <si>
    <t>=NL("sum","Production Order","Quantity","Source No.",$D3360,"Equipment Code",$L3360,"due date",J$8)/$J$7</t>
  </si>
  <si>
    <t>=AVERAGE(I3360:J3360)</t>
  </si>
  <si>
    <t>=IF(K3361=0,"hide","")</t>
  </si>
  <si>
    <t>=D3360</t>
  </si>
  <si>
    <t>=NL("sum","Production Order","Quantity","Source No.",$D3361,"Equipment Code",$L3361,"due date",F$8)/-12</t>
  </si>
  <si>
    <t>=NL("sum","Production Order","Quantity","Source No.",$D3361,"Equipment Code",$L3361,"due date",G$8)/-12</t>
  </si>
  <si>
    <t>=NL("sum","Production Order","Quantity","Source No.",$D3361,"Equipment Code",$L3361,"due date",H$8)/-12</t>
  </si>
  <si>
    <t>=NL("sum","Production Order","Quantity","Source No.",$D3361,"Equipment Code",$L3361,"due date",I$8)/-12</t>
  </si>
  <si>
    <t>=NL("sum","Production Order","Quantity","Source No.",$D3361,"Equipment Code",$L3361,"due date",J$8)/$J$7</t>
  </si>
  <si>
    <t>=AVERAGE(I3361:J3361)</t>
  </si>
  <si>
    <t>=B3358</t>
  </si>
  <si>
    <t>=B3362</t>
  </si>
  <si>
    <t>=SUM(F3358:F3362)</t>
  </si>
  <si>
    <t>=SUM(G3358:G3362)</t>
  </si>
  <si>
    <t>=SUM(H3358:H3362)</t>
  </si>
  <si>
    <t>=SUM(I3358:I3362)</t>
  </si>
  <si>
    <t>=SUM(J3358:J3362)</t>
  </si>
  <si>
    <t>=IF(K3364=0,"hide","")</t>
  </si>
  <si>
    <t>="46301"</t>
  </si>
  <si>
    <t>=NL("rows","Production BOM Version","Version Code","Production BOM No.",D3364,"status","certified")</t>
  </si>
  <si>
    <t>=NL("sum","Item Ledger Entry","Quantity","Item No.",$D3364,"Entry Type","Sale|Consumption","posting date","01/01/19..12/31/19")/-12</t>
  </si>
  <si>
    <t>=NL("sum","Item Ledger Entry","Quantity","Item No.",$D3364,"Entry Type","Sale|Consumption","posting date","01/01/20..12/31/20")/-12</t>
  </si>
  <si>
    <t>=NL("sum","Item Ledger Entry","Quantity","Item No.",$D3364,"Entry Type","Sale|Consumption","posting date","01/01/21..12/31/21")/-12</t>
  </si>
  <si>
    <t>=NL("sum","Item Ledger Entry","Quantity","Item No.",$D3364,"Entry Type","Sale|Consumption","posting date","01/01/22..12/31/22")/-12</t>
  </si>
  <si>
    <t>=NL("sum","Item Ledger Entry","Quantity","Item No.",$D3364,"Entry Type","Sale|Consumption","posting date","01/01/23..12/31/23")/$J$7</t>
  </si>
  <si>
    <t>=AVERAGE(I3364:J3364)</t>
  </si>
  <si>
    <t>=NL(1,"item",L$9,"no.",D3364)</t>
  </si>
  <si>
    <t>=NL(1,"item",M$9,"no.",$D3364)</t>
  </si>
  <si>
    <t>=NL(1,"item","Units Per Parcel","no.",$D3364)</t>
  </si>
  <si>
    <t>=NL(1,"Prod. BOM Equipment","Fixed Prod. Time (Hours)","Production BOM No.",$D3364,"version code",$E3364,"Resource No.",O$9)</t>
  </si>
  <si>
    <t>=1/O3364</t>
  </si>
  <si>
    <t>=IF(NL(1,"Prod. BOM Equipment","Variable Prod. Time (Hours)","Production BOM No.",$D3364,"version code",$E3364,"Resource No.",$O$9)="",1,NL(1,"Prod. BOM Equipment","Variable Prod. Time (Hours)","Production BOM No.",$D3364,"version code",$E3364,"Resource No.",$O$9))</t>
  </si>
  <si>
    <t>=1/Q3364</t>
  </si>
  <si>
    <t>=R3364*N3364</t>
  </si>
  <si>
    <t>=IF(K3365=0,"hide","")</t>
  </si>
  <si>
    <t>=D3364</t>
  </si>
  <si>
    <t>=NL("sum","Production Order","Quantity","Source No.",$D3365,"Equipment Code",$L3365,"due date",F$8)/-12</t>
  </si>
  <si>
    <t>=NL("sum","Production Order","Quantity","Source No.",$D3365,"Equipment Code",$L3365,"due date",G$8)/-12</t>
  </si>
  <si>
    <t>=NL("sum","Production Order","Quantity","Source No.",$D3365,"Equipment Code",$L3365,"due date",H$8)/-12</t>
  </si>
  <si>
    <t>=NL("sum","Production Order","Quantity","Source No.",$D3365,"Equipment Code",$L3365,"due date",I$8)/-12</t>
  </si>
  <si>
    <t>=NL("sum","Production Order","Quantity","Source No.",$D3365,"Equipment Code",$L3365,"due date",J$8)/$J$7</t>
  </si>
  <si>
    <t>=AVERAGE(I3365:J3365)</t>
  </si>
  <si>
    <t>=IF(K3366=0,"hide","")</t>
  </si>
  <si>
    <t>=D3365</t>
  </si>
  <si>
    <t>=NL("sum","Production Order","Quantity","Source No.",$D3366,"Equipment Code",$L3366,"due date",F$8)/-12</t>
  </si>
  <si>
    <t>=NL("sum","Production Order","Quantity","Source No.",$D3366,"Equipment Code",$L3366,"due date",G$8)/-12</t>
  </si>
  <si>
    <t>=NL("sum","Production Order","Quantity","Source No.",$D3366,"Equipment Code",$L3366,"due date",H$8)/-12</t>
  </si>
  <si>
    <t>=NL("sum","Production Order","Quantity","Source No.",$D3366,"Equipment Code",$L3366,"due date",I$8)/-12</t>
  </si>
  <si>
    <t>=NL("sum","Production Order","Quantity","Source No.",$D3366,"Equipment Code",$L3366,"due date",J$8)/$J$7</t>
  </si>
  <si>
    <t>=AVERAGE(I3366:J3366)</t>
  </si>
  <si>
    <t>=IF(K3367=0,"hide","")</t>
  </si>
  <si>
    <t>=D3366</t>
  </si>
  <si>
    <t>=NL("sum","Production Order","Quantity","Source No.",$D3367,"Equipment Code",$L3367,"due date",F$8)/-12</t>
  </si>
  <si>
    <t>=NL("sum","Production Order","Quantity","Source No.",$D3367,"Equipment Code",$L3367,"due date",G$8)/-12</t>
  </si>
  <si>
    <t>=NL("sum","Production Order","Quantity","Source No.",$D3367,"Equipment Code",$L3367,"due date",H$8)/-12</t>
  </si>
  <si>
    <t>=NL("sum","Production Order","Quantity","Source No.",$D3367,"Equipment Code",$L3367,"due date",I$8)/-12</t>
  </si>
  <si>
    <t>=NL("sum","Production Order","Quantity","Source No.",$D3367,"Equipment Code",$L3367,"due date",J$8)/$J$7</t>
  </si>
  <si>
    <t>=AVERAGE(I3367:J3367)</t>
  </si>
  <si>
    <t>=IF(K3368=0,"hide","")</t>
  </si>
  <si>
    <t>=D3367</t>
  </si>
  <si>
    <t>=NL("sum","Production Order","Quantity","Source No.",$D3368,"Equipment Code",$L3368,"due date",F$8)/-12</t>
  </si>
  <si>
    <t>=NL("sum","Production Order","Quantity","Source No.",$D3368,"Equipment Code",$L3368,"due date",G$8)/-12</t>
  </si>
  <si>
    <t>=NL("sum","Production Order","Quantity","Source No.",$D3368,"Equipment Code",$L3368,"due date",H$8)/-12</t>
  </si>
  <si>
    <t>=NL("sum","Production Order","Quantity","Source No.",$D3368,"Equipment Code",$L3368,"due date",I$8)/-12</t>
  </si>
  <si>
    <t>=NL("sum","Production Order","Quantity","Source No.",$D3368,"Equipment Code",$L3368,"due date",J$8)/$J$7</t>
  </si>
  <si>
    <t>=AVERAGE(I3368:J3368)</t>
  </si>
  <si>
    <t>=B3365</t>
  </si>
  <si>
    <t>=B3369</t>
  </si>
  <si>
    <t>=SUM(F3365:F3369)</t>
  </si>
  <si>
    <t>=SUM(G3365:G3369)</t>
  </si>
  <si>
    <t>=SUM(H3365:H3369)</t>
  </si>
  <si>
    <t>=SUM(I3365:I3369)</t>
  </si>
  <si>
    <t>=SUM(J3365:J3369)</t>
  </si>
  <si>
    <t>=IF(K3371=0,"hide","")</t>
  </si>
  <si>
    <t>="46302"</t>
  </si>
  <si>
    <t>=NL("rows","Production BOM Version","Version Code","Production BOM No.",D3371,"status","certified")</t>
  </si>
  <si>
    <t>=NL("sum","Item Ledger Entry","Quantity","Item No.",$D3371,"Entry Type","Sale|Consumption","posting date","01/01/19..12/31/19")/-12</t>
  </si>
  <si>
    <t>=NL("sum","Item Ledger Entry","Quantity","Item No.",$D3371,"Entry Type","Sale|Consumption","posting date","01/01/20..12/31/20")/-12</t>
  </si>
  <si>
    <t>=NL("sum","Item Ledger Entry","Quantity","Item No.",$D3371,"Entry Type","Sale|Consumption","posting date","01/01/21..12/31/21")/-12</t>
  </si>
  <si>
    <t>=NL("sum","Item Ledger Entry","Quantity","Item No.",$D3371,"Entry Type","Sale|Consumption","posting date","01/01/22..12/31/22")/-12</t>
  </si>
  <si>
    <t>=NL("sum","Item Ledger Entry","Quantity","Item No.",$D3371,"Entry Type","Sale|Consumption","posting date","01/01/23..12/31/23")/$J$7</t>
  </si>
  <si>
    <t>=AVERAGE(I3371:J3371)</t>
  </si>
  <si>
    <t>=NL(1,"item",L$9,"no.",D3371)</t>
  </si>
  <si>
    <t>=NL(1,"item",M$9,"no.",$D3371)</t>
  </si>
  <si>
    <t>=NL(1,"item","Units Per Parcel","no.",$D3371)</t>
  </si>
  <si>
    <t>=NL(1,"Prod. BOM Equipment","Fixed Prod. Time (Hours)","Production BOM No.",$D3371,"version code",$E3371,"Resource No.",O$9)</t>
  </si>
  <si>
    <t>=1/O3371</t>
  </si>
  <si>
    <t>=IF(NL(1,"Prod. BOM Equipment","Variable Prod. Time (Hours)","Production BOM No.",$D3371,"version code",$E3371,"Resource No.",$O$9)="",1,NL(1,"Prod. BOM Equipment","Variable Prod. Time (Hours)","Production BOM No.",$D3371,"version code",$E3371,"Resource No.",$O$9))</t>
  </si>
  <si>
    <t>=1/Q3371</t>
  </si>
  <si>
    <t>=R3371*N3371</t>
  </si>
  <si>
    <t>=IF(K3372=0,"hide","")</t>
  </si>
  <si>
    <t>=D3371</t>
  </si>
  <si>
    <t>=NL("sum","Production Order","Quantity","Source No.",$D3372,"Equipment Code",$L3372,"due date",F$8)/-12</t>
  </si>
  <si>
    <t>=NL("sum","Production Order","Quantity","Source No.",$D3372,"Equipment Code",$L3372,"due date",G$8)/-12</t>
  </si>
  <si>
    <t>=NL("sum","Production Order","Quantity","Source No.",$D3372,"Equipment Code",$L3372,"due date",H$8)/-12</t>
  </si>
  <si>
    <t>=NL("sum","Production Order","Quantity","Source No.",$D3372,"Equipment Code",$L3372,"due date",I$8)/-12</t>
  </si>
  <si>
    <t>=NL("sum","Production Order","Quantity","Source No.",$D3372,"Equipment Code",$L3372,"due date",J$8)/$J$7</t>
  </si>
  <si>
    <t>=AVERAGE(I3372:J3372)</t>
  </si>
  <si>
    <t>=IF(K3373=0,"hide","")</t>
  </si>
  <si>
    <t>=D3372</t>
  </si>
  <si>
    <t>=NL("sum","Production Order","Quantity","Source No.",$D3373,"Equipment Code",$L3373,"due date",F$8)/-12</t>
  </si>
  <si>
    <t>=NL("sum","Production Order","Quantity","Source No.",$D3373,"Equipment Code",$L3373,"due date",G$8)/-12</t>
  </si>
  <si>
    <t>=NL("sum","Production Order","Quantity","Source No.",$D3373,"Equipment Code",$L3373,"due date",H$8)/-12</t>
  </si>
  <si>
    <t>=NL("sum","Production Order","Quantity","Source No.",$D3373,"Equipment Code",$L3373,"due date",I$8)/-12</t>
  </si>
  <si>
    <t>=NL("sum","Production Order","Quantity","Source No.",$D3373,"Equipment Code",$L3373,"due date",J$8)/$J$7</t>
  </si>
  <si>
    <t>=AVERAGE(I3373:J3373)</t>
  </si>
  <si>
    <t>=IF(K3374=0,"hide","")</t>
  </si>
  <si>
    <t>=D3373</t>
  </si>
  <si>
    <t>=NL("sum","Production Order","Quantity","Source No.",$D3374,"Equipment Code",$L3374,"due date",F$8)/-12</t>
  </si>
  <si>
    <t>=NL("sum","Production Order","Quantity","Source No.",$D3374,"Equipment Code",$L3374,"due date",G$8)/-12</t>
  </si>
  <si>
    <t>=NL("sum","Production Order","Quantity","Source No.",$D3374,"Equipment Code",$L3374,"due date",H$8)/-12</t>
  </si>
  <si>
    <t>=NL("sum","Production Order","Quantity","Source No.",$D3374,"Equipment Code",$L3374,"due date",I$8)/-12</t>
  </si>
  <si>
    <t>=NL("sum","Production Order","Quantity","Source No.",$D3374,"Equipment Code",$L3374,"due date",J$8)/$J$7</t>
  </si>
  <si>
    <t>=AVERAGE(I3374:J3374)</t>
  </si>
  <si>
    <t>=IF(K3375=0,"hide","")</t>
  </si>
  <si>
    <t>=D3374</t>
  </si>
  <si>
    <t>=NL("sum","Production Order","Quantity","Source No.",$D3375,"Equipment Code",$L3375,"due date",F$8)/-12</t>
  </si>
  <si>
    <t>=NL("sum","Production Order","Quantity","Source No.",$D3375,"Equipment Code",$L3375,"due date",G$8)/-12</t>
  </si>
  <si>
    <t>=NL("sum","Production Order","Quantity","Source No.",$D3375,"Equipment Code",$L3375,"due date",H$8)/-12</t>
  </si>
  <si>
    <t>=NL("sum","Production Order","Quantity","Source No.",$D3375,"Equipment Code",$L3375,"due date",I$8)/-12</t>
  </si>
  <si>
    <t>=NL("sum","Production Order","Quantity","Source No.",$D3375,"Equipment Code",$L3375,"due date",J$8)/$J$7</t>
  </si>
  <si>
    <t>=AVERAGE(I3375:J3375)</t>
  </si>
  <si>
    <t>=B3372</t>
  </si>
  <si>
    <t>=B3376</t>
  </si>
  <si>
    <t>=SUM(F3372:F3376)</t>
  </si>
  <si>
    <t>=SUM(G3372:G3376)</t>
  </si>
  <si>
    <t>=SUM(H3372:H3376)</t>
  </si>
  <si>
    <t>=SUM(I3372:I3376)</t>
  </si>
  <si>
    <t>=SUM(J3372:J3376)</t>
  </si>
  <si>
    <t>=IF(K3378=0,"hide","")</t>
  </si>
  <si>
    <t>="46303"</t>
  </si>
  <si>
    <t>=NL("rows","Production BOM Version","Version Code","Production BOM No.",D3378,"status","certified")</t>
  </si>
  <si>
    <t>=NL("sum","Item Ledger Entry","Quantity","Item No.",$D3378,"Entry Type","Sale|Consumption","posting date","01/01/19..12/31/19")/-12</t>
  </si>
  <si>
    <t>=NL("sum","Item Ledger Entry","Quantity","Item No.",$D3378,"Entry Type","Sale|Consumption","posting date","01/01/20..12/31/20")/-12</t>
  </si>
  <si>
    <t>=NL("sum","Item Ledger Entry","Quantity","Item No.",$D3378,"Entry Type","Sale|Consumption","posting date","01/01/21..12/31/21")/-12</t>
  </si>
  <si>
    <t>=NL("sum","Item Ledger Entry","Quantity","Item No.",$D3378,"Entry Type","Sale|Consumption","posting date","01/01/22..12/31/22")/-12</t>
  </si>
  <si>
    <t>=NL("sum","Item Ledger Entry","Quantity","Item No.",$D3378,"Entry Type","Sale|Consumption","posting date","01/01/23..12/31/23")/$J$7</t>
  </si>
  <si>
    <t>=AVERAGE(I3378:J3378)</t>
  </si>
  <si>
    <t>=NL(1,"item",L$9,"no.",D3378)</t>
  </si>
  <si>
    <t>=NL(1,"item",M$9,"no.",$D3378)</t>
  </si>
  <si>
    <t>=NL(1,"item","Units Per Parcel","no.",$D3378)</t>
  </si>
  <si>
    <t>=NL(1,"Prod. BOM Equipment","Fixed Prod. Time (Hours)","Production BOM No.",$D3378,"version code",$E3378,"Resource No.",O$9)</t>
  </si>
  <si>
    <t>=1/O3378</t>
  </si>
  <si>
    <t>=IF(NL(1,"Prod. BOM Equipment","Variable Prod. Time (Hours)","Production BOM No.",$D3378,"version code",$E3378,"Resource No.",$O$9)="",1,NL(1,"Prod. BOM Equipment","Variable Prod. Time (Hours)","Production BOM No.",$D3378,"version code",$E3378,"Resource No.",$O$9))</t>
  </si>
  <si>
    <t>=1/Q3378</t>
  </si>
  <si>
    <t>=R3378*N3378</t>
  </si>
  <si>
    <t>=IF(K3379=0,"hide","")</t>
  </si>
  <si>
    <t>=D3378</t>
  </si>
  <si>
    <t>=NL("sum","Production Order","Quantity","Source No.",$D3379,"Equipment Code",$L3379,"due date",F$8)/-12</t>
  </si>
  <si>
    <t>=NL("sum","Production Order","Quantity","Source No.",$D3379,"Equipment Code",$L3379,"due date",G$8)/-12</t>
  </si>
  <si>
    <t>=NL("sum","Production Order","Quantity","Source No.",$D3379,"Equipment Code",$L3379,"due date",H$8)/-12</t>
  </si>
  <si>
    <t>=NL("sum","Production Order","Quantity","Source No.",$D3379,"Equipment Code",$L3379,"due date",I$8)/-12</t>
  </si>
  <si>
    <t>=NL("sum","Production Order","Quantity","Source No.",$D3379,"Equipment Code",$L3379,"due date",J$8)/$J$7</t>
  </si>
  <si>
    <t>=AVERAGE(I3379:J3379)</t>
  </si>
  <si>
    <t>=IF(K3380=0,"hide","")</t>
  </si>
  <si>
    <t>=D3379</t>
  </si>
  <si>
    <t>=NL("sum","Production Order","Quantity","Source No.",$D3380,"Equipment Code",$L3380,"due date",F$8)/-12</t>
  </si>
  <si>
    <t>=NL("sum","Production Order","Quantity","Source No.",$D3380,"Equipment Code",$L3380,"due date",G$8)/-12</t>
  </si>
  <si>
    <t>=NL("sum","Production Order","Quantity","Source No.",$D3380,"Equipment Code",$L3380,"due date",H$8)/-12</t>
  </si>
  <si>
    <t>=NL("sum","Production Order","Quantity","Source No.",$D3380,"Equipment Code",$L3380,"due date",I$8)/-12</t>
  </si>
  <si>
    <t>=NL("sum","Production Order","Quantity","Source No.",$D3380,"Equipment Code",$L3380,"due date",J$8)/$J$7</t>
  </si>
  <si>
    <t>=AVERAGE(I3380:J3380)</t>
  </si>
  <si>
    <t>=IF(K3381=0,"hide","")</t>
  </si>
  <si>
    <t>=D3380</t>
  </si>
  <si>
    <t>=NL("sum","Production Order","Quantity","Source No.",$D3381,"Equipment Code",$L3381,"due date",F$8)/-12</t>
  </si>
  <si>
    <t>=NL("sum","Production Order","Quantity","Source No.",$D3381,"Equipment Code",$L3381,"due date",G$8)/-12</t>
  </si>
  <si>
    <t>=NL("sum","Production Order","Quantity","Source No.",$D3381,"Equipment Code",$L3381,"due date",H$8)/-12</t>
  </si>
  <si>
    <t>=NL("sum","Production Order","Quantity","Source No.",$D3381,"Equipment Code",$L3381,"due date",I$8)/-12</t>
  </si>
  <si>
    <t>=NL("sum","Production Order","Quantity","Source No.",$D3381,"Equipment Code",$L3381,"due date",J$8)/$J$7</t>
  </si>
  <si>
    <t>=AVERAGE(I3381:J3381)</t>
  </si>
  <si>
    <t>=IF(K3382=0,"hide","")</t>
  </si>
  <si>
    <t>=D3381</t>
  </si>
  <si>
    <t>=NL("sum","Production Order","Quantity","Source No.",$D3382,"Equipment Code",$L3382,"due date",F$8)/-12</t>
  </si>
  <si>
    <t>=NL("sum","Production Order","Quantity","Source No.",$D3382,"Equipment Code",$L3382,"due date",G$8)/-12</t>
  </si>
  <si>
    <t>=NL("sum","Production Order","Quantity","Source No.",$D3382,"Equipment Code",$L3382,"due date",H$8)/-12</t>
  </si>
  <si>
    <t>=NL("sum","Production Order","Quantity","Source No.",$D3382,"Equipment Code",$L3382,"due date",I$8)/-12</t>
  </si>
  <si>
    <t>=NL("sum","Production Order","Quantity","Source No.",$D3382,"Equipment Code",$L3382,"due date",J$8)/$J$7</t>
  </si>
  <si>
    <t>=AVERAGE(I3382:J3382)</t>
  </si>
  <si>
    <t>=B3379</t>
  </si>
  <si>
    <t>=B3383</t>
  </si>
  <si>
    <t>=SUM(F3379:F3383)</t>
  </si>
  <si>
    <t>=SUM(G3379:G3383)</t>
  </si>
  <si>
    <t>=SUM(H3379:H3383)</t>
  </si>
  <si>
    <t>=SUM(I3379:I3383)</t>
  </si>
  <si>
    <t>=SUM(J3379:J3383)</t>
  </si>
  <si>
    <t>=IF(K3385=0,"hide","")</t>
  </si>
  <si>
    <t>="46305"</t>
  </si>
  <si>
    <t>=NL("rows","Production BOM Version","Version Code","Production BOM No.",D3385,"status","certified")</t>
  </si>
  <si>
    <t>=NL("sum","Item Ledger Entry","Quantity","Item No.",$D3385,"Entry Type","Sale|Consumption","posting date","01/01/19..12/31/19")/-12</t>
  </si>
  <si>
    <t>=NL("sum","Item Ledger Entry","Quantity","Item No.",$D3385,"Entry Type","Sale|Consumption","posting date","01/01/20..12/31/20")/-12</t>
  </si>
  <si>
    <t>=NL("sum","Item Ledger Entry","Quantity","Item No.",$D3385,"Entry Type","Sale|Consumption","posting date","01/01/21..12/31/21")/-12</t>
  </si>
  <si>
    <t>=NL("sum","Item Ledger Entry","Quantity","Item No.",$D3385,"Entry Type","Sale|Consumption","posting date","01/01/22..12/31/22")/-12</t>
  </si>
  <si>
    <t>=NL("sum","Item Ledger Entry","Quantity","Item No.",$D3385,"Entry Type","Sale|Consumption","posting date","01/01/23..12/31/23")/$J$7</t>
  </si>
  <si>
    <t>=AVERAGE(I3385:J3385)</t>
  </si>
  <si>
    <t>=NL(1,"item",L$9,"no.",D3385)</t>
  </si>
  <si>
    <t>=NL(1,"item",M$9,"no.",$D3385)</t>
  </si>
  <si>
    <t>=NL(1,"item","Units Per Parcel","no.",$D3385)</t>
  </si>
  <si>
    <t>=NL(1,"Prod. BOM Equipment","Fixed Prod. Time (Hours)","Production BOM No.",$D3385,"version code",$E3385,"Resource No.",O$9)</t>
  </si>
  <si>
    <t>=1/O3385</t>
  </si>
  <si>
    <t>=IF(NL(1,"Prod. BOM Equipment","Variable Prod. Time (Hours)","Production BOM No.",$D3385,"version code",$E3385,"Resource No.",$O$9)="",1,NL(1,"Prod. BOM Equipment","Variable Prod. Time (Hours)","Production BOM No.",$D3385,"version code",$E3385,"Resource No.",$O$9))</t>
  </si>
  <si>
    <t>=1/Q3385</t>
  </si>
  <si>
    <t>=R3385*N3385</t>
  </si>
  <si>
    <t>=IF(K3386=0,"hide","")</t>
  </si>
  <si>
    <t>=D3385</t>
  </si>
  <si>
    <t>=NL("sum","Production Order","Quantity","Source No.",$D3386,"Equipment Code",$L3386,"due date",F$8)/-12</t>
  </si>
  <si>
    <t>=NL("sum","Production Order","Quantity","Source No.",$D3386,"Equipment Code",$L3386,"due date",G$8)/-12</t>
  </si>
  <si>
    <t>=NL("sum","Production Order","Quantity","Source No.",$D3386,"Equipment Code",$L3386,"due date",H$8)/-12</t>
  </si>
  <si>
    <t>=NL("sum","Production Order","Quantity","Source No.",$D3386,"Equipment Code",$L3386,"due date",I$8)/-12</t>
  </si>
  <si>
    <t>=NL("sum","Production Order","Quantity","Source No.",$D3386,"Equipment Code",$L3386,"due date",J$8)/$J$7</t>
  </si>
  <si>
    <t>=AVERAGE(I3386:J3386)</t>
  </si>
  <si>
    <t>=IF(K3387=0,"hide","")</t>
  </si>
  <si>
    <t>=D3386</t>
  </si>
  <si>
    <t>=NL("sum","Production Order","Quantity","Source No.",$D3387,"Equipment Code",$L3387,"due date",F$8)/-12</t>
  </si>
  <si>
    <t>=NL("sum","Production Order","Quantity","Source No.",$D3387,"Equipment Code",$L3387,"due date",G$8)/-12</t>
  </si>
  <si>
    <t>=NL("sum","Production Order","Quantity","Source No.",$D3387,"Equipment Code",$L3387,"due date",H$8)/-12</t>
  </si>
  <si>
    <t>=NL("sum","Production Order","Quantity","Source No.",$D3387,"Equipment Code",$L3387,"due date",I$8)/-12</t>
  </si>
  <si>
    <t>=NL("sum","Production Order","Quantity","Source No.",$D3387,"Equipment Code",$L3387,"due date",J$8)/$J$7</t>
  </si>
  <si>
    <t>=AVERAGE(I3387:J3387)</t>
  </si>
  <si>
    <t>=IF(K3388=0,"hide","")</t>
  </si>
  <si>
    <t>=D3387</t>
  </si>
  <si>
    <t>=NL("sum","Production Order","Quantity","Source No.",$D3388,"Equipment Code",$L3388,"due date",F$8)/-12</t>
  </si>
  <si>
    <t>=NL("sum","Production Order","Quantity","Source No.",$D3388,"Equipment Code",$L3388,"due date",G$8)/-12</t>
  </si>
  <si>
    <t>=NL("sum","Production Order","Quantity","Source No.",$D3388,"Equipment Code",$L3388,"due date",H$8)/-12</t>
  </si>
  <si>
    <t>=NL("sum","Production Order","Quantity","Source No.",$D3388,"Equipment Code",$L3388,"due date",I$8)/-12</t>
  </si>
  <si>
    <t>=NL("sum","Production Order","Quantity","Source No.",$D3388,"Equipment Code",$L3388,"due date",J$8)/$J$7</t>
  </si>
  <si>
    <t>=AVERAGE(I3388:J3388)</t>
  </si>
  <si>
    <t>=IF(K3389=0,"hide","")</t>
  </si>
  <si>
    <t>=D3388</t>
  </si>
  <si>
    <t>=NL("sum","Production Order","Quantity","Source No.",$D3389,"Equipment Code",$L3389,"due date",F$8)/-12</t>
  </si>
  <si>
    <t>=NL("sum","Production Order","Quantity","Source No.",$D3389,"Equipment Code",$L3389,"due date",G$8)/-12</t>
  </si>
  <si>
    <t>=NL("sum","Production Order","Quantity","Source No.",$D3389,"Equipment Code",$L3389,"due date",H$8)/-12</t>
  </si>
  <si>
    <t>=NL("sum","Production Order","Quantity","Source No.",$D3389,"Equipment Code",$L3389,"due date",I$8)/-12</t>
  </si>
  <si>
    <t>=NL("sum","Production Order","Quantity","Source No.",$D3389,"Equipment Code",$L3389,"due date",J$8)/$J$7</t>
  </si>
  <si>
    <t>=AVERAGE(I3389:J3389)</t>
  </si>
  <si>
    <t>=B3386</t>
  </si>
  <si>
    <t>=B3390</t>
  </si>
  <si>
    <t>=SUM(F3386:F3390)</t>
  </si>
  <si>
    <t>=SUM(G3386:G3390)</t>
  </si>
  <si>
    <t>=SUM(H3386:H3390)</t>
  </si>
  <si>
    <t>=SUM(I3386:I3390)</t>
  </si>
  <si>
    <t>=SUM(J3386:J3390)</t>
  </si>
  <si>
    <t>=IF(K3392=0,"hide","")</t>
  </si>
  <si>
    <t>="46306"</t>
  </si>
  <si>
    <t>=NL("rows","Production BOM Version","Version Code","Production BOM No.",D3392,"status","certified")</t>
  </si>
  <si>
    <t>=NL("sum","Item Ledger Entry","Quantity","Item No.",$D3392,"Entry Type","Sale|Consumption","posting date","01/01/19..12/31/19")/-12</t>
  </si>
  <si>
    <t>=NL("sum","Item Ledger Entry","Quantity","Item No.",$D3392,"Entry Type","Sale|Consumption","posting date","01/01/20..12/31/20")/-12</t>
  </si>
  <si>
    <t>=NL("sum","Item Ledger Entry","Quantity","Item No.",$D3392,"Entry Type","Sale|Consumption","posting date","01/01/21..12/31/21")/-12</t>
  </si>
  <si>
    <t>=NL("sum","Item Ledger Entry","Quantity","Item No.",$D3392,"Entry Type","Sale|Consumption","posting date","01/01/22..12/31/22")/-12</t>
  </si>
  <si>
    <t>=NL("sum","Item Ledger Entry","Quantity","Item No.",$D3392,"Entry Type","Sale|Consumption","posting date","01/01/23..12/31/23")/$J$7</t>
  </si>
  <si>
    <t>=AVERAGE(I3392:J3392)</t>
  </si>
  <si>
    <t>=NL(1,"item",L$9,"no.",D3392)</t>
  </si>
  <si>
    <t>=NL(1,"item",M$9,"no.",$D3392)</t>
  </si>
  <si>
    <t>=NL(1,"item","Units Per Parcel","no.",$D3392)</t>
  </si>
  <si>
    <t>=NL(1,"Prod. BOM Equipment","Fixed Prod. Time (Hours)","Production BOM No.",$D3392,"version code",$E3392,"Resource No.",O$9)</t>
  </si>
  <si>
    <t>=1/O3392</t>
  </si>
  <si>
    <t>=IF(NL(1,"Prod. BOM Equipment","Variable Prod. Time (Hours)","Production BOM No.",$D3392,"version code",$E3392,"Resource No.",$O$9)="",1,NL(1,"Prod. BOM Equipment","Variable Prod. Time (Hours)","Production BOM No.",$D3392,"version code",$E3392,"Resource No.",$O$9))</t>
  </si>
  <si>
    <t>=1/Q3392</t>
  </si>
  <si>
    <t>=R3392*N3392</t>
  </si>
  <si>
    <t>=IF(K3393=0,"hide","")</t>
  </si>
  <si>
    <t>=D3392</t>
  </si>
  <si>
    <t>=NL("sum","Production Order","Quantity","Source No.",$D3393,"Equipment Code",$L3393,"due date",F$8)/-12</t>
  </si>
  <si>
    <t>=NL("sum","Production Order","Quantity","Source No.",$D3393,"Equipment Code",$L3393,"due date",G$8)/-12</t>
  </si>
  <si>
    <t>=NL("sum","Production Order","Quantity","Source No.",$D3393,"Equipment Code",$L3393,"due date",H$8)/-12</t>
  </si>
  <si>
    <t>=NL("sum","Production Order","Quantity","Source No.",$D3393,"Equipment Code",$L3393,"due date",I$8)/-12</t>
  </si>
  <si>
    <t>=NL("sum","Production Order","Quantity","Source No.",$D3393,"Equipment Code",$L3393,"due date",J$8)/$J$7</t>
  </si>
  <si>
    <t>=AVERAGE(I3393:J3393)</t>
  </si>
  <si>
    <t>=IF(K3394=0,"hide","")</t>
  </si>
  <si>
    <t>=D3393</t>
  </si>
  <si>
    <t>=NL("sum","Production Order","Quantity","Source No.",$D3394,"Equipment Code",$L3394,"due date",F$8)/-12</t>
  </si>
  <si>
    <t>=NL("sum","Production Order","Quantity","Source No.",$D3394,"Equipment Code",$L3394,"due date",G$8)/-12</t>
  </si>
  <si>
    <t>=NL("sum","Production Order","Quantity","Source No.",$D3394,"Equipment Code",$L3394,"due date",H$8)/-12</t>
  </si>
  <si>
    <t>=NL("sum","Production Order","Quantity","Source No.",$D3394,"Equipment Code",$L3394,"due date",I$8)/-12</t>
  </si>
  <si>
    <t>=NL("sum","Production Order","Quantity","Source No.",$D3394,"Equipment Code",$L3394,"due date",J$8)/$J$7</t>
  </si>
  <si>
    <t>=AVERAGE(I3394:J3394)</t>
  </si>
  <si>
    <t>=IF(K3395=0,"hide","")</t>
  </si>
  <si>
    <t>=D3394</t>
  </si>
  <si>
    <t>=NL("sum","Production Order","Quantity","Source No.",$D3395,"Equipment Code",$L3395,"due date",F$8)/-12</t>
  </si>
  <si>
    <t>=NL("sum","Production Order","Quantity","Source No.",$D3395,"Equipment Code",$L3395,"due date",G$8)/-12</t>
  </si>
  <si>
    <t>=NL("sum","Production Order","Quantity","Source No.",$D3395,"Equipment Code",$L3395,"due date",H$8)/-12</t>
  </si>
  <si>
    <t>=NL("sum","Production Order","Quantity","Source No.",$D3395,"Equipment Code",$L3395,"due date",I$8)/-12</t>
  </si>
  <si>
    <t>=NL("sum","Production Order","Quantity","Source No.",$D3395,"Equipment Code",$L3395,"due date",J$8)/$J$7</t>
  </si>
  <si>
    <t>=AVERAGE(I3395:J3395)</t>
  </si>
  <si>
    <t>=IF(K3396=0,"hide","")</t>
  </si>
  <si>
    <t>=D3395</t>
  </si>
  <si>
    <t>=NL("sum","Production Order","Quantity","Source No.",$D3396,"Equipment Code",$L3396,"due date",F$8)/-12</t>
  </si>
  <si>
    <t>=NL("sum","Production Order","Quantity","Source No.",$D3396,"Equipment Code",$L3396,"due date",G$8)/-12</t>
  </si>
  <si>
    <t>=NL("sum","Production Order","Quantity","Source No.",$D3396,"Equipment Code",$L3396,"due date",H$8)/-12</t>
  </si>
  <si>
    <t>=NL("sum","Production Order","Quantity","Source No.",$D3396,"Equipment Code",$L3396,"due date",I$8)/-12</t>
  </si>
  <si>
    <t>=NL("sum","Production Order","Quantity","Source No.",$D3396,"Equipment Code",$L3396,"due date",J$8)/$J$7</t>
  </si>
  <si>
    <t>=AVERAGE(I3396:J3396)</t>
  </si>
  <si>
    <t>=B3393</t>
  </si>
  <si>
    <t>=B3397</t>
  </si>
  <si>
    <t>=SUM(F3393:F3397)</t>
  </si>
  <si>
    <t>=SUM(G3393:G3397)</t>
  </si>
  <si>
    <t>=SUM(H3393:H3397)</t>
  </si>
  <si>
    <t>=SUM(I3393:I3397)</t>
  </si>
  <si>
    <t>=SUM(J3393:J3397)</t>
  </si>
  <si>
    <t>=IF(K3399=0,"hide","")</t>
  </si>
  <si>
    <t>="46307"</t>
  </si>
  <si>
    <t>=NL("rows","Production BOM Version","Version Code","Production BOM No.",D3399,"status","certified")</t>
  </si>
  <si>
    <t>=NL("sum","Item Ledger Entry","Quantity","Item No.",$D3399,"Entry Type","Sale|Consumption","posting date","01/01/19..12/31/19")/-12</t>
  </si>
  <si>
    <t>=NL("sum","Item Ledger Entry","Quantity","Item No.",$D3399,"Entry Type","Sale|Consumption","posting date","01/01/20..12/31/20")/-12</t>
  </si>
  <si>
    <t>=NL("sum","Item Ledger Entry","Quantity","Item No.",$D3399,"Entry Type","Sale|Consumption","posting date","01/01/21..12/31/21")/-12</t>
  </si>
  <si>
    <t>=NL("sum","Item Ledger Entry","Quantity","Item No.",$D3399,"Entry Type","Sale|Consumption","posting date","01/01/22..12/31/22")/-12</t>
  </si>
  <si>
    <t>=NL("sum","Item Ledger Entry","Quantity","Item No.",$D3399,"Entry Type","Sale|Consumption","posting date","01/01/23..12/31/23")/$J$7</t>
  </si>
  <si>
    <t>=AVERAGE(I3399:J3399)</t>
  </si>
  <si>
    <t>=NL(1,"item",L$9,"no.",D3399)</t>
  </si>
  <si>
    <t>=NL(1,"item",M$9,"no.",$D3399)</t>
  </si>
  <si>
    <t>=NL(1,"item","Units Per Parcel","no.",$D3399)</t>
  </si>
  <si>
    <t>=NL(1,"Prod. BOM Equipment","Fixed Prod. Time (Hours)","Production BOM No.",$D3399,"version code",$E3399,"Resource No.",O$9)</t>
  </si>
  <si>
    <t>=1/O3399</t>
  </si>
  <si>
    <t>=IF(NL(1,"Prod. BOM Equipment","Variable Prod. Time (Hours)","Production BOM No.",$D3399,"version code",$E3399,"Resource No.",$O$9)="",1,NL(1,"Prod. BOM Equipment","Variable Prod. Time (Hours)","Production BOM No.",$D3399,"version code",$E3399,"Resource No.",$O$9))</t>
  </si>
  <si>
    <t>=1/Q3399</t>
  </si>
  <si>
    <t>=R3399*N3399</t>
  </si>
  <si>
    <t>=IF(K3400=0,"hide","")</t>
  </si>
  <si>
    <t>=D3399</t>
  </si>
  <si>
    <t>=NL("sum","Production Order","Quantity","Source No.",$D3400,"Equipment Code",$L3400,"due date",F$8)/-12</t>
  </si>
  <si>
    <t>=NL("sum","Production Order","Quantity","Source No.",$D3400,"Equipment Code",$L3400,"due date",G$8)/-12</t>
  </si>
  <si>
    <t>=NL("sum","Production Order","Quantity","Source No.",$D3400,"Equipment Code",$L3400,"due date",H$8)/-12</t>
  </si>
  <si>
    <t>=NL("sum","Production Order","Quantity","Source No.",$D3400,"Equipment Code",$L3400,"due date",I$8)/-12</t>
  </si>
  <si>
    <t>=NL("sum","Production Order","Quantity","Source No.",$D3400,"Equipment Code",$L3400,"due date",J$8)/$J$7</t>
  </si>
  <si>
    <t>=AVERAGE(I3400:J3400)</t>
  </si>
  <si>
    <t>=IF(K3401=0,"hide","")</t>
  </si>
  <si>
    <t>=D3400</t>
  </si>
  <si>
    <t>=NL("sum","Production Order","Quantity","Source No.",$D3401,"Equipment Code",$L3401,"due date",F$8)/-12</t>
  </si>
  <si>
    <t>=NL("sum","Production Order","Quantity","Source No.",$D3401,"Equipment Code",$L3401,"due date",G$8)/-12</t>
  </si>
  <si>
    <t>=NL("sum","Production Order","Quantity","Source No.",$D3401,"Equipment Code",$L3401,"due date",H$8)/-12</t>
  </si>
  <si>
    <t>=NL("sum","Production Order","Quantity","Source No.",$D3401,"Equipment Code",$L3401,"due date",I$8)/-12</t>
  </si>
  <si>
    <t>=NL("sum","Production Order","Quantity","Source No.",$D3401,"Equipment Code",$L3401,"due date",J$8)/$J$7</t>
  </si>
  <si>
    <t>=AVERAGE(I3401:J3401)</t>
  </si>
  <si>
    <t>=IF(K3402=0,"hide","")</t>
  </si>
  <si>
    <t>=D3401</t>
  </si>
  <si>
    <t>=NL("sum","Production Order","Quantity","Source No.",$D3402,"Equipment Code",$L3402,"due date",F$8)/-12</t>
  </si>
  <si>
    <t>=NL("sum","Production Order","Quantity","Source No.",$D3402,"Equipment Code",$L3402,"due date",G$8)/-12</t>
  </si>
  <si>
    <t>=NL("sum","Production Order","Quantity","Source No.",$D3402,"Equipment Code",$L3402,"due date",H$8)/-12</t>
  </si>
  <si>
    <t>=NL("sum","Production Order","Quantity","Source No.",$D3402,"Equipment Code",$L3402,"due date",I$8)/-12</t>
  </si>
  <si>
    <t>=NL("sum","Production Order","Quantity","Source No.",$D3402,"Equipment Code",$L3402,"due date",J$8)/$J$7</t>
  </si>
  <si>
    <t>=AVERAGE(I3402:J3402)</t>
  </si>
  <si>
    <t>=IF(K3403=0,"hide","")</t>
  </si>
  <si>
    <t>=D3402</t>
  </si>
  <si>
    <t>=NL("sum","Production Order","Quantity","Source No.",$D3403,"Equipment Code",$L3403,"due date",F$8)/-12</t>
  </si>
  <si>
    <t>=NL("sum","Production Order","Quantity","Source No.",$D3403,"Equipment Code",$L3403,"due date",G$8)/-12</t>
  </si>
  <si>
    <t>=NL("sum","Production Order","Quantity","Source No.",$D3403,"Equipment Code",$L3403,"due date",H$8)/-12</t>
  </si>
  <si>
    <t>=NL("sum","Production Order","Quantity","Source No.",$D3403,"Equipment Code",$L3403,"due date",I$8)/-12</t>
  </si>
  <si>
    <t>=NL("sum","Production Order","Quantity","Source No.",$D3403,"Equipment Code",$L3403,"due date",J$8)/$J$7</t>
  </si>
  <si>
    <t>=AVERAGE(I3403:J3403)</t>
  </si>
  <si>
    <t>=B3400</t>
  </si>
  <si>
    <t>=B3404</t>
  </si>
  <si>
    <t>=SUM(F3400:F3404)</t>
  </si>
  <si>
    <t>=SUM(G3400:G3404)</t>
  </si>
  <si>
    <t>=SUM(H3400:H3404)</t>
  </si>
  <si>
    <t>=SUM(I3400:I3404)</t>
  </si>
  <si>
    <t>=SUM(J3400:J3404)</t>
  </si>
  <si>
    <t>=IF(K3406=0,"hide","")</t>
  </si>
  <si>
    <t>="46309"</t>
  </si>
  <si>
    <t>=NL("rows","Production BOM Version","Version Code","Production BOM No.",D3406,"status","certified")</t>
  </si>
  <si>
    <t>=NL("sum","Item Ledger Entry","Quantity","Item No.",$D3406,"Entry Type","Sale|Consumption","posting date","01/01/19..12/31/19")/-12</t>
  </si>
  <si>
    <t>=NL("sum","Item Ledger Entry","Quantity","Item No.",$D3406,"Entry Type","Sale|Consumption","posting date","01/01/20..12/31/20")/-12</t>
  </si>
  <si>
    <t>=NL("sum","Item Ledger Entry","Quantity","Item No.",$D3406,"Entry Type","Sale|Consumption","posting date","01/01/21..12/31/21")/-12</t>
  </si>
  <si>
    <t>=NL("sum","Item Ledger Entry","Quantity","Item No.",$D3406,"Entry Type","Sale|Consumption","posting date","01/01/22..12/31/22")/-12</t>
  </si>
  <si>
    <t>=NL("sum","Item Ledger Entry","Quantity","Item No.",$D3406,"Entry Type","Sale|Consumption","posting date","01/01/23..12/31/23")/$J$7</t>
  </si>
  <si>
    <t>=AVERAGE(I3406:J3406)</t>
  </si>
  <si>
    <t>=NL(1,"item",L$9,"no.",D3406)</t>
  </si>
  <si>
    <t>=NL(1,"item",M$9,"no.",$D3406)</t>
  </si>
  <si>
    <t>=NL(1,"item","Units Per Parcel","no.",$D3406)</t>
  </si>
  <si>
    <t>=NL(1,"Prod. BOM Equipment","Fixed Prod. Time (Hours)","Production BOM No.",$D3406,"version code",$E3406,"Resource No.",O$9)</t>
  </si>
  <si>
    <t>=1/O3406</t>
  </si>
  <si>
    <t>=IF(NL(1,"Prod. BOM Equipment","Variable Prod. Time (Hours)","Production BOM No.",$D3406,"version code",$E3406,"Resource No.",$O$9)="",1,NL(1,"Prod. BOM Equipment","Variable Prod. Time (Hours)","Production BOM No.",$D3406,"version code",$E3406,"Resource No.",$O$9))</t>
  </si>
  <si>
    <t>=1/Q3406</t>
  </si>
  <si>
    <t>=R3406*N3406</t>
  </si>
  <si>
    <t>=IF(K3407=0,"hide","")</t>
  </si>
  <si>
    <t>=D3406</t>
  </si>
  <si>
    <t>=NL("sum","Production Order","Quantity","Source No.",$D3407,"Equipment Code",$L3407,"due date",F$8)/-12</t>
  </si>
  <si>
    <t>=NL("sum","Production Order","Quantity","Source No.",$D3407,"Equipment Code",$L3407,"due date",G$8)/-12</t>
  </si>
  <si>
    <t>=NL("sum","Production Order","Quantity","Source No.",$D3407,"Equipment Code",$L3407,"due date",H$8)/-12</t>
  </si>
  <si>
    <t>=NL("sum","Production Order","Quantity","Source No.",$D3407,"Equipment Code",$L3407,"due date",I$8)/-12</t>
  </si>
  <si>
    <t>=NL("sum","Production Order","Quantity","Source No.",$D3407,"Equipment Code",$L3407,"due date",J$8)/$J$7</t>
  </si>
  <si>
    <t>=AVERAGE(I3407:J3407)</t>
  </si>
  <si>
    <t>=IF(K3408=0,"hide","")</t>
  </si>
  <si>
    <t>=D3407</t>
  </si>
  <si>
    <t>=NL("sum","Production Order","Quantity","Source No.",$D3408,"Equipment Code",$L3408,"due date",F$8)/-12</t>
  </si>
  <si>
    <t>=NL("sum","Production Order","Quantity","Source No.",$D3408,"Equipment Code",$L3408,"due date",G$8)/-12</t>
  </si>
  <si>
    <t>=NL("sum","Production Order","Quantity","Source No.",$D3408,"Equipment Code",$L3408,"due date",H$8)/-12</t>
  </si>
  <si>
    <t>=NL("sum","Production Order","Quantity","Source No.",$D3408,"Equipment Code",$L3408,"due date",I$8)/-12</t>
  </si>
  <si>
    <t>=NL("sum","Production Order","Quantity","Source No.",$D3408,"Equipment Code",$L3408,"due date",J$8)/$J$7</t>
  </si>
  <si>
    <t>=AVERAGE(I3408:J3408)</t>
  </si>
  <si>
    <t>=IF(K3409=0,"hide","")</t>
  </si>
  <si>
    <t>=D3408</t>
  </si>
  <si>
    <t>=NL("sum","Production Order","Quantity","Source No.",$D3409,"Equipment Code",$L3409,"due date",F$8)/-12</t>
  </si>
  <si>
    <t>=NL("sum","Production Order","Quantity","Source No.",$D3409,"Equipment Code",$L3409,"due date",G$8)/-12</t>
  </si>
  <si>
    <t>=NL("sum","Production Order","Quantity","Source No.",$D3409,"Equipment Code",$L3409,"due date",H$8)/-12</t>
  </si>
  <si>
    <t>=NL("sum","Production Order","Quantity","Source No.",$D3409,"Equipment Code",$L3409,"due date",I$8)/-12</t>
  </si>
  <si>
    <t>=NL("sum","Production Order","Quantity","Source No.",$D3409,"Equipment Code",$L3409,"due date",J$8)/$J$7</t>
  </si>
  <si>
    <t>=AVERAGE(I3409:J3409)</t>
  </si>
  <si>
    <t>=IF(K3410=0,"hide","")</t>
  </si>
  <si>
    <t>=D3409</t>
  </si>
  <si>
    <t>=NL("sum","Production Order","Quantity","Source No.",$D3410,"Equipment Code",$L3410,"due date",F$8)/-12</t>
  </si>
  <si>
    <t>=NL("sum","Production Order","Quantity","Source No.",$D3410,"Equipment Code",$L3410,"due date",G$8)/-12</t>
  </si>
  <si>
    <t>=NL("sum","Production Order","Quantity","Source No.",$D3410,"Equipment Code",$L3410,"due date",H$8)/-12</t>
  </si>
  <si>
    <t>=NL("sum","Production Order","Quantity","Source No.",$D3410,"Equipment Code",$L3410,"due date",I$8)/-12</t>
  </si>
  <si>
    <t>=NL("sum","Production Order","Quantity","Source No.",$D3410,"Equipment Code",$L3410,"due date",J$8)/$J$7</t>
  </si>
  <si>
    <t>=AVERAGE(I3410:J3410)</t>
  </si>
  <si>
    <t>=B3407</t>
  </si>
  <si>
    <t>=B3411</t>
  </si>
  <si>
    <t>=SUM(F3407:F3411)</t>
  </si>
  <si>
    <t>=SUM(G3407:G3411)</t>
  </si>
  <si>
    <t>=SUM(H3407:H3411)</t>
  </si>
  <si>
    <t>=SUM(I3407:I3411)</t>
  </si>
  <si>
    <t>=SUM(J3407:J3411)</t>
  </si>
  <si>
    <t>=IF(K3413=0,"hide","")</t>
  </si>
  <si>
    <t>="46310"</t>
  </si>
  <si>
    <t>=NL("rows","Production BOM Version","Version Code","Production BOM No.",D3413,"status","certified")</t>
  </si>
  <si>
    <t>=NL("sum","Item Ledger Entry","Quantity","Item No.",$D3413,"Entry Type","Sale|Consumption","posting date","01/01/19..12/31/19")/-12</t>
  </si>
  <si>
    <t>=NL("sum","Item Ledger Entry","Quantity","Item No.",$D3413,"Entry Type","Sale|Consumption","posting date","01/01/20..12/31/20")/-12</t>
  </si>
  <si>
    <t>=NL("sum","Item Ledger Entry","Quantity","Item No.",$D3413,"Entry Type","Sale|Consumption","posting date","01/01/21..12/31/21")/-12</t>
  </si>
  <si>
    <t>=NL("sum","Item Ledger Entry","Quantity","Item No.",$D3413,"Entry Type","Sale|Consumption","posting date","01/01/22..12/31/22")/-12</t>
  </si>
  <si>
    <t>=NL("sum","Item Ledger Entry","Quantity","Item No.",$D3413,"Entry Type","Sale|Consumption","posting date","01/01/23..12/31/23")/$J$7</t>
  </si>
  <si>
    <t>=AVERAGE(I3413:J3413)</t>
  </si>
  <si>
    <t>=NL(1,"item",L$9,"no.",D3413)</t>
  </si>
  <si>
    <t>=NL(1,"item",M$9,"no.",$D3413)</t>
  </si>
  <si>
    <t>=NL(1,"item","Units Per Parcel","no.",$D3413)</t>
  </si>
  <si>
    <t>=NL(1,"Prod. BOM Equipment","Fixed Prod. Time (Hours)","Production BOM No.",$D3413,"version code",$E3413,"Resource No.",O$9)</t>
  </si>
  <si>
    <t>=1/O3413</t>
  </si>
  <si>
    <t>=IF(NL(1,"Prod. BOM Equipment","Variable Prod. Time (Hours)","Production BOM No.",$D3413,"version code",$E3413,"Resource No.",$O$9)="",1,NL(1,"Prod. BOM Equipment","Variable Prod. Time (Hours)","Production BOM No.",$D3413,"version code",$E3413,"Resource No.",$O$9))</t>
  </si>
  <si>
    <t>=1/Q3413</t>
  </si>
  <si>
    <t>=R3413*N3413</t>
  </si>
  <si>
    <t>=IF(K3414=0,"hide","")</t>
  </si>
  <si>
    <t>=D3413</t>
  </si>
  <si>
    <t>=NL("sum","Production Order","Quantity","Source No.",$D3414,"Equipment Code",$L3414,"due date",F$8)/-12</t>
  </si>
  <si>
    <t>=NL("sum","Production Order","Quantity","Source No.",$D3414,"Equipment Code",$L3414,"due date",G$8)/-12</t>
  </si>
  <si>
    <t>=NL("sum","Production Order","Quantity","Source No.",$D3414,"Equipment Code",$L3414,"due date",H$8)/-12</t>
  </si>
  <si>
    <t>=NL("sum","Production Order","Quantity","Source No.",$D3414,"Equipment Code",$L3414,"due date",I$8)/-12</t>
  </si>
  <si>
    <t>=NL("sum","Production Order","Quantity","Source No.",$D3414,"Equipment Code",$L3414,"due date",J$8)/$J$7</t>
  </si>
  <si>
    <t>=AVERAGE(I3414:J3414)</t>
  </si>
  <si>
    <t>=IF(K3415=0,"hide","")</t>
  </si>
  <si>
    <t>=D3414</t>
  </si>
  <si>
    <t>=NL("sum","Production Order","Quantity","Source No.",$D3415,"Equipment Code",$L3415,"due date",F$8)/-12</t>
  </si>
  <si>
    <t>=NL("sum","Production Order","Quantity","Source No.",$D3415,"Equipment Code",$L3415,"due date",G$8)/-12</t>
  </si>
  <si>
    <t>=NL("sum","Production Order","Quantity","Source No.",$D3415,"Equipment Code",$L3415,"due date",H$8)/-12</t>
  </si>
  <si>
    <t>=NL("sum","Production Order","Quantity","Source No.",$D3415,"Equipment Code",$L3415,"due date",I$8)/-12</t>
  </si>
  <si>
    <t>=NL("sum","Production Order","Quantity","Source No.",$D3415,"Equipment Code",$L3415,"due date",J$8)/$J$7</t>
  </si>
  <si>
    <t>=AVERAGE(I3415:J3415)</t>
  </si>
  <si>
    <t>=IF(K3416=0,"hide","")</t>
  </si>
  <si>
    <t>=D3415</t>
  </si>
  <si>
    <t>=NL("sum","Production Order","Quantity","Source No.",$D3416,"Equipment Code",$L3416,"due date",F$8)/-12</t>
  </si>
  <si>
    <t>=NL("sum","Production Order","Quantity","Source No.",$D3416,"Equipment Code",$L3416,"due date",G$8)/-12</t>
  </si>
  <si>
    <t>=NL("sum","Production Order","Quantity","Source No.",$D3416,"Equipment Code",$L3416,"due date",H$8)/-12</t>
  </si>
  <si>
    <t>=NL("sum","Production Order","Quantity","Source No.",$D3416,"Equipment Code",$L3416,"due date",I$8)/-12</t>
  </si>
  <si>
    <t>=NL("sum","Production Order","Quantity","Source No.",$D3416,"Equipment Code",$L3416,"due date",J$8)/$J$7</t>
  </si>
  <si>
    <t>=AVERAGE(I3416:J3416)</t>
  </si>
  <si>
    <t>=IF(K3417=0,"hide","")</t>
  </si>
  <si>
    <t>=D3416</t>
  </si>
  <si>
    <t>=NL("sum","Production Order","Quantity","Source No.",$D3417,"Equipment Code",$L3417,"due date",F$8)/-12</t>
  </si>
  <si>
    <t>=NL("sum","Production Order","Quantity","Source No.",$D3417,"Equipment Code",$L3417,"due date",G$8)/-12</t>
  </si>
  <si>
    <t>=NL("sum","Production Order","Quantity","Source No.",$D3417,"Equipment Code",$L3417,"due date",H$8)/-12</t>
  </si>
  <si>
    <t>=NL("sum","Production Order","Quantity","Source No.",$D3417,"Equipment Code",$L3417,"due date",I$8)/-12</t>
  </si>
  <si>
    <t>=NL("sum","Production Order","Quantity","Source No.",$D3417,"Equipment Code",$L3417,"due date",J$8)/$J$7</t>
  </si>
  <si>
    <t>=AVERAGE(I3417:J3417)</t>
  </si>
  <si>
    <t>=B3414</t>
  </si>
  <si>
    <t>=B3418</t>
  </si>
  <si>
    <t>=SUM(F3414:F3418)</t>
  </si>
  <si>
    <t>=SUM(G3414:G3418)</t>
  </si>
  <si>
    <t>=SUM(H3414:H3418)</t>
  </si>
  <si>
    <t>=SUM(I3414:I3418)</t>
  </si>
  <si>
    <t>=SUM(J3414:J3418)</t>
  </si>
  <si>
    <t>=IF(K3420=0,"hide","")</t>
  </si>
  <si>
    <t>="46322"</t>
  </si>
  <si>
    <t>=NL("rows","Production BOM Version","Version Code","Production BOM No.",D3420,"status","certified")</t>
  </si>
  <si>
    <t>=NL("sum","Item Ledger Entry","Quantity","Item No.",$D3420,"Entry Type","Sale|Consumption","posting date","01/01/19..12/31/19")/-12</t>
  </si>
  <si>
    <t>=NL("sum","Item Ledger Entry","Quantity","Item No.",$D3420,"Entry Type","Sale|Consumption","posting date","01/01/20..12/31/20")/-12</t>
  </si>
  <si>
    <t>=NL("sum","Item Ledger Entry","Quantity","Item No.",$D3420,"Entry Type","Sale|Consumption","posting date","01/01/21..12/31/21")/-12</t>
  </si>
  <si>
    <t>=NL("sum","Item Ledger Entry","Quantity","Item No.",$D3420,"Entry Type","Sale|Consumption","posting date","01/01/22..12/31/22")/-12</t>
  </si>
  <si>
    <t>=NL("sum","Item Ledger Entry","Quantity","Item No.",$D3420,"Entry Type","Sale|Consumption","posting date","01/01/23..12/31/23")/$J$7</t>
  </si>
  <si>
    <t>=AVERAGE(I3420:J3420)</t>
  </si>
  <si>
    <t>=NL(1,"item",L$9,"no.",D3420)</t>
  </si>
  <si>
    <t>=NL(1,"item",M$9,"no.",$D3420)</t>
  </si>
  <si>
    <t>=NL(1,"item","Units Per Parcel","no.",$D3420)</t>
  </si>
  <si>
    <t>=NL(1,"Prod. BOM Equipment","Fixed Prod. Time (Hours)","Production BOM No.",$D3420,"version code",$E3420,"Resource No.",O$9)</t>
  </si>
  <si>
    <t>=1/O3420</t>
  </si>
  <si>
    <t>=IF(NL(1,"Prod. BOM Equipment","Variable Prod. Time (Hours)","Production BOM No.",$D3420,"version code",$E3420,"Resource No.",$O$9)="",1,NL(1,"Prod. BOM Equipment","Variable Prod. Time (Hours)","Production BOM No.",$D3420,"version code",$E3420,"Resource No.",$O$9))</t>
  </si>
  <si>
    <t>=1/Q3420</t>
  </si>
  <si>
    <t>=R3420*N3420</t>
  </si>
  <si>
    <t>=IF(K3421=0,"hide","")</t>
  </si>
  <si>
    <t>=D3420</t>
  </si>
  <si>
    <t>=NL("sum","Production Order","Quantity","Source No.",$D3421,"Equipment Code",$L3421,"due date",F$8)/-12</t>
  </si>
  <si>
    <t>=NL("sum","Production Order","Quantity","Source No.",$D3421,"Equipment Code",$L3421,"due date",G$8)/-12</t>
  </si>
  <si>
    <t>=NL("sum","Production Order","Quantity","Source No.",$D3421,"Equipment Code",$L3421,"due date",H$8)/-12</t>
  </si>
  <si>
    <t>=NL("sum","Production Order","Quantity","Source No.",$D3421,"Equipment Code",$L3421,"due date",I$8)/-12</t>
  </si>
  <si>
    <t>=NL("sum","Production Order","Quantity","Source No.",$D3421,"Equipment Code",$L3421,"due date",J$8)/$J$7</t>
  </si>
  <si>
    <t>=AVERAGE(I3421:J3421)</t>
  </si>
  <si>
    <t>=IF(K3422=0,"hide","")</t>
  </si>
  <si>
    <t>=D3421</t>
  </si>
  <si>
    <t>=NL("sum","Production Order","Quantity","Source No.",$D3422,"Equipment Code",$L3422,"due date",F$8)/-12</t>
  </si>
  <si>
    <t>=NL("sum","Production Order","Quantity","Source No.",$D3422,"Equipment Code",$L3422,"due date",G$8)/-12</t>
  </si>
  <si>
    <t>=NL("sum","Production Order","Quantity","Source No.",$D3422,"Equipment Code",$L3422,"due date",H$8)/-12</t>
  </si>
  <si>
    <t>=NL("sum","Production Order","Quantity","Source No.",$D3422,"Equipment Code",$L3422,"due date",I$8)/-12</t>
  </si>
  <si>
    <t>=NL("sum","Production Order","Quantity","Source No.",$D3422,"Equipment Code",$L3422,"due date",J$8)/$J$7</t>
  </si>
  <si>
    <t>=AVERAGE(I3422:J3422)</t>
  </si>
  <si>
    <t>=IF(K3423=0,"hide","")</t>
  </si>
  <si>
    <t>=D3422</t>
  </si>
  <si>
    <t>=NL("sum","Production Order","Quantity","Source No.",$D3423,"Equipment Code",$L3423,"due date",F$8)/-12</t>
  </si>
  <si>
    <t>=NL("sum","Production Order","Quantity","Source No.",$D3423,"Equipment Code",$L3423,"due date",G$8)/-12</t>
  </si>
  <si>
    <t>=NL("sum","Production Order","Quantity","Source No.",$D3423,"Equipment Code",$L3423,"due date",H$8)/-12</t>
  </si>
  <si>
    <t>=NL("sum","Production Order","Quantity","Source No.",$D3423,"Equipment Code",$L3423,"due date",I$8)/-12</t>
  </si>
  <si>
    <t>=NL("sum","Production Order","Quantity","Source No.",$D3423,"Equipment Code",$L3423,"due date",J$8)/$J$7</t>
  </si>
  <si>
    <t>=AVERAGE(I3423:J3423)</t>
  </si>
  <si>
    <t>=IF(K3424=0,"hide","")</t>
  </si>
  <si>
    <t>=D3423</t>
  </si>
  <si>
    <t>=NL("sum","Production Order","Quantity","Source No.",$D3424,"Equipment Code",$L3424,"due date",F$8)/-12</t>
  </si>
  <si>
    <t>=NL("sum","Production Order","Quantity","Source No.",$D3424,"Equipment Code",$L3424,"due date",G$8)/-12</t>
  </si>
  <si>
    <t>=NL("sum","Production Order","Quantity","Source No.",$D3424,"Equipment Code",$L3424,"due date",H$8)/-12</t>
  </si>
  <si>
    <t>=NL("sum","Production Order","Quantity","Source No.",$D3424,"Equipment Code",$L3424,"due date",I$8)/-12</t>
  </si>
  <si>
    <t>=NL("sum","Production Order","Quantity","Source No.",$D3424,"Equipment Code",$L3424,"due date",J$8)/$J$7</t>
  </si>
  <si>
    <t>=AVERAGE(I3424:J3424)</t>
  </si>
  <si>
    <t>=B3421</t>
  </si>
  <si>
    <t>=B3425</t>
  </si>
  <si>
    <t>=SUM(F3421:F3425)</t>
  </si>
  <si>
    <t>=SUM(G3421:G3425)</t>
  </si>
  <si>
    <t>=SUM(H3421:H3425)</t>
  </si>
  <si>
    <t>=SUM(I3421:I3425)</t>
  </si>
  <si>
    <t>=SUM(J3421:J3425)</t>
  </si>
  <si>
    <t>=IF(K3427=0,"hide","")</t>
  </si>
  <si>
    <t>="46334"</t>
  </si>
  <si>
    <t>=NL("rows","Production BOM Version","Version Code","Production BOM No.",D3427,"status","certified")</t>
  </si>
  <si>
    <t>=NL("sum","Item Ledger Entry","Quantity","Item No.",$D3427,"Entry Type","Sale|Consumption","posting date","01/01/19..12/31/19")/-12</t>
  </si>
  <si>
    <t>=NL("sum","Item Ledger Entry","Quantity","Item No.",$D3427,"Entry Type","Sale|Consumption","posting date","01/01/20..12/31/20")/-12</t>
  </si>
  <si>
    <t>=NL("sum","Item Ledger Entry","Quantity","Item No.",$D3427,"Entry Type","Sale|Consumption","posting date","01/01/21..12/31/21")/-12</t>
  </si>
  <si>
    <t>=NL("sum","Item Ledger Entry","Quantity","Item No.",$D3427,"Entry Type","Sale|Consumption","posting date","01/01/22..12/31/22")/-12</t>
  </si>
  <si>
    <t>=NL("sum","Item Ledger Entry","Quantity","Item No.",$D3427,"Entry Type","Sale|Consumption","posting date","01/01/23..12/31/23")/$J$7</t>
  </si>
  <si>
    <t>=AVERAGE(I3427:J3427)</t>
  </si>
  <si>
    <t>=NL(1,"item",L$9,"no.",D3427)</t>
  </si>
  <si>
    <t>=NL(1,"item",M$9,"no.",$D3427)</t>
  </si>
  <si>
    <t>=NL(1,"item","Units Per Parcel","no.",$D3427)</t>
  </si>
  <si>
    <t>=NL(1,"Prod. BOM Equipment","Fixed Prod. Time (Hours)","Production BOM No.",$D3427,"version code",$E3427,"Resource No.",O$9)</t>
  </si>
  <si>
    <t>=1/O3427</t>
  </si>
  <si>
    <t>=IF(NL(1,"Prod. BOM Equipment","Variable Prod. Time (Hours)","Production BOM No.",$D3427,"version code",$E3427,"Resource No.",$O$9)="",1,NL(1,"Prod. BOM Equipment","Variable Prod. Time (Hours)","Production BOM No.",$D3427,"version code",$E3427,"Resource No.",$O$9))</t>
  </si>
  <si>
    <t>=1/Q3427</t>
  </si>
  <si>
    <t>=R3427*N3427</t>
  </si>
  <si>
    <t>=IF(K3428=0,"hide","")</t>
  </si>
  <si>
    <t>=D3427</t>
  </si>
  <si>
    <t>=NL("sum","Production Order","Quantity","Source No.",$D3428,"Equipment Code",$L3428,"due date",F$8)/-12</t>
  </si>
  <si>
    <t>=NL("sum","Production Order","Quantity","Source No.",$D3428,"Equipment Code",$L3428,"due date",G$8)/-12</t>
  </si>
  <si>
    <t>=NL("sum","Production Order","Quantity","Source No.",$D3428,"Equipment Code",$L3428,"due date",H$8)/-12</t>
  </si>
  <si>
    <t>=NL("sum","Production Order","Quantity","Source No.",$D3428,"Equipment Code",$L3428,"due date",I$8)/-12</t>
  </si>
  <si>
    <t>=NL("sum","Production Order","Quantity","Source No.",$D3428,"Equipment Code",$L3428,"due date",J$8)/$J$7</t>
  </si>
  <si>
    <t>=AVERAGE(I3428:J3428)</t>
  </si>
  <si>
    <t>=IF(K3429=0,"hide","")</t>
  </si>
  <si>
    <t>=D3428</t>
  </si>
  <si>
    <t>=NL("sum","Production Order","Quantity","Source No.",$D3429,"Equipment Code",$L3429,"due date",F$8)/-12</t>
  </si>
  <si>
    <t>=NL("sum","Production Order","Quantity","Source No.",$D3429,"Equipment Code",$L3429,"due date",G$8)/-12</t>
  </si>
  <si>
    <t>=NL("sum","Production Order","Quantity","Source No.",$D3429,"Equipment Code",$L3429,"due date",H$8)/-12</t>
  </si>
  <si>
    <t>=NL("sum","Production Order","Quantity","Source No.",$D3429,"Equipment Code",$L3429,"due date",I$8)/-12</t>
  </si>
  <si>
    <t>=NL("sum","Production Order","Quantity","Source No.",$D3429,"Equipment Code",$L3429,"due date",J$8)/$J$7</t>
  </si>
  <si>
    <t>=AVERAGE(I3429:J3429)</t>
  </si>
  <si>
    <t>=IF(K3430=0,"hide","")</t>
  </si>
  <si>
    <t>=D3429</t>
  </si>
  <si>
    <t>=NL("sum","Production Order","Quantity","Source No.",$D3430,"Equipment Code",$L3430,"due date",F$8)/-12</t>
  </si>
  <si>
    <t>=NL("sum","Production Order","Quantity","Source No.",$D3430,"Equipment Code",$L3430,"due date",G$8)/-12</t>
  </si>
  <si>
    <t>=NL("sum","Production Order","Quantity","Source No.",$D3430,"Equipment Code",$L3430,"due date",H$8)/-12</t>
  </si>
  <si>
    <t>=NL("sum","Production Order","Quantity","Source No.",$D3430,"Equipment Code",$L3430,"due date",I$8)/-12</t>
  </si>
  <si>
    <t>=NL("sum","Production Order","Quantity","Source No.",$D3430,"Equipment Code",$L3430,"due date",J$8)/$J$7</t>
  </si>
  <si>
    <t>=AVERAGE(I3430:J3430)</t>
  </si>
  <si>
    <t>=IF(K3431=0,"hide","")</t>
  </si>
  <si>
    <t>=D3430</t>
  </si>
  <si>
    <t>=NL("sum","Production Order","Quantity","Source No.",$D3431,"Equipment Code",$L3431,"due date",F$8)/-12</t>
  </si>
  <si>
    <t>=NL("sum","Production Order","Quantity","Source No.",$D3431,"Equipment Code",$L3431,"due date",G$8)/-12</t>
  </si>
  <si>
    <t>=NL("sum","Production Order","Quantity","Source No.",$D3431,"Equipment Code",$L3431,"due date",H$8)/-12</t>
  </si>
  <si>
    <t>=NL("sum","Production Order","Quantity","Source No.",$D3431,"Equipment Code",$L3431,"due date",I$8)/-12</t>
  </si>
  <si>
    <t>=NL("sum","Production Order","Quantity","Source No.",$D3431,"Equipment Code",$L3431,"due date",J$8)/$J$7</t>
  </si>
  <si>
    <t>=AVERAGE(I3431:J3431)</t>
  </si>
  <si>
    <t>=B3428</t>
  </si>
  <si>
    <t>=B3432</t>
  </si>
  <si>
    <t>=SUM(F3428:F3432)</t>
  </si>
  <si>
    <t>=SUM(G3428:G3432)</t>
  </si>
  <si>
    <t>=SUM(H3428:H3432)</t>
  </si>
  <si>
    <t>=SUM(I3428:I3432)</t>
  </si>
  <si>
    <t>=SUM(J3428:J3432)</t>
  </si>
  <si>
    <t>=IF(K3434=0,"hide","")</t>
  </si>
  <si>
    <t>="46336"</t>
  </si>
  <si>
    <t>=NL("rows","Production BOM Version","Version Code","Production BOM No.",D3434,"status","certified")</t>
  </si>
  <si>
    <t>=NL("sum","Item Ledger Entry","Quantity","Item No.",$D3434,"Entry Type","Sale|Consumption","posting date","01/01/19..12/31/19")/-12</t>
  </si>
  <si>
    <t>=NL("sum","Item Ledger Entry","Quantity","Item No.",$D3434,"Entry Type","Sale|Consumption","posting date","01/01/20..12/31/20")/-12</t>
  </si>
  <si>
    <t>=NL("sum","Item Ledger Entry","Quantity","Item No.",$D3434,"Entry Type","Sale|Consumption","posting date","01/01/21..12/31/21")/-12</t>
  </si>
  <si>
    <t>=NL("sum","Item Ledger Entry","Quantity","Item No.",$D3434,"Entry Type","Sale|Consumption","posting date","01/01/22..12/31/22")/-12</t>
  </si>
  <si>
    <t>=NL("sum","Item Ledger Entry","Quantity","Item No.",$D3434,"Entry Type","Sale|Consumption","posting date","01/01/23..12/31/23")/$J$7</t>
  </si>
  <si>
    <t>=AVERAGE(I3434:J3434)</t>
  </si>
  <si>
    <t>=NL(1,"item",L$9,"no.",D3434)</t>
  </si>
  <si>
    <t>=NL(1,"item",M$9,"no.",$D3434)</t>
  </si>
  <si>
    <t>=NL(1,"item","Units Per Parcel","no.",$D3434)</t>
  </si>
  <si>
    <t>=NL(1,"Prod. BOM Equipment","Fixed Prod. Time (Hours)","Production BOM No.",$D3434,"version code",$E3434,"Resource No.",O$9)</t>
  </si>
  <si>
    <t>=1/O3434</t>
  </si>
  <si>
    <t>=IF(NL(1,"Prod. BOM Equipment","Variable Prod. Time (Hours)","Production BOM No.",$D3434,"version code",$E3434,"Resource No.",$O$9)="",1,NL(1,"Prod. BOM Equipment","Variable Prod. Time (Hours)","Production BOM No.",$D3434,"version code",$E3434,"Resource No.",$O$9))</t>
  </si>
  <si>
    <t>=1/Q3434</t>
  </si>
  <si>
    <t>=R3434*N3434</t>
  </si>
  <si>
    <t>=IF(K3435=0,"hide","")</t>
  </si>
  <si>
    <t>=D3434</t>
  </si>
  <si>
    <t>=NL("sum","Production Order","Quantity","Source No.",$D3435,"Equipment Code",$L3435,"due date",F$8)/-12</t>
  </si>
  <si>
    <t>=NL("sum","Production Order","Quantity","Source No.",$D3435,"Equipment Code",$L3435,"due date",G$8)/-12</t>
  </si>
  <si>
    <t>=NL("sum","Production Order","Quantity","Source No.",$D3435,"Equipment Code",$L3435,"due date",H$8)/-12</t>
  </si>
  <si>
    <t>=NL("sum","Production Order","Quantity","Source No.",$D3435,"Equipment Code",$L3435,"due date",I$8)/-12</t>
  </si>
  <si>
    <t>=NL("sum","Production Order","Quantity","Source No.",$D3435,"Equipment Code",$L3435,"due date",J$8)/$J$7</t>
  </si>
  <si>
    <t>=AVERAGE(I3435:J3435)</t>
  </si>
  <si>
    <t>=IF(K3436=0,"hide","")</t>
  </si>
  <si>
    <t>=D3435</t>
  </si>
  <si>
    <t>=NL("sum","Production Order","Quantity","Source No.",$D3436,"Equipment Code",$L3436,"due date",F$8)/-12</t>
  </si>
  <si>
    <t>=NL("sum","Production Order","Quantity","Source No.",$D3436,"Equipment Code",$L3436,"due date",G$8)/-12</t>
  </si>
  <si>
    <t>=NL("sum","Production Order","Quantity","Source No.",$D3436,"Equipment Code",$L3436,"due date",H$8)/-12</t>
  </si>
  <si>
    <t>=NL("sum","Production Order","Quantity","Source No.",$D3436,"Equipment Code",$L3436,"due date",I$8)/-12</t>
  </si>
  <si>
    <t>=NL("sum","Production Order","Quantity","Source No.",$D3436,"Equipment Code",$L3436,"due date",J$8)/$J$7</t>
  </si>
  <si>
    <t>=AVERAGE(I3436:J3436)</t>
  </si>
  <si>
    <t>=IF(K3437=0,"hide","")</t>
  </si>
  <si>
    <t>=D3436</t>
  </si>
  <si>
    <t>=NL("sum","Production Order","Quantity","Source No.",$D3437,"Equipment Code",$L3437,"due date",F$8)/-12</t>
  </si>
  <si>
    <t>=NL("sum","Production Order","Quantity","Source No.",$D3437,"Equipment Code",$L3437,"due date",G$8)/-12</t>
  </si>
  <si>
    <t>=NL("sum","Production Order","Quantity","Source No.",$D3437,"Equipment Code",$L3437,"due date",H$8)/-12</t>
  </si>
  <si>
    <t>=NL("sum","Production Order","Quantity","Source No.",$D3437,"Equipment Code",$L3437,"due date",I$8)/-12</t>
  </si>
  <si>
    <t>=NL("sum","Production Order","Quantity","Source No.",$D3437,"Equipment Code",$L3437,"due date",J$8)/$J$7</t>
  </si>
  <si>
    <t>=AVERAGE(I3437:J3437)</t>
  </si>
  <si>
    <t>=IF(K3438=0,"hide","")</t>
  </si>
  <si>
    <t>=D3437</t>
  </si>
  <si>
    <t>=NL("sum","Production Order","Quantity","Source No.",$D3438,"Equipment Code",$L3438,"due date",F$8)/-12</t>
  </si>
  <si>
    <t>=NL("sum","Production Order","Quantity","Source No.",$D3438,"Equipment Code",$L3438,"due date",G$8)/-12</t>
  </si>
  <si>
    <t>=NL("sum","Production Order","Quantity","Source No.",$D3438,"Equipment Code",$L3438,"due date",H$8)/-12</t>
  </si>
  <si>
    <t>=NL("sum","Production Order","Quantity","Source No.",$D3438,"Equipment Code",$L3438,"due date",I$8)/-12</t>
  </si>
  <si>
    <t>=NL("sum","Production Order","Quantity","Source No.",$D3438,"Equipment Code",$L3438,"due date",J$8)/$J$7</t>
  </si>
  <si>
    <t>=AVERAGE(I3438:J3438)</t>
  </si>
  <si>
    <t>=B3435</t>
  </si>
  <si>
    <t>=B3439</t>
  </si>
  <si>
    <t>=SUM(F3435:F3439)</t>
  </si>
  <si>
    <t>=SUM(G3435:G3439)</t>
  </si>
  <si>
    <t>=SUM(H3435:H3439)</t>
  </si>
  <si>
    <t>=SUM(I3435:I3439)</t>
  </si>
  <si>
    <t>=SUM(J3435:J3439)</t>
  </si>
  <si>
    <t>=IF(K3441=0,"hide","")</t>
  </si>
  <si>
    <t>="46341"</t>
  </si>
  <si>
    <t>=NL("rows","Production BOM Version","Version Code","Production BOM No.",D3441,"status","certified")</t>
  </si>
  <si>
    <t>=NL("sum","Item Ledger Entry","Quantity","Item No.",$D3441,"Entry Type","Sale|Consumption","posting date","01/01/19..12/31/19")/-12</t>
  </si>
  <si>
    <t>=NL("sum","Item Ledger Entry","Quantity","Item No.",$D3441,"Entry Type","Sale|Consumption","posting date","01/01/20..12/31/20")/-12</t>
  </si>
  <si>
    <t>=NL("sum","Item Ledger Entry","Quantity","Item No.",$D3441,"Entry Type","Sale|Consumption","posting date","01/01/21..12/31/21")/-12</t>
  </si>
  <si>
    <t>=NL("sum","Item Ledger Entry","Quantity","Item No.",$D3441,"Entry Type","Sale|Consumption","posting date","01/01/22..12/31/22")/-12</t>
  </si>
  <si>
    <t>=NL("sum","Item Ledger Entry","Quantity","Item No.",$D3441,"Entry Type","Sale|Consumption","posting date","01/01/23..12/31/23")/$J$7</t>
  </si>
  <si>
    <t>=AVERAGE(I3441:J3441)</t>
  </si>
  <si>
    <t>=NL(1,"item",L$9,"no.",D3441)</t>
  </si>
  <si>
    <t>=NL(1,"item",M$9,"no.",$D3441)</t>
  </si>
  <si>
    <t>=NL(1,"item","Units Per Parcel","no.",$D3441)</t>
  </si>
  <si>
    <t>=NL(1,"Prod. BOM Equipment","Fixed Prod. Time (Hours)","Production BOM No.",$D3441,"version code",$E3441,"Resource No.",O$9)</t>
  </si>
  <si>
    <t>=1/O3441</t>
  </si>
  <si>
    <t>=IF(NL(1,"Prod. BOM Equipment","Variable Prod. Time (Hours)","Production BOM No.",$D3441,"version code",$E3441,"Resource No.",$O$9)="",1,NL(1,"Prod. BOM Equipment","Variable Prod. Time (Hours)","Production BOM No.",$D3441,"version code",$E3441,"Resource No.",$O$9))</t>
  </si>
  <si>
    <t>=1/Q3441</t>
  </si>
  <si>
    <t>=R3441*N3441</t>
  </si>
  <si>
    <t>=IF(K3442=0,"hide","")</t>
  </si>
  <si>
    <t>=D3441</t>
  </si>
  <si>
    <t>=NL("sum","Production Order","Quantity","Source No.",$D3442,"Equipment Code",$L3442,"due date",F$8)/-12</t>
  </si>
  <si>
    <t>=NL("sum","Production Order","Quantity","Source No.",$D3442,"Equipment Code",$L3442,"due date",G$8)/-12</t>
  </si>
  <si>
    <t>=NL("sum","Production Order","Quantity","Source No.",$D3442,"Equipment Code",$L3442,"due date",H$8)/-12</t>
  </si>
  <si>
    <t>=NL("sum","Production Order","Quantity","Source No.",$D3442,"Equipment Code",$L3442,"due date",I$8)/-12</t>
  </si>
  <si>
    <t>=NL("sum","Production Order","Quantity","Source No.",$D3442,"Equipment Code",$L3442,"due date",J$8)/$J$7</t>
  </si>
  <si>
    <t>=AVERAGE(I3442:J3442)</t>
  </si>
  <si>
    <t>=IF(K3443=0,"hide","")</t>
  </si>
  <si>
    <t>=D3442</t>
  </si>
  <si>
    <t>=NL("sum","Production Order","Quantity","Source No.",$D3443,"Equipment Code",$L3443,"due date",F$8)/-12</t>
  </si>
  <si>
    <t>=NL("sum","Production Order","Quantity","Source No.",$D3443,"Equipment Code",$L3443,"due date",G$8)/-12</t>
  </si>
  <si>
    <t>=NL("sum","Production Order","Quantity","Source No.",$D3443,"Equipment Code",$L3443,"due date",H$8)/-12</t>
  </si>
  <si>
    <t>=NL("sum","Production Order","Quantity","Source No.",$D3443,"Equipment Code",$L3443,"due date",I$8)/-12</t>
  </si>
  <si>
    <t>=NL("sum","Production Order","Quantity","Source No.",$D3443,"Equipment Code",$L3443,"due date",J$8)/$J$7</t>
  </si>
  <si>
    <t>=AVERAGE(I3443:J3443)</t>
  </si>
  <si>
    <t>=IF(K3444=0,"hide","")</t>
  </si>
  <si>
    <t>=D3443</t>
  </si>
  <si>
    <t>=NL("sum","Production Order","Quantity","Source No.",$D3444,"Equipment Code",$L3444,"due date",F$8)/-12</t>
  </si>
  <si>
    <t>=NL("sum","Production Order","Quantity","Source No.",$D3444,"Equipment Code",$L3444,"due date",G$8)/-12</t>
  </si>
  <si>
    <t>=NL("sum","Production Order","Quantity","Source No.",$D3444,"Equipment Code",$L3444,"due date",H$8)/-12</t>
  </si>
  <si>
    <t>=NL("sum","Production Order","Quantity","Source No.",$D3444,"Equipment Code",$L3444,"due date",I$8)/-12</t>
  </si>
  <si>
    <t>=NL("sum","Production Order","Quantity","Source No.",$D3444,"Equipment Code",$L3444,"due date",J$8)/$J$7</t>
  </si>
  <si>
    <t>=AVERAGE(I3444:J3444)</t>
  </si>
  <si>
    <t>=IF(K3445=0,"hide","")</t>
  </si>
  <si>
    <t>=D3444</t>
  </si>
  <si>
    <t>=NL("sum","Production Order","Quantity","Source No.",$D3445,"Equipment Code",$L3445,"due date",F$8)/-12</t>
  </si>
  <si>
    <t>=NL("sum","Production Order","Quantity","Source No.",$D3445,"Equipment Code",$L3445,"due date",G$8)/-12</t>
  </si>
  <si>
    <t>=NL("sum","Production Order","Quantity","Source No.",$D3445,"Equipment Code",$L3445,"due date",H$8)/-12</t>
  </si>
  <si>
    <t>=NL("sum","Production Order","Quantity","Source No.",$D3445,"Equipment Code",$L3445,"due date",I$8)/-12</t>
  </si>
  <si>
    <t>=NL("sum","Production Order","Quantity","Source No.",$D3445,"Equipment Code",$L3445,"due date",J$8)/$J$7</t>
  </si>
  <si>
    <t>=AVERAGE(I3445:J3445)</t>
  </si>
  <si>
    <t>=B3442</t>
  </si>
  <si>
    <t>=B3446</t>
  </si>
  <si>
    <t>=SUM(F3442:F3446)</t>
  </si>
  <si>
    <t>=SUM(G3442:G3446)</t>
  </si>
  <si>
    <t>=SUM(H3442:H3446)</t>
  </si>
  <si>
    <t>=SUM(I3442:I3446)</t>
  </si>
  <si>
    <t>=SUM(J3442:J3446)</t>
  </si>
  <si>
    <t>=IF(K3448=0,"hide","")</t>
  </si>
  <si>
    <t>="46344"</t>
  </si>
  <si>
    <t>=NL("rows","Production BOM Version","Version Code","Production BOM No.",D3448,"status","certified")</t>
  </si>
  <si>
    <t>=NL("sum","Item Ledger Entry","Quantity","Item No.",$D3448,"Entry Type","Sale|Consumption","posting date","01/01/19..12/31/19")/-12</t>
  </si>
  <si>
    <t>=NL("sum","Item Ledger Entry","Quantity","Item No.",$D3448,"Entry Type","Sale|Consumption","posting date","01/01/20..12/31/20")/-12</t>
  </si>
  <si>
    <t>=NL("sum","Item Ledger Entry","Quantity","Item No.",$D3448,"Entry Type","Sale|Consumption","posting date","01/01/21..12/31/21")/-12</t>
  </si>
  <si>
    <t>=NL("sum","Item Ledger Entry","Quantity","Item No.",$D3448,"Entry Type","Sale|Consumption","posting date","01/01/22..12/31/22")/-12</t>
  </si>
  <si>
    <t>=NL("sum","Item Ledger Entry","Quantity","Item No.",$D3448,"Entry Type","Sale|Consumption","posting date","01/01/23..12/31/23")/$J$7</t>
  </si>
  <si>
    <t>=AVERAGE(I3448:J3448)</t>
  </si>
  <si>
    <t>=NL(1,"item",L$9,"no.",D3448)</t>
  </si>
  <si>
    <t>=NL(1,"item",M$9,"no.",$D3448)</t>
  </si>
  <si>
    <t>=NL(1,"item","Units Per Parcel","no.",$D3448)</t>
  </si>
  <si>
    <t>=NL(1,"Prod. BOM Equipment","Fixed Prod. Time (Hours)","Production BOM No.",$D3448,"version code",$E3448,"Resource No.",O$9)</t>
  </si>
  <si>
    <t>=1/O3448</t>
  </si>
  <si>
    <t>=IF(NL(1,"Prod. BOM Equipment","Variable Prod. Time (Hours)","Production BOM No.",$D3448,"version code",$E3448,"Resource No.",$O$9)="",1,NL(1,"Prod. BOM Equipment","Variable Prod. Time (Hours)","Production BOM No.",$D3448,"version code",$E3448,"Resource No.",$O$9))</t>
  </si>
  <si>
    <t>=1/Q3448</t>
  </si>
  <si>
    <t>=R3448*N3448</t>
  </si>
  <si>
    <t>=IF(K3449=0,"hide","")</t>
  </si>
  <si>
    <t>=D3448</t>
  </si>
  <si>
    <t>=NL("sum","Production Order","Quantity","Source No.",$D3449,"Equipment Code",$L3449,"due date",F$8)/-12</t>
  </si>
  <si>
    <t>=NL("sum","Production Order","Quantity","Source No.",$D3449,"Equipment Code",$L3449,"due date",G$8)/-12</t>
  </si>
  <si>
    <t>=NL("sum","Production Order","Quantity","Source No.",$D3449,"Equipment Code",$L3449,"due date",H$8)/-12</t>
  </si>
  <si>
    <t>=NL("sum","Production Order","Quantity","Source No.",$D3449,"Equipment Code",$L3449,"due date",I$8)/-12</t>
  </si>
  <si>
    <t>=NL("sum","Production Order","Quantity","Source No.",$D3449,"Equipment Code",$L3449,"due date",J$8)/$J$7</t>
  </si>
  <si>
    <t>=AVERAGE(I3449:J3449)</t>
  </si>
  <si>
    <t>=IF(K3450=0,"hide","")</t>
  </si>
  <si>
    <t>=D3449</t>
  </si>
  <si>
    <t>=NL("sum","Production Order","Quantity","Source No.",$D3450,"Equipment Code",$L3450,"due date",F$8)/-12</t>
  </si>
  <si>
    <t>=NL("sum","Production Order","Quantity","Source No.",$D3450,"Equipment Code",$L3450,"due date",G$8)/-12</t>
  </si>
  <si>
    <t>=NL("sum","Production Order","Quantity","Source No.",$D3450,"Equipment Code",$L3450,"due date",H$8)/-12</t>
  </si>
  <si>
    <t>=NL("sum","Production Order","Quantity","Source No.",$D3450,"Equipment Code",$L3450,"due date",I$8)/-12</t>
  </si>
  <si>
    <t>=NL("sum","Production Order","Quantity","Source No.",$D3450,"Equipment Code",$L3450,"due date",J$8)/$J$7</t>
  </si>
  <si>
    <t>=AVERAGE(I3450:J3450)</t>
  </si>
  <si>
    <t>=IF(K3451=0,"hide","")</t>
  </si>
  <si>
    <t>=D3450</t>
  </si>
  <si>
    <t>=NL("sum","Production Order","Quantity","Source No.",$D3451,"Equipment Code",$L3451,"due date",F$8)/-12</t>
  </si>
  <si>
    <t>=NL("sum","Production Order","Quantity","Source No.",$D3451,"Equipment Code",$L3451,"due date",G$8)/-12</t>
  </si>
  <si>
    <t>=NL("sum","Production Order","Quantity","Source No.",$D3451,"Equipment Code",$L3451,"due date",H$8)/-12</t>
  </si>
  <si>
    <t>=NL("sum","Production Order","Quantity","Source No.",$D3451,"Equipment Code",$L3451,"due date",I$8)/-12</t>
  </si>
  <si>
    <t>=NL("sum","Production Order","Quantity","Source No.",$D3451,"Equipment Code",$L3451,"due date",J$8)/$J$7</t>
  </si>
  <si>
    <t>=AVERAGE(I3451:J3451)</t>
  </si>
  <si>
    <t>=IF(K3452=0,"hide","")</t>
  </si>
  <si>
    <t>=D3451</t>
  </si>
  <si>
    <t>=NL("sum","Production Order","Quantity","Source No.",$D3452,"Equipment Code",$L3452,"due date",F$8)/-12</t>
  </si>
  <si>
    <t>=NL("sum","Production Order","Quantity","Source No.",$D3452,"Equipment Code",$L3452,"due date",G$8)/-12</t>
  </si>
  <si>
    <t>=NL("sum","Production Order","Quantity","Source No.",$D3452,"Equipment Code",$L3452,"due date",H$8)/-12</t>
  </si>
  <si>
    <t>=NL("sum","Production Order","Quantity","Source No.",$D3452,"Equipment Code",$L3452,"due date",I$8)/-12</t>
  </si>
  <si>
    <t>=NL("sum","Production Order","Quantity","Source No.",$D3452,"Equipment Code",$L3452,"due date",J$8)/$J$7</t>
  </si>
  <si>
    <t>=AVERAGE(I3452:J3452)</t>
  </si>
  <si>
    <t>=B3449</t>
  </si>
  <si>
    <t>=B3453</t>
  </si>
  <si>
    <t>=SUM(F3449:F3453)</t>
  </si>
  <si>
    <t>=SUM(G3449:G3453)</t>
  </si>
  <si>
    <t>=SUM(H3449:H3453)</t>
  </si>
  <si>
    <t>=SUM(I3449:I3453)</t>
  </si>
  <si>
    <t>=SUM(J3449:J3453)</t>
  </si>
  <si>
    <t>=IF(K3455=0,"hide","")</t>
  </si>
  <si>
    <t>="46348"</t>
  </si>
  <si>
    <t>=NL("rows","Production BOM Version","Version Code","Production BOM No.",D3455,"status","certified")</t>
  </si>
  <si>
    <t>=NL("sum","Item Ledger Entry","Quantity","Item No.",$D3455,"Entry Type","Sale|Consumption","posting date","01/01/19..12/31/19")/-12</t>
  </si>
  <si>
    <t>=NL("sum","Item Ledger Entry","Quantity","Item No.",$D3455,"Entry Type","Sale|Consumption","posting date","01/01/20..12/31/20")/-12</t>
  </si>
  <si>
    <t>=NL("sum","Item Ledger Entry","Quantity","Item No.",$D3455,"Entry Type","Sale|Consumption","posting date","01/01/21..12/31/21")/-12</t>
  </si>
  <si>
    <t>=NL("sum","Item Ledger Entry","Quantity","Item No.",$D3455,"Entry Type","Sale|Consumption","posting date","01/01/22..12/31/22")/-12</t>
  </si>
  <si>
    <t>=NL("sum","Item Ledger Entry","Quantity","Item No.",$D3455,"Entry Type","Sale|Consumption","posting date","01/01/23..12/31/23")/$J$7</t>
  </si>
  <si>
    <t>=AVERAGE(I3455:J3455)</t>
  </si>
  <si>
    <t>=NL(1,"item",L$9,"no.",D3455)</t>
  </si>
  <si>
    <t>=NL(1,"item",M$9,"no.",$D3455)</t>
  </si>
  <si>
    <t>=NL(1,"item","Units Per Parcel","no.",$D3455)</t>
  </si>
  <si>
    <t>=NL(1,"Prod. BOM Equipment","Fixed Prod. Time (Hours)","Production BOM No.",$D3455,"version code",$E3455,"Resource No.",O$9)</t>
  </si>
  <si>
    <t>=1/O3455</t>
  </si>
  <si>
    <t>=IF(NL(1,"Prod. BOM Equipment","Variable Prod. Time (Hours)","Production BOM No.",$D3455,"version code",$E3455,"Resource No.",$O$9)="",1,NL(1,"Prod. BOM Equipment","Variable Prod. Time (Hours)","Production BOM No.",$D3455,"version code",$E3455,"Resource No.",$O$9))</t>
  </si>
  <si>
    <t>=1/Q3455</t>
  </si>
  <si>
    <t>=R3455*N3455</t>
  </si>
  <si>
    <t>=IF(K3456=0,"hide","")</t>
  </si>
  <si>
    <t>=D3455</t>
  </si>
  <si>
    <t>=NL("sum","Production Order","Quantity","Source No.",$D3456,"Equipment Code",$L3456,"due date",F$8)/-12</t>
  </si>
  <si>
    <t>=NL("sum","Production Order","Quantity","Source No.",$D3456,"Equipment Code",$L3456,"due date",G$8)/-12</t>
  </si>
  <si>
    <t>=NL("sum","Production Order","Quantity","Source No.",$D3456,"Equipment Code",$L3456,"due date",H$8)/-12</t>
  </si>
  <si>
    <t>=NL("sum","Production Order","Quantity","Source No.",$D3456,"Equipment Code",$L3456,"due date",I$8)/-12</t>
  </si>
  <si>
    <t>=NL("sum","Production Order","Quantity","Source No.",$D3456,"Equipment Code",$L3456,"due date",J$8)/$J$7</t>
  </si>
  <si>
    <t>=AVERAGE(I3456:J3456)</t>
  </si>
  <si>
    <t>=IF(K3457=0,"hide","")</t>
  </si>
  <si>
    <t>=D3456</t>
  </si>
  <si>
    <t>=NL("sum","Production Order","Quantity","Source No.",$D3457,"Equipment Code",$L3457,"due date",F$8)/-12</t>
  </si>
  <si>
    <t>=NL("sum","Production Order","Quantity","Source No.",$D3457,"Equipment Code",$L3457,"due date",G$8)/-12</t>
  </si>
  <si>
    <t>=NL("sum","Production Order","Quantity","Source No.",$D3457,"Equipment Code",$L3457,"due date",H$8)/-12</t>
  </si>
  <si>
    <t>=NL("sum","Production Order","Quantity","Source No.",$D3457,"Equipment Code",$L3457,"due date",I$8)/-12</t>
  </si>
  <si>
    <t>=NL("sum","Production Order","Quantity","Source No.",$D3457,"Equipment Code",$L3457,"due date",J$8)/$J$7</t>
  </si>
  <si>
    <t>=AVERAGE(I3457:J3457)</t>
  </si>
  <si>
    <t>=IF(K3458=0,"hide","")</t>
  </si>
  <si>
    <t>=D3457</t>
  </si>
  <si>
    <t>=NL("sum","Production Order","Quantity","Source No.",$D3458,"Equipment Code",$L3458,"due date",F$8)/-12</t>
  </si>
  <si>
    <t>=NL("sum","Production Order","Quantity","Source No.",$D3458,"Equipment Code",$L3458,"due date",G$8)/-12</t>
  </si>
  <si>
    <t>=NL("sum","Production Order","Quantity","Source No.",$D3458,"Equipment Code",$L3458,"due date",H$8)/-12</t>
  </si>
  <si>
    <t>=NL("sum","Production Order","Quantity","Source No.",$D3458,"Equipment Code",$L3458,"due date",I$8)/-12</t>
  </si>
  <si>
    <t>=NL("sum","Production Order","Quantity","Source No.",$D3458,"Equipment Code",$L3458,"due date",J$8)/$J$7</t>
  </si>
  <si>
    <t>=AVERAGE(I3458:J3458)</t>
  </si>
  <si>
    <t>=IF(K3459=0,"hide","")</t>
  </si>
  <si>
    <t>=D3458</t>
  </si>
  <si>
    <t>=NL("sum","Production Order","Quantity","Source No.",$D3459,"Equipment Code",$L3459,"due date",F$8)/-12</t>
  </si>
  <si>
    <t>=NL("sum","Production Order","Quantity","Source No.",$D3459,"Equipment Code",$L3459,"due date",G$8)/-12</t>
  </si>
  <si>
    <t>=NL("sum","Production Order","Quantity","Source No.",$D3459,"Equipment Code",$L3459,"due date",H$8)/-12</t>
  </si>
  <si>
    <t>=NL("sum","Production Order","Quantity","Source No.",$D3459,"Equipment Code",$L3459,"due date",I$8)/-12</t>
  </si>
  <si>
    <t>=NL("sum","Production Order","Quantity","Source No.",$D3459,"Equipment Code",$L3459,"due date",J$8)/$J$7</t>
  </si>
  <si>
    <t>=AVERAGE(I3459:J3459)</t>
  </si>
  <si>
    <t>=B3456</t>
  </si>
  <si>
    <t>=B3460</t>
  </si>
  <si>
    <t>=SUM(F3456:F3460)</t>
  </si>
  <si>
    <t>=SUM(G3456:G3460)</t>
  </si>
  <si>
    <t>=SUM(H3456:H3460)</t>
  </si>
  <si>
    <t>=SUM(I3456:I3460)</t>
  </si>
  <si>
    <t>=SUM(J3456:J3460)</t>
  </si>
  <si>
    <t>=IF(K3462=0,"hide","")</t>
  </si>
  <si>
    <t>="46351"</t>
  </si>
  <si>
    <t>=NL("rows","Production BOM Version","Version Code","Production BOM No.",D3462,"status","certified")</t>
  </si>
  <si>
    <t>=NL("sum","Item Ledger Entry","Quantity","Item No.",$D3462,"Entry Type","Sale|Consumption","posting date","01/01/19..12/31/19")/-12</t>
  </si>
  <si>
    <t>=NL("sum","Item Ledger Entry","Quantity","Item No.",$D3462,"Entry Type","Sale|Consumption","posting date","01/01/20..12/31/20")/-12</t>
  </si>
  <si>
    <t>=NL("sum","Item Ledger Entry","Quantity","Item No.",$D3462,"Entry Type","Sale|Consumption","posting date","01/01/21..12/31/21")/-12</t>
  </si>
  <si>
    <t>=NL("sum","Item Ledger Entry","Quantity","Item No.",$D3462,"Entry Type","Sale|Consumption","posting date","01/01/22..12/31/22")/-12</t>
  </si>
  <si>
    <t>=NL("sum","Item Ledger Entry","Quantity","Item No.",$D3462,"Entry Type","Sale|Consumption","posting date","01/01/23..12/31/23")/$J$7</t>
  </si>
  <si>
    <t>=AVERAGE(I3462:J3462)</t>
  </si>
  <si>
    <t>=NL(1,"item",L$9,"no.",D3462)</t>
  </si>
  <si>
    <t>=NL(1,"item",M$9,"no.",$D3462)</t>
  </si>
  <si>
    <t>=NL(1,"item","Units Per Parcel","no.",$D3462)</t>
  </si>
  <si>
    <t>=NL(1,"Prod. BOM Equipment","Fixed Prod. Time (Hours)","Production BOM No.",$D3462,"version code",$E3462,"Resource No.",O$9)</t>
  </si>
  <si>
    <t>=1/O3462</t>
  </si>
  <si>
    <t>=IF(NL(1,"Prod. BOM Equipment","Variable Prod. Time (Hours)","Production BOM No.",$D3462,"version code",$E3462,"Resource No.",$O$9)="",1,NL(1,"Prod. BOM Equipment","Variable Prod. Time (Hours)","Production BOM No.",$D3462,"version code",$E3462,"Resource No.",$O$9))</t>
  </si>
  <si>
    <t>=1/Q3462</t>
  </si>
  <si>
    <t>=R3462*N3462</t>
  </si>
  <si>
    <t>=IF(K3463=0,"hide","")</t>
  </si>
  <si>
    <t>=D3462</t>
  </si>
  <si>
    <t>=NL("sum","Production Order","Quantity","Source No.",$D3463,"Equipment Code",$L3463,"due date",F$8)/-12</t>
  </si>
  <si>
    <t>=NL("sum","Production Order","Quantity","Source No.",$D3463,"Equipment Code",$L3463,"due date",G$8)/-12</t>
  </si>
  <si>
    <t>=NL("sum","Production Order","Quantity","Source No.",$D3463,"Equipment Code",$L3463,"due date",H$8)/-12</t>
  </si>
  <si>
    <t>=NL("sum","Production Order","Quantity","Source No.",$D3463,"Equipment Code",$L3463,"due date",I$8)/-12</t>
  </si>
  <si>
    <t>=NL("sum","Production Order","Quantity","Source No.",$D3463,"Equipment Code",$L3463,"due date",J$8)/$J$7</t>
  </si>
  <si>
    <t>=AVERAGE(I3463:J3463)</t>
  </si>
  <si>
    <t>=IF(K3464=0,"hide","")</t>
  </si>
  <si>
    <t>=D3463</t>
  </si>
  <si>
    <t>=NL("sum","Production Order","Quantity","Source No.",$D3464,"Equipment Code",$L3464,"due date",F$8)/-12</t>
  </si>
  <si>
    <t>=NL("sum","Production Order","Quantity","Source No.",$D3464,"Equipment Code",$L3464,"due date",G$8)/-12</t>
  </si>
  <si>
    <t>=NL("sum","Production Order","Quantity","Source No.",$D3464,"Equipment Code",$L3464,"due date",H$8)/-12</t>
  </si>
  <si>
    <t>=NL("sum","Production Order","Quantity","Source No.",$D3464,"Equipment Code",$L3464,"due date",I$8)/-12</t>
  </si>
  <si>
    <t>=NL("sum","Production Order","Quantity","Source No.",$D3464,"Equipment Code",$L3464,"due date",J$8)/$J$7</t>
  </si>
  <si>
    <t>=AVERAGE(I3464:J3464)</t>
  </si>
  <si>
    <t>=IF(K3465=0,"hide","")</t>
  </si>
  <si>
    <t>=D3464</t>
  </si>
  <si>
    <t>=NL("sum","Production Order","Quantity","Source No.",$D3465,"Equipment Code",$L3465,"due date",F$8)/-12</t>
  </si>
  <si>
    <t>=NL("sum","Production Order","Quantity","Source No.",$D3465,"Equipment Code",$L3465,"due date",G$8)/-12</t>
  </si>
  <si>
    <t>=NL("sum","Production Order","Quantity","Source No.",$D3465,"Equipment Code",$L3465,"due date",H$8)/-12</t>
  </si>
  <si>
    <t>=NL("sum","Production Order","Quantity","Source No.",$D3465,"Equipment Code",$L3465,"due date",I$8)/-12</t>
  </si>
  <si>
    <t>=NL("sum","Production Order","Quantity","Source No.",$D3465,"Equipment Code",$L3465,"due date",J$8)/$J$7</t>
  </si>
  <si>
    <t>=AVERAGE(I3465:J3465)</t>
  </si>
  <si>
    <t>=IF(K3466=0,"hide","")</t>
  </si>
  <si>
    <t>=D3465</t>
  </si>
  <si>
    <t>=NL("sum","Production Order","Quantity","Source No.",$D3466,"Equipment Code",$L3466,"due date",F$8)/-12</t>
  </si>
  <si>
    <t>=NL("sum","Production Order","Quantity","Source No.",$D3466,"Equipment Code",$L3466,"due date",G$8)/-12</t>
  </si>
  <si>
    <t>=NL("sum","Production Order","Quantity","Source No.",$D3466,"Equipment Code",$L3466,"due date",H$8)/-12</t>
  </si>
  <si>
    <t>=NL("sum","Production Order","Quantity","Source No.",$D3466,"Equipment Code",$L3466,"due date",I$8)/-12</t>
  </si>
  <si>
    <t>=NL("sum","Production Order","Quantity","Source No.",$D3466,"Equipment Code",$L3466,"due date",J$8)/$J$7</t>
  </si>
  <si>
    <t>=AVERAGE(I3466:J3466)</t>
  </si>
  <si>
    <t>=B3463</t>
  </si>
  <si>
    <t>=B3467</t>
  </si>
  <si>
    <t>=SUM(F3463:F3467)</t>
  </si>
  <si>
    <t>=SUM(G3463:G3467)</t>
  </si>
  <si>
    <t>=SUM(H3463:H3467)</t>
  </si>
  <si>
    <t>=SUM(I3463:I3467)</t>
  </si>
  <si>
    <t>=SUM(J3463:J3467)</t>
  </si>
  <si>
    <t>=IF(K3469=0,"hide","")</t>
  </si>
  <si>
    <t>="46401"</t>
  </si>
  <si>
    <t>=NL("rows","Production BOM Version","Version Code","Production BOM No.",D3469,"status","certified")</t>
  </si>
  <si>
    <t>=NL("sum","Item Ledger Entry","Quantity","Item No.",$D3469,"Entry Type","Sale|Consumption","posting date","01/01/19..12/31/19")/-12</t>
  </si>
  <si>
    <t>=NL("sum","Item Ledger Entry","Quantity","Item No.",$D3469,"Entry Type","Sale|Consumption","posting date","01/01/20..12/31/20")/-12</t>
  </si>
  <si>
    <t>=NL("sum","Item Ledger Entry","Quantity","Item No.",$D3469,"Entry Type","Sale|Consumption","posting date","01/01/21..12/31/21")/-12</t>
  </si>
  <si>
    <t>=NL("sum","Item Ledger Entry","Quantity","Item No.",$D3469,"Entry Type","Sale|Consumption","posting date","01/01/22..12/31/22")/-12</t>
  </si>
  <si>
    <t>=NL("sum","Item Ledger Entry","Quantity","Item No.",$D3469,"Entry Type","Sale|Consumption","posting date","01/01/23..12/31/23")/$J$7</t>
  </si>
  <si>
    <t>=AVERAGE(I3469:J3469)</t>
  </si>
  <si>
    <t>=NL(1,"item",L$9,"no.",D3469)</t>
  </si>
  <si>
    <t>=NL(1,"item",M$9,"no.",$D3469)</t>
  </si>
  <si>
    <t>=NL(1,"item","Units Per Parcel","no.",$D3469)</t>
  </si>
  <si>
    <t>=NL(1,"Prod. BOM Equipment","Fixed Prod. Time (Hours)","Production BOM No.",$D3469,"version code",$E3469,"Resource No.",O$9)</t>
  </si>
  <si>
    <t>=1/O3469</t>
  </si>
  <si>
    <t>=IF(NL(1,"Prod. BOM Equipment","Variable Prod. Time (Hours)","Production BOM No.",$D3469,"version code",$E3469,"Resource No.",$O$9)="",1,NL(1,"Prod. BOM Equipment","Variable Prod. Time (Hours)","Production BOM No.",$D3469,"version code",$E3469,"Resource No.",$O$9))</t>
  </si>
  <si>
    <t>=1/Q3469</t>
  </si>
  <si>
    <t>=R3469*N3469</t>
  </si>
  <si>
    <t>=IF(K3470=0,"hide","")</t>
  </si>
  <si>
    <t>=D3469</t>
  </si>
  <si>
    <t>=NL("sum","Production Order","Quantity","Source No.",$D3470,"Equipment Code",$L3470,"due date",F$8)/-12</t>
  </si>
  <si>
    <t>=NL("sum","Production Order","Quantity","Source No.",$D3470,"Equipment Code",$L3470,"due date",G$8)/-12</t>
  </si>
  <si>
    <t>=NL("sum","Production Order","Quantity","Source No.",$D3470,"Equipment Code",$L3470,"due date",H$8)/-12</t>
  </si>
  <si>
    <t>=NL("sum","Production Order","Quantity","Source No.",$D3470,"Equipment Code",$L3470,"due date",I$8)/-12</t>
  </si>
  <si>
    <t>=NL("sum","Production Order","Quantity","Source No.",$D3470,"Equipment Code",$L3470,"due date",J$8)/$J$7</t>
  </si>
  <si>
    <t>=AVERAGE(I3470:J3470)</t>
  </si>
  <si>
    <t>=IF(K3471=0,"hide","")</t>
  </si>
  <si>
    <t>=D3470</t>
  </si>
  <si>
    <t>=NL("sum","Production Order","Quantity","Source No.",$D3471,"Equipment Code",$L3471,"due date",F$8)/-12</t>
  </si>
  <si>
    <t>=NL("sum","Production Order","Quantity","Source No.",$D3471,"Equipment Code",$L3471,"due date",G$8)/-12</t>
  </si>
  <si>
    <t>=NL("sum","Production Order","Quantity","Source No.",$D3471,"Equipment Code",$L3471,"due date",H$8)/-12</t>
  </si>
  <si>
    <t>=NL("sum","Production Order","Quantity","Source No.",$D3471,"Equipment Code",$L3471,"due date",I$8)/-12</t>
  </si>
  <si>
    <t>=NL("sum","Production Order","Quantity","Source No.",$D3471,"Equipment Code",$L3471,"due date",J$8)/$J$7</t>
  </si>
  <si>
    <t>=AVERAGE(I3471:J3471)</t>
  </si>
  <si>
    <t>=IF(K3472=0,"hide","")</t>
  </si>
  <si>
    <t>=D3471</t>
  </si>
  <si>
    <t>=NL("sum","Production Order","Quantity","Source No.",$D3472,"Equipment Code",$L3472,"due date",F$8)/-12</t>
  </si>
  <si>
    <t>=NL("sum","Production Order","Quantity","Source No.",$D3472,"Equipment Code",$L3472,"due date",G$8)/-12</t>
  </si>
  <si>
    <t>=NL("sum","Production Order","Quantity","Source No.",$D3472,"Equipment Code",$L3472,"due date",H$8)/-12</t>
  </si>
  <si>
    <t>=NL("sum","Production Order","Quantity","Source No.",$D3472,"Equipment Code",$L3472,"due date",I$8)/-12</t>
  </si>
  <si>
    <t>=NL("sum","Production Order","Quantity","Source No.",$D3472,"Equipment Code",$L3472,"due date",J$8)/$J$7</t>
  </si>
  <si>
    <t>=AVERAGE(I3472:J3472)</t>
  </si>
  <si>
    <t>=IF(K3473=0,"hide","")</t>
  </si>
  <si>
    <t>=D3472</t>
  </si>
  <si>
    <t>=NL("sum","Production Order","Quantity","Source No.",$D3473,"Equipment Code",$L3473,"due date",F$8)/-12</t>
  </si>
  <si>
    <t>=NL("sum","Production Order","Quantity","Source No.",$D3473,"Equipment Code",$L3473,"due date",G$8)/-12</t>
  </si>
  <si>
    <t>=NL("sum","Production Order","Quantity","Source No.",$D3473,"Equipment Code",$L3473,"due date",H$8)/-12</t>
  </si>
  <si>
    <t>=NL("sum","Production Order","Quantity","Source No.",$D3473,"Equipment Code",$L3473,"due date",I$8)/-12</t>
  </si>
  <si>
    <t>=NL("sum","Production Order","Quantity","Source No.",$D3473,"Equipment Code",$L3473,"due date",J$8)/$J$7</t>
  </si>
  <si>
    <t>=AVERAGE(I3473:J3473)</t>
  </si>
  <si>
    <t>=B3470</t>
  </si>
  <si>
    <t>=B3474</t>
  </si>
  <si>
    <t>=SUM(F3470:F3474)</t>
  </si>
  <si>
    <t>=SUM(G3470:G3474)</t>
  </si>
  <si>
    <t>=SUM(H3470:H3474)</t>
  </si>
  <si>
    <t>=SUM(I3470:I3474)</t>
  </si>
  <si>
    <t>=SUM(J3470:J3474)</t>
  </si>
  <si>
    <t>=IF(K3476=0,"hide","")</t>
  </si>
  <si>
    <t>="46403"</t>
  </si>
  <si>
    <t>=NL("rows","Production BOM Version","Version Code","Production BOM No.",D3476,"status","certified")</t>
  </si>
  <si>
    <t>=NL("sum","Item Ledger Entry","Quantity","Item No.",$D3476,"Entry Type","Sale|Consumption","posting date","01/01/19..12/31/19")/-12</t>
  </si>
  <si>
    <t>=NL("sum","Item Ledger Entry","Quantity","Item No.",$D3476,"Entry Type","Sale|Consumption","posting date","01/01/20..12/31/20")/-12</t>
  </si>
  <si>
    <t>=NL("sum","Item Ledger Entry","Quantity","Item No.",$D3476,"Entry Type","Sale|Consumption","posting date","01/01/21..12/31/21")/-12</t>
  </si>
  <si>
    <t>=NL("sum","Item Ledger Entry","Quantity","Item No.",$D3476,"Entry Type","Sale|Consumption","posting date","01/01/22..12/31/22")/-12</t>
  </si>
  <si>
    <t>=NL("sum","Item Ledger Entry","Quantity","Item No.",$D3476,"Entry Type","Sale|Consumption","posting date","01/01/23..12/31/23")/$J$7</t>
  </si>
  <si>
    <t>=AVERAGE(I3476:J3476)</t>
  </si>
  <si>
    <t>=NL(1,"item",L$9,"no.",D3476)</t>
  </si>
  <si>
    <t>=NL(1,"item",M$9,"no.",$D3476)</t>
  </si>
  <si>
    <t>=NL(1,"item","Units Per Parcel","no.",$D3476)</t>
  </si>
  <si>
    <t>=NL(1,"Prod. BOM Equipment","Fixed Prod. Time (Hours)","Production BOM No.",$D3476,"version code",$E3476,"Resource No.",O$9)</t>
  </si>
  <si>
    <t>=1/O3476</t>
  </si>
  <si>
    <t>=IF(NL(1,"Prod. BOM Equipment","Variable Prod. Time (Hours)","Production BOM No.",$D3476,"version code",$E3476,"Resource No.",$O$9)="",1,NL(1,"Prod. BOM Equipment","Variable Prod. Time (Hours)","Production BOM No.",$D3476,"version code",$E3476,"Resource No.",$O$9))</t>
  </si>
  <si>
    <t>=1/Q3476</t>
  </si>
  <si>
    <t>=R3476*N3476</t>
  </si>
  <si>
    <t>=IF(K3477=0,"hide","")</t>
  </si>
  <si>
    <t>=D3476</t>
  </si>
  <si>
    <t>=NL("sum","Production Order","Quantity","Source No.",$D3477,"Equipment Code",$L3477,"due date",F$8)/-12</t>
  </si>
  <si>
    <t>=NL("sum","Production Order","Quantity","Source No.",$D3477,"Equipment Code",$L3477,"due date",G$8)/-12</t>
  </si>
  <si>
    <t>=NL("sum","Production Order","Quantity","Source No.",$D3477,"Equipment Code",$L3477,"due date",H$8)/-12</t>
  </si>
  <si>
    <t>=NL("sum","Production Order","Quantity","Source No.",$D3477,"Equipment Code",$L3477,"due date",I$8)/-12</t>
  </si>
  <si>
    <t>=NL("sum","Production Order","Quantity","Source No.",$D3477,"Equipment Code",$L3477,"due date",J$8)/$J$7</t>
  </si>
  <si>
    <t>=AVERAGE(I3477:J3477)</t>
  </si>
  <si>
    <t>=IF(K3478=0,"hide","")</t>
  </si>
  <si>
    <t>=D3477</t>
  </si>
  <si>
    <t>=NL("sum","Production Order","Quantity","Source No.",$D3478,"Equipment Code",$L3478,"due date",F$8)/-12</t>
  </si>
  <si>
    <t>=NL("sum","Production Order","Quantity","Source No.",$D3478,"Equipment Code",$L3478,"due date",G$8)/-12</t>
  </si>
  <si>
    <t>=NL("sum","Production Order","Quantity","Source No.",$D3478,"Equipment Code",$L3478,"due date",H$8)/-12</t>
  </si>
  <si>
    <t>=NL("sum","Production Order","Quantity","Source No.",$D3478,"Equipment Code",$L3478,"due date",I$8)/-12</t>
  </si>
  <si>
    <t>=NL("sum","Production Order","Quantity","Source No.",$D3478,"Equipment Code",$L3478,"due date",J$8)/$J$7</t>
  </si>
  <si>
    <t>=AVERAGE(I3478:J3478)</t>
  </si>
  <si>
    <t>=IF(K3479=0,"hide","")</t>
  </si>
  <si>
    <t>=D3478</t>
  </si>
  <si>
    <t>=NL("sum","Production Order","Quantity","Source No.",$D3479,"Equipment Code",$L3479,"due date",F$8)/-12</t>
  </si>
  <si>
    <t>=NL("sum","Production Order","Quantity","Source No.",$D3479,"Equipment Code",$L3479,"due date",G$8)/-12</t>
  </si>
  <si>
    <t>=NL("sum","Production Order","Quantity","Source No.",$D3479,"Equipment Code",$L3479,"due date",H$8)/-12</t>
  </si>
  <si>
    <t>=NL("sum","Production Order","Quantity","Source No.",$D3479,"Equipment Code",$L3479,"due date",I$8)/-12</t>
  </si>
  <si>
    <t>=NL("sum","Production Order","Quantity","Source No.",$D3479,"Equipment Code",$L3479,"due date",J$8)/$J$7</t>
  </si>
  <si>
    <t>=AVERAGE(I3479:J3479)</t>
  </si>
  <si>
    <t>=IF(K3480=0,"hide","")</t>
  </si>
  <si>
    <t>=D3479</t>
  </si>
  <si>
    <t>=NL("sum","Production Order","Quantity","Source No.",$D3480,"Equipment Code",$L3480,"due date",F$8)/-12</t>
  </si>
  <si>
    <t>=NL("sum","Production Order","Quantity","Source No.",$D3480,"Equipment Code",$L3480,"due date",G$8)/-12</t>
  </si>
  <si>
    <t>=NL("sum","Production Order","Quantity","Source No.",$D3480,"Equipment Code",$L3480,"due date",H$8)/-12</t>
  </si>
  <si>
    <t>=NL("sum","Production Order","Quantity","Source No.",$D3480,"Equipment Code",$L3480,"due date",I$8)/-12</t>
  </si>
  <si>
    <t>=NL("sum","Production Order","Quantity","Source No.",$D3480,"Equipment Code",$L3480,"due date",J$8)/$J$7</t>
  </si>
  <si>
    <t>=AVERAGE(I3480:J3480)</t>
  </si>
  <si>
    <t>=B3477</t>
  </si>
  <si>
    <t>=B3481</t>
  </si>
  <si>
    <t>=SUM(F3477:F3481)</t>
  </si>
  <si>
    <t>=SUM(G3477:G3481)</t>
  </si>
  <si>
    <t>=SUM(H3477:H3481)</t>
  </si>
  <si>
    <t>=SUM(I3477:I3481)</t>
  </si>
  <si>
    <t>=SUM(J3477:J3481)</t>
  </si>
  <si>
    <t>=IF(K3483=0,"hide","")</t>
  </si>
  <si>
    <t>="46405"</t>
  </si>
  <si>
    <t>=NL("rows","Production BOM Version","Version Code","Production BOM No.",D3483,"status","certified")</t>
  </si>
  <si>
    <t>=NL("sum","Item Ledger Entry","Quantity","Item No.",$D3483,"Entry Type","Sale|Consumption","posting date","01/01/19..12/31/19")/-12</t>
  </si>
  <si>
    <t>=NL("sum","Item Ledger Entry","Quantity","Item No.",$D3483,"Entry Type","Sale|Consumption","posting date","01/01/20..12/31/20")/-12</t>
  </si>
  <si>
    <t>=NL("sum","Item Ledger Entry","Quantity","Item No.",$D3483,"Entry Type","Sale|Consumption","posting date","01/01/21..12/31/21")/-12</t>
  </si>
  <si>
    <t>=NL("sum","Item Ledger Entry","Quantity","Item No.",$D3483,"Entry Type","Sale|Consumption","posting date","01/01/22..12/31/22")/-12</t>
  </si>
  <si>
    <t>=NL("sum","Item Ledger Entry","Quantity","Item No.",$D3483,"Entry Type","Sale|Consumption","posting date","01/01/23..12/31/23")/$J$7</t>
  </si>
  <si>
    <t>=AVERAGE(I3483:J3483)</t>
  </si>
  <si>
    <t>=NL(1,"item",L$9,"no.",D3483)</t>
  </si>
  <si>
    <t>=NL(1,"item",M$9,"no.",$D3483)</t>
  </si>
  <si>
    <t>=NL(1,"item","Units Per Parcel","no.",$D3483)</t>
  </si>
  <si>
    <t>=NL(1,"Prod. BOM Equipment","Fixed Prod. Time (Hours)","Production BOM No.",$D3483,"version code",$E3483,"Resource No.",O$9)</t>
  </si>
  <si>
    <t>=1/O3483</t>
  </si>
  <si>
    <t>=IF(NL(1,"Prod. BOM Equipment","Variable Prod. Time (Hours)","Production BOM No.",$D3483,"version code",$E3483,"Resource No.",$O$9)="",1,NL(1,"Prod. BOM Equipment","Variable Prod. Time (Hours)","Production BOM No.",$D3483,"version code",$E3483,"Resource No.",$O$9))</t>
  </si>
  <si>
    <t>=1/Q3483</t>
  </si>
  <si>
    <t>=R3483*N3483</t>
  </si>
  <si>
    <t>=IF(K3484=0,"hide","")</t>
  </si>
  <si>
    <t>=D3483</t>
  </si>
  <si>
    <t>=NL("sum","Production Order","Quantity","Source No.",$D3484,"Equipment Code",$L3484,"due date",F$8)/-12</t>
  </si>
  <si>
    <t>=NL("sum","Production Order","Quantity","Source No.",$D3484,"Equipment Code",$L3484,"due date",G$8)/-12</t>
  </si>
  <si>
    <t>=NL("sum","Production Order","Quantity","Source No.",$D3484,"Equipment Code",$L3484,"due date",H$8)/-12</t>
  </si>
  <si>
    <t>=NL("sum","Production Order","Quantity","Source No.",$D3484,"Equipment Code",$L3484,"due date",I$8)/-12</t>
  </si>
  <si>
    <t>=NL("sum","Production Order","Quantity","Source No.",$D3484,"Equipment Code",$L3484,"due date",J$8)/$J$7</t>
  </si>
  <si>
    <t>=AVERAGE(I3484:J3484)</t>
  </si>
  <si>
    <t>=IF(K3485=0,"hide","")</t>
  </si>
  <si>
    <t>=D3484</t>
  </si>
  <si>
    <t>=NL("sum","Production Order","Quantity","Source No.",$D3485,"Equipment Code",$L3485,"due date",F$8)/-12</t>
  </si>
  <si>
    <t>=NL("sum","Production Order","Quantity","Source No.",$D3485,"Equipment Code",$L3485,"due date",G$8)/-12</t>
  </si>
  <si>
    <t>=NL("sum","Production Order","Quantity","Source No.",$D3485,"Equipment Code",$L3485,"due date",H$8)/-12</t>
  </si>
  <si>
    <t>=NL("sum","Production Order","Quantity","Source No.",$D3485,"Equipment Code",$L3485,"due date",I$8)/-12</t>
  </si>
  <si>
    <t>=NL("sum","Production Order","Quantity","Source No.",$D3485,"Equipment Code",$L3485,"due date",J$8)/$J$7</t>
  </si>
  <si>
    <t>=AVERAGE(I3485:J3485)</t>
  </si>
  <si>
    <t>=IF(K3486=0,"hide","")</t>
  </si>
  <si>
    <t>=D3485</t>
  </si>
  <si>
    <t>=NL("sum","Production Order","Quantity","Source No.",$D3486,"Equipment Code",$L3486,"due date",F$8)/-12</t>
  </si>
  <si>
    <t>=NL("sum","Production Order","Quantity","Source No.",$D3486,"Equipment Code",$L3486,"due date",G$8)/-12</t>
  </si>
  <si>
    <t>=NL("sum","Production Order","Quantity","Source No.",$D3486,"Equipment Code",$L3486,"due date",H$8)/-12</t>
  </si>
  <si>
    <t>=NL("sum","Production Order","Quantity","Source No.",$D3486,"Equipment Code",$L3486,"due date",I$8)/-12</t>
  </si>
  <si>
    <t>=NL("sum","Production Order","Quantity","Source No.",$D3486,"Equipment Code",$L3486,"due date",J$8)/$J$7</t>
  </si>
  <si>
    <t>=AVERAGE(I3486:J3486)</t>
  </si>
  <si>
    <t>=IF(K3487=0,"hide","")</t>
  </si>
  <si>
    <t>=D3486</t>
  </si>
  <si>
    <t>=NL("sum","Production Order","Quantity","Source No.",$D3487,"Equipment Code",$L3487,"due date",F$8)/-12</t>
  </si>
  <si>
    <t>=NL("sum","Production Order","Quantity","Source No.",$D3487,"Equipment Code",$L3487,"due date",G$8)/-12</t>
  </si>
  <si>
    <t>=NL("sum","Production Order","Quantity","Source No.",$D3487,"Equipment Code",$L3487,"due date",H$8)/-12</t>
  </si>
  <si>
    <t>=NL("sum","Production Order","Quantity","Source No.",$D3487,"Equipment Code",$L3487,"due date",I$8)/-12</t>
  </si>
  <si>
    <t>=NL("sum","Production Order","Quantity","Source No.",$D3487,"Equipment Code",$L3487,"due date",J$8)/$J$7</t>
  </si>
  <si>
    <t>=AVERAGE(I3487:J3487)</t>
  </si>
  <si>
    <t>=B3484</t>
  </si>
  <si>
    <t>=B3488</t>
  </si>
  <si>
    <t>=SUM(F3484:F3488)</t>
  </si>
  <si>
    <t>=SUM(G3484:G3488)</t>
  </si>
  <si>
    <t>=SUM(H3484:H3488)</t>
  </si>
  <si>
    <t>=SUM(I3484:I3488)</t>
  </si>
  <si>
    <t>=SUM(J3484:J3488)</t>
  </si>
  <si>
    <t>=IF(K3490=0,"hide","")</t>
  </si>
  <si>
    <t>="46406"</t>
  </si>
  <si>
    <t>=NL("rows","Production BOM Version","Version Code","Production BOM No.",D3490,"status","certified")</t>
  </si>
  <si>
    <t>=NL("sum","Item Ledger Entry","Quantity","Item No.",$D3490,"Entry Type","Sale|Consumption","posting date","01/01/19..12/31/19")/-12</t>
  </si>
  <si>
    <t>=NL("sum","Item Ledger Entry","Quantity","Item No.",$D3490,"Entry Type","Sale|Consumption","posting date","01/01/20..12/31/20")/-12</t>
  </si>
  <si>
    <t>=NL("sum","Item Ledger Entry","Quantity","Item No.",$D3490,"Entry Type","Sale|Consumption","posting date","01/01/21..12/31/21")/-12</t>
  </si>
  <si>
    <t>=NL("sum","Item Ledger Entry","Quantity","Item No.",$D3490,"Entry Type","Sale|Consumption","posting date","01/01/22..12/31/22")/-12</t>
  </si>
  <si>
    <t>=NL("sum","Item Ledger Entry","Quantity","Item No.",$D3490,"Entry Type","Sale|Consumption","posting date","01/01/23..12/31/23")/$J$7</t>
  </si>
  <si>
    <t>=AVERAGE(I3490:J3490)</t>
  </si>
  <si>
    <t>=NL(1,"item",L$9,"no.",D3490)</t>
  </si>
  <si>
    <t>=NL(1,"item",M$9,"no.",$D3490)</t>
  </si>
  <si>
    <t>=NL(1,"item","Units Per Parcel","no.",$D3490)</t>
  </si>
  <si>
    <t>=NL(1,"Prod. BOM Equipment","Fixed Prod. Time (Hours)","Production BOM No.",$D3490,"version code",$E3490,"Resource No.",O$9)</t>
  </si>
  <si>
    <t>=1/O3490</t>
  </si>
  <si>
    <t>=IF(NL(1,"Prod. BOM Equipment","Variable Prod. Time (Hours)","Production BOM No.",$D3490,"version code",$E3490,"Resource No.",$O$9)="",1,NL(1,"Prod. BOM Equipment","Variable Prod. Time (Hours)","Production BOM No.",$D3490,"version code",$E3490,"Resource No.",$O$9))</t>
  </si>
  <si>
    <t>=1/Q3490</t>
  </si>
  <si>
    <t>=R3490*N3490</t>
  </si>
  <si>
    <t>=IF(K3491=0,"hide","")</t>
  </si>
  <si>
    <t>=D3490</t>
  </si>
  <si>
    <t>=NL("sum","Production Order","Quantity","Source No.",$D3491,"Equipment Code",$L3491,"due date",F$8)/-12</t>
  </si>
  <si>
    <t>=NL("sum","Production Order","Quantity","Source No.",$D3491,"Equipment Code",$L3491,"due date",G$8)/-12</t>
  </si>
  <si>
    <t>=NL("sum","Production Order","Quantity","Source No.",$D3491,"Equipment Code",$L3491,"due date",H$8)/-12</t>
  </si>
  <si>
    <t>=NL("sum","Production Order","Quantity","Source No.",$D3491,"Equipment Code",$L3491,"due date",I$8)/-12</t>
  </si>
  <si>
    <t>=NL("sum","Production Order","Quantity","Source No.",$D3491,"Equipment Code",$L3491,"due date",J$8)/$J$7</t>
  </si>
  <si>
    <t>=AVERAGE(I3491:J3491)</t>
  </si>
  <si>
    <t>=IF(K3492=0,"hide","")</t>
  </si>
  <si>
    <t>=D3491</t>
  </si>
  <si>
    <t>=NL("sum","Production Order","Quantity","Source No.",$D3492,"Equipment Code",$L3492,"due date",F$8)/-12</t>
  </si>
  <si>
    <t>=NL("sum","Production Order","Quantity","Source No.",$D3492,"Equipment Code",$L3492,"due date",G$8)/-12</t>
  </si>
  <si>
    <t>=NL("sum","Production Order","Quantity","Source No.",$D3492,"Equipment Code",$L3492,"due date",H$8)/-12</t>
  </si>
  <si>
    <t>=NL("sum","Production Order","Quantity","Source No.",$D3492,"Equipment Code",$L3492,"due date",I$8)/-12</t>
  </si>
  <si>
    <t>=NL("sum","Production Order","Quantity","Source No.",$D3492,"Equipment Code",$L3492,"due date",J$8)/$J$7</t>
  </si>
  <si>
    <t>=AVERAGE(I3492:J3492)</t>
  </si>
  <si>
    <t>=IF(K3493=0,"hide","")</t>
  </si>
  <si>
    <t>=D3492</t>
  </si>
  <si>
    <t>=NL("sum","Production Order","Quantity","Source No.",$D3493,"Equipment Code",$L3493,"due date",F$8)/-12</t>
  </si>
  <si>
    <t>=NL("sum","Production Order","Quantity","Source No.",$D3493,"Equipment Code",$L3493,"due date",G$8)/-12</t>
  </si>
  <si>
    <t>=NL("sum","Production Order","Quantity","Source No.",$D3493,"Equipment Code",$L3493,"due date",H$8)/-12</t>
  </si>
  <si>
    <t>=NL("sum","Production Order","Quantity","Source No.",$D3493,"Equipment Code",$L3493,"due date",I$8)/-12</t>
  </si>
  <si>
    <t>=NL("sum","Production Order","Quantity","Source No.",$D3493,"Equipment Code",$L3493,"due date",J$8)/$J$7</t>
  </si>
  <si>
    <t>=AVERAGE(I3493:J3493)</t>
  </si>
  <si>
    <t>=IF(K3494=0,"hide","")</t>
  </si>
  <si>
    <t>=D3493</t>
  </si>
  <si>
    <t>=NL("sum","Production Order","Quantity","Source No.",$D3494,"Equipment Code",$L3494,"due date",F$8)/-12</t>
  </si>
  <si>
    <t>=NL("sum","Production Order","Quantity","Source No.",$D3494,"Equipment Code",$L3494,"due date",G$8)/-12</t>
  </si>
  <si>
    <t>=NL("sum","Production Order","Quantity","Source No.",$D3494,"Equipment Code",$L3494,"due date",H$8)/-12</t>
  </si>
  <si>
    <t>=NL("sum","Production Order","Quantity","Source No.",$D3494,"Equipment Code",$L3494,"due date",I$8)/-12</t>
  </si>
  <si>
    <t>=NL("sum","Production Order","Quantity","Source No.",$D3494,"Equipment Code",$L3494,"due date",J$8)/$J$7</t>
  </si>
  <si>
    <t>=AVERAGE(I3494:J3494)</t>
  </si>
  <si>
    <t>=B3491</t>
  </si>
  <si>
    <t>=B3495</t>
  </si>
  <si>
    <t>=SUM(F3491:F3495)</t>
  </si>
  <si>
    <t>=SUM(G3491:G3495)</t>
  </si>
  <si>
    <t>=SUM(H3491:H3495)</t>
  </si>
  <si>
    <t>=SUM(I3491:I3495)</t>
  </si>
  <si>
    <t>=SUM(J3491:J3495)</t>
  </si>
  <si>
    <t>=IF(K3497=0,"hide","")</t>
  </si>
  <si>
    <t>="46409"</t>
  </si>
  <si>
    <t>=NL("rows","Production BOM Version","Version Code","Production BOM No.",D3497,"status","certified")</t>
  </si>
  <si>
    <t>=NL("sum","Item Ledger Entry","Quantity","Item No.",$D3497,"Entry Type","Sale|Consumption","posting date","01/01/19..12/31/19")/-12</t>
  </si>
  <si>
    <t>=NL("sum","Item Ledger Entry","Quantity","Item No.",$D3497,"Entry Type","Sale|Consumption","posting date","01/01/20..12/31/20")/-12</t>
  </si>
  <si>
    <t>=NL("sum","Item Ledger Entry","Quantity","Item No.",$D3497,"Entry Type","Sale|Consumption","posting date","01/01/21..12/31/21")/-12</t>
  </si>
  <si>
    <t>=NL("sum","Item Ledger Entry","Quantity","Item No.",$D3497,"Entry Type","Sale|Consumption","posting date","01/01/22..12/31/22")/-12</t>
  </si>
  <si>
    <t>=NL("sum","Item Ledger Entry","Quantity","Item No.",$D3497,"Entry Type","Sale|Consumption","posting date","01/01/23..12/31/23")/$J$7</t>
  </si>
  <si>
    <t>=AVERAGE(I3497:J3497)</t>
  </si>
  <si>
    <t>=NL(1,"item",L$9,"no.",D3497)</t>
  </si>
  <si>
    <t>=NL(1,"item",M$9,"no.",$D3497)</t>
  </si>
  <si>
    <t>=NL(1,"item","Units Per Parcel","no.",$D3497)</t>
  </si>
  <si>
    <t>=NL(1,"Prod. BOM Equipment","Fixed Prod. Time (Hours)","Production BOM No.",$D3497,"version code",$E3497,"Resource No.",O$9)</t>
  </si>
  <si>
    <t>=1/O3497</t>
  </si>
  <si>
    <t>=IF(NL(1,"Prod. BOM Equipment","Variable Prod. Time (Hours)","Production BOM No.",$D3497,"version code",$E3497,"Resource No.",$O$9)="",1,NL(1,"Prod. BOM Equipment","Variable Prod. Time (Hours)","Production BOM No.",$D3497,"version code",$E3497,"Resource No.",$O$9))</t>
  </si>
  <si>
    <t>=1/Q3497</t>
  </si>
  <si>
    <t>=R3497*N3497</t>
  </si>
  <si>
    <t>=IF(K3498=0,"hide","")</t>
  </si>
  <si>
    <t>=D3497</t>
  </si>
  <si>
    <t>=NL("sum","Production Order","Quantity","Source No.",$D3498,"Equipment Code",$L3498,"due date",F$8)/-12</t>
  </si>
  <si>
    <t>=NL("sum","Production Order","Quantity","Source No.",$D3498,"Equipment Code",$L3498,"due date",G$8)/-12</t>
  </si>
  <si>
    <t>=NL("sum","Production Order","Quantity","Source No.",$D3498,"Equipment Code",$L3498,"due date",H$8)/-12</t>
  </si>
  <si>
    <t>=NL("sum","Production Order","Quantity","Source No.",$D3498,"Equipment Code",$L3498,"due date",I$8)/-12</t>
  </si>
  <si>
    <t>=NL("sum","Production Order","Quantity","Source No.",$D3498,"Equipment Code",$L3498,"due date",J$8)/$J$7</t>
  </si>
  <si>
    <t>=AVERAGE(I3498:J3498)</t>
  </si>
  <si>
    <t>=IF(K3499=0,"hide","")</t>
  </si>
  <si>
    <t>=D3498</t>
  </si>
  <si>
    <t>=NL("sum","Production Order","Quantity","Source No.",$D3499,"Equipment Code",$L3499,"due date",F$8)/-12</t>
  </si>
  <si>
    <t>=NL("sum","Production Order","Quantity","Source No.",$D3499,"Equipment Code",$L3499,"due date",G$8)/-12</t>
  </si>
  <si>
    <t>=NL("sum","Production Order","Quantity","Source No.",$D3499,"Equipment Code",$L3499,"due date",H$8)/-12</t>
  </si>
  <si>
    <t>=NL("sum","Production Order","Quantity","Source No.",$D3499,"Equipment Code",$L3499,"due date",I$8)/-12</t>
  </si>
  <si>
    <t>=NL("sum","Production Order","Quantity","Source No.",$D3499,"Equipment Code",$L3499,"due date",J$8)/$J$7</t>
  </si>
  <si>
    <t>=AVERAGE(I3499:J3499)</t>
  </si>
  <si>
    <t>=IF(K3500=0,"hide","")</t>
  </si>
  <si>
    <t>=D3499</t>
  </si>
  <si>
    <t>=NL("sum","Production Order","Quantity","Source No.",$D3500,"Equipment Code",$L3500,"due date",F$8)/-12</t>
  </si>
  <si>
    <t>=NL("sum","Production Order","Quantity","Source No.",$D3500,"Equipment Code",$L3500,"due date",G$8)/-12</t>
  </si>
  <si>
    <t>=NL("sum","Production Order","Quantity","Source No.",$D3500,"Equipment Code",$L3500,"due date",H$8)/-12</t>
  </si>
  <si>
    <t>=NL("sum","Production Order","Quantity","Source No.",$D3500,"Equipment Code",$L3500,"due date",I$8)/-12</t>
  </si>
  <si>
    <t>=NL("sum","Production Order","Quantity","Source No.",$D3500,"Equipment Code",$L3500,"due date",J$8)/$J$7</t>
  </si>
  <si>
    <t>=AVERAGE(I3500:J3500)</t>
  </si>
  <si>
    <t>=IF(K3501=0,"hide","")</t>
  </si>
  <si>
    <t>=D3500</t>
  </si>
  <si>
    <t>=NL("sum","Production Order","Quantity","Source No.",$D3501,"Equipment Code",$L3501,"due date",F$8)/-12</t>
  </si>
  <si>
    <t>=NL("sum","Production Order","Quantity","Source No.",$D3501,"Equipment Code",$L3501,"due date",G$8)/-12</t>
  </si>
  <si>
    <t>=NL("sum","Production Order","Quantity","Source No.",$D3501,"Equipment Code",$L3501,"due date",H$8)/-12</t>
  </si>
  <si>
    <t>=NL("sum","Production Order","Quantity","Source No.",$D3501,"Equipment Code",$L3501,"due date",I$8)/-12</t>
  </si>
  <si>
    <t>=NL("sum","Production Order","Quantity","Source No.",$D3501,"Equipment Code",$L3501,"due date",J$8)/$J$7</t>
  </si>
  <si>
    <t>=AVERAGE(I3501:J3501)</t>
  </si>
  <si>
    <t>=B3498</t>
  </si>
  <si>
    <t>=B3502</t>
  </si>
  <si>
    <t>=SUM(F3498:F3502)</t>
  </si>
  <si>
    <t>=SUM(G3498:G3502)</t>
  </si>
  <si>
    <t>=SUM(H3498:H3502)</t>
  </si>
  <si>
    <t>=SUM(I3498:I3502)</t>
  </si>
  <si>
    <t>=SUM(J3498:J3502)</t>
  </si>
  <si>
    <t>=IF(K3504=0,"hide","")</t>
  </si>
  <si>
    <t>="46410"</t>
  </si>
  <si>
    <t>=NL("rows","Production BOM Version","Version Code","Production BOM No.",D3504,"status","certified")</t>
  </si>
  <si>
    <t>=NL("sum","Item Ledger Entry","Quantity","Item No.",$D3504,"Entry Type","Sale|Consumption","posting date","01/01/19..12/31/19")/-12</t>
  </si>
  <si>
    <t>=NL("sum","Item Ledger Entry","Quantity","Item No.",$D3504,"Entry Type","Sale|Consumption","posting date","01/01/20..12/31/20")/-12</t>
  </si>
  <si>
    <t>=NL("sum","Item Ledger Entry","Quantity","Item No.",$D3504,"Entry Type","Sale|Consumption","posting date","01/01/21..12/31/21")/-12</t>
  </si>
  <si>
    <t>=NL("sum","Item Ledger Entry","Quantity","Item No.",$D3504,"Entry Type","Sale|Consumption","posting date","01/01/22..12/31/22")/-12</t>
  </si>
  <si>
    <t>=NL("sum","Item Ledger Entry","Quantity","Item No.",$D3504,"Entry Type","Sale|Consumption","posting date","01/01/23..12/31/23")/$J$7</t>
  </si>
  <si>
    <t>=AVERAGE(I3504:J3504)</t>
  </si>
  <si>
    <t>=NL(1,"item",L$9,"no.",D3504)</t>
  </si>
  <si>
    <t>=NL(1,"item",M$9,"no.",$D3504)</t>
  </si>
  <si>
    <t>=NL(1,"item","Units Per Parcel","no.",$D3504)</t>
  </si>
  <si>
    <t>=NL(1,"Prod. BOM Equipment","Fixed Prod. Time (Hours)","Production BOM No.",$D3504,"version code",$E3504,"Resource No.",O$9)</t>
  </si>
  <si>
    <t>=1/O3504</t>
  </si>
  <si>
    <t>=IF(NL(1,"Prod. BOM Equipment","Variable Prod. Time (Hours)","Production BOM No.",$D3504,"version code",$E3504,"Resource No.",$O$9)="",1,NL(1,"Prod. BOM Equipment","Variable Prod. Time (Hours)","Production BOM No.",$D3504,"version code",$E3504,"Resource No.",$O$9))</t>
  </si>
  <si>
    <t>=1/Q3504</t>
  </si>
  <si>
    <t>=R3504*N3504</t>
  </si>
  <si>
    <t>=IF(K3505=0,"hide","")</t>
  </si>
  <si>
    <t>=D3504</t>
  </si>
  <si>
    <t>=NL("sum","Production Order","Quantity","Source No.",$D3505,"Equipment Code",$L3505,"due date",F$8)/-12</t>
  </si>
  <si>
    <t>=NL("sum","Production Order","Quantity","Source No.",$D3505,"Equipment Code",$L3505,"due date",G$8)/-12</t>
  </si>
  <si>
    <t>=NL("sum","Production Order","Quantity","Source No.",$D3505,"Equipment Code",$L3505,"due date",H$8)/-12</t>
  </si>
  <si>
    <t>=NL("sum","Production Order","Quantity","Source No.",$D3505,"Equipment Code",$L3505,"due date",I$8)/-12</t>
  </si>
  <si>
    <t>=NL("sum","Production Order","Quantity","Source No.",$D3505,"Equipment Code",$L3505,"due date",J$8)/$J$7</t>
  </si>
  <si>
    <t>=AVERAGE(I3505:J3505)</t>
  </si>
  <si>
    <t>=IF(K3506=0,"hide","")</t>
  </si>
  <si>
    <t>=D3505</t>
  </si>
  <si>
    <t>=NL("sum","Production Order","Quantity","Source No.",$D3506,"Equipment Code",$L3506,"due date",F$8)/-12</t>
  </si>
  <si>
    <t>=NL("sum","Production Order","Quantity","Source No.",$D3506,"Equipment Code",$L3506,"due date",G$8)/-12</t>
  </si>
  <si>
    <t>=NL("sum","Production Order","Quantity","Source No.",$D3506,"Equipment Code",$L3506,"due date",H$8)/-12</t>
  </si>
  <si>
    <t>=NL("sum","Production Order","Quantity","Source No.",$D3506,"Equipment Code",$L3506,"due date",I$8)/-12</t>
  </si>
  <si>
    <t>=NL("sum","Production Order","Quantity","Source No.",$D3506,"Equipment Code",$L3506,"due date",J$8)/$J$7</t>
  </si>
  <si>
    <t>=AVERAGE(I3506:J3506)</t>
  </si>
  <si>
    <t>=IF(K3507=0,"hide","")</t>
  </si>
  <si>
    <t>=D3506</t>
  </si>
  <si>
    <t>=NL("sum","Production Order","Quantity","Source No.",$D3507,"Equipment Code",$L3507,"due date",F$8)/-12</t>
  </si>
  <si>
    <t>=NL("sum","Production Order","Quantity","Source No.",$D3507,"Equipment Code",$L3507,"due date",G$8)/-12</t>
  </si>
  <si>
    <t>=NL("sum","Production Order","Quantity","Source No.",$D3507,"Equipment Code",$L3507,"due date",H$8)/-12</t>
  </si>
  <si>
    <t>=NL("sum","Production Order","Quantity","Source No.",$D3507,"Equipment Code",$L3507,"due date",I$8)/-12</t>
  </si>
  <si>
    <t>=NL("sum","Production Order","Quantity","Source No.",$D3507,"Equipment Code",$L3507,"due date",J$8)/$J$7</t>
  </si>
  <si>
    <t>=AVERAGE(I3507:J3507)</t>
  </si>
  <si>
    <t>=IF(K3508=0,"hide","")</t>
  </si>
  <si>
    <t>=D3507</t>
  </si>
  <si>
    <t>=NL("sum","Production Order","Quantity","Source No.",$D3508,"Equipment Code",$L3508,"due date",F$8)/-12</t>
  </si>
  <si>
    <t>=NL("sum","Production Order","Quantity","Source No.",$D3508,"Equipment Code",$L3508,"due date",G$8)/-12</t>
  </si>
  <si>
    <t>=NL("sum","Production Order","Quantity","Source No.",$D3508,"Equipment Code",$L3508,"due date",H$8)/-12</t>
  </si>
  <si>
    <t>=NL("sum","Production Order","Quantity","Source No.",$D3508,"Equipment Code",$L3508,"due date",I$8)/-12</t>
  </si>
  <si>
    <t>=NL("sum","Production Order","Quantity","Source No.",$D3508,"Equipment Code",$L3508,"due date",J$8)/$J$7</t>
  </si>
  <si>
    <t>=AVERAGE(I3508:J3508)</t>
  </si>
  <si>
    <t>=B3505</t>
  </si>
  <si>
    <t>=B3509</t>
  </si>
  <si>
    <t>=SUM(F3505:F3509)</t>
  </si>
  <si>
    <t>=SUM(G3505:G3509)</t>
  </si>
  <si>
    <t>=SUM(H3505:H3509)</t>
  </si>
  <si>
    <t>=SUM(I3505:I3509)</t>
  </si>
  <si>
    <t>=SUM(J3505:J3509)</t>
  </si>
  <si>
    <t>=IF(K3511=0,"hide","")</t>
  </si>
  <si>
    <t>="46422"</t>
  </si>
  <si>
    <t>=NL("rows","Production BOM Version","Version Code","Production BOM No.",D3511,"status","certified")</t>
  </si>
  <si>
    <t>=NL("sum","Item Ledger Entry","Quantity","Item No.",$D3511,"Entry Type","Sale|Consumption","posting date","01/01/19..12/31/19")/-12</t>
  </si>
  <si>
    <t>=NL("sum","Item Ledger Entry","Quantity","Item No.",$D3511,"Entry Type","Sale|Consumption","posting date","01/01/20..12/31/20")/-12</t>
  </si>
  <si>
    <t>=NL("sum","Item Ledger Entry","Quantity","Item No.",$D3511,"Entry Type","Sale|Consumption","posting date","01/01/21..12/31/21")/-12</t>
  </si>
  <si>
    <t>=NL("sum","Item Ledger Entry","Quantity","Item No.",$D3511,"Entry Type","Sale|Consumption","posting date","01/01/22..12/31/22")/-12</t>
  </si>
  <si>
    <t>=NL("sum","Item Ledger Entry","Quantity","Item No.",$D3511,"Entry Type","Sale|Consumption","posting date","01/01/23..12/31/23")/$J$7</t>
  </si>
  <si>
    <t>=AVERAGE(I3511:J3511)</t>
  </si>
  <si>
    <t>=NL(1,"item",L$9,"no.",D3511)</t>
  </si>
  <si>
    <t>=NL(1,"item",M$9,"no.",$D3511)</t>
  </si>
  <si>
    <t>=NL(1,"item","Units Per Parcel","no.",$D3511)</t>
  </si>
  <si>
    <t>=NL(1,"Prod. BOM Equipment","Fixed Prod. Time (Hours)","Production BOM No.",$D3511,"version code",$E3511,"Resource No.",O$9)</t>
  </si>
  <si>
    <t>=1/O3511</t>
  </si>
  <si>
    <t>=IF(NL(1,"Prod. BOM Equipment","Variable Prod. Time (Hours)","Production BOM No.",$D3511,"version code",$E3511,"Resource No.",$O$9)="",1,NL(1,"Prod. BOM Equipment","Variable Prod. Time (Hours)","Production BOM No.",$D3511,"version code",$E3511,"Resource No.",$O$9))</t>
  </si>
  <si>
    <t>=1/Q3511</t>
  </si>
  <si>
    <t>=R3511*N3511</t>
  </si>
  <si>
    <t>=IF(K3512=0,"hide","")</t>
  </si>
  <si>
    <t>=D3511</t>
  </si>
  <si>
    <t>=NL("sum","Production Order","Quantity","Source No.",$D3512,"Equipment Code",$L3512,"due date",F$8)/-12</t>
  </si>
  <si>
    <t>=NL("sum","Production Order","Quantity","Source No.",$D3512,"Equipment Code",$L3512,"due date",G$8)/-12</t>
  </si>
  <si>
    <t>=NL("sum","Production Order","Quantity","Source No.",$D3512,"Equipment Code",$L3512,"due date",H$8)/-12</t>
  </si>
  <si>
    <t>=NL("sum","Production Order","Quantity","Source No.",$D3512,"Equipment Code",$L3512,"due date",I$8)/-12</t>
  </si>
  <si>
    <t>=NL("sum","Production Order","Quantity","Source No.",$D3512,"Equipment Code",$L3512,"due date",J$8)/$J$7</t>
  </si>
  <si>
    <t>=AVERAGE(I3512:J3512)</t>
  </si>
  <si>
    <t>=IF(K3513=0,"hide","")</t>
  </si>
  <si>
    <t>=D3512</t>
  </si>
  <si>
    <t>=NL("sum","Production Order","Quantity","Source No.",$D3513,"Equipment Code",$L3513,"due date",F$8)/-12</t>
  </si>
  <si>
    <t>=NL("sum","Production Order","Quantity","Source No.",$D3513,"Equipment Code",$L3513,"due date",G$8)/-12</t>
  </si>
  <si>
    <t>=NL("sum","Production Order","Quantity","Source No.",$D3513,"Equipment Code",$L3513,"due date",H$8)/-12</t>
  </si>
  <si>
    <t>=NL("sum","Production Order","Quantity","Source No.",$D3513,"Equipment Code",$L3513,"due date",I$8)/-12</t>
  </si>
  <si>
    <t>=NL("sum","Production Order","Quantity","Source No.",$D3513,"Equipment Code",$L3513,"due date",J$8)/$J$7</t>
  </si>
  <si>
    <t>=AVERAGE(I3513:J3513)</t>
  </si>
  <si>
    <t>=IF(K3514=0,"hide","")</t>
  </si>
  <si>
    <t>=D3513</t>
  </si>
  <si>
    <t>=NL("sum","Production Order","Quantity","Source No.",$D3514,"Equipment Code",$L3514,"due date",F$8)/-12</t>
  </si>
  <si>
    <t>=NL("sum","Production Order","Quantity","Source No.",$D3514,"Equipment Code",$L3514,"due date",G$8)/-12</t>
  </si>
  <si>
    <t>=NL("sum","Production Order","Quantity","Source No.",$D3514,"Equipment Code",$L3514,"due date",H$8)/-12</t>
  </si>
  <si>
    <t>=NL("sum","Production Order","Quantity","Source No.",$D3514,"Equipment Code",$L3514,"due date",I$8)/-12</t>
  </si>
  <si>
    <t>=NL("sum","Production Order","Quantity","Source No.",$D3514,"Equipment Code",$L3514,"due date",J$8)/$J$7</t>
  </si>
  <si>
    <t>=AVERAGE(I3514:J3514)</t>
  </si>
  <si>
    <t>=IF(K3515=0,"hide","")</t>
  </si>
  <si>
    <t>=D3514</t>
  </si>
  <si>
    <t>=NL("sum","Production Order","Quantity","Source No.",$D3515,"Equipment Code",$L3515,"due date",F$8)/-12</t>
  </si>
  <si>
    <t>=NL("sum","Production Order","Quantity","Source No.",$D3515,"Equipment Code",$L3515,"due date",G$8)/-12</t>
  </si>
  <si>
    <t>=NL("sum","Production Order","Quantity","Source No.",$D3515,"Equipment Code",$L3515,"due date",H$8)/-12</t>
  </si>
  <si>
    <t>=NL("sum","Production Order","Quantity","Source No.",$D3515,"Equipment Code",$L3515,"due date",I$8)/-12</t>
  </si>
  <si>
    <t>=NL("sum","Production Order","Quantity","Source No.",$D3515,"Equipment Code",$L3515,"due date",J$8)/$J$7</t>
  </si>
  <si>
    <t>=AVERAGE(I3515:J3515)</t>
  </si>
  <si>
    <t>=B3512</t>
  </si>
  <si>
    <t>=B3516</t>
  </si>
  <si>
    <t>=SUM(F3512:F3516)</t>
  </si>
  <si>
    <t>=SUM(G3512:G3516)</t>
  </si>
  <si>
    <t>=SUM(H3512:H3516)</t>
  </si>
  <si>
    <t>=SUM(I3512:I3516)</t>
  </si>
  <si>
    <t>=SUM(J3512:J3516)</t>
  </si>
  <si>
    <t>=IF(K3518=0,"hide","")</t>
  </si>
  <si>
    <t>="46444"</t>
  </si>
  <si>
    <t>=NL("rows","Production BOM Version","Version Code","Production BOM No.",D3518,"status","certified")</t>
  </si>
  <si>
    <t>=NL("sum","Item Ledger Entry","Quantity","Item No.",$D3518,"Entry Type","Sale|Consumption","posting date","01/01/19..12/31/19")/-12</t>
  </si>
  <si>
    <t>=NL("sum","Item Ledger Entry","Quantity","Item No.",$D3518,"Entry Type","Sale|Consumption","posting date","01/01/20..12/31/20")/-12</t>
  </si>
  <si>
    <t>=NL("sum","Item Ledger Entry","Quantity","Item No.",$D3518,"Entry Type","Sale|Consumption","posting date","01/01/21..12/31/21")/-12</t>
  </si>
  <si>
    <t>=NL("sum","Item Ledger Entry","Quantity","Item No.",$D3518,"Entry Type","Sale|Consumption","posting date","01/01/22..12/31/22")/-12</t>
  </si>
  <si>
    <t>=NL("sum","Item Ledger Entry","Quantity","Item No.",$D3518,"Entry Type","Sale|Consumption","posting date","01/01/23..12/31/23")/$J$7</t>
  </si>
  <si>
    <t>=AVERAGE(I3518:J3518)</t>
  </si>
  <si>
    <t>=NL(1,"item",L$9,"no.",D3518)</t>
  </si>
  <si>
    <t>=NL(1,"item",M$9,"no.",$D3518)</t>
  </si>
  <si>
    <t>=NL(1,"item","Units Per Parcel","no.",$D3518)</t>
  </si>
  <si>
    <t>=NL(1,"Prod. BOM Equipment","Fixed Prod. Time (Hours)","Production BOM No.",$D3518,"version code",$E3518,"Resource No.",O$9)</t>
  </si>
  <si>
    <t>=1/O3518</t>
  </si>
  <si>
    <t>=IF(NL(1,"Prod. BOM Equipment","Variable Prod. Time (Hours)","Production BOM No.",$D3518,"version code",$E3518,"Resource No.",$O$9)="",1,NL(1,"Prod. BOM Equipment","Variable Prod. Time (Hours)","Production BOM No.",$D3518,"version code",$E3518,"Resource No.",$O$9))</t>
  </si>
  <si>
    <t>=1/Q3518</t>
  </si>
  <si>
    <t>=R3518*N3518</t>
  </si>
  <si>
    <t>=IF(K3519=0,"hide","")</t>
  </si>
  <si>
    <t>=D3518</t>
  </si>
  <si>
    <t>=NL("sum","Production Order","Quantity","Source No.",$D3519,"Equipment Code",$L3519,"due date",F$8)/-12</t>
  </si>
  <si>
    <t>=NL("sum","Production Order","Quantity","Source No.",$D3519,"Equipment Code",$L3519,"due date",G$8)/-12</t>
  </si>
  <si>
    <t>=NL("sum","Production Order","Quantity","Source No.",$D3519,"Equipment Code",$L3519,"due date",H$8)/-12</t>
  </si>
  <si>
    <t>=NL("sum","Production Order","Quantity","Source No.",$D3519,"Equipment Code",$L3519,"due date",I$8)/-12</t>
  </si>
  <si>
    <t>=NL("sum","Production Order","Quantity","Source No.",$D3519,"Equipment Code",$L3519,"due date",J$8)/$J$7</t>
  </si>
  <si>
    <t>=AVERAGE(I3519:J3519)</t>
  </si>
  <si>
    <t>=IF(K3520=0,"hide","")</t>
  </si>
  <si>
    <t>=D3519</t>
  </si>
  <si>
    <t>=NL("sum","Production Order","Quantity","Source No.",$D3520,"Equipment Code",$L3520,"due date",F$8)/-12</t>
  </si>
  <si>
    <t>=NL("sum","Production Order","Quantity","Source No.",$D3520,"Equipment Code",$L3520,"due date",G$8)/-12</t>
  </si>
  <si>
    <t>=NL("sum","Production Order","Quantity","Source No.",$D3520,"Equipment Code",$L3520,"due date",H$8)/-12</t>
  </si>
  <si>
    <t>=NL("sum","Production Order","Quantity","Source No.",$D3520,"Equipment Code",$L3520,"due date",I$8)/-12</t>
  </si>
  <si>
    <t>=NL("sum","Production Order","Quantity","Source No.",$D3520,"Equipment Code",$L3520,"due date",J$8)/$J$7</t>
  </si>
  <si>
    <t>=AVERAGE(I3520:J3520)</t>
  </si>
  <si>
    <t>=IF(K3521=0,"hide","")</t>
  </si>
  <si>
    <t>=D3520</t>
  </si>
  <si>
    <t>=NL("sum","Production Order","Quantity","Source No.",$D3521,"Equipment Code",$L3521,"due date",F$8)/-12</t>
  </si>
  <si>
    <t>=NL("sum","Production Order","Quantity","Source No.",$D3521,"Equipment Code",$L3521,"due date",G$8)/-12</t>
  </si>
  <si>
    <t>=NL("sum","Production Order","Quantity","Source No.",$D3521,"Equipment Code",$L3521,"due date",H$8)/-12</t>
  </si>
  <si>
    <t>=NL("sum","Production Order","Quantity","Source No.",$D3521,"Equipment Code",$L3521,"due date",I$8)/-12</t>
  </si>
  <si>
    <t>=NL("sum","Production Order","Quantity","Source No.",$D3521,"Equipment Code",$L3521,"due date",J$8)/$J$7</t>
  </si>
  <si>
    <t>=AVERAGE(I3521:J3521)</t>
  </si>
  <si>
    <t>=IF(K3522=0,"hide","")</t>
  </si>
  <si>
    <t>=D3521</t>
  </si>
  <si>
    <t>=NL("sum","Production Order","Quantity","Source No.",$D3522,"Equipment Code",$L3522,"due date",F$8)/-12</t>
  </si>
  <si>
    <t>=NL("sum","Production Order","Quantity","Source No.",$D3522,"Equipment Code",$L3522,"due date",G$8)/-12</t>
  </si>
  <si>
    <t>=NL("sum","Production Order","Quantity","Source No.",$D3522,"Equipment Code",$L3522,"due date",H$8)/-12</t>
  </si>
  <si>
    <t>=NL("sum","Production Order","Quantity","Source No.",$D3522,"Equipment Code",$L3522,"due date",I$8)/-12</t>
  </si>
  <si>
    <t>=NL("sum","Production Order","Quantity","Source No.",$D3522,"Equipment Code",$L3522,"due date",J$8)/$J$7</t>
  </si>
  <si>
    <t>=AVERAGE(I3522:J3522)</t>
  </si>
  <si>
    <t>=B3519</t>
  </si>
  <si>
    <t>=B3523</t>
  </si>
  <si>
    <t>=SUM(F3519:F3523)</t>
  </si>
  <si>
    <t>=SUM(G3519:G3523)</t>
  </si>
  <si>
    <t>=SUM(H3519:H3523)</t>
  </si>
  <si>
    <t>=SUM(I3519:I3523)</t>
  </si>
  <si>
    <t>=SUM(J3519:J3523)</t>
  </si>
  <si>
    <t>=IF(K3525=0,"hide","")</t>
  </si>
  <si>
    <t>="46448"</t>
  </si>
  <si>
    <t>=NL("rows","Production BOM Version","Version Code","Production BOM No.",D3525,"status","certified")</t>
  </si>
  <si>
    <t>=NL("sum","Item Ledger Entry","Quantity","Item No.",$D3525,"Entry Type","Sale|Consumption","posting date","01/01/19..12/31/19")/-12</t>
  </si>
  <si>
    <t>=NL("sum","Item Ledger Entry","Quantity","Item No.",$D3525,"Entry Type","Sale|Consumption","posting date","01/01/20..12/31/20")/-12</t>
  </si>
  <si>
    <t>=NL("sum","Item Ledger Entry","Quantity","Item No.",$D3525,"Entry Type","Sale|Consumption","posting date","01/01/21..12/31/21")/-12</t>
  </si>
  <si>
    <t>=NL("sum","Item Ledger Entry","Quantity","Item No.",$D3525,"Entry Type","Sale|Consumption","posting date","01/01/22..12/31/22")/-12</t>
  </si>
  <si>
    <t>=NL("sum","Item Ledger Entry","Quantity","Item No.",$D3525,"Entry Type","Sale|Consumption","posting date","01/01/23..12/31/23")/$J$7</t>
  </si>
  <si>
    <t>=AVERAGE(I3525:J3525)</t>
  </si>
  <si>
    <t>=NL(1,"item",L$9,"no.",D3525)</t>
  </si>
  <si>
    <t>=NL(1,"item",M$9,"no.",$D3525)</t>
  </si>
  <si>
    <t>=NL(1,"item","Units Per Parcel","no.",$D3525)</t>
  </si>
  <si>
    <t>=NL(1,"Prod. BOM Equipment","Fixed Prod. Time (Hours)","Production BOM No.",$D3525,"version code",$E3525,"Resource No.",O$9)</t>
  </si>
  <si>
    <t>=1/O3525</t>
  </si>
  <si>
    <t>=IF(NL(1,"Prod. BOM Equipment","Variable Prod. Time (Hours)","Production BOM No.",$D3525,"version code",$E3525,"Resource No.",$O$9)="",1,NL(1,"Prod. BOM Equipment","Variable Prod. Time (Hours)","Production BOM No.",$D3525,"version code",$E3525,"Resource No.",$O$9))</t>
  </si>
  <si>
    <t>=1/Q3525</t>
  </si>
  <si>
    <t>=R3525*N3525</t>
  </si>
  <si>
    <t>=IF(K3526=0,"hide","")</t>
  </si>
  <si>
    <t>=D3525</t>
  </si>
  <si>
    <t>=NL("sum","Production Order","Quantity","Source No.",$D3526,"Equipment Code",$L3526,"due date",F$8)/-12</t>
  </si>
  <si>
    <t>=NL("sum","Production Order","Quantity","Source No.",$D3526,"Equipment Code",$L3526,"due date",G$8)/-12</t>
  </si>
  <si>
    <t>=NL("sum","Production Order","Quantity","Source No.",$D3526,"Equipment Code",$L3526,"due date",H$8)/-12</t>
  </si>
  <si>
    <t>=NL("sum","Production Order","Quantity","Source No.",$D3526,"Equipment Code",$L3526,"due date",I$8)/-12</t>
  </si>
  <si>
    <t>=NL("sum","Production Order","Quantity","Source No.",$D3526,"Equipment Code",$L3526,"due date",J$8)/$J$7</t>
  </si>
  <si>
    <t>=AVERAGE(I3526:J3526)</t>
  </si>
  <si>
    <t>=IF(K3527=0,"hide","")</t>
  </si>
  <si>
    <t>=D3526</t>
  </si>
  <si>
    <t>=NL("sum","Production Order","Quantity","Source No.",$D3527,"Equipment Code",$L3527,"due date",F$8)/-12</t>
  </si>
  <si>
    <t>=NL("sum","Production Order","Quantity","Source No.",$D3527,"Equipment Code",$L3527,"due date",G$8)/-12</t>
  </si>
  <si>
    <t>=NL("sum","Production Order","Quantity","Source No.",$D3527,"Equipment Code",$L3527,"due date",H$8)/-12</t>
  </si>
  <si>
    <t>=NL("sum","Production Order","Quantity","Source No.",$D3527,"Equipment Code",$L3527,"due date",I$8)/-12</t>
  </si>
  <si>
    <t>=NL("sum","Production Order","Quantity","Source No.",$D3527,"Equipment Code",$L3527,"due date",J$8)/$J$7</t>
  </si>
  <si>
    <t>=AVERAGE(I3527:J3527)</t>
  </si>
  <si>
    <t>=IF(K3528=0,"hide","")</t>
  </si>
  <si>
    <t>=D3527</t>
  </si>
  <si>
    <t>=NL("sum","Production Order","Quantity","Source No.",$D3528,"Equipment Code",$L3528,"due date",F$8)/-12</t>
  </si>
  <si>
    <t>=NL("sum","Production Order","Quantity","Source No.",$D3528,"Equipment Code",$L3528,"due date",G$8)/-12</t>
  </si>
  <si>
    <t>=NL("sum","Production Order","Quantity","Source No.",$D3528,"Equipment Code",$L3528,"due date",H$8)/-12</t>
  </si>
  <si>
    <t>=NL("sum","Production Order","Quantity","Source No.",$D3528,"Equipment Code",$L3528,"due date",I$8)/-12</t>
  </si>
  <si>
    <t>=NL("sum","Production Order","Quantity","Source No.",$D3528,"Equipment Code",$L3528,"due date",J$8)/$J$7</t>
  </si>
  <si>
    <t>=AVERAGE(I3528:J3528)</t>
  </si>
  <si>
    <t>=IF(K3529=0,"hide","")</t>
  </si>
  <si>
    <t>=D3528</t>
  </si>
  <si>
    <t>=NL("sum","Production Order","Quantity","Source No.",$D3529,"Equipment Code",$L3529,"due date",F$8)/-12</t>
  </si>
  <si>
    <t>=NL("sum","Production Order","Quantity","Source No.",$D3529,"Equipment Code",$L3529,"due date",G$8)/-12</t>
  </si>
  <si>
    <t>=NL("sum","Production Order","Quantity","Source No.",$D3529,"Equipment Code",$L3529,"due date",H$8)/-12</t>
  </si>
  <si>
    <t>=NL("sum","Production Order","Quantity","Source No.",$D3529,"Equipment Code",$L3529,"due date",I$8)/-12</t>
  </si>
  <si>
    <t>=NL("sum","Production Order","Quantity","Source No.",$D3529,"Equipment Code",$L3529,"due date",J$8)/$J$7</t>
  </si>
  <si>
    <t>=AVERAGE(I3529:J3529)</t>
  </si>
  <si>
    <t>=B3526</t>
  </si>
  <si>
    <t>=B3530</t>
  </si>
  <si>
    <t>=SUM(F3526:F3530)</t>
  </si>
  <si>
    <t>=SUM(G3526:G3530)</t>
  </si>
  <si>
    <t>=SUM(H3526:H3530)</t>
  </si>
  <si>
    <t>=SUM(I3526:I3530)</t>
  </si>
  <si>
    <t>=SUM(J3526:J3530)</t>
  </si>
  <si>
    <t>=IF(K3532=0,"hide","")</t>
  </si>
  <si>
    <t>="46451"</t>
  </si>
  <si>
    <t>=NL("rows","Production BOM Version","Version Code","Production BOM No.",D3532,"status","certified")</t>
  </si>
  <si>
    <t>=NL("sum","Item Ledger Entry","Quantity","Item No.",$D3532,"Entry Type","Sale|Consumption","posting date","01/01/19..12/31/19")/-12</t>
  </si>
  <si>
    <t>=NL("sum","Item Ledger Entry","Quantity","Item No.",$D3532,"Entry Type","Sale|Consumption","posting date","01/01/20..12/31/20")/-12</t>
  </si>
  <si>
    <t>=NL("sum","Item Ledger Entry","Quantity","Item No.",$D3532,"Entry Type","Sale|Consumption","posting date","01/01/21..12/31/21")/-12</t>
  </si>
  <si>
    <t>=NL("sum","Item Ledger Entry","Quantity","Item No.",$D3532,"Entry Type","Sale|Consumption","posting date","01/01/22..12/31/22")/-12</t>
  </si>
  <si>
    <t>=NL("sum","Item Ledger Entry","Quantity","Item No.",$D3532,"Entry Type","Sale|Consumption","posting date","01/01/23..12/31/23")/$J$7</t>
  </si>
  <si>
    <t>=AVERAGE(I3532:J3532)</t>
  </si>
  <si>
    <t>=NL(1,"item",L$9,"no.",D3532)</t>
  </si>
  <si>
    <t>=NL(1,"item",M$9,"no.",$D3532)</t>
  </si>
  <si>
    <t>=NL(1,"item","Units Per Parcel","no.",$D3532)</t>
  </si>
  <si>
    <t>=NL(1,"Prod. BOM Equipment","Fixed Prod. Time (Hours)","Production BOM No.",$D3532,"version code",$E3532,"Resource No.",O$9)</t>
  </si>
  <si>
    <t>=1/O3532</t>
  </si>
  <si>
    <t>=IF(NL(1,"Prod. BOM Equipment","Variable Prod. Time (Hours)","Production BOM No.",$D3532,"version code",$E3532,"Resource No.",$O$9)="",1,NL(1,"Prod. BOM Equipment","Variable Prod. Time (Hours)","Production BOM No.",$D3532,"version code",$E3532,"Resource No.",$O$9))</t>
  </si>
  <si>
    <t>=1/Q3532</t>
  </si>
  <si>
    <t>=R3532*N3532</t>
  </si>
  <si>
    <t>=IF(K3533=0,"hide","")</t>
  </si>
  <si>
    <t>=D3532</t>
  </si>
  <si>
    <t>=NL("sum","Production Order","Quantity","Source No.",$D3533,"Equipment Code",$L3533,"due date",F$8)/-12</t>
  </si>
  <si>
    <t>=NL("sum","Production Order","Quantity","Source No.",$D3533,"Equipment Code",$L3533,"due date",G$8)/-12</t>
  </si>
  <si>
    <t>=NL("sum","Production Order","Quantity","Source No.",$D3533,"Equipment Code",$L3533,"due date",H$8)/-12</t>
  </si>
  <si>
    <t>=NL("sum","Production Order","Quantity","Source No.",$D3533,"Equipment Code",$L3533,"due date",I$8)/-12</t>
  </si>
  <si>
    <t>=NL("sum","Production Order","Quantity","Source No.",$D3533,"Equipment Code",$L3533,"due date",J$8)/$J$7</t>
  </si>
  <si>
    <t>=AVERAGE(I3533:J3533)</t>
  </si>
  <si>
    <t>=IF(K3534=0,"hide","")</t>
  </si>
  <si>
    <t>=D3533</t>
  </si>
  <si>
    <t>=NL("sum","Production Order","Quantity","Source No.",$D3534,"Equipment Code",$L3534,"due date",F$8)/-12</t>
  </si>
  <si>
    <t>=NL("sum","Production Order","Quantity","Source No.",$D3534,"Equipment Code",$L3534,"due date",G$8)/-12</t>
  </si>
  <si>
    <t>=NL("sum","Production Order","Quantity","Source No.",$D3534,"Equipment Code",$L3534,"due date",H$8)/-12</t>
  </si>
  <si>
    <t>=NL("sum","Production Order","Quantity","Source No.",$D3534,"Equipment Code",$L3534,"due date",I$8)/-12</t>
  </si>
  <si>
    <t>=NL("sum","Production Order","Quantity","Source No.",$D3534,"Equipment Code",$L3534,"due date",J$8)/$J$7</t>
  </si>
  <si>
    <t>=AVERAGE(I3534:J3534)</t>
  </si>
  <si>
    <t>=IF(K3535=0,"hide","")</t>
  </si>
  <si>
    <t>=D3534</t>
  </si>
  <si>
    <t>=NL("sum","Production Order","Quantity","Source No.",$D3535,"Equipment Code",$L3535,"due date",F$8)/-12</t>
  </si>
  <si>
    <t>=NL("sum","Production Order","Quantity","Source No.",$D3535,"Equipment Code",$L3535,"due date",G$8)/-12</t>
  </si>
  <si>
    <t>=NL("sum","Production Order","Quantity","Source No.",$D3535,"Equipment Code",$L3535,"due date",H$8)/-12</t>
  </si>
  <si>
    <t>=NL("sum","Production Order","Quantity","Source No.",$D3535,"Equipment Code",$L3535,"due date",I$8)/-12</t>
  </si>
  <si>
    <t>=NL("sum","Production Order","Quantity","Source No.",$D3535,"Equipment Code",$L3535,"due date",J$8)/$J$7</t>
  </si>
  <si>
    <t>=AVERAGE(I3535:J3535)</t>
  </si>
  <si>
    <t>=IF(K3536=0,"hide","")</t>
  </si>
  <si>
    <t>=D3535</t>
  </si>
  <si>
    <t>=NL("sum","Production Order","Quantity","Source No.",$D3536,"Equipment Code",$L3536,"due date",F$8)/-12</t>
  </si>
  <si>
    <t>=NL("sum","Production Order","Quantity","Source No.",$D3536,"Equipment Code",$L3536,"due date",G$8)/-12</t>
  </si>
  <si>
    <t>=NL("sum","Production Order","Quantity","Source No.",$D3536,"Equipment Code",$L3536,"due date",H$8)/-12</t>
  </si>
  <si>
    <t>=NL("sum","Production Order","Quantity","Source No.",$D3536,"Equipment Code",$L3536,"due date",I$8)/-12</t>
  </si>
  <si>
    <t>=NL("sum","Production Order","Quantity","Source No.",$D3536,"Equipment Code",$L3536,"due date",J$8)/$J$7</t>
  </si>
  <si>
    <t>=AVERAGE(I3536:J3536)</t>
  </si>
  <si>
    <t>=B3533</t>
  </si>
  <si>
    <t>=B3537</t>
  </si>
  <si>
    <t>=SUM(F3533:F3537)</t>
  </si>
  <si>
    <t>=SUM(G3533:G3537)</t>
  </si>
  <si>
    <t>=SUM(H3533:H3537)</t>
  </si>
  <si>
    <t>=SUM(I3533:I3537)</t>
  </si>
  <si>
    <t>=SUM(J3533:J3537)</t>
  </si>
  <si>
    <t>=IF(K3539=0,"hide","")</t>
  </si>
  <si>
    <t>="46701"</t>
  </si>
  <si>
    <t>=NL("rows","Production BOM Version","Version Code","Production BOM No.",D3539,"status","certified")</t>
  </si>
  <si>
    <t>=NL("sum","Item Ledger Entry","Quantity","Item No.",$D3539,"Entry Type","Sale|Consumption","posting date","01/01/19..12/31/19")/-12</t>
  </si>
  <si>
    <t>=NL("sum","Item Ledger Entry","Quantity","Item No.",$D3539,"Entry Type","Sale|Consumption","posting date","01/01/20..12/31/20")/-12</t>
  </si>
  <si>
    <t>=NL("sum","Item Ledger Entry","Quantity","Item No.",$D3539,"Entry Type","Sale|Consumption","posting date","01/01/21..12/31/21")/-12</t>
  </si>
  <si>
    <t>=NL("sum","Item Ledger Entry","Quantity","Item No.",$D3539,"Entry Type","Sale|Consumption","posting date","01/01/22..12/31/22")/-12</t>
  </si>
  <si>
    <t>=NL("sum","Item Ledger Entry","Quantity","Item No.",$D3539,"Entry Type","Sale|Consumption","posting date","01/01/23..12/31/23")/$J$7</t>
  </si>
  <si>
    <t>=AVERAGE(I3539:J3539)</t>
  </si>
  <si>
    <t>=NL(1,"item",L$9,"no.",D3539)</t>
  </si>
  <si>
    <t>=NL(1,"item",M$9,"no.",$D3539)</t>
  </si>
  <si>
    <t>=NL(1,"item","Units Per Parcel","no.",$D3539)</t>
  </si>
  <si>
    <t>=NL(1,"Prod. BOM Equipment","Fixed Prod. Time (Hours)","Production BOM No.",$D3539,"version code",$E3539,"Resource No.",O$9)</t>
  </si>
  <si>
    <t>=1/O3539</t>
  </si>
  <si>
    <t>=IF(NL(1,"Prod. BOM Equipment","Variable Prod. Time (Hours)","Production BOM No.",$D3539,"version code",$E3539,"Resource No.",$O$9)="",1,NL(1,"Prod. BOM Equipment","Variable Prod. Time (Hours)","Production BOM No.",$D3539,"version code",$E3539,"Resource No.",$O$9))</t>
  </si>
  <si>
    <t>=1/Q3539</t>
  </si>
  <si>
    <t>=R3539*N3539</t>
  </si>
  <si>
    <t>=IF(K3540=0,"hide","")</t>
  </si>
  <si>
    <t>=D3539</t>
  </si>
  <si>
    <t>=NL("sum","Production Order","Quantity","Source No.",$D3540,"Equipment Code",$L3540,"due date",F$8)/-12</t>
  </si>
  <si>
    <t>=NL("sum","Production Order","Quantity","Source No.",$D3540,"Equipment Code",$L3540,"due date",G$8)/-12</t>
  </si>
  <si>
    <t>=NL("sum","Production Order","Quantity","Source No.",$D3540,"Equipment Code",$L3540,"due date",H$8)/-12</t>
  </si>
  <si>
    <t>=NL("sum","Production Order","Quantity","Source No.",$D3540,"Equipment Code",$L3540,"due date",I$8)/-12</t>
  </si>
  <si>
    <t>=NL("sum","Production Order","Quantity","Source No.",$D3540,"Equipment Code",$L3540,"due date",J$8)/$J$7</t>
  </si>
  <si>
    <t>=AVERAGE(I3540:J3540)</t>
  </si>
  <si>
    <t>=IF(K3541=0,"hide","")</t>
  </si>
  <si>
    <t>=D3540</t>
  </si>
  <si>
    <t>=NL("sum","Production Order","Quantity","Source No.",$D3541,"Equipment Code",$L3541,"due date",F$8)/-12</t>
  </si>
  <si>
    <t>=NL("sum","Production Order","Quantity","Source No.",$D3541,"Equipment Code",$L3541,"due date",G$8)/-12</t>
  </si>
  <si>
    <t>=NL("sum","Production Order","Quantity","Source No.",$D3541,"Equipment Code",$L3541,"due date",H$8)/-12</t>
  </si>
  <si>
    <t>=NL("sum","Production Order","Quantity","Source No.",$D3541,"Equipment Code",$L3541,"due date",I$8)/-12</t>
  </si>
  <si>
    <t>=NL("sum","Production Order","Quantity","Source No.",$D3541,"Equipment Code",$L3541,"due date",J$8)/$J$7</t>
  </si>
  <si>
    <t>=AVERAGE(I3541:J3541)</t>
  </si>
  <si>
    <t>=IF(K3542=0,"hide","")</t>
  </si>
  <si>
    <t>=D3541</t>
  </si>
  <si>
    <t>=NL("sum","Production Order","Quantity","Source No.",$D3542,"Equipment Code",$L3542,"due date",F$8)/-12</t>
  </si>
  <si>
    <t>=NL("sum","Production Order","Quantity","Source No.",$D3542,"Equipment Code",$L3542,"due date",G$8)/-12</t>
  </si>
  <si>
    <t>=NL("sum","Production Order","Quantity","Source No.",$D3542,"Equipment Code",$L3542,"due date",H$8)/-12</t>
  </si>
  <si>
    <t>=NL("sum","Production Order","Quantity","Source No.",$D3542,"Equipment Code",$L3542,"due date",I$8)/-12</t>
  </si>
  <si>
    <t>=NL("sum","Production Order","Quantity","Source No.",$D3542,"Equipment Code",$L3542,"due date",J$8)/$J$7</t>
  </si>
  <si>
    <t>=AVERAGE(I3542:J3542)</t>
  </si>
  <si>
    <t>=IF(K3543=0,"hide","")</t>
  </si>
  <si>
    <t>=D3542</t>
  </si>
  <si>
    <t>=NL("sum","Production Order","Quantity","Source No.",$D3543,"Equipment Code",$L3543,"due date",F$8)/-12</t>
  </si>
  <si>
    <t>=NL("sum","Production Order","Quantity","Source No.",$D3543,"Equipment Code",$L3543,"due date",G$8)/-12</t>
  </si>
  <si>
    <t>=NL("sum","Production Order","Quantity","Source No.",$D3543,"Equipment Code",$L3543,"due date",H$8)/-12</t>
  </si>
  <si>
    <t>=NL("sum","Production Order","Quantity","Source No.",$D3543,"Equipment Code",$L3543,"due date",I$8)/-12</t>
  </si>
  <si>
    <t>=NL("sum","Production Order","Quantity","Source No.",$D3543,"Equipment Code",$L3543,"due date",J$8)/$J$7</t>
  </si>
  <si>
    <t>=AVERAGE(I3543:J3543)</t>
  </si>
  <si>
    <t>=B3540</t>
  </si>
  <si>
    <t>=B3544</t>
  </si>
  <si>
    <t>=SUM(F3540:F3544)</t>
  </si>
  <si>
    <t>=SUM(G3540:G3544)</t>
  </si>
  <si>
    <t>=SUM(H3540:H3544)</t>
  </si>
  <si>
    <t>=SUM(I3540:I3544)</t>
  </si>
  <si>
    <t>=SUM(J3540:J3544)</t>
  </si>
  <si>
    <t>=IF(K3546=0,"hide","")</t>
  </si>
  <si>
    <t>="46703"</t>
  </si>
  <si>
    <t>=NL("rows","Production BOM Version","Version Code","Production BOM No.",D3546,"status","certified")</t>
  </si>
  <si>
    <t>=NL("sum","Item Ledger Entry","Quantity","Item No.",$D3546,"Entry Type","Sale|Consumption","posting date","01/01/19..12/31/19")/-12</t>
  </si>
  <si>
    <t>=NL("sum","Item Ledger Entry","Quantity","Item No.",$D3546,"Entry Type","Sale|Consumption","posting date","01/01/20..12/31/20")/-12</t>
  </si>
  <si>
    <t>=NL("sum","Item Ledger Entry","Quantity","Item No.",$D3546,"Entry Type","Sale|Consumption","posting date","01/01/21..12/31/21")/-12</t>
  </si>
  <si>
    <t>=NL("sum","Item Ledger Entry","Quantity","Item No.",$D3546,"Entry Type","Sale|Consumption","posting date","01/01/22..12/31/22")/-12</t>
  </si>
  <si>
    <t>=NL("sum","Item Ledger Entry","Quantity","Item No.",$D3546,"Entry Type","Sale|Consumption","posting date","01/01/23..12/31/23")/$J$7</t>
  </si>
  <si>
    <t>=AVERAGE(I3546:J3546)</t>
  </si>
  <si>
    <t>=NL(1,"item",L$9,"no.",D3546)</t>
  </si>
  <si>
    <t>=NL(1,"item",M$9,"no.",$D3546)</t>
  </si>
  <si>
    <t>=NL(1,"item","Units Per Parcel","no.",$D3546)</t>
  </si>
  <si>
    <t>=NL(1,"Prod. BOM Equipment","Fixed Prod. Time (Hours)","Production BOM No.",$D3546,"version code",$E3546,"Resource No.",O$9)</t>
  </si>
  <si>
    <t>=1/O3546</t>
  </si>
  <si>
    <t>=IF(NL(1,"Prod. BOM Equipment","Variable Prod. Time (Hours)","Production BOM No.",$D3546,"version code",$E3546,"Resource No.",$O$9)="",1,NL(1,"Prod. BOM Equipment","Variable Prod. Time (Hours)","Production BOM No.",$D3546,"version code",$E3546,"Resource No.",$O$9))</t>
  </si>
  <si>
    <t>=1/Q3546</t>
  </si>
  <si>
    <t>=R3546*N3546</t>
  </si>
  <si>
    <t>=IF(K3547=0,"hide","")</t>
  </si>
  <si>
    <t>=D3546</t>
  </si>
  <si>
    <t>=NL("sum","Production Order","Quantity","Source No.",$D3547,"Equipment Code",$L3547,"due date",F$8)/-12</t>
  </si>
  <si>
    <t>=NL("sum","Production Order","Quantity","Source No.",$D3547,"Equipment Code",$L3547,"due date",G$8)/-12</t>
  </si>
  <si>
    <t>=NL("sum","Production Order","Quantity","Source No.",$D3547,"Equipment Code",$L3547,"due date",H$8)/-12</t>
  </si>
  <si>
    <t>=NL("sum","Production Order","Quantity","Source No.",$D3547,"Equipment Code",$L3547,"due date",I$8)/-12</t>
  </si>
  <si>
    <t>=NL("sum","Production Order","Quantity","Source No.",$D3547,"Equipment Code",$L3547,"due date",J$8)/$J$7</t>
  </si>
  <si>
    <t>=AVERAGE(I3547:J3547)</t>
  </si>
  <si>
    <t>=IF(K3548=0,"hide","")</t>
  </si>
  <si>
    <t>=D3547</t>
  </si>
  <si>
    <t>=NL("sum","Production Order","Quantity","Source No.",$D3548,"Equipment Code",$L3548,"due date",F$8)/-12</t>
  </si>
  <si>
    <t>=NL("sum","Production Order","Quantity","Source No.",$D3548,"Equipment Code",$L3548,"due date",G$8)/-12</t>
  </si>
  <si>
    <t>=NL("sum","Production Order","Quantity","Source No.",$D3548,"Equipment Code",$L3548,"due date",H$8)/-12</t>
  </si>
  <si>
    <t>=NL("sum","Production Order","Quantity","Source No.",$D3548,"Equipment Code",$L3548,"due date",I$8)/-12</t>
  </si>
  <si>
    <t>=NL("sum","Production Order","Quantity","Source No.",$D3548,"Equipment Code",$L3548,"due date",J$8)/$J$7</t>
  </si>
  <si>
    <t>=AVERAGE(I3548:J3548)</t>
  </si>
  <si>
    <t>=IF(K3549=0,"hide","")</t>
  </si>
  <si>
    <t>=D3548</t>
  </si>
  <si>
    <t>=NL("sum","Production Order","Quantity","Source No.",$D3549,"Equipment Code",$L3549,"due date",F$8)/-12</t>
  </si>
  <si>
    <t>=NL("sum","Production Order","Quantity","Source No.",$D3549,"Equipment Code",$L3549,"due date",G$8)/-12</t>
  </si>
  <si>
    <t>=NL("sum","Production Order","Quantity","Source No.",$D3549,"Equipment Code",$L3549,"due date",H$8)/-12</t>
  </si>
  <si>
    <t>=NL("sum","Production Order","Quantity","Source No.",$D3549,"Equipment Code",$L3549,"due date",I$8)/-12</t>
  </si>
  <si>
    <t>=NL("sum","Production Order","Quantity","Source No.",$D3549,"Equipment Code",$L3549,"due date",J$8)/$J$7</t>
  </si>
  <si>
    <t>=AVERAGE(I3549:J3549)</t>
  </si>
  <si>
    <t>=IF(K3550=0,"hide","")</t>
  </si>
  <si>
    <t>=D3549</t>
  </si>
  <si>
    <t>=NL("sum","Production Order","Quantity","Source No.",$D3550,"Equipment Code",$L3550,"due date",F$8)/-12</t>
  </si>
  <si>
    <t>=NL("sum","Production Order","Quantity","Source No.",$D3550,"Equipment Code",$L3550,"due date",G$8)/-12</t>
  </si>
  <si>
    <t>=NL("sum","Production Order","Quantity","Source No.",$D3550,"Equipment Code",$L3550,"due date",H$8)/-12</t>
  </si>
  <si>
    <t>=NL("sum","Production Order","Quantity","Source No.",$D3550,"Equipment Code",$L3550,"due date",I$8)/-12</t>
  </si>
  <si>
    <t>=NL("sum","Production Order","Quantity","Source No.",$D3550,"Equipment Code",$L3550,"due date",J$8)/$J$7</t>
  </si>
  <si>
    <t>=AVERAGE(I3550:J3550)</t>
  </si>
  <si>
    <t>=B3547</t>
  </si>
  <si>
    <t>=B3551</t>
  </si>
  <si>
    <t>=SUM(F3547:F3551)</t>
  </si>
  <si>
    <t>=SUM(G3547:G3551)</t>
  </si>
  <si>
    <t>=SUM(H3547:H3551)</t>
  </si>
  <si>
    <t>=SUM(I3547:I3551)</t>
  </si>
  <si>
    <t>=SUM(J3547:J3551)</t>
  </si>
  <si>
    <t>=IF(K3553=0,"hide","")</t>
  </si>
  <si>
    <t>="46709"</t>
  </si>
  <si>
    <t>=NL("rows","Production BOM Version","Version Code","Production BOM No.",D3553,"status","certified")</t>
  </si>
  <si>
    <t>=NL("sum","Item Ledger Entry","Quantity","Item No.",$D3553,"Entry Type","Sale|Consumption","posting date","01/01/19..12/31/19")/-12</t>
  </si>
  <si>
    <t>=NL("sum","Item Ledger Entry","Quantity","Item No.",$D3553,"Entry Type","Sale|Consumption","posting date","01/01/20..12/31/20")/-12</t>
  </si>
  <si>
    <t>=NL("sum","Item Ledger Entry","Quantity","Item No.",$D3553,"Entry Type","Sale|Consumption","posting date","01/01/21..12/31/21")/-12</t>
  </si>
  <si>
    <t>=NL("sum","Item Ledger Entry","Quantity","Item No.",$D3553,"Entry Type","Sale|Consumption","posting date","01/01/22..12/31/22")/-12</t>
  </si>
  <si>
    <t>=NL("sum","Item Ledger Entry","Quantity","Item No.",$D3553,"Entry Type","Sale|Consumption","posting date","01/01/23..12/31/23")/$J$7</t>
  </si>
  <si>
    <t>=AVERAGE(I3553:J3553)</t>
  </si>
  <si>
    <t>=NL(1,"item",L$9,"no.",D3553)</t>
  </si>
  <si>
    <t>=NL(1,"item",M$9,"no.",$D3553)</t>
  </si>
  <si>
    <t>=NL(1,"item","Units Per Parcel","no.",$D3553)</t>
  </si>
  <si>
    <t>=NL(1,"Prod. BOM Equipment","Fixed Prod. Time (Hours)","Production BOM No.",$D3553,"version code",$E3553,"Resource No.",O$9)</t>
  </si>
  <si>
    <t>=1/O3553</t>
  </si>
  <si>
    <t>=IF(NL(1,"Prod. BOM Equipment","Variable Prod. Time (Hours)","Production BOM No.",$D3553,"version code",$E3553,"Resource No.",$O$9)="",1,NL(1,"Prod. BOM Equipment","Variable Prod. Time (Hours)","Production BOM No.",$D3553,"version code",$E3553,"Resource No.",$O$9))</t>
  </si>
  <si>
    <t>=1/Q3553</t>
  </si>
  <si>
    <t>=R3553*N3553</t>
  </si>
  <si>
    <t>=IF(K3554=0,"hide","")</t>
  </si>
  <si>
    <t>=D3553</t>
  </si>
  <si>
    <t>=NL("sum","Production Order","Quantity","Source No.",$D3554,"Equipment Code",$L3554,"due date",F$8)/-12</t>
  </si>
  <si>
    <t>=NL("sum","Production Order","Quantity","Source No.",$D3554,"Equipment Code",$L3554,"due date",G$8)/-12</t>
  </si>
  <si>
    <t>=NL("sum","Production Order","Quantity","Source No.",$D3554,"Equipment Code",$L3554,"due date",H$8)/-12</t>
  </si>
  <si>
    <t>=NL("sum","Production Order","Quantity","Source No.",$D3554,"Equipment Code",$L3554,"due date",I$8)/-12</t>
  </si>
  <si>
    <t>=NL("sum","Production Order","Quantity","Source No.",$D3554,"Equipment Code",$L3554,"due date",J$8)/$J$7</t>
  </si>
  <si>
    <t>=AVERAGE(I3554:J3554)</t>
  </si>
  <si>
    <t>=IF(K3555=0,"hide","")</t>
  </si>
  <si>
    <t>=D3554</t>
  </si>
  <si>
    <t>=NL("sum","Production Order","Quantity","Source No.",$D3555,"Equipment Code",$L3555,"due date",F$8)/-12</t>
  </si>
  <si>
    <t>=NL("sum","Production Order","Quantity","Source No.",$D3555,"Equipment Code",$L3555,"due date",G$8)/-12</t>
  </si>
  <si>
    <t>=NL("sum","Production Order","Quantity","Source No.",$D3555,"Equipment Code",$L3555,"due date",H$8)/-12</t>
  </si>
  <si>
    <t>=NL("sum","Production Order","Quantity","Source No.",$D3555,"Equipment Code",$L3555,"due date",I$8)/-12</t>
  </si>
  <si>
    <t>=NL("sum","Production Order","Quantity","Source No.",$D3555,"Equipment Code",$L3555,"due date",J$8)/$J$7</t>
  </si>
  <si>
    <t>=AVERAGE(I3555:J3555)</t>
  </si>
  <si>
    <t>=IF(K3556=0,"hide","")</t>
  </si>
  <si>
    <t>=D3555</t>
  </si>
  <si>
    <t>=NL("sum","Production Order","Quantity","Source No.",$D3556,"Equipment Code",$L3556,"due date",F$8)/-12</t>
  </si>
  <si>
    <t>=NL("sum","Production Order","Quantity","Source No.",$D3556,"Equipment Code",$L3556,"due date",G$8)/-12</t>
  </si>
  <si>
    <t>=NL("sum","Production Order","Quantity","Source No.",$D3556,"Equipment Code",$L3556,"due date",H$8)/-12</t>
  </si>
  <si>
    <t>=NL("sum","Production Order","Quantity","Source No.",$D3556,"Equipment Code",$L3556,"due date",I$8)/-12</t>
  </si>
  <si>
    <t>=NL("sum","Production Order","Quantity","Source No.",$D3556,"Equipment Code",$L3556,"due date",J$8)/$J$7</t>
  </si>
  <si>
    <t>=AVERAGE(I3556:J3556)</t>
  </si>
  <si>
    <t>=IF(K3557=0,"hide","")</t>
  </si>
  <si>
    <t>=D3556</t>
  </si>
  <si>
    <t>=NL("sum","Production Order","Quantity","Source No.",$D3557,"Equipment Code",$L3557,"due date",F$8)/-12</t>
  </si>
  <si>
    <t>=NL("sum","Production Order","Quantity","Source No.",$D3557,"Equipment Code",$L3557,"due date",G$8)/-12</t>
  </si>
  <si>
    <t>=NL("sum","Production Order","Quantity","Source No.",$D3557,"Equipment Code",$L3557,"due date",H$8)/-12</t>
  </si>
  <si>
    <t>=NL("sum","Production Order","Quantity","Source No.",$D3557,"Equipment Code",$L3557,"due date",I$8)/-12</t>
  </si>
  <si>
    <t>=NL("sum","Production Order","Quantity","Source No.",$D3557,"Equipment Code",$L3557,"due date",J$8)/$J$7</t>
  </si>
  <si>
    <t>=AVERAGE(I3557:J3557)</t>
  </si>
  <si>
    <t>=B3554</t>
  </si>
  <si>
    <t>=B3558</t>
  </si>
  <si>
    <t>=SUM(F3554:F3558)</t>
  </si>
  <si>
    <t>=SUM(G3554:G3558)</t>
  </si>
  <si>
    <t>=SUM(H3554:H3558)</t>
  </si>
  <si>
    <t>=SUM(I3554:I3558)</t>
  </si>
  <si>
    <t>=SUM(J3554:J3558)</t>
  </si>
  <si>
    <t>=IF(K3560=0,"hide","")</t>
  </si>
  <si>
    <t>="46710"</t>
  </si>
  <si>
    <t>=NL("rows","Production BOM Version","Version Code","Production BOM No.",D3560,"status","certified")</t>
  </si>
  <si>
    <t>=NL("sum","Item Ledger Entry","Quantity","Item No.",$D3560,"Entry Type","Sale|Consumption","posting date","01/01/19..12/31/19")/-12</t>
  </si>
  <si>
    <t>=NL("sum","Item Ledger Entry","Quantity","Item No.",$D3560,"Entry Type","Sale|Consumption","posting date","01/01/20..12/31/20")/-12</t>
  </si>
  <si>
    <t>=NL("sum","Item Ledger Entry","Quantity","Item No.",$D3560,"Entry Type","Sale|Consumption","posting date","01/01/21..12/31/21")/-12</t>
  </si>
  <si>
    <t>=NL("sum","Item Ledger Entry","Quantity","Item No.",$D3560,"Entry Type","Sale|Consumption","posting date","01/01/22..12/31/22")/-12</t>
  </si>
  <si>
    <t>=NL("sum","Item Ledger Entry","Quantity","Item No.",$D3560,"Entry Type","Sale|Consumption","posting date","01/01/23..12/31/23")/$J$7</t>
  </si>
  <si>
    <t>=AVERAGE(I3560:J3560)</t>
  </si>
  <si>
    <t>=NL(1,"item",L$9,"no.",D3560)</t>
  </si>
  <si>
    <t>=NL(1,"item",M$9,"no.",$D3560)</t>
  </si>
  <si>
    <t>=NL(1,"item","Units Per Parcel","no.",$D3560)</t>
  </si>
  <si>
    <t>=NL(1,"Prod. BOM Equipment","Fixed Prod. Time (Hours)","Production BOM No.",$D3560,"version code",$E3560,"Resource No.",O$9)</t>
  </si>
  <si>
    <t>=1/O3560</t>
  </si>
  <si>
    <t>=IF(NL(1,"Prod. BOM Equipment","Variable Prod. Time (Hours)","Production BOM No.",$D3560,"version code",$E3560,"Resource No.",$O$9)="",1,NL(1,"Prod. BOM Equipment","Variable Prod. Time (Hours)","Production BOM No.",$D3560,"version code",$E3560,"Resource No.",$O$9))</t>
  </si>
  <si>
    <t>=1/Q3560</t>
  </si>
  <si>
    <t>=R3560*N3560</t>
  </si>
  <si>
    <t>=IF(K3561=0,"hide","")</t>
  </si>
  <si>
    <t>=D3560</t>
  </si>
  <si>
    <t>=NL("sum","Production Order","Quantity","Source No.",$D3561,"Equipment Code",$L3561,"due date",F$8)/-12</t>
  </si>
  <si>
    <t>=NL("sum","Production Order","Quantity","Source No.",$D3561,"Equipment Code",$L3561,"due date",G$8)/-12</t>
  </si>
  <si>
    <t>=NL("sum","Production Order","Quantity","Source No.",$D3561,"Equipment Code",$L3561,"due date",H$8)/-12</t>
  </si>
  <si>
    <t>=NL("sum","Production Order","Quantity","Source No.",$D3561,"Equipment Code",$L3561,"due date",I$8)/-12</t>
  </si>
  <si>
    <t>=NL("sum","Production Order","Quantity","Source No.",$D3561,"Equipment Code",$L3561,"due date",J$8)/$J$7</t>
  </si>
  <si>
    <t>=AVERAGE(I3561:J3561)</t>
  </si>
  <si>
    <t>=IF(K3562=0,"hide","")</t>
  </si>
  <si>
    <t>=D3561</t>
  </si>
  <si>
    <t>=NL("sum","Production Order","Quantity","Source No.",$D3562,"Equipment Code",$L3562,"due date",F$8)/-12</t>
  </si>
  <si>
    <t>=NL("sum","Production Order","Quantity","Source No.",$D3562,"Equipment Code",$L3562,"due date",G$8)/-12</t>
  </si>
  <si>
    <t>=NL("sum","Production Order","Quantity","Source No.",$D3562,"Equipment Code",$L3562,"due date",H$8)/-12</t>
  </si>
  <si>
    <t>=NL("sum","Production Order","Quantity","Source No.",$D3562,"Equipment Code",$L3562,"due date",I$8)/-12</t>
  </si>
  <si>
    <t>=NL("sum","Production Order","Quantity","Source No.",$D3562,"Equipment Code",$L3562,"due date",J$8)/$J$7</t>
  </si>
  <si>
    <t>=AVERAGE(I3562:J3562)</t>
  </si>
  <si>
    <t>=IF(K3563=0,"hide","")</t>
  </si>
  <si>
    <t>=D3562</t>
  </si>
  <si>
    <t>=NL("sum","Production Order","Quantity","Source No.",$D3563,"Equipment Code",$L3563,"due date",F$8)/-12</t>
  </si>
  <si>
    <t>=NL("sum","Production Order","Quantity","Source No.",$D3563,"Equipment Code",$L3563,"due date",G$8)/-12</t>
  </si>
  <si>
    <t>=NL("sum","Production Order","Quantity","Source No.",$D3563,"Equipment Code",$L3563,"due date",H$8)/-12</t>
  </si>
  <si>
    <t>=NL("sum","Production Order","Quantity","Source No.",$D3563,"Equipment Code",$L3563,"due date",I$8)/-12</t>
  </si>
  <si>
    <t>=NL("sum","Production Order","Quantity","Source No.",$D3563,"Equipment Code",$L3563,"due date",J$8)/$J$7</t>
  </si>
  <si>
    <t>=AVERAGE(I3563:J3563)</t>
  </si>
  <si>
    <t>=IF(K3564=0,"hide","")</t>
  </si>
  <si>
    <t>=D3563</t>
  </si>
  <si>
    <t>=NL("sum","Production Order","Quantity","Source No.",$D3564,"Equipment Code",$L3564,"due date",F$8)/-12</t>
  </si>
  <si>
    <t>=NL("sum","Production Order","Quantity","Source No.",$D3564,"Equipment Code",$L3564,"due date",G$8)/-12</t>
  </si>
  <si>
    <t>=NL("sum","Production Order","Quantity","Source No.",$D3564,"Equipment Code",$L3564,"due date",H$8)/-12</t>
  </si>
  <si>
    <t>=NL("sum","Production Order","Quantity","Source No.",$D3564,"Equipment Code",$L3564,"due date",I$8)/-12</t>
  </si>
  <si>
    <t>=NL("sum","Production Order","Quantity","Source No.",$D3564,"Equipment Code",$L3564,"due date",J$8)/$J$7</t>
  </si>
  <si>
    <t>=AVERAGE(I3564:J3564)</t>
  </si>
  <si>
    <t>=B3561</t>
  </si>
  <si>
    <t>=B3565</t>
  </si>
  <si>
    <t>=SUM(F3561:F3565)</t>
  </si>
  <si>
    <t>=SUM(G3561:G3565)</t>
  </si>
  <si>
    <t>=SUM(H3561:H3565)</t>
  </si>
  <si>
    <t>=SUM(I3561:I3565)</t>
  </si>
  <si>
    <t>=SUM(J3561:J3565)</t>
  </si>
  <si>
    <t>=IF(K3567=0,"hide","")</t>
  </si>
  <si>
    <t>="46722"</t>
  </si>
  <si>
    <t>=NL("rows","Production BOM Version","Version Code","Production BOM No.",D3567,"status","certified")</t>
  </si>
  <si>
    <t>=NL("sum","Item Ledger Entry","Quantity","Item No.",$D3567,"Entry Type","Sale|Consumption","posting date","01/01/19..12/31/19")/-12</t>
  </si>
  <si>
    <t>=NL("sum","Item Ledger Entry","Quantity","Item No.",$D3567,"Entry Type","Sale|Consumption","posting date","01/01/20..12/31/20")/-12</t>
  </si>
  <si>
    <t>=NL("sum","Item Ledger Entry","Quantity","Item No.",$D3567,"Entry Type","Sale|Consumption","posting date","01/01/21..12/31/21")/-12</t>
  </si>
  <si>
    <t>=NL("sum","Item Ledger Entry","Quantity","Item No.",$D3567,"Entry Type","Sale|Consumption","posting date","01/01/22..12/31/22")/-12</t>
  </si>
  <si>
    <t>=NL("sum","Item Ledger Entry","Quantity","Item No.",$D3567,"Entry Type","Sale|Consumption","posting date","01/01/23..12/31/23")/$J$7</t>
  </si>
  <si>
    <t>=AVERAGE(I3567:J3567)</t>
  </si>
  <si>
    <t>=NL(1,"item",L$9,"no.",D3567)</t>
  </si>
  <si>
    <t>=NL(1,"item",M$9,"no.",$D3567)</t>
  </si>
  <si>
    <t>=NL(1,"item","Units Per Parcel","no.",$D3567)</t>
  </si>
  <si>
    <t>=NL(1,"Prod. BOM Equipment","Fixed Prod. Time (Hours)","Production BOM No.",$D3567,"version code",$E3567,"Resource No.",O$9)</t>
  </si>
  <si>
    <t>=1/O3567</t>
  </si>
  <si>
    <t>=IF(NL(1,"Prod. BOM Equipment","Variable Prod. Time (Hours)","Production BOM No.",$D3567,"version code",$E3567,"Resource No.",$O$9)="",1,NL(1,"Prod. BOM Equipment","Variable Prod. Time (Hours)","Production BOM No.",$D3567,"version code",$E3567,"Resource No.",$O$9))</t>
  </si>
  <si>
    <t>=1/Q3567</t>
  </si>
  <si>
    <t>=R3567*N3567</t>
  </si>
  <si>
    <t>=IF(K3568=0,"hide","")</t>
  </si>
  <si>
    <t>=D3567</t>
  </si>
  <si>
    <t>=NL("sum","Production Order","Quantity","Source No.",$D3568,"Equipment Code",$L3568,"due date",F$8)/-12</t>
  </si>
  <si>
    <t>=NL("sum","Production Order","Quantity","Source No.",$D3568,"Equipment Code",$L3568,"due date",G$8)/-12</t>
  </si>
  <si>
    <t>=NL("sum","Production Order","Quantity","Source No.",$D3568,"Equipment Code",$L3568,"due date",H$8)/-12</t>
  </si>
  <si>
    <t>=NL("sum","Production Order","Quantity","Source No.",$D3568,"Equipment Code",$L3568,"due date",I$8)/-12</t>
  </si>
  <si>
    <t>=NL("sum","Production Order","Quantity","Source No.",$D3568,"Equipment Code",$L3568,"due date",J$8)/$J$7</t>
  </si>
  <si>
    <t>=AVERAGE(I3568:J3568)</t>
  </si>
  <si>
    <t>=IF(K3569=0,"hide","")</t>
  </si>
  <si>
    <t>=D3568</t>
  </si>
  <si>
    <t>=NL("sum","Production Order","Quantity","Source No.",$D3569,"Equipment Code",$L3569,"due date",F$8)/-12</t>
  </si>
  <si>
    <t>=NL("sum","Production Order","Quantity","Source No.",$D3569,"Equipment Code",$L3569,"due date",G$8)/-12</t>
  </si>
  <si>
    <t>=NL("sum","Production Order","Quantity","Source No.",$D3569,"Equipment Code",$L3569,"due date",H$8)/-12</t>
  </si>
  <si>
    <t>=NL("sum","Production Order","Quantity","Source No.",$D3569,"Equipment Code",$L3569,"due date",I$8)/-12</t>
  </si>
  <si>
    <t>=NL("sum","Production Order","Quantity","Source No.",$D3569,"Equipment Code",$L3569,"due date",J$8)/$J$7</t>
  </si>
  <si>
    <t>=AVERAGE(I3569:J3569)</t>
  </si>
  <si>
    <t>=IF(K3570=0,"hide","")</t>
  </si>
  <si>
    <t>=D3569</t>
  </si>
  <si>
    <t>=NL("sum","Production Order","Quantity","Source No.",$D3570,"Equipment Code",$L3570,"due date",F$8)/-12</t>
  </si>
  <si>
    <t>=NL("sum","Production Order","Quantity","Source No.",$D3570,"Equipment Code",$L3570,"due date",G$8)/-12</t>
  </si>
  <si>
    <t>=NL("sum","Production Order","Quantity","Source No.",$D3570,"Equipment Code",$L3570,"due date",H$8)/-12</t>
  </si>
  <si>
    <t>=NL("sum","Production Order","Quantity","Source No.",$D3570,"Equipment Code",$L3570,"due date",I$8)/-12</t>
  </si>
  <si>
    <t>=NL("sum","Production Order","Quantity","Source No.",$D3570,"Equipment Code",$L3570,"due date",J$8)/$J$7</t>
  </si>
  <si>
    <t>=AVERAGE(I3570:J3570)</t>
  </si>
  <si>
    <t>=IF(K3571=0,"hide","")</t>
  </si>
  <si>
    <t>=D3570</t>
  </si>
  <si>
    <t>=NL("sum","Production Order","Quantity","Source No.",$D3571,"Equipment Code",$L3571,"due date",F$8)/-12</t>
  </si>
  <si>
    <t>=NL("sum","Production Order","Quantity","Source No.",$D3571,"Equipment Code",$L3571,"due date",G$8)/-12</t>
  </si>
  <si>
    <t>=NL("sum","Production Order","Quantity","Source No.",$D3571,"Equipment Code",$L3571,"due date",H$8)/-12</t>
  </si>
  <si>
    <t>=NL("sum","Production Order","Quantity","Source No.",$D3571,"Equipment Code",$L3571,"due date",I$8)/-12</t>
  </si>
  <si>
    <t>=NL("sum","Production Order","Quantity","Source No.",$D3571,"Equipment Code",$L3571,"due date",J$8)/$J$7</t>
  </si>
  <si>
    <t>=AVERAGE(I3571:J3571)</t>
  </si>
  <si>
    <t>=B3568</t>
  </si>
  <si>
    <t>=B3572</t>
  </si>
  <si>
    <t>=SUM(F3568:F3572)</t>
  </si>
  <si>
    <t>=SUM(G3568:G3572)</t>
  </si>
  <si>
    <t>=SUM(H3568:H3572)</t>
  </si>
  <si>
    <t>=SUM(I3568:I3572)</t>
  </si>
  <si>
    <t>=SUM(J3568:J3572)</t>
  </si>
  <si>
    <t>=IF(K3574=0,"hide","")</t>
  </si>
  <si>
    <t>="46736"</t>
  </si>
  <si>
    <t>=NL("rows","Production BOM Version","Version Code","Production BOM No.",D3574,"status","certified")</t>
  </si>
  <si>
    <t>=NL("sum","Item Ledger Entry","Quantity","Item No.",$D3574,"Entry Type","Sale|Consumption","posting date","01/01/19..12/31/19")/-12</t>
  </si>
  <si>
    <t>=NL("sum","Item Ledger Entry","Quantity","Item No.",$D3574,"Entry Type","Sale|Consumption","posting date","01/01/20..12/31/20")/-12</t>
  </si>
  <si>
    <t>=NL("sum","Item Ledger Entry","Quantity","Item No.",$D3574,"Entry Type","Sale|Consumption","posting date","01/01/21..12/31/21")/-12</t>
  </si>
  <si>
    <t>=NL("sum","Item Ledger Entry","Quantity","Item No.",$D3574,"Entry Type","Sale|Consumption","posting date","01/01/22..12/31/22")/-12</t>
  </si>
  <si>
    <t>=NL("sum","Item Ledger Entry","Quantity","Item No.",$D3574,"Entry Type","Sale|Consumption","posting date","01/01/23..12/31/23")/$J$7</t>
  </si>
  <si>
    <t>=AVERAGE(I3574:J3574)</t>
  </si>
  <si>
    <t>=NL(1,"item",L$9,"no.",D3574)</t>
  </si>
  <si>
    <t>=NL(1,"item",M$9,"no.",$D3574)</t>
  </si>
  <si>
    <t>=NL(1,"item","Units Per Parcel","no.",$D3574)</t>
  </si>
  <si>
    <t>=NL(1,"Prod. BOM Equipment","Fixed Prod. Time (Hours)","Production BOM No.",$D3574,"version code",$E3574,"Resource No.",O$9)</t>
  </si>
  <si>
    <t>=1/O3574</t>
  </si>
  <si>
    <t>=IF(NL(1,"Prod. BOM Equipment","Variable Prod. Time (Hours)","Production BOM No.",$D3574,"version code",$E3574,"Resource No.",$O$9)="",1,NL(1,"Prod. BOM Equipment","Variable Prod. Time (Hours)","Production BOM No.",$D3574,"version code",$E3574,"Resource No.",$O$9))</t>
  </si>
  <si>
    <t>=1/Q3574</t>
  </si>
  <si>
    <t>=R3574*N3574</t>
  </si>
  <si>
    <t>=IF(K3575=0,"hide","")</t>
  </si>
  <si>
    <t>=D3574</t>
  </si>
  <si>
    <t>=NL("sum","Production Order","Quantity","Source No.",$D3575,"Equipment Code",$L3575,"due date",F$8)/-12</t>
  </si>
  <si>
    <t>=NL("sum","Production Order","Quantity","Source No.",$D3575,"Equipment Code",$L3575,"due date",G$8)/-12</t>
  </si>
  <si>
    <t>=NL("sum","Production Order","Quantity","Source No.",$D3575,"Equipment Code",$L3575,"due date",H$8)/-12</t>
  </si>
  <si>
    <t>=NL("sum","Production Order","Quantity","Source No.",$D3575,"Equipment Code",$L3575,"due date",I$8)/-12</t>
  </si>
  <si>
    <t>=NL("sum","Production Order","Quantity","Source No.",$D3575,"Equipment Code",$L3575,"due date",J$8)/$J$7</t>
  </si>
  <si>
    <t>=AVERAGE(I3575:J3575)</t>
  </si>
  <si>
    <t>=IF(K3576=0,"hide","")</t>
  </si>
  <si>
    <t>=D3575</t>
  </si>
  <si>
    <t>=NL("sum","Production Order","Quantity","Source No.",$D3576,"Equipment Code",$L3576,"due date",F$8)/-12</t>
  </si>
  <si>
    <t>=NL("sum","Production Order","Quantity","Source No.",$D3576,"Equipment Code",$L3576,"due date",G$8)/-12</t>
  </si>
  <si>
    <t>=NL("sum","Production Order","Quantity","Source No.",$D3576,"Equipment Code",$L3576,"due date",H$8)/-12</t>
  </si>
  <si>
    <t>=NL("sum","Production Order","Quantity","Source No.",$D3576,"Equipment Code",$L3576,"due date",I$8)/-12</t>
  </si>
  <si>
    <t>=NL("sum","Production Order","Quantity","Source No.",$D3576,"Equipment Code",$L3576,"due date",J$8)/$J$7</t>
  </si>
  <si>
    <t>=AVERAGE(I3576:J3576)</t>
  </si>
  <si>
    <t>=IF(K3577=0,"hide","")</t>
  </si>
  <si>
    <t>=D3576</t>
  </si>
  <si>
    <t>=NL("sum","Production Order","Quantity","Source No.",$D3577,"Equipment Code",$L3577,"due date",F$8)/-12</t>
  </si>
  <si>
    <t>=NL("sum","Production Order","Quantity","Source No.",$D3577,"Equipment Code",$L3577,"due date",G$8)/-12</t>
  </si>
  <si>
    <t>=NL("sum","Production Order","Quantity","Source No.",$D3577,"Equipment Code",$L3577,"due date",H$8)/-12</t>
  </si>
  <si>
    <t>=NL("sum","Production Order","Quantity","Source No.",$D3577,"Equipment Code",$L3577,"due date",I$8)/-12</t>
  </si>
  <si>
    <t>=NL("sum","Production Order","Quantity","Source No.",$D3577,"Equipment Code",$L3577,"due date",J$8)/$J$7</t>
  </si>
  <si>
    <t>=AVERAGE(I3577:J3577)</t>
  </si>
  <si>
    <t>=IF(K3578=0,"hide","")</t>
  </si>
  <si>
    <t>=D3577</t>
  </si>
  <si>
    <t>=NL("sum","Production Order","Quantity","Source No.",$D3578,"Equipment Code",$L3578,"due date",F$8)/-12</t>
  </si>
  <si>
    <t>=NL("sum","Production Order","Quantity","Source No.",$D3578,"Equipment Code",$L3578,"due date",G$8)/-12</t>
  </si>
  <si>
    <t>=NL("sum","Production Order","Quantity","Source No.",$D3578,"Equipment Code",$L3578,"due date",H$8)/-12</t>
  </si>
  <si>
    <t>=NL("sum","Production Order","Quantity","Source No.",$D3578,"Equipment Code",$L3578,"due date",I$8)/-12</t>
  </si>
  <si>
    <t>=NL("sum","Production Order","Quantity","Source No.",$D3578,"Equipment Code",$L3578,"due date",J$8)/$J$7</t>
  </si>
  <si>
    <t>=AVERAGE(I3578:J3578)</t>
  </si>
  <si>
    <t>=B3575</t>
  </si>
  <si>
    <t>=B3579</t>
  </si>
  <si>
    <t>=SUM(F3575:F3579)</t>
  </si>
  <si>
    <t>=SUM(G3575:G3579)</t>
  </si>
  <si>
    <t>=SUM(H3575:H3579)</t>
  </si>
  <si>
    <t>=SUM(I3575:I3579)</t>
  </si>
  <si>
    <t>=SUM(J3575:J3579)</t>
  </si>
  <si>
    <t>=IF(K3581=0,"hide","")</t>
  </si>
  <si>
    <t>="46748"</t>
  </si>
  <si>
    <t>=NL("rows","Production BOM Version","Version Code","Production BOM No.",D3581,"status","certified")</t>
  </si>
  <si>
    <t>=NL("sum","Item Ledger Entry","Quantity","Item No.",$D3581,"Entry Type","Sale|Consumption","posting date","01/01/19..12/31/19")/-12</t>
  </si>
  <si>
    <t>=NL("sum","Item Ledger Entry","Quantity","Item No.",$D3581,"Entry Type","Sale|Consumption","posting date","01/01/20..12/31/20")/-12</t>
  </si>
  <si>
    <t>=NL("sum","Item Ledger Entry","Quantity","Item No.",$D3581,"Entry Type","Sale|Consumption","posting date","01/01/21..12/31/21")/-12</t>
  </si>
  <si>
    <t>=NL("sum","Item Ledger Entry","Quantity","Item No.",$D3581,"Entry Type","Sale|Consumption","posting date","01/01/22..12/31/22")/-12</t>
  </si>
  <si>
    <t>=NL("sum","Item Ledger Entry","Quantity","Item No.",$D3581,"Entry Type","Sale|Consumption","posting date","01/01/23..12/31/23")/$J$7</t>
  </si>
  <si>
    <t>=AVERAGE(I3581:J3581)</t>
  </si>
  <si>
    <t>=NL(1,"item",L$9,"no.",D3581)</t>
  </si>
  <si>
    <t>=NL(1,"item",M$9,"no.",$D3581)</t>
  </si>
  <si>
    <t>=NL(1,"item","Units Per Parcel","no.",$D3581)</t>
  </si>
  <si>
    <t>=NL(1,"Prod. BOM Equipment","Fixed Prod. Time (Hours)","Production BOM No.",$D3581,"version code",$E3581,"Resource No.",O$9)</t>
  </si>
  <si>
    <t>=1/O3581</t>
  </si>
  <si>
    <t>=IF(NL(1,"Prod. BOM Equipment","Variable Prod. Time (Hours)","Production BOM No.",$D3581,"version code",$E3581,"Resource No.",$O$9)="",1,NL(1,"Prod. BOM Equipment","Variable Prod. Time (Hours)","Production BOM No.",$D3581,"version code",$E3581,"Resource No.",$O$9))</t>
  </si>
  <si>
    <t>=1/Q3581</t>
  </si>
  <si>
    <t>=R3581*N3581</t>
  </si>
  <si>
    <t>=IF(K3582=0,"hide","")</t>
  </si>
  <si>
    <t>=D3581</t>
  </si>
  <si>
    <t>=NL("sum","Production Order","Quantity","Source No.",$D3582,"Equipment Code",$L3582,"due date",F$8)/-12</t>
  </si>
  <si>
    <t>=NL("sum","Production Order","Quantity","Source No.",$D3582,"Equipment Code",$L3582,"due date",G$8)/-12</t>
  </si>
  <si>
    <t>=NL("sum","Production Order","Quantity","Source No.",$D3582,"Equipment Code",$L3582,"due date",H$8)/-12</t>
  </si>
  <si>
    <t>=NL("sum","Production Order","Quantity","Source No.",$D3582,"Equipment Code",$L3582,"due date",I$8)/-12</t>
  </si>
  <si>
    <t>=NL("sum","Production Order","Quantity","Source No.",$D3582,"Equipment Code",$L3582,"due date",J$8)/$J$7</t>
  </si>
  <si>
    <t>=AVERAGE(I3582:J3582)</t>
  </si>
  <si>
    <t>=IF(K3583=0,"hide","")</t>
  </si>
  <si>
    <t>=D3582</t>
  </si>
  <si>
    <t>=NL("sum","Production Order","Quantity","Source No.",$D3583,"Equipment Code",$L3583,"due date",F$8)/-12</t>
  </si>
  <si>
    <t>=NL("sum","Production Order","Quantity","Source No.",$D3583,"Equipment Code",$L3583,"due date",G$8)/-12</t>
  </si>
  <si>
    <t>=NL("sum","Production Order","Quantity","Source No.",$D3583,"Equipment Code",$L3583,"due date",H$8)/-12</t>
  </si>
  <si>
    <t>=NL("sum","Production Order","Quantity","Source No.",$D3583,"Equipment Code",$L3583,"due date",I$8)/-12</t>
  </si>
  <si>
    <t>=NL("sum","Production Order","Quantity","Source No.",$D3583,"Equipment Code",$L3583,"due date",J$8)/$J$7</t>
  </si>
  <si>
    <t>=AVERAGE(I3583:J3583)</t>
  </si>
  <si>
    <t>=IF(K3584=0,"hide","")</t>
  </si>
  <si>
    <t>=D3583</t>
  </si>
  <si>
    <t>=NL("sum","Production Order","Quantity","Source No.",$D3584,"Equipment Code",$L3584,"due date",F$8)/-12</t>
  </si>
  <si>
    <t>=NL("sum","Production Order","Quantity","Source No.",$D3584,"Equipment Code",$L3584,"due date",G$8)/-12</t>
  </si>
  <si>
    <t>=NL("sum","Production Order","Quantity","Source No.",$D3584,"Equipment Code",$L3584,"due date",H$8)/-12</t>
  </si>
  <si>
    <t>=NL("sum","Production Order","Quantity","Source No.",$D3584,"Equipment Code",$L3584,"due date",I$8)/-12</t>
  </si>
  <si>
    <t>=NL("sum","Production Order","Quantity","Source No.",$D3584,"Equipment Code",$L3584,"due date",J$8)/$J$7</t>
  </si>
  <si>
    <t>=AVERAGE(I3584:J3584)</t>
  </si>
  <si>
    <t>=IF(K3585=0,"hide","")</t>
  </si>
  <si>
    <t>=D3584</t>
  </si>
  <si>
    <t>=NL("sum","Production Order","Quantity","Source No.",$D3585,"Equipment Code",$L3585,"due date",F$8)/-12</t>
  </si>
  <si>
    <t>=NL("sum","Production Order","Quantity","Source No.",$D3585,"Equipment Code",$L3585,"due date",G$8)/-12</t>
  </si>
  <si>
    <t>=NL("sum","Production Order","Quantity","Source No.",$D3585,"Equipment Code",$L3585,"due date",H$8)/-12</t>
  </si>
  <si>
    <t>=NL("sum","Production Order","Quantity","Source No.",$D3585,"Equipment Code",$L3585,"due date",I$8)/-12</t>
  </si>
  <si>
    <t>=NL("sum","Production Order","Quantity","Source No.",$D3585,"Equipment Code",$L3585,"due date",J$8)/$J$7</t>
  </si>
  <si>
    <t>=AVERAGE(I3585:J3585)</t>
  </si>
  <si>
    <t>=B3582</t>
  </si>
  <si>
    <t>=B3586</t>
  </si>
  <si>
    <t>=SUM(F3582:F3586)</t>
  </si>
  <si>
    <t>=SUM(G3582:G3586)</t>
  </si>
  <si>
    <t>=SUM(H3582:H3586)</t>
  </si>
  <si>
    <t>=SUM(I3582:I3586)</t>
  </si>
  <si>
    <t>=SUM(J3582:J3586)</t>
  </si>
  <si>
    <t>=IF(K3588=0,"hide","")</t>
  </si>
  <si>
    <t>="46751"</t>
  </si>
  <si>
    <t>=NL("rows","Production BOM Version","Version Code","Production BOM No.",D3588,"status","certified")</t>
  </si>
  <si>
    <t>=NL("sum","Item Ledger Entry","Quantity","Item No.",$D3588,"Entry Type","Sale|Consumption","posting date","01/01/19..12/31/19")/-12</t>
  </si>
  <si>
    <t>=NL("sum","Item Ledger Entry","Quantity","Item No.",$D3588,"Entry Type","Sale|Consumption","posting date","01/01/20..12/31/20")/-12</t>
  </si>
  <si>
    <t>=NL("sum","Item Ledger Entry","Quantity","Item No.",$D3588,"Entry Type","Sale|Consumption","posting date","01/01/21..12/31/21")/-12</t>
  </si>
  <si>
    <t>=NL("sum","Item Ledger Entry","Quantity","Item No.",$D3588,"Entry Type","Sale|Consumption","posting date","01/01/22..12/31/22")/-12</t>
  </si>
  <si>
    <t>=NL("sum","Item Ledger Entry","Quantity","Item No.",$D3588,"Entry Type","Sale|Consumption","posting date","01/01/23..12/31/23")/$J$7</t>
  </si>
  <si>
    <t>=AVERAGE(I3588:J3588)</t>
  </si>
  <si>
    <t>=NL(1,"item",L$9,"no.",D3588)</t>
  </si>
  <si>
    <t>=NL(1,"item",M$9,"no.",$D3588)</t>
  </si>
  <si>
    <t>=NL(1,"item","Units Per Parcel","no.",$D3588)</t>
  </si>
  <si>
    <t>=NL(1,"Prod. BOM Equipment","Fixed Prod. Time (Hours)","Production BOM No.",$D3588,"version code",$E3588,"Resource No.",O$9)</t>
  </si>
  <si>
    <t>=1/O3588</t>
  </si>
  <si>
    <t>=IF(NL(1,"Prod. BOM Equipment","Variable Prod. Time (Hours)","Production BOM No.",$D3588,"version code",$E3588,"Resource No.",$O$9)="",1,NL(1,"Prod. BOM Equipment","Variable Prod. Time (Hours)","Production BOM No.",$D3588,"version code",$E3588,"Resource No.",$O$9))</t>
  </si>
  <si>
    <t>=1/Q3588</t>
  </si>
  <si>
    <t>=R3588*N3588</t>
  </si>
  <si>
    <t>=IF(K3589=0,"hide","")</t>
  </si>
  <si>
    <t>=D3588</t>
  </si>
  <si>
    <t>=NL("sum","Production Order","Quantity","Source No.",$D3589,"Equipment Code",$L3589,"due date",F$8)/-12</t>
  </si>
  <si>
    <t>=NL("sum","Production Order","Quantity","Source No.",$D3589,"Equipment Code",$L3589,"due date",G$8)/-12</t>
  </si>
  <si>
    <t>=NL("sum","Production Order","Quantity","Source No.",$D3589,"Equipment Code",$L3589,"due date",H$8)/-12</t>
  </si>
  <si>
    <t>=NL("sum","Production Order","Quantity","Source No.",$D3589,"Equipment Code",$L3589,"due date",I$8)/-12</t>
  </si>
  <si>
    <t>=NL("sum","Production Order","Quantity","Source No.",$D3589,"Equipment Code",$L3589,"due date",J$8)/$J$7</t>
  </si>
  <si>
    <t>=AVERAGE(I3589:J3589)</t>
  </si>
  <si>
    <t>=IF(K3590=0,"hide","")</t>
  </si>
  <si>
    <t>=D3589</t>
  </si>
  <si>
    <t>=NL("sum","Production Order","Quantity","Source No.",$D3590,"Equipment Code",$L3590,"due date",F$8)/-12</t>
  </si>
  <si>
    <t>=NL("sum","Production Order","Quantity","Source No.",$D3590,"Equipment Code",$L3590,"due date",G$8)/-12</t>
  </si>
  <si>
    <t>=NL("sum","Production Order","Quantity","Source No.",$D3590,"Equipment Code",$L3590,"due date",H$8)/-12</t>
  </si>
  <si>
    <t>=NL("sum","Production Order","Quantity","Source No.",$D3590,"Equipment Code",$L3590,"due date",I$8)/-12</t>
  </si>
  <si>
    <t>=NL("sum","Production Order","Quantity","Source No.",$D3590,"Equipment Code",$L3590,"due date",J$8)/$J$7</t>
  </si>
  <si>
    <t>=AVERAGE(I3590:J3590)</t>
  </si>
  <si>
    <t>=IF(K3591=0,"hide","")</t>
  </si>
  <si>
    <t>=D3590</t>
  </si>
  <si>
    <t>=NL("sum","Production Order","Quantity","Source No.",$D3591,"Equipment Code",$L3591,"due date",F$8)/-12</t>
  </si>
  <si>
    <t>=NL("sum","Production Order","Quantity","Source No.",$D3591,"Equipment Code",$L3591,"due date",G$8)/-12</t>
  </si>
  <si>
    <t>=NL("sum","Production Order","Quantity","Source No.",$D3591,"Equipment Code",$L3591,"due date",H$8)/-12</t>
  </si>
  <si>
    <t>=NL("sum","Production Order","Quantity","Source No.",$D3591,"Equipment Code",$L3591,"due date",I$8)/-12</t>
  </si>
  <si>
    <t>=NL("sum","Production Order","Quantity","Source No.",$D3591,"Equipment Code",$L3591,"due date",J$8)/$J$7</t>
  </si>
  <si>
    <t>=AVERAGE(I3591:J3591)</t>
  </si>
  <si>
    <t>=IF(K3592=0,"hide","")</t>
  </si>
  <si>
    <t>=D3591</t>
  </si>
  <si>
    <t>=NL("sum","Production Order","Quantity","Source No.",$D3592,"Equipment Code",$L3592,"due date",F$8)/-12</t>
  </si>
  <si>
    <t>=NL("sum","Production Order","Quantity","Source No.",$D3592,"Equipment Code",$L3592,"due date",G$8)/-12</t>
  </si>
  <si>
    <t>=NL("sum","Production Order","Quantity","Source No.",$D3592,"Equipment Code",$L3592,"due date",H$8)/-12</t>
  </si>
  <si>
    <t>=NL("sum","Production Order","Quantity","Source No.",$D3592,"Equipment Code",$L3592,"due date",I$8)/-12</t>
  </si>
  <si>
    <t>=NL("sum","Production Order","Quantity","Source No.",$D3592,"Equipment Code",$L3592,"due date",J$8)/$J$7</t>
  </si>
  <si>
    <t>=AVERAGE(I3592:J3592)</t>
  </si>
  <si>
    <t>=B3589</t>
  </si>
  <si>
    <t>=B3593</t>
  </si>
  <si>
    <t>=SUM(F3589:F3593)</t>
  </si>
  <si>
    <t>=SUM(G3589:G3593)</t>
  </si>
  <si>
    <t>=SUM(H3589:H3593)</t>
  </si>
  <si>
    <t>=SUM(I3589:I3593)</t>
  </si>
  <si>
    <t>=SUM(J3589:J3593)</t>
  </si>
  <si>
    <t>=IF(K3595=0,"hide","")</t>
  </si>
  <si>
    <t>="47771"</t>
  </si>
  <si>
    <t>=NL("rows","Production BOM Version","Version Code","Production BOM No.",D3595,"status","certified")</t>
  </si>
  <si>
    <t>=NL("sum","Item Ledger Entry","Quantity","Item No.",$D3595,"Entry Type","Sale|Consumption","posting date","01/01/19..12/31/19")/-12</t>
  </si>
  <si>
    <t>=NL("sum","Item Ledger Entry","Quantity","Item No.",$D3595,"Entry Type","Sale|Consumption","posting date","01/01/20..12/31/20")/-12</t>
  </si>
  <si>
    <t>=NL("sum","Item Ledger Entry","Quantity","Item No.",$D3595,"Entry Type","Sale|Consumption","posting date","01/01/21..12/31/21")/-12</t>
  </si>
  <si>
    <t>=NL("sum","Item Ledger Entry","Quantity","Item No.",$D3595,"Entry Type","Sale|Consumption","posting date","01/01/22..12/31/22")/-12</t>
  </si>
  <si>
    <t>=NL("sum","Item Ledger Entry","Quantity","Item No.",$D3595,"Entry Type","Sale|Consumption","posting date","01/01/23..12/31/23")/$J$7</t>
  </si>
  <si>
    <t>=AVERAGE(I3595:J3595)</t>
  </si>
  <si>
    <t>=NL(1,"item",L$9,"no.",D3595)</t>
  </si>
  <si>
    <t>=NL(1,"item",M$9,"no.",$D3595)</t>
  </si>
  <si>
    <t>=NL(1,"item","Units Per Parcel","no.",$D3595)</t>
  </si>
  <si>
    <t>=NL(1,"Prod. BOM Equipment","Fixed Prod. Time (Hours)","Production BOM No.",$D3595,"version code",$E3595,"Resource No.",O$9)</t>
  </si>
  <si>
    <t>=1/O3595</t>
  </si>
  <si>
    <t>=IF(NL(1,"Prod. BOM Equipment","Variable Prod. Time (Hours)","Production BOM No.",$D3595,"version code",$E3595,"Resource No.",$O$9)="",1,NL(1,"Prod. BOM Equipment","Variable Prod. Time (Hours)","Production BOM No.",$D3595,"version code",$E3595,"Resource No.",$O$9))</t>
  </si>
  <si>
    <t>=1/Q3595</t>
  </si>
  <si>
    <t>=R3595*N3595</t>
  </si>
  <si>
    <t>=IF(K3596=0,"hide","")</t>
  </si>
  <si>
    <t>=D3595</t>
  </si>
  <si>
    <t>=NL("sum","Production Order","Quantity","Source No.",$D3596,"Equipment Code",$L3596,"due date",F$8)/-12</t>
  </si>
  <si>
    <t>=NL("sum","Production Order","Quantity","Source No.",$D3596,"Equipment Code",$L3596,"due date",G$8)/-12</t>
  </si>
  <si>
    <t>=NL("sum","Production Order","Quantity","Source No.",$D3596,"Equipment Code",$L3596,"due date",H$8)/-12</t>
  </si>
  <si>
    <t>=NL("sum","Production Order","Quantity","Source No.",$D3596,"Equipment Code",$L3596,"due date",I$8)/-12</t>
  </si>
  <si>
    <t>=NL("sum","Production Order","Quantity","Source No.",$D3596,"Equipment Code",$L3596,"due date",J$8)/$J$7</t>
  </si>
  <si>
    <t>=AVERAGE(I3596:J3596)</t>
  </si>
  <si>
    <t>=IF(K3597=0,"hide","")</t>
  </si>
  <si>
    <t>=D3596</t>
  </si>
  <si>
    <t>=NL("sum","Production Order","Quantity","Source No.",$D3597,"Equipment Code",$L3597,"due date",F$8)/-12</t>
  </si>
  <si>
    <t>=NL("sum","Production Order","Quantity","Source No.",$D3597,"Equipment Code",$L3597,"due date",G$8)/-12</t>
  </si>
  <si>
    <t>=NL("sum","Production Order","Quantity","Source No.",$D3597,"Equipment Code",$L3597,"due date",H$8)/-12</t>
  </si>
  <si>
    <t>=NL("sum","Production Order","Quantity","Source No.",$D3597,"Equipment Code",$L3597,"due date",I$8)/-12</t>
  </si>
  <si>
    <t>=NL("sum","Production Order","Quantity","Source No.",$D3597,"Equipment Code",$L3597,"due date",J$8)/$J$7</t>
  </si>
  <si>
    <t>=AVERAGE(I3597:J3597)</t>
  </si>
  <si>
    <t>=IF(K3598=0,"hide","")</t>
  </si>
  <si>
    <t>=D3597</t>
  </si>
  <si>
    <t>=NL("sum","Production Order","Quantity","Source No.",$D3598,"Equipment Code",$L3598,"due date",F$8)/-12</t>
  </si>
  <si>
    <t>=NL("sum","Production Order","Quantity","Source No.",$D3598,"Equipment Code",$L3598,"due date",G$8)/-12</t>
  </si>
  <si>
    <t>=NL("sum","Production Order","Quantity","Source No.",$D3598,"Equipment Code",$L3598,"due date",H$8)/-12</t>
  </si>
  <si>
    <t>=NL("sum","Production Order","Quantity","Source No.",$D3598,"Equipment Code",$L3598,"due date",I$8)/-12</t>
  </si>
  <si>
    <t>=NL("sum","Production Order","Quantity","Source No.",$D3598,"Equipment Code",$L3598,"due date",J$8)/$J$7</t>
  </si>
  <si>
    <t>=AVERAGE(I3598:J3598)</t>
  </si>
  <si>
    <t>=IF(K3599=0,"hide","")</t>
  </si>
  <si>
    <t>=D3598</t>
  </si>
  <si>
    <t>=NL("sum","Production Order","Quantity","Source No.",$D3599,"Equipment Code",$L3599,"due date",F$8)/-12</t>
  </si>
  <si>
    <t>=NL("sum","Production Order","Quantity","Source No.",$D3599,"Equipment Code",$L3599,"due date",G$8)/-12</t>
  </si>
  <si>
    <t>=NL("sum","Production Order","Quantity","Source No.",$D3599,"Equipment Code",$L3599,"due date",H$8)/-12</t>
  </si>
  <si>
    <t>=NL("sum","Production Order","Quantity","Source No.",$D3599,"Equipment Code",$L3599,"due date",I$8)/-12</t>
  </si>
  <si>
    <t>=NL("sum","Production Order","Quantity","Source No.",$D3599,"Equipment Code",$L3599,"due date",J$8)/$J$7</t>
  </si>
  <si>
    <t>=AVERAGE(I3599:J3599)</t>
  </si>
  <si>
    <t>=B3596</t>
  </si>
  <si>
    <t>=B3600</t>
  </si>
  <si>
    <t>=SUM(F3596:F3600)</t>
  </si>
  <si>
    <t>=SUM(G3596:G3600)</t>
  </si>
  <si>
    <t>=SUM(H3596:H3600)</t>
  </si>
  <si>
    <t>=SUM(I3596:I3600)</t>
  </si>
  <si>
    <t>=SUM(J3596:J3600)</t>
  </si>
  <si>
    <t>=IF(K3602=0,"hide","")</t>
  </si>
  <si>
    <t>="47772"</t>
  </si>
  <si>
    <t>=NL("rows","Production BOM Version","Version Code","Production BOM No.",D3602,"status","certified")</t>
  </si>
  <si>
    <t>=NL("sum","Item Ledger Entry","Quantity","Item No.",$D3602,"Entry Type","Sale|Consumption","posting date","01/01/19..12/31/19")/-12</t>
  </si>
  <si>
    <t>=NL("sum","Item Ledger Entry","Quantity","Item No.",$D3602,"Entry Type","Sale|Consumption","posting date","01/01/20..12/31/20")/-12</t>
  </si>
  <si>
    <t>=NL("sum","Item Ledger Entry","Quantity","Item No.",$D3602,"Entry Type","Sale|Consumption","posting date","01/01/21..12/31/21")/-12</t>
  </si>
  <si>
    <t>=NL("sum","Item Ledger Entry","Quantity","Item No.",$D3602,"Entry Type","Sale|Consumption","posting date","01/01/22..12/31/22")/-12</t>
  </si>
  <si>
    <t>=NL("sum","Item Ledger Entry","Quantity","Item No.",$D3602,"Entry Type","Sale|Consumption","posting date","01/01/23..12/31/23")/$J$7</t>
  </si>
  <si>
    <t>=AVERAGE(I3602:J3602)</t>
  </si>
  <si>
    <t>=NL(1,"item",L$9,"no.",D3602)</t>
  </si>
  <si>
    <t>=NL(1,"item",M$9,"no.",$D3602)</t>
  </si>
  <si>
    <t>=NL(1,"item","Units Per Parcel","no.",$D3602)</t>
  </si>
  <si>
    <t>=NL(1,"Prod. BOM Equipment","Fixed Prod. Time (Hours)","Production BOM No.",$D3602,"version code",$E3602,"Resource No.",O$9)</t>
  </si>
  <si>
    <t>=1/O3602</t>
  </si>
  <si>
    <t>=IF(NL(1,"Prod. BOM Equipment","Variable Prod. Time (Hours)","Production BOM No.",$D3602,"version code",$E3602,"Resource No.",$O$9)="",1,NL(1,"Prod. BOM Equipment","Variable Prod. Time (Hours)","Production BOM No.",$D3602,"version code",$E3602,"Resource No.",$O$9))</t>
  </si>
  <si>
    <t>=1/Q3602</t>
  </si>
  <si>
    <t>=R3602*N3602</t>
  </si>
  <si>
    <t>=IF(K3603=0,"hide","")</t>
  </si>
  <si>
    <t>=D3602</t>
  </si>
  <si>
    <t>=NL("sum","Production Order","Quantity","Source No.",$D3603,"Equipment Code",$L3603,"due date",F$8)/-12</t>
  </si>
  <si>
    <t>=NL("sum","Production Order","Quantity","Source No.",$D3603,"Equipment Code",$L3603,"due date",G$8)/-12</t>
  </si>
  <si>
    <t>=NL("sum","Production Order","Quantity","Source No.",$D3603,"Equipment Code",$L3603,"due date",H$8)/-12</t>
  </si>
  <si>
    <t>=NL("sum","Production Order","Quantity","Source No.",$D3603,"Equipment Code",$L3603,"due date",I$8)/-12</t>
  </si>
  <si>
    <t>=NL("sum","Production Order","Quantity","Source No.",$D3603,"Equipment Code",$L3603,"due date",J$8)/$J$7</t>
  </si>
  <si>
    <t>=AVERAGE(I3603:J3603)</t>
  </si>
  <si>
    <t>=IF(K3604=0,"hide","")</t>
  </si>
  <si>
    <t>=D3603</t>
  </si>
  <si>
    <t>=NL("sum","Production Order","Quantity","Source No.",$D3604,"Equipment Code",$L3604,"due date",F$8)/-12</t>
  </si>
  <si>
    <t>=NL("sum","Production Order","Quantity","Source No.",$D3604,"Equipment Code",$L3604,"due date",G$8)/-12</t>
  </si>
  <si>
    <t>=NL("sum","Production Order","Quantity","Source No.",$D3604,"Equipment Code",$L3604,"due date",H$8)/-12</t>
  </si>
  <si>
    <t>=NL("sum","Production Order","Quantity","Source No.",$D3604,"Equipment Code",$L3604,"due date",I$8)/-12</t>
  </si>
  <si>
    <t>=NL("sum","Production Order","Quantity","Source No.",$D3604,"Equipment Code",$L3604,"due date",J$8)/$J$7</t>
  </si>
  <si>
    <t>=AVERAGE(I3604:J3604)</t>
  </si>
  <si>
    <t>=IF(K3605=0,"hide","")</t>
  </si>
  <si>
    <t>=D3604</t>
  </si>
  <si>
    <t>=NL("sum","Production Order","Quantity","Source No.",$D3605,"Equipment Code",$L3605,"due date",F$8)/-12</t>
  </si>
  <si>
    <t>=NL("sum","Production Order","Quantity","Source No.",$D3605,"Equipment Code",$L3605,"due date",G$8)/-12</t>
  </si>
  <si>
    <t>=NL("sum","Production Order","Quantity","Source No.",$D3605,"Equipment Code",$L3605,"due date",H$8)/-12</t>
  </si>
  <si>
    <t>=NL("sum","Production Order","Quantity","Source No.",$D3605,"Equipment Code",$L3605,"due date",I$8)/-12</t>
  </si>
  <si>
    <t>=NL("sum","Production Order","Quantity","Source No.",$D3605,"Equipment Code",$L3605,"due date",J$8)/$J$7</t>
  </si>
  <si>
    <t>=AVERAGE(I3605:J3605)</t>
  </si>
  <si>
    <t>=IF(K3606=0,"hide","")</t>
  </si>
  <si>
    <t>=D3605</t>
  </si>
  <si>
    <t>=NL("sum","Production Order","Quantity","Source No.",$D3606,"Equipment Code",$L3606,"due date",F$8)/-12</t>
  </si>
  <si>
    <t>=NL("sum","Production Order","Quantity","Source No.",$D3606,"Equipment Code",$L3606,"due date",G$8)/-12</t>
  </si>
  <si>
    <t>=NL("sum","Production Order","Quantity","Source No.",$D3606,"Equipment Code",$L3606,"due date",H$8)/-12</t>
  </si>
  <si>
    <t>=NL("sum","Production Order","Quantity","Source No.",$D3606,"Equipment Code",$L3606,"due date",I$8)/-12</t>
  </si>
  <si>
    <t>=NL("sum","Production Order","Quantity","Source No.",$D3606,"Equipment Code",$L3606,"due date",J$8)/$J$7</t>
  </si>
  <si>
    <t>=AVERAGE(I3606:J3606)</t>
  </si>
  <si>
    <t>=B3603</t>
  </si>
  <si>
    <t>=B3607</t>
  </si>
  <si>
    <t>=SUM(F3603:F3607)</t>
  </si>
  <si>
    <t>=SUM(G3603:G3607)</t>
  </si>
  <si>
    <t>=SUM(H3603:H3607)</t>
  </si>
  <si>
    <t>=SUM(I3603:I3607)</t>
  </si>
  <si>
    <t>=SUM(J3603:J3607)</t>
  </si>
  <si>
    <t>=IF(K3609=0,"hide","")</t>
  </si>
  <si>
    <t>="47773"</t>
  </si>
  <si>
    <t>=NL("rows","Production BOM Version","Version Code","Production BOM No.",D3609,"status","certified")</t>
  </si>
  <si>
    <t>=NL("sum","Item Ledger Entry","Quantity","Item No.",$D3609,"Entry Type","Sale|Consumption","posting date","01/01/19..12/31/19")/-12</t>
  </si>
  <si>
    <t>=NL("sum","Item Ledger Entry","Quantity","Item No.",$D3609,"Entry Type","Sale|Consumption","posting date","01/01/20..12/31/20")/-12</t>
  </si>
  <si>
    <t>=NL("sum","Item Ledger Entry","Quantity","Item No.",$D3609,"Entry Type","Sale|Consumption","posting date","01/01/21..12/31/21")/-12</t>
  </si>
  <si>
    <t>=NL("sum","Item Ledger Entry","Quantity","Item No.",$D3609,"Entry Type","Sale|Consumption","posting date","01/01/22..12/31/22")/-12</t>
  </si>
  <si>
    <t>=NL("sum","Item Ledger Entry","Quantity","Item No.",$D3609,"Entry Type","Sale|Consumption","posting date","01/01/23..12/31/23")/$J$7</t>
  </si>
  <si>
    <t>=AVERAGE(I3609:J3609)</t>
  </si>
  <si>
    <t>=NL(1,"item",L$9,"no.",D3609)</t>
  </si>
  <si>
    <t>=NL(1,"item",M$9,"no.",$D3609)</t>
  </si>
  <si>
    <t>=NL(1,"item","Units Per Parcel","no.",$D3609)</t>
  </si>
  <si>
    <t>=NL(1,"Prod. BOM Equipment","Fixed Prod. Time (Hours)","Production BOM No.",$D3609,"version code",$E3609,"Resource No.",O$9)</t>
  </si>
  <si>
    <t>=1/O3609</t>
  </si>
  <si>
    <t>=IF(NL(1,"Prod. BOM Equipment","Variable Prod. Time (Hours)","Production BOM No.",$D3609,"version code",$E3609,"Resource No.",$O$9)="",1,NL(1,"Prod. BOM Equipment","Variable Prod. Time (Hours)","Production BOM No.",$D3609,"version code",$E3609,"Resource No.",$O$9))</t>
  </si>
  <si>
    <t>=1/Q3609</t>
  </si>
  <si>
    <t>=R3609*N3609</t>
  </si>
  <si>
    <t>=IF(K3610=0,"hide","")</t>
  </si>
  <si>
    <t>=D3609</t>
  </si>
  <si>
    <t>=NL("sum","Production Order","Quantity","Source No.",$D3610,"Equipment Code",$L3610,"due date",F$8)/-12</t>
  </si>
  <si>
    <t>=NL("sum","Production Order","Quantity","Source No.",$D3610,"Equipment Code",$L3610,"due date",G$8)/-12</t>
  </si>
  <si>
    <t>=NL("sum","Production Order","Quantity","Source No.",$D3610,"Equipment Code",$L3610,"due date",H$8)/-12</t>
  </si>
  <si>
    <t>=NL("sum","Production Order","Quantity","Source No.",$D3610,"Equipment Code",$L3610,"due date",I$8)/-12</t>
  </si>
  <si>
    <t>=NL("sum","Production Order","Quantity","Source No.",$D3610,"Equipment Code",$L3610,"due date",J$8)/$J$7</t>
  </si>
  <si>
    <t>=AVERAGE(I3610:J3610)</t>
  </si>
  <si>
    <t>=IF(K3611=0,"hide","")</t>
  </si>
  <si>
    <t>=D3610</t>
  </si>
  <si>
    <t>=NL("sum","Production Order","Quantity","Source No.",$D3611,"Equipment Code",$L3611,"due date",F$8)/-12</t>
  </si>
  <si>
    <t>=NL("sum","Production Order","Quantity","Source No.",$D3611,"Equipment Code",$L3611,"due date",G$8)/-12</t>
  </si>
  <si>
    <t>=NL("sum","Production Order","Quantity","Source No.",$D3611,"Equipment Code",$L3611,"due date",H$8)/-12</t>
  </si>
  <si>
    <t>=NL("sum","Production Order","Quantity","Source No.",$D3611,"Equipment Code",$L3611,"due date",I$8)/-12</t>
  </si>
  <si>
    <t>=NL("sum","Production Order","Quantity","Source No.",$D3611,"Equipment Code",$L3611,"due date",J$8)/$J$7</t>
  </si>
  <si>
    <t>=AVERAGE(I3611:J3611)</t>
  </si>
  <si>
    <t>=IF(K3612=0,"hide","")</t>
  </si>
  <si>
    <t>=D3611</t>
  </si>
  <si>
    <t>=NL("sum","Production Order","Quantity","Source No.",$D3612,"Equipment Code",$L3612,"due date",F$8)/-12</t>
  </si>
  <si>
    <t>=NL("sum","Production Order","Quantity","Source No.",$D3612,"Equipment Code",$L3612,"due date",G$8)/-12</t>
  </si>
  <si>
    <t>=NL("sum","Production Order","Quantity","Source No.",$D3612,"Equipment Code",$L3612,"due date",H$8)/-12</t>
  </si>
  <si>
    <t>=NL("sum","Production Order","Quantity","Source No.",$D3612,"Equipment Code",$L3612,"due date",I$8)/-12</t>
  </si>
  <si>
    <t>=NL("sum","Production Order","Quantity","Source No.",$D3612,"Equipment Code",$L3612,"due date",J$8)/$J$7</t>
  </si>
  <si>
    <t>=AVERAGE(I3612:J3612)</t>
  </si>
  <si>
    <t>=IF(K3613=0,"hide","")</t>
  </si>
  <si>
    <t>=D3612</t>
  </si>
  <si>
    <t>=NL("sum","Production Order","Quantity","Source No.",$D3613,"Equipment Code",$L3613,"due date",F$8)/-12</t>
  </si>
  <si>
    <t>=NL("sum","Production Order","Quantity","Source No.",$D3613,"Equipment Code",$L3613,"due date",G$8)/-12</t>
  </si>
  <si>
    <t>=NL("sum","Production Order","Quantity","Source No.",$D3613,"Equipment Code",$L3613,"due date",H$8)/-12</t>
  </si>
  <si>
    <t>=NL("sum","Production Order","Quantity","Source No.",$D3613,"Equipment Code",$L3613,"due date",I$8)/-12</t>
  </si>
  <si>
    <t>=NL("sum","Production Order","Quantity","Source No.",$D3613,"Equipment Code",$L3613,"due date",J$8)/$J$7</t>
  </si>
  <si>
    <t>=AVERAGE(I3613:J3613)</t>
  </si>
  <si>
    <t>=B3610</t>
  </si>
  <si>
    <t>=B3614</t>
  </si>
  <si>
    <t>=SUM(F3610:F3614)</t>
  </si>
  <si>
    <t>=SUM(G3610:G3614)</t>
  </si>
  <si>
    <t>=SUM(H3610:H3614)</t>
  </si>
  <si>
    <t>=SUM(I3610:I3614)</t>
  </si>
  <si>
    <t>=SUM(J3610:J3614)</t>
  </si>
  <si>
    <t>=IF(K3616=0,"hide","")</t>
  </si>
  <si>
    <t>="47774"</t>
  </si>
  <si>
    <t>=NL("rows","Production BOM Version","Version Code","Production BOM No.",D3616,"status","certified")</t>
  </si>
  <si>
    <t>=NL("sum","Item Ledger Entry","Quantity","Item No.",$D3616,"Entry Type","Sale|Consumption","posting date","01/01/19..12/31/19")/-12</t>
  </si>
  <si>
    <t>=NL("sum","Item Ledger Entry","Quantity","Item No.",$D3616,"Entry Type","Sale|Consumption","posting date","01/01/20..12/31/20")/-12</t>
  </si>
  <si>
    <t>=NL("sum","Item Ledger Entry","Quantity","Item No.",$D3616,"Entry Type","Sale|Consumption","posting date","01/01/21..12/31/21")/-12</t>
  </si>
  <si>
    <t>=NL("sum","Item Ledger Entry","Quantity","Item No.",$D3616,"Entry Type","Sale|Consumption","posting date","01/01/22..12/31/22")/-12</t>
  </si>
  <si>
    <t>=NL("sum","Item Ledger Entry","Quantity","Item No.",$D3616,"Entry Type","Sale|Consumption","posting date","01/01/23..12/31/23")/$J$7</t>
  </si>
  <si>
    <t>=AVERAGE(I3616:J3616)</t>
  </si>
  <si>
    <t>=NL(1,"item",L$9,"no.",D3616)</t>
  </si>
  <si>
    <t>=NL(1,"item",M$9,"no.",$D3616)</t>
  </si>
  <si>
    <t>=NL(1,"item","Units Per Parcel","no.",$D3616)</t>
  </si>
  <si>
    <t>=NL(1,"Prod. BOM Equipment","Fixed Prod. Time (Hours)","Production BOM No.",$D3616,"version code",$E3616,"Resource No.",O$9)</t>
  </si>
  <si>
    <t>=1/O3616</t>
  </si>
  <si>
    <t>=IF(NL(1,"Prod. BOM Equipment","Variable Prod. Time (Hours)","Production BOM No.",$D3616,"version code",$E3616,"Resource No.",$O$9)="",1,NL(1,"Prod. BOM Equipment","Variable Prod. Time (Hours)","Production BOM No.",$D3616,"version code",$E3616,"Resource No.",$O$9))</t>
  </si>
  <si>
    <t>=1/Q3616</t>
  </si>
  <si>
    <t>=R3616*N3616</t>
  </si>
  <si>
    <t>=IF(K3617=0,"hide","")</t>
  </si>
  <si>
    <t>=D3616</t>
  </si>
  <si>
    <t>=NL("sum","Production Order","Quantity","Source No.",$D3617,"Equipment Code",$L3617,"due date",F$8)/-12</t>
  </si>
  <si>
    <t>=NL("sum","Production Order","Quantity","Source No.",$D3617,"Equipment Code",$L3617,"due date",G$8)/-12</t>
  </si>
  <si>
    <t>=NL("sum","Production Order","Quantity","Source No.",$D3617,"Equipment Code",$L3617,"due date",H$8)/-12</t>
  </si>
  <si>
    <t>=NL("sum","Production Order","Quantity","Source No.",$D3617,"Equipment Code",$L3617,"due date",I$8)/-12</t>
  </si>
  <si>
    <t>=NL("sum","Production Order","Quantity","Source No.",$D3617,"Equipment Code",$L3617,"due date",J$8)/$J$7</t>
  </si>
  <si>
    <t>=AVERAGE(I3617:J3617)</t>
  </si>
  <si>
    <t>=IF(K3618=0,"hide","")</t>
  </si>
  <si>
    <t>=D3617</t>
  </si>
  <si>
    <t>=NL("sum","Production Order","Quantity","Source No.",$D3618,"Equipment Code",$L3618,"due date",F$8)/-12</t>
  </si>
  <si>
    <t>=NL("sum","Production Order","Quantity","Source No.",$D3618,"Equipment Code",$L3618,"due date",G$8)/-12</t>
  </si>
  <si>
    <t>=NL("sum","Production Order","Quantity","Source No.",$D3618,"Equipment Code",$L3618,"due date",H$8)/-12</t>
  </si>
  <si>
    <t>=NL("sum","Production Order","Quantity","Source No.",$D3618,"Equipment Code",$L3618,"due date",I$8)/-12</t>
  </si>
  <si>
    <t>=NL("sum","Production Order","Quantity","Source No.",$D3618,"Equipment Code",$L3618,"due date",J$8)/$J$7</t>
  </si>
  <si>
    <t>=AVERAGE(I3618:J3618)</t>
  </si>
  <si>
    <t>=IF(K3619=0,"hide","")</t>
  </si>
  <si>
    <t>=D3618</t>
  </si>
  <si>
    <t>=NL("sum","Production Order","Quantity","Source No.",$D3619,"Equipment Code",$L3619,"due date",F$8)/-12</t>
  </si>
  <si>
    <t>=NL("sum","Production Order","Quantity","Source No.",$D3619,"Equipment Code",$L3619,"due date",G$8)/-12</t>
  </si>
  <si>
    <t>=NL("sum","Production Order","Quantity","Source No.",$D3619,"Equipment Code",$L3619,"due date",H$8)/-12</t>
  </si>
  <si>
    <t>=NL("sum","Production Order","Quantity","Source No.",$D3619,"Equipment Code",$L3619,"due date",I$8)/-12</t>
  </si>
  <si>
    <t>=NL("sum","Production Order","Quantity","Source No.",$D3619,"Equipment Code",$L3619,"due date",J$8)/$J$7</t>
  </si>
  <si>
    <t>=AVERAGE(I3619:J3619)</t>
  </si>
  <si>
    <t>=IF(K3620=0,"hide","")</t>
  </si>
  <si>
    <t>=D3619</t>
  </si>
  <si>
    <t>=NL("sum","Production Order","Quantity","Source No.",$D3620,"Equipment Code",$L3620,"due date",F$8)/-12</t>
  </si>
  <si>
    <t>=NL("sum","Production Order","Quantity","Source No.",$D3620,"Equipment Code",$L3620,"due date",G$8)/-12</t>
  </si>
  <si>
    <t>=NL("sum","Production Order","Quantity","Source No.",$D3620,"Equipment Code",$L3620,"due date",H$8)/-12</t>
  </si>
  <si>
    <t>=NL("sum","Production Order","Quantity","Source No.",$D3620,"Equipment Code",$L3620,"due date",I$8)/-12</t>
  </si>
  <si>
    <t>=NL("sum","Production Order","Quantity","Source No.",$D3620,"Equipment Code",$L3620,"due date",J$8)/$J$7</t>
  </si>
  <si>
    <t>=AVERAGE(I3620:J3620)</t>
  </si>
  <si>
    <t>=B3617</t>
  </si>
  <si>
    <t>=B3621</t>
  </si>
  <si>
    <t>=SUM(F3617:F3621)</t>
  </si>
  <si>
    <t>=SUM(G3617:G3621)</t>
  </si>
  <si>
    <t>=SUM(H3617:H3621)</t>
  </si>
  <si>
    <t>=SUM(I3617:I3621)</t>
  </si>
  <si>
    <t>=SUM(J3617:J3621)</t>
  </si>
  <si>
    <t>=IF(K3623=0,"hide","")</t>
  </si>
  <si>
    <t>="47775"</t>
  </si>
  <si>
    <t>=NL("rows","Production BOM Version","Version Code","Production BOM No.",D3623,"status","certified")</t>
  </si>
  <si>
    <t>=NL("sum","Item Ledger Entry","Quantity","Item No.",$D3623,"Entry Type","Sale|Consumption","posting date","01/01/19..12/31/19")/-12</t>
  </si>
  <si>
    <t>=NL("sum","Item Ledger Entry","Quantity","Item No.",$D3623,"Entry Type","Sale|Consumption","posting date","01/01/20..12/31/20")/-12</t>
  </si>
  <si>
    <t>=NL("sum","Item Ledger Entry","Quantity","Item No.",$D3623,"Entry Type","Sale|Consumption","posting date","01/01/21..12/31/21")/-12</t>
  </si>
  <si>
    <t>=NL("sum","Item Ledger Entry","Quantity","Item No.",$D3623,"Entry Type","Sale|Consumption","posting date","01/01/22..12/31/22")/-12</t>
  </si>
  <si>
    <t>=NL("sum","Item Ledger Entry","Quantity","Item No.",$D3623,"Entry Type","Sale|Consumption","posting date","01/01/23..12/31/23")/$J$7</t>
  </si>
  <si>
    <t>=AVERAGE(I3623:J3623)</t>
  </si>
  <si>
    <t>=NL(1,"item",L$9,"no.",D3623)</t>
  </si>
  <si>
    <t>=NL(1,"item",M$9,"no.",$D3623)</t>
  </si>
  <si>
    <t>=NL(1,"item","Units Per Parcel","no.",$D3623)</t>
  </si>
  <si>
    <t>=NL(1,"Prod. BOM Equipment","Fixed Prod. Time (Hours)","Production BOM No.",$D3623,"version code",$E3623,"Resource No.",O$9)</t>
  </si>
  <si>
    <t>=1/O3623</t>
  </si>
  <si>
    <t>=IF(NL(1,"Prod. BOM Equipment","Variable Prod. Time (Hours)","Production BOM No.",$D3623,"version code",$E3623,"Resource No.",$O$9)="",1,NL(1,"Prod. BOM Equipment","Variable Prod. Time (Hours)","Production BOM No.",$D3623,"version code",$E3623,"Resource No.",$O$9))</t>
  </si>
  <si>
    <t>=1/Q3623</t>
  </si>
  <si>
    <t>=R3623*N3623</t>
  </si>
  <si>
    <t>=IF(K3624=0,"hide","")</t>
  </si>
  <si>
    <t>=D3623</t>
  </si>
  <si>
    <t>=NL("sum","Production Order","Quantity","Source No.",$D3624,"Equipment Code",$L3624,"due date",F$8)/-12</t>
  </si>
  <si>
    <t>=NL("sum","Production Order","Quantity","Source No.",$D3624,"Equipment Code",$L3624,"due date",G$8)/-12</t>
  </si>
  <si>
    <t>=NL("sum","Production Order","Quantity","Source No.",$D3624,"Equipment Code",$L3624,"due date",H$8)/-12</t>
  </si>
  <si>
    <t>=NL("sum","Production Order","Quantity","Source No.",$D3624,"Equipment Code",$L3624,"due date",I$8)/-12</t>
  </si>
  <si>
    <t>=NL("sum","Production Order","Quantity","Source No.",$D3624,"Equipment Code",$L3624,"due date",J$8)/$J$7</t>
  </si>
  <si>
    <t>=AVERAGE(I3624:J3624)</t>
  </si>
  <si>
    <t>=IF(K3625=0,"hide","")</t>
  </si>
  <si>
    <t>=D3624</t>
  </si>
  <si>
    <t>=NL("sum","Production Order","Quantity","Source No.",$D3625,"Equipment Code",$L3625,"due date",F$8)/-12</t>
  </si>
  <si>
    <t>=NL("sum","Production Order","Quantity","Source No.",$D3625,"Equipment Code",$L3625,"due date",G$8)/-12</t>
  </si>
  <si>
    <t>=NL("sum","Production Order","Quantity","Source No.",$D3625,"Equipment Code",$L3625,"due date",H$8)/-12</t>
  </si>
  <si>
    <t>=NL("sum","Production Order","Quantity","Source No.",$D3625,"Equipment Code",$L3625,"due date",I$8)/-12</t>
  </si>
  <si>
    <t>=NL("sum","Production Order","Quantity","Source No.",$D3625,"Equipment Code",$L3625,"due date",J$8)/$J$7</t>
  </si>
  <si>
    <t>=AVERAGE(I3625:J3625)</t>
  </si>
  <si>
    <t>=IF(K3626=0,"hide","")</t>
  </si>
  <si>
    <t>=D3625</t>
  </si>
  <si>
    <t>=NL("sum","Production Order","Quantity","Source No.",$D3626,"Equipment Code",$L3626,"due date",F$8)/-12</t>
  </si>
  <si>
    <t>=NL("sum","Production Order","Quantity","Source No.",$D3626,"Equipment Code",$L3626,"due date",G$8)/-12</t>
  </si>
  <si>
    <t>=NL("sum","Production Order","Quantity","Source No.",$D3626,"Equipment Code",$L3626,"due date",H$8)/-12</t>
  </si>
  <si>
    <t>=NL("sum","Production Order","Quantity","Source No.",$D3626,"Equipment Code",$L3626,"due date",I$8)/-12</t>
  </si>
  <si>
    <t>=NL("sum","Production Order","Quantity","Source No.",$D3626,"Equipment Code",$L3626,"due date",J$8)/$J$7</t>
  </si>
  <si>
    <t>=AVERAGE(I3626:J3626)</t>
  </si>
  <si>
    <t>=IF(K3627=0,"hide","")</t>
  </si>
  <si>
    <t>=D3626</t>
  </si>
  <si>
    <t>=NL("sum","Production Order","Quantity","Source No.",$D3627,"Equipment Code",$L3627,"due date",F$8)/-12</t>
  </si>
  <si>
    <t>=NL("sum","Production Order","Quantity","Source No.",$D3627,"Equipment Code",$L3627,"due date",G$8)/-12</t>
  </si>
  <si>
    <t>=NL("sum","Production Order","Quantity","Source No.",$D3627,"Equipment Code",$L3627,"due date",H$8)/-12</t>
  </si>
  <si>
    <t>=NL("sum","Production Order","Quantity","Source No.",$D3627,"Equipment Code",$L3627,"due date",I$8)/-12</t>
  </si>
  <si>
    <t>=NL("sum","Production Order","Quantity","Source No.",$D3627,"Equipment Code",$L3627,"due date",J$8)/$J$7</t>
  </si>
  <si>
    <t>=AVERAGE(I3627:J3627)</t>
  </si>
  <si>
    <t>=B3624</t>
  </si>
  <si>
    <t>=B3628</t>
  </si>
  <si>
    <t>=SUM(F3624:F3628)</t>
  </si>
  <si>
    <t>=SUM(G3624:G3628)</t>
  </si>
  <si>
    <t>=SUM(H3624:H3628)</t>
  </si>
  <si>
    <t>=SUM(I3624:I3628)</t>
  </si>
  <si>
    <t>=SUM(J3624:J3628)</t>
  </si>
  <si>
    <t>=IF(K3630=0,"hide","")</t>
  </si>
  <si>
    <t>="47801"</t>
  </si>
  <si>
    <t>=NL("rows","Production BOM Version","Version Code","Production BOM No.",D3630,"status","certified")</t>
  </si>
  <si>
    <t>=NL("sum","Item Ledger Entry","Quantity","Item No.",$D3630,"Entry Type","Sale|Consumption","posting date","01/01/19..12/31/19")/-12</t>
  </si>
  <si>
    <t>=NL("sum","Item Ledger Entry","Quantity","Item No.",$D3630,"Entry Type","Sale|Consumption","posting date","01/01/20..12/31/20")/-12</t>
  </si>
  <si>
    <t>=NL("sum","Item Ledger Entry","Quantity","Item No.",$D3630,"Entry Type","Sale|Consumption","posting date","01/01/21..12/31/21")/-12</t>
  </si>
  <si>
    <t>=NL("sum","Item Ledger Entry","Quantity","Item No.",$D3630,"Entry Type","Sale|Consumption","posting date","01/01/22..12/31/22")/-12</t>
  </si>
  <si>
    <t>=NL("sum","Item Ledger Entry","Quantity","Item No.",$D3630,"Entry Type","Sale|Consumption","posting date","01/01/23..12/31/23")/$J$7</t>
  </si>
  <si>
    <t>=AVERAGE(I3630:J3630)</t>
  </si>
  <si>
    <t>=NL(1,"item",L$9,"no.",D3630)</t>
  </si>
  <si>
    <t>=NL(1,"item",M$9,"no.",$D3630)</t>
  </si>
  <si>
    <t>=NL(1,"item","Units Per Parcel","no.",$D3630)</t>
  </si>
  <si>
    <t>=NL(1,"Prod. BOM Equipment","Fixed Prod. Time (Hours)","Production BOM No.",$D3630,"version code",$E3630,"Resource No.",O$9)</t>
  </si>
  <si>
    <t>=1/O3630</t>
  </si>
  <si>
    <t>=IF(NL(1,"Prod. BOM Equipment","Variable Prod. Time (Hours)","Production BOM No.",$D3630,"version code",$E3630,"Resource No.",$O$9)="",1,NL(1,"Prod. BOM Equipment","Variable Prod. Time (Hours)","Production BOM No.",$D3630,"version code",$E3630,"Resource No.",$O$9))</t>
  </si>
  <si>
    <t>=1/Q3630</t>
  </si>
  <si>
    <t>=R3630*N3630</t>
  </si>
  <si>
    <t>=IF(K3631=0,"hide","")</t>
  </si>
  <si>
    <t>=D3630</t>
  </si>
  <si>
    <t>=NL("sum","Production Order","Quantity","Source No.",$D3631,"Equipment Code",$L3631,"due date",F$8)/-12</t>
  </si>
  <si>
    <t>=NL("sum","Production Order","Quantity","Source No.",$D3631,"Equipment Code",$L3631,"due date",G$8)/-12</t>
  </si>
  <si>
    <t>=NL("sum","Production Order","Quantity","Source No.",$D3631,"Equipment Code",$L3631,"due date",H$8)/-12</t>
  </si>
  <si>
    <t>=NL("sum","Production Order","Quantity","Source No.",$D3631,"Equipment Code",$L3631,"due date",I$8)/-12</t>
  </si>
  <si>
    <t>=NL("sum","Production Order","Quantity","Source No.",$D3631,"Equipment Code",$L3631,"due date",J$8)/$J$7</t>
  </si>
  <si>
    <t>=AVERAGE(I3631:J3631)</t>
  </si>
  <si>
    <t>=IF(K3632=0,"hide","")</t>
  </si>
  <si>
    <t>=D3631</t>
  </si>
  <si>
    <t>=NL("sum","Production Order","Quantity","Source No.",$D3632,"Equipment Code",$L3632,"due date",F$8)/-12</t>
  </si>
  <si>
    <t>=NL("sum","Production Order","Quantity","Source No.",$D3632,"Equipment Code",$L3632,"due date",G$8)/-12</t>
  </si>
  <si>
    <t>=NL("sum","Production Order","Quantity","Source No.",$D3632,"Equipment Code",$L3632,"due date",H$8)/-12</t>
  </si>
  <si>
    <t>=NL("sum","Production Order","Quantity","Source No.",$D3632,"Equipment Code",$L3632,"due date",I$8)/-12</t>
  </si>
  <si>
    <t>=NL("sum","Production Order","Quantity","Source No.",$D3632,"Equipment Code",$L3632,"due date",J$8)/$J$7</t>
  </si>
  <si>
    <t>=AVERAGE(I3632:J3632)</t>
  </si>
  <si>
    <t>=IF(K3633=0,"hide","")</t>
  </si>
  <si>
    <t>=D3632</t>
  </si>
  <si>
    <t>=NL("sum","Production Order","Quantity","Source No.",$D3633,"Equipment Code",$L3633,"due date",F$8)/-12</t>
  </si>
  <si>
    <t>=NL("sum","Production Order","Quantity","Source No.",$D3633,"Equipment Code",$L3633,"due date",G$8)/-12</t>
  </si>
  <si>
    <t>=NL("sum","Production Order","Quantity","Source No.",$D3633,"Equipment Code",$L3633,"due date",H$8)/-12</t>
  </si>
  <si>
    <t>=NL("sum","Production Order","Quantity","Source No.",$D3633,"Equipment Code",$L3633,"due date",I$8)/-12</t>
  </si>
  <si>
    <t>=NL("sum","Production Order","Quantity","Source No.",$D3633,"Equipment Code",$L3633,"due date",J$8)/$J$7</t>
  </si>
  <si>
    <t>=AVERAGE(I3633:J3633)</t>
  </si>
  <si>
    <t>=IF(K3634=0,"hide","")</t>
  </si>
  <si>
    <t>=D3633</t>
  </si>
  <si>
    <t>=NL("sum","Production Order","Quantity","Source No.",$D3634,"Equipment Code",$L3634,"due date",F$8)/-12</t>
  </si>
  <si>
    <t>=NL("sum","Production Order","Quantity","Source No.",$D3634,"Equipment Code",$L3634,"due date",G$8)/-12</t>
  </si>
  <si>
    <t>=NL("sum","Production Order","Quantity","Source No.",$D3634,"Equipment Code",$L3634,"due date",H$8)/-12</t>
  </si>
  <si>
    <t>=NL("sum","Production Order","Quantity","Source No.",$D3634,"Equipment Code",$L3634,"due date",I$8)/-12</t>
  </si>
  <si>
    <t>=NL("sum","Production Order","Quantity","Source No.",$D3634,"Equipment Code",$L3634,"due date",J$8)/$J$7</t>
  </si>
  <si>
    <t>=AVERAGE(I3634:J3634)</t>
  </si>
  <si>
    <t>=B3631</t>
  </si>
  <si>
    <t>=B3635</t>
  </si>
  <si>
    <t>=SUM(F3631:F3635)</t>
  </si>
  <si>
    <t>=SUM(G3631:G3635)</t>
  </si>
  <si>
    <t>=SUM(H3631:H3635)</t>
  </si>
  <si>
    <t>=SUM(I3631:I3635)</t>
  </si>
  <si>
    <t>=SUM(J3631:J3635)</t>
  </si>
  <si>
    <t>=IF(K3637=0,"hide","")</t>
  </si>
  <si>
    <t>="47805"</t>
  </si>
  <si>
    <t>=NL("rows","Production BOM Version","Version Code","Production BOM No.",D3637,"status","certified")</t>
  </si>
  <si>
    <t>=NL("sum","Item Ledger Entry","Quantity","Item No.",$D3637,"Entry Type","Sale|Consumption","posting date","01/01/19..12/31/19")/-12</t>
  </si>
  <si>
    <t>=NL("sum","Item Ledger Entry","Quantity","Item No.",$D3637,"Entry Type","Sale|Consumption","posting date","01/01/20..12/31/20")/-12</t>
  </si>
  <si>
    <t>=NL("sum","Item Ledger Entry","Quantity","Item No.",$D3637,"Entry Type","Sale|Consumption","posting date","01/01/21..12/31/21")/-12</t>
  </si>
  <si>
    <t>=NL("sum","Item Ledger Entry","Quantity","Item No.",$D3637,"Entry Type","Sale|Consumption","posting date","01/01/22..12/31/22")/-12</t>
  </si>
  <si>
    <t>=NL("sum","Item Ledger Entry","Quantity","Item No.",$D3637,"Entry Type","Sale|Consumption","posting date","01/01/23..12/31/23")/$J$7</t>
  </si>
  <si>
    <t>=AVERAGE(I3637:J3637)</t>
  </si>
  <si>
    <t>=NL(1,"item",L$9,"no.",D3637)</t>
  </si>
  <si>
    <t>=NL(1,"item",M$9,"no.",$D3637)</t>
  </si>
  <si>
    <t>=NL(1,"item","Units Per Parcel","no.",$D3637)</t>
  </si>
  <si>
    <t>=NL(1,"Prod. BOM Equipment","Fixed Prod. Time (Hours)","Production BOM No.",$D3637,"version code",$E3637,"Resource No.",O$9)</t>
  </si>
  <si>
    <t>=1/O3637</t>
  </si>
  <si>
    <t>=IF(NL(1,"Prod. BOM Equipment","Variable Prod. Time (Hours)","Production BOM No.",$D3637,"version code",$E3637,"Resource No.",$O$9)="",1,NL(1,"Prod. BOM Equipment","Variable Prod. Time (Hours)","Production BOM No.",$D3637,"version code",$E3637,"Resource No.",$O$9))</t>
  </si>
  <si>
    <t>=1/Q3637</t>
  </si>
  <si>
    <t>=R3637*N3637</t>
  </si>
  <si>
    <t>=IF(K3638=0,"hide","")</t>
  </si>
  <si>
    <t>=D3637</t>
  </si>
  <si>
    <t>=NL("sum","Production Order","Quantity","Source No.",$D3638,"Equipment Code",$L3638,"due date",F$8)/-12</t>
  </si>
  <si>
    <t>=NL("sum","Production Order","Quantity","Source No.",$D3638,"Equipment Code",$L3638,"due date",G$8)/-12</t>
  </si>
  <si>
    <t>=NL("sum","Production Order","Quantity","Source No.",$D3638,"Equipment Code",$L3638,"due date",H$8)/-12</t>
  </si>
  <si>
    <t>=NL("sum","Production Order","Quantity","Source No.",$D3638,"Equipment Code",$L3638,"due date",I$8)/-12</t>
  </si>
  <si>
    <t>=NL("sum","Production Order","Quantity","Source No.",$D3638,"Equipment Code",$L3638,"due date",J$8)/$J$7</t>
  </si>
  <si>
    <t>=AVERAGE(I3638:J3638)</t>
  </si>
  <si>
    <t>=IF(K3639=0,"hide","")</t>
  </si>
  <si>
    <t>=D3638</t>
  </si>
  <si>
    <t>=NL("sum","Production Order","Quantity","Source No.",$D3639,"Equipment Code",$L3639,"due date",F$8)/-12</t>
  </si>
  <si>
    <t>=NL("sum","Production Order","Quantity","Source No.",$D3639,"Equipment Code",$L3639,"due date",G$8)/-12</t>
  </si>
  <si>
    <t>=NL("sum","Production Order","Quantity","Source No.",$D3639,"Equipment Code",$L3639,"due date",H$8)/-12</t>
  </si>
  <si>
    <t>=NL("sum","Production Order","Quantity","Source No.",$D3639,"Equipment Code",$L3639,"due date",I$8)/-12</t>
  </si>
  <si>
    <t>=NL("sum","Production Order","Quantity","Source No.",$D3639,"Equipment Code",$L3639,"due date",J$8)/$J$7</t>
  </si>
  <si>
    <t>=AVERAGE(I3639:J3639)</t>
  </si>
  <si>
    <t>=IF(K3640=0,"hide","")</t>
  </si>
  <si>
    <t>=D3639</t>
  </si>
  <si>
    <t>=NL("sum","Production Order","Quantity","Source No.",$D3640,"Equipment Code",$L3640,"due date",F$8)/-12</t>
  </si>
  <si>
    <t>=NL("sum","Production Order","Quantity","Source No.",$D3640,"Equipment Code",$L3640,"due date",G$8)/-12</t>
  </si>
  <si>
    <t>=NL("sum","Production Order","Quantity","Source No.",$D3640,"Equipment Code",$L3640,"due date",H$8)/-12</t>
  </si>
  <si>
    <t>=NL("sum","Production Order","Quantity","Source No.",$D3640,"Equipment Code",$L3640,"due date",I$8)/-12</t>
  </si>
  <si>
    <t>=NL("sum","Production Order","Quantity","Source No.",$D3640,"Equipment Code",$L3640,"due date",J$8)/$J$7</t>
  </si>
  <si>
    <t>=AVERAGE(I3640:J3640)</t>
  </si>
  <si>
    <t>=IF(K3641=0,"hide","")</t>
  </si>
  <si>
    <t>=D3640</t>
  </si>
  <si>
    <t>=NL("sum","Production Order","Quantity","Source No.",$D3641,"Equipment Code",$L3641,"due date",F$8)/-12</t>
  </si>
  <si>
    <t>=NL("sum","Production Order","Quantity","Source No.",$D3641,"Equipment Code",$L3641,"due date",G$8)/-12</t>
  </si>
  <si>
    <t>=NL("sum","Production Order","Quantity","Source No.",$D3641,"Equipment Code",$L3641,"due date",H$8)/-12</t>
  </si>
  <si>
    <t>=NL("sum","Production Order","Quantity","Source No.",$D3641,"Equipment Code",$L3641,"due date",I$8)/-12</t>
  </si>
  <si>
    <t>=NL("sum","Production Order","Quantity","Source No.",$D3641,"Equipment Code",$L3641,"due date",J$8)/$J$7</t>
  </si>
  <si>
    <t>=AVERAGE(I3641:J3641)</t>
  </si>
  <si>
    <t>=B3638</t>
  </si>
  <si>
    <t>=B3642</t>
  </si>
  <si>
    <t>=SUM(F3638:F3642)</t>
  </si>
  <si>
    <t>=SUM(G3638:G3642)</t>
  </si>
  <si>
    <t>=SUM(H3638:H3642)</t>
  </si>
  <si>
    <t>=SUM(I3638:I3642)</t>
  </si>
  <si>
    <t>=SUM(J3638:J3642)</t>
  </si>
  <si>
    <t>=IF(K3644=0,"hide","")</t>
  </si>
  <si>
    <t>="47809"</t>
  </si>
  <si>
    <t>=NL("rows","Production BOM Version","Version Code","Production BOM No.",D3644,"status","certified")</t>
  </si>
  <si>
    <t>=NL("sum","Item Ledger Entry","Quantity","Item No.",$D3644,"Entry Type","Sale|Consumption","posting date","01/01/19..12/31/19")/-12</t>
  </si>
  <si>
    <t>=NL("sum","Item Ledger Entry","Quantity","Item No.",$D3644,"Entry Type","Sale|Consumption","posting date","01/01/20..12/31/20")/-12</t>
  </si>
  <si>
    <t>=NL("sum","Item Ledger Entry","Quantity","Item No.",$D3644,"Entry Type","Sale|Consumption","posting date","01/01/21..12/31/21")/-12</t>
  </si>
  <si>
    <t>=NL("sum","Item Ledger Entry","Quantity","Item No.",$D3644,"Entry Type","Sale|Consumption","posting date","01/01/22..12/31/22")/-12</t>
  </si>
  <si>
    <t>=NL("sum","Item Ledger Entry","Quantity","Item No.",$D3644,"Entry Type","Sale|Consumption","posting date","01/01/23..12/31/23")/$J$7</t>
  </si>
  <si>
    <t>=AVERAGE(I3644:J3644)</t>
  </si>
  <si>
    <t>=NL(1,"item",L$9,"no.",D3644)</t>
  </si>
  <si>
    <t>=NL(1,"item",M$9,"no.",$D3644)</t>
  </si>
  <si>
    <t>=NL(1,"item","Units Per Parcel","no.",$D3644)</t>
  </si>
  <si>
    <t>=NL(1,"Prod. BOM Equipment","Fixed Prod. Time (Hours)","Production BOM No.",$D3644,"version code",$E3644,"Resource No.",O$9)</t>
  </si>
  <si>
    <t>=1/O3644</t>
  </si>
  <si>
    <t>=IF(NL(1,"Prod. BOM Equipment","Variable Prod. Time (Hours)","Production BOM No.",$D3644,"version code",$E3644,"Resource No.",$O$9)="",1,NL(1,"Prod. BOM Equipment","Variable Prod. Time (Hours)","Production BOM No.",$D3644,"version code",$E3644,"Resource No.",$O$9))</t>
  </si>
  <si>
    <t>=1/Q3644</t>
  </si>
  <si>
    <t>=R3644*N3644</t>
  </si>
  <si>
    <t>=IF(K3645=0,"hide","")</t>
  </si>
  <si>
    <t>=D3644</t>
  </si>
  <si>
    <t>=NL("sum","Production Order","Quantity","Source No.",$D3645,"Equipment Code",$L3645,"due date",F$8)/-12</t>
  </si>
  <si>
    <t>=NL("sum","Production Order","Quantity","Source No.",$D3645,"Equipment Code",$L3645,"due date",G$8)/-12</t>
  </si>
  <si>
    <t>=NL("sum","Production Order","Quantity","Source No.",$D3645,"Equipment Code",$L3645,"due date",H$8)/-12</t>
  </si>
  <si>
    <t>=NL("sum","Production Order","Quantity","Source No.",$D3645,"Equipment Code",$L3645,"due date",I$8)/-12</t>
  </si>
  <si>
    <t>=NL("sum","Production Order","Quantity","Source No.",$D3645,"Equipment Code",$L3645,"due date",J$8)/$J$7</t>
  </si>
  <si>
    <t>=AVERAGE(I3645:J3645)</t>
  </si>
  <si>
    <t>=IF(K3646=0,"hide","")</t>
  </si>
  <si>
    <t>=D3645</t>
  </si>
  <si>
    <t>=NL("sum","Production Order","Quantity","Source No.",$D3646,"Equipment Code",$L3646,"due date",F$8)/-12</t>
  </si>
  <si>
    <t>=NL("sum","Production Order","Quantity","Source No.",$D3646,"Equipment Code",$L3646,"due date",G$8)/-12</t>
  </si>
  <si>
    <t>=NL("sum","Production Order","Quantity","Source No.",$D3646,"Equipment Code",$L3646,"due date",H$8)/-12</t>
  </si>
  <si>
    <t>=NL("sum","Production Order","Quantity","Source No.",$D3646,"Equipment Code",$L3646,"due date",I$8)/-12</t>
  </si>
  <si>
    <t>=NL("sum","Production Order","Quantity","Source No.",$D3646,"Equipment Code",$L3646,"due date",J$8)/$J$7</t>
  </si>
  <si>
    <t>=AVERAGE(I3646:J3646)</t>
  </si>
  <si>
    <t>=IF(K3647=0,"hide","")</t>
  </si>
  <si>
    <t>=D3646</t>
  </si>
  <si>
    <t>=NL("sum","Production Order","Quantity","Source No.",$D3647,"Equipment Code",$L3647,"due date",F$8)/-12</t>
  </si>
  <si>
    <t>=NL("sum","Production Order","Quantity","Source No.",$D3647,"Equipment Code",$L3647,"due date",G$8)/-12</t>
  </si>
  <si>
    <t>=NL("sum","Production Order","Quantity","Source No.",$D3647,"Equipment Code",$L3647,"due date",H$8)/-12</t>
  </si>
  <si>
    <t>=NL("sum","Production Order","Quantity","Source No.",$D3647,"Equipment Code",$L3647,"due date",I$8)/-12</t>
  </si>
  <si>
    <t>=NL("sum","Production Order","Quantity","Source No.",$D3647,"Equipment Code",$L3647,"due date",J$8)/$J$7</t>
  </si>
  <si>
    <t>=AVERAGE(I3647:J3647)</t>
  </si>
  <si>
    <t>=IF(K3648=0,"hide","")</t>
  </si>
  <si>
    <t>=D3647</t>
  </si>
  <si>
    <t>=NL("sum","Production Order","Quantity","Source No.",$D3648,"Equipment Code",$L3648,"due date",F$8)/-12</t>
  </si>
  <si>
    <t>=NL("sum","Production Order","Quantity","Source No.",$D3648,"Equipment Code",$L3648,"due date",G$8)/-12</t>
  </si>
  <si>
    <t>=NL("sum","Production Order","Quantity","Source No.",$D3648,"Equipment Code",$L3648,"due date",H$8)/-12</t>
  </si>
  <si>
    <t>=NL("sum","Production Order","Quantity","Source No.",$D3648,"Equipment Code",$L3648,"due date",I$8)/-12</t>
  </si>
  <si>
    <t>=NL("sum","Production Order","Quantity","Source No.",$D3648,"Equipment Code",$L3648,"due date",J$8)/$J$7</t>
  </si>
  <si>
    <t>=AVERAGE(I3648:J3648)</t>
  </si>
  <si>
    <t>=B3645</t>
  </si>
  <si>
    <t>=B3649</t>
  </si>
  <si>
    <t>=SUM(F3645:F3649)</t>
  </si>
  <si>
    <t>=SUM(G3645:G3649)</t>
  </si>
  <si>
    <t>=SUM(H3645:H3649)</t>
  </si>
  <si>
    <t>=SUM(I3645:I3649)</t>
  </si>
  <si>
    <t>=SUM(J3645:J3649)</t>
  </si>
  <si>
    <t>=IF(K3651=0,"hide","")</t>
  </si>
  <si>
    <t>="47810"</t>
  </si>
  <si>
    <t>=NL("rows","Production BOM Version","Version Code","Production BOM No.",D3651,"status","certified")</t>
  </si>
  <si>
    <t>=NL("sum","Item Ledger Entry","Quantity","Item No.",$D3651,"Entry Type","Sale|Consumption","posting date","01/01/19..12/31/19")/-12</t>
  </si>
  <si>
    <t>=NL("sum","Item Ledger Entry","Quantity","Item No.",$D3651,"Entry Type","Sale|Consumption","posting date","01/01/20..12/31/20")/-12</t>
  </si>
  <si>
    <t>=NL("sum","Item Ledger Entry","Quantity","Item No.",$D3651,"Entry Type","Sale|Consumption","posting date","01/01/21..12/31/21")/-12</t>
  </si>
  <si>
    <t>=NL("sum","Item Ledger Entry","Quantity","Item No.",$D3651,"Entry Type","Sale|Consumption","posting date","01/01/22..12/31/22")/-12</t>
  </si>
  <si>
    <t>=NL("sum","Item Ledger Entry","Quantity","Item No.",$D3651,"Entry Type","Sale|Consumption","posting date","01/01/23..12/31/23")/$J$7</t>
  </si>
  <si>
    <t>=AVERAGE(I3651:J3651)</t>
  </si>
  <si>
    <t>=NL(1,"item",L$9,"no.",D3651)</t>
  </si>
  <si>
    <t>=NL(1,"item",M$9,"no.",$D3651)</t>
  </si>
  <si>
    <t>=NL(1,"item","Units Per Parcel","no.",$D3651)</t>
  </si>
  <si>
    <t>=NL(1,"Prod. BOM Equipment","Fixed Prod. Time (Hours)","Production BOM No.",$D3651,"version code",$E3651,"Resource No.",O$9)</t>
  </si>
  <si>
    <t>=1/O3651</t>
  </si>
  <si>
    <t>=IF(NL(1,"Prod. BOM Equipment","Variable Prod. Time (Hours)","Production BOM No.",$D3651,"version code",$E3651,"Resource No.",$O$9)="",1,NL(1,"Prod. BOM Equipment","Variable Prod. Time (Hours)","Production BOM No.",$D3651,"version code",$E3651,"Resource No.",$O$9))</t>
  </si>
  <si>
    <t>=1/Q3651</t>
  </si>
  <si>
    <t>=R3651*N3651</t>
  </si>
  <si>
    <t>=IF(K3652=0,"hide","")</t>
  </si>
  <si>
    <t>=D3651</t>
  </si>
  <si>
    <t>=NL("sum","Production Order","Quantity","Source No.",$D3652,"Equipment Code",$L3652,"due date",F$8)/-12</t>
  </si>
  <si>
    <t>=NL("sum","Production Order","Quantity","Source No.",$D3652,"Equipment Code",$L3652,"due date",G$8)/-12</t>
  </si>
  <si>
    <t>=NL("sum","Production Order","Quantity","Source No.",$D3652,"Equipment Code",$L3652,"due date",H$8)/-12</t>
  </si>
  <si>
    <t>=NL("sum","Production Order","Quantity","Source No.",$D3652,"Equipment Code",$L3652,"due date",I$8)/-12</t>
  </si>
  <si>
    <t>=NL("sum","Production Order","Quantity","Source No.",$D3652,"Equipment Code",$L3652,"due date",J$8)/$J$7</t>
  </si>
  <si>
    <t>=AVERAGE(I3652:J3652)</t>
  </si>
  <si>
    <t>=IF(K3653=0,"hide","")</t>
  </si>
  <si>
    <t>=D3652</t>
  </si>
  <si>
    <t>=NL("sum","Production Order","Quantity","Source No.",$D3653,"Equipment Code",$L3653,"due date",F$8)/-12</t>
  </si>
  <si>
    <t>=NL("sum","Production Order","Quantity","Source No.",$D3653,"Equipment Code",$L3653,"due date",G$8)/-12</t>
  </si>
  <si>
    <t>=NL("sum","Production Order","Quantity","Source No.",$D3653,"Equipment Code",$L3653,"due date",H$8)/-12</t>
  </si>
  <si>
    <t>=NL("sum","Production Order","Quantity","Source No.",$D3653,"Equipment Code",$L3653,"due date",I$8)/-12</t>
  </si>
  <si>
    <t>=NL("sum","Production Order","Quantity","Source No.",$D3653,"Equipment Code",$L3653,"due date",J$8)/$J$7</t>
  </si>
  <si>
    <t>=AVERAGE(I3653:J3653)</t>
  </si>
  <si>
    <t>=IF(K3654=0,"hide","")</t>
  </si>
  <si>
    <t>=D3653</t>
  </si>
  <si>
    <t>=NL("sum","Production Order","Quantity","Source No.",$D3654,"Equipment Code",$L3654,"due date",F$8)/-12</t>
  </si>
  <si>
    <t>=NL("sum","Production Order","Quantity","Source No.",$D3654,"Equipment Code",$L3654,"due date",G$8)/-12</t>
  </si>
  <si>
    <t>=NL("sum","Production Order","Quantity","Source No.",$D3654,"Equipment Code",$L3654,"due date",H$8)/-12</t>
  </si>
  <si>
    <t>=NL("sum","Production Order","Quantity","Source No.",$D3654,"Equipment Code",$L3654,"due date",I$8)/-12</t>
  </si>
  <si>
    <t>=NL("sum","Production Order","Quantity","Source No.",$D3654,"Equipment Code",$L3654,"due date",J$8)/$J$7</t>
  </si>
  <si>
    <t>=AVERAGE(I3654:J3654)</t>
  </si>
  <si>
    <t>=IF(K3655=0,"hide","")</t>
  </si>
  <si>
    <t>=D3654</t>
  </si>
  <si>
    <t>=NL("sum","Production Order","Quantity","Source No.",$D3655,"Equipment Code",$L3655,"due date",F$8)/-12</t>
  </si>
  <si>
    <t>=NL("sum","Production Order","Quantity","Source No.",$D3655,"Equipment Code",$L3655,"due date",G$8)/-12</t>
  </si>
  <si>
    <t>=NL("sum","Production Order","Quantity","Source No.",$D3655,"Equipment Code",$L3655,"due date",H$8)/-12</t>
  </si>
  <si>
    <t>=NL("sum","Production Order","Quantity","Source No.",$D3655,"Equipment Code",$L3655,"due date",I$8)/-12</t>
  </si>
  <si>
    <t>=NL("sum","Production Order","Quantity","Source No.",$D3655,"Equipment Code",$L3655,"due date",J$8)/$J$7</t>
  </si>
  <si>
    <t>=AVERAGE(I3655:J3655)</t>
  </si>
  <si>
    <t>=B3652</t>
  </si>
  <si>
    <t>=B3656</t>
  </si>
  <si>
    <t>=SUM(F3652:F3656)</t>
  </si>
  <si>
    <t>=SUM(G3652:G3656)</t>
  </si>
  <si>
    <t>=SUM(H3652:H3656)</t>
  </si>
  <si>
    <t>=SUM(I3652:I3656)</t>
  </si>
  <si>
    <t>=SUM(J3652:J3656)</t>
  </si>
  <si>
    <t>=IF(K3658=0,"hide","")</t>
  </si>
  <si>
    <t>="47823"</t>
  </si>
  <si>
    <t>=NL("rows","Production BOM Version","Version Code","Production BOM No.",D3658,"status","certified")</t>
  </si>
  <si>
    <t>=NL("sum","Item Ledger Entry","Quantity","Item No.",$D3658,"Entry Type","Sale|Consumption","posting date","01/01/19..12/31/19")/-12</t>
  </si>
  <si>
    <t>=NL("sum","Item Ledger Entry","Quantity","Item No.",$D3658,"Entry Type","Sale|Consumption","posting date","01/01/20..12/31/20")/-12</t>
  </si>
  <si>
    <t>=NL("sum","Item Ledger Entry","Quantity","Item No.",$D3658,"Entry Type","Sale|Consumption","posting date","01/01/21..12/31/21")/-12</t>
  </si>
  <si>
    <t>=NL("sum","Item Ledger Entry","Quantity","Item No.",$D3658,"Entry Type","Sale|Consumption","posting date","01/01/22..12/31/22")/-12</t>
  </si>
  <si>
    <t>=NL("sum","Item Ledger Entry","Quantity","Item No.",$D3658,"Entry Type","Sale|Consumption","posting date","01/01/23..12/31/23")/$J$7</t>
  </si>
  <si>
    <t>=AVERAGE(I3658:J3658)</t>
  </si>
  <si>
    <t>=NL(1,"item",L$9,"no.",D3658)</t>
  </si>
  <si>
    <t>=NL(1,"item",M$9,"no.",$D3658)</t>
  </si>
  <si>
    <t>=NL(1,"item","Units Per Parcel","no.",$D3658)</t>
  </si>
  <si>
    <t>=NL(1,"Prod. BOM Equipment","Fixed Prod. Time (Hours)","Production BOM No.",$D3658,"version code",$E3658,"Resource No.",O$9)</t>
  </si>
  <si>
    <t>=1/O3658</t>
  </si>
  <si>
    <t>=IF(NL(1,"Prod. BOM Equipment","Variable Prod. Time (Hours)","Production BOM No.",$D3658,"version code",$E3658,"Resource No.",$O$9)="",1,NL(1,"Prod. BOM Equipment","Variable Prod. Time (Hours)","Production BOM No.",$D3658,"version code",$E3658,"Resource No.",$O$9))</t>
  </si>
  <si>
    <t>=1/Q3658</t>
  </si>
  <si>
    <t>=R3658*N3658</t>
  </si>
  <si>
    <t>=IF(K3659=0,"hide","")</t>
  </si>
  <si>
    <t>=D3658</t>
  </si>
  <si>
    <t>=NL("sum","Production Order","Quantity","Source No.",$D3659,"Equipment Code",$L3659,"due date",F$8)/-12</t>
  </si>
  <si>
    <t>=NL("sum","Production Order","Quantity","Source No.",$D3659,"Equipment Code",$L3659,"due date",G$8)/-12</t>
  </si>
  <si>
    <t>=NL("sum","Production Order","Quantity","Source No.",$D3659,"Equipment Code",$L3659,"due date",H$8)/-12</t>
  </si>
  <si>
    <t>=NL("sum","Production Order","Quantity","Source No.",$D3659,"Equipment Code",$L3659,"due date",I$8)/-12</t>
  </si>
  <si>
    <t>=NL("sum","Production Order","Quantity","Source No.",$D3659,"Equipment Code",$L3659,"due date",J$8)/$J$7</t>
  </si>
  <si>
    <t>=AVERAGE(I3659:J3659)</t>
  </si>
  <si>
    <t>=IF(K3660=0,"hide","")</t>
  </si>
  <si>
    <t>=D3659</t>
  </si>
  <si>
    <t>=NL("sum","Production Order","Quantity","Source No.",$D3660,"Equipment Code",$L3660,"due date",F$8)/-12</t>
  </si>
  <si>
    <t>=NL("sum","Production Order","Quantity","Source No.",$D3660,"Equipment Code",$L3660,"due date",G$8)/-12</t>
  </si>
  <si>
    <t>=NL("sum","Production Order","Quantity","Source No.",$D3660,"Equipment Code",$L3660,"due date",H$8)/-12</t>
  </si>
  <si>
    <t>=NL("sum","Production Order","Quantity","Source No.",$D3660,"Equipment Code",$L3660,"due date",I$8)/-12</t>
  </si>
  <si>
    <t>=NL("sum","Production Order","Quantity","Source No.",$D3660,"Equipment Code",$L3660,"due date",J$8)/$J$7</t>
  </si>
  <si>
    <t>=AVERAGE(I3660:J3660)</t>
  </si>
  <si>
    <t>=IF(K3661=0,"hide","")</t>
  </si>
  <si>
    <t>=D3660</t>
  </si>
  <si>
    <t>=NL("sum","Production Order","Quantity","Source No.",$D3661,"Equipment Code",$L3661,"due date",F$8)/-12</t>
  </si>
  <si>
    <t>=NL("sum","Production Order","Quantity","Source No.",$D3661,"Equipment Code",$L3661,"due date",G$8)/-12</t>
  </si>
  <si>
    <t>=NL("sum","Production Order","Quantity","Source No.",$D3661,"Equipment Code",$L3661,"due date",H$8)/-12</t>
  </si>
  <si>
    <t>=NL("sum","Production Order","Quantity","Source No.",$D3661,"Equipment Code",$L3661,"due date",I$8)/-12</t>
  </si>
  <si>
    <t>=NL("sum","Production Order","Quantity","Source No.",$D3661,"Equipment Code",$L3661,"due date",J$8)/$J$7</t>
  </si>
  <si>
    <t>=AVERAGE(I3661:J3661)</t>
  </si>
  <si>
    <t>=IF(K3662=0,"hide","")</t>
  </si>
  <si>
    <t>=D3661</t>
  </si>
  <si>
    <t>=NL("sum","Production Order","Quantity","Source No.",$D3662,"Equipment Code",$L3662,"due date",F$8)/-12</t>
  </si>
  <si>
    <t>=NL("sum","Production Order","Quantity","Source No.",$D3662,"Equipment Code",$L3662,"due date",G$8)/-12</t>
  </si>
  <si>
    <t>=NL("sum","Production Order","Quantity","Source No.",$D3662,"Equipment Code",$L3662,"due date",H$8)/-12</t>
  </si>
  <si>
    <t>=NL("sum","Production Order","Quantity","Source No.",$D3662,"Equipment Code",$L3662,"due date",I$8)/-12</t>
  </si>
  <si>
    <t>=NL("sum","Production Order","Quantity","Source No.",$D3662,"Equipment Code",$L3662,"due date",J$8)/$J$7</t>
  </si>
  <si>
    <t>=AVERAGE(I3662:J3662)</t>
  </si>
  <si>
    <t>=B3659</t>
  </si>
  <si>
    <t>=B3663</t>
  </si>
  <si>
    <t>=SUM(F3659:F3663)</t>
  </si>
  <si>
    <t>=SUM(G3659:G3663)</t>
  </si>
  <si>
    <t>=SUM(H3659:H3663)</t>
  </si>
  <si>
    <t>=SUM(I3659:I3663)</t>
  </si>
  <si>
    <t>=SUM(J3659:J3663)</t>
  </si>
  <si>
    <t>=IF(K3665=0,"hide","")</t>
  </si>
  <si>
    <t>="47830"</t>
  </si>
  <si>
    <t>=NL("rows","Production BOM Version","Version Code","Production BOM No.",D3665,"status","certified")</t>
  </si>
  <si>
    <t>=NL("sum","Item Ledger Entry","Quantity","Item No.",$D3665,"Entry Type","Sale|Consumption","posting date","01/01/19..12/31/19")/-12</t>
  </si>
  <si>
    <t>=NL("sum","Item Ledger Entry","Quantity","Item No.",$D3665,"Entry Type","Sale|Consumption","posting date","01/01/20..12/31/20")/-12</t>
  </si>
  <si>
    <t>=NL("sum","Item Ledger Entry","Quantity","Item No.",$D3665,"Entry Type","Sale|Consumption","posting date","01/01/21..12/31/21")/-12</t>
  </si>
  <si>
    <t>=NL("sum","Item Ledger Entry","Quantity","Item No.",$D3665,"Entry Type","Sale|Consumption","posting date","01/01/22..12/31/22")/-12</t>
  </si>
  <si>
    <t>=NL("sum","Item Ledger Entry","Quantity","Item No.",$D3665,"Entry Type","Sale|Consumption","posting date","01/01/23..12/31/23")/$J$7</t>
  </si>
  <si>
    <t>=AVERAGE(I3665:J3665)</t>
  </si>
  <si>
    <t>=NL(1,"item",L$9,"no.",D3665)</t>
  </si>
  <si>
    <t>=NL(1,"item",M$9,"no.",$D3665)</t>
  </si>
  <si>
    <t>=NL(1,"item","Units Per Parcel","no.",$D3665)</t>
  </si>
  <si>
    <t>=NL(1,"Prod. BOM Equipment","Fixed Prod. Time (Hours)","Production BOM No.",$D3665,"version code",$E3665,"Resource No.",O$9)</t>
  </si>
  <si>
    <t>=1/O3665</t>
  </si>
  <si>
    <t>=IF(NL(1,"Prod. BOM Equipment","Variable Prod. Time (Hours)","Production BOM No.",$D3665,"version code",$E3665,"Resource No.",$O$9)="",1,NL(1,"Prod. BOM Equipment","Variable Prod. Time (Hours)","Production BOM No.",$D3665,"version code",$E3665,"Resource No.",$O$9))</t>
  </si>
  <si>
    <t>=1/Q3665</t>
  </si>
  <si>
    <t>=R3665*N3665</t>
  </si>
  <si>
    <t>=IF(K3666=0,"hide","")</t>
  </si>
  <si>
    <t>=D3665</t>
  </si>
  <si>
    <t>=NL("sum","Production Order","Quantity","Source No.",$D3666,"Equipment Code",$L3666,"due date",F$8)/-12</t>
  </si>
  <si>
    <t>=NL("sum","Production Order","Quantity","Source No.",$D3666,"Equipment Code",$L3666,"due date",G$8)/-12</t>
  </si>
  <si>
    <t>=NL("sum","Production Order","Quantity","Source No.",$D3666,"Equipment Code",$L3666,"due date",H$8)/-12</t>
  </si>
  <si>
    <t>=NL("sum","Production Order","Quantity","Source No.",$D3666,"Equipment Code",$L3666,"due date",I$8)/-12</t>
  </si>
  <si>
    <t>=NL("sum","Production Order","Quantity","Source No.",$D3666,"Equipment Code",$L3666,"due date",J$8)/$J$7</t>
  </si>
  <si>
    <t>=AVERAGE(I3666:J3666)</t>
  </si>
  <si>
    <t>=IF(K3667=0,"hide","")</t>
  </si>
  <si>
    <t>=D3666</t>
  </si>
  <si>
    <t>=NL("sum","Production Order","Quantity","Source No.",$D3667,"Equipment Code",$L3667,"due date",F$8)/-12</t>
  </si>
  <si>
    <t>=NL("sum","Production Order","Quantity","Source No.",$D3667,"Equipment Code",$L3667,"due date",G$8)/-12</t>
  </si>
  <si>
    <t>=NL("sum","Production Order","Quantity","Source No.",$D3667,"Equipment Code",$L3667,"due date",H$8)/-12</t>
  </si>
  <si>
    <t>=NL("sum","Production Order","Quantity","Source No.",$D3667,"Equipment Code",$L3667,"due date",I$8)/-12</t>
  </si>
  <si>
    <t>=NL("sum","Production Order","Quantity","Source No.",$D3667,"Equipment Code",$L3667,"due date",J$8)/$J$7</t>
  </si>
  <si>
    <t>=AVERAGE(I3667:J3667)</t>
  </si>
  <si>
    <t>=IF(K3668=0,"hide","")</t>
  </si>
  <si>
    <t>=D3667</t>
  </si>
  <si>
    <t>=NL("sum","Production Order","Quantity","Source No.",$D3668,"Equipment Code",$L3668,"due date",F$8)/-12</t>
  </si>
  <si>
    <t>=NL("sum","Production Order","Quantity","Source No.",$D3668,"Equipment Code",$L3668,"due date",G$8)/-12</t>
  </si>
  <si>
    <t>=NL("sum","Production Order","Quantity","Source No.",$D3668,"Equipment Code",$L3668,"due date",H$8)/-12</t>
  </si>
  <si>
    <t>=NL("sum","Production Order","Quantity","Source No.",$D3668,"Equipment Code",$L3668,"due date",I$8)/-12</t>
  </si>
  <si>
    <t>=NL("sum","Production Order","Quantity","Source No.",$D3668,"Equipment Code",$L3668,"due date",J$8)/$J$7</t>
  </si>
  <si>
    <t>=AVERAGE(I3668:J3668)</t>
  </si>
  <si>
    <t>=IF(K3669=0,"hide","")</t>
  </si>
  <si>
    <t>=D3668</t>
  </si>
  <si>
    <t>=NL("sum","Production Order","Quantity","Source No.",$D3669,"Equipment Code",$L3669,"due date",F$8)/-12</t>
  </si>
  <si>
    <t>=NL("sum","Production Order","Quantity","Source No.",$D3669,"Equipment Code",$L3669,"due date",G$8)/-12</t>
  </si>
  <si>
    <t>=NL("sum","Production Order","Quantity","Source No.",$D3669,"Equipment Code",$L3669,"due date",H$8)/-12</t>
  </si>
  <si>
    <t>=NL("sum","Production Order","Quantity","Source No.",$D3669,"Equipment Code",$L3669,"due date",I$8)/-12</t>
  </si>
  <si>
    <t>=NL("sum","Production Order","Quantity","Source No.",$D3669,"Equipment Code",$L3669,"due date",J$8)/$J$7</t>
  </si>
  <si>
    <t>=AVERAGE(I3669:J3669)</t>
  </si>
  <si>
    <t>=B3666</t>
  </si>
  <si>
    <t>=B3670</t>
  </si>
  <si>
    <t>=SUM(F3666:F3670)</t>
  </si>
  <si>
    <t>=SUM(G3666:G3670)</t>
  </si>
  <si>
    <t>=SUM(H3666:H3670)</t>
  </si>
  <si>
    <t>=SUM(I3666:I3670)</t>
  </si>
  <si>
    <t>=SUM(J3666:J3670)</t>
  </si>
  <si>
    <t>=IF(K3672=0,"hide","")</t>
  </si>
  <si>
    <t>="47836"</t>
  </si>
  <si>
    <t>=NL("rows","Production BOM Version","Version Code","Production BOM No.",D3672,"status","certified")</t>
  </si>
  <si>
    <t>=NL("sum","Item Ledger Entry","Quantity","Item No.",$D3672,"Entry Type","Sale|Consumption","posting date","01/01/19..12/31/19")/-12</t>
  </si>
  <si>
    <t>=NL("sum","Item Ledger Entry","Quantity","Item No.",$D3672,"Entry Type","Sale|Consumption","posting date","01/01/20..12/31/20")/-12</t>
  </si>
  <si>
    <t>=NL("sum","Item Ledger Entry","Quantity","Item No.",$D3672,"Entry Type","Sale|Consumption","posting date","01/01/21..12/31/21")/-12</t>
  </si>
  <si>
    <t>=NL("sum","Item Ledger Entry","Quantity","Item No.",$D3672,"Entry Type","Sale|Consumption","posting date","01/01/22..12/31/22")/-12</t>
  </si>
  <si>
    <t>=NL("sum","Item Ledger Entry","Quantity","Item No.",$D3672,"Entry Type","Sale|Consumption","posting date","01/01/23..12/31/23")/$J$7</t>
  </si>
  <si>
    <t>=AVERAGE(I3672:J3672)</t>
  </si>
  <si>
    <t>=NL(1,"item",L$9,"no.",D3672)</t>
  </si>
  <si>
    <t>=NL(1,"item",M$9,"no.",$D3672)</t>
  </si>
  <si>
    <t>=NL(1,"item","Units Per Parcel","no.",$D3672)</t>
  </si>
  <si>
    <t>=NL(1,"Prod. BOM Equipment","Fixed Prod. Time (Hours)","Production BOM No.",$D3672,"version code",$E3672,"Resource No.",O$9)</t>
  </si>
  <si>
    <t>=1/O3672</t>
  </si>
  <si>
    <t>=IF(NL(1,"Prod. BOM Equipment","Variable Prod. Time (Hours)","Production BOM No.",$D3672,"version code",$E3672,"Resource No.",$O$9)="",1,NL(1,"Prod. BOM Equipment","Variable Prod. Time (Hours)","Production BOM No.",$D3672,"version code",$E3672,"Resource No.",$O$9))</t>
  </si>
  <si>
    <t>=1/Q3672</t>
  </si>
  <si>
    <t>=R3672*N3672</t>
  </si>
  <si>
    <t>=IF(K3673=0,"hide","")</t>
  </si>
  <si>
    <t>=D3672</t>
  </si>
  <si>
    <t>=NL("sum","Production Order","Quantity","Source No.",$D3673,"Equipment Code",$L3673,"due date",F$8)/-12</t>
  </si>
  <si>
    <t>=NL("sum","Production Order","Quantity","Source No.",$D3673,"Equipment Code",$L3673,"due date",G$8)/-12</t>
  </si>
  <si>
    <t>=NL("sum","Production Order","Quantity","Source No.",$D3673,"Equipment Code",$L3673,"due date",H$8)/-12</t>
  </si>
  <si>
    <t>=NL("sum","Production Order","Quantity","Source No.",$D3673,"Equipment Code",$L3673,"due date",I$8)/-12</t>
  </si>
  <si>
    <t>=NL("sum","Production Order","Quantity","Source No.",$D3673,"Equipment Code",$L3673,"due date",J$8)/$J$7</t>
  </si>
  <si>
    <t>=AVERAGE(I3673:J3673)</t>
  </si>
  <si>
    <t>=IF(K3674=0,"hide","")</t>
  </si>
  <si>
    <t>=D3673</t>
  </si>
  <si>
    <t>=NL("sum","Production Order","Quantity","Source No.",$D3674,"Equipment Code",$L3674,"due date",F$8)/-12</t>
  </si>
  <si>
    <t>=NL("sum","Production Order","Quantity","Source No.",$D3674,"Equipment Code",$L3674,"due date",G$8)/-12</t>
  </si>
  <si>
    <t>=NL("sum","Production Order","Quantity","Source No.",$D3674,"Equipment Code",$L3674,"due date",H$8)/-12</t>
  </si>
  <si>
    <t>=NL("sum","Production Order","Quantity","Source No.",$D3674,"Equipment Code",$L3674,"due date",I$8)/-12</t>
  </si>
  <si>
    <t>=NL("sum","Production Order","Quantity","Source No.",$D3674,"Equipment Code",$L3674,"due date",J$8)/$J$7</t>
  </si>
  <si>
    <t>=AVERAGE(I3674:J3674)</t>
  </si>
  <si>
    <t>=IF(K3675=0,"hide","")</t>
  </si>
  <si>
    <t>=D3674</t>
  </si>
  <si>
    <t>=NL("sum","Production Order","Quantity","Source No.",$D3675,"Equipment Code",$L3675,"due date",F$8)/-12</t>
  </si>
  <si>
    <t>=NL("sum","Production Order","Quantity","Source No.",$D3675,"Equipment Code",$L3675,"due date",G$8)/-12</t>
  </si>
  <si>
    <t>=NL("sum","Production Order","Quantity","Source No.",$D3675,"Equipment Code",$L3675,"due date",H$8)/-12</t>
  </si>
  <si>
    <t>=NL("sum","Production Order","Quantity","Source No.",$D3675,"Equipment Code",$L3675,"due date",I$8)/-12</t>
  </si>
  <si>
    <t>=NL("sum","Production Order","Quantity","Source No.",$D3675,"Equipment Code",$L3675,"due date",J$8)/$J$7</t>
  </si>
  <si>
    <t>=AVERAGE(I3675:J3675)</t>
  </si>
  <si>
    <t>=IF(K3676=0,"hide","")</t>
  </si>
  <si>
    <t>=D3675</t>
  </si>
  <si>
    <t>=NL("sum","Production Order","Quantity","Source No.",$D3676,"Equipment Code",$L3676,"due date",F$8)/-12</t>
  </si>
  <si>
    <t>=NL("sum","Production Order","Quantity","Source No.",$D3676,"Equipment Code",$L3676,"due date",G$8)/-12</t>
  </si>
  <si>
    <t>=NL("sum","Production Order","Quantity","Source No.",$D3676,"Equipment Code",$L3676,"due date",H$8)/-12</t>
  </si>
  <si>
    <t>=NL("sum","Production Order","Quantity","Source No.",$D3676,"Equipment Code",$L3676,"due date",I$8)/-12</t>
  </si>
  <si>
    <t>=NL("sum","Production Order","Quantity","Source No.",$D3676,"Equipment Code",$L3676,"due date",J$8)/$J$7</t>
  </si>
  <si>
    <t>=AVERAGE(I3676:J3676)</t>
  </si>
  <si>
    <t>=B3673</t>
  </si>
  <si>
    <t>=B3677</t>
  </si>
  <si>
    <t>=SUM(F3673:F3677)</t>
  </si>
  <si>
    <t>=SUM(G3673:G3677)</t>
  </si>
  <si>
    <t>=SUM(H3673:H3677)</t>
  </si>
  <si>
    <t>=SUM(I3673:I3677)</t>
  </si>
  <si>
    <t>=SUM(J3673:J3677)</t>
  </si>
  <si>
    <t>=IF(K3679=0,"hide","")</t>
  </si>
  <si>
    <t>="47848"</t>
  </si>
  <si>
    <t>=NL("rows","Production BOM Version","Version Code","Production BOM No.",D3679,"status","certified")</t>
  </si>
  <si>
    <t>=NL("sum","Item Ledger Entry","Quantity","Item No.",$D3679,"Entry Type","Sale|Consumption","posting date","01/01/19..12/31/19")/-12</t>
  </si>
  <si>
    <t>=NL("sum","Item Ledger Entry","Quantity","Item No.",$D3679,"Entry Type","Sale|Consumption","posting date","01/01/20..12/31/20")/-12</t>
  </si>
  <si>
    <t>=NL("sum","Item Ledger Entry","Quantity","Item No.",$D3679,"Entry Type","Sale|Consumption","posting date","01/01/21..12/31/21")/-12</t>
  </si>
  <si>
    <t>=NL("sum","Item Ledger Entry","Quantity","Item No.",$D3679,"Entry Type","Sale|Consumption","posting date","01/01/22..12/31/22")/-12</t>
  </si>
  <si>
    <t>=NL("sum","Item Ledger Entry","Quantity","Item No.",$D3679,"Entry Type","Sale|Consumption","posting date","01/01/23..12/31/23")/$J$7</t>
  </si>
  <si>
    <t>=AVERAGE(I3679:J3679)</t>
  </si>
  <si>
    <t>=NL(1,"item",L$9,"no.",D3679)</t>
  </si>
  <si>
    <t>=NL(1,"item",M$9,"no.",$D3679)</t>
  </si>
  <si>
    <t>=NL(1,"item","Units Per Parcel","no.",$D3679)</t>
  </si>
  <si>
    <t>=NL(1,"Prod. BOM Equipment","Fixed Prod. Time (Hours)","Production BOM No.",$D3679,"version code",$E3679,"Resource No.",O$9)</t>
  </si>
  <si>
    <t>=1/O3679</t>
  </si>
  <si>
    <t>=IF(NL(1,"Prod. BOM Equipment","Variable Prod. Time (Hours)","Production BOM No.",$D3679,"version code",$E3679,"Resource No.",$O$9)="",1,NL(1,"Prod. BOM Equipment","Variable Prod. Time (Hours)","Production BOM No.",$D3679,"version code",$E3679,"Resource No.",$O$9))</t>
  </si>
  <si>
    <t>=1/Q3679</t>
  </si>
  <si>
    <t>=R3679*N3679</t>
  </si>
  <si>
    <t>=IF(K3680=0,"hide","")</t>
  </si>
  <si>
    <t>=D3679</t>
  </si>
  <si>
    <t>=NL("sum","Production Order","Quantity","Source No.",$D3680,"Equipment Code",$L3680,"due date",F$8)/-12</t>
  </si>
  <si>
    <t>=NL("sum","Production Order","Quantity","Source No.",$D3680,"Equipment Code",$L3680,"due date",G$8)/-12</t>
  </si>
  <si>
    <t>=NL("sum","Production Order","Quantity","Source No.",$D3680,"Equipment Code",$L3680,"due date",H$8)/-12</t>
  </si>
  <si>
    <t>=NL("sum","Production Order","Quantity","Source No.",$D3680,"Equipment Code",$L3680,"due date",I$8)/-12</t>
  </si>
  <si>
    <t>=NL("sum","Production Order","Quantity","Source No.",$D3680,"Equipment Code",$L3680,"due date",J$8)/$J$7</t>
  </si>
  <si>
    <t>=AVERAGE(I3680:J3680)</t>
  </si>
  <si>
    <t>=IF(K3681=0,"hide","")</t>
  </si>
  <si>
    <t>=D3680</t>
  </si>
  <si>
    <t>=NL("sum","Production Order","Quantity","Source No.",$D3681,"Equipment Code",$L3681,"due date",F$8)/-12</t>
  </si>
  <si>
    <t>=NL("sum","Production Order","Quantity","Source No.",$D3681,"Equipment Code",$L3681,"due date",G$8)/-12</t>
  </si>
  <si>
    <t>=NL("sum","Production Order","Quantity","Source No.",$D3681,"Equipment Code",$L3681,"due date",H$8)/-12</t>
  </si>
  <si>
    <t>=NL("sum","Production Order","Quantity","Source No.",$D3681,"Equipment Code",$L3681,"due date",I$8)/-12</t>
  </si>
  <si>
    <t>=NL("sum","Production Order","Quantity","Source No.",$D3681,"Equipment Code",$L3681,"due date",J$8)/$J$7</t>
  </si>
  <si>
    <t>=AVERAGE(I3681:J3681)</t>
  </si>
  <si>
    <t>=IF(K3682=0,"hide","")</t>
  </si>
  <si>
    <t>=D3681</t>
  </si>
  <si>
    <t>=NL("sum","Production Order","Quantity","Source No.",$D3682,"Equipment Code",$L3682,"due date",F$8)/-12</t>
  </si>
  <si>
    <t>=NL("sum","Production Order","Quantity","Source No.",$D3682,"Equipment Code",$L3682,"due date",G$8)/-12</t>
  </si>
  <si>
    <t>=NL("sum","Production Order","Quantity","Source No.",$D3682,"Equipment Code",$L3682,"due date",H$8)/-12</t>
  </si>
  <si>
    <t>=NL("sum","Production Order","Quantity","Source No.",$D3682,"Equipment Code",$L3682,"due date",I$8)/-12</t>
  </si>
  <si>
    <t>=NL("sum","Production Order","Quantity","Source No.",$D3682,"Equipment Code",$L3682,"due date",J$8)/$J$7</t>
  </si>
  <si>
    <t>=AVERAGE(I3682:J3682)</t>
  </si>
  <si>
    <t>=IF(K3683=0,"hide","")</t>
  </si>
  <si>
    <t>=D3682</t>
  </si>
  <si>
    <t>=NL("sum","Production Order","Quantity","Source No.",$D3683,"Equipment Code",$L3683,"due date",F$8)/-12</t>
  </si>
  <si>
    <t>=NL("sum","Production Order","Quantity","Source No.",$D3683,"Equipment Code",$L3683,"due date",G$8)/-12</t>
  </si>
  <si>
    <t>=NL("sum","Production Order","Quantity","Source No.",$D3683,"Equipment Code",$L3683,"due date",H$8)/-12</t>
  </si>
  <si>
    <t>=NL("sum","Production Order","Quantity","Source No.",$D3683,"Equipment Code",$L3683,"due date",I$8)/-12</t>
  </si>
  <si>
    <t>=NL("sum","Production Order","Quantity","Source No.",$D3683,"Equipment Code",$L3683,"due date",J$8)/$J$7</t>
  </si>
  <si>
    <t>=AVERAGE(I3683:J3683)</t>
  </si>
  <si>
    <t>=B3680</t>
  </si>
  <si>
    <t>=B3684</t>
  </si>
  <si>
    <t>=SUM(F3680:F3684)</t>
  </si>
  <si>
    <t>=SUM(G3680:G3684)</t>
  </si>
  <si>
    <t>=SUM(H3680:H3684)</t>
  </si>
  <si>
    <t>=SUM(I3680:I3684)</t>
  </si>
  <si>
    <t>=SUM(J3680:J3684)</t>
  </si>
  <si>
    <t>=IF(K3686=0,"hide","")</t>
  </si>
  <si>
    <t>="47858"</t>
  </si>
  <si>
    <t>=NL("rows","Production BOM Version","Version Code","Production BOM No.",D3686,"status","certified")</t>
  </si>
  <si>
    <t>=NL("sum","Item Ledger Entry","Quantity","Item No.",$D3686,"Entry Type","Sale|Consumption","posting date","01/01/19..12/31/19")/-12</t>
  </si>
  <si>
    <t>=NL("sum","Item Ledger Entry","Quantity","Item No.",$D3686,"Entry Type","Sale|Consumption","posting date","01/01/20..12/31/20")/-12</t>
  </si>
  <si>
    <t>=NL("sum","Item Ledger Entry","Quantity","Item No.",$D3686,"Entry Type","Sale|Consumption","posting date","01/01/21..12/31/21")/-12</t>
  </si>
  <si>
    <t>=NL("sum","Item Ledger Entry","Quantity","Item No.",$D3686,"Entry Type","Sale|Consumption","posting date","01/01/22..12/31/22")/-12</t>
  </si>
  <si>
    <t>=NL("sum","Item Ledger Entry","Quantity","Item No.",$D3686,"Entry Type","Sale|Consumption","posting date","01/01/23..12/31/23")/$J$7</t>
  </si>
  <si>
    <t>=AVERAGE(I3686:J3686)</t>
  </si>
  <si>
    <t>=NL(1,"item",L$9,"no.",D3686)</t>
  </si>
  <si>
    <t>=NL(1,"item",M$9,"no.",$D3686)</t>
  </si>
  <si>
    <t>=NL(1,"item","Units Per Parcel","no.",$D3686)</t>
  </si>
  <si>
    <t>=NL(1,"Prod. BOM Equipment","Fixed Prod. Time (Hours)","Production BOM No.",$D3686,"version code",$E3686,"Resource No.",O$9)</t>
  </si>
  <si>
    <t>=1/O3686</t>
  </si>
  <si>
    <t>=IF(NL(1,"Prod. BOM Equipment","Variable Prod. Time (Hours)","Production BOM No.",$D3686,"version code",$E3686,"Resource No.",$O$9)="",1,NL(1,"Prod. BOM Equipment","Variable Prod. Time (Hours)","Production BOM No.",$D3686,"version code",$E3686,"Resource No.",$O$9))</t>
  </si>
  <si>
    <t>=1/Q3686</t>
  </si>
  <si>
    <t>=R3686*N3686</t>
  </si>
  <si>
    <t>=IF(K3687=0,"hide","")</t>
  </si>
  <si>
    <t>=D3686</t>
  </si>
  <si>
    <t>=NL("sum","Production Order","Quantity","Source No.",$D3687,"Equipment Code",$L3687,"due date",F$8)/-12</t>
  </si>
  <si>
    <t>=NL("sum","Production Order","Quantity","Source No.",$D3687,"Equipment Code",$L3687,"due date",G$8)/-12</t>
  </si>
  <si>
    <t>=NL("sum","Production Order","Quantity","Source No.",$D3687,"Equipment Code",$L3687,"due date",H$8)/-12</t>
  </si>
  <si>
    <t>=NL("sum","Production Order","Quantity","Source No.",$D3687,"Equipment Code",$L3687,"due date",I$8)/-12</t>
  </si>
  <si>
    <t>=NL("sum","Production Order","Quantity","Source No.",$D3687,"Equipment Code",$L3687,"due date",J$8)/$J$7</t>
  </si>
  <si>
    <t>=AVERAGE(I3687:J3687)</t>
  </si>
  <si>
    <t>=IF(K3688=0,"hide","")</t>
  </si>
  <si>
    <t>=D3687</t>
  </si>
  <si>
    <t>=NL("sum","Production Order","Quantity","Source No.",$D3688,"Equipment Code",$L3688,"due date",F$8)/-12</t>
  </si>
  <si>
    <t>=NL("sum","Production Order","Quantity","Source No.",$D3688,"Equipment Code",$L3688,"due date",G$8)/-12</t>
  </si>
  <si>
    <t>=NL("sum","Production Order","Quantity","Source No.",$D3688,"Equipment Code",$L3688,"due date",H$8)/-12</t>
  </si>
  <si>
    <t>=NL("sum","Production Order","Quantity","Source No.",$D3688,"Equipment Code",$L3688,"due date",I$8)/-12</t>
  </si>
  <si>
    <t>=NL("sum","Production Order","Quantity","Source No.",$D3688,"Equipment Code",$L3688,"due date",J$8)/$J$7</t>
  </si>
  <si>
    <t>=AVERAGE(I3688:J3688)</t>
  </si>
  <si>
    <t>=IF(K3689=0,"hide","")</t>
  </si>
  <si>
    <t>=D3688</t>
  </si>
  <si>
    <t>=NL("sum","Production Order","Quantity","Source No.",$D3689,"Equipment Code",$L3689,"due date",F$8)/-12</t>
  </si>
  <si>
    <t>=NL("sum","Production Order","Quantity","Source No.",$D3689,"Equipment Code",$L3689,"due date",G$8)/-12</t>
  </si>
  <si>
    <t>=NL("sum","Production Order","Quantity","Source No.",$D3689,"Equipment Code",$L3689,"due date",H$8)/-12</t>
  </si>
  <si>
    <t>=NL("sum","Production Order","Quantity","Source No.",$D3689,"Equipment Code",$L3689,"due date",I$8)/-12</t>
  </si>
  <si>
    <t>=NL("sum","Production Order","Quantity","Source No.",$D3689,"Equipment Code",$L3689,"due date",J$8)/$J$7</t>
  </si>
  <si>
    <t>=AVERAGE(I3689:J3689)</t>
  </si>
  <si>
    <t>=IF(K3690=0,"hide","")</t>
  </si>
  <si>
    <t>=D3689</t>
  </si>
  <si>
    <t>=NL("sum","Production Order","Quantity","Source No.",$D3690,"Equipment Code",$L3690,"due date",F$8)/-12</t>
  </si>
  <si>
    <t>=NL("sum","Production Order","Quantity","Source No.",$D3690,"Equipment Code",$L3690,"due date",G$8)/-12</t>
  </si>
  <si>
    <t>=NL("sum","Production Order","Quantity","Source No.",$D3690,"Equipment Code",$L3690,"due date",H$8)/-12</t>
  </si>
  <si>
    <t>=NL("sum","Production Order","Quantity","Source No.",$D3690,"Equipment Code",$L3690,"due date",I$8)/-12</t>
  </si>
  <si>
    <t>=NL("sum","Production Order","Quantity","Source No.",$D3690,"Equipment Code",$L3690,"due date",J$8)/$J$7</t>
  </si>
  <si>
    <t>=AVERAGE(I3690:J3690)</t>
  </si>
  <si>
    <t>=B3687</t>
  </si>
  <si>
    <t>=B3691</t>
  </si>
  <si>
    <t>=SUM(F3687:F3691)</t>
  </si>
  <si>
    <t>=SUM(G3687:G3691)</t>
  </si>
  <si>
    <t>=SUM(H3687:H3691)</t>
  </si>
  <si>
    <t>=SUM(I3687:I3691)</t>
  </si>
  <si>
    <t>=SUM(J3687:J3691)</t>
  </si>
  <si>
    <t>=IF(K3693=0,"hide","")</t>
  </si>
  <si>
    <t>="47860"</t>
  </si>
  <si>
    <t>=NL("rows","Production BOM Version","Version Code","Production BOM No.",D3693,"status","certified")</t>
  </si>
  <si>
    <t>=NL("sum","Item Ledger Entry","Quantity","Item No.",$D3693,"Entry Type","Sale|Consumption","posting date","01/01/19..12/31/19")/-12</t>
  </si>
  <si>
    <t>=NL("sum","Item Ledger Entry","Quantity","Item No.",$D3693,"Entry Type","Sale|Consumption","posting date","01/01/20..12/31/20")/-12</t>
  </si>
  <si>
    <t>=NL("sum","Item Ledger Entry","Quantity","Item No.",$D3693,"Entry Type","Sale|Consumption","posting date","01/01/21..12/31/21")/-12</t>
  </si>
  <si>
    <t>=NL("sum","Item Ledger Entry","Quantity","Item No.",$D3693,"Entry Type","Sale|Consumption","posting date","01/01/22..12/31/22")/-12</t>
  </si>
  <si>
    <t>=NL("sum","Item Ledger Entry","Quantity","Item No.",$D3693,"Entry Type","Sale|Consumption","posting date","01/01/23..12/31/23")/$J$7</t>
  </si>
  <si>
    <t>=AVERAGE(I3693:J3693)</t>
  </si>
  <si>
    <t>=NL(1,"item",L$9,"no.",D3693)</t>
  </si>
  <si>
    <t>=NL(1,"item",M$9,"no.",$D3693)</t>
  </si>
  <si>
    <t>=NL(1,"item","Units Per Parcel","no.",$D3693)</t>
  </si>
  <si>
    <t>=NL(1,"Prod. BOM Equipment","Fixed Prod. Time (Hours)","Production BOM No.",$D3693,"version code",$E3693,"Resource No.",O$9)</t>
  </si>
  <si>
    <t>=1/O3693</t>
  </si>
  <si>
    <t>=IF(NL(1,"Prod. BOM Equipment","Variable Prod. Time (Hours)","Production BOM No.",$D3693,"version code",$E3693,"Resource No.",$O$9)="",1,NL(1,"Prod. BOM Equipment","Variable Prod. Time (Hours)","Production BOM No.",$D3693,"version code",$E3693,"Resource No.",$O$9))</t>
  </si>
  <si>
    <t>=1/Q3693</t>
  </si>
  <si>
    <t>=R3693*N3693</t>
  </si>
  <si>
    <t>=IF(K3694=0,"hide","")</t>
  </si>
  <si>
    <t>=D3693</t>
  </si>
  <si>
    <t>=NL("sum","Production Order","Quantity","Source No.",$D3694,"Equipment Code",$L3694,"due date",F$8)/-12</t>
  </si>
  <si>
    <t>=NL("sum","Production Order","Quantity","Source No.",$D3694,"Equipment Code",$L3694,"due date",G$8)/-12</t>
  </si>
  <si>
    <t>=NL("sum","Production Order","Quantity","Source No.",$D3694,"Equipment Code",$L3694,"due date",H$8)/-12</t>
  </si>
  <si>
    <t>=NL("sum","Production Order","Quantity","Source No.",$D3694,"Equipment Code",$L3694,"due date",I$8)/-12</t>
  </si>
  <si>
    <t>=NL("sum","Production Order","Quantity","Source No.",$D3694,"Equipment Code",$L3694,"due date",J$8)/$J$7</t>
  </si>
  <si>
    <t>=AVERAGE(I3694:J3694)</t>
  </si>
  <si>
    <t>=IF(K3695=0,"hide","")</t>
  </si>
  <si>
    <t>=D3694</t>
  </si>
  <si>
    <t>=NL("sum","Production Order","Quantity","Source No.",$D3695,"Equipment Code",$L3695,"due date",F$8)/-12</t>
  </si>
  <si>
    <t>=NL("sum","Production Order","Quantity","Source No.",$D3695,"Equipment Code",$L3695,"due date",G$8)/-12</t>
  </si>
  <si>
    <t>=NL("sum","Production Order","Quantity","Source No.",$D3695,"Equipment Code",$L3695,"due date",H$8)/-12</t>
  </si>
  <si>
    <t>=NL("sum","Production Order","Quantity","Source No.",$D3695,"Equipment Code",$L3695,"due date",I$8)/-12</t>
  </si>
  <si>
    <t>=NL("sum","Production Order","Quantity","Source No.",$D3695,"Equipment Code",$L3695,"due date",J$8)/$J$7</t>
  </si>
  <si>
    <t>=AVERAGE(I3695:J3695)</t>
  </si>
  <si>
    <t>=IF(K3696=0,"hide","")</t>
  </si>
  <si>
    <t>=D3695</t>
  </si>
  <si>
    <t>=NL("sum","Production Order","Quantity","Source No.",$D3696,"Equipment Code",$L3696,"due date",F$8)/-12</t>
  </si>
  <si>
    <t>=NL("sum","Production Order","Quantity","Source No.",$D3696,"Equipment Code",$L3696,"due date",G$8)/-12</t>
  </si>
  <si>
    <t>=NL("sum","Production Order","Quantity","Source No.",$D3696,"Equipment Code",$L3696,"due date",H$8)/-12</t>
  </si>
  <si>
    <t>=NL("sum","Production Order","Quantity","Source No.",$D3696,"Equipment Code",$L3696,"due date",I$8)/-12</t>
  </si>
  <si>
    <t>=NL("sum","Production Order","Quantity","Source No.",$D3696,"Equipment Code",$L3696,"due date",J$8)/$J$7</t>
  </si>
  <si>
    <t>=AVERAGE(I3696:J3696)</t>
  </si>
  <si>
    <t>=IF(K3697=0,"hide","")</t>
  </si>
  <si>
    <t>=D3696</t>
  </si>
  <si>
    <t>=NL("sum","Production Order","Quantity","Source No.",$D3697,"Equipment Code",$L3697,"due date",F$8)/-12</t>
  </si>
  <si>
    <t>=NL("sum","Production Order","Quantity","Source No.",$D3697,"Equipment Code",$L3697,"due date",G$8)/-12</t>
  </si>
  <si>
    <t>=NL("sum","Production Order","Quantity","Source No.",$D3697,"Equipment Code",$L3697,"due date",H$8)/-12</t>
  </si>
  <si>
    <t>=NL("sum","Production Order","Quantity","Source No.",$D3697,"Equipment Code",$L3697,"due date",I$8)/-12</t>
  </si>
  <si>
    <t>=NL("sum","Production Order","Quantity","Source No.",$D3697,"Equipment Code",$L3697,"due date",J$8)/$J$7</t>
  </si>
  <si>
    <t>=AVERAGE(I3697:J3697)</t>
  </si>
  <si>
    <t>=B3694</t>
  </si>
  <si>
    <t>=B3698</t>
  </si>
  <si>
    <t>=SUM(F3694:F3698)</t>
  </si>
  <si>
    <t>=SUM(G3694:G3698)</t>
  </si>
  <si>
    <t>=SUM(H3694:H3698)</t>
  </si>
  <si>
    <t>=SUM(I3694:I3698)</t>
  </si>
  <si>
    <t>=SUM(J3694:J3698)</t>
  </si>
  <si>
    <t>=IF(K3700=0,"hide","")</t>
  </si>
  <si>
    <t>=NL("rows","Production BOM Version","Version Code","Production BOM No.",D3700,"status","certified")</t>
  </si>
  <si>
    <t>=NL("sum","Item Ledger Entry","Quantity","Item No.",$D3700,"Entry Type","Sale|Consumption","posting date","01/01/19..12/31/19")/-12</t>
  </si>
  <si>
    <t>=NL("sum","Item Ledger Entry","Quantity","Item No.",$D3700,"Entry Type","Sale|Consumption","posting date","01/01/20..12/31/20")/-12</t>
  </si>
  <si>
    <t>=NL("sum","Item Ledger Entry","Quantity","Item No.",$D3700,"Entry Type","Sale|Consumption","posting date","01/01/21..12/31/21")/-12</t>
  </si>
  <si>
    <t>=NL("sum","Item Ledger Entry","Quantity","Item No.",$D3700,"Entry Type","Sale|Consumption","posting date","01/01/22..12/31/22")/-12</t>
  </si>
  <si>
    <t>=NL("sum","Item Ledger Entry","Quantity","Item No.",$D3700,"Entry Type","Sale|Consumption","posting date","01/01/23..12/31/23")/$J$7</t>
  </si>
  <si>
    <t>=AVERAGE(I3700:J3700)</t>
  </si>
  <si>
    <t>=NL(1,"item",L$9,"no.",D3700)</t>
  </si>
  <si>
    <t>=NL(1,"item",M$9,"no.",$D3700)</t>
  </si>
  <si>
    <t>=NL(1,"item","Units Per Parcel","no.",$D3700)</t>
  </si>
  <si>
    <t>=NL(1,"Prod. BOM Equipment","Fixed Prod. Time (Hours)","Production BOM No.",$D3700,"version code",$E3700,"Resource No.",O$9)</t>
  </si>
  <si>
    <t>=1/O3700</t>
  </si>
  <si>
    <t>=IF(NL(1,"Prod. BOM Equipment","Variable Prod. Time (Hours)","Production BOM No.",$D3700,"version code",$E3700,"Resource No.",$O$9)="",1,NL(1,"Prod. BOM Equipment","Variable Prod. Time (Hours)","Production BOM No.",$D3700,"version code",$E3700,"Resource No.",$O$9))</t>
  </si>
  <si>
    <t>=1/Q3700</t>
  </si>
  <si>
    <t>=R3700*N3700</t>
  </si>
  <si>
    <t>=IF(K3701=0,"hide","")</t>
  </si>
  <si>
    <t>=D3700</t>
  </si>
  <si>
    <t>=NL("sum","Production Order","Quantity","Source No.",$D3701,"Equipment Code",$L3701,"due date",F$8)/-12</t>
  </si>
  <si>
    <t>=NL("sum","Production Order","Quantity","Source No.",$D3701,"Equipment Code",$L3701,"due date",G$8)/-12</t>
  </si>
  <si>
    <t>=NL("sum","Production Order","Quantity","Source No.",$D3701,"Equipment Code",$L3701,"due date",H$8)/-12</t>
  </si>
  <si>
    <t>=NL("sum","Production Order","Quantity","Source No.",$D3701,"Equipment Code",$L3701,"due date",I$8)/-12</t>
  </si>
  <si>
    <t>=NL("sum","Production Order","Quantity","Source No.",$D3701,"Equipment Code",$L3701,"due date",J$8)/$J$7</t>
  </si>
  <si>
    <t>=AVERAGE(I3701:J3701)</t>
  </si>
  <si>
    <t>=IF(K3702=0,"hide","")</t>
  </si>
  <si>
    <t>=D3701</t>
  </si>
  <si>
    <t>=NL("sum","Production Order","Quantity","Source No.",$D3702,"Equipment Code",$L3702,"due date",F$8)/-12</t>
  </si>
  <si>
    <t>=NL("sum","Production Order","Quantity","Source No.",$D3702,"Equipment Code",$L3702,"due date",G$8)/-12</t>
  </si>
  <si>
    <t>=NL("sum","Production Order","Quantity","Source No.",$D3702,"Equipment Code",$L3702,"due date",H$8)/-12</t>
  </si>
  <si>
    <t>=NL("sum","Production Order","Quantity","Source No.",$D3702,"Equipment Code",$L3702,"due date",I$8)/-12</t>
  </si>
  <si>
    <t>=NL("sum","Production Order","Quantity","Source No.",$D3702,"Equipment Code",$L3702,"due date",J$8)/$J$7</t>
  </si>
  <si>
    <t>=AVERAGE(I3702:J3702)</t>
  </si>
  <si>
    <t>=IF(K3703=0,"hide","")</t>
  </si>
  <si>
    <t>=D3702</t>
  </si>
  <si>
    <t>=NL("sum","Production Order","Quantity","Source No.",$D3703,"Equipment Code",$L3703,"due date",F$8)/-12</t>
  </si>
  <si>
    <t>=NL("sum","Production Order","Quantity","Source No.",$D3703,"Equipment Code",$L3703,"due date",G$8)/-12</t>
  </si>
  <si>
    <t>=NL("sum","Production Order","Quantity","Source No.",$D3703,"Equipment Code",$L3703,"due date",H$8)/-12</t>
  </si>
  <si>
    <t>=NL("sum","Production Order","Quantity","Source No.",$D3703,"Equipment Code",$L3703,"due date",I$8)/-12</t>
  </si>
  <si>
    <t>=NL("sum","Production Order","Quantity","Source No.",$D3703,"Equipment Code",$L3703,"due date",J$8)/$J$7</t>
  </si>
  <si>
    <t>=AVERAGE(I3703:J3703)</t>
  </si>
  <si>
    <t>=IF(K3704=0,"hide","")</t>
  </si>
  <si>
    <t>=D3703</t>
  </si>
  <si>
    <t>=NL("sum","Production Order","Quantity","Source No.",$D3704,"Equipment Code",$L3704,"due date",F$8)/-12</t>
  </si>
  <si>
    <t>=NL("sum","Production Order","Quantity","Source No.",$D3704,"Equipment Code",$L3704,"due date",G$8)/-12</t>
  </si>
  <si>
    <t>=NL("sum","Production Order","Quantity","Source No.",$D3704,"Equipment Code",$L3704,"due date",H$8)/-12</t>
  </si>
  <si>
    <t>=NL("sum","Production Order","Quantity","Source No.",$D3704,"Equipment Code",$L3704,"due date",I$8)/-12</t>
  </si>
  <si>
    <t>=NL("sum","Production Order","Quantity","Source No.",$D3704,"Equipment Code",$L3704,"due date",J$8)/$J$7</t>
  </si>
  <si>
    <t>=AVERAGE(I3704:J3704)</t>
  </si>
  <si>
    <t>=B3701</t>
  </si>
  <si>
    <t>=B3705</t>
  </si>
  <si>
    <t>=SUM(F3701:F3705)</t>
  </si>
  <si>
    <t>=SUM(G3701:G3705)</t>
  </si>
  <si>
    <t>=SUM(H3701:H3705)</t>
  </si>
  <si>
    <t>=SUM(I3701:I3705)</t>
  </si>
  <si>
    <t>=SUM(J3701:J3705)</t>
  </si>
  <si>
    <t>=IF(K3707=0,"hide","")</t>
  </si>
  <si>
    <t>="51036"</t>
  </si>
  <si>
    <t>=NL("rows","Production BOM Version","Version Code","Production BOM No.",D3707,"status","certified")</t>
  </si>
  <si>
    <t>=NL("sum","Item Ledger Entry","Quantity","Item No.",$D3707,"Entry Type","Sale|Consumption","posting date","01/01/19..12/31/19")/-12</t>
  </si>
  <si>
    <t>=NL("sum","Item Ledger Entry","Quantity","Item No.",$D3707,"Entry Type","Sale|Consumption","posting date","01/01/20..12/31/20")/-12</t>
  </si>
  <si>
    <t>=NL("sum","Item Ledger Entry","Quantity","Item No.",$D3707,"Entry Type","Sale|Consumption","posting date","01/01/21..12/31/21")/-12</t>
  </si>
  <si>
    <t>=NL("sum","Item Ledger Entry","Quantity","Item No.",$D3707,"Entry Type","Sale|Consumption","posting date","01/01/22..12/31/22")/-12</t>
  </si>
  <si>
    <t>=NL("sum","Item Ledger Entry","Quantity","Item No.",$D3707,"Entry Type","Sale|Consumption","posting date","01/01/23..12/31/23")/$J$7</t>
  </si>
  <si>
    <t>=AVERAGE(I3707:J3707)</t>
  </si>
  <si>
    <t>=NL(1,"item",L$9,"no.",D3707)</t>
  </si>
  <si>
    <t>=NL(1,"item",M$9,"no.",$D3707)</t>
  </si>
  <si>
    <t>=NL(1,"item","Units Per Parcel","no.",$D3707)</t>
  </si>
  <si>
    <t>=NL(1,"Prod. BOM Equipment","Fixed Prod. Time (Hours)","Production BOM No.",$D3707,"version code",$E3707,"Resource No.",O$9)</t>
  </si>
  <si>
    <t>=1/O3707</t>
  </si>
  <si>
    <t>=IF(NL(1,"Prod. BOM Equipment","Variable Prod. Time (Hours)","Production BOM No.",$D3707,"version code",$E3707,"Resource No.",$O$9)="",1,NL(1,"Prod. BOM Equipment","Variable Prod. Time (Hours)","Production BOM No.",$D3707,"version code",$E3707,"Resource No.",$O$9))</t>
  </si>
  <si>
    <t>=1/Q3707</t>
  </si>
  <si>
    <t>=R3707*N3707</t>
  </si>
  <si>
    <t>=IF(K3708=0,"hide","")</t>
  </si>
  <si>
    <t>=D3707</t>
  </si>
  <si>
    <t>=NL("sum","Production Order","Quantity","Source No.",$D3708,"Equipment Code",$L3708,"due date",F$8)/-12</t>
  </si>
  <si>
    <t>=NL("sum","Production Order","Quantity","Source No.",$D3708,"Equipment Code",$L3708,"due date",G$8)/-12</t>
  </si>
  <si>
    <t>=NL("sum","Production Order","Quantity","Source No.",$D3708,"Equipment Code",$L3708,"due date",H$8)/-12</t>
  </si>
  <si>
    <t>=NL("sum","Production Order","Quantity","Source No.",$D3708,"Equipment Code",$L3708,"due date",I$8)/-12</t>
  </si>
  <si>
    <t>=NL("sum","Production Order","Quantity","Source No.",$D3708,"Equipment Code",$L3708,"due date",J$8)/$J$7</t>
  </si>
  <si>
    <t>=AVERAGE(I3708:J3708)</t>
  </si>
  <si>
    <t>=IF(K3709=0,"hide","")</t>
  </si>
  <si>
    <t>=D3708</t>
  </si>
  <si>
    <t>=NL("sum","Production Order","Quantity","Source No.",$D3709,"Equipment Code",$L3709,"due date",F$8)/-12</t>
  </si>
  <si>
    <t>=NL("sum","Production Order","Quantity","Source No.",$D3709,"Equipment Code",$L3709,"due date",G$8)/-12</t>
  </si>
  <si>
    <t>=NL("sum","Production Order","Quantity","Source No.",$D3709,"Equipment Code",$L3709,"due date",H$8)/-12</t>
  </si>
  <si>
    <t>=NL("sum","Production Order","Quantity","Source No.",$D3709,"Equipment Code",$L3709,"due date",I$8)/-12</t>
  </si>
  <si>
    <t>=NL("sum","Production Order","Quantity","Source No.",$D3709,"Equipment Code",$L3709,"due date",J$8)/$J$7</t>
  </si>
  <si>
    <t>=AVERAGE(I3709:J3709)</t>
  </si>
  <si>
    <t>=IF(K3710=0,"hide","")</t>
  </si>
  <si>
    <t>=D3709</t>
  </si>
  <si>
    <t>=NL("sum","Production Order","Quantity","Source No.",$D3710,"Equipment Code",$L3710,"due date",F$8)/-12</t>
  </si>
  <si>
    <t>=NL("sum","Production Order","Quantity","Source No.",$D3710,"Equipment Code",$L3710,"due date",G$8)/-12</t>
  </si>
  <si>
    <t>=NL("sum","Production Order","Quantity","Source No.",$D3710,"Equipment Code",$L3710,"due date",H$8)/-12</t>
  </si>
  <si>
    <t>=NL("sum","Production Order","Quantity","Source No.",$D3710,"Equipment Code",$L3710,"due date",I$8)/-12</t>
  </si>
  <si>
    <t>=NL("sum","Production Order","Quantity","Source No.",$D3710,"Equipment Code",$L3710,"due date",J$8)/$J$7</t>
  </si>
  <si>
    <t>=AVERAGE(I3710:J3710)</t>
  </si>
  <si>
    <t>=IF(K3711=0,"hide","")</t>
  </si>
  <si>
    <t>=D3710</t>
  </si>
  <si>
    <t>=NL("sum","Production Order","Quantity","Source No.",$D3711,"Equipment Code",$L3711,"due date",F$8)/-12</t>
  </si>
  <si>
    <t>=NL("sum","Production Order","Quantity","Source No.",$D3711,"Equipment Code",$L3711,"due date",G$8)/-12</t>
  </si>
  <si>
    <t>=NL("sum","Production Order","Quantity","Source No.",$D3711,"Equipment Code",$L3711,"due date",H$8)/-12</t>
  </si>
  <si>
    <t>=NL("sum","Production Order","Quantity","Source No.",$D3711,"Equipment Code",$L3711,"due date",I$8)/-12</t>
  </si>
  <si>
    <t>=NL("sum","Production Order","Quantity","Source No.",$D3711,"Equipment Code",$L3711,"due date",J$8)/$J$7</t>
  </si>
  <si>
    <t>=AVERAGE(I3711:J3711)</t>
  </si>
  <si>
    <t>=B3708</t>
  </si>
  <si>
    <t>=B3712</t>
  </si>
  <si>
    <t>=SUM(F3708:F3712)</t>
  </si>
  <si>
    <t>=SUM(G3708:G3712)</t>
  </si>
  <si>
    <t>=SUM(H3708:H3712)</t>
  </si>
  <si>
    <t>=SUM(I3708:I3712)</t>
  </si>
  <si>
    <t>=SUM(J3708:J3712)</t>
  </si>
  <si>
    <t>=IF(K3714=0,"hide","")</t>
  </si>
  <si>
    <t>="51110"</t>
  </si>
  <si>
    <t>=NL("rows","Production BOM Version","Version Code","Production BOM No.",D3714,"status","certified")</t>
  </si>
  <si>
    <t>=NL("sum","Item Ledger Entry","Quantity","Item No.",$D3714,"Entry Type","Sale|Consumption","posting date","01/01/19..12/31/19")/-12</t>
  </si>
  <si>
    <t>=NL("sum","Item Ledger Entry","Quantity","Item No.",$D3714,"Entry Type","Sale|Consumption","posting date","01/01/20..12/31/20")/-12</t>
  </si>
  <si>
    <t>=NL("sum","Item Ledger Entry","Quantity","Item No.",$D3714,"Entry Type","Sale|Consumption","posting date","01/01/21..12/31/21")/-12</t>
  </si>
  <si>
    <t>=NL("sum","Item Ledger Entry","Quantity","Item No.",$D3714,"Entry Type","Sale|Consumption","posting date","01/01/22..12/31/22")/-12</t>
  </si>
  <si>
    <t>=NL("sum","Item Ledger Entry","Quantity","Item No.",$D3714,"Entry Type","Sale|Consumption","posting date","01/01/23..12/31/23")/$J$7</t>
  </si>
  <si>
    <t>=AVERAGE(I3714:J3714)</t>
  </si>
  <si>
    <t>=NL(1,"item",L$9,"no.",D3714)</t>
  </si>
  <si>
    <t>=NL(1,"item",M$9,"no.",$D3714)</t>
  </si>
  <si>
    <t>=NL(1,"item","Units Per Parcel","no.",$D3714)</t>
  </si>
  <si>
    <t>=NL(1,"Prod. BOM Equipment","Fixed Prod. Time (Hours)","Production BOM No.",$D3714,"version code",$E3714,"Resource No.",O$9)</t>
  </si>
  <si>
    <t>=1/O3714</t>
  </si>
  <si>
    <t>=IF(NL(1,"Prod. BOM Equipment","Variable Prod. Time (Hours)","Production BOM No.",$D3714,"version code",$E3714,"Resource No.",$O$9)="",1,NL(1,"Prod. BOM Equipment","Variable Prod. Time (Hours)","Production BOM No.",$D3714,"version code",$E3714,"Resource No.",$O$9))</t>
  </si>
  <si>
    <t>=1/Q3714</t>
  </si>
  <si>
    <t>=R3714*N3714</t>
  </si>
  <si>
    <t>=IF(K3715=0,"hide","")</t>
  </si>
  <si>
    <t>=D3714</t>
  </si>
  <si>
    <t>=NL("sum","Production Order","Quantity","Source No.",$D3715,"Equipment Code",$L3715,"due date",F$8)/-12</t>
  </si>
  <si>
    <t>=NL("sum","Production Order","Quantity","Source No.",$D3715,"Equipment Code",$L3715,"due date",G$8)/-12</t>
  </si>
  <si>
    <t>=NL("sum","Production Order","Quantity","Source No.",$D3715,"Equipment Code",$L3715,"due date",H$8)/-12</t>
  </si>
  <si>
    <t>=NL("sum","Production Order","Quantity","Source No.",$D3715,"Equipment Code",$L3715,"due date",I$8)/-12</t>
  </si>
  <si>
    <t>=NL("sum","Production Order","Quantity","Source No.",$D3715,"Equipment Code",$L3715,"due date",J$8)/$J$7</t>
  </si>
  <si>
    <t>=AVERAGE(I3715:J3715)</t>
  </si>
  <si>
    <t>=IF(K3716=0,"hide","")</t>
  </si>
  <si>
    <t>=D3715</t>
  </si>
  <si>
    <t>=NL("sum","Production Order","Quantity","Source No.",$D3716,"Equipment Code",$L3716,"due date",F$8)/-12</t>
  </si>
  <si>
    <t>=NL("sum","Production Order","Quantity","Source No.",$D3716,"Equipment Code",$L3716,"due date",G$8)/-12</t>
  </si>
  <si>
    <t>=NL("sum","Production Order","Quantity","Source No.",$D3716,"Equipment Code",$L3716,"due date",H$8)/-12</t>
  </si>
  <si>
    <t>=NL("sum","Production Order","Quantity","Source No.",$D3716,"Equipment Code",$L3716,"due date",I$8)/-12</t>
  </si>
  <si>
    <t>=NL("sum","Production Order","Quantity","Source No.",$D3716,"Equipment Code",$L3716,"due date",J$8)/$J$7</t>
  </si>
  <si>
    <t>=AVERAGE(I3716:J3716)</t>
  </si>
  <si>
    <t>=IF(K3717=0,"hide","")</t>
  </si>
  <si>
    <t>=D3716</t>
  </si>
  <si>
    <t>=NL("sum","Production Order","Quantity","Source No.",$D3717,"Equipment Code",$L3717,"due date",F$8)/-12</t>
  </si>
  <si>
    <t>=NL("sum","Production Order","Quantity","Source No.",$D3717,"Equipment Code",$L3717,"due date",G$8)/-12</t>
  </si>
  <si>
    <t>=NL("sum","Production Order","Quantity","Source No.",$D3717,"Equipment Code",$L3717,"due date",H$8)/-12</t>
  </si>
  <si>
    <t>=NL("sum","Production Order","Quantity","Source No.",$D3717,"Equipment Code",$L3717,"due date",I$8)/-12</t>
  </si>
  <si>
    <t>=NL("sum","Production Order","Quantity","Source No.",$D3717,"Equipment Code",$L3717,"due date",J$8)/$J$7</t>
  </si>
  <si>
    <t>=AVERAGE(I3717:J3717)</t>
  </si>
  <si>
    <t>=IF(K3718=0,"hide","")</t>
  </si>
  <si>
    <t>=D3717</t>
  </si>
  <si>
    <t>=NL("sum","Production Order","Quantity","Source No.",$D3718,"Equipment Code",$L3718,"due date",F$8)/-12</t>
  </si>
  <si>
    <t>=NL("sum","Production Order","Quantity","Source No.",$D3718,"Equipment Code",$L3718,"due date",G$8)/-12</t>
  </si>
  <si>
    <t>=NL("sum","Production Order","Quantity","Source No.",$D3718,"Equipment Code",$L3718,"due date",H$8)/-12</t>
  </si>
  <si>
    <t>=NL("sum","Production Order","Quantity","Source No.",$D3718,"Equipment Code",$L3718,"due date",I$8)/-12</t>
  </si>
  <si>
    <t>=NL("sum","Production Order","Quantity","Source No.",$D3718,"Equipment Code",$L3718,"due date",J$8)/$J$7</t>
  </si>
  <si>
    <t>=AVERAGE(I3718:J3718)</t>
  </si>
  <si>
    <t>=B3715</t>
  </si>
  <si>
    <t>=B3719</t>
  </si>
  <si>
    <t>=SUM(F3715:F3719)</t>
  </si>
  <si>
    <t>=SUM(G3715:G3719)</t>
  </si>
  <si>
    <t>=SUM(H3715:H3719)</t>
  </si>
  <si>
    <t>=SUM(I3715:I3719)</t>
  </si>
  <si>
    <t>=SUM(J3715:J3719)</t>
  </si>
  <si>
    <t>=IF(K3721=0,"hide","")</t>
  </si>
  <si>
    <t>=NL("rows","Production BOM Version","Version Code","Production BOM No.",D3721,"status","certified")</t>
  </si>
  <si>
    <t>=NL("sum","Item Ledger Entry","Quantity","Item No.",$D3721,"Entry Type","Sale|Consumption","posting date","01/01/19..12/31/19")/-12</t>
  </si>
  <si>
    <t>=NL("sum","Item Ledger Entry","Quantity","Item No.",$D3721,"Entry Type","Sale|Consumption","posting date","01/01/20..12/31/20")/-12</t>
  </si>
  <si>
    <t>=NL("sum","Item Ledger Entry","Quantity","Item No.",$D3721,"Entry Type","Sale|Consumption","posting date","01/01/21..12/31/21")/-12</t>
  </si>
  <si>
    <t>=NL("sum","Item Ledger Entry","Quantity","Item No.",$D3721,"Entry Type","Sale|Consumption","posting date","01/01/22..12/31/22")/-12</t>
  </si>
  <si>
    <t>=NL("sum","Item Ledger Entry","Quantity","Item No.",$D3721,"Entry Type","Sale|Consumption","posting date","01/01/23..12/31/23")/$J$7</t>
  </si>
  <si>
    <t>=AVERAGE(I3721:J3721)</t>
  </si>
  <si>
    <t>=NL(1,"item",L$9,"no.",D3721)</t>
  </si>
  <si>
    <t>=NL(1,"item",M$9,"no.",$D3721)</t>
  </si>
  <si>
    <t>=NL(1,"item","Units Per Parcel","no.",$D3721)</t>
  </si>
  <si>
    <t>=NL(1,"Prod. BOM Equipment","Fixed Prod. Time (Hours)","Production BOM No.",$D3721,"version code",$E3721,"Resource No.",O$9)</t>
  </si>
  <si>
    <t>=1/O3721</t>
  </si>
  <si>
    <t>=IF(NL(1,"Prod. BOM Equipment","Variable Prod. Time (Hours)","Production BOM No.",$D3721,"version code",$E3721,"Resource No.",$O$9)="",1,NL(1,"Prod. BOM Equipment","Variable Prod. Time (Hours)","Production BOM No.",$D3721,"version code",$E3721,"Resource No.",$O$9))</t>
  </si>
  <si>
    <t>=1/Q3721</t>
  </si>
  <si>
    <t>=R3721*N3721</t>
  </si>
  <si>
    <t>=IF(K3722=0,"hide","")</t>
  </si>
  <si>
    <t>=D3721</t>
  </si>
  <si>
    <t>=NL("sum","Production Order","Quantity","Source No.",$D3722,"Equipment Code",$L3722,"due date",F$8)/-12</t>
  </si>
  <si>
    <t>=NL("sum","Production Order","Quantity","Source No.",$D3722,"Equipment Code",$L3722,"due date",G$8)/-12</t>
  </si>
  <si>
    <t>=NL("sum","Production Order","Quantity","Source No.",$D3722,"Equipment Code",$L3722,"due date",H$8)/-12</t>
  </si>
  <si>
    <t>=NL("sum","Production Order","Quantity","Source No.",$D3722,"Equipment Code",$L3722,"due date",I$8)/-12</t>
  </si>
  <si>
    <t>=NL("sum","Production Order","Quantity","Source No.",$D3722,"Equipment Code",$L3722,"due date",J$8)/$J$7</t>
  </si>
  <si>
    <t>=AVERAGE(I3722:J3722)</t>
  </si>
  <si>
    <t>=IF(K3723=0,"hide","")</t>
  </si>
  <si>
    <t>=D3722</t>
  </si>
  <si>
    <t>=NL("sum","Production Order","Quantity","Source No.",$D3723,"Equipment Code",$L3723,"due date",F$8)/-12</t>
  </si>
  <si>
    <t>=NL("sum","Production Order","Quantity","Source No.",$D3723,"Equipment Code",$L3723,"due date",G$8)/-12</t>
  </si>
  <si>
    <t>=NL("sum","Production Order","Quantity","Source No.",$D3723,"Equipment Code",$L3723,"due date",H$8)/-12</t>
  </si>
  <si>
    <t>=NL("sum","Production Order","Quantity","Source No.",$D3723,"Equipment Code",$L3723,"due date",I$8)/-12</t>
  </si>
  <si>
    <t>=NL("sum","Production Order","Quantity","Source No.",$D3723,"Equipment Code",$L3723,"due date",J$8)/$J$7</t>
  </si>
  <si>
    <t>=AVERAGE(I3723:J3723)</t>
  </si>
  <si>
    <t>=IF(K3724=0,"hide","")</t>
  </si>
  <si>
    <t>=D3723</t>
  </si>
  <si>
    <t>=NL("sum","Production Order","Quantity","Source No.",$D3724,"Equipment Code",$L3724,"due date",F$8)/-12</t>
  </si>
  <si>
    <t>=NL("sum","Production Order","Quantity","Source No.",$D3724,"Equipment Code",$L3724,"due date",G$8)/-12</t>
  </si>
  <si>
    <t>=NL("sum","Production Order","Quantity","Source No.",$D3724,"Equipment Code",$L3724,"due date",H$8)/-12</t>
  </si>
  <si>
    <t>=NL("sum","Production Order","Quantity","Source No.",$D3724,"Equipment Code",$L3724,"due date",I$8)/-12</t>
  </si>
  <si>
    <t>=NL("sum","Production Order","Quantity","Source No.",$D3724,"Equipment Code",$L3724,"due date",J$8)/$J$7</t>
  </si>
  <si>
    <t>=AVERAGE(I3724:J3724)</t>
  </si>
  <si>
    <t>=IF(K3725=0,"hide","")</t>
  </si>
  <si>
    <t>=D3724</t>
  </si>
  <si>
    <t>=NL("sum","Production Order","Quantity","Source No.",$D3725,"Equipment Code",$L3725,"due date",F$8)/-12</t>
  </si>
  <si>
    <t>=NL("sum","Production Order","Quantity","Source No.",$D3725,"Equipment Code",$L3725,"due date",G$8)/-12</t>
  </si>
  <si>
    <t>=NL("sum","Production Order","Quantity","Source No.",$D3725,"Equipment Code",$L3725,"due date",H$8)/-12</t>
  </si>
  <si>
    <t>=NL("sum","Production Order","Quantity","Source No.",$D3725,"Equipment Code",$L3725,"due date",I$8)/-12</t>
  </si>
  <si>
    <t>=NL("sum","Production Order","Quantity","Source No.",$D3725,"Equipment Code",$L3725,"due date",J$8)/$J$7</t>
  </si>
  <si>
    <t>=AVERAGE(I3725:J3725)</t>
  </si>
  <si>
    <t>=B3722</t>
  </si>
  <si>
    <t>=B3726</t>
  </si>
  <si>
    <t>=SUM(F3722:F3726)</t>
  </si>
  <si>
    <t>=SUM(G3722:G3726)</t>
  </si>
  <si>
    <t>=SUM(H3722:H3726)</t>
  </si>
  <si>
    <t>=SUM(I3722:I3726)</t>
  </si>
  <si>
    <t>=SUM(J3722:J3726)</t>
  </si>
  <si>
    <t>=IF(K3728=0,"hide","")</t>
  </si>
  <si>
    <t>="51122"</t>
  </si>
  <si>
    <t>=NL("rows","Production BOM Version","Version Code","Production BOM No.",D3728,"status","certified")</t>
  </si>
  <si>
    <t>=NL("sum","Item Ledger Entry","Quantity","Item No.",$D3728,"Entry Type","Sale|Consumption","posting date","01/01/19..12/31/19")/-12</t>
  </si>
  <si>
    <t>=NL("sum","Item Ledger Entry","Quantity","Item No.",$D3728,"Entry Type","Sale|Consumption","posting date","01/01/20..12/31/20")/-12</t>
  </si>
  <si>
    <t>=NL("sum","Item Ledger Entry","Quantity","Item No.",$D3728,"Entry Type","Sale|Consumption","posting date","01/01/21..12/31/21")/-12</t>
  </si>
  <si>
    <t>=NL("sum","Item Ledger Entry","Quantity","Item No.",$D3728,"Entry Type","Sale|Consumption","posting date","01/01/22..12/31/22")/-12</t>
  </si>
  <si>
    <t>=NL("sum","Item Ledger Entry","Quantity","Item No.",$D3728,"Entry Type","Sale|Consumption","posting date","01/01/23..12/31/23")/$J$7</t>
  </si>
  <si>
    <t>=AVERAGE(I3728:J3728)</t>
  </si>
  <si>
    <t>=NL(1,"item",L$9,"no.",D3728)</t>
  </si>
  <si>
    <t>=NL(1,"item",M$9,"no.",$D3728)</t>
  </si>
  <si>
    <t>=NL(1,"item","Units Per Parcel","no.",$D3728)</t>
  </si>
  <si>
    <t>=NL(1,"Prod. BOM Equipment","Fixed Prod. Time (Hours)","Production BOM No.",$D3728,"version code",$E3728,"Resource No.",O$9)</t>
  </si>
  <si>
    <t>=1/O3728</t>
  </si>
  <si>
    <t>=IF(NL(1,"Prod. BOM Equipment","Variable Prod. Time (Hours)","Production BOM No.",$D3728,"version code",$E3728,"Resource No.",$O$9)="",1,NL(1,"Prod. BOM Equipment","Variable Prod. Time (Hours)","Production BOM No.",$D3728,"version code",$E3728,"Resource No.",$O$9))</t>
  </si>
  <si>
    <t>=1/Q3728</t>
  </si>
  <si>
    <t>=R3728*N3728</t>
  </si>
  <si>
    <t>=IF(K3729=0,"hide","")</t>
  </si>
  <si>
    <t>=D3728</t>
  </si>
  <si>
    <t>=NL("sum","Production Order","Quantity","Source No.",$D3729,"Equipment Code",$L3729,"due date",F$8)/-12</t>
  </si>
  <si>
    <t>=NL("sum","Production Order","Quantity","Source No.",$D3729,"Equipment Code",$L3729,"due date",G$8)/-12</t>
  </si>
  <si>
    <t>=NL("sum","Production Order","Quantity","Source No.",$D3729,"Equipment Code",$L3729,"due date",H$8)/-12</t>
  </si>
  <si>
    <t>=NL("sum","Production Order","Quantity","Source No.",$D3729,"Equipment Code",$L3729,"due date",I$8)/-12</t>
  </si>
  <si>
    <t>=NL("sum","Production Order","Quantity","Source No.",$D3729,"Equipment Code",$L3729,"due date",J$8)/$J$7</t>
  </si>
  <si>
    <t>=AVERAGE(I3729:J3729)</t>
  </si>
  <si>
    <t>=IF(K3730=0,"hide","")</t>
  </si>
  <si>
    <t>=D3729</t>
  </si>
  <si>
    <t>=NL("sum","Production Order","Quantity","Source No.",$D3730,"Equipment Code",$L3730,"due date",F$8)/-12</t>
  </si>
  <si>
    <t>=NL("sum","Production Order","Quantity","Source No.",$D3730,"Equipment Code",$L3730,"due date",G$8)/-12</t>
  </si>
  <si>
    <t>=NL("sum","Production Order","Quantity","Source No.",$D3730,"Equipment Code",$L3730,"due date",H$8)/-12</t>
  </si>
  <si>
    <t>=NL("sum","Production Order","Quantity","Source No.",$D3730,"Equipment Code",$L3730,"due date",I$8)/-12</t>
  </si>
  <si>
    <t>=NL("sum","Production Order","Quantity","Source No.",$D3730,"Equipment Code",$L3730,"due date",J$8)/$J$7</t>
  </si>
  <si>
    <t>=AVERAGE(I3730:J3730)</t>
  </si>
  <si>
    <t>=IF(K3731=0,"hide","")</t>
  </si>
  <si>
    <t>=D3730</t>
  </si>
  <si>
    <t>=NL("sum","Production Order","Quantity","Source No.",$D3731,"Equipment Code",$L3731,"due date",F$8)/-12</t>
  </si>
  <si>
    <t>=NL("sum","Production Order","Quantity","Source No.",$D3731,"Equipment Code",$L3731,"due date",G$8)/-12</t>
  </si>
  <si>
    <t>=NL("sum","Production Order","Quantity","Source No.",$D3731,"Equipment Code",$L3731,"due date",H$8)/-12</t>
  </si>
  <si>
    <t>=NL("sum","Production Order","Quantity","Source No.",$D3731,"Equipment Code",$L3731,"due date",I$8)/-12</t>
  </si>
  <si>
    <t>=NL("sum","Production Order","Quantity","Source No.",$D3731,"Equipment Code",$L3731,"due date",J$8)/$J$7</t>
  </si>
  <si>
    <t>=AVERAGE(I3731:J3731)</t>
  </si>
  <si>
    <t>=IF(K3732=0,"hide","")</t>
  </si>
  <si>
    <t>=D3731</t>
  </si>
  <si>
    <t>=NL("sum","Production Order","Quantity","Source No.",$D3732,"Equipment Code",$L3732,"due date",F$8)/-12</t>
  </si>
  <si>
    <t>=NL("sum","Production Order","Quantity","Source No.",$D3732,"Equipment Code",$L3732,"due date",G$8)/-12</t>
  </si>
  <si>
    <t>=NL("sum","Production Order","Quantity","Source No.",$D3732,"Equipment Code",$L3732,"due date",H$8)/-12</t>
  </si>
  <si>
    <t>=NL("sum","Production Order","Quantity","Source No.",$D3732,"Equipment Code",$L3732,"due date",I$8)/-12</t>
  </si>
  <si>
    <t>=NL("sum","Production Order","Quantity","Source No.",$D3732,"Equipment Code",$L3732,"due date",J$8)/$J$7</t>
  </si>
  <si>
    <t>=AVERAGE(I3732:J3732)</t>
  </si>
  <si>
    <t>=B3729</t>
  </si>
  <si>
    <t>=B3733</t>
  </si>
  <si>
    <t>=SUM(F3729:F3733)</t>
  </si>
  <si>
    <t>=SUM(G3729:G3733)</t>
  </si>
  <si>
    <t>=SUM(H3729:H3733)</t>
  </si>
  <si>
    <t>=SUM(I3729:I3733)</t>
  </si>
  <si>
    <t>=SUM(J3729:J3733)</t>
  </si>
  <si>
    <t>=IF(K3735=0,"hide","")</t>
  </si>
  <si>
    <t>=NL("rows","Production BOM Version","Version Code","Production BOM No.",D3735,"status","certified")</t>
  </si>
  <si>
    <t>=NL("sum","Item Ledger Entry","Quantity","Item No.",$D3735,"Entry Type","Sale|Consumption","posting date","01/01/19..12/31/19")/-12</t>
  </si>
  <si>
    <t>=NL("sum","Item Ledger Entry","Quantity","Item No.",$D3735,"Entry Type","Sale|Consumption","posting date","01/01/20..12/31/20")/-12</t>
  </si>
  <si>
    <t>=NL("sum","Item Ledger Entry","Quantity","Item No.",$D3735,"Entry Type","Sale|Consumption","posting date","01/01/21..12/31/21")/-12</t>
  </si>
  <si>
    <t>=NL("sum","Item Ledger Entry","Quantity","Item No.",$D3735,"Entry Type","Sale|Consumption","posting date","01/01/22..12/31/22")/-12</t>
  </si>
  <si>
    <t>=NL("sum","Item Ledger Entry","Quantity","Item No.",$D3735,"Entry Type","Sale|Consumption","posting date","01/01/23..12/31/23")/$J$7</t>
  </si>
  <si>
    <t>=AVERAGE(I3735:J3735)</t>
  </si>
  <si>
    <t>=NL(1,"item",L$9,"no.",D3735)</t>
  </si>
  <si>
    <t>=NL(1,"item",M$9,"no.",$D3735)</t>
  </si>
  <si>
    <t>=NL(1,"item","Units Per Parcel","no.",$D3735)</t>
  </si>
  <si>
    <t>=NL(1,"Prod. BOM Equipment","Fixed Prod. Time (Hours)","Production BOM No.",$D3735,"version code",$E3735,"Resource No.",O$9)</t>
  </si>
  <si>
    <t>=1/O3735</t>
  </si>
  <si>
    <t>=IF(NL(1,"Prod. BOM Equipment","Variable Prod. Time (Hours)","Production BOM No.",$D3735,"version code",$E3735,"Resource No.",$O$9)="",1,NL(1,"Prod. BOM Equipment","Variable Prod. Time (Hours)","Production BOM No.",$D3735,"version code",$E3735,"Resource No.",$O$9))</t>
  </si>
  <si>
    <t>=1/Q3735</t>
  </si>
  <si>
    <t>=R3735*N3735</t>
  </si>
  <si>
    <t>=IF(K3736=0,"hide","")</t>
  </si>
  <si>
    <t>=D3735</t>
  </si>
  <si>
    <t>=NL("sum","Production Order","Quantity","Source No.",$D3736,"Equipment Code",$L3736,"due date",F$8)/-12</t>
  </si>
  <si>
    <t>=NL("sum","Production Order","Quantity","Source No.",$D3736,"Equipment Code",$L3736,"due date",G$8)/-12</t>
  </si>
  <si>
    <t>=NL("sum","Production Order","Quantity","Source No.",$D3736,"Equipment Code",$L3736,"due date",H$8)/-12</t>
  </si>
  <si>
    <t>=NL("sum","Production Order","Quantity","Source No.",$D3736,"Equipment Code",$L3736,"due date",I$8)/-12</t>
  </si>
  <si>
    <t>=NL("sum","Production Order","Quantity","Source No.",$D3736,"Equipment Code",$L3736,"due date",J$8)/$J$7</t>
  </si>
  <si>
    <t>=AVERAGE(I3736:J3736)</t>
  </si>
  <si>
    <t>=IF(K3737=0,"hide","")</t>
  </si>
  <si>
    <t>=D3736</t>
  </si>
  <si>
    <t>=NL("sum","Production Order","Quantity","Source No.",$D3737,"Equipment Code",$L3737,"due date",F$8)/-12</t>
  </si>
  <si>
    <t>=NL("sum","Production Order","Quantity","Source No.",$D3737,"Equipment Code",$L3737,"due date",G$8)/-12</t>
  </si>
  <si>
    <t>=NL("sum","Production Order","Quantity","Source No.",$D3737,"Equipment Code",$L3737,"due date",H$8)/-12</t>
  </si>
  <si>
    <t>=NL("sum","Production Order","Quantity","Source No.",$D3737,"Equipment Code",$L3737,"due date",I$8)/-12</t>
  </si>
  <si>
    <t>=NL("sum","Production Order","Quantity","Source No.",$D3737,"Equipment Code",$L3737,"due date",J$8)/$J$7</t>
  </si>
  <si>
    <t>=AVERAGE(I3737:J3737)</t>
  </si>
  <si>
    <t>=IF(K3738=0,"hide","")</t>
  </si>
  <si>
    <t>=D3737</t>
  </si>
  <si>
    <t>=NL("sum","Production Order","Quantity","Source No.",$D3738,"Equipment Code",$L3738,"due date",F$8)/-12</t>
  </si>
  <si>
    <t>=NL("sum","Production Order","Quantity","Source No.",$D3738,"Equipment Code",$L3738,"due date",G$8)/-12</t>
  </si>
  <si>
    <t>=NL("sum","Production Order","Quantity","Source No.",$D3738,"Equipment Code",$L3738,"due date",H$8)/-12</t>
  </si>
  <si>
    <t>=NL("sum","Production Order","Quantity","Source No.",$D3738,"Equipment Code",$L3738,"due date",I$8)/-12</t>
  </si>
  <si>
    <t>=NL("sum","Production Order","Quantity","Source No.",$D3738,"Equipment Code",$L3738,"due date",J$8)/$J$7</t>
  </si>
  <si>
    <t>=AVERAGE(I3738:J3738)</t>
  </si>
  <si>
    <t>=IF(K3739=0,"hide","")</t>
  </si>
  <si>
    <t>=D3738</t>
  </si>
  <si>
    <t>=NL("sum","Production Order","Quantity","Source No.",$D3739,"Equipment Code",$L3739,"due date",F$8)/-12</t>
  </si>
  <si>
    <t>=NL("sum","Production Order","Quantity","Source No.",$D3739,"Equipment Code",$L3739,"due date",G$8)/-12</t>
  </si>
  <si>
    <t>=NL("sum","Production Order","Quantity","Source No.",$D3739,"Equipment Code",$L3739,"due date",H$8)/-12</t>
  </si>
  <si>
    <t>=NL("sum","Production Order","Quantity","Source No.",$D3739,"Equipment Code",$L3739,"due date",I$8)/-12</t>
  </si>
  <si>
    <t>=NL("sum","Production Order","Quantity","Source No.",$D3739,"Equipment Code",$L3739,"due date",J$8)/$J$7</t>
  </si>
  <si>
    <t>=AVERAGE(I3739:J3739)</t>
  </si>
  <si>
    <t>=B3736</t>
  </si>
  <si>
    <t>=B3740</t>
  </si>
  <si>
    <t>=SUM(F3736:F3740)</t>
  </si>
  <si>
    <t>=SUM(G3736:G3740)</t>
  </si>
  <si>
    <t>=SUM(H3736:H3740)</t>
  </si>
  <si>
    <t>=SUM(I3736:I3740)</t>
  </si>
  <si>
    <t>=SUM(J3736:J3740)</t>
  </si>
  <si>
    <t>=IF(K3742=0,"hide","")</t>
  </si>
  <si>
    <t>="51301"</t>
  </si>
  <si>
    <t>=NL("rows","Production BOM Version","Version Code","Production BOM No.",D3742,"status","certified")</t>
  </si>
  <si>
    <t>=NL("sum","Item Ledger Entry","Quantity","Item No.",$D3742,"Entry Type","Sale|Consumption","posting date","01/01/19..12/31/19")/-12</t>
  </si>
  <si>
    <t>=NL("sum","Item Ledger Entry","Quantity","Item No.",$D3742,"Entry Type","Sale|Consumption","posting date","01/01/20..12/31/20")/-12</t>
  </si>
  <si>
    <t>=NL("sum","Item Ledger Entry","Quantity","Item No.",$D3742,"Entry Type","Sale|Consumption","posting date","01/01/21..12/31/21")/-12</t>
  </si>
  <si>
    <t>=NL("sum","Item Ledger Entry","Quantity","Item No.",$D3742,"Entry Type","Sale|Consumption","posting date","01/01/22..12/31/22")/-12</t>
  </si>
  <si>
    <t>=NL("sum","Item Ledger Entry","Quantity","Item No.",$D3742,"Entry Type","Sale|Consumption","posting date","01/01/23..12/31/23")/$J$7</t>
  </si>
  <si>
    <t>=AVERAGE(I3742:J3742)</t>
  </si>
  <si>
    <t>=NL(1,"item",L$9,"no.",D3742)</t>
  </si>
  <si>
    <t>=NL(1,"item",M$9,"no.",$D3742)</t>
  </si>
  <si>
    <t>=NL(1,"item","Units Per Parcel","no.",$D3742)</t>
  </si>
  <si>
    <t>=NL(1,"Prod. BOM Equipment","Fixed Prod. Time (Hours)","Production BOM No.",$D3742,"version code",$E3742,"Resource No.",O$9)</t>
  </si>
  <si>
    <t>=1/O3742</t>
  </si>
  <si>
    <t>=IF(NL(1,"Prod. BOM Equipment","Variable Prod. Time (Hours)","Production BOM No.",$D3742,"version code",$E3742,"Resource No.",$O$9)="",1,NL(1,"Prod. BOM Equipment","Variable Prod. Time (Hours)","Production BOM No.",$D3742,"version code",$E3742,"Resource No.",$O$9))</t>
  </si>
  <si>
    <t>=1/Q3742</t>
  </si>
  <si>
    <t>=R3742*N3742</t>
  </si>
  <si>
    <t>=IF(K3743=0,"hide","")</t>
  </si>
  <si>
    <t>=D3742</t>
  </si>
  <si>
    <t>=NL("sum","Production Order","Quantity","Source No.",$D3743,"Equipment Code",$L3743,"due date",F$8)/-12</t>
  </si>
  <si>
    <t>=NL("sum","Production Order","Quantity","Source No.",$D3743,"Equipment Code",$L3743,"due date",G$8)/-12</t>
  </si>
  <si>
    <t>=NL("sum","Production Order","Quantity","Source No.",$D3743,"Equipment Code",$L3743,"due date",H$8)/-12</t>
  </si>
  <si>
    <t>=NL("sum","Production Order","Quantity","Source No.",$D3743,"Equipment Code",$L3743,"due date",I$8)/-12</t>
  </si>
  <si>
    <t>=NL("sum","Production Order","Quantity","Source No.",$D3743,"Equipment Code",$L3743,"due date",J$8)/$J$7</t>
  </si>
  <si>
    <t>=AVERAGE(I3743:J3743)</t>
  </si>
  <si>
    <t>=IF(K3744=0,"hide","")</t>
  </si>
  <si>
    <t>=D3743</t>
  </si>
  <si>
    <t>=NL("sum","Production Order","Quantity","Source No.",$D3744,"Equipment Code",$L3744,"due date",F$8)/-12</t>
  </si>
  <si>
    <t>=NL("sum","Production Order","Quantity","Source No.",$D3744,"Equipment Code",$L3744,"due date",G$8)/-12</t>
  </si>
  <si>
    <t>=NL("sum","Production Order","Quantity","Source No.",$D3744,"Equipment Code",$L3744,"due date",H$8)/-12</t>
  </si>
  <si>
    <t>=NL("sum","Production Order","Quantity","Source No.",$D3744,"Equipment Code",$L3744,"due date",I$8)/-12</t>
  </si>
  <si>
    <t>=NL("sum","Production Order","Quantity","Source No.",$D3744,"Equipment Code",$L3744,"due date",J$8)/$J$7</t>
  </si>
  <si>
    <t>=AVERAGE(I3744:J3744)</t>
  </si>
  <si>
    <t>=IF(K3745=0,"hide","")</t>
  </si>
  <si>
    <t>=D3744</t>
  </si>
  <si>
    <t>=NL("sum","Production Order","Quantity","Source No.",$D3745,"Equipment Code",$L3745,"due date",F$8)/-12</t>
  </si>
  <si>
    <t>=NL("sum","Production Order","Quantity","Source No.",$D3745,"Equipment Code",$L3745,"due date",G$8)/-12</t>
  </si>
  <si>
    <t>=NL("sum","Production Order","Quantity","Source No.",$D3745,"Equipment Code",$L3745,"due date",H$8)/-12</t>
  </si>
  <si>
    <t>=NL("sum","Production Order","Quantity","Source No.",$D3745,"Equipment Code",$L3745,"due date",I$8)/-12</t>
  </si>
  <si>
    <t>=NL("sum","Production Order","Quantity","Source No.",$D3745,"Equipment Code",$L3745,"due date",J$8)/$J$7</t>
  </si>
  <si>
    <t>=AVERAGE(I3745:J3745)</t>
  </si>
  <si>
    <t>=IF(K3746=0,"hide","")</t>
  </si>
  <si>
    <t>=D3745</t>
  </si>
  <si>
    <t>=NL("sum","Production Order","Quantity","Source No.",$D3746,"Equipment Code",$L3746,"due date",F$8)/-12</t>
  </si>
  <si>
    <t>=NL("sum","Production Order","Quantity","Source No.",$D3746,"Equipment Code",$L3746,"due date",G$8)/-12</t>
  </si>
  <si>
    <t>=NL("sum","Production Order","Quantity","Source No.",$D3746,"Equipment Code",$L3746,"due date",H$8)/-12</t>
  </si>
  <si>
    <t>=NL("sum","Production Order","Quantity","Source No.",$D3746,"Equipment Code",$L3746,"due date",I$8)/-12</t>
  </si>
  <si>
    <t>=NL("sum","Production Order","Quantity","Source No.",$D3746,"Equipment Code",$L3746,"due date",J$8)/$J$7</t>
  </si>
  <si>
    <t>=AVERAGE(I3746:J3746)</t>
  </si>
  <si>
    <t>=B3743</t>
  </si>
  <si>
    <t>=B3747</t>
  </si>
  <si>
    <t>=SUM(F3743:F3747)</t>
  </si>
  <si>
    <t>=SUM(G3743:G3747)</t>
  </si>
  <si>
    <t>=SUM(H3743:H3747)</t>
  </si>
  <si>
    <t>=SUM(I3743:I3747)</t>
  </si>
  <si>
    <t>=SUM(J3743:J3747)</t>
  </si>
  <si>
    <t>=IF(K3749=0,"hide","")</t>
  </si>
  <si>
    <t>="51303"</t>
  </si>
  <si>
    <t>=NL("rows","Production BOM Version","Version Code","Production BOM No.",D3749,"status","certified")</t>
  </si>
  <si>
    <t>=NL("sum","Item Ledger Entry","Quantity","Item No.",$D3749,"Entry Type","Sale|Consumption","posting date","01/01/19..12/31/19")/-12</t>
  </si>
  <si>
    <t>=NL("sum","Item Ledger Entry","Quantity","Item No.",$D3749,"Entry Type","Sale|Consumption","posting date","01/01/20..12/31/20")/-12</t>
  </si>
  <si>
    <t>=NL("sum","Item Ledger Entry","Quantity","Item No.",$D3749,"Entry Type","Sale|Consumption","posting date","01/01/21..12/31/21")/-12</t>
  </si>
  <si>
    <t>=NL("sum","Item Ledger Entry","Quantity","Item No.",$D3749,"Entry Type","Sale|Consumption","posting date","01/01/22..12/31/22")/-12</t>
  </si>
  <si>
    <t>=NL("sum","Item Ledger Entry","Quantity","Item No.",$D3749,"Entry Type","Sale|Consumption","posting date","01/01/23..12/31/23")/$J$7</t>
  </si>
  <si>
    <t>=AVERAGE(I3749:J3749)</t>
  </si>
  <si>
    <t>=NL(1,"item",L$9,"no.",D3749)</t>
  </si>
  <si>
    <t>=NL(1,"item",M$9,"no.",$D3749)</t>
  </si>
  <si>
    <t>=NL(1,"item","Units Per Parcel","no.",$D3749)</t>
  </si>
  <si>
    <t>=NL(1,"Prod. BOM Equipment","Fixed Prod. Time (Hours)","Production BOM No.",$D3749,"version code",$E3749,"Resource No.",O$9)</t>
  </si>
  <si>
    <t>=1/O3749</t>
  </si>
  <si>
    <t>=IF(NL(1,"Prod. BOM Equipment","Variable Prod. Time (Hours)","Production BOM No.",$D3749,"version code",$E3749,"Resource No.",$O$9)="",1,NL(1,"Prod. BOM Equipment","Variable Prod. Time (Hours)","Production BOM No.",$D3749,"version code",$E3749,"Resource No.",$O$9))</t>
  </si>
  <si>
    <t>=1/Q3749</t>
  </si>
  <si>
    <t>=R3749*N3749</t>
  </si>
  <si>
    <t>=IF(K3750=0,"hide","")</t>
  </si>
  <si>
    <t>=D3749</t>
  </si>
  <si>
    <t>=NL("sum","Production Order","Quantity","Source No.",$D3750,"Equipment Code",$L3750,"due date",F$8)/-12</t>
  </si>
  <si>
    <t>=NL("sum","Production Order","Quantity","Source No.",$D3750,"Equipment Code",$L3750,"due date",G$8)/-12</t>
  </si>
  <si>
    <t>=NL("sum","Production Order","Quantity","Source No.",$D3750,"Equipment Code",$L3750,"due date",H$8)/-12</t>
  </si>
  <si>
    <t>=NL("sum","Production Order","Quantity","Source No.",$D3750,"Equipment Code",$L3750,"due date",I$8)/-12</t>
  </si>
  <si>
    <t>=NL("sum","Production Order","Quantity","Source No.",$D3750,"Equipment Code",$L3750,"due date",J$8)/$J$7</t>
  </si>
  <si>
    <t>=AVERAGE(I3750:J3750)</t>
  </si>
  <si>
    <t>=IF(K3751=0,"hide","")</t>
  </si>
  <si>
    <t>=D3750</t>
  </si>
  <si>
    <t>=NL("sum","Production Order","Quantity","Source No.",$D3751,"Equipment Code",$L3751,"due date",F$8)/-12</t>
  </si>
  <si>
    <t>=NL("sum","Production Order","Quantity","Source No.",$D3751,"Equipment Code",$L3751,"due date",G$8)/-12</t>
  </si>
  <si>
    <t>=NL("sum","Production Order","Quantity","Source No.",$D3751,"Equipment Code",$L3751,"due date",H$8)/-12</t>
  </si>
  <si>
    <t>=NL("sum","Production Order","Quantity","Source No.",$D3751,"Equipment Code",$L3751,"due date",I$8)/-12</t>
  </si>
  <si>
    <t>=NL("sum","Production Order","Quantity","Source No.",$D3751,"Equipment Code",$L3751,"due date",J$8)/$J$7</t>
  </si>
  <si>
    <t>=AVERAGE(I3751:J3751)</t>
  </si>
  <si>
    <t>=IF(K3752=0,"hide","")</t>
  </si>
  <si>
    <t>=D3751</t>
  </si>
  <si>
    <t>=NL("sum","Production Order","Quantity","Source No.",$D3752,"Equipment Code",$L3752,"due date",F$8)/-12</t>
  </si>
  <si>
    <t>=NL("sum","Production Order","Quantity","Source No.",$D3752,"Equipment Code",$L3752,"due date",G$8)/-12</t>
  </si>
  <si>
    <t>=NL("sum","Production Order","Quantity","Source No.",$D3752,"Equipment Code",$L3752,"due date",H$8)/-12</t>
  </si>
  <si>
    <t>=NL("sum","Production Order","Quantity","Source No.",$D3752,"Equipment Code",$L3752,"due date",I$8)/-12</t>
  </si>
  <si>
    <t>=NL("sum","Production Order","Quantity","Source No.",$D3752,"Equipment Code",$L3752,"due date",J$8)/$J$7</t>
  </si>
  <si>
    <t>=AVERAGE(I3752:J3752)</t>
  </si>
  <si>
    <t>=IF(K3753=0,"hide","")</t>
  </si>
  <si>
    <t>=D3752</t>
  </si>
  <si>
    <t>=NL("sum","Production Order","Quantity","Source No.",$D3753,"Equipment Code",$L3753,"due date",F$8)/-12</t>
  </si>
  <si>
    <t>=NL("sum","Production Order","Quantity","Source No.",$D3753,"Equipment Code",$L3753,"due date",G$8)/-12</t>
  </si>
  <si>
    <t>=NL("sum","Production Order","Quantity","Source No.",$D3753,"Equipment Code",$L3753,"due date",H$8)/-12</t>
  </si>
  <si>
    <t>=NL("sum","Production Order","Quantity","Source No.",$D3753,"Equipment Code",$L3753,"due date",I$8)/-12</t>
  </si>
  <si>
    <t>=NL("sum","Production Order","Quantity","Source No.",$D3753,"Equipment Code",$L3753,"due date",J$8)/$J$7</t>
  </si>
  <si>
    <t>=AVERAGE(I3753:J3753)</t>
  </si>
  <si>
    <t>=B3750</t>
  </si>
  <si>
    <t>=B3754</t>
  </si>
  <si>
    <t>=SUM(F3750:F3754)</t>
  </si>
  <si>
    <t>=SUM(G3750:G3754)</t>
  </si>
  <si>
    <t>=SUM(H3750:H3754)</t>
  </si>
  <si>
    <t>=SUM(I3750:I3754)</t>
  </si>
  <si>
    <t>=SUM(J3750:J3754)</t>
  </si>
  <si>
    <t>=IF(K3756=0,"hide","")</t>
  </si>
  <si>
    <t>="51304"</t>
  </si>
  <si>
    <t>=NL("rows","Production BOM Version","Version Code","Production BOM No.",D3756,"status","certified")</t>
  </si>
  <si>
    <t>=NL("sum","Item Ledger Entry","Quantity","Item No.",$D3756,"Entry Type","Sale|Consumption","posting date","01/01/19..12/31/19")/-12</t>
  </si>
  <si>
    <t>=NL("sum","Item Ledger Entry","Quantity","Item No.",$D3756,"Entry Type","Sale|Consumption","posting date","01/01/20..12/31/20")/-12</t>
  </si>
  <si>
    <t>=NL("sum","Item Ledger Entry","Quantity","Item No.",$D3756,"Entry Type","Sale|Consumption","posting date","01/01/21..12/31/21")/-12</t>
  </si>
  <si>
    <t>=NL("sum","Item Ledger Entry","Quantity","Item No.",$D3756,"Entry Type","Sale|Consumption","posting date","01/01/22..12/31/22")/-12</t>
  </si>
  <si>
    <t>=NL("sum","Item Ledger Entry","Quantity","Item No.",$D3756,"Entry Type","Sale|Consumption","posting date","01/01/23..12/31/23")/$J$7</t>
  </si>
  <si>
    <t>=AVERAGE(I3756:J3756)</t>
  </si>
  <si>
    <t>=NL(1,"item",L$9,"no.",D3756)</t>
  </si>
  <si>
    <t>=NL(1,"item",M$9,"no.",$D3756)</t>
  </si>
  <si>
    <t>=NL(1,"item","Units Per Parcel","no.",$D3756)</t>
  </si>
  <si>
    <t>=NL(1,"Prod. BOM Equipment","Fixed Prod. Time (Hours)","Production BOM No.",$D3756,"version code",$E3756,"Resource No.",O$9)</t>
  </si>
  <si>
    <t>=1/O3756</t>
  </si>
  <si>
    <t>=IF(NL(1,"Prod. BOM Equipment","Variable Prod. Time (Hours)","Production BOM No.",$D3756,"version code",$E3756,"Resource No.",$O$9)="",1,NL(1,"Prod. BOM Equipment","Variable Prod. Time (Hours)","Production BOM No.",$D3756,"version code",$E3756,"Resource No.",$O$9))</t>
  </si>
  <si>
    <t>=1/Q3756</t>
  </si>
  <si>
    <t>=R3756*N3756</t>
  </si>
  <si>
    <t>=IF(K3757=0,"hide","")</t>
  </si>
  <si>
    <t>=D3756</t>
  </si>
  <si>
    <t>=NL("sum","Production Order","Quantity","Source No.",$D3757,"Equipment Code",$L3757,"due date",F$8)/-12</t>
  </si>
  <si>
    <t>=NL("sum","Production Order","Quantity","Source No.",$D3757,"Equipment Code",$L3757,"due date",G$8)/-12</t>
  </si>
  <si>
    <t>=NL("sum","Production Order","Quantity","Source No.",$D3757,"Equipment Code",$L3757,"due date",H$8)/-12</t>
  </si>
  <si>
    <t>=NL("sum","Production Order","Quantity","Source No.",$D3757,"Equipment Code",$L3757,"due date",I$8)/-12</t>
  </si>
  <si>
    <t>=NL("sum","Production Order","Quantity","Source No.",$D3757,"Equipment Code",$L3757,"due date",J$8)/$J$7</t>
  </si>
  <si>
    <t>=AVERAGE(I3757:J3757)</t>
  </si>
  <si>
    <t>=IF(K3758=0,"hide","")</t>
  </si>
  <si>
    <t>=D3757</t>
  </si>
  <si>
    <t>=NL("sum","Production Order","Quantity","Source No.",$D3758,"Equipment Code",$L3758,"due date",F$8)/-12</t>
  </si>
  <si>
    <t>=NL("sum","Production Order","Quantity","Source No.",$D3758,"Equipment Code",$L3758,"due date",G$8)/-12</t>
  </si>
  <si>
    <t>=NL("sum","Production Order","Quantity","Source No.",$D3758,"Equipment Code",$L3758,"due date",H$8)/-12</t>
  </si>
  <si>
    <t>=NL("sum","Production Order","Quantity","Source No.",$D3758,"Equipment Code",$L3758,"due date",I$8)/-12</t>
  </si>
  <si>
    <t>=NL("sum","Production Order","Quantity","Source No.",$D3758,"Equipment Code",$L3758,"due date",J$8)/$J$7</t>
  </si>
  <si>
    <t>=AVERAGE(I3758:J3758)</t>
  </si>
  <si>
    <t>=IF(K3759=0,"hide","")</t>
  </si>
  <si>
    <t>=D3758</t>
  </si>
  <si>
    <t>=NL("sum","Production Order","Quantity","Source No.",$D3759,"Equipment Code",$L3759,"due date",F$8)/-12</t>
  </si>
  <si>
    <t>=NL("sum","Production Order","Quantity","Source No.",$D3759,"Equipment Code",$L3759,"due date",G$8)/-12</t>
  </si>
  <si>
    <t>=NL("sum","Production Order","Quantity","Source No.",$D3759,"Equipment Code",$L3759,"due date",H$8)/-12</t>
  </si>
  <si>
    <t>=NL("sum","Production Order","Quantity","Source No.",$D3759,"Equipment Code",$L3759,"due date",I$8)/-12</t>
  </si>
  <si>
    <t>=NL("sum","Production Order","Quantity","Source No.",$D3759,"Equipment Code",$L3759,"due date",J$8)/$J$7</t>
  </si>
  <si>
    <t>=AVERAGE(I3759:J3759)</t>
  </si>
  <si>
    <t>=IF(K3760=0,"hide","")</t>
  </si>
  <si>
    <t>=D3759</t>
  </si>
  <si>
    <t>=NL("sum","Production Order","Quantity","Source No.",$D3760,"Equipment Code",$L3760,"due date",F$8)/-12</t>
  </si>
  <si>
    <t>=NL("sum","Production Order","Quantity","Source No.",$D3760,"Equipment Code",$L3760,"due date",G$8)/-12</t>
  </si>
  <si>
    <t>=NL("sum","Production Order","Quantity","Source No.",$D3760,"Equipment Code",$L3760,"due date",H$8)/-12</t>
  </si>
  <si>
    <t>=NL("sum","Production Order","Quantity","Source No.",$D3760,"Equipment Code",$L3760,"due date",I$8)/-12</t>
  </si>
  <si>
    <t>=NL("sum","Production Order","Quantity","Source No.",$D3760,"Equipment Code",$L3760,"due date",J$8)/$J$7</t>
  </si>
  <si>
    <t>=AVERAGE(I3760:J3760)</t>
  </si>
  <si>
    <t>=B3757</t>
  </si>
  <si>
    <t>=B3761</t>
  </si>
  <si>
    <t>=SUM(F3757:F3761)</t>
  </si>
  <si>
    <t>=SUM(G3757:G3761)</t>
  </si>
  <si>
    <t>=SUM(H3757:H3761)</t>
  </si>
  <si>
    <t>=SUM(I3757:I3761)</t>
  </si>
  <si>
    <t>=SUM(J3757:J3761)</t>
  </si>
  <si>
    <t>=IF(K3763=0,"hide","")</t>
  </si>
  <si>
    <t>="51322"</t>
  </si>
  <si>
    <t>=NL("rows","Production BOM Version","Version Code","Production BOM No.",D3763,"status","certified")</t>
  </si>
  <si>
    <t>=NL("sum","Item Ledger Entry","Quantity","Item No.",$D3763,"Entry Type","Sale|Consumption","posting date","01/01/19..12/31/19")/-12</t>
  </si>
  <si>
    <t>=NL("sum","Item Ledger Entry","Quantity","Item No.",$D3763,"Entry Type","Sale|Consumption","posting date","01/01/20..12/31/20")/-12</t>
  </si>
  <si>
    <t>=NL("sum","Item Ledger Entry","Quantity","Item No.",$D3763,"Entry Type","Sale|Consumption","posting date","01/01/21..12/31/21")/-12</t>
  </si>
  <si>
    <t>=NL("sum","Item Ledger Entry","Quantity","Item No.",$D3763,"Entry Type","Sale|Consumption","posting date","01/01/22..12/31/22")/-12</t>
  </si>
  <si>
    <t>=NL("sum","Item Ledger Entry","Quantity","Item No.",$D3763,"Entry Type","Sale|Consumption","posting date","01/01/23..12/31/23")/$J$7</t>
  </si>
  <si>
    <t>=AVERAGE(I3763:J3763)</t>
  </si>
  <si>
    <t>=NL(1,"item",L$9,"no.",D3763)</t>
  </si>
  <si>
    <t>=NL(1,"item",M$9,"no.",$D3763)</t>
  </si>
  <si>
    <t>=NL(1,"item","Units Per Parcel","no.",$D3763)</t>
  </si>
  <si>
    <t>=NL(1,"Prod. BOM Equipment","Fixed Prod. Time (Hours)","Production BOM No.",$D3763,"version code",$E3763,"Resource No.",O$9)</t>
  </si>
  <si>
    <t>=1/O3763</t>
  </si>
  <si>
    <t>=IF(NL(1,"Prod. BOM Equipment","Variable Prod. Time (Hours)","Production BOM No.",$D3763,"version code",$E3763,"Resource No.",$O$9)="",1,NL(1,"Prod. BOM Equipment","Variable Prod. Time (Hours)","Production BOM No.",$D3763,"version code",$E3763,"Resource No.",$O$9))</t>
  </si>
  <si>
    <t>=1/Q3763</t>
  </si>
  <si>
    <t>=R3763*N3763</t>
  </si>
  <si>
    <t>=IF(K3764=0,"hide","")</t>
  </si>
  <si>
    <t>=D3763</t>
  </si>
  <si>
    <t>=NL("sum","Production Order","Quantity","Source No.",$D3764,"Equipment Code",$L3764,"due date",F$8)/-12</t>
  </si>
  <si>
    <t>=NL("sum","Production Order","Quantity","Source No.",$D3764,"Equipment Code",$L3764,"due date",G$8)/-12</t>
  </si>
  <si>
    <t>=NL("sum","Production Order","Quantity","Source No.",$D3764,"Equipment Code",$L3764,"due date",H$8)/-12</t>
  </si>
  <si>
    <t>=NL("sum","Production Order","Quantity","Source No.",$D3764,"Equipment Code",$L3764,"due date",I$8)/-12</t>
  </si>
  <si>
    <t>=NL("sum","Production Order","Quantity","Source No.",$D3764,"Equipment Code",$L3764,"due date",J$8)/$J$7</t>
  </si>
  <si>
    <t>=AVERAGE(I3764:J3764)</t>
  </si>
  <si>
    <t>=IF(K3765=0,"hide","")</t>
  </si>
  <si>
    <t>=D3764</t>
  </si>
  <si>
    <t>=NL("sum","Production Order","Quantity","Source No.",$D3765,"Equipment Code",$L3765,"due date",F$8)/-12</t>
  </si>
  <si>
    <t>=NL("sum","Production Order","Quantity","Source No.",$D3765,"Equipment Code",$L3765,"due date",G$8)/-12</t>
  </si>
  <si>
    <t>=NL("sum","Production Order","Quantity","Source No.",$D3765,"Equipment Code",$L3765,"due date",H$8)/-12</t>
  </si>
  <si>
    <t>=NL("sum","Production Order","Quantity","Source No.",$D3765,"Equipment Code",$L3765,"due date",I$8)/-12</t>
  </si>
  <si>
    <t>=NL("sum","Production Order","Quantity","Source No.",$D3765,"Equipment Code",$L3765,"due date",J$8)/$J$7</t>
  </si>
  <si>
    <t>=AVERAGE(I3765:J3765)</t>
  </si>
  <si>
    <t>=IF(K3766=0,"hide","")</t>
  </si>
  <si>
    <t>=D3765</t>
  </si>
  <si>
    <t>=NL("sum","Production Order","Quantity","Source No.",$D3766,"Equipment Code",$L3766,"due date",F$8)/-12</t>
  </si>
  <si>
    <t>=NL("sum","Production Order","Quantity","Source No.",$D3766,"Equipment Code",$L3766,"due date",G$8)/-12</t>
  </si>
  <si>
    <t>=NL("sum","Production Order","Quantity","Source No.",$D3766,"Equipment Code",$L3766,"due date",H$8)/-12</t>
  </si>
  <si>
    <t>=NL("sum","Production Order","Quantity","Source No.",$D3766,"Equipment Code",$L3766,"due date",I$8)/-12</t>
  </si>
  <si>
    <t>=NL("sum","Production Order","Quantity","Source No.",$D3766,"Equipment Code",$L3766,"due date",J$8)/$J$7</t>
  </si>
  <si>
    <t>=AVERAGE(I3766:J3766)</t>
  </si>
  <si>
    <t>=IF(K3767=0,"hide","")</t>
  </si>
  <si>
    <t>=D3766</t>
  </si>
  <si>
    <t>=NL("sum","Production Order","Quantity","Source No.",$D3767,"Equipment Code",$L3767,"due date",F$8)/-12</t>
  </si>
  <si>
    <t>=NL("sum","Production Order","Quantity","Source No.",$D3767,"Equipment Code",$L3767,"due date",G$8)/-12</t>
  </si>
  <si>
    <t>=NL("sum","Production Order","Quantity","Source No.",$D3767,"Equipment Code",$L3767,"due date",H$8)/-12</t>
  </si>
  <si>
    <t>=NL("sum","Production Order","Quantity","Source No.",$D3767,"Equipment Code",$L3767,"due date",I$8)/-12</t>
  </si>
  <si>
    <t>=NL("sum","Production Order","Quantity","Source No.",$D3767,"Equipment Code",$L3767,"due date",J$8)/$J$7</t>
  </si>
  <si>
    <t>=AVERAGE(I3767:J3767)</t>
  </si>
  <si>
    <t>=B3764</t>
  </si>
  <si>
    <t>=B3768</t>
  </si>
  <si>
    <t>=SUM(F3764:F3768)</t>
  </si>
  <si>
    <t>=SUM(G3764:G3768)</t>
  </si>
  <si>
    <t>=SUM(H3764:H3768)</t>
  </si>
  <si>
    <t>=SUM(I3764:I3768)</t>
  </si>
  <si>
    <t>=SUM(J3764:J3768)</t>
  </si>
  <si>
    <t>=IF(K3770=0,"hide","")</t>
  </si>
  <si>
    <t>="51336"</t>
  </si>
  <si>
    <t>=NL("rows","Production BOM Version","Version Code","Production BOM No.",D3770,"status","certified")</t>
  </si>
  <si>
    <t>=NL("sum","Item Ledger Entry","Quantity","Item No.",$D3770,"Entry Type","Sale|Consumption","posting date","01/01/19..12/31/19")/-12</t>
  </si>
  <si>
    <t>=NL("sum","Item Ledger Entry","Quantity","Item No.",$D3770,"Entry Type","Sale|Consumption","posting date","01/01/20..12/31/20")/-12</t>
  </si>
  <si>
    <t>=NL("sum","Item Ledger Entry","Quantity","Item No.",$D3770,"Entry Type","Sale|Consumption","posting date","01/01/21..12/31/21")/-12</t>
  </si>
  <si>
    <t>=NL("sum","Item Ledger Entry","Quantity","Item No.",$D3770,"Entry Type","Sale|Consumption","posting date","01/01/22..12/31/22")/-12</t>
  </si>
  <si>
    <t>=NL("sum","Item Ledger Entry","Quantity","Item No.",$D3770,"Entry Type","Sale|Consumption","posting date","01/01/23..12/31/23")/$J$7</t>
  </si>
  <si>
    <t>=AVERAGE(I3770:J3770)</t>
  </si>
  <si>
    <t>=NL(1,"item",L$9,"no.",D3770)</t>
  </si>
  <si>
    <t>=NL(1,"item",M$9,"no.",$D3770)</t>
  </si>
  <si>
    <t>=NL(1,"item","Units Per Parcel","no.",$D3770)</t>
  </si>
  <si>
    <t>=NL(1,"Prod. BOM Equipment","Fixed Prod. Time (Hours)","Production BOM No.",$D3770,"version code",$E3770,"Resource No.",O$9)</t>
  </si>
  <si>
    <t>=1/O3770</t>
  </si>
  <si>
    <t>=IF(NL(1,"Prod. BOM Equipment","Variable Prod. Time (Hours)","Production BOM No.",$D3770,"version code",$E3770,"Resource No.",$O$9)="",1,NL(1,"Prod. BOM Equipment","Variable Prod. Time (Hours)","Production BOM No.",$D3770,"version code",$E3770,"Resource No.",$O$9))</t>
  </si>
  <si>
    <t>=1/Q3770</t>
  </si>
  <si>
    <t>=R3770*N3770</t>
  </si>
  <si>
    <t>=IF(K3771=0,"hide","")</t>
  </si>
  <si>
    <t>=D3770</t>
  </si>
  <si>
    <t>=NL("sum","Production Order","Quantity","Source No.",$D3771,"Equipment Code",$L3771,"due date",F$8)/-12</t>
  </si>
  <si>
    <t>=NL("sum","Production Order","Quantity","Source No.",$D3771,"Equipment Code",$L3771,"due date",G$8)/-12</t>
  </si>
  <si>
    <t>=NL("sum","Production Order","Quantity","Source No.",$D3771,"Equipment Code",$L3771,"due date",H$8)/-12</t>
  </si>
  <si>
    <t>=NL("sum","Production Order","Quantity","Source No.",$D3771,"Equipment Code",$L3771,"due date",I$8)/-12</t>
  </si>
  <si>
    <t>=NL("sum","Production Order","Quantity","Source No.",$D3771,"Equipment Code",$L3771,"due date",J$8)/$J$7</t>
  </si>
  <si>
    <t>=AVERAGE(I3771:J3771)</t>
  </si>
  <si>
    <t>=IF(K3772=0,"hide","")</t>
  </si>
  <si>
    <t>=D3771</t>
  </si>
  <si>
    <t>=NL("sum","Production Order","Quantity","Source No.",$D3772,"Equipment Code",$L3772,"due date",F$8)/-12</t>
  </si>
  <si>
    <t>=NL("sum","Production Order","Quantity","Source No.",$D3772,"Equipment Code",$L3772,"due date",G$8)/-12</t>
  </si>
  <si>
    <t>=NL("sum","Production Order","Quantity","Source No.",$D3772,"Equipment Code",$L3772,"due date",H$8)/-12</t>
  </si>
  <si>
    <t>=NL("sum","Production Order","Quantity","Source No.",$D3772,"Equipment Code",$L3772,"due date",I$8)/-12</t>
  </si>
  <si>
    <t>=NL("sum","Production Order","Quantity","Source No.",$D3772,"Equipment Code",$L3772,"due date",J$8)/$J$7</t>
  </si>
  <si>
    <t>=AVERAGE(I3772:J3772)</t>
  </si>
  <si>
    <t>=IF(K3773=0,"hide","")</t>
  </si>
  <si>
    <t>=D3772</t>
  </si>
  <si>
    <t>=NL("sum","Production Order","Quantity","Source No.",$D3773,"Equipment Code",$L3773,"due date",F$8)/-12</t>
  </si>
  <si>
    <t>=NL("sum","Production Order","Quantity","Source No.",$D3773,"Equipment Code",$L3773,"due date",G$8)/-12</t>
  </si>
  <si>
    <t>=NL("sum","Production Order","Quantity","Source No.",$D3773,"Equipment Code",$L3773,"due date",H$8)/-12</t>
  </si>
  <si>
    <t>=NL("sum","Production Order","Quantity","Source No.",$D3773,"Equipment Code",$L3773,"due date",I$8)/-12</t>
  </si>
  <si>
    <t>=NL("sum","Production Order","Quantity","Source No.",$D3773,"Equipment Code",$L3773,"due date",J$8)/$J$7</t>
  </si>
  <si>
    <t>=AVERAGE(I3773:J3773)</t>
  </si>
  <si>
    <t>=IF(K3774=0,"hide","")</t>
  </si>
  <si>
    <t>=D3773</t>
  </si>
  <si>
    <t>=NL("sum","Production Order","Quantity","Source No.",$D3774,"Equipment Code",$L3774,"due date",F$8)/-12</t>
  </si>
  <si>
    <t>=NL("sum","Production Order","Quantity","Source No.",$D3774,"Equipment Code",$L3774,"due date",G$8)/-12</t>
  </si>
  <si>
    <t>=NL("sum","Production Order","Quantity","Source No.",$D3774,"Equipment Code",$L3774,"due date",H$8)/-12</t>
  </si>
  <si>
    <t>=NL("sum","Production Order","Quantity","Source No.",$D3774,"Equipment Code",$L3774,"due date",I$8)/-12</t>
  </si>
  <si>
    <t>=NL("sum","Production Order","Quantity","Source No.",$D3774,"Equipment Code",$L3774,"due date",J$8)/$J$7</t>
  </si>
  <si>
    <t>=AVERAGE(I3774:J3774)</t>
  </si>
  <si>
    <t>=B3771</t>
  </si>
  <si>
    <t>=B3775</t>
  </si>
  <si>
    <t>=SUM(F3771:F3775)</t>
  </si>
  <si>
    <t>=SUM(G3771:G3775)</t>
  </si>
  <si>
    <t>=SUM(H3771:H3775)</t>
  </si>
  <si>
    <t>=SUM(I3771:I3775)</t>
  </si>
  <si>
    <t>=SUM(J3771:J3775)</t>
  </si>
  <si>
    <t>=IF(K3777=0,"hide","")</t>
  </si>
  <si>
    <t>=NL("rows","Production BOM Version","Version Code","Production BOM No.",D3777,"status","certified")</t>
  </si>
  <si>
    <t>=NL("sum","Item Ledger Entry","Quantity","Item No.",$D3777,"Entry Type","Sale|Consumption","posting date","01/01/19..12/31/19")/-12</t>
  </si>
  <si>
    <t>=NL("sum","Item Ledger Entry","Quantity","Item No.",$D3777,"Entry Type","Sale|Consumption","posting date","01/01/20..12/31/20")/-12</t>
  </si>
  <si>
    <t>=NL("sum","Item Ledger Entry","Quantity","Item No.",$D3777,"Entry Type","Sale|Consumption","posting date","01/01/21..12/31/21")/-12</t>
  </si>
  <si>
    <t>=NL("sum","Item Ledger Entry","Quantity","Item No.",$D3777,"Entry Type","Sale|Consumption","posting date","01/01/22..12/31/22")/-12</t>
  </si>
  <si>
    <t>=NL("sum","Item Ledger Entry","Quantity","Item No.",$D3777,"Entry Type","Sale|Consumption","posting date","01/01/23..12/31/23")/$J$7</t>
  </si>
  <si>
    <t>=AVERAGE(I3777:J3777)</t>
  </si>
  <si>
    <t>=NL(1,"item",L$9,"no.",D3777)</t>
  </si>
  <si>
    <t>=NL(1,"item",M$9,"no.",$D3777)</t>
  </si>
  <si>
    <t>=NL(1,"item","Units Per Parcel","no.",$D3777)</t>
  </si>
  <si>
    <t>=NL(1,"Prod. BOM Equipment","Fixed Prod. Time (Hours)","Production BOM No.",$D3777,"version code",$E3777,"Resource No.",O$9)</t>
  </si>
  <si>
    <t>=1/O3777</t>
  </si>
  <si>
    <t>=IF(NL(1,"Prod. BOM Equipment","Variable Prod. Time (Hours)","Production BOM No.",$D3777,"version code",$E3777,"Resource No.",$O$9)="",1,NL(1,"Prod. BOM Equipment","Variable Prod. Time (Hours)","Production BOM No.",$D3777,"version code",$E3777,"Resource No.",$O$9))</t>
  </si>
  <si>
    <t>=1/Q3777</t>
  </si>
  <si>
    <t>=R3777*N3777</t>
  </si>
  <si>
    <t>=IF(K3778=0,"hide","")</t>
  </si>
  <si>
    <t>=D3777</t>
  </si>
  <si>
    <t>=NL("sum","Production Order","Quantity","Source No.",$D3778,"Equipment Code",$L3778,"due date",F$8)/-12</t>
  </si>
  <si>
    <t>=NL("sum","Production Order","Quantity","Source No.",$D3778,"Equipment Code",$L3778,"due date",G$8)/-12</t>
  </si>
  <si>
    <t>=NL("sum","Production Order","Quantity","Source No.",$D3778,"Equipment Code",$L3778,"due date",H$8)/-12</t>
  </si>
  <si>
    <t>=NL("sum","Production Order","Quantity","Source No.",$D3778,"Equipment Code",$L3778,"due date",I$8)/-12</t>
  </si>
  <si>
    <t>=NL("sum","Production Order","Quantity","Source No.",$D3778,"Equipment Code",$L3778,"due date",J$8)/$J$7</t>
  </si>
  <si>
    <t>=AVERAGE(I3778:J3778)</t>
  </si>
  <si>
    <t>=IF(K3779=0,"hide","")</t>
  </si>
  <si>
    <t>=D3778</t>
  </si>
  <si>
    <t>=NL("sum","Production Order","Quantity","Source No.",$D3779,"Equipment Code",$L3779,"due date",F$8)/-12</t>
  </si>
  <si>
    <t>=NL("sum","Production Order","Quantity","Source No.",$D3779,"Equipment Code",$L3779,"due date",G$8)/-12</t>
  </si>
  <si>
    <t>=NL("sum","Production Order","Quantity","Source No.",$D3779,"Equipment Code",$L3779,"due date",H$8)/-12</t>
  </si>
  <si>
    <t>=NL("sum","Production Order","Quantity","Source No.",$D3779,"Equipment Code",$L3779,"due date",I$8)/-12</t>
  </si>
  <si>
    <t>=NL("sum","Production Order","Quantity","Source No.",$D3779,"Equipment Code",$L3779,"due date",J$8)/$J$7</t>
  </si>
  <si>
    <t>=AVERAGE(I3779:J3779)</t>
  </si>
  <si>
    <t>=IF(K3780=0,"hide","")</t>
  </si>
  <si>
    <t>=D3779</t>
  </si>
  <si>
    <t>=NL("sum","Production Order","Quantity","Source No.",$D3780,"Equipment Code",$L3780,"due date",F$8)/-12</t>
  </si>
  <si>
    <t>=NL("sum","Production Order","Quantity","Source No.",$D3780,"Equipment Code",$L3780,"due date",G$8)/-12</t>
  </si>
  <si>
    <t>=NL("sum","Production Order","Quantity","Source No.",$D3780,"Equipment Code",$L3780,"due date",H$8)/-12</t>
  </si>
  <si>
    <t>=NL("sum","Production Order","Quantity","Source No.",$D3780,"Equipment Code",$L3780,"due date",I$8)/-12</t>
  </si>
  <si>
    <t>=NL("sum","Production Order","Quantity","Source No.",$D3780,"Equipment Code",$L3780,"due date",J$8)/$J$7</t>
  </si>
  <si>
    <t>=AVERAGE(I3780:J3780)</t>
  </si>
  <si>
    <t>=IF(K3781=0,"hide","")</t>
  </si>
  <si>
    <t>=D3780</t>
  </si>
  <si>
    <t>=NL("sum","Production Order","Quantity","Source No.",$D3781,"Equipment Code",$L3781,"due date",F$8)/-12</t>
  </si>
  <si>
    <t>=NL("sum","Production Order","Quantity","Source No.",$D3781,"Equipment Code",$L3781,"due date",G$8)/-12</t>
  </si>
  <si>
    <t>=NL("sum","Production Order","Quantity","Source No.",$D3781,"Equipment Code",$L3781,"due date",H$8)/-12</t>
  </si>
  <si>
    <t>=NL("sum","Production Order","Quantity","Source No.",$D3781,"Equipment Code",$L3781,"due date",I$8)/-12</t>
  </si>
  <si>
    <t>=NL("sum","Production Order","Quantity","Source No.",$D3781,"Equipment Code",$L3781,"due date",J$8)/$J$7</t>
  </si>
  <si>
    <t>=AVERAGE(I3781:J3781)</t>
  </si>
  <si>
    <t>=B3778</t>
  </si>
  <si>
    <t>=B3782</t>
  </si>
  <si>
    <t>=SUM(F3778:F3782)</t>
  </si>
  <si>
    <t>=SUM(G3778:G3782)</t>
  </si>
  <si>
    <t>=SUM(H3778:H3782)</t>
  </si>
  <si>
    <t>=SUM(I3778:I3782)</t>
  </si>
  <si>
    <t>=SUM(J3778:J3782)</t>
  </si>
  <si>
    <t>=IF(K3784=0,"hide","")</t>
  </si>
  <si>
    <t>=NL("rows","Production BOM Version","Version Code","Production BOM No.",D3784,"status","certified")</t>
  </si>
  <si>
    <t>=NL("sum","Item Ledger Entry","Quantity","Item No.",$D3784,"Entry Type","Sale|Consumption","posting date","01/01/19..12/31/19")/-12</t>
  </si>
  <si>
    <t>=NL("sum","Item Ledger Entry","Quantity","Item No.",$D3784,"Entry Type","Sale|Consumption","posting date","01/01/20..12/31/20")/-12</t>
  </si>
  <si>
    <t>=NL("sum","Item Ledger Entry","Quantity","Item No.",$D3784,"Entry Type","Sale|Consumption","posting date","01/01/21..12/31/21")/-12</t>
  </si>
  <si>
    <t>=NL("sum","Item Ledger Entry","Quantity","Item No.",$D3784,"Entry Type","Sale|Consumption","posting date","01/01/22..12/31/22")/-12</t>
  </si>
  <si>
    <t>=NL("sum","Item Ledger Entry","Quantity","Item No.",$D3784,"Entry Type","Sale|Consumption","posting date","01/01/23..12/31/23")/$J$7</t>
  </si>
  <si>
    <t>=AVERAGE(I3784:J3784)</t>
  </si>
  <si>
    <t>=NL(1,"item",L$9,"no.",D3784)</t>
  </si>
  <si>
    <t>=NL(1,"item",M$9,"no.",$D3784)</t>
  </si>
  <si>
    <t>=NL(1,"item","Units Per Parcel","no.",$D3784)</t>
  </si>
  <si>
    <t>=NL(1,"Prod. BOM Equipment","Fixed Prod. Time (Hours)","Production BOM No.",$D3784,"version code",$E3784,"Resource No.",O$9)</t>
  </si>
  <si>
    <t>=1/O3784</t>
  </si>
  <si>
    <t>=IF(NL(1,"Prod. BOM Equipment","Variable Prod. Time (Hours)","Production BOM No.",$D3784,"version code",$E3784,"Resource No.",$O$9)="",1,NL(1,"Prod. BOM Equipment","Variable Prod. Time (Hours)","Production BOM No.",$D3784,"version code",$E3784,"Resource No.",$O$9))</t>
  </si>
  <si>
    <t>=1/Q3784</t>
  </si>
  <si>
    <t>=R3784*N3784</t>
  </si>
  <si>
    <t>=IF(K3785=0,"hide","")</t>
  </si>
  <si>
    <t>=D3784</t>
  </si>
  <si>
    <t>=NL("sum","Production Order","Quantity","Source No.",$D3785,"Equipment Code",$L3785,"due date",F$8)/-12</t>
  </si>
  <si>
    <t>=NL("sum","Production Order","Quantity","Source No.",$D3785,"Equipment Code",$L3785,"due date",G$8)/-12</t>
  </si>
  <si>
    <t>=NL("sum","Production Order","Quantity","Source No.",$D3785,"Equipment Code",$L3785,"due date",H$8)/-12</t>
  </si>
  <si>
    <t>=NL("sum","Production Order","Quantity","Source No.",$D3785,"Equipment Code",$L3785,"due date",I$8)/-12</t>
  </si>
  <si>
    <t>=NL("sum","Production Order","Quantity","Source No.",$D3785,"Equipment Code",$L3785,"due date",J$8)/$J$7</t>
  </si>
  <si>
    <t>=AVERAGE(I3785:J3785)</t>
  </si>
  <si>
    <t>=IF(K3786=0,"hide","")</t>
  </si>
  <si>
    <t>=D3785</t>
  </si>
  <si>
    <t>=NL("sum","Production Order","Quantity","Source No.",$D3786,"Equipment Code",$L3786,"due date",F$8)/-12</t>
  </si>
  <si>
    <t>=NL("sum","Production Order","Quantity","Source No.",$D3786,"Equipment Code",$L3786,"due date",G$8)/-12</t>
  </si>
  <si>
    <t>=NL("sum","Production Order","Quantity","Source No.",$D3786,"Equipment Code",$L3786,"due date",H$8)/-12</t>
  </si>
  <si>
    <t>=NL("sum","Production Order","Quantity","Source No.",$D3786,"Equipment Code",$L3786,"due date",I$8)/-12</t>
  </si>
  <si>
    <t>=NL("sum","Production Order","Quantity","Source No.",$D3786,"Equipment Code",$L3786,"due date",J$8)/$J$7</t>
  </si>
  <si>
    <t>=AVERAGE(I3786:J3786)</t>
  </si>
  <si>
    <t>=IF(K3787=0,"hide","")</t>
  </si>
  <si>
    <t>=D3786</t>
  </si>
  <si>
    <t>=NL("sum","Production Order","Quantity","Source No.",$D3787,"Equipment Code",$L3787,"due date",F$8)/-12</t>
  </si>
  <si>
    <t>=NL("sum","Production Order","Quantity","Source No.",$D3787,"Equipment Code",$L3787,"due date",G$8)/-12</t>
  </si>
  <si>
    <t>=NL("sum","Production Order","Quantity","Source No.",$D3787,"Equipment Code",$L3787,"due date",H$8)/-12</t>
  </si>
  <si>
    <t>=NL("sum","Production Order","Quantity","Source No.",$D3787,"Equipment Code",$L3787,"due date",I$8)/-12</t>
  </si>
  <si>
    <t>=NL("sum","Production Order","Quantity","Source No.",$D3787,"Equipment Code",$L3787,"due date",J$8)/$J$7</t>
  </si>
  <si>
    <t>=AVERAGE(I3787:J3787)</t>
  </si>
  <si>
    <t>=IF(K3788=0,"hide","")</t>
  </si>
  <si>
    <t>=D3787</t>
  </si>
  <si>
    <t>=NL("sum","Production Order","Quantity","Source No.",$D3788,"Equipment Code",$L3788,"due date",F$8)/-12</t>
  </si>
  <si>
    <t>=NL("sum","Production Order","Quantity","Source No.",$D3788,"Equipment Code",$L3788,"due date",G$8)/-12</t>
  </si>
  <si>
    <t>=NL("sum","Production Order","Quantity","Source No.",$D3788,"Equipment Code",$L3788,"due date",H$8)/-12</t>
  </si>
  <si>
    <t>=NL("sum","Production Order","Quantity","Source No.",$D3788,"Equipment Code",$L3788,"due date",I$8)/-12</t>
  </si>
  <si>
    <t>=NL("sum","Production Order","Quantity","Source No.",$D3788,"Equipment Code",$L3788,"due date",J$8)/$J$7</t>
  </si>
  <si>
    <t>=AVERAGE(I3788:J3788)</t>
  </si>
  <si>
    <t>=B3785</t>
  </si>
  <si>
    <t>=B3789</t>
  </si>
  <si>
    <t>=SUM(F3785:F3789)</t>
  </si>
  <si>
    <t>=SUM(G3785:G3789)</t>
  </si>
  <si>
    <t>=SUM(H3785:H3789)</t>
  </si>
  <si>
    <t>=SUM(I3785:I3789)</t>
  </si>
  <si>
    <t>=SUM(J3785:J3789)</t>
  </si>
  <si>
    <t>=IF(K3791=0,"hide","")</t>
  </si>
  <si>
    <t>="51403"</t>
  </si>
  <si>
    <t>=NL("rows","Production BOM Version","Version Code","Production BOM No.",D3791,"status","certified")</t>
  </si>
  <si>
    <t>=NL("sum","Item Ledger Entry","Quantity","Item No.",$D3791,"Entry Type","Sale|Consumption","posting date","01/01/19..12/31/19")/-12</t>
  </si>
  <si>
    <t>=NL("sum","Item Ledger Entry","Quantity","Item No.",$D3791,"Entry Type","Sale|Consumption","posting date","01/01/20..12/31/20")/-12</t>
  </si>
  <si>
    <t>=NL("sum","Item Ledger Entry","Quantity","Item No.",$D3791,"Entry Type","Sale|Consumption","posting date","01/01/21..12/31/21")/-12</t>
  </si>
  <si>
    <t>=NL("sum","Item Ledger Entry","Quantity","Item No.",$D3791,"Entry Type","Sale|Consumption","posting date","01/01/22..12/31/22")/-12</t>
  </si>
  <si>
    <t>=NL("sum","Item Ledger Entry","Quantity","Item No.",$D3791,"Entry Type","Sale|Consumption","posting date","01/01/23..12/31/23")/$J$7</t>
  </si>
  <si>
    <t>=AVERAGE(I3791:J3791)</t>
  </si>
  <si>
    <t>=NL(1,"item",L$9,"no.",D3791)</t>
  </si>
  <si>
    <t>=NL(1,"item",M$9,"no.",$D3791)</t>
  </si>
  <si>
    <t>=NL(1,"item","Units Per Parcel","no.",$D3791)</t>
  </si>
  <si>
    <t>=NL(1,"Prod. BOM Equipment","Fixed Prod. Time (Hours)","Production BOM No.",$D3791,"version code",$E3791,"Resource No.",O$9)</t>
  </si>
  <si>
    <t>=1/O3791</t>
  </si>
  <si>
    <t>=IF(NL(1,"Prod. BOM Equipment","Variable Prod. Time (Hours)","Production BOM No.",$D3791,"version code",$E3791,"Resource No.",$O$9)="",1,NL(1,"Prod. BOM Equipment","Variable Prod. Time (Hours)","Production BOM No.",$D3791,"version code",$E3791,"Resource No.",$O$9))</t>
  </si>
  <si>
    <t>=1/Q3791</t>
  </si>
  <si>
    <t>=R3791*N3791</t>
  </si>
  <si>
    <t>=IF(K3792=0,"hide","")</t>
  </si>
  <si>
    <t>=D3791</t>
  </si>
  <si>
    <t>=NL("sum","Production Order","Quantity","Source No.",$D3792,"Equipment Code",$L3792,"due date",F$8)/-12</t>
  </si>
  <si>
    <t>=NL("sum","Production Order","Quantity","Source No.",$D3792,"Equipment Code",$L3792,"due date",G$8)/-12</t>
  </si>
  <si>
    <t>=NL("sum","Production Order","Quantity","Source No.",$D3792,"Equipment Code",$L3792,"due date",H$8)/-12</t>
  </si>
  <si>
    <t>=NL("sum","Production Order","Quantity","Source No.",$D3792,"Equipment Code",$L3792,"due date",I$8)/-12</t>
  </si>
  <si>
    <t>=NL("sum","Production Order","Quantity","Source No.",$D3792,"Equipment Code",$L3792,"due date",J$8)/$J$7</t>
  </si>
  <si>
    <t>=AVERAGE(I3792:J3792)</t>
  </si>
  <si>
    <t>=IF(K3793=0,"hide","")</t>
  </si>
  <si>
    <t>=D3792</t>
  </si>
  <si>
    <t>=NL("sum","Production Order","Quantity","Source No.",$D3793,"Equipment Code",$L3793,"due date",F$8)/-12</t>
  </si>
  <si>
    <t>=NL("sum","Production Order","Quantity","Source No.",$D3793,"Equipment Code",$L3793,"due date",G$8)/-12</t>
  </si>
  <si>
    <t>=NL("sum","Production Order","Quantity","Source No.",$D3793,"Equipment Code",$L3793,"due date",H$8)/-12</t>
  </si>
  <si>
    <t>=NL("sum","Production Order","Quantity","Source No.",$D3793,"Equipment Code",$L3793,"due date",I$8)/-12</t>
  </si>
  <si>
    <t>=NL("sum","Production Order","Quantity","Source No.",$D3793,"Equipment Code",$L3793,"due date",J$8)/$J$7</t>
  </si>
  <si>
    <t>=AVERAGE(I3793:J3793)</t>
  </si>
  <si>
    <t>=IF(K3794=0,"hide","")</t>
  </si>
  <si>
    <t>=D3793</t>
  </si>
  <si>
    <t>=NL("sum","Production Order","Quantity","Source No.",$D3794,"Equipment Code",$L3794,"due date",F$8)/-12</t>
  </si>
  <si>
    <t>=NL("sum","Production Order","Quantity","Source No.",$D3794,"Equipment Code",$L3794,"due date",G$8)/-12</t>
  </si>
  <si>
    <t>=NL("sum","Production Order","Quantity","Source No.",$D3794,"Equipment Code",$L3794,"due date",H$8)/-12</t>
  </si>
  <si>
    <t>=NL("sum","Production Order","Quantity","Source No.",$D3794,"Equipment Code",$L3794,"due date",I$8)/-12</t>
  </si>
  <si>
    <t>=NL("sum","Production Order","Quantity","Source No.",$D3794,"Equipment Code",$L3794,"due date",J$8)/$J$7</t>
  </si>
  <si>
    <t>=AVERAGE(I3794:J3794)</t>
  </si>
  <si>
    <t>=IF(K3795=0,"hide","")</t>
  </si>
  <si>
    <t>=D3794</t>
  </si>
  <si>
    <t>=NL("sum","Production Order","Quantity","Source No.",$D3795,"Equipment Code",$L3795,"due date",F$8)/-12</t>
  </si>
  <si>
    <t>=NL("sum","Production Order","Quantity","Source No.",$D3795,"Equipment Code",$L3795,"due date",G$8)/-12</t>
  </si>
  <si>
    <t>=NL("sum","Production Order","Quantity","Source No.",$D3795,"Equipment Code",$L3795,"due date",H$8)/-12</t>
  </si>
  <si>
    <t>=NL("sum","Production Order","Quantity","Source No.",$D3795,"Equipment Code",$L3795,"due date",I$8)/-12</t>
  </si>
  <si>
    <t>=NL("sum","Production Order","Quantity","Source No.",$D3795,"Equipment Code",$L3795,"due date",J$8)/$J$7</t>
  </si>
  <si>
    <t>=AVERAGE(I3795:J3795)</t>
  </si>
  <si>
    <t>=B3792</t>
  </si>
  <si>
    <t>=B3796</t>
  </si>
  <si>
    <t>=SUM(F3792:F3796)</t>
  </si>
  <si>
    <t>=SUM(G3792:G3796)</t>
  </si>
  <si>
    <t>=SUM(H3792:H3796)</t>
  </si>
  <si>
    <t>=SUM(I3792:I3796)</t>
  </si>
  <si>
    <t>=SUM(J3792:J3796)</t>
  </si>
  <si>
    <t>=IF(K3798=0,"hide","")</t>
  </si>
  <si>
    <t>=NL("rows","Production BOM Version","Version Code","Production BOM No.",D3798,"status","certified")</t>
  </si>
  <si>
    <t>=NL("sum","Item Ledger Entry","Quantity","Item No.",$D3798,"Entry Type","Sale|Consumption","posting date","01/01/19..12/31/19")/-12</t>
  </si>
  <si>
    <t>=NL("sum","Item Ledger Entry","Quantity","Item No.",$D3798,"Entry Type","Sale|Consumption","posting date","01/01/20..12/31/20")/-12</t>
  </si>
  <si>
    <t>=NL("sum","Item Ledger Entry","Quantity","Item No.",$D3798,"Entry Type","Sale|Consumption","posting date","01/01/21..12/31/21")/-12</t>
  </si>
  <si>
    <t>=NL("sum","Item Ledger Entry","Quantity","Item No.",$D3798,"Entry Type","Sale|Consumption","posting date","01/01/22..12/31/22")/-12</t>
  </si>
  <si>
    <t>=NL("sum","Item Ledger Entry","Quantity","Item No.",$D3798,"Entry Type","Sale|Consumption","posting date","01/01/23..12/31/23")/$J$7</t>
  </si>
  <si>
    <t>=AVERAGE(I3798:J3798)</t>
  </si>
  <si>
    <t>=NL(1,"item",L$9,"no.",D3798)</t>
  </si>
  <si>
    <t>=NL(1,"item",M$9,"no.",$D3798)</t>
  </si>
  <si>
    <t>=NL(1,"item","Units Per Parcel","no.",$D3798)</t>
  </si>
  <si>
    <t>=NL(1,"Prod. BOM Equipment","Fixed Prod. Time (Hours)","Production BOM No.",$D3798,"version code",$E3798,"Resource No.",O$9)</t>
  </si>
  <si>
    <t>=1/O3798</t>
  </si>
  <si>
    <t>=IF(NL(1,"Prod. BOM Equipment","Variable Prod. Time (Hours)","Production BOM No.",$D3798,"version code",$E3798,"Resource No.",$O$9)="",1,NL(1,"Prod. BOM Equipment","Variable Prod. Time (Hours)","Production BOM No.",$D3798,"version code",$E3798,"Resource No.",$O$9))</t>
  </si>
  <si>
    <t>=1/Q3798</t>
  </si>
  <si>
    <t>=R3798*N3798</t>
  </si>
  <si>
    <t>=IF(K3799=0,"hide","")</t>
  </si>
  <si>
    <t>=D3798</t>
  </si>
  <si>
    <t>=NL("sum","Production Order","Quantity","Source No.",$D3799,"Equipment Code",$L3799,"due date",F$8)/-12</t>
  </si>
  <si>
    <t>=NL("sum","Production Order","Quantity","Source No.",$D3799,"Equipment Code",$L3799,"due date",G$8)/-12</t>
  </si>
  <si>
    <t>=NL("sum","Production Order","Quantity","Source No.",$D3799,"Equipment Code",$L3799,"due date",H$8)/-12</t>
  </si>
  <si>
    <t>=NL("sum","Production Order","Quantity","Source No.",$D3799,"Equipment Code",$L3799,"due date",I$8)/-12</t>
  </si>
  <si>
    <t>=NL("sum","Production Order","Quantity","Source No.",$D3799,"Equipment Code",$L3799,"due date",J$8)/$J$7</t>
  </si>
  <si>
    <t>=AVERAGE(I3799:J3799)</t>
  </si>
  <si>
    <t>=IF(K3800=0,"hide","")</t>
  </si>
  <si>
    <t>=D3799</t>
  </si>
  <si>
    <t>=NL("sum","Production Order","Quantity","Source No.",$D3800,"Equipment Code",$L3800,"due date",F$8)/-12</t>
  </si>
  <si>
    <t>=NL("sum","Production Order","Quantity","Source No.",$D3800,"Equipment Code",$L3800,"due date",G$8)/-12</t>
  </si>
  <si>
    <t>=NL("sum","Production Order","Quantity","Source No.",$D3800,"Equipment Code",$L3800,"due date",H$8)/-12</t>
  </si>
  <si>
    <t>=NL("sum","Production Order","Quantity","Source No.",$D3800,"Equipment Code",$L3800,"due date",I$8)/-12</t>
  </si>
  <si>
    <t>=NL("sum","Production Order","Quantity","Source No.",$D3800,"Equipment Code",$L3800,"due date",J$8)/$J$7</t>
  </si>
  <si>
    <t>=AVERAGE(I3800:J3800)</t>
  </si>
  <si>
    <t>=IF(K3801=0,"hide","")</t>
  </si>
  <si>
    <t>=D3800</t>
  </si>
  <si>
    <t>=NL("sum","Production Order","Quantity","Source No.",$D3801,"Equipment Code",$L3801,"due date",F$8)/-12</t>
  </si>
  <si>
    <t>=NL("sum","Production Order","Quantity","Source No.",$D3801,"Equipment Code",$L3801,"due date",G$8)/-12</t>
  </si>
  <si>
    <t>=NL("sum","Production Order","Quantity","Source No.",$D3801,"Equipment Code",$L3801,"due date",H$8)/-12</t>
  </si>
  <si>
    <t>=NL("sum","Production Order","Quantity","Source No.",$D3801,"Equipment Code",$L3801,"due date",I$8)/-12</t>
  </si>
  <si>
    <t>=NL("sum","Production Order","Quantity","Source No.",$D3801,"Equipment Code",$L3801,"due date",J$8)/$J$7</t>
  </si>
  <si>
    <t>=AVERAGE(I3801:J3801)</t>
  </si>
  <si>
    <t>=IF(K3802=0,"hide","")</t>
  </si>
  <si>
    <t>=D3801</t>
  </si>
  <si>
    <t>=NL("sum","Production Order","Quantity","Source No.",$D3802,"Equipment Code",$L3802,"due date",F$8)/-12</t>
  </si>
  <si>
    <t>=NL("sum","Production Order","Quantity","Source No.",$D3802,"Equipment Code",$L3802,"due date",G$8)/-12</t>
  </si>
  <si>
    <t>=NL("sum","Production Order","Quantity","Source No.",$D3802,"Equipment Code",$L3802,"due date",H$8)/-12</t>
  </si>
  <si>
    <t>=NL("sum","Production Order","Quantity","Source No.",$D3802,"Equipment Code",$L3802,"due date",I$8)/-12</t>
  </si>
  <si>
    <t>=NL("sum","Production Order","Quantity","Source No.",$D3802,"Equipment Code",$L3802,"due date",J$8)/$J$7</t>
  </si>
  <si>
    <t>=AVERAGE(I3802:J3802)</t>
  </si>
  <si>
    <t>=B3799</t>
  </si>
  <si>
    <t>=B3803</t>
  </si>
  <si>
    <t>=SUM(F3799:F3803)</t>
  </si>
  <si>
    <t>=SUM(G3799:G3803)</t>
  </si>
  <si>
    <t>=SUM(H3799:H3803)</t>
  </si>
  <si>
    <t>=SUM(I3799:I3803)</t>
  </si>
  <si>
    <t>=SUM(J3799:J3803)</t>
  </si>
  <si>
    <t>=IF(K3805=0,"hide","")</t>
  </si>
  <si>
    <t>=NL("rows","Production BOM Version","Version Code","Production BOM No.",D3805,"status","certified")</t>
  </si>
  <si>
    <t>=NL("sum","Item Ledger Entry","Quantity","Item No.",$D3805,"Entry Type","Sale|Consumption","posting date","01/01/19..12/31/19")/-12</t>
  </si>
  <si>
    <t>=NL("sum","Item Ledger Entry","Quantity","Item No.",$D3805,"Entry Type","Sale|Consumption","posting date","01/01/20..12/31/20")/-12</t>
  </si>
  <si>
    <t>=NL("sum","Item Ledger Entry","Quantity","Item No.",$D3805,"Entry Type","Sale|Consumption","posting date","01/01/21..12/31/21")/-12</t>
  </si>
  <si>
    <t>=NL("sum","Item Ledger Entry","Quantity","Item No.",$D3805,"Entry Type","Sale|Consumption","posting date","01/01/22..12/31/22")/-12</t>
  </si>
  <si>
    <t>=NL("sum","Item Ledger Entry","Quantity","Item No.",$D3805,"Entry Type","Sale|Consumption","posting date","01/01/23..12/31/23")/$J$7</t>
  </si>
  <si>
    <t>=AVERAGE(I3805:J3805)</t>
  </si>
  <si>
    <t>=NL(1,"item",L$9,"no.",D3805)</t>
  </si>
  <si>
    <t>=NL(1,"item",M$9,"no.",$D3805)</t>
  </si>
  <si>
    <t>=NL(1,"item","Units Per Parcel","no.",$D3805)</t>
  </si>
  <si>
    <t>=NL(1,"Prod. BOM Equipment","Fixed Prod. Time (Hours)","Production BOM No.",$D3805,"version code",$E3805,"Resource No.",O$9)</t>
  </si>
  <si>
    <t>=1/O3805</t>
  </si>
  <si>
    <t>=IF(NL(1,"Prod. BOM Equipment","Variable Prod. Time (Hours)","Production BOM No.",$D3805,"version code",$E3805,"Resource No.",$O$9)="",1,NL(1,"Prod. BOM Equipment","Variable Prod. Time (Hours)","Production BOM No.",$D3805,"version code",$E3805,"Resource No.",$O$9))</t>
  </si>
  <si>
    <t>=1/Q3805</t>
  </si>
  <si>
    <t>=R3805*N3805</t>
  </si>
  <si>
    <t>=IF(K3806=0,"hide","")</t>
  </si>
  <si>
    <t>=D3805</t>
  </si>
  <si>
    <t>=NL("sum","Production Order","Quantity","Source No.",$D3806,"Equipment Code",$L3806,"due date",F$8)/-12</t>
  </si>
  <si>
    <t>=NL("sum","Production Order","Quantity","Source No.",$D3806,"Equipment Code",$L3806,"due date",G$8)/-12</t>
  </si>
  <si>
    <t>=NL("sum","Production Order","Quantity","Source No.",$D3806,"Equipment Code",$L3806,"due date",H$8)/-12</t>
  </si>
  <si>
    <t>=NL("sum","Production Order","Quantity","Source No.",$D3806,"Equipment Code",$L3806,"due date",I$8)/-12</t>
  </si>
  <si>
    <t>=NL("sum","Production Order","Quantity","Source No.",$D3806,"Equipment Code",$L3806,"due date",J$8)/$J$7</t>
  </si>
  <si>
    <t>=AVERAGE(I3806:J3806)</t>
  </si>
  <si>
    <t>=IF(K3807=0,"hide","")</t>
  </si>
  <si>
    <t>=D3806</t>
  </si>
  <si>
    <t>=NL("sum","Production Order","Quantity","Source No.",$D3807,"Equipment Code",$L3807,"due date",F$8)/-12</t>
  </si>
  <si>
    <t>=NL("sum","Production Order","Quantity","Source No.",$D3807,"Equipment Code",$L3807,"due date",G$8)/-12</t>
  </si>
  <si>
    <t>=NL("sum","Production Order","Quantity","Source No.",$D3807,"Equipment Code",$L3807,"due date",H$8)/-12</t>
  </si>
  <si>
    <t>=NL("sum","Production Order","Quantity","Source No.",$D3807,"Equipment Code",$L3807,"due date",I$8)/-12</t>
  </si>
  <si>
    <t>=NL("sum","Production Order","Quantity","Source No.",$D3807,"Equipment Code",$L3807,"due date",J$8)/$J$7</t>
  </si>
  <si>
    <t>=AVERAGE(I3807:J3807)</t>
  </si>
  <si>
    <t>=IF(K3808=0,"hide","")</t>
  </si>
  <si>
    <t>=D3807</t>
  </si>
  <si>
    <t>=NL("sum","Production Order","Quantity","Source No.",$D3808,"Equipment Code",$L3808,"due date",F$8)/-12</t>
  </si>
  <si>
    <t>=NL("sum","Production Order","Quantity","Source No.",$D3808,"Equipment Code",$L3808,"due date",G$8)/-12</t>
  </si>
  <si>
    <t>=NL("sum","Production Order","Quantity","Source No.",$D3808,"Equipment Code",$L3808,"due date",H$8)/-12</t>
  </si>
  <si>
    <t>=NL("sum","Production Order","Quantity","Source No.",$D3808,"Equipment Code",$L3808,"due date",I$8)/-12</t>
  </si>
  <si>
    <t>=NL("sum","Production Order","Quantity","Source No.",$D3808,"Equipment Code",$L3808,"due date",J$8)/$J$7</t>
  </si>
  <si>
    <t>=AVERAGE(I3808:J3808)</t>
  </si>
  <si>
    <t>=IF(K3809=0,"hide","")</t>
  </si>
  <si>
    <t>=D3808</t>
  </si>
  <si>
    <t>=NL("sum","Production Order","Quantity","Source No.",$D3809,"Equipment Code",$L3809,"due date",F$8)/-12</t>
  </si>
  <si>
    <t>=NL("sum","Production Order","Quantity","Source No.",$D3809,"Equipment Code",$L3809,"due date",G$8)/-12</t>
  </si>
  <si>
    <t>=NL("sum","Production Order","Quantity","Source No.",$D3809,"Equipment Code",$L3809,"due date",H$8)/-12</t>
  </si>
  <si>
    <t>=NL("sum","Production Order","Quantity","Source No.",$D3809,"Equipment Code",$L3809,"due date",I$8)/-12</t>
  </si>
  <si>
    <t>=NL("sum","Production Order","Quantity","Source No.",$D3809,"Equipment Code",$L3809,"due date",J$8)/$J$7</t>
  </si>
  <si>
    <t>=AVERAGE(I3809:J3809)</t>
  </si>
  <si>
    <t>=B3806</t>
  </si>
  <si>
    <t>=B3810</t>
  </si>
  <si>
    <t>=SUM(F3806:F3810)</t>
  </si>
  <si>
    <t>=SUM(G3806:G3810)</t>
  </si>
  <si>
    <t>=SUM(H3806:H3810)</t>
  </si>
  <si>
    <t>=SUM(I3806:I3810)</t>
  </si>
  <si>
    <t>=SUM(J3806:J3810)</t>
  </si>
  <si>
    <t>=IF(K3812=0,"hide","")</t>
  </si>
  <si>
    <t>=NL("rows","Production BOM Version","Version Code","Production BOM No.",D3812,"status","certified")</t>
  </si>
  <si>
    <t>=NL("sum","Item Ledger Entry","Quantity","Item No.",$D3812,"Entry Type","Sale|Consumption","posting date","01/01/19..12/31/19")/-12</t>
  </si>
  <si>
    <t>=NL("sum","Item Ledger Entry","Quantity","Item No.",$D3812,"Entry Type","Sale|Consumption","posting date","01/01/20..12/31/20")/-12</t>
  </si>
  <si>
    <t>=NL("sum","Item Ledger Entry","Quantity","Item No.",$D3812,"Entry Type","Sale|Consumption","posting date","01/01/21..12/31/21")/-12</t>
  </si>
  <si>
    <t>=NL("sum","Item Ledger Entry","Quantity","Item No.",$D3812,"Entry Type","Sale|Consumption","posting date","01/01/22..12/31/22")/-12</t>
  </si>
  <si>
    <t>=NL("sum","Item Ledger Entry","Quantity","Item No.",$D3812,"Entry Type","Sale|Consumption","posting date","01/01/23..12/31/23")/$J$7</t>
  </si>
  <si>
    <t>=AVERAGE(I3812:J3812)</t>
  </si>
  <si>
    <t>=NL(1,"item",L$9,"no.",D3812)</t>
  </si>
  <si>
    <t>=NL(1,"item",M$9,"no.",$D3812)</t>
  </si>
  <si>
    <t>=NL(1,"item","Units Per Parcel","no.",$D3812)</t>
  </si>
  <si>
    <t>=NL(1,"Prod. BOM Equipment","Fixed Prod. Time (Hours)","Production BOM No.",$D3812,"version code",$E3812,"Resource No.",O$9)</t>
  </si>
  <si>
    <t>=1/O3812</t>
  </si>
  <si>
    <t>=IF(NL(1,"Prod. BOM Equipment","Variable Prod. Time (Hours)","Production BOM No.",$D3812,"version code",$E3812,"Resource No.",$O$9)="",1,NL(1,"Prod. BOM Equipment","Variable Prod. Time (Hours)","Production BOM No.",$D3812,"version code",$E3812,"Resource No.",$O$9))</t>
  </si>
  <si>
    <t>=1/Q3812</t>
  </si>
  <si>
    <t>=R3812*N3812</t>
  </si>
  <si>
    <t>=IF(K3813=0,"hide","")</t>
  </si>
  <si>
    <t>=D3812</t>
  </si>
  <si>
    <t>=NL("sum","Production Order","Quantity","Source No.",$D3813,"Equipment Code",$L3813,"due date",F$8)/-12</t>
  </si>
  <si>
    <t>=NL("sum","Production Order","Quantity","Source No.",$D3813,"Equipment Code",$L3813,"due date",G$8)/-12</t>
  </si>
  <si>
    <t>=NL("sum","Production Order","Quantity","Source No.",$D3813,"Equipment Code",$L3813,"due date",H$8)/-12</t>
  </si>
  <si>
    <t>=NL("sum","Production Order","Quantity","Source No.",$D3813,"Equipment Code",$L3813,"due date",I$8)/-12</t>
  </si>
  <si>
    <t>=NL("sum","Production Order","Quantity","Source No.",$D3813,"Equipment Code",$L3813,"due date",J$8)/$J$7</t>
  </si>
  <si>
    <t>=AVERAGE(I3813:J3813)</t>
  </si>
  <si>
    <t>=IF(K3814=0,"hide","")</t>
  </si>
  <si>
    <t>=D3813</t>
  </si>
  <si>
    <t>=NL("sum","Production Order","Quantity","Source No.",$D3814,"Equipment Code",$L3814,"due date",F$8)/-12</t>
  </si>
  <si>
    <t>=NL("sum","Production Order","Quantity","Source No.",$D3814,"Equipment Code",$L3814,"due date",G$8)/-12</t>
  </si>
  <si>
    <t>=NL("sum","Production Order","Quantity","Source No.",$D3814,"Equipment Code",$L3814,"due date",H$8)/-12</t>
  </si>
  <si>
    <t>=NL("sum","Production Order","Quantity","Source No.",$D3814,"Equipment Code",$L3814,"due date",I$8)/-12</t>
  </si>
  <si>
    <t>=NL("sum","Production Order","Quantity","Source No.",$D3814,"Equipment Code",$L3814,"due date",J$8)/$J$7</t>
  </si>
  <si>
    <t>=AVERAGE(I3814:J3814)</t>
  </si>
  <si>
    <t>=IF(K3815=0,"hide","")</t>
  </si>
  <si>
    <t>=D3814</t>
  </si>
  <si>
    <t>=NL("sum","Production Order","Quantity","Source No.",$D3815,"Equipment Code",$L3815,"due date",F$8)/-12</t>
  </si>
  <si>
    <t>=NL("sum","Production Order","Quantity","Source No.",$D3815,"Equipment Code",$L3815,"due date",G$8)/-12</t>
  </si>
  <si>
    <t>=NL("sum","Production Order","Quantity","Source No.",$D3815,"Equipment Code",$L3815,"due date",H$8)/-12</t>
  </si>
  <si>
    <t>=NL("sum","Production Order","Quantity","Source No.",$D3815,"Equipment Code",$L3815,"due date",I$8)/-12</t>
  </si>
  <si>
    <t>=NL("sum","Production Order","Quantity","Source No.",$D3815,"Equipment Code",$L3815,"due date",J$8)/$J$7</t>
  </si>
  <si>
    <t>=AVERAGE(I3815:J3815)</t>
  </si>
  <si>
    <t>=IF(K3816=0,"hide","")</t>
  </si>
  <si>
    <t>=D3815</t>
  </si>
  <si>
    <t>=NL("sum","Production Order","Quantity","Source No.",$D3816,"Equipment Code",$L3816,"due date",F$8)/-12</t>
  </si>
  <si>
    <t>=NL("sum","Production Order","Quantity","Source No.",$D3816,"Equipment Code",$L3816,"due date",G$8)/-12</t>
  </si>
  <si>
    <t>=NL("sum","Production Order","Quantity","Source No.",$D3816,"Equipment Code",$L3816,"due date",H$8)/-12</t>
  </si>
  <si>
    <t>=NL("sum","Production Order","Quantity","Source No.",$D3816,"Equipment Code",$L3816,"due date",I$8)/-12</t>
  </si>
  <si>
    <t>=NL("sum","Production Order","Quantity","Source No.",$D3816,"Equipment Code",$L3816,"due date",J$8)/$J$7</t>
  </si>
  <si>
    <t>=AVERAGE(I3816:J3816)</t>
  </si>
  <si>
    <t>=B3813</t>
  </si>
  <si>
    <t>=B3817</t>
  </si>
  <si>
    <t>=SUM(F3813:F3817)</t>
  </si>
  <si>
    <t>=SUM(G3813:G3817)</t>
  </si>
  <si>
    <t>=SUM(H3813:H3817)</t>
  </si>
  <si>
    <t>=SUM(I3813:I3817)</t>
  </si>
  <si>
    <t>=SUM(J3813:J3817)</t>
  </si>
  <si>
    <t>=IF(K3819=0,"hide","")</t>
  </si>
  <si>
    <t>=NL("rows","Production BOM Version","Version Code","Production BOM No.",D3819,"status","certified")</t>
  </si>
  <si>
    <t>=NL("sum","Item Ledger Entry","Quantity","Item No.",$D3819,"Entry Type","Sale|Consumption","posting date","01/01/19..12/31/19")/-12</t>
  </si>
  <si>
    <t>=NL("sum","Item Ledger Entry","Quantity","Item No.",$D3819,"Entry Type","Sale|Consumption","posting date","01/01/20..12/31/20")/-12</t>
  </si>
  <si>
    <t>=NL("sum","Item Ledger Entry","Quantity","Item No.",$D3819,"Entry Type","Sale|Consumption","posting date","01/01/21..12/31/21")/-12</t>
  </si>
  <si>
    <t>=NL("sum","Item Ledger Entry","Quantity","Item No.",$D3819,"Entry Type","Sale|Consumption","posting date","01/01/22..12/31/22")/-12</t>
  </si>
  <si>
    <t>=NL("sum","Item Ledger Entry","Quantity","Item No.",$D3819,"Entry Type","Sale|Consumption","posting date","01/01/23..12/31/23")/$J$7</t>
  </si>
  <si>
    <t>=AVERAGE(I3819:J3819)</t>
  </si>
  <si>
    <t>=NL(1,"item",L$9,"no.",D3819)</t>
  </si>
  <si>
    <t>=NL(1,"item",M$9,"no.",$D3819)</t>
  </si>
  <si>
    <t>=NL(1,"item","Units Per Parcel","no.",$D3819)</t>
  </si>
  <si>
    <t>=NL(1,"Prod. BOM Equipment","Fixed Prod. Time (Hours)","Production BOM No.",$D3819,"version code",$E3819,"Resource No.",O$9)</t>
  </si>
  <si>
    <t>=1/O3819</t>
  </si>
  <si>
    <t>=IF(NL(1,"Prod. BOM Equipment","Variable Prod. Time (Hours)","Production BOM No.",$D3819,"version code",$E3819,"Resource No.",$O$9)="",1,NL(1,"Prod. BOM Equipment","Variable Prod. Time (Hours)","Production BOM No.",$D3819,"version code",$E3819,"Resource No.",$O$9))</t>
  </si>
  <si>
    <t>=1/Q3819</t>
  </si>
  <si>
    <t>=R3819*N3819</t>
  </si>
  <si>
    <t>=IF(K3820=0,"hide","")</t>
  </si>
  <si>
    <t>=D3819</t>
  </si>
  <si>
    <t>=NL("sum","Production Order","Quantity","Source No.",$D3820,"Equipment Code",$L3820,"due date",F$8)/-12</t>
  </si>
  <si>
    <t>=NL("sum","Production Order","Quantity","Source No.",$D3820,"Equipment Code",$L3820,"due date",G$8)/-12</t>
  </si>
  <si>
    <t>=NL("sum","Production Order","Quantity","Source No.",$D3820,"Equipment Code",$L3820,"due date",H$8)/-12</t>
  </si>
  <si>
    <t>=NL("sum","Production Order","Quantity","Source No.",$D3820,"Equipment Code",$L3820,"due date",I$8)/-12</t>
  </si>
  <si>
    <t>=NL("sum","Production Order","Quantity","Source No.",$D3820,"Equipment Code",$L3820,"due date",J$8)/$J$7</t>
  </si>
  <si>
    <t>=AVERAGE(I3820:J3820)</t>
  </si>
  <si>
    <t>=IF(K3821=0,"hide","")</t>
  </si>
  <si>
    <t>=D3820</t>
  </si>
  <si>
    <t>=NL("sum","Production Order","Quantity","Source No.",$D3821,"Equipment Code",$L3821,"due date",F$8)/-12</t>
  </si>
  <si>
    <t>=NL("sum","Production Order","Quantity","Source No.",$D3821,"Equipment Code",$L3821,"due date",G$8)/-12</t>
  </si>
  <si>
    <t>=NL("sum","Production Order","Quantity","Source No.",$D3821,"Equipment Code",$L3821,"due date",H$8)/-12</t>
  </si>
  <si>
    <t>=NL("sum","Production Order","Quantity","Source No.",$D3821,"Equipment Code",$L3821,"due date",I$8)/-12</t>
  </si>
  <si>
    <t>=NL("sum","Production Order","Quantity","Source No.",$D3821,"Equipment Code",$L3821,"due date",J$8)/$J$7</t>
  </si>
  <si>
    <t>=AVERAGE(I3821:J3821)</t>
  </si>
  <si>
    <t>=IF(K3822=0,"hide","")</t>
  </si>
  <si>
    <t>=D3821</t>
  </si>
  <si>
    <t>=NL("sum","Production Order","Quantity","Source No.",$D3822,"Equipment Code",$L3822,"due date",F$8)/-12</t>
  </si>
  <si>
    <t>=NL("sum","Production Order","Quantity","Source No.",$D3822,"Equipment Code",$L3822,"due date",G$8)/-12</t>
  </si>
  <si>
    <t>=NL("sum","Production Order","Quantity","Source No.",$D3822,"Equipment Code",$L3822,"due date",H$8)/-12</t>
  </si>
  <si>
    <t>=NL("sum","Production Order","Quantity","Source No.",$D3822,"Equipment Code",$L3822,"due date",I$8)/-12</t>
  </si>
  <si>
    <t>=NL("sum","Production Order","Quantity","Source No.",$D3822,"Equipment Code",$L3822,"due date",J$8)/$J$7</t>
  </si>
  <si>
    <t>=AVERAGE(I3822:J3822)</t>
  </si>
  <si>
    <t>=IF(K3823=0,"hide","")</t>
  </si>
  <si>
    <t>=D3822</t>
  </si>
  <si>
    <t>=NL("sum","Production Order","Quantity","Source No.",$D3823,"Equipment Code",$L3823,"due date",F$8)/-12</t>
  </si>
  <si>
    <t>=NL("sum","Production Order","Quantity","Source No.",$D3823,"Equipment Code",$L3823,"due date",G$8)/-12</t>
  </si>
  <si>
    <t>=NL("sum","Production Order","Quantity","Source No.",$D3823,"Equipment Code",$L3823,"due date",H$8)/-12</t>
  </si>
  <si>
    <t>=NL("sum","Production Order","Quantity","Source No.",$D3823,"Equipment Code",$L3823,"due date",I$8)/-12</t>
  </si>
  <si>
    <t>=NL("sum","Production Order","Quantity","Source No.",$D3823,"Equipment Code",$L3823,"due date",J$8)/$J$7</t>
  </si>
  <si>
    <t>=AVERAGE(I3823:J3823)</t>
  </si>
  <si>
    <t>=B3820</t>
  </si>
  <si>
    <t>=B3824</t>
  </si>
  <si>
    <t>=SUM(F3820:F3824)</t>
  </si>
  <si>
    <t>=SUM(G3820:G3824)</t>
  </si>
  <si>
    <t>=SUM(H3820:H3824)</t>
  </si>
  <si>
    <t>=SUM(I3820:I3824)</t>
  </si>
  <si>
    <t>=SUM(J3820:J3824)</t>
  </si>
  <si>
    <t>=IF(K3826=0,"hide","")</t>
  </si>
  <si>
    <t>="51411"</t>
  </si>
  <si>
    <t>=NL("rows","Production BOM Version","Version Code","Production BOM No.",D3826,"status","certified")</t>
  </si>
  <si>
    <t>=NL("sum","Item Ledger Entry","Quantity","Item No.",$D3826,"Entry Type","Sale|Consumption","posting date","01/01/19..12/31/19")/-12</t>
  </si>
  <si>
    <t>=NL("sum","Item Ledger Entry","Quantity","Item No.",$D3826,"Entry Type","Sale|Consumption","posting date","01/01/20..12/31/20")/-12</t>
  </si>
  <si>
    <t>=NL("sum","Item Ledger Entry","Quantity","Item No.",$D3826,"Entry Type","Sale|Consumption","posting date","01/01/21..12/31/21")/-12</t>
  </si>
  <si>
    <t>=NL("sum","Item Ledger Entry","Quantity","Item No.",$D3826,"Entry Type","Sale|Consumption","posting date","01/01/22..12/31/22")/-12</t>
  </si>
  <si>
    <t>=NL("sum","Item Ledger Entry","Quantity","Item No.",$D3826,"Entry Type","Sale|Consumption","posting date","01/01/23..12/31/23")/$J$7</t>
  </si>
  <si>
    <t>=AVERAGE(I3826:J3826)</t>
  </si>
  <si>
    <t>=NL(1,"item",L$9,"no.",D3826)</t>
  </si>
  <si>
    <t>=NL(1,"item",M$9,"no.",$D3826)</t>
  </si>
  <si>
    <t>=NL(1,"item","Units Per Parcel","no.",$D3826)</t>
  </si>
  <si>
    <t>=NL(1,"Prod. BOM Equipment","Fixed Prod. Time (Hours)","Production BOM No.",$D3826,"version code",$E3826,"Resource No.",O$9)</t>
  </si>
  <si>
    <t>=1/O3826</t>
  </si>
  <si>
    <t>=IF(NL(1,"Prod. BOM Equipment","Variable Prod. Time (Hours)","Production BOM No.",$D3826,"version code",$E3826,"Resource No.",$O$9)="",1,NL(1,"Prod. BOM Equipment","Variable Prod. Time (Hours)","Production BOM No.",$D3826,"version code",$E3826,"Resource No.",$O$9))</t>
  </si>
  <si>
    <t>=1/Q3826</t>
  </si>
  <si>
    <t>=R3826*N3826</t>
  </si>
  <si>
    <t>=IF(K3827=0,"hide","")</t>
  </si>
  <si>
    <t>=D3826</t>
  </si>
  <si>
    <t>=NL("sum","Production Order","Quantity","Source No.",$D3827,"Equipment Code",$L3827,"due date",F$8)/-12</t>
  </si>
  <si>
    <t>=NL("sum","Production Order","Quantity","Source No.",$D3827,"Equipment Code",$L3827,"due date",G$8)/-12</t>
  </si>
  <si>
    <t>=NL("sum","Production Order","Quantity","Source No.",$D3827,"Equipment Code",$L3827,"due date",H$8)/-12</t>
  </si>
  <si>
    <t>=NL("sum","Production Order","Quantity","Source No.",$D3827,"Equipment Code",$L3827,"due date",I$8)/-12</t>
  </si>
  <si>
    <t>=NL("sum","Production Order","Quantity","Source No.",$D3827,"Equipment Code",$L3827,"due date",J$8)/$J$7</t>
  </si>
  <si>
    <t>=AVERAGE(I3827:J3827)</t>
  </si>
  <si>
    <t>=IF(K3828=0,"hide","")</t>
  </si>
  <si>
    <t>=D3827</t>
  </si>
  <si>
    <t>=NL("sum","Production Order","Quantity","Source No.",$D3828,"Equipment Code",$L3828,"due date",F$8)/-12</t>
  </si>
  <si>
    <t>=NL("sum","Production Order","Quantity","Source No.",$D3828,"Equipment Code",$L3828,"due date",G$8)/-12</t>
  </si>
  <si>
    <t>=NL("sum","Production Order","Quantity","Source No.",$D3828,"Equipment Code",$L3828,"due date",H$8)/-12</t>
  </si>
  <si>
    <t>=NL("sum","Production Order","Quantity","Source No.",$D3828,"Equipment Code",$L3828,"due date",I$8)/-12</t>
  </si>
  <si>
    <t>=NL("sum","Production Order","Quantity","Source No.",$D3828,"Equipment Code",$L3828,"due date",J$8)/$J$7</t>
  </si>
  <si>
    <t>=AVERAGE(I3828:J3828)</t>
  </si>
  <si>
    <t>=IF(K3829=0,"hide","")</t>
  </si>
  <si>
    <t>=D3828</t>
  </si>
  <si>
    <t>=NL("sum","Production Order","Quantity","Source No.",$D3829,"Equipment Code",$L3829,"due date",F$8)/-12</t>
  </si>
  <si>
    <t>=NL("sum","Production Order","Quantity","Source No.",$D3829,"Equipment Code",$L3829,"due date",G$8)/-12</t>
  </si>
  <si>
    <t>=NL("sum","Production Order","Quantity","Source No.",$D3829,"Equipment Code",$L3829,"due date",H$8)/-12</t>
  </si>
  <si>
    <t>=NL("sum","Production Order","Quantity","Source No.",$D3829,"Equipment Code",$L3829,"due date",I$8)/-12</t>
  </si>
  <si>
    <t>=NL("sum","Production Order","Quantity","Source No.",$D3829,"Equipment Code",$L3829,"due date",J$8)/$J$7</t>
  </si>
  <si>
    <t>=AVERAGE(I3829:J3829)</t>
  </si>
  <si>
    <t>=IF(K3830=0,"hide","")</t>
  </si>
  <si>
    <t>=D3829</t>
  </si>
  <si>
    <t>=NL("sum","Production Order","Quantity","Source No.",$D3830,"Equipment Code",$L3830,"due date",F$8)/-12</t>
  </si>
  <si>
    <t>=NL("sum","Production Order","Quantity","Source No.",$D3830,"Equipment Code",$L3830,"due date",G$8)/-12</t>
  </si>
  <si>
    <t>=NL("sum","Production Order","Quantity","Source No.",$D3830,"Equipment Code",$L3830,"due date",H$8)/-12</t>
  </si>
  <si>
    <t>=NL("sum","Production Order","Quantity","Source No.",$D3830,"Equipment Code",$L3830,"due date",I$8)/-12</t>
  </si>
  <si>
    <t>=NL("sum","Production Order","Quantity","Source No.",$D3830,"Equipment Code",$L3830,"due date",J$8)/$J$7</t>
  </si>
  <si>
    <t>=AVERAGE(I3830:J3830)</t>
  </si>
  <si>
    <t>=B3827</t>
  </si>
  <si>
    <t>=B3831</t>
  </si>
  <si>
    <t>=SUM(F3827:F3831)</t>
  </si>
  <si>
    <t>=SUM(G3827:G3831)</t>
  </si>
  <si>
    <t>=SUM(H3827:H3831)</t>
  </si>
  <si>
    <t>=SUM(I3827:I3831)</t>
  </si>
  <si>
    <t>=SUM(J3827:J3831)</t>
  </si>
  <si>
    <t>=IF(K3833=0,"hide","")</t>
  </si>
  <si>
    <t>="51420"</t>
  </si>
  <si>
    <t>=NL("rows","Production BOM Version","Version Code","Production BOM No.",D3833,"status","certified")</t>
  </si>
  <si>
    <t>=NL("sum","Item Ledger Entry","Quantity","Item No.",$D3833,"Entry Type","Sale|Consumption","posting date","01/01/19..12/31/19")/-12</t>
  </si>
  <si>
    <t>=NL("sum","Item Ledger Entry","Quantity","Item No.",$D3833,"Entry Type","Sale|Consumption","posting date","01/01/20..12/31/20")/-12</t>
  </si>
  <si>
    <t>=NL("sum","Item Ledger Entry","Quantity","Item No.",$D3833,"Entry Type","Sale|Consumption","posting date","01/01/21..12/31/21")/-12</t>
  </si>
  <si>
    <t>=NL("sum","Item Ledger Entry","Quantity","Item No.",$D3833,"Entry Type","Sale|Consumption","posting date","01/01/22..12/31/22")/-12</t>
  </si>
  <si>
    <t>=NL("sum","Item Ledger Entry","Quantity","Item No.",$D3833,"Entry Type","Sale|Consumption","posting date","01/01/23..12/31/23")/$J$7</t>
  </si>
  <si>
    <t>=AVERAGE(I3833:J3833)</t>
  </si>
  <si>
    <t>=NL(1,"item",L$9,"no.",D3833)</t>
  </si>
  <si>
    <t>=NL(1,"item",M$9,"no.",$D3833)</t>
  </si>
  <si>
    <t>=NL(1,"item","Units Per Parcel","no.",$D3833)</t>
  </si>
  <si>
    <t>=NL(1,"Prod. BOM Equipment","Fixed Prod. Time (Hours)","Production BOM No.",$D3833,"version code",$E3833,"Resource No.",O$9)</t>
  </si>
  <si>
    <t>=1/O3833</t>
  </si>
  <si>
    <t>=IF(NL(1,"Prod. BOM Equipment","Variable Prod. Time (Hours)","Production BOM No.",$D3833,"version code",$E3833,"Resource No.",$O$9)="",1,NL(1,"Prod. BOM Equipment","Variable Prod. Time (Hours)","Production BOM No.",$D3833,"version code",$E3833,"Resource No.",$O$9))</t>
  </si>
  <si>
    <t>=1/Q3833</t>
  </si>
  <si>
    <t>=R3833*N3833</t>
  </si>
  <si>
    <t>=IF(K3834=0,"hide","")</t>
  </si>
  <si>
    <t>=D3833</t>
  </si>
  <si>
    <t>=NL("sum","Production Order","Quantity","Source No.",$D3834,"Equipment Code",$L3834,"due date",F$8)/-12</t>
  </si>
  <si>
    <t>=NL("sum","Production Order","Quantity","Source No.",$D3834,"Equipment Code",$L3834,"due date",G$8)/-12</t>
  </si>
  <si>
    <t>=NL("sum","Production Order","Quantity","Source No.",$D3834,"Equipment Code",$L3834,"due date",H$8)/-12</t>
  </si>
  <si>
    <t>=NL("sum","Production Order","Quantity","Source No.",$D3834,"Equipment Code",$L3834,"due date",I$8)/-12</t>
  </si>
  <si>
    <t>=NL("sum","Production Order","Quantity","Source No.",$D3834,"Equipment Code",$L3834,"due date",J$8)/$J$7</t>
  </si>
  <si>
    <t>=AVERAGE(I3834:J3834)</t>
  </si>
  <si>
    <t>=IF(K3835=0,"hide","")</t>
  </si>
  <si>
    <t>=D3834</t>
  </si>
  <si>
    <t>=NL("sum","Production Order","Quantity","Source No.",$D3835,"Equipment Code",$L3835,"due date",F$8)/-12</t>
  </si>
  <si>
    <t>=NL("sum","Production Order","Quantity","Source No.",$D3835,"Equipment Code",$L3835,"due date",G$8)/-12</t>
  </si>
  <si>
    <t>=NL("sum","Production Order","Quantity","Source No.",$D3835,"Equipment Code",$L3835,"due date",H$8)/-12</t>
  </si>
  <si>
    <t>=NL("sum","Production Order","Quantity","Source No.",$D3835,"Equipment Code",$L3835,"due date",I$8)/-12</t>
  </si>
  <si>
    <t>=NL("sum","Production Order","Quantity","Source No.",$D3835,"Equipment Code",$L3835,"due date",J$8)/$J$7</t>
  </si>
  <si>
    <t>=AVERAGE(I3835:J3835)</t>
  </si>
  <si>
    <t>=IF(K3836=0,"hide","")</t>
  </si>
  <si>
    <t>=D3835</t>
  </si>
  <si>
    <t>=NL("sum","Production Order","Quantity","Source No.",$D3836,"Equipment Code",$L3836,"due date",F$8)/-12</t>
  </si>
  <si>
    <t>=NL("sum","Production Order","Quantity","Source No.",$D3836,"Equipment Code",$L3836,"due date",G$8)/-12</t>
  </si>
  <si>
    <t>=NL("sum","Production Order","Quantity","Source No.",$D3836,"Equipment Code",$L3836,"due date",H$8)/-12</t>
  </si>
  <si>
    <t>=NL("sum","Production Order","Quantity","Source No.",$D3836,"Equipment Code",$L3836,"due date",I$8)/-12</t>
  </si>
  <si>
    <t>=NL("sum","Production Order","Quantity","Source No.",$D3836,"Equipment Code",$L3836,"due date",J$8)/$J$7</t>
  </si>
  <si>
    <t>=AVERAGE(I3836:J3836)</t>
  </si>
  <si>
    <t>=IF(K3837=0,"hide","")</t>
  </si>
  <si>
    <t>=D3836</t>
  </si>
  <si>
    <t>=NL("sum","Production Order","Quantity","Source No.",$D3837,"Equipment Code",$L3837,"due date",F$8)/-12</t>
  </si>
  <si>
    <t>=NL("sum","Production Order","Quantity","Source No.",$D3837,"Equipment Code",$L3837,"due date",G$8)/-12</t>
  </si>
  <si>
    <t>=NL("sum","Production Order","Quantity","Source No.",$D3837,"Equipment Code",$L3837,"due date",H$8)/-12</t>
  </si>
  <si>
    <t>=NL("sum","Production Order","Quantity","Source No.",$D3837,"Equipment Code",$L3837,"due date",I$8)/-12</t>
  </si>
  <si>
    <t>=NL("sum","Production Order","Quantity","Source No.",$D3837,"Equipment Code",$L3837,"due date",J$8)/$J$7</t>
  </si>
  <si>
    <t>=AVERAGE(I3837:J3837)</t>
  </si>
  <si>
    <t>=B3834</t>
  </si>
  <si>
    <t>=B3838</t>
  </si>
  <si>
    <t>=SUM(F3834:F3838)</t>
  </si>
  <si>
    <t>=SUM(G3834:G3838)</t>
  </si>
  <si>
    <t>=SUM(H3834:H3838)</t>
  </si>
  <si>
    <t>=SUM(I3834:I3838)</t>
  </si>
  <si>
    <t>=SUM(J3834:J3838)</t>
  </si>
  <si>
    <t>=IF(K3840=0,"hide","")</t>
  </si>
  <si>
    <t>="51425"</t>
  </si>
  <si>
    <t>=NL("rows","Production BOM Version","Version Code","Production BOM No.",D3840,"status","certified")</t>
  </si>
  <si>
    <t>=NL("sum","Item Ledger Entry","Quantity","Item No.",$D3840,"Entry Type","Sale|Consumption","posting date","01/01/19..12/31/19")/-12</t>
  </si>
  <si>
    <t>=NL("sum","Item Ledger Entry","Quantity","Item No.",$D3840,"Entry Type","Sale|Consumption","posting date","01/01/20..12/31/20")/-12</t>
  </si>
  <si>
    <t>=NL("sum","Item Ledger Entry","Quantity","Item No.",$D3840,"Entry Type","Sale|Consumption","posting date","01/01/21..12/31/21")/-12</t>
  </si>
  <si>
    <t>=NL("sum","Item Ledger Entry","Quantity","Item No.",$D3840,"Entry Type","Sale|Consumption","posting date","01/01/22..12/31/22")/-12</t>
  </si>
  <si>
    <t>=NL("sum","Item Ledger Entry","Quantity","Item No.",$D3840,"Entry Type","Sale|Consumption","posting date","01/01/23..12/31/23")/$J$7</t>
  </si>
  <si>
    <t>=AVERAGE(I3840:J3840)</t>
  </si>
  <si>
    <t>=NL(1,"item",L$9,"no.",D3840)</t>
  </si>
  <si>
    <t>=NL(1,"item",M$9,"no.",$D3840)</t>
  </si>
  <si>
    <t>=NL(1,"item","Units Per Parcel","no.",$D3840)</t>
  </si>
  <si>
    <t>=NL(1,"Prod. BOM Equipment","Fixed Prod. Time (Hours)","Production BOM No.",$D3840,"version code",$E3840,"Resource No.",O$9)</t>
  </si>
  <si>
    <t>=1/O3840</t>
  </si>
  <si>
    <t>=IF(NL(1,"Prod. BOM Equipment","Variable Prod. Time (Hours)","Production BOM No.",$D3840,"version code",$E3840,"Resource No.",$O$9)="",1,NL(1,"Prod. BOM Equipment","Variable Prod. Time (Hours)","Production BOM No.",$D3840,"version code",$E3840,"Resource No.",$O$9))</t>
  </si>
  <si>
    <t>=1/Q3840</t>
  </si>
  <si>
    <t>=R3840*N3840</t>
  </si>
  <si>
    <t>=IF(K3841=0,"hide","")</t>
  </si>
  <si>
    <t>=D3840</t>
  </si>
  <si>
    <t>=NL("sum","Production Order","Quantity","Source No.",$D3841,"Equipment Code",$L3841,"due date",F$8)/-12</t>
  </si>
  <si>
    <t>=NL("sum","Production Order","Quantity","Source No.",$D3841,"Equipment Code",$L3841,"due date",G$8)/-12</t>
  </si>
  <si>
    <t>=NL("sum","Production Order","Quantity","Source No.",$D3841,"Equipment Code",$L3841,"due date",H$8)/-12</t>
  </si>
  <si>
    <t>=NL("sum","Production Order","Quantity","Source No.",$D3841,"Equipment Code",$L3841,"due date",I$8)/-12</t>
  </si>
  <si>
    <t>=NL("sum","Production Order","Quantity","Source No.",$D3841,"Equipment Code",$L3841,"due date",J$8)/$J$7</t>
  </si>
  <si>
    <t>=AVERAGE(I3841:J3841)</t>
  </si>
  <si>
    <t>=IF(K3842=0,"hide","")</t>
  </si>
  <si>
    <t>=D3841</t>
  </si>
  <si>
    <t>=NL("sum","Production Order","Quantity","Source No.",$D3842,"Equipment Code",$L3842,"due date",F$8)/-12</t>
  </si>
  <si>
    <t>=NL("sum","Production Order","Quantity","Source No.",$D3842,"Equipment Code",$L3842,"due date",G$8)/-12</t>
  </si>
  <si>
    <t>=NL("sum","Production Order","Quantity","Source No.",$D3842,"Equipment Code",$L3842,"due date",H$8)/-12</t>
  </si>
  <si>
    <t>=NL("sum","Production Order","Quantity","Source No.",$D3842,"Equipment Code",$L3842,"due date",I$8)/-12</t>
  </si>
  <si>
    <t>=NL("sum","Production Order","Quantity","Source No.",$D3842,"Equipment Code",$L3842,"due date",J$8)/$J$7</t>
  </si>
  <si>
    <t>=AVERAGE(I3842:J3842)</t>
  </si>
  <si>
    <t>=IF(K3843=0,"hide","")</t>
  </si>
  <si>
    <t>=D3842</t>
  </si>
  <si>
    <t>=NL("sum","Production Order","Quantity","Source No.",$D3843,"Equipment Code",$L3843,"due date",F$8)/-12</t>
  </si>
  <si>
    <t>=NL("sum","Production Order","Quantity","Source No.",$D3843,"Equipment Code",$L3843,"due date",G$8)/-12</t>
  </si>
  <si>
    <t>=NL("sum","Production Order","Quantity","Source No.",$D3843,"Equipment Code",$L3843,"due date",H$8)/-12</t>
  </si>
  <si>
    <t>=NL("sum","Production Order","Quantity","Source No.",$D3843,"Equipment Code",$L3843,"due date",I$8)/-12</t>
  </si>
  <si>
    <t>=NL("sum","Production Order","Quantity","Source No.",$D3843,"Equipment Code",$L3843,"due date",J$8)/$J$7</t>
  </si>
  <si>
    <t>=AVERAGE(I3843:J3843)</t>
  </si>
  <si>
    <t>=IF(K3844=0,"hide","")</t>
  </si>
  <si>
    <t>=D3843</t>
  </si>
  <si>
    <t>=NL("sum","Production Order","Quantity","Source No.",$D3844,"Equipment Code",$L3844,"due date",F$8)/-12</t>
  </si>
  <si>
    <t>=NL("sum","Production Order","Quantity","Source No.",$D3844,"Equipment Code",$L3844,"due date",G$8)/-12</t>
  </si>
  <si>
    <t>=NL("sum","Production Order","Quantity","Source No.",$D3844,"Equipment Code",$L3844,"due date",H$8)/-12</t>
  </si>
  <si>
    <t>=NL("sum","Production Order","Quantity","Source No.",$D3844,"Equipment Code",$L3844,"due date",I$8)/-12</t>
  </si>
  <si>
    <t>=NL("sum","Production Order","Quantity","Source No.",$D3844,"Equipment Code",$L3844,"due date",J$8)/$J$7</t>
  </si>
  <si>
    <t>=AVERAGE(I3844:J3844)</t>
  </si>
  <si>
    <t>=B3841</t>
  </si>
  <si>
    <t>=B3845</t>
  </si>
  <si>
    <t>=SUM(F3841:F3845)</t>
  </si>
  <si>
    <t>=SUM(G3841:G3845)</t>
  </si>
  <si>
    <t>=SUM(H3841:H3845)</t>
  </si>
  <si>
    <t>=SUM(I3841:I3845)</t>
  </si>
  <si>
    <t>=SUM(J3841:J3845)</t>
  </si>
  <si>
    <t>=IF(K3847=0,"hide","")</t>
  </si>
  <si>
    <t>="51436"</t>
  </si>
  <si>
    <t>=NL("rows","Production BOM Version","Version Code","Production BOM No.",D3847,"status","certified")</t>
  </si>
  <si>
    <t>=NL("sum","Item Ledger Entry","Quantity","Item No.",$D3847,"Entry Type","Sale|Consumption","posting date","01/01/19..12/31/19")/-12</t>
  </si>
  <si>
    <t>=NL("sum","Item Ledger Entry","Quantity","Item No.",$D3847,"Entry Type","Sale|Consumption","posting date","01/01/20..12/31/20")/-12</t>
  </si>
  <si>
    <t>=NL("sum","Item Ledger Entry","Quantity","Item No.",$D3847,"Entry Type","Sale|Consumption","posting date","01/01/21..12/31/21")/-12</t>
  </si>
  <si>
    <t>=NL("sum","Item Ledger Entry","Quantity","Item No.",$D3847,"Entry Type","Sale|Consumption","posting date","01/01/22..12/31/22")/-12</t>
  </si>
  <si>
    <t>=NL("sum","Item Ledger Entry","Quantity","Item No.",$D3847,"Entry Type","Sale|Consumption","posting date","01/01/23..12/31/23")/$J$7</t>
  </si>
  <si>
    <t>=AVERAGE(I3847:J3847)</t>
  </si>
  <si>
    <t>=NL(1,"item",L$9,"no.",D3847)</t>
  </si>
  <si>
    <t>=NL(1,"item",M$9,"no.",$D3847)</t>
  </si>
  <si>
    <t>=NL(1,"item","Units Per Parcel","no.",$D3847)</t>
  </si>
  <si>
    <t>=NL(1,"Prod. BOM Equipment","Fixed Prod. Time (Hours)","Production BOM No.",$D3847,"version code",$E3847,"Resource No.",O$9)</t>
  </si>
  <si>
    <t>=1/O3847</t>
  </si>
  <si>
    <t>=IF(NL(1,"Prod. BOM Equipment","Variable Prod. Time (Hours)","Production BOM No.",$D3847,"version code",$E3847,"Resource No.",$O$9)="",1,NL(1,"Prod. BOM Equipment","Variable Prod. Time (Hours)","Production BOM No.",$D3847,"version code",$E3847,"Resource No.",$O$9))</t>
  </si>
  <si>
    <t>=1/Q3847</t>
  </si>
  <si>
    <t>=R3847*N3847</t>
  </si>
  <si>
    <t>=IF(K3848=0,"hide","")</t>
  </si>
  <si>
    <t>=D3847</t>
  </si>
  <si>
    <t>=NL("sum","Production Order","Quantity","Source No.",$D3848,"Equipment Code",$L3848,"due date",F$8)/-12</t>
  </si>
  <si>
    <t>=NL("sum","Production Order","Quantity","Source No.",$D3848,"Equipment Code",$L3848,"due date",G$8)/-12</t>
  </si>
  <si>
    <t>=NL("sum","Production Order","Quantity","Source No.",$D3848,"Equipment Code",$L3848,"due date",H$8)/-12</t>
  </si>
  <si>
    <t>=NL("sum","Production Order","Quantity","Source No.",$D3848,"Equipment Code",$L3848,"due date",I$8)/-12</t>
  </si>
  <si>
    <t>=NL("sum","Production Order","Quantity","Source No.",$D3848,"Equipment Code",$L3848,"due date",J$8)/$J$7</t>
  </si>
  <si>
    <t>=AVERAGE(I3848:J3848)</t>
  </si>
  <si>
    <t>=IF(K3849=0,"hide","")</t>
  </si>
  <si>
    <t>=D3848</t>
  </si>
  <si>
    <t>=NL("sum","Production Order","Quantity","Source No.",$D3849,"Equipment Code",$L3849,"due date",F$8)/-12</t>
  </si>
  <si>
    <t>=NL("sum","Production Order","Quantity","Source No.",$D3849,"Equipment Code",$L3849,"due date",G$8)/-12</t>
  </si>
  <si>
    <t>=NL("sum","Production Order","Quantity","Source No.",$D3849,"Equipment Code",$L3849,"due date",H$8)/-12</t>
  </si>
  <si>
    <t>=NL("sum","Production Order","Quantity","Source No.",$D3849,"Equipment Code",$L3849,"due date",I$8)/-12</t>
  </si>
  <si>
    <t>=NL("sum","Production Order","Quantity","Source No.",$D3849,"Equipment Code",$L3849,"due date",J$8)/$J$7</t>
  </si>
  <si>
    <t>=AVERAGE(I3849:J3849)</t>
  </si>
  <si>
    <t>=IF(K3850=0,"hide","")</t>
  </si>
  <si>
    <t>=D3849</t>
  </si>
  <si>
    <t>=NL("sum","Production Order","Quantity","Source No.",$D3850,"Equipment Code",$L3850,"due date",F$8)/-12</t>
  </si>
  <si>
    <t>=NL("sum","Production Order","Quantity","Source No.",$D3850,"Equipment Code",$L3850,"due date",G$8)/-12</t>
  </si>
  <si>
    <t>=NL("sum","Production Order","Quantity","Source No.",$D3850,"Equipment Code",$L3850,"due date",H$8)/-12</t>
  </si>
  <si>
    <t>=NL("sum","Production Order","Quantity","Source No.",$D3850,"Equipment Code",$L3850,"due date",I$8)/-12</t>
  </si>
  <si>
    <t>=NL("sum","Production Order","Quantity","Source No.",$D3850,"Equipment Code",$L3850,"due date",J$8)/$J$7</t>
  </si>
  <si>
    <t>=AVERAGE(I3850:J3850)</t>
  </si>
  <si>
    <t>=IF(K3851=0,"hide","")</t>
  </si>
  <si>
    <t>=D3850</t>
  </si>
  <si>
    <t>=NL("sum","Production Order","Quantity","Source No.",$D3851,"Equipment Code",$L3851,"due date",F$8)/-12</t>
  </si>
  <si>
    <t>=NL("sum","Production Order","Quantity","Source No.",$D3851,"Equipment Code",$L3851,"due date",G$8)/-12</t>
  </si>
  <si>
    <t>=NL("sum","Production Order","Quantity","Source No.",$D3851,"Equipment Code",$L3851,"due date",H$8)/-12</t>
  </si>
  <si>
    <t>=NL("sum","Production Order","Quantity","Source No.",$D3851,"Equipment Code",$L3851,"due date",I$8)/-12</t>
  </si>
  <si>
    <t>=NL("sum","Production Order","Quantity","Source No.",$D3851,"Equipment Code",$L3851,"due date",J$8)/$J$7</t>
  </si>
  <si>
    <t>=AVERAGE(I3851:J3851)</t>
  </si>
  <si>
    <t>=B3848</t>
  </si>
  <si>
    <t>=B3852</t>
  </si>
  <si>
    <t>=SUM(F3848:F3852)</t>
  </si>
  <si>
    <t>=SUM(G3848:G3852)</t>
  </si>
  <si>
    <t>=SUM(H3848:H3852)</t>
  </si>
  <si>
    <t>=SUM(I3848:I3852)</t>
  </si>
  <si>
    <t>=SUM(J3848:J3852)</t>
  </si>
  <si>
    <t>=IF(K3854=0,"hide","")</t>
  </si>
  <si>
    <t>=NL("rows","Production BOM Version","Version Code","Production BOM No.",D3854,"status","certified")</t>
  </si>
  <si>
    <t>=NL("sum","Item Ledger Entry","Quantity","Item No.",$D3854,"Entry Type","Sale|Consumption","posting date","01/01/19..12/31/19")/-12</t>
  </si>
  <si>
    <t>=NL("sum","Item Ledger Entry","Quantity","Item No.",$D3854,"Entry Type","Sale|Consumption","posting date","01/01/20..12/31/20")/-12</t>
  </si>
  <si>
    <t>=NL("sum","Item Ledger Entry","Quantity","Item No.",$D3854,"Entry Type","Sale|Consumption","posting date","01/01/21..12/31/21")/-12</t>
  </si>
  <si>
    <t>=NL("sum","Item Ledger Entry","Quantity","Item No.",$D3854,"Entry Type","Sale|Consumption","posting date","01/01/22..12/31/22")/-12</t>
  </si>
  <si>
    <t>=NL("sum","Item Ledger Entry","Quantity","Item No.",$D3854,"Entry Type","Sale|Consumption","posting date","01/01/23..12/31/23")/$J$7</t>
  </si>
  <si>
    <t>=AVERAGE(I3854:J3854)</t>
  </si>
  <si>
    <t>=NL(1,"item",L$9,"no.",D3854)</t>
  </si>
  <si>
    <t>=NL(1,"item",M$9,"no.",$D3854)</t>
  </si>
  <si>
    <t>=NL(1,"item","Units Per Parcel","no.",$D3854)</t>
  </si>
  <si>
    <t>=NL(1,"Prod. BOM Equipment","Fixed Prod. Time (Hours)","Production BOM No.",$D3854,"version code",$E3854,"Resource No.",O$9)</t>
  </si>
  <si>
    <t>=1/O3854</t>
  </si>
  <si>
    <t>=IF(NL(1,"Prod. BOM Equipment","Variable Prod. Time (Hours)","Production BOM No.",$D3854,"version code",$E3854,"Resource No.",$O$9)="",1,NL(1,"Prod. BOM Equipment","Variable Prod. Time (Hours)","Production BOM No.",$D3854,"version code",$E3854,"Resource No.",$O$9))</t>
  </si>
  <si>
    <t>=1/Q3854</t>
  </si>
  <si>
    <t>=R3854*N3854</t>
  </si>
  <si>
    <t>=IF(K3855=0,"hide","")</t>
  </si>
  <si>
    <t>=D3854</t>
  </si>
  <si>
    <t>=NL("sum","Production Order","Quantity","Source No.",$D3855,"Equipment Code",$L3855,"due date",F$8)/-12</t>
  </si>
  <si>
    <t>=NL("sum","Production Order","Quantity","Source No.",$D3855,"Equipment Code",$L3855,"due date",G$8)/-12</t>
  </si>
  <si>
    <t>=NL("sum","Production Order","Quantity","Source No.",$D3855,"Equipment Code",$L3855,"due date",H$8)/-12</t>
  </si>
  <si>
    <t>=NL("sum","Production Order","Quantity","Source No.",$D3855,"Equipment Code",$L3855,"due date",I$8)/-12</t>
  </si>
  <si>
    <t>=NL("sum","Production Order","Quantity","Source No.",$D3855,"Equipment Code",$L3855,"due date",J$8)/$J$7</t>
  </si>
  <si>
    <t>=AVERAGE(I3855:J3855)</t>
  </si>
  <si>
    <t>=IF(K3856=0,"hide","")</t>
  </si>
  <si>
    <t>=D3855</t>
  </si>
  <si>
    <t>=NL("sum","Production Order","Quantity","Source No.",$D3856,"Equipment Code",$L3856,"due date",F$8)/-12</t>
  </si>
  <si>
    <t>=NL("sum","Production Order","Quantity","Source No.",$D3856,"Equipment Code",$L3856,"due date",G$8)/-12</t>
  </si>
  <si>
    <t>=NL("sum","Production Order","Quantity","Source No.",$D3856,"Equipment Code",$L3856,"due date",H$8)/-12</t>
  </si>
  <si>
    <t>=NL("sum","Production Order","Quantity","Source No.",$D3856,"Equipment Code",$L3856,"due date",I$8)/-12</t>
  </si>
  <si>
    <t>=NL("sum","Production Order","Quantity","Source No.",$D3856,"Equipment Code",$L3856,"due date",J$8)/$J$7</t>
  </si>
  <si>
    <t>=AVERAGE(I3856:J3856)</t>
  </si>
  <si>
    <t>=IF(K3857=0,"hide","")</t>
  </si>
  <si>
    <t>=D3856</t>
  </si>
  <si>
    <t>=NL("sum","Production Order","Quantity","Source No.",$D3857,"Equipment Code",$L3857,"due date",F$8)/-12</t>
  </si>
  <si>
    <t>=NL("sum","Production Order","Quantity","Source No.",$D3857,"Equipment Code",$L3857,"due date",G$8)/-12</t>
  </si>
  <si>
    <t>=NL("sum","Production Order","Quantity","Source No.",$D3857,"Equipment Code",$L3857,"due date",H$8)/-12</t>
  </si>
  <si>
    <t>=NL("sum","Production Order","Quantity","Source No.",$D3857,"Equipment Code",$L3857,"due date",I$8)/-12</t>
  </si>
  <si>
    <t>=NL("sum","Production Order","Quantity","Source No.",$D3857,"Equipment Code",$L3857,"due date",J$8)/$J$7</t>
  </si>
  <si>
    <t>=AVERAGE(I3857:J3857)</t>
  </si>
  <si>
    <t>=IF(K3858=0,"hide","")</t>
  </si>
  <si>
    <t>=D3857</t>
  </si>
  <si>
    <t>=NL("sum","Production Order","Quantity","Source No.",$D3858,"Equipment Code",$L3858,"due date",F$8)/-12</t>
  </si>
  <si>
    <t>=NL("sum","Production Order","Quantity","Source No.",$D3858,"Equipment Code",$L3858,"due date",G$8)/-12</t>
  </si>
  <si>
    <t>=NL("sum","Production Order","Quantity","Source No.",$D3858,"Equipment Code",$L3858,"due date",H$8)/-12</t>
  </si>
  <si>
    <t>=NL("sum","Production Order","Quantity","Source No.",$D3858,"Equipment Code",$L3858,"due date",I$8)/-12</t>
  </si>
  <si>
    <t>=NL("sum","Production Order","Quantity","Source No.",$D3858,"Equipment Code",$L3858,"due date",J$8)/$J$7</t>
  </si>
  <si>
    <t>=AVERAGE(I3858:J3858)</t>
  </si>
  <si>
    <t>=B3855</t>
  </si>
  <si>
    <t>=B3859</t>
  </si>
  <si>
    <t>=SUM(F3855:F3859)</t>
  </si>
  <si>
    <t>=SUM(G3855:G3859)</t>
  </si>
  <si>
    <t>=SUM(H3855:H3859)</t>
  </si>
  <si>
    <t>=SUM(I3855:I3859)</t>
  </si>
  <si>
    <t>=SUM(J3855:J3859)</t>
  </si>
  <si>
    <t>=IF(K3861=0,"hide","")</t>
  </si>
  <si>
    <t>="51503"</t>
  </si>
  <si>
    <t>=NL("rows","Production BOM Version","Version Code","Production BOM No.",D3861,"status","certified")</t>
  </si>
  <si>
    <t>=NL("sum","Item Ledger Entry","Quantity","Item No.",$D3861,"Entry Type","Sale|Consumption","posting date","01/01/19..12/31/19")/-12</t>
  </si>
  <si>
    <t>=NL("sum","Item Ledger Entry","Quantity","Item No.",$D3861,"Entry Type","Sale|Consumption","posting date","01/01/20..12/31/20")/-12</t>
  </si>
  <si>
    <t>=NL("sum","Item Ledger Entry","Quantity","Item No.",$D3861,"Entry Type","Sale|Consumption","posting date","01/01/21..12/31/21")/-12</t>
  </si>
  <si>
    <t>=NL("sum","Item Ledger Entry","Quantity","Item No.",$D3861,"Entry Type","Sale|Consumption","posting date","01/01/22..12/31/22")/-12</t>
  </si>
  <si>
    <t>=NL("sum","Item Ledger Entry","Quantity","Item No.",$D3861,"Entry Type","Sale|Consumption","posting date","01/01/23..12/31/23")/$J$7</t>
  </si>
  <si>
    <t>=AVERAGE(I3861:J3861)</t>
  </si>
  <si>
    <t>=NL(1,"item",L$9,"no.",D3861)</t>
  </si>
  <si>
    <t>=NL(1,"item",M$9,"no.",$D3861)</t>
  </si>
  <si>
    <t>=NL(1,"item","Units Per Parcel","no.",$D3861)</t>
  </si>
  <si>
    <t>=NL(1,"Prod. BOM Equipment","Fixed Prod. Time (Hours)","Production BOM No.",$D3861,"version code",$E3861,"Resource No.",O$9)</t>
  </si>
  <si>
    <t>=1/O3861</t>
  </si>
  <si>
    <t>=IF(NL(1,"Prod. BOM Equipment","Variable Prod. Time (Hours)","Production BOM No.",$D3861,"version code",$E3861,"Resource No.",$O$9)="",1,NL(1,"Prod. BOM Equipment","Variable Prod. Time (Hours)","Production BOM No.",$D3861,"version code",$E3861,"Resource No.",$O$9))</t>
  </si>
  <si>
    <t>=1/Q3861</t>
  </si>
  <si>
    <t>=R3861*N3861</t>
  </si>
  <si>
    <t>=IF(K3862=0,"hide","")</t>
  </si>
  <si>
    <t>=D3861</t>
  </si>
  <si>
    <t>=NL("sum","Production Order","Quantity","Source No.",$D3862,"Equipment Code",$L3862,"due date",F$8)/-12</t>
  </si>
  <si>
    <t>=NL("sum","Production Order","Quantity","Source No.",$D3862,"Equipment Code",$L3862,"due date",G$8)/-12</t>
  </si>
  <si>
    <t>=NL("sum","Production Order","Quantity","Source No.",$D3862,"Equipment Code",$L3862,"due date",H$8)/-12</t>
  </si>
  <si>
    <t>=NL("sum","Production Order","Quantity","Source No.",$D3862,"Equipment Code",$L3862,"due date",I$8)/-12</t>
  </si>
  <si>
    <t>=NL("sum","Production Order","Quantity","Source No.",$D3862,"Equipment Code",$L3862,"due date",J$8)/$J$7</t>
  </si>
  <si>
    <t>=AVERAGE(I3862:J3862)</t>
  </si>
  <si>
    <t>=IF(K3863=0,"hide","")</t>
  </si>
  <si>
    <t>=D3862</t>
  </si>
  <si>
    <t>=NL("sum","Production Order","Quantity","Source No.",$D3863,"Equipment Code",$L3863,"due date",F$8)/-12</t>
  </si>
  <si>
    <t>=NL("sum","Production Order","Quantity","Source No.",$D3863,"Equipment Code",$L3863,"due date",G$8)/-12</t>
  </si>
  <si>
    <t>=NL("sum","Production Order","Quantity","Source No.",$D3863,"Equipment Code",$L3863,"due date",H$8)/-12</t>
  </si>
  <si>
    <t>=NL("sum","Production Order","Quantity","Source No.",$D3863,"Equipment Code",$L3863,"due date",I$8)/-12</t>
  </si>
  <si>
    <t>=NL("sum","Production Order","Quantity","Source No.",$D3863,"Equipment Code",$L3863,"due date",J$8)/$J$7</t>
  </si>
  <si>
    <t>=AVERAGE(I3863:J3863)</t>
  </si>
  <si>
    <t>=IF(K3864=0,"hide","")</t>
  </si>
  <si>
    <t>=D3863</t>
  </si>
  <si>
    <t>=NL("sum","Production Order","Quantity","Source No.",$D3864,"Equipment Code",$L3864,"due date",F$8)/-12</t>
  </si>
  <si>
    <t>=NL("sum","Production Order","Quantity","Source No.",$D3864,"Equipment Code",$L3864,"due date",G$8)/-12</t>
  </si>
  <si>
    <t>=NL("sum","Production Order","Quantity","Source No.",$D3864,"Equipment Code",$L3864,"due date",H$8)/-12</t>
  </si>
  <si>
    <t>=NL("sum","Production Order","Quantity","Source No.",$D3864,"Equipment Code",$L3864,"due date",I$8)/-12</t>
  </si>
  <si>
    <t>=NL("sum","Production Order","Quantity","Source No.",$D3864,"Equipment Code",$L3864,"due date",J$8)/$J$7</t>
  </si>
  <si>
    <t>=AVERAGE(I3864:J3864)</t>
  </si>
  <si>
    <t>=IF(K3865=0,"hide","")</t>
  </si>
  <si>
    <t>=D3864</t>
  </si>
  <si>
    <t>=NL("sum","Production Order","Quantity","Source No.",$D3865,"Equipment Code",$L3865,"due date",F$8)/-12</t>
  </si>
  <si>
    <t>=NL("sum","Production Order","Quantity","Source No.",$D3865,"Equipment Code",$L3865,"due date",G$8)/-12</t>
  </si>
  <si>
    <t>=NL("sum","Production Order","Quantity","Source No.",$D3865,"Equipment Code",$L3865,"due date",H$8)/-12</t>
  </si>
  <si>
    <t>=NL("sum","Production Order","Quantity","Source No.",$D3865,"Equipment Code",$L3865,"due date",I$8)/-12</t>
  </si>
  <si>
    <t>=NL("sum","Production Order","Quantity","Source No.",$D3865,"Equipment Code",$L3865,"due date",J$8)/$J$7</t>
  </si>
  <si>
    <t>=AVERAGE(I3865:J3865)</t>
  </si>
  <si>
    <t>=B3862</t>
  </si>
  <si>
    <t>=B3866</t>
  </si>
  <si>
    <t>=SUM(F3862:F3866)</t>
  </si>
  <si>
    <t>=SUM(G3862:G3866)</t>
  </si>
  <si>
    <t>=SUM(H3862:H3866)</t>
  </si>
  <si>
    <t>=SUM(I3862:I3866)</t>
  </si>
  <si>
    <t>=SUM(J3862:J3866)</t>
  </si>
  <si>
    <t>=IF(K3868=0,"hide","")</t>
  </si>
  <si>
    <t>=NL("rows","Production BOM Version","Version Code","Production BOM No.",D3868,"status","certified")</t>
  </si>
  <si>
    <t>=NL("sum","Item Ledger Entry","Quantity","Item No.",$D3868,"Entry Type","Sale|Consumption","posting date","01/01/19..12/31/19")/-12</t>
  </si>
  <si>
    <t>=NL("sum","Item Ledger Entry","Quantity","Item No.",$D3868,"Entry Type","Sale|Consumption","posting date","01/01/20..12/31/20")/-12</t>
  </si>
  <si>
    <t>=NL("sum","Item Ledger Entry","Quantity","Item No.",$D3868,"Entry Type","Sale|Consumption","posting date","01/01/21..12/31/21")/-12</t>
  </si>
  <si>
    <t>=NL("sum","Item Ledger Entry","Quantity","Item No.",$D3868,"Entry Type","Sale|Consumption","posting date","01/01/22..12/31/22")/-12</t>
  </si>
  <si>
    <t>=NL("sum","Item Ledger Entry","Quantity","Item No.",$D3868,"Entry Type","Sale|Consumption","posting date","01/01/23..12/31/23")/$J$7</t>
  </si>
  <si>
    <t>=AVERAGE(I3868:J3868)</t>
  </si>
  <si>
    <t>=NL(1,"item",L$9,"no.",D3868)</t>
  </si>
  <si>
    <t>=NL(1,"item",M$9,"no.",$D3868)</t>
  </si>
  <si>
    <t>=NL(1,"item","Units Per Parcel","no.",$D3868)</t>
  </si>
  <si>
    <t>=NL(1,"Prod. BOM Equipment","Fixed Prod. Time (Hours)","Production BOM No.",$D3868,"version code",$E3868,"Resource No.",O$9)</t>
  </si>
  <si>
    <t>=1/O3868</t>
  </si>
  <si>
    <t>=IF(NL(1,"Prod. BOM Equipment","Variable Prod. Time (Hours)","Production BOM No.",$D3868,"version code",$E3868,"Resource No.",$O$9)="",1,NL(1,"Prod. BOM Equipment","Variable Prod. Time (Hours)","Production BOM No.",$D3868,"version code",$E3868,"Resource No.",$O$9))</t>
  </si>
  <si>
    <t>=1/Q3868</t>
  </si>
  <si>
    <t>=R3868*N3868</t>
  </si>
  <si>
    <t>=IF(K3869=0,"hide","")</t>
  </si>
  <si>
    <t>=D3868</t>
  </si>
  <si>
    <t>=NL("sum","Production Order","Quantity","Source No.",$D3869,"Equipment Code",$L3869,"due date",F$8)/-12</t>
  </si>
  <si>
    <t>=NL("sum","Production Order","Quantity","Source No.",$D3869,"Equipment Code",$L3869,"due date",G$8)/-12</t>
  </si>
  <si>
    <t>=NL("sum","Production Order","Quantity","Source No.",$D3869,"Equipment Code",$L3869,"due date",H$8)/-12</t>
  </si>
  <si>
    <t>=NL("sum","Production Order","Quantity","Source No.",$D3869,"Equipment Code",$L3869,"due date",I$8)/-12</t>
  </si>
  <si>
    <t>=NL("sum","Production Order","Quantity","Source No.",$D3869,"Equipment Code",$L3869,"due date",J$8)/$J$7</t>
  </si>
  <si>
    <t>=AVERAGE(I3869:J3869)</t>
  </si>
  <si>
    <t>=IF(K3870=0,"hide","")</t>
  </si>
  <si>
    <t>=D3869</t>
  </si>
  <si>
    <t>=NL("sum","Production Order","Quantity","Source No.",$D3870,"Equipment Code",$L3870,"due date",F$8)/-12</t>
  </si>
  <si>
    <t>=NL("sum","Production Order","Quantity","Source No.",$D3870,"Equipment Code",$L3870,"due date",G$8)/-12</t>
  </si>
  <si>
    <t>=NL("sum","Production Order","Quantity","Source No.",$D3870,"Equipment Code",$L3870,"due date",H$8)/-12</t>
  </si>
  <si>
    <t>=NL("sum","Production Order","Quantity","Source No.",$D3870,"Equipment Code",$L3870,"due date",I$8)/-12</t>
  </si>
  <si>
    <t>=NL("sum","Production Order","Quantity","Source No.",$D3870,"Equipment Code",$L3870,"due date",J$8)/$J$7</t>
  </si>
  <si>
    <t>=AVERAGE(I3870:J3870)</t>
  </si>
  <si>
    <t>=IF(K3871=0,"hide","")</t>
  </si>
  <si>
    <t>=D3870</t>
  </si>
  <si>
    <t>=NL("sum","Production Order","Quantity","Source No.",$D3871,"Equipment Code",$L3871,"due date",F$8)/-12</t>
  </si>
  <si>
    <t>=NL("sum","Production Order","Quantity","Source No.",$D3871,"Equipment Code",$L3871,"due date",G$8)/-12</t>
  </si>
  <si>
    <t>=NL("sum","Production Order","Quantity","Source No.",$D3871,"Equipment Code",$L3871,"due date",H$8)/-12</t>
  </si>
  <si>
    <t>=NL("sum","Production Order","Quantity","Source No.",$D3871,"Equipment Code",$L3871,"due date",I$8)/-12</t>
  </si>
  <si>
    <t>=NL("sum","Production Order","Quantity","Source No.",$D3871,"Equipment Code",$L3871,"due date",J$8)/$J$7</t>
  </si>
  <si>
    <t>=AVERAGE(I3871:J3871)</t>
  </si>
  <si>
    <t>=IF(K3872=0,"hide","")</t>
  </si>
  <si>
    <t>=D3871</t>
  </si>
  <si>
    <t>=NL("sum","Production Order","Quantity","Source No.",$D3872,"Equipment Code",$L3872,"due date",F$8)/-12</t>
  </si>
  <si>
    <t>=NL("sum","Production Order","Quantity","Source No.",$D3872,"Equipment Code",$L3872,"due date",G$8)/-12</t>
  </si>
  <si>
    <t>=NL("sum","Production Order","Quantity","Source No.",$D3872,"Equipment Code",$L3872,"due date",H$8)/-12</t>
  </si>
  <si>
    <t>=NL("sum","Production Order","Quantity","Source No.",$D3872,"Equipment Code",$L3872,"due date",I$8)/-12</t>
  </si>
  <si>
    <t>=NL("sum","Production Order","Quantity","Source No.",$D3872,"Equipment Code",$L3872,"due date",J$8)/$J$7</t>
  </si>
  <si>
    <t>=AVERAGE(I3872:J3872)</t>
  </si>
  <si>
    <t>=B3869</t>
  </si>
  <si>
    <t>=B3873</t>
  </si>
  <si>
    <t>=SUM(F3869:F3873)</t>
  </si>
  <si>
    <t>=SUM(G3869:G3873)</t>
  </si>
  <si>
    <t>=SUM(H3869:H3873)</t>
  </si>
  <si>
    <t>=SUM(I3869:I3873)</t>
  </si>
  <si>
    <t>=SUM(J3869:J3873)</t>
  </si>
  <si>
    <t>=IF(K3875=0,"hide","")</t>
  </si>
  <si>
    <t>="51619"</t>
  </si>
  <si>
    <t>=NL("rows","Production BOM Version","Version Code","Production BOM No.",D3875,"status","certified")</t>
  </si>
  <si>
    <t>=NL("sum","Item Ledger Entry","Quantity","Item No.",$D3875,"Entry Type","Sale|Consumption","posting date","01/01/19..12/31/19")/-12</t>
  </si>
  <si>
    <t>=NL("sum","Item Ledger Entry","Quantity","Item No.",$D3875,"Entry Type","Sale|Consumption","posting date","01/01/20..12/31/20")/-12</t>
  </si>
  <si>
    <t>=NL("sum","Item Ledger Entry","Quantity","Item No.",$D3875,"Entry Type","Sale|Consumption","posting date","01/01/21..12/31/21")/-12</t>
  </si>
  <si>
    <t>=NL("sum","Item Ledger Entry","Quantity","Item No.",$D3875,"Entry Type","Sale|Consumption","posting date","01/01/22..12/31/22")/-12</t>
  </si>
  <si>
    <t>=NL("sum","Item Ledger Entry","Quantity","Item No.",$D3875,"Entry Type","Sale|Consumption","posting date","01/01/23..12/31/23")/$J$7</t>
  </si>
  <si>
    <t>=AVERAGE(I3875:J3875)</t>
  </si>
  <si>
    <t>=NL(1,"item",L$9,"no.",D3875)</t>
  </si>
  <si>
    <t>=NL(1,"item",M$9,"no.",$D3875)</t>
  </si>
  <si>
    <t>=NL(1,"item","Units Per Parcel","no.",$D3875)</t>
  </si>
  <si>
    <t>=NL(1,"Prod. BOM Equipment","Fixed Prod. Time (Hours)","Production BOM No.",$D3875,"version code",$E3875,"Resource No.",O$9)</t>
  </si>
  <si>
    <t>=1/O3875</t>
  </si>
  <si>
    <t>=IF(NL(1,"Prod. BOM Equipment","Variable Prod. Time (Hours)","Production BOM No.",$D3875,"version code",$E3875,"Resource No.",$O$9)="",1,NL(1,"Prod. BOM Equipment","Variable Prod. Time (Hours)","Production BOM No.",$D3875,"version code",$E3875,"Resource No.",$O$9))</t>
  </si>
  <si>
    <t>=1/Q3875</t>
  </si>
  <si>
    <t>=R3875*N3875</t>
  </si>
  <si>
    <t>=IF(K3876=0,"hide","")</t>
  </si>
  <si>
    <t>=D3875</t>
  </si>
  <si>
    <t>=NL("sum","Production Order","Quantity","Source No.",$D3876,"Equipment Code",$L3876,"due date",F$8)/-12</t>
  </si>
  <si>
    <t>=NL("sum","Production Order","Quantity","Source No.",$D3876,"Equipment Code",$L3876,"due date",G$8)/-12</t>
  </si>
  <si>
    <t>=NL("sum","Production Order","Quantity","Source No.",$D3876,"Equipment Code",$L3876,"due date",H$8)/-12</t>
  </si>
  <si>
    <t>=NL("sum","Production Order","Quantity","Source No.",$D3876,"Equipment Code",$L3876,"due date",I$8)/-12</t>
  </si>
  <si>
    <t>=NL("sum","Production Order","Quantity","Source No.",$D3876,"Equipment Code",$L3876,"due date",J$8)/$J$7</t>
  </si>
  <si>
    <t>=AVERAGE(I3876:J3876)</t>
  </si>
  <si>
    <t>=IF(K3877=0,"hide","")</t>
  </si>
  <si>
    <t>=D3876</t>
  </si>
  <si>
    <t>=NL("sum","Production Order","Quantity","Source No.",$D3877,"Equipment Code",$L3877,"due date",F$8)/-12</t>
  </si>
  <si>
    <t>=NL("sum","Production Order","Quantity","Source No.",$D3877,"Equipment Code",$L3877,"due date",G$8)/-12</t>
  </si>
  <si>
    <t>=NL("sum","Production Order","Quantity","Source No.",$D3877,"Equipment Code",$L3877,"due date",H$8)/-12</t>
  </si>
  <si>
    <t>=NL("sum","Production Order","Quantity","Source No.",$D3877,"Equipment Code",$L3877,"due date",I$8)/-12</t>
  </si>
  <si>
    <t>=NL("sum","Production Order","Quantity","Source No.",$D3877,"Equipment Code",$L3877,"due date",J$8)/$J$7</t>
  </si>
  <si>
    <t>=AVERAGE(I3877:J3877)</t>
  </si>
  <si>
    <t>=IF(K3878=0,"hide","")</t>
  </si>
  <si>
    <t>=D3877</t>
  </si>
  <si>
    <t>=NL("sum","Production Order","Quantity","Source No.",$D3878,"Equipment Code",$L3878,"due date",F$8)/-12</t>
  </si>
  <si>
    <t>=NL("sum","Production Order","Quantity","Source No.",$D3878,"Equipment Code",$L3878,"due date",G$8)/-12</t>
  </si>
  <si>
    <t>=NL("sum","Production Order","Quantity","Source No.",$D3878,"Equipment Code",$L3878,"due date",H$8)/-12</t>
  </si>
  <si>
    <t>=NL("sum","Production Order","Quantity","Source No.",$D3878,"Equipment Code",$L3878,"due date",I$8)/-12</t>
  </si>
  <si>
    <t>=NL("sum","Production Order","Quantity","Source No.",$D3878,"Equipment Code",$L3878,"due date",J$8)/$J$7</t>
  </si>
  <si>
    <t>=AVERAGE(I3878:J3878)</t>
  </si>
  <si>
    <t>=IF(K3879=0,"hide","")</t>
  </si>
  <si>
    <t>=D3878</t>
  </si>
  <si>
    <t>=NL("sum","Production Order","Quantity","Source No.",$D3879,"Equipment Code",$L3879,"due date",F$8)/-12</t>
  </si>
  <si>
    <t>=NL("sum","Production Order","Quantity","Source No.",$D3879,"Equipment Code",$L3879,"due date",G$8)/-12</t>
  </si>
  <si>
    <t>=NL("sum","Production Order","Quantity","Source No.",$D3879,"Equipment Code",$L3879,"due date",H$8)/-12</t>
  </si>
  <si>
    <t>=NL("sum","Production Order","Quantity","Source No.",$D3879,"Equipment Code",$L3879,"due date",I$8)/-12</t>
  </si>
  <si>
    <t>=NL("sum","Production Order","Quantity","Source No.",$D3879,"Equipment Code",$L3879,"due date",J$8)/$J$7</t>
  </si>
  <si>
    <t>=AVERAGE(I3879:J3879)</t>
  </si>
  <si>
    <t>=B3876</t>
  </si>
  <si>
    <t>=B3880</t>
  </si>
  <si>
    <t>=SUM(F3876:F3880)</t>
  </si>
  <si>
    <t>=SUM(G3876:G3880)</t>
  </si>
  <si>
    <t>=SUM(H3876:H3880)</t>
  </si>
  <si>
    <t>=SUM(I3876:I3880)</t>
  </si>
  <si>
    <t>=SUM(J3876:J3880)</t>
  </si>
  <si>
    <t>=IF(K3882=0,"hide","")</t>
  </si>
  <si>
    <t>=NL("rows","Production BOM Version","Version Code","Production BOM No.",D3882,"status","certified")</t>
  </si>
  <si>
    <t>=NL("sum","Item Ledger Entry","Quantity","Item No.",$D3882,"Entry Type","Sale|Consumption","posting date","01/01/19..12/31/19")/-12</t>
  </si>
  <si>
    <t>=NL("sum","Item Ledger Entry","Quantity","Item No.",$D3882,"Entry Type","Sale|Consumption","posting date","01/01/20..12/31/20")/-12</t>
  </si>
  <si>
    <t>=NL("sum","Item Ledger Entry","Quantity","Item No.",$D3882,"Entry Type","Sale|Consumption","posting date","01/01/21..12/31/21")/-12</t>
  </si>
  <si>
    <t>=NL("sum","Item Ledger Entry","Quantity","Item No.",$D3882,"Entry Type","Sale|Consumption","posting date","01/01/22..12/31/22")/-12</t>
  </si>
  <si>
    <t>=NL("sum","Item Ledger Entry","Quantity","Item No.",$D3882,"Entry Type","Sale|Consumption","posting date","01/01/23..12/31/23")/$J$7</t>
  </si>
  <si>
    <t>=AVERAGE(I3882:J3882)</t>
  </si>
  <si>
    <t>=NL(1,"item",L$9,"no.",D3882)</t>
  </si>
  <si>
    <t>=NL(1,"item",M$9,"no.",$D3882)</t>
  </si>
  <si>
    <t>=NL(1,"item","Units Per Parcel","no.",$D3882)</t>
  </si>
  <si>
    <t>=NL(1,"Prod. BOM Equipment","Fixed Prod. Time (Hours)","Production BOM No.",$D3882,"version code",$E3882,"Resource No.",O$9)</t>
  </si>
  <si>
    <t>=1/O3882</t>
  </si>
  <si>
    <t>=IF(NL(1,"Prod. BOM Equipment","Variable Prod. Time (Hours)","Production BOM No.",$D3882,"version code",$E3882,"Resource No.",$O$9)="",1,NL(1,"Prod. BOM Equipment","Variable Prod. Time (Hours)","Production BOM No.",$D3882,"version code",$E3882,"Resource No.",$O$9))</t>
  </si>
  <si>
    <t>=1/Q3882</t>
  </si>
  <si>
    <t>=R3882*N3882</t>
  </si>
  <si>
    <t>=IF(K3883=0,"hide","")</t>
  </si>
  <si>
    <t>=D3882</t>
  </si>
  <si>
    <t>=NL("sum","Production Order","Quantity","Source No.",$D3883,"Equipment Code",$L3883,"due date",F$8)/-12</t>
  </si>
  <si>
    <t>=NL("sum","Production Order","Quantity","Source No.",$D3883,"Equipment Code",$L3883,"due date",G$8)/-12</t>
  </si>
  <si>
    <t>=NL("sum","Production Order","Quantity","Source No.",$D3883,"Equipment Code",$L3883,"due date",H$8)/-12</t>
  </si>
  <si>
    <t>=NL("sum","Production Order","Quantity","Source No.",$D3883,"Equipment Code",$L3883,"due date",I$8)/-12</t>
  </si>
  <si>
    <t>=NL("sum","Production Order","Quantity","Source No.",$D3883,"Equipment Code",$L3883,"due date",J$8)/$J$7</t>
  </si>
  <si>
    <t>=AVERAGE(I3883:J3883)</t>
  </si>
  <si>
    <t>=IF(K3884=0,"hide","")</t>
  </si>
  <si>
    <t>=D3883</t>
  </si>
  <si>
    <t>=NL("sum","Production Order","Quantity","Source No.",$D3884,"Equipment Code",$L3884,"due date",F$8)/-12</t>
  </si>
  <si>
    <t>=NL("sum","Production Order","Quantity","Source No.",$D3884,"Equipment Code",$L3884,"due date",G$8)/-12</t>
  </si>
  <si>
    <t>=NL("sum","Production Order","Quantity","Source No.",$D3884,"Equipment Code",$L3884,"due date",H$8)/-12</t>
  </si>
  <si>
    <t>=NL("sum","Production Order","Quantity","Source No.",$D3884,"Equipment Code",$L3884,"due date",I$8)/-12</t>
  </si>
  <si>
    <t>=NL("sum","Production Order","Quantity","Source No.",$D3884,"Equipment Code",$L3884,"due date",J$8)/$J$7</t>
  </si>
  <si>
    <t>=AVERAGE(I3884:J3884)</t>
  </si>
  <si>
    <t>=IF(K3885=0,"hide","")</t>
  </si>
  <si>
    <t>=D3884</t>
  </si>
  <si>
    <t>=NL("sum","Production Order","Quantity","Source No.",$D3885,"Equipment Code",$L3885,"due date",F$8)/-12</t>
  </si>
  <si>
    <t>=NL("sum","Production Order","Quantity","Source No.",$D3885,"Equipment Code",$L3885,"due date",G$8)/-12</t>
  </si>
  <si>
    <t>=NL("sum","Production Order","Quantity","Source No.",$D3885,"Equipment Code",$L3885,"due date",H$8)/-12</t>
  </si>
  <si>
    <t>=NL("sum","Production Order","Quantity","Source No.",$D3885,"Equipment Code",$L3885,"due date",I$8)/-12</t>
  </si>
  <si>
    <t>=NL("sum","Production Order","Quantity","Source No.",$D3885,"Equipment Code",$L3885,"due date",J$8)/$J$7</t>
  </si>
  <si>
    <t>=AVERAGE(I3885:J3885)</t>
  </si>
  <si>
    <t>=IF(K3886=0,"hide","")</t>
  </si>
  <si>
    <t>=D3885</t>
  </si>
  <si>
    <t>=NL("sum","Production Order","Quantity","Source No.",$D3886,"Equipment Code",$L3886,"due date",F$8)/-12</t>
  </si>
  <si>
    <t>=NL("sum","Production Order","Quantity","Source No.",$D3886,"Equipment Code",$L3886,"due date",G$8)/-12</t>
  </si>
  <si>
    <t>=NL("sum","Production Order","Quantity","Source No.",$D3886,"Equipment Code",$L3886,"due date",H$8)/-12</t>
  </si>
  <si>
    <t>=NL("sum","Production Order","Quantity","Source No.",$D3886,"Equipment Code",$L3886,"due date",I$8)/-12</t>
  </si>
  <si>
    <t>=NL("sum","Production Order","Quantity","Source No.",$D3886,"Equipment Code",$L3886,"due date",J$8)/$J$7</t>
  </si>
  <si>
    <t>=AVERAGE(I3886:J3886)</t>
  </si>
  <si>
    <t>=B3883</t>
  </si>
  <si>
    <t>=B3887</t>
  </si>
  <si>
    <t>=SUM(F3883:F3887)</t>
  </si>
  <si>
    <t>=SUM(G3883:G3887)</t>
  </si>
  <si>
    <t>=SUM(H3883:H3887)</t>
  </si>
  <si>
    <t>=SUM(I3883:I3887)</t>
  </si>
  <si>
    <t>=SUM(J3883:J3887)</t>
  </si>
  <si>
    <t>=IF(K3889=0,"hide","")</t>
  </si>
  <si>
    <t>="51644"</t>
  </si>
  <si>
    <t>=NL("rows","Production BOM Version","Version Code","Production BOM No.",D3889,"status","certified")</t>
  </si>
  <si>
    <t>=NL("sum","Item Ledger Entry","Quantity","Item No.",$D3889,"Entry Type","Sale|Consumption","posting date","01/01/19..12/31/19")/-12</t>
  </si>
  <si>
    <t>=NL("sum","Item Ledger Entry","Quantity","Item No.",$D3889,"Entry Type","Sale|Consumption","posting date","01/01/20..12/31/20")/-12</t>
  </si>
  <si>
    <t>=NL("sum","Item Ledger Entry","Quantity","Item No.",$D3889,"Entry Type","Sale|Consumption","posting date","01/01/21..12/31/21")/-12</t>
  </si>
  <si>
    <t>=NL("sum","Item Ledger Entry","Quantity","Item No.",$D3889,"Entry Type","Sale|Consumption","posting date","01/01/22..12/31/22")/-12</t>
  </si>
  <si>
    <t>=NL("sum","Item Ledger Entry","Quantity","Item No.",$D3889,"Entry Type","Sale|Consumption","posting date","01/01/23..12/31/23")/$J$7</t>
  </si>
  <si>
    <t>=AVERAGE(I3889:J3889)</t>
  </si>
  <si>
    <t>=NL(1,"item",L$9,"no.",D3889)</t>
  </si>
  <si>
    <t>=NL(1,"item",M$9,"no.",$D3889)</t>
  </si>
  <si>
    <t>=NL(1,"item","Units Per Parcel","no.",$D3889)</t>
  </si>
  <si>
    <t>=NL(1,"Prod. BOM Equipment","Fixed Prod. Time (Hours)","Production BOM No.",$D3889,"version code",$E3889,"Resource No.",O$9)</t>
  </si>
  <si>
    <t>=1/O3889</t>
  </si>
  <si>
    <t>=IF(NL(1,"Prod. BOM Equipment","Variable Prod. Time (Hours)","Production BOM No.",$D3889,"version code",$E3889,"Resource No.",$O$9)="",1,NL(1,"Prod. BOM Equipment","Variable Prod. Time (Hours)","Production BOM No.",$D3889,"version code",$E3889,"Resource No.",$O$9))</t>
  </si>
  <si>
    <t>=1/Q3889</t>
  </si>
  <si>
    <t>=R3889*N3889</t>
  </si>
  <si>
    <t>=IF(K3890=0,"hide","")</t>
  </si>
  <si>
    <t>=D3889</t>
  </si>
  <si>
    <t>=NL("sum","Production Order","Quantity","Source No.",$D3890,"Equipment Code",$L3890,"due date",F$8)/-12</t>
  </si>
  <si>
    <t>=NL("sum","Production Order","Quantity","Source No.",$D3890,"Equipment Code",$L3890,"due date",G$8)/-12</t>
  </si>
  <si>
    <t>=NL("sum","Production Order","Quantity","Source No.",$D3890,"Equipment Code",$L3890,"due date",H$8)/-12</t>
  </si>
  <si>
    <t>=NL("sum","Production Order","Quantity","Source No.",$D3890,"Equipment Code",$L3890,"due date",I$8)/-12</t>
  </si>
  <si>
    <t>=NL("sum","Production Order","Quantity","Source No.",$D3890,"Equipment Code",$L3890,"due date",J$8)/$J$7</t>
  </si>
  <si>
    <t>=AVERAGE(I3890:J3890)</t>
  </si>
  <si>
    <t>=IF(K3891=0,"hide","")</t>
  </si>
  <si>
    <t>=D3890</t>
  </si>
  <si>
    <t>=NL("sum","Production Order","Quantity","Source No.",$D3891,"Equipment Code",$L3891,"due date",F$8)/-12</t>
  </si>
  <si>
    <t>=NL("sum","Production Order","Quantity","Source No.",$D3891,"Equipment Code",$L3891,"due date",G$8)/-12</t>
  </si>
  <si>
    <t>=NL("sum","Production Order","Quantity","Source No.",$D3891,"Equipment Code",$L3891,"due date",H$8)/-12</t>
  </si>
  <si>
    <t>=NL("sum","Production Order","Quantity","Source No.",$D3891,"Equipment Code",$L3891,"due date",I$8)/-12</t>
  </si>
  <si>
    <t>=NL("sum","Production Order","Quantity","Source No.",$D3891,"Equipment Code",$L3891,"due date",J$8)/$J$7</t>
  </si>
  <si>
    <t>=AVERAGE(I3891:J3891)</t>
  </si>
  <si>
    <t>=IF(K3892=0,"hide","")</t>
  </si>
  <si>
    <t>=D3891</t>
  </si>
  <si>
    <t>=NL("sum","Production Order","Quantity","Source No.",$D3892,"Equipment Code",$L3892,"due date",F$8)/-12</t>
  </si>
  <si>
    <t>=NL("sum","Production Order","Quantity","Source No.",$D3892,"Equipment Code",$L3892,"due date",G$8)/-12</t>
  </si>
  <si>
    <t>=NL("sum","Production Order","Quantity","Source No.",$D3892,"Equipment Code",$L3892,"due date",H$8)/-12</t>
  </si>
  <si>
    <t>=NL("sum","Production Order","Quantity","Source No.",$D3892,"Equipment Code",$L3892,"due date",I$8)/-12</t>
  </si>
  <si>
    <t>=NL("sum","Production Order","Quantity","Source No.",$D3892,"Equipment Code",$L3892,"due date",J$8)/$J$7</t>
  </si>
  <si>
    <t>=AVERAGE(I3892:J3892)</t>
  </si>
  <si>
    <t>=IF(K3893=0,"hide","")</t>
  </si>
  <si>
    <t>=D3892</t>
  </si>
  <si>
    <t>=NL("sum","Production Order","Quantity","Source No.",$D3893,"Equipment Code",$L3893,"due date",F$8)/-12</t>
  </si>
  <si>
    <t>=NL("sum","Production Order","Quantity","Source No.",$D3893,"Equipment Code",$L3893,"due date",G$8)/-12</t>
  </si>
  <si>
    <t>=NL("sum","Production Order","Quantity","Source No.",$D3893,"Equipment Code",$L3893,"due date",H$8)/-12</t>
  </si>
  <si>
    <t>=NL("sum","Production Order","Quantity","Source No.",$D3893,"Equipment Code",$L3893,"due date",I$8)/-12</t>
  </si>
  <si>
    <t>=NL("sum","Production Order","Quantity","Source No.",$D3893,"Equipment Code",$L3893,"due date",J$8)/$J$7</t>
  </si>
  <si>
    <t>=AVERAGE(I3893:J3893)</t>
  </si>
  <si>
    <t>=B3890</t>
  </si>
  <si>
    <t>=B3894</t>
  </si>
  <si>
    <t>=SUM(F3890:F3894)</t>
  </si>
  <si>
    <t>=SUM(G3890:G3894)</t>
  </si>
  <si>
    <t>=SUM(H3890:H3894)</t>
  </si>
  <si>
    <t>=SUM(I3890:I3894)</t>
  </si>
  <si>
    <t>=SUM(J3890:J3894)</t>
  </si>
  <si>
    <t>=IF(K3896=0,"hide","")</t>
  </si>
  <si>
    <t>=NL("rows","Production BOM Version","Version Code","Production BOM No.",D3896,"status","certified")</t>
  </si>
  <si>
    <t>=NL("sum","Item Ledger Entry","Quantity","Item No.",$D3896,"Entry Type","Sale|Consumption","posting date","01/01/19..12/31/19")/-12</t>
  </si>
  <si>
    <t>=NL("sum","Item Ledger Entry","Quantity","Item No.",$D3896,"Entry Type","Sale|Consumption","posting date","01/01/20..12/31/20")/-12</t>
  </si>
  <si>
    <t>=NL("sum","Item Ledger Entry","Quantity","Item No.",$D3896,"Entry Type","Sale|Consumption","posting date","01/01/21..12/31/21")/-12</t>
  </si>
  <si>
    <t>=NL("sum","Item Ledger Entry","Quantity","Item No.",$D3896,"Entry Type","Sale|Consumption","posting date","01/01/22..12/31/22")/-12</t>
  </si>
  <si>
    <t>=NL("sum","Item Ledger Entry","Quantity","Item No.",$D3896,"Entry Type","Sale|Consumption","posting date","01/01/23..12/31/23")/$J$7</t>
  </si>
  <si>
    <t>=AVERAGE(I3896:J3896)</t>
  </si>
  <si>
    <t>=NL(1,"item",L$9,"no.",D3896)</t>
  </si>
  <si>
    <t>=NL(1,"item",M$9,"no.",$D3896)</t>
  </si>
  <si>
    <t>=NL(1,"item","Units Per Parcel","no.",$D3896)</t>
  </si>
  <si>
    <t>=NL(1,"Prod. BOM Equipment","Fixed Prod. Time (Hours)","Production BOM No.",$D3896,"version code",$E3896,"Resource No.",O$9)</t>
  </si>
  <si>
    <t>=1/O3896</t>
  </si>
  <si>
    <t>=IF(NL(1,"Prod. BOM Equipment","Variable Prod. Time (Hours)","Production BOM No.",$D3896,"version code",$E3896,"Resource No.",$O$9)="",1,NL(1,"Prod. BOM Equipment","Variable Prod. Time (Hours)","Production BOM No.",$D3896,"version code",$E3896,"Resource No.",$O$9))</t>
  </si>
  <si>
    <t>=1/Q3896</t>
  </si>
  <si>
    <t>=R3896*N3896</t>
  </si>
  <si>
    <t>=IF(K3897=0,"hide","")</t>
  </si>
  <si>
    <t>=D3896</t>
  </si>
  <si>
    <t>=NL("sum","Production Order","Quantity","Source No.",$D3897,"Equipment Code",$L3897,"due date",F$8)/-12</t>
  </si>
  <si>
    <t>=NL("sum","Production Order","Quantity","Source No.",$D3897,"Equipment Code",$L3897,"due date",G$8)/-12</t>
  </si>
  <si>
    <t>=NL("sum","Production Order","Quantity","Source No.",$D3897,"Equipment Code",$L3897,"due date",H$8)/-12</t>
  </si>
  <si>
    <t>=NL("sum","Production Order","Quantity","Source No.",$D3897,"Equipment Code",$L3897,"due date",I$8)/-12</t>
  </si>
  <si>
    <t>=NL("sum","Production Order","Quantity","Source No.",$D3897,"Equipment Code",$L3897,"due date",J$8)/$J$7</t>
  </si>
  <si>
    <t>=AVERAGE(I3897:J3897)</t>
  </si>
  <si>
    <t>=IF(K3898=0,"hide","")</t>
  </si>
  <si>
    <t>=D3897</t>
  </si>
  <si>
    <t>=NL("sum","Production Order","Quantity","Source No.",$D3898,"Equipment Code",$L3898,"due date",F$8)/-12</t>
  </si>
  <si>
    <t>=NL("sum","Production Order","Quantity","Source No.",$D3898,"Equipment Code",$L3898,"due date",G$8)/-12</t>
  </si>
  <si>
    <t>=NL("sum","Production Order","Quantity","Source No.",$D3898,"Equipment Code",$L3898,"due date",H$8)/-12</t>
  </si>
  <si>
    <t>=NL("sum","Production Order","Quantity","Source No.",$D3898,"Equipment Code",$L3898,"due date",I$8)/-12</t>
  </si>
  <si>
    <t>=NL("sum","Production Order","Quantity","Source No.",$D3898,"Equipment Code",$L3898,"due date",J$8)/$J$7</t>
  </si>
  <si>
    <t>=AVERAGE(I3898:J3898)</t>
  </si>
  <si>
    <t>=IF(K3899=0,"hide","")</t>
  </si>
  <si>
    <t>=D3898</t>
  </si>
  <si>
    <t>=NL("sum","Production Order","Quantity","Source No.",$D3899,"Equipment Code",$L3899,"due date",F$8)/-12</t>
  </si>
  <si>
    <t>=NL("sum","Production Order","Quantity","Source No.",$D3899,"Equipment Code",$L3899,"due date",G$8)/-12</t>
  </si>
  <si>
    <t>=NL("sum","Production Order","Quantity","Source No.",$D3899,"Equipment Code",$L3899,"due date",H$8)/-12</t>
  </si>
  <si>
    <t>=NL("sum","Production Order","Quantity","Source No.",$D3899,"Equipment Code",$L3899,"due date",I$8)/-12</t>
  </si>
  <si>
    <t>=NL("sum","Production Order","Quantity","Source No.",$D3899,"Equipment Code",$L3899,"due date",J$8)/$J$7</t>
  </si>
  <si>
    <t>=AVERAGE(I3899:J3899)</t>
  </si>
  <si>
    <t>=IF(K3900=0,"hide","")</t>
  </si>
  <si>
    <t>=D3899</t>
  </si>
  <si>
    <t>=NL("sum","Production Order","Quantity","Source No.",$D3900,"Equipment Code",$L3900,"due date",F$8)/-12</t>
  </si>
  <si>
    <t>=NL("sum","Production Order","Quantity","Source No.",$D3900,"Equipment Code",$L3900,"due date",G$8)/-12</t>
  </si>
  <si>
    <t>=NL("sum","Production Order","Quantity","Source No.",$D3900,"Equipment Code",$L3900,"due date",H$8)/-12</t>
  </si>
  <si>
    <t>=NL("sum","Production Order","Quantity","Source No.",$D3900,"Equipment Code",$L3900,"due date",I$8)/-12</t>
  </si>
  <si>
    <t>=NL("sum","Production Order","Quantity","Source No.",$D3900,"Equipment Code",$L3900,"due date",J$8)/$J$7</t>
  </si>
  <si>
    <t>=AVERAGE(I3900:J3900)</t>
  </si>
  <si>
    <t>=B3897</t>
  </si>
  <si>
    <t>=B3901</t>
  </si>
  <si>
    <t>=SUM(F3897:F3901)</t>
  </si>
  <si>
    <t>=SUM(G3897:G3901)</t>
  </si>
  <si>
    <t>=SUM(H3897:H3901)</t>
  </si>
  <si>
    <t>=SUM(I3897:I3901)</t>
  </si>
  <si>
    <t>=SUM(J3897:J3901)</t>
  </si>
  <si>
    <t>=IF(K3903=0,"hide","")</t>
  </si>
  <si>
    <t>="51663"</t>
  </si>
  <si>
    <t>=NL("rows","Production BOM Version","Version Code","Production BOM No.",D3903,"status","certified")</t>
  </si>
  <si>
    <t>=NL("sum","Item Ledger Entry","Quantity","Item No.",$D3903,"Entry Type","Sale|Consumption","posting date","01/01/19..12/31/19")/-12</t>
  </si>
  <si>
    <t>=NL("sum","Item Ledger Entry","Quantity","Item No.",$D3903,"Entry Type","Sale|Consumption","posting date","01/01/20..12/31/20")/-12</t>
  </si>
  <si>
    <t>=NL("sum","Item Ledger Entry","Quantity","Item No.",$D3903,"Entry Type","Sale|Consumption","posting date","01/01/21..12/31/21")/-12</t>
  </si>
  <si>
    <t>=NL("sum","Item Ledger Entry","Quantity","Item No.",$D3903,"Entry Type","Sale|Consumption","posting date","01/01/22..12/31/22")/-12</t>
  </si>
  <si>
    <t>=NL("sum","Item Ledger Entry","Quantity","Item No.",$D3903,"Entry Type","Sale|Consumption","posting date","01/01/23..12/31/23")/$J$7</t>
  </si>
  <si>
    <t>=AVERAGE(I3903:J3903)</t>
  </si>
  <si>
    <t>=NL(1,"item",L$9,"no.",D3903)</t>
  </si>
  <si>
    <t>=NL(1,"item",M$9,"no.",$D3903)</t>
  </si>
  <si>
    <t>=NL(1,"item","Units Per Parcel","no.",$D3903)</t>
  </si>
  <si>
    <t>=NL(1,"Prod. BOM Equipment","Fixed Prod. Time (Hours)","Production BOM No.",$D3903,"version code",$E3903,"Resource No.",O$9)</t>
  </si>
  <si>
    <t>=1/O3903</t>
  </si>
  <si>
    <t>=IF(NL(1,"Prod. BOM Equipment","Variable Prod. Time (Hours)","Production BOM No.",$D3903,"version code",$E3903,"Resource No.",$O$9)="",1,NL(1,"Prod. BOM Equipment","Variable Prod. Time (Hours)","Production BOM No.",$D3903,"version code",$E3903,"Resource No.",$O$9))</t>
  </si>
  <si>
    <t>=1/Q3903</t>
  </si>
  <si>
    <t>=R3903*N3903</t>
  </si>
  <si>
    <t>=IF(K3904=0,"hide","")</t>
  </si>
  <si>
    <t>=D3903</t>
  </si>
  <si>
    <t>=NL("sum","Production Order","Quantity","Source No.",$D3904,"Equipment Code",$L3904,"due date",F$8)/-12</t>
  </si>
  <si>
    <t>=NL("sum","Production Order","Quantity","Source No.",$D3904,"Equipment Code",$L3904,"due date",G$8)/-12</t>
  </si>
  <si>
    <t>=NL("sum","Production Order","Quantity","Source No.",$D3904,"Equipment Code",$L3904,"due date",H$8)/-12</t>
  </si>
  <si>
    <t>=NL("sum","Production Order","Quantity","Source No.",$D3904,"Equipment Code",$L3904,"due date",I$8)/-12</t>
  </si>
  <si>
    <t>=NL("sum","Production Order","Quantity","Source No.",$D3904,"Equipment Code",$L3904,"due date",J$8)/$J$7</t>
  </si>
  <si>
    <t>=AVERAGE(I3904:J3904)</t>
  </si>
  <si>
    <t>=IF(K3905=0,"hide","")</t>
  </si>
  <si>
    <t>=D3904</t>
  </si>
  <si>
    <t>=NL("sum","Production Order","Quantity","Source No.",$D3905,"Equipment Code",$L3905,"due date",F$8)/-12</t>
  </si>
  <si>
    <t>=NL("sum","Production Order","Quantity","Source No.",$D3905,"Equipment Code",$L3905,"due date",G$8)/-12</t>
  </si>
  <si>
    <t>=NL("sum","Production Order","Quantity","Source No.",$D3905,"Equipment Code",$L3905,"due date",H$8)/-12</t>
  </si>
  <si>
    <t>=NL("sum","Production Order","Quantity","Source No.",$D3905,"Equipment Code",$L3905,"due date",I$8)/-12</t>
  </si>
  <si>
    <t>=NL("sum","Production Order","Quantity","Source No.",$D3905,"Equipment Code",$L3905,"due date",J$8)/$J$7</t>
  </si>
  <si>
    <t>=AVERAGE(I3905:J3905)</t>
  </si>
  <si>
    <t>=IF(K3906=0,"hide","")</t>
  </si>
  <si>
    <t>=D3905</t>
  </si>
  <si>
    <t>=NL("sum","Production Order","Quantity","Source No.",$D3906,"Equipment Code",$L3906,"due date",F$8)/-12</t>
  </si>
  <si>
    <t>=NL("sum","Production Order","Quantity","Source No.",$D3906,"Equipment Code",$L3906,"due date",G$8)/-12</t>
  </si>
  <si>
    <t>=NL("sum","Production Order","Quantity","Source No.",$D3906,"Equipment Code",$L3906,"due date",H$8)/-12</t>
  </si>
  <si>
    <t>=NL("sum","Production Order","Quantity","Source No.",$D3906,"Equipment Code",$L3906,"due date",I$8)/-12</t>
  </si>
  <si>
    <t>=NL("sum","Production Order","Quantity","Source No.",$D3906,"Equipment Code",$L3906,"due date",J$8)/$J$7</t>
  </si>
  <si>
    <t>=AVERAGE(I3906:J3906)</t>
  </si>
  <si>
    <t>=IF(K3907=0,"hide","")</t>
  </si>
  <si>
    <t>=D3906</t>
  </si>
  <si>
    <t>=NL("sum","Production Order","Quantity","Source No.",$D3907,"Equipment Code",$L3907,"due date",F$8)/-12</t>
  </si>
  <si>
    <t>=NL("sum","Production Order","Quantity","Source No.",$D3907,"Equipment Code",$L3907,"due date",G$8)/-12</t>
  </si>
  <si>
    <t>=NL("sum","Production Order","Quantity","Source No.",$D3907,"Equipment Code",$L3907,"due date",H$8)/-12</t>
  </si>
  <si>
    <t>=NL("sum","Production Order","Quantity","Source No.",$D3907,"Equipment Code",$L3907,"due date",I$8)/-12</t>
  </si>
  <si>
    <t>=NL("sum","Production Order","Quantity","Source No.",$D3907,"Equipment Code",$L3907,"due date",J$8)/$J$7</t>
  </si>
  <si>
    <t>=AVERAGE(I3907:J3907)</t>
  </si>
  <si>
    <t>=B3904</t>
  </si>
  <si>
    <t>=B3908</t>
  </si>
  <si>
    <t>=SUM(F3904:F3908)</t>
  </si>
  <si>
    <t>=SUM(G3904:G3908)</t>
  </si>
  <si>
    <t>=SUM(H3904:H3908)</t>
  </si>
  <si>
    <t>=SUM(I3904:I3908)</t>
  </si>
  <si>
    <t>=SUM(J3904:J3908)</t>
  </si>
  <si>
    <t>=IF(K3910=0,"hide","")</t>
  </si>
  <si>
    <t>=NL("rows","Production BOM Version","Version Code","Production BOM No.",D3910,"status","certified")</t>
  </si>
  <si>
    <t>=NL("sum","Item Ledger Entry","Quantity","Item No.",$D3910,"Entry Type","Sale|Consumption","posting date","01/01/19..12/31/19")/-12</t>
  </si>
  <si>
    <t>=NL("sum","Item Ledger Entry","Quantity","Item No.",$D3910,"Entry Type","Sale|Consumption","posting date","01/01/20..12/31/20")/-12</t>
  </si>
  <si>
    <t>=NL("sum","Item Ledger Entry","Quantity","Item No.",$D3910,"Entry Type","Sale|Consumption","posting date","01/01/21..12/31/21")/-12</t>
  </si>
  <si>
    <t>=NL("sum","Item Ledger Entry","Quantity","Item No.",$D3910,"Entry Type","Sale|Consumption","posting date","01/01/22..12/31/22")/-12</t>
  </si>
  <si>
    <t>=NL("sum","Item Ledger Entry","Quantity","Item No.",$D3910,"Entry Type","Sale|Consumption","posting date","01/01/23..12/31/23")/$J$7</t>
  </si>
  <si>
    <t>=AVERAGE(I3910:J3910)</t>
  </si>
  <si>
    <t>=NL(1,"item",L$9,"no.",D3910)</t>
  </si>
  <si>
    <t>=NL(1,"item",M$9,"no.",$D3910)</t>
  </si>
  <si>
    <t>=NL(1,"item","Units Per Parcel","no.",$D3910)</t>
  </si>
  <si>
    <t>=NL(1,"Prod. BOM Equipment","Fixed Prod. Time (Hours)","Production BOM No.",$D3910,"version code",$E3910,"Resource No.",O$9)</t>
  </si>
  <si>
    <t>=1/O3910</t>
  </si>
  <si>
    <t>=IF(NL(1,"Prod. BOM Equipment","Variable Prod. Time (Hours)","Production BOM No.",$D3910,"version code",$E3910,"Resource No.",$O$9)="",1,NL(1,"Prod. BOM Equipment","Variable Prod. Time (Hours)","Production BOM No.",$D3910,"version code",$E3910,"Resource No.",$O$9))</t>
  </si>
  <si>
    <t>=1/Q3910</t>
  </si>
  <si>
    <t>=R3910*N3910</t>
  </si>
  <si>
    <t>=IF(K3911=0,"hide","")</t>
  </si>
  <si>
    <t>=D3910</t>
  </si>
  <si>
    <t>=NL("sum","Production Order","Quantity","Source No.",$D3911,"Equipment Code",$L3911,"due date",F$8)/-12</t>
  </si>
  <si>
    <t>=NL("sum","Production Order","Quantity","Source No.",$D3911,"Equipment Code",$L3911,"due date",G$8)/-12</t>
  </si>
  <si>
    <t>=NL("sum","Production Order","Quantity","Source No.",$D3911,"Equipment Code",$L3911,"due date",H$8)/-12</t>
  </si>
  <si>
    <t>=NL("sum","Production Order","Quantity","Source No.",$D3911,"Equipment Code",$L3911,"due date",I$8)/-12</t>
  </si>
  <si>
    <t>=NL("sum","Production Order","Quantity","Source No.",$D3911,"Equipment Code",$L3911,"due date",J$8)/$J$7</t>
  </si>
  <si>
    <t>=AVERAGE(I3911:J3911)</t>
  </si>
  <si>
    <t>=IF(K3912=0,"hide","")</t>
  </si>
  <si>
    <t>=D3911</t>
  </si>
  <si>
    <t>=NL("sum","Production Order","Quantity","Source No.",$D3912,"Equipment Code",$L3912,"due date",F$8)/-12</t>
  </si>
  <si>
    <t>=NL("sum","Production Order","Quantity","Source No.",$D3912,"Equipment Code",$L3912,"due date",G$8)/-12</t>
  </si>
  <si>
    <t>=NL("sum","Production Order","Quantity","Source No.",$D3912,"Equipment Code",$L3912,"due date",H$8)/-12</t>
  </si>
  <si>
    <t>=NL("sum","Production Order","Quantity","Source No.",$D3912,"Equipment Code",$L3912,"due date",I$8)/-12</t>
  </si>
  <si>
    <t>=NL("sum","Production Order","Quantity","Source No.",$D3912,"Equipment Code",$L3912,"due date",J$8)/$J$7</t>
  </si>
  <si>
    <t>=AVERAGE(I3912:J3912)</t>
  </si>
  <si>
    <t>=IF(K3913=0,"hide","")</t>
  </si>
  <si>
    <t>=D3912</t>
  </si>
  <si>
    <t>=NL("sum","Production Order","Quantity","Source No.",$D3913,"Equipment Code",$L3913,"due date",F$8)/-12</t>
  </si>
  <si>
    <t>=NL("sum","Production Order","Quantity","Source No.",$D3913,"Equipment Code",$L3913,"due date",G$8)/-12</t>
  </si>
  <si>
    <t>=NL("sum","Production Order","Quantity","Source No.",$D3913,"Equipment Code",$L3913,"due date",H$8)/-12</t>
  </si>
  <si>
    <t>=NL("sum","Production Order","Quantity","Source No.",$D3913,"Equipment Code",$L3913,"due date",I$8)/-12</t>
  </si>
  <si>
    <t>=NL("sum","Production Order","Quantity","Source No.",$D3913,"Equipment Code",$L3913,"due date",J$8)/$J$7</t>
  </si>
  <si>
    <t>=AVERAGE(I3913:J3913)</t>
  </si>
  <si>
    <t>=IF(K3914=0,"hide","")</t>
  </si>
  <si>
    <t>=D3913</t>
  </si>
  <si>
    <t>=NL("sum","Production Order","Quantity","Source No.",$D3914,"Equipment Code",$L3914,"due date",F$8)/-12</t>
  </si>
  <si>
    <t>=NL("sum","Production Order","Quantity","Source No.",$D3914,"Equipment Code",$L3914,"due date",G$8)/-12</t>
  </si>
  <si>
    <t>=NL("sum","Production Order","Quantity","Source No.",$D3914,"Equipment Code",$L3914,"due date",H$8)/-12</t>
  </si>
  <si>
    <t>=NL("sum","Production Order","Quantity","Source No.",$D3914,"Equipment Code",$L3914,"due date",I$8)/-12</t>
  </si>
  <si>
    <t>=NL("sum","Production Order","Quantity","Source No.",$D3914,"Equipment Code",$L3914,"due date",J$8)/$J$7</t>
  </si>
  <si>
    <t>=AVERAGE(I3914:J3914)</t>
  </si>
  <si>
    <t>=B3911</t>
  </si>
  <si>
    <t>=B3915</t>
  </si>
  <si>
    <t>=SUM(F3911:F3915)</t>
  </si>
  <si>
    <t>=SUM(G3911:G3915)</t>
  </si>
  <si>
    <t>=SUM(H3911:H3915)</t>
  </si>
  <si>
    <t>=SUM(I3911:I3915)</t>
  </si>
  <si>
    <t>=SUM(J3911:J3915)</t>
  </si>
  <si>
    <t>=IF(K3917=0,"hide","")</t>
  </si>
  <si>
    <t>="51669"</t>
  </si>
  <si>
    <t>=NL("rows","Production BOM Version","Version Code","Production BOM No.",D3917,"status","certified")</t>
  </si>
  <si>
    <t>=NL("sum","Item Ledger Entry","Quantity","Item No.",$D3917,"Entry Type","Sale|Consumption","posting date","01/01/19..12/31/19")/-12</t>
  </si>
  <si>
    <t>=NL("sum","Item Ledger Entry","Quantity","Item No.",$D3917,"Entry Type","Sale|Consumption","posting date","01/01/20..12/31/20")/-12</t>
  </si>
  <si>
    <t>=NL("sum","Item Ledger Entry","Quantity","Item No.",$D3917,"Entry Type","Sale|Consumption","posting date","01/01/21..12/31/21")/-12</t>
  </si>
  <si>
    <t>=NL("sum","Item Ledger Entry","Quantity","Item No.",$D3917,"Entry Type","Sale|Consumption","posting date","01/01/22..12/31/22")/-12</t>
  </si>
  <si>
    <t>=NL("sum","Item Ledger Entry","Quantity","Item No.",$D3917,"Entry Type","Sale|Consumption","posting date","01/01/23..12/31/23")/$J$7</t>
  </si>
  <si>
    <t>=AVERAGE(I3917:J3917)</t>
  </si>
  <si>
    <t>=NL(1,"item",L$9,"no.",D3917)</t>
  </si>
  <si>
    <t>=NL(1,"item",M$9,"no.",$D3917)</t>
  </si>
  <si>
    <t>=NL(1,"item","Units Per Parcel","no.",$D3917)</t>
  </si>
  <si>
    <t>=NL(1,"Prod. BOM Equipment","Fixed Prod. Time (Hours)","Production BOM No.",$D3917,"version code",$E3917,"Resource No.",O$9)</t>
  </si>
  <si>
    <t>=1/O3917</t>
  </si>
  <si>
    <t>=IF(NL(1,"Prod. BOM Equipment","Variable Prod. Time (Hours)","Production BOM No.",$D3917,"version code",$E3917,"Resource No.",$O$9)="",1,NL(1,"Prod. BOM Equipment","Variable Prod. Time (Hours)","Production BOM No.",$D3917,"version code",$E3917,"Resource No.",$O$9))</t>
  </si>
  <si>
    <t>=1/Q3917</t>
  </si>
  <si>
    <t>=R3917*N3917</t>
  </si>
  <si>
    <t>=IF(K3918=0,"hide","")</t>
  </si>
  <si>
    <t>=D3917</t>
  </si>
  <si>
    <t>=NL("sum","Production Order","Quantity","Source No.",$D3918,"Equipment Code",$L3918,"due date",F$8)/-12</t>
  </si>
  <si>
    <t>=NL("sum","Production Order","Quantity","Source No.",$D3918,"Equipment Code",$L3918,"due date",G$8)/-12</t>
  </si>
  <si>
    <t>=NL("sum","Production Order","Quantity","Source No.",$D3918,"Equipment Code",$L3918,"due date",H$8)/-12</t>
  </si>
  <si>
    <t>=NL("sum","Production Order","Quantity","Source No.",$D3918,"Equipment Code",$L3918,"due date",I$8)/-12</t>
  </si>
  <si>
    <t>=NL("sum","Production Order","Quantity","Source No.",$D3918,"Equipment Code",$L3918,"due date",J$8)/$J$7</t>
  </si>
  <si>
    <t>=AVERAGE(I3918:J3918)</t>
  </si>
  <si>
    <t>=IF(K3919=0,"hide","")</t>
  </si>
  <si>
    <t>=D3918</t>
  </si>
  <si>
    <t>=NL("sum","Production Order","Quantity","Source No.",$D3919,"Equipment Code",$L3919,"due date",F$8)/-12</t>
  </si>
  <si>
    <t>=NL("sum","Production Order","Quantity","Source No.",$D3919,"Equipment Code",$L3919,"due date",G$8)/-12</t>
  </si>
  <si>
    <t>=NL("sum","Production Order","Quantity","Source No.",$D3919,"Equipment Code",$L3919,"due date",H$8)/-12</t>
  </si>
  <si>
    <t>=NL("sum","Production Order","Quantity","Source No.",$D3919,"Equipment Code",$L3919,"due date",I$8)/-12</t>
  </si>
  <si>
    <t>=NL("sum","Production Order","Quantity","Source No.",$D3919,"Equipment Code",$L3919,"due date",J$8)/$J$7</t>
  </si>
  <si>
    <t>=AVERAGE(I3919:J3919)</t>
  </si>
  <si>
    <t>=IF(K3920=0,"hide","")</t>
  </si>
  <si>
    <t>=D3919</t>
  </si>
  <si>
    <t>=NL("sum","Production Order","Quantity","Source No.",$D3920,"Equipment Code",$L3920,"due date",F$8)/-12</t>
  </si>
  <si>
    <t>=NL("sum","Production Order","Quantity","Source No.",$D3920,"Equipment Code",$L3920,"due date",G$8)/-12</t>
  </si>
  <si>
    <t>=NL("sum","Production Order","Quantity","Source No.",$D3920,"Equipment Code",$L3920,"due date",H$8)/-12</t>
  </si>
  <si>
    <t>=NL("sum","Production Order","Quantity","Source No.",$D3920,"Equipment Code",$L3920,"due date",I$8)/-12</t>
  </si>
  <si>
    <t>=NL("sum","Production Order","Quantity","Source No.",$D3920,"Equipment Code",$L3920,"due date",J$8)/$J$7</t>
  </si>
  <si>
    <t>=AVERAGE(I3920:J3920)</t>
  </si>
  <si>
    <t>=IF(K3921=0,"hide","")</t>
  </si>
  <si>
    <t>=D3920</t>
  </si>
  <si>
    <t>=NL("sum","Production Order","Quantity","Source No.",$D3921,"Equipment Code",$L3921,"due date",F$8)/-12</t>
  </si>
  <si>
    <t>=NL("sum","Production Order","Quantity","Source No.",$D3921,"Equipment Code",$L3921,"due date",G$8)/-12</t>
  </si>
  <si>
    <t>=NL("sum","Production Order","Quantity","Source No.",$D3921,"Equipment Code",$L3921,"due date",H$8)/-12</t>
  </si>
  <si>
    <t>=NL("sum","Production Order","Quantity","Source No.",$D3921,"Equipment Code",$L3921,"due date",I$8)/-12</t>
  </si>
  <si>
    <t>=NL("sum","Production Order","Quantity","Source No.",$D3921,"Equipment Code",$L3921,"due date",J$8)/$J$7</t>
  </si>
  <si>
    <t>=AVERAGE(I3921:J3921)</t>
  </si>
  <si>
    <t>=B3918</t>
  </si>
  <si>
    <t>=B3922</t>
  </si>
  <si>
    <t>=SUM(F3918:F3922)</t>
  </si>
  <si>
    <t>=SUM(G3918:G3922)</t>
  </si>
  <si>
    <t>=SUM(H3918:H3922)</t>
  </si>
  <si>
    <t>=SUM(I3918:I3922)</t>
  </si>
  <si>
    <t>=SUM(J3918:J3922)</t>
  </si>
  <si>
    <t>=IF(K3924=0,"hide","")</t>
  </si>
  <si>
    <t>=NL("rows","Production BOM Version","Version Code","Production BOM No.",D3924,"status","certified")</t>
  </si>
  <si>
    <t>=NL("sum","Item Ledger Entry","Quantity","Item No.",$D3924,"Entry Type","Sale|Consumption","posting date","01/01/19..12/31/19")/-12</t>
  </si>
  <si>
    <t>=NL("sum","Item Ledger Entry","Quantity","Item No.",$D3924,"Entry Type","Sale|Consumption","posting date","01/01/20..12/31/20")/-12</t>
  </si>
  <si>
    <t>=NL("sum","Item Ledger Entry","Quantity","Item No.",$D3924,"Entry Type","Sale|Consumption","posting date","01/01/21..12/31/21")/-12</t>
  </si>
  <si>
    <t>=NL("sum","Item Ledger Entry","Quantity","Item No.",$D3924,"Entry Type","Sale|Consumption","posting date","01/01/22..12/31/22")/-12</t>
  </si>
  <si>
    <t>=NL("sum","Item Ledger Entry","Quantity","Item No.",$D3924,"Entry Type","Sale|Consumption","posting date","01/01/23..12/31/23")/$J$7</t>
  </si>
  <si>
    <t>=AVERAGE(I3924:J3924)</t>
  </si>
  <si>
    <t>=NL(1,"item",L$9,"no.",D3924)</t>
  </si>
  <si>
    <t>=NL(1,"item",M$9,"no.",$D3924)</t>
  </si>
  <si>
    <t>=NL(1,"item","Units Per Parcel","no.",$D3924)</t>
  </si>
  <si>
    <t>=NL(1,"Prod. BOM Equipment","Fixed Prod. Time (Hours)","Production BOM No.",$D3924,"version code",$E3924,"Resource No.",O$9)</t>
  </si>
  <si>
    <t>=1/O3924</t>
  </si>
  <si>
    <t>=IF(NL(1,"Prod. BOM Equipment","Variable Prod. Time (Hours)","Production BOM No.",$D3924,"version code",$E3924,"Resource No.",$O$9)="",1,NL(1,"Prod. BOM Equipment","Variable Prod. Time (Hours)","Production BOM No.",$D3924,"version code",$E3924,"Resource No.",$O$9))</t>
  </si>
  <si>
    <t>=1/Q3924</t>
  </si>
  <si>
    <t>=R3924*N3924</t>
  </si>
  <si>
    <t>=IF(K3925=0,"hide","")</t>
  </si>
  <si>
    <t>=D3924</t>
  </si>
  <si>
    <t>=NL("sum","Production Order","Quantity","Source No.",$D3925,"Equipment Code",$L3925,"due date",F$8)/-12</t>
  </si>
  <si>
    <t>=NL("sum","Production Order","Quantity","Source No.",$D3925,"Equipment Code",$L3925,"due date",G$8)/-12</t>
  </si>
  <si>
    <t>=NL("sum","Production Order","Quantity","Source No.",$D3925,"Equipment Code",$L3925,"due date",H$8)/-12</t>
  </si>
  <si>
    <t>=NL("sum","Production Order","Quantity","Source No.",$D3925,"Equipment Code",$L3925,"due date",I$8)/-12</t>
  </si>
  <si>
    <t>=NL("sum","Production Order","Quantity","Source No.",$D3925,"Equipment Code",$L3925,"due date",J$8)/$J$7</t>
  </si>
  <si>
    <t>=AVERAGE(I3925:J3925)</t>
  </si>
  <si>
    <t>=IF(K3926=0,"hide","")</t>
  </si>
  <si>
    <t>=D3925</t>
  </si>
  <si>
    <t>=NL("sum","Production Order","Quantity","Source No.",$D3926,"Equipment Code",$L3926,"due date",F$8)/-12</t>
  </si>
  <si>
    <t>=NL("sum","Production Order","Quantity","Source No.",$D3926,"Equipment Code",$L3926,"due date",G$8)/-12</t>
  </si>
  <si>
    <t>=NL("sum","Production Order","Quantity","Source No.",$D3926,"Equipment Code",$L3926,"due date",H$8)/-12</t>
  </si>
  <si>
    <t>=NL("sum","Production Order","Quantity","Source No.",$D3926,"Equipment Code",$L3926,"due date",I$8)/-12</t>
  </si>
  <si>
    <t>=NL("sum","Production Order","Quantity","Source No.",$D3926,"Equipment Code",$L3926,"due date",J$8)/$J$7</t>
  </si>
  <si>
    <t>=AVERAGE(I3926:J3926)</t>
  </si>
  <si>
    <t>=IF(K3927=0,"hide","")</t>
  </si>
  <si>
    <t>=D3926</t>
  </si>
  <si>
    <t>=NL("sum","Production Order","Quantity","Source No.",$D3927,"Equipment Code",$L3927,"due date",F$8)/-12</t>
  </si>
  <si>
    <t>=NL("sum","Production Order","Quantity","Source No.",$D3927,"Equipment Code",$L3927,"due date",G$8)/-12</t>
  </si>
  <si>
    <t>=NL("sum","Production Order","Quantity","Source No.",$D3927,"Equipment Code",$L3927,"due date",H$8)/-12</t>
  </si>
  <si>
    <t>=NL("sum","Production Order","Quantity","Source No.",$D3927,"Equipment Code",$L3927,"due date",I$8)/-12</t>
  </si>
  <si>
    <t>=NL("sum","Production Order","Quantity","Source No.",$D3927,"Equipment Code",$L3927,"due date",J$8)/$J$7</t>
  </si>
  <si>
    <t>=AVERAGE(I3927:J3927)</t>
  </si>
  <si>
    <t>=IF(K3928=0,"hide","")</t>
  </si>
  <si>
    <t>=D3927</t>
  </si>
  <si>
    <t>=NL("sum","Production Order","Quantity","Source No.",$D3928,"Equipment Code",$L3928,"due date",F$8)/-12</t>
  </si>
  <si>
    <t>=NL("sum","Production Order","Quantity","Source No.",$D3928,"Equipment Code",$L3928,"due date",G$8)/-12</t>
  </si>
  <si>
    <t>=NL("sum","Production Order","Quantity","Source No.",$D3928,"Equipment Code",$L3928,"due date",H$8)/-12</t>
  </si>
  <si>
    <t>=NL("sum","Production Order","Quantity","Source No.",$D3928,"Equipment Code",$L3928,"due date",I$8)/-12</t>
  </si>
  <si>
    <t>=NL("sum","Production Order","Quantity","Source No.",$D3928,"Equipment Code",$L3928,"due date",J$8)/$J$7</t>
  </si>
  <si>
    <t>=AVERAGE(I3928:J3928)</t>
  </si>
  <si>
    <t>=B3925</t>
  </si>
  <si>
    <t>=B3929</t>
  </si>
  <si>
    <t>=SUM(F3925:F3929)</t>
  </si>
  <si>
    <t>=SUM(G3925:G3929)</t>
  </si>
  <si>
    <t>=SUM(H3925:H3929)</t>
  </si>
  <si>
    <t>=SUM(I3925:I3929)</t>
  </si>
  <si>
    <t>=SUM(J3925:J3929)</t>
  </si>
  <si>
    <t>=IF(K3931=0,"hide","")</t>
  </si>
  <si>
    <t>=NL("rows","Production BOM Version","Version Code","Production BOM No.",D3931,"status","certified")</t>
  </si>
  <si>
    <t>=NL("sum","Item Ledger Entry","Quantity","Item No.",$D3931,"Entry Type","Sale|Consumption","posting date","01/01/19..12/31/19")/-12</t>
  </si>
  <si>
    <t>=NL("sum","Item Ledger Entry","Quantity","Item No.",$D3931,"Entry Type","Sale|Consumption","posting date","01/01/20..12/31/20")/-12</t>
  </si>
  <si>
    <t>=NL("sum","Item Ledger Entry","Quantity","Item No.",$D3931,"Entry Type","Sale|Consumption","posting date","01/01/21..12/31/21")/-12</t>
  </si>
  <si>
    <t>=NL("sum","Item Ledger Entry","Quantity","Item No.",$D3931,"Entry Type","Sale|Consumption","posting date","01/01/22..12/31/22")/-12</t>
  </si>
  <si>
    <t>=NL("sum","Item Ledger Entry","Quantity","Item No.",$D3931,"Entry Type","Sale|Consumption","posting date","01/01/23..12/31/23")/$J$7</t>
  </si>
  <si>
    <t>=AVERAGE(I3931:J3931)</t>
  </si>
  <si>
    <t>=NL(1,"item",L$9,"no.",D3931)</t>
  </si>
  <si>
    <t>=NL(1,"item",M$9,"no.",$D3931)</t>
  </si>
  <si>
    <t>=NL(1,"item","Units Per Parcel","no.",$D3931)</t>
  </si>
  <si>
    <t>=NL(1,"Prod. BOM Equipment","Fixed Prod. Time (Hours)","Production BOM No.",$D3931,"version code",$E3931,"Resource No.",O$9)</t>
  </si>
  <si>
    <t>=1/O3931</t>
  </si>
  <si>
    <t>=IF(NL(1,"Prod. BOM Equipment","Variable Prod. Time (Hours)","Production BOM No.",$D3931,"version code",$E3931,"Resource No.",$O$9)="",1,NL(1,"Prod. BOM Equipment","Variable Prod. Time (Hours)","Production BOM No.",$D3931,"version code",$E3931,"Resource No.",$O$9))</t>
  </si>
  <si>
    <t>=1/Q3931</t>
  </si>
  <si>
    <t>=R3931*N3931</t>
  </si>
  <si>
    <t>=IF(K3932=0,"hide","")</t>
  </si>
  <si>
    <t>=D3931</t>
  </si>
  <si>
    <t>=NL("sum","Production Order","Quantity","Source No.",$D3932,"Equipment Code",$L3932,"due date",F$8)/-12</t>
  </si>
  <si>
    <t>=NL("sum","Production Order","Quantity","Source No.",$D3932,"Equipment Code",$L3932,"due date",G$8)/-12</t>
  </si>
  <si>
    <t>=NL("sum","Production Order","Quantity","Source No.",$D3932,"Equipment Code",$L3932,"due date",H$8)/-12</t>
  </si>
  <si>
    <t>=NL("sum","Production Order","Quantity","Source No.",$D3932,"Equipment Code",$L3932,"due date",I$8)/-12</t>
  </si>
  <si>
    <t>=NL("sum","Production Order","Quantity","Source No.",$D3932,"Equipment Code",$L3932,"due date",J$8)/$J$7</t>
  </si>
  <si>
    <t>=AVERAGE(I3932:J3932)</t>
  </si>
  <si>
    <t>=IF(K3933=0,"hide","")</t>
  </si>
  <si>
    <t>=D3932</t>
  </si>
  <si>
    <t>=NL("sum","Production Order","Quantity","Source No.",$D3933,"Equipment Code",$L3933,"due date",F$8)/-12</t>
  </si>
  <si>
    <t>=NL("sum","Production Order","Quantity","Source No.",$D3933,"Equipment Code",$L3933,"due date",G$8)/-12</t>
  </si>
  <si>
    <t>=NL("sum","Production Order","Quantity","Source No.",$D3933,"Equipment Code",$L3933,"due date",H$8)/-12</t>
  </si>
  <si>
    <t>=NL("sum","Production Order","Quantity","Source No.",$D3933,"Equipment Code",$L3933,"due date",I$8)/-12</t>
  </si>
  <si>
    <t>=NL("sum","Production Order","Quantity","Source No.",$D3933,"Equipment Code",$L3933,"due date",J$8)/$J$7</t>
  </si>
  <si>
    <t>=AVERAGE(I3933:J3933)</t>
  </si>
  <si>
    <t>=IF(K3934=0,"hide","")</t>
  </si>
  <si>
    <t>=D3933</t>
  </si>
  <si>
    <t>=NL("sum","Production Order","Quantity","Source No.",$D3934,"Equipment Code",$L3934,"due date",F$8)/-12</t>
  </si>
  <si>
    <t>=NL("sum","Production Order","Quantity","Source No.",$D3934,"Equipment Code",$L3934,"due date",G$8)/-12</t>
  </si>
  <si>
    <t>=NL("sum","Production Order","Quantity","Source No.",$D3934,"Equipment Code",$L3934,"due date",H$8)/-12</t>
  </si>
  <si>
    <t>=NL("sum","Production Order","Quantity","Source No.",$D3934,"Equipment Code",$L3934,"due date",I$8)/-12</t>
  </si>
  <si>
    <t>=NL("sum","Production Order","Quantity","Source No.",$D3934,"Equipment Code",$L3934,"due date",J$8)/$J$7</t>
  </si>
  <si>
    <t>=AVERAGE(I3934:J3934)</t>
  </si>
  <si>
    <t>=IF(K3935=0,"hide","")</t>
  </si>
  <si>
    <t>=D3934</t>
  </si>
  <si>
    <t>=NL("sum","Production Order","Quantity","Source No.",$D3935,"Equipment Code",$L3935,"due date",F$8)/-12</t>
  </si>
  <si>
    <t>=NL("sum","Production Order","Quantity","Source No.",$D3935,"Equipment Code",$L3935,"due date",G$8)/-12</t>
  </si>
  <si>
    <t>=NL("sum","Production Order","Quantity","Source No.",$D3935,"Equipment Code",$L3935,"due date",H$8)/-12</t>
  </si>
  <si>
    <t>=NL("sum","Production Order","Quantity","Source No.",$D3935,"Equipment Code",$L3935,"due date",I$8)/-12</t>
  </si>
  <si>
    <t>=NL("sum","Production Order","Quantity","Source No.",$D3935,"Equipment Code",$L3935,"due date",J$8)/$J$7</t>
  </si>
  <si>
    <t>=AVERAGE(I3935:J3935)</t>
  </si>
  <si>
    <t>=B3932</t>
  </si>
  <si>
    <t>=B3936</t>
  </si>
  <si>
    <t>=SUM(F3932:F3936)</t>
  </si>
  <si>
    <t>=SUM(G3932:G3936)</t>
  </si>
  <si>
    <t>=SUM(H3932:H3936)</t>
  </si>
  <si>
    <t>=SUM(I3932:I3936)</t>
  </si>
  <si>
    <t>=SUM(J3932:J3936)</t>
  </si>
  <si>
    <t>=IF(K3938=0,"hide","")</t>
  </si>
  <si>
    <t>="51704"</t>
  </si>
  <si>
    <t>=NL("rows","Production BOM Version","Version Code","Production BOM No.",D3938,"status","certified")</t>
  </si>
  <si>
    <t>=NL("sum","Item Ledger Entry","Quantity","Item No.",$D3938,"Entry Type","Sale|Consumption","posting date","01/01/19..12/31/19")/-12</t>
  </si>
  <si>
    <t>=NL("sum","Item Ledger Entry","Quantity","Item No.",$D3938,"Entry Type","Sale|Consumption","posting date","01/01/20..12/31/20")/-12</t>
  </si>
  <si>
    <t>=NL("sum","Item Ledger Entry","Quantity","Item No.",$D3938,"Entry Type","Sale|Consumption","posting date","01/01/21..12/31/21")/-12</t>
  </si>
  <si>
    <t>=NL("sum","Item Ledger Entry","Quantity","Item No.",$D3938,"Entry Type","Sale|Consumption","posting date","01/01/22..12/31/22")/-12</t>
  </si>
  <si>
    <t>=NL("sum","Item Ledger Entry","Quantity","Item No.",$D3938,"Entry Type","Sale|Consumption","posting date","01/01/23..12/31/23")/$J$7</t>
  </si>
  <si>
    <t>=AVERAGE(I3938:J3938)</t>
  </si>
  <si>
    <t>=NL(1,"item",L$9,"no.",D3938)</t>
  </si>
  <si>
    <t>=NL(1,"item",M$9,"no.",$D3938)</t>
  </si>
  <si>
    <t>=NL(1,"item","Units Per Parcel","no.",$D3938)</t>
  </si>
  <si>
    <t>=NL(1,"Prod. BOM Equipment","Fixed Prod. Time (Hours)","Production BOM No.",$D3938,"version code",$E3938,"Resource No.",O$9)</t>
  </si>
  <si>
    <t>=1/O3938</t>
  </si>
  <si>
    <t>=IF(NL(1,"Prod. BOM Equipment","Variable Prod. Time (Hours)","Production BOM No.",$D3938,"version code",$E3938,"Resource No.",$O$9)="",1,NL(1,"Prod. BOM Equipment","Variable Prod. Time (Hours)","Production BOM No.",$D3938,"version code",$E3938,"Resource No.",$O$9))</t>
  </si>
  <si>
    <t>=1/Q3938</t>
  </si>
  <si>
    <t>=R3938*N3938</t>
  </si>
  <si>
    <t>=IF(K3939=0,"hide","")</t>
  </si>
  <si>
    <t>=D3938</t>
  </si>
  <si>
    <t>=NL("sum","Production Order","Quantity","Source No.",$D3939,"Equipment Code",$L3939,"due date",F$8)/-12</t>
  </si>
  <si>
    <t>=NL("sum","Production Order","Quantity","Source No.",$D3939,"Equipment Code",$L3939,"due date",G$8)/-12</t>
  </si>
  <si>
    <t>=NL("sum","Production Order","Quantity","Source No.",$D3939,"Equipment Code",$L3939,"due date",H$8)/-12</t>
  </si>
  <si>
    <t>=NL("sum","Production Order","Quantity","Source No.",$D3939,"Equipment Code",$L3939,"due date",I$8)/-12</t>
  </si>
  <si>
    <t>=NL("sum","Production Order","Quantity","Source No.",$D3939,"Equipment Code",$L3939,"due date",J$8)/$J$7</t>
  </si>
  <si>
    <t>=AVERAGE(I3939:J3939)</t>
  </si>
  <si>
    <t>=IF(K3940=0,"hide","")</t>
  </si>
  <si>
    <t>=D3939</t>
  </si>
  <si>
    <t>=NL("sum","Production Order","Quantity","Source No.",$D3940,"Equipment Code",$L3940,"due date",F$8)/-12</t>
  </si>
  <si>
    <t>=NL("sum","Production Order","Quantity","Source No.",$D3940,"Equipment Code",$L3940,"due date",G$8)/-12</t>
  </si>
  <si>
    <t>=NL("sum","Production Order","Quantity","Source No.",$D3940,"Equipment Code",$L3940,"due date",H$8)/-12</t>
  </si>
  <si>
    <t>=NL("sum","Production Order","Quantity","Source No.",$D3940,"Equipment Code",$L3940,"due date",I$8)/-12</t>
  </si>
  <si>
    <t>=NL("sum","Production Order","Quantity","Source No.",$D3940,"Equipment Code",$L3940,"due date",J$8)/$J$7</t>
  </si>
  <si>
    <t>=AVERAGE(I3940:J3940)</t>
  </si>
  <si>
    <t>=IF(K3941=0,"hide","")</t>
  </si>
  <si>
    <t>=D3940</t>
  </si>
  <si>
    <t>=NL("sum","Production Order","Quantity","Source No.",$D3941,"Equipment Code",$L3941,"due date",F$8)/-12</t>
  </si>
  <si>
    <t>=NL("sum","Production Order","Quantity","Source No.",$D3941,"Equipment Code",$L3941,"due date",G$8)/-12</t>
  </si>
  <si>
    <t>=NL("sum","Production Order","Quantity","Source No.",$D3941,"Equipment Code",$L3941,"due date",H$8)/-12</t>
  </si>
  <si>
    <t>=NL("sum","Production Order","Quantity","Source No.",$D3941,"Equipment Code",$L3941,"due date",I$8)/-12</t>
  </si>
  <si>
    <t>=NL("sum","Production Order","Quantity","Source No.",$D3941,"Equipment Code",$L3941,"due date",J$8)/$J$7</t>
  </si>
  <si>
    <t>=AVERAGE(I3941:J3941)</t>
  </si>
  <si>
    <t>=IF(K3942=0,"hide","")</t>
  </si>
  <si>
    <t>=D3941</t>
  </si>
  <si>
    <t>=NL("sum","Production Order","Quantity","Source No.",$D3942,"Equipment Code",$L3942,"due date",F$8)/-12</t>
  </si>
  <si>
    <t>=NL("sum","Production Order","Quantity","Source No.",$D3942,"Equipment Code",$L3942,"due date",G$8)/-12</t>
  </si>
  <si>
    <t>=NL("sum","Production Order","Quantity","Source No.",$D3942,"Equipment Code",$L3942,"due date",H$8)/-12</t>
  </si>
  <si>
    <t>=NL("sum","Production Order","Quantity","Source No.",$D3942,"Equipment Code",$L3942,"due date",I$8)/-12</t>
  </si>
  <si>
    <t>=NL("sum","Production Order","Quantity","Source No.",$D3942,"Equipment Code",$L3942,"due date",J$8)/$J$7</t>
  </si>
  <si>
    <t>=AVERAGE(I3942:J3942)</t>
  </si>
  <si>
    <t>=B3939</t>
  </si>
  <si>
    <t>=B3943</t>
  </si>
  <si>
    <t>=SUM(F3939:F3943)</t>
  </si>
  <si>
    <t>=SUM(G3939:G3943)</t>
  </si>
  <si>
    <t>=SUM(H3939:H3943)</t>
  </si>
  <si>
    <t>=SUM(I3939:I3943)</t>
  </si>
  <si>
    <t>=SUM(J3939:J3943)</t>
  </si>
  <si>
    <t>=IF(K3945=0,"hide","")</t>
  </si>
  <si>
    <t>="51751"</t>
  </si>
  <si>
    <t>=NL("rows","Production BOM Version","Version Code","Production BOM No.",D3945,"status","certified")</t>
  </si>
  <si>
    <t>=NL("sum","Item Ledger Entry","Quantity","Item No.",$D3945,"Entry Type","Sale|Consumption","posting date","01/01/19..12/31/19")/-12</t>
  </si>
  <si>
    <t>=NL("sum","Item Ledger Entry","Quantity","Item No.",$D3945,"Entry Type","Sale|Consumption","posting date","01/01/20..12/31/20")/-12</t>
  </si>
  <si>
    <t>=NL("sum","Item Ledger Entry","Quantity","Item No.",$D3945,"Entry Type","Sale|Consumption","posting date","01/01/21..12/31/21")/-12</t>
  </si>
  <si>
    <t>=NL("sum","Item Ledger Entry","Quantity","Item No.",$D3945,"Entry Type","Sale|Consumption","posting date","01/01/22..12/31/22")/-12</t>
  </si>
  <si>
    <t>=NL("sum","Item Ledger Entry","Quantity","Item No.",$D3945,"Entry Type","Sale|Consumption","posting date","01/01/23..12/31/23")/$J$7</t>
  </si>
  <si>
    <t>=AVERAGE(I3945:J3945)</t>
  </si>
  <si>
    <t>=NL(1,"item",L$9,"no.",D3945)</t>
  </si>
  <si>
    <t>=NL(1,"item",M$9,"no.",$D3945)</t>
  </si>
  <si>
    <t>=NL(1,"item","Units Per Parcel","no.",$D3945)</t>
  </si>
  <si>
    <t>=NL(1,"Prod. BOM Equipment","Fixed Prod. Time (Hours)","Production BOM No.",$D3945,"version code",$E3945,"Resource No.",O$9)</t>
  </si>
  <si>
    <t>=1/O3945</t>
  </si>
  <si>
    <t>=IF(NL(1,"Prod. BOM Equipment","Variable Prod. Time (Hours)","Production BOM No.",$D3945,"version code",$E3945,"Resource No.",$O$9)="",1,NL(1,"Prod. BOM Equipment","Variable Prod. Time (Hours)","Production BOM No.",$D3945,"version code",$E3945,"Resource No.",$O$9))</t>
  </si>
  <si>
    <t>=1/Q3945</t>
  </si>
  <si>
    <t>=R3945*N3945</t>
  </si>
  <si>
    <t>=IF(K3946=0,"hide","")</t>
  </si>
  <si>
    <t>=D3945</t>
  </si>
  <si>
    <t>=NL("sum","Production Order","Quantity","Source No.",$D3946,"Equipment Code",$L3946,"due date",F$8)/-12</t>
  </si>
  <si>
    <t>=NL("sum","Production Order","Quantity","Source No.",$D3946,"Equipment Code",$L3946,"due date",G$8)/-12</t>
  </si>
  <si>
    <t>=NL("sum","Production Order","Quantity","Source No.",$D3946,"Equipment Code",$L3946,"due date",H$8)/-12</t>
  </si>
  <si>
    <t>=NL("sum","Production Order","Quantity","Source No.",$D3946,"Equipment Code",$L3946,"due date",I$8)/-12</t>
  </si>
  <si>
    <t>=NL("sum","Production Order","Quantity","Source No.",$D3946,"Equipment Code",$L3946,"due date",J$8)/$J$7</t>
  </si>
  <si>
    <t>=AVERAGE(I3946:J3946)</t>
  </si>
  <si>
    <t>=IF(K3947=0,"hide","")</t>
  </si>
  <si>
    <t>=D3946</t>
  </si>
  <si>
    <t>=NL("sum","Production Order","Quantity","Source No.",$D3947,"Equipment Code",$L3947,"due date",F$8)/-12</t>
  </si>
  <si>
    <t>=NL("sum","Production Order","Quantity","Source No.",$D3947,"Equipment Code",$L3947,"due date",G$8)/-12</t>
  </si>
  <si>
    <t>=NL("sum","Production Order","Quantity","Source No.",$D3947,"Equipment Code",$L3947,"due date",H$8)/-12</t>
  </si>
  <si>
    <t>=NL("sum","Production Order","Quantity","Source No.",$D3947,"Equipment Code",$L3947,"due date",I$8)/-12</t>
  </si>
  <si>
    <t>=NL("sum","Production Order","Quantity","Source No.",$D3947,"Equipment Code",$L3947,"due date",J$8)/$J$7</t>
  </si>
  <si>
    <t>=AVERAGE(I3947:J3947)</t>
  </si>
  <si>
    <t>=IF(K3948=0,"hide","")</t>
  </si>
  <si>
    <t>=D3947</t>
  </si>
  <si>
    <t>=NL("sum","Production Order","Quantity","Source No.",$D3948,"Equipment Code",$L3948,"due date",F$8)/-12</t>
  </si>
  <si>
    <t>=NL("sum","Production Order","Quantity","Source No.",$D3948,"Equipment Code",$L3948,"due date",G$8)/-12</t>
  </si>
  <si>
    <t>=NL("sum","Production Order","Quantity","Source No.",$D3948,"Equipment Code",$L3948,"due date",H$8)/-12</t>
  </si>
  <si>
    <t>=NL("sum","Production Order","Quantity","Source No.",$D3948,"Equipment Code",$L3948,"due date",I$8)/-12</t>
  </si>
  <si>
    <t>=NL("sum","Production Order","Quantity","Source No.",$D3948,"Equipment Code",$L3948,"due date",J$8)/$J$7</t>
  </si>
  <si>
    <t>=AVERAGE(I3948:J3948)</t>
  </si>
  <si>
    <t>=IF(K3949=0,"hide","")</t>
  </si>
  <si>
    <t>=D3948</t>
  </si>
  <si>
    <t>=NL("sum","Production Order","Quantity","Source No.",$D3949,"Equipment Code",$L3949,"due date",F$8)/-12</t>
  </si>
  <si>
    <t>=NL("sum","Production Order","Quantity","Source No.",$D3949,"Equipment Code",$L3949,"due date",G$8)/-12</t>
  </si>
  <si>
    <t>=NL("sum","Production Order","Quantity","Source No.",$D3949,"Equipment Code",$L3949,"due date",H$8)/-12</t>
  </si>
  <si>
    <t>=NL("sum","Production Order","Quantity","Source No.",$D3949,"Equipment Code",$L3949,"due date",I$8)/-12</t>
  </si>
  <si>
    <t>=NL("sum","Production Order","Quantity","Source No.",$D3949,"Equipment Code",$L3949,"due date",J$8)/$J$7</t>
  </si>
  <si>
    <t>=AVERAGE(I3949:J3949)</t>
  </si>
  <si>
    <t>=B3946</t>
  </si>
  <si>
    <t>=B3950</t>
  </si>
  <si>
    <t>=SUM(F3946:F3950)</t>
  </si>
  <si>
    <t>=SUM(G3946:G3950)</t>
  </si>
  <si>
    <t>=SUM(H3946:H3950)</t>
  </si>
  <si>
    <t>=SUM(I3946:I3950)</t>
  </si>
  <si>
    <t>=SUM(J3946:J3950)</t>
  </si>
  <si>
    <t>=IF(K3952=0,"hide","")</t>
  </si>
  <si>
    <t>=NL("rows","Production BOM Version","Version Code","Production BOM No.",D3952,"status","certified")</t>
  </si>
  <si>
    <t>=NL("sum","Item Ledger Entry","Quantity","Item No.",$D3952,"Entry Type","Sale|Consumption","posting date","01/01/19..12/31/19")/-12</t>
  </si>
  <si>
    <t>=NL("sum","Item Ledger Entry","Quantity","Item No.",$D3952,"Entry Type","Sale|Consumption","posting date","01/01/20..12/31/20")/-12</t>
  </si>
  <si>
    <t>=NL("sum","Item Ledger Entry","Quantity","Item No.",$D3952,"Entry Type","Sale|Consumption","posting date","01/01/21..12/31/21")/-12</t>
  </si>
  <si>
    <t>=NL("sum","Item Ledger Entry","Quantity","Item No.",$D3952,"Entry Type","Sale|Consumption","posting date","01/01/22..12/31/22")/-12</t>
  </si>
  <si>
    <t>=NL("sum","Item Ledger Entry","Quantity","Item No.",$D3952,"Entry Type","Sale|Consumption","posting date","01/01/23..12/31/23")/$J$7</t>
  </si>
  <si>
    <t>=AVERAGE(I3952:J3952)</t>
  </si>
  <si>
    <t>=NL(1,"item",L$9,"no.",D3952)</t>
  </si>
  <si>
    <t>=NL(1,"item",M$9,"no.",$D3952)</t>
  </si>
  <si>
    <t>=NL(1,"item","Units Per Parcel","no.",$D3952)</t>
  </si>
  <si>
    <t>=NL(1,"Prod. BOM Equipment","Fixed Prod. Time (Hours)","Production BOM No.",$D3952,"version code",$E3952,"Resource No.",O$9)</t>
  </si>
  <si>
    <t>=1/O3952</t>
  </si>
  <si>
    <t>=IF(NL(1,"Prod. BOM Equipment","Variable Prod. Time (Hours)","Production BOM No.",$D3952,"version code",$E3952,"Resource No.",$O$9)="",1,NL(1,"Prod. BOM Equipment","Variable Prod. Time (Hours)","Production BOM No.",$D3952,"version code",$E3952,"Resource No.",$O$9))</t>
  </si>
  <si>
    <t>=1/Q3952</t>
  </si>
  <si>
    <t>=R3952*N3952</t>
  </si>
  <si>
    <t>=IF(K3953=0,"hide","")</t>
  </si>
  <si>
    <t>=D3952</t>
  </si>
  <si>
    <t>=NL("sum","Production Order","Quantity","Source No.",$D3953,"Equipment Code",$L3953,"due date",F$8)/-12</t>
  </si>
  <si>
    <t>=NL("sum","Production Order","Quantity","Source No.",$D3953,"Equipment Code",$L3953,"due date",G$8)/-12</t>
  </si>
  <si>
    <t>=NL("sum","Production Order","Quantity","Source No.",$D3953,"Equipment Code",$L3953,"due date",H$8)/-12</t>
  </si>
  <si>
    <t>=NL("sum","Production Order","Quantity","Source No.",$D3953,"Equipment Code",$L3953,"due date",I$8)/-12</t>
  </si>
  <si>
    <t>=NL("sum","Production Order","Quantity","Source No.",$D3953,"Equipment Code",$L3953,"due date",J$8)/$J$7</t>
  </si>
  <si>
    <t>=AVERAGE(I3953:J3953)</t>
  </si>
  <si>
    <t>=IF(K3954=0,"hide","")</t>
  </si>
  <si>
    <t>=D3953</t>
  </si>
  <si>
    <t>=NL("sum","Production Order","Quantity","Source No.",$D3954,"Equipment Code",$L3954,"due date",F$8)/-12</t>
  </si>
  <si>
    <t>=NL("sum","Production Order","Quantity","Source No.",$D3954,"Equipment Code",$L3954,"due date",G$8)/-12</t>
  </si>
  <si>
    <t>=NL("sum","Production Order","Quantity","Source No.",$D3954,"Equipment Code",$L3954,"due date",H$8)/-12</t>
  </si>
  <si>
    <t>=NL("sum","Production Order","Quantity","Source No.",$D3954,"Equipment Code",$L3954,"due date",I$8)/-12</t>
  </si>
  <si>
    <t>=NL("sum","Production Order","Quantity","Source No.",$D3954,"Equipment Code",$L3954,"due date",J$8)/$J$7</t>
  </si>
  <si>
    <t>=AVERAGE(I3954:J3954)</t>
  </si>
  <si>
    <t>=IF(K3955=0,"hide","")</t>
  </si>
  <si>
    <t>=D3954</t>
  </si>
  <si>
    <t>=NL("sum","Production Order","Quantity","Source No.",$D3955,"Equipment Code",$L3955,"due date",F$8)/-12</t>
  </si>
  <si>
    <t>=NL("sum","Production Order","Quantity","Source No.",$D3955,"Equipment Code",$L3955,"due date",G$8)/-12</t>
  </si>
  <si>
    <t>=NL("sum","Production Order","Quantity","Source No.",$D3955,"Equipment Code",$L3955,"due date",H$8)/-12</t>
  </si>
  <si>
    <t>=NL("sum","Production Order","Quantity","Source No.",$D3955,"Equipment Code",$L3955,"due date",I$8)/-12</t>
  </si>
  <si>
    <t>=NL("sum","Production Order","Quantity","Source No.",$D3955,"Equipment Code",$L3955,"due date",J$8)/$J$7</t>
  </si>
  <si>
    <t>=AVERAGE(I3955:J3955)</t>
  </si>
  <si>
    <t>=IF(K3956=0,"hide","")</t>
  </si>
  <si>
    <t>=D3955</t>
  </si>
  <si>
    <t>=NL("sum","Production Order","Quantity","Source No.",$D3956,"Equipment Code",$L3956,"due date",F$8)/-12</t>
  </si>
  <si>
    <t>=NL("sum","Production Order","Quantity","Source No.",$D3956,"Equipment Code",$L3956,"due date",G$8)/-12</t>
  </si>
  <si>
    <t>=NL("sum","Production Order","Quantity","Source No.",$D3956,"Equipment Code",$L3956,"due date",H$8)/-12</t>
  </si>
  <si>
    <t>=NL("sum","Production Order","Quantity","Source No.",$D3956,"Equipment Code",$L3956,"due date",I$8)/-12</t>
  </si>
  <si>
    <t>=NL("sum","Production Order","Quantity","Source No.",$D3956,"Equipment Code",$L3956,"due date",J$8)/$J$7</t>
  </si>
  <si>
    <t>=AVERAGE(I3956:J3956)</t>
  </si>
  <si>
    <t>=B3953</t>
  </si>
  <si>
    <t>=B3957</t>
  </si>
  <si>
    <t>=SUM(F3953:F3957)</t>
  </si>
  <si>
    <t>=SUM(G3953:G3957)</t>
  </si>
  <si>
    <t>=SUM(H3953:H3957)</t>
  </si>
  <si>
    <t>=SUM(I3953:I3957)</t>
  </si>
  <si>
    <t>=SUM(J3953:J3957)</t>
  </si>
  <si>
    <t>=IF(K3959=0,"hide","")</t>
  </si>
  <si>
    <t>=NL("rows","Production BOM Version","Version Code","Production BOM No.",D3959,"status","certified")</t>
  </si>
  <si>
    <t>=NL("sum","Item Ledger Entry","Quantity","Item No.",$D3959,"Entry Type","Sale|Consumption","posting date","01/01/19..12/31/19")/-12</t>
  </si>
  <si>
    <t>=NL("sum","Item Ledger Entry","Quantity","Item No.",$D3959,"Entry Type","Sale|Consumption","posting date","01/01/20..12/31/20")/-12</t>
  </si>
  <si>
    <t>=NL("sum","Item Ledger Entry","Quantity","Item No.",$D3959,"Entry Type","Sale|Consumption","posting date","01/01/21..12/31/21")/-12</t>
  </si>
  <si>
    <t>=NL("sum","Item Ledger Entry","Quantity","Item No.",$D3959,"Entry Type","Sale|Consumption","posting date","01/01/22..12/31/22")/-12</t>
  </si>
  <si>
    <t>=NL("sum","Item Ledger Entry","Quantity","Item No.",$D3959,"Entry Type","Sale|Consumption","posting date","01/01/23..12/31/23")/$J$7</t>
  </si>
  <si>
    <t>=AVERAGE(I3959:J3959)</t>
  </si>
  <si>
    <t>=NL(1,"item",L$9,"no.",D3959)</t>
  </si>
  <si>
    <t>=NL(1,"item",M$9,"no.",$D3959)</t>
  </si>
  <si>
    <t>=NL(1,"item","Units Per Parcel","no.",$D3959)</t>
  </si>
  <si>
    <t>=NL(1,"Prod. BOM Equipment","Fixed Prod. Time (Hours)","Production BOM No.",$D3959,"version code",$E3959,"Resource No.",O$9)</t>
  </si>
  <si>
    <t>=1/O3959</t>
  </si>
  <si>
    <t>=IF(NL(1,"Prod. BOM Equipment","Variable Prod. Time (Hours)","Production BOM No.",$D3959,"version code",$E3959,"Resource No.",$O$9)="",1,NL(1,"Prod. BOM Equipment","Variable Prod. Time (Hours)","Production BOM No.",$D3959,"version code",$E3959,"Resource No.",$O$9))</t>
  </si>
  <si>
    <t>=1/Q3959</t>
  </si>
  <si>
    <t>=R3959*N3959</t>
  </si>
  <si>
    <t>=IF(K3960=0,"hide","")</t>
  </si>
  <si>
    <t>=D3959</t>
  </si>
  <si>
    <t>=NL("sum","Production Order","Quantity","Source No.",$D3960,"Equipment Code",$L3960,"due date",F$8)/-12</t>
  </si>
  <si>
    <t>=NL("sum","Production Order","Quantity","Source No.",$D3960,"Equipment Code",$L3960,"due date",G$8)/-12</t>
  </si>
  <si>
    <t>=NL("sum","Production Order","Quantity","Source No.",$D3960,"Equipment Code",$L3960,"due date",H$8)/-12</t>
  </si>
  <si>
    <t>=NL("sum","Production Order","Quantity","Source No.",$D3960,"Equipment Code",$L3960,"due date",I$8)/-12</t>
  </si>
  <si>
    <t>=NL("sum","Production Order","Quantity","Source No.",$D3960,"Equipment Code",$L3960,"due date",J$8)/$J$7</t>
  </si>
  <si>
    <t>=AVERAGE(I3960:J3960)</t>
  </si>
  <si>
    <t>=IF(K3961=0,"hide","")</t>
  </si>
  <si>
    <t>=D3960</t>
  </si>
  <si>
    <t>=NL("sum","Production Order","Quantity","Source No.",$D3961,"Equipment Code",$L3961,"due date",F$8)/-12</t>
  </si>
  <si>
    <t>=NL("sum","Production Order","Quantity","Source No.",$D3961,"Equipment Code",$L3961,"due date",G$8)/-12</t>
  </si>
  <si>
    <t>=NL("sum","Production Order","Quantity","Source No.",$D3961,"Equipment Code",$L3961,"due date",H$8)/-12</t>
  </si>
  <si>
    <t>=NL("sum","Production Order","Quantity","Source No.",$D3961,"Equipment Code",$L3961,"due date",I$8)/-12</t>
  </si>
  <si>
    <t>=NL("sum","Production Order","Quantity","Source No.",$D3961,"Equipment Code",$L3961,"due date",J$8)/$J$7</t>
  </si>
  <si>
    <t>=AVERAGE(I3961:J3961)</t>
  </si>
  <si>
    <t>=IF(K3962=0,"hide","")</t>
  </si>
  <si>
    <t>=D3961</t>
  </si>
  <si>
    <t>=NL("sum","Production Order","Quantity","Source No.",$D3962,"Equipment Code",$L3962,"due date",F$8)/-12</t>
  </si>
  <si>
    <t>=NL("sum","Production Order","Quantity","Source No.",$D3962,"Equipment Code",$L3962,"due date",G$8)/-12</t>
  </si>
  <si>
    <t>=NL("sum","Production Order","Quantity","Source No.",$D3962,"Equipment Code",$L3962,"due date",H$8)/-12</t>
  </si>
  <si>
    <t>=NL("sum","Production Order","Quantity","Source No.",$D3962,"Equipment Code",$L3962,"due date",I$8)/-12</t>
  </si>
  <si>
    <t>=NL("sum","Production Order","Quantity","Source No.",$D3962,"Equipment Code",$L3962,"due date",J$8)/$J$7</t>
  </si>
  <si>
    <t>=AVERAGE(I3962:J3962)</t>
  </si>
  <si>
    <t>=IF(K3963=0,"hide","")</t>
  </si>
  <si>
    <t>=D3962</t>
  </si>
  <si>
    <t>=NL("sum","Production Order","Quantity","Source No.",$D3963,"Equipment Code",$L3963,"due date",F$8)/-12</t>
  </si>
  <si>
    <t>=NL("sum","Production Order","Quantity","Source No.",$D3963,"Equipment Code",$L3963,"due date",G$8)/-12</t>
  </si>
  <si>
    <t>=NL("sum","Production Order","Quantity","Source No.",$D3963,"Equipment Code",$L3963,"due date",H$8)/-12</t>
  </si>
  <si>
    <t>=NL("sum","Production Order","Quantity","Source No.",$D3963,"Equipment Code",$L3963,"due date",I$8)/-12</t>
  </si>
  <si>
    <t>=NL("sum","Production Order","Quantity","Source No.",$D3963,"Equipment Code",$L3963,"due date",J$8)/$J$7</t>
  </si>
  <si>
    <t>=AVERAGE(I3963:J3963)</t>
  </si>
  <si>
    <t>=B3960</t>
  </si>
  <si>
    <t>=B3964</t>
  </si>
  <si>
    <t>=SUM(F3960:F3964)</t>
  </si>
  <si>
    <t>=SUM(G3960:G3964)</t>
  </si>
  <si>
    <t>=SUM(H3960:H3964)</t>
  </si>
  <si>
    <t>=SUM(I3960:I3964)</t>
  </si>
  <si>
    <t>=SUM(J3960:J3964)</t>
  </si>
  <si>
    <t>=IF(K3966=0,"hide","")</t>
  </si>
  <si>
    <t>="51902"</t>
  </si>
  <si>
    <t>=NL("rows","Production BOM Version","Version Code","Production BOM No.",D3966,"status","certified")</t>
  </si>
  <si>
    <t>=NL("sum","Item Ledger Entry","Quantity","Item No.",$D3966,"Entry Type","Sale|Consumption","posting date","01/01/19..12/31/19")/-12</t>
  </si>
  <si>
    <t>=NL("sum","Item Ledger Entry","Quantity","Item No.",$D3966,"Entry Type","Sale|Consumption","posting date","01/01/20..12/31/20")/-12</t>
  </si>
  <si>
    <t>=NL("sum","Item Ledger Entry","Quantity","Item No.",$D3966,"Entry Type","Sale|Consumption","posting date","01/01/21..12/31/21")/-12</t>
  </si>
  <si>
    <t>=NL("sum","Item Ledger Entry","Quantity","Item No.",$D3966,"Entry Type","Sale|Consumption","posting date","01/01/22..12/31/22")/-12</t>
  </si>
  <si>
    <t>=NL("sum","Item Ledger Entry","Quantity","Item No.",$D3966,"Entry Type","Sale|Consumption","posting date","01/01/23..12/31/23")/$J$7</t>
  </si>
  <si>
    <t>=AVERAGE(I3966:J3966)</t>
  </si>
  <si>
    <t>=NL(1,"item",L$9,"no.",D3966)</t>
  </si>
  <si>
    <t>=NL(1,"item",M$9,"no.",$D3966)</t>
  </si>
  <si>
    <t>=NL(1,"item","Units Per Parcel","no.",$D3966)</t>
  </si>
  <si>
    <t>=NL(1,"Prod. BOM Equipment","Fixed Prod. Time (Hours)","Production BOM No.",$D3966,"version code",$E3966,"Resource No.",O$9)</t>
  </si>
  <si>
    <t>=1/O3966</t>
  </si>
  <si>
    <t>=IF(NL(1,"Prod. BOM Equipment","Variable Prod. Time (Hours)","Production BOM No.",$D3966,"version code",$E3966,"Resource No.",$O$9)="",1,NL(1,"Prod. BOM Equipment","Variable Prod. Time (Hours)","Production BOM No.",$D3966,"version code",$E3966,"Resource No.",$O$9))</t>
  </si>
  <si>
    <t>=1/Q3966</t>
  </si>
  <si>
    <t>=R3966*N3966</t>
  </si>
  <si>
    <t>=IF(K3967=0,"hide","")</t>
  </si>
  <si>
    <t>=D3966</t>
  </si>
  <si>
    <t>=NL("sum","Production Order","Quantity","Source No.",$D3967,"Equipment Code",$L3967,"due date",F$8)/-12</t>
  </si>
  <si>
    <t>=NL("sum","Production Order","Quantity","Source No.",$D3967,"Equipment Code",$L3967,"due date",G$8)/-12</t>
  </si>
  <si>
    <t>=NL("sum","Production Order","Quantity","Source No.",$D3967,"Equipment Code",$L3967,"due date",H$8)/-12</t>
  </si>
  <si>
    <t>=NL("sum","Production Order","Quantity","Source No.",$D3967,"Equipment Code",$L3967,"due date",I$8)/-12</t>
  </si>
  <si>
    <t>=NL("sum","Production Order","Quantity","Source No.",$D3967,"Equipment Code",$L3967,"due date",J$8)/$J$7</t>
  </si>
  <si>
    <t>=AVERAGE(I3967:J3967)</t>
  </si>
  <si>
    <t>=IF(K3968=0,"hide","")</t>
  </si>
  <si>
    <t>=D3967</t>
  </si>
  <si>
    <t>=NL("sum","Production Order","Quantity","Source No.",$D3968,"Equipment Code",$L3968,"due date",F$8)/-12</t>
  </si>
  <si>
    <t>=NL("sum","Production Order","Quantity","Source No.",$D3968,"Equipment Code",$L3968,"due date",G$8)/-12</t>
  </si>
  <si>
    <t>=NL("sum","Production Order","Quantity","Source No.",$D3968,"Equipment Code",$L3968,"due date",H$8)/-12</t>
  </si>
  <si>
    <t>=NL("sum","Production Order","Quantity","Source No.",$D3968,"Equipment Code",$L3968,"due date",I$8)/-12</t>
  </si>
  <si>
    <t>=NL("sum","Production Order","Quantity","Source No.",$D3968,"Equipment Code",$L3968,"due date",J$8)/$J$7</t>
  </si>
  <si>
    <t>=AVERAGE(I3968:J3968)</t>
  </si>
  <si>
    <t>=IF(K3969=0,"hide","")</t>
  </si>
  <si>
    <t>=D3968</t>
  </si>
  <si>
    <t>=NL("sum","Production Order","Quantity","Source No.",$D3969,"Equipment Code",$L3969,"due date",F$8)/-12</t>
  </si>
  <si>
    <t>=NL("sum","Production Order","Quantity","Source No.",$D3969,"Equipment Code",$L3969,"due date",G$8)/-12</t>
  </si>
  <si>
    <t>=NL("sum","Production Order","Quantity","Source No.",$D3969,"Equipment Code",$L3969,"due date",H$8)/-12</t>
  </si>
  <si>
    <t>=NL("sum","Production Order","Quantity","Source No.",$D3969,"Equipment Code",$L3969,"due date",I$8)/-12</t>
  </si>
  <si>
    <t>=NL("sum","Production Order","Quantity","Source No.",$D3969,"Equipment Code",$L3969,"due date",J$8)/$J$7</t>
  </si>
  <si>
    <t>=AVERAGE(I3969:J3969)</t>
  </si>
  <si>
    <t>=IF(K3970=0,"hide","")</t>
  </si>
  <si>
    <t>=D3969</t>
  </si>
  <si>
    <t>=NL("sum","Production Order","Quantity","Source No.",$D3970,"Equipment Code",$L3970,"due date",F$8)/-12</t>
  </si>
  <si>
    <t>=NL("sum","Production Order","Quantity","Source No.",$D3970,"Equipment Code",$L3970,"due date",G$8)/-12</t>
  </si>
  <si>
    <t>=NL("sum","Production Order","Quantity","Source No.",$D3970,"Equipment Code",$L3970,"due date",H$8)/-12</t>
  </si>
  <si>
    <t>=NL("sum","Production Order","Quantity","Source No.",$D3970,"Equipment Code",$L3970,"due date",I$8)/-12</t>
  </si>
  <si>
    <t>=NL("sum","Production Order","Quantity","Source No.",$D3970,"Equipment Code",$L3970,"due date",J$8)/$J$7</t>
  </si>
  <si>
    <t>=AVERAGE(I3970:J3970)</t>
  </si>
  <si>
    <t>=B3967</t>
  </si>
  <si>
    <t>=B3971</t>
  </si>
  <si>
    <t>=SUM(F3967:F3971)</t>
  </si>
  <si>
    <t>=SUM(G3967:G3971)</t>
  </si>
  <si>
    <t>=SUM(H3967:H3971)</t>
  </si>
  <si>
    <t>=SUM(I3967:I3971)</t>
  </si>
  <si>
    <t>=SUM(J3967:J3971)</t>
  </si>
  <si>
    <t>=IF(K3973=0,"hide","")</t>
  </si>
  <si>
    <t>=NL("rows","Production BOM Version","Version Code","Production BOM No.",D3973,"status","certified")</t>
  </si>
  <si>
    <t>=NL("sum","Item Ledger Entry","Quantity","Item No.",$D3973,"Entry Type","Sale|Consumption","posting date","01/01/19..12/31/19")/-12</t>
  </si>
  <si>
    <t>=NL("sum","Item Ledger Entry","Quantity","Item No.",$D3973,"Entry Type","Sale|Consumption","posting date","01/01/20..12/31/20")/-12</t>
  </si>
  <si>
    <t>=NL("sum","Item Ledger Entry","Quantity","Item No.",$D3973,"Entry Type","Sale|Consumption","posting date","01/01/21..12/31/21")/-12</t>
  </si>
  <si>
    <t>=NL("sum","Item Ledger Entry","Quantity","Item No.",$D3973,"Entry Type","Sale|Consumption","posting date","01/01/22..12/31/22")/-12</t>
  </si>
  <si>
    <t>=NL("sum","Item Ledger Entry","Quantity","Item No.",$D3973,"Entry Type","Sale|Consumption","posting date","01/01/23..12/31/23")/$J$7</t>
  </si>
  <si>
    <t>=AVERAGE(I3973:J3973)</t>
  </si>
  <si>
    <t>=NL(1,"item",L$9,"no.",D3973)</t>
  </si>
  <si>
    <t>=NL(1,"item",M$9,"no.",$D3973)</t>
  </si>
  <si>
    <t>=NL(1,"item","Units Per Parcel","no.",$D3973)</t>
  </si>
  <si>
    <t>=NL(1,"Prod. BOM Equipment","Fixed Prod. Time (Hours)","Production BOM No.",$D3973,"version code",$E3973,"Resource No.",O$9)</t>
  </si>
  <si>
    <t>=1/O3973</t>
  </si>
  <si>
    <t>=IF(NL(1,"Prod. BOM Equipment","Variable Prod. Time (Hours)","Production BOM No.",$D3973,"version code",$E3973,"Resource No.",$O$9)="",1,NL(1,"Prod. BOM Equipment","Variable Prod. Time (Hours)","Production BOM No.",$D3973,"version code",$E3973,"Resource No.",$O$9))</t>
  </si>
  <si>
    <t>=1/Q3973</t>
  </si>
  <si>
    <t>=R3973*N3973</t>
  </si>
  <si>
    <t>=IF(K3974=0,"hide","")</t>
  </si>
  <si>
    <t>=D3973</t>
  </si>
  <si>
    <t>=NL("sum","Production Order","Quantity","Source No.",$D3974,"Equipment Code",$L3974,"due date",F$8)/-12</t>
  </si>
  <si>
    <t>=NL("sum","Production Order","Quantity","Source No.",$D3974,"Equipment Code",$L3974,"due date",G$8)/-12</t>
  </si>
  <si>
    <t>=NL("sum","Production Order","Quantity","Source No.",$D3974,"Equipment Code",$L3974,"due date",H$8)/-12</t>
  </si>
  <si>
    <t>=NL("sum","Production Order","Quantity","Source No.",$D3974,"Equipment Code",$L3974,"due date",I$8)/-12</t>
  </si>
  <si>
    <t>=NL("sum","Production Order","Quantity","Source No.",$D3974,"Equipment Code",$L3974,"due date",J$8)/$J$7</t>
  </si>
  <si>
    <t>=AVERAGE(I3974:J3974)</t>
  </si>
  <si>
    <t>=IF(K3975=0,"hide","")</t>
  </si>
  <si>
    <t>=D3974</t>
  </si>
  <si>
    <t>=NL("sum","Production Order","Quantity","Source No.",$D3975,"Equipment Code",$L3975,"due date",F$8)/-12</t>
  </si>
  <si>
    <t>=NL("sum","Production Order","Quantity","Source No.",$D3975,"Equipment Code",$L3975,"due date",G$8)/-12</t>
  </si>
  <si>
    <t>=NL("sum","Production Order","Quantity","Source No.",$D3975,"Equipment Code",$L3975,"due date",H$8)/-12</t>
  </si>
  <si>
    <t>=NL("sum","Production Order","Quantity","Source No.",$D3975,"Equipment Code",$L3975,"due date",I$8)/-12</t>
  </si>
  <si>
    <t>=NL("sum","Production Order","Quantity","Source No.",$D3975,"Equipment Code",$L3975,"due date",J$8)/$J$7</t>
  </si>
  <si>
    <t>=AVERAGE(I3975:J3975)</t>
  </si>
  <si>
    <t>=IF(K3976=0,"hide","")</t>
  </si>
  <si>
    <t>=D3975</t>
  </si>
  <si>
    <t>=NL("sum","Production Order","Quantity","Source No.",$D3976,"Equipment Code",$L3976,"due date",F$8)/-12</t>
  </si>
  <si>
    <t>=NL("sum","Production Order","Quantity","Source No.",$D3976,"Equipment Code",$L3976,"due date",G$8)/-12</t>
  </si>
  <si>
    <t>=NL("sum","Production Order","Quantity","Source No.",$D3976,"Equipment Code",$L3976,"due date",H$8)/-12</t>
  </si>
  <si>
    <t>=NL("sum","Production Order","Quantity","Source No.",$D3976,"Equipment Code",$L3976,"due date",I$8)/-12</t>
  </si>
  <si>
    <t>=NL("sum","Production Order","Quantity","Source No.",$D3976,"Equipment Code",$L3976,"due date",J$8)/$J$7</t>
  </si>
  <si>
    <t>=AVERAGE(I3976:J3976)</t>
  </si>
  <si>
    <t>=IF(K3977=0,"hide","")</t>
  </si>
  <si>
    <t>=D3976</t>
  </si>
  <si>
    <t>=NL("sum","Production Order","Quantity","Source No.",$D3977,"Equipment Code",$L3977,"due date",F$8)/-12</t>
  </si>
  <si>
    <t>=NL("sum","Production Order","Quantity","Source No.",$D3977,"Equipment Code",$L3977,"due date",G$8)/-12</t>
  </si>
  <si>
    <t>=NL("sum","Production Order","Quantity","Source No.",$D3977,"Equipment Code",$L3977,"due date",H$8)/-12</t>
  </si>
  <si>
    <t>=NL("sum","Production Order","Quantity","Source No.",$D3977,"Equipment Code",$L3977,"due date",I$8)/-12</t>
  </si>
  <si>
    <t>=NL("sum","Production Order","Quantity","Source No.",$D3977,"Equipment Code",$L3977,"due date",J$8)/$J$7</t>
  </si>
  <si>
    <t>=AVERAGE(I3977:J3977)</t>
  </si>
  <si>
    <t>=B3974</t>
  </si>
  <si>
    <t>=B3978</t>
  </si>
  <si>
    <t>=SUM(F3974:F3978)</t>
  </si>
  <si>
    <t>=SUM(G3974:G3978)</t>
  </si>
  <si>
    <t>=SUM(H3974:H3978)</t>
  </si>
  <si>
    <t>=SUM(I3974:I3978)</t>
  </si>
  <si>
    <t>=SUM(J3974:J3978)</t>
  </si>
  <si>
    <t>=IF(K3980=0,"hide","")</t>
  </si>
  <si>
    <t>=NL("rows","Production BOM Version","Version Code","Production BOM No.",D3980,"status","certified")</t>
  </si>
  <si>
    <t>=NL("sum","Item Ledger Entry","Quantity","Item No.",$D3980,"Entry Type","Sale|Consumption","posting date","01/01/19..12/31/19")/-12</t>
  </si>
  <si>
    <t>=NL("sum","Item Ledger Entry","Quantity","Item No.",$D3980,"Entry Type","Sale|Consumption","posting date","01/01/20..12/31/20")/-12</t>
  </si>
  <si>
    <t>=NL("sum","Item Ledger Entry","Quantity","Item No.",$D3980,"Entry Type","Sale|Consumption","posting date","01/01/21..12/31/21")/-12</t>
  </si>
  <si>
    <t>=NL("sum","Item Ledger Entry","Quantity","Item No.",$D3980,"Entry Type","Sale|Consumption","posting date","01/01/22..12/31/22")/-12</t>
  </si>
  <si>
    <t>=NL("sum","Item Ledger Entry","Quantity","Item No.",$D3980,"Entry Type","Sale|Consumption","posting date","01/01/23..12/31/23")/$J$7</t>
  </si>
  <si>
    <t>=AVERAGE(I3980:J3980)</t>
  </si>
  <si>
    <t>=NL(1,"item",L$9,"no.",D3980)</t>
  </si>
  <si>
    <t>=NL(1,"item",M$9,"no.",$D3980)</t>
  </si>
  <si>
    <t>=NL(1,"item","Units Per Parcel","no.",$D3980)</t>
  </si>
  <si>
    <t>=NL(1,"Prod. BOM Equipment","Fixed Prod. Time (Hours)","Production BOM No.",$D3980,"version code",$E3980,"Resource No.",O$9)</t>
  </si>
  <si>
    <t>=1/O3980</t>
  </si>
  <si>
    <t>=IF(NL(1,"Prod. BOM Equipment","Variable Prod. Time (Hours)","Production BOM No.",$D3980,"version code",$E3980,"Resource No.",$O$9)="",1,NL(1,"Prod. BOM Equipment","Variable Prod. Time (Hours)","Production BOM No.",$D3980,"version code",$E3980,"Resource No.",$O$9))</t>
  </si>
  <si>
    <t>=1/Q3980</t>
  </si>
  <si>
    <t>=R3980*N3980</t>
  </si>
  <si>
    <t>=IF(K3981=0,"hide","")</t>
  </si>
  <si>
    <t>=D3980</t>
  </si>
  <si>
    <t>=NL("sum","Production Order","Quantity","Source No.",$D3981,"Equipment Code",$L3981,"due date",F$8)/-12</t>
  </si>
  <si>
    <t>=NL("sum","Production Order","Quantity","Source No.",$D3981,"Equipment Code",$L3981,"due date",G$8)/-12</t>
  </si>
  <si>
    <t>=NL("sum","Production Order","Quantity","Source No.",$D3981,"Equipment Code",$L3981,"due date",H$8)/-12</t>
  </si>
  <si>
    <t>=NL("sum","Production Order","Quantity","Source No.",$D3981,"Equipment Code",$L3981,"due date",I$8)/-12</t>
  </si>
  <si>
    <t>=NL("sum","Production Order","Quantity","Source No.",$D3981,"Equipment Code",$L3981,"due date",J$8)/$J$7</t>
  </si>
  <si>
    <t>=AVERAGE(I3981:J3981)</t>
  </si>
  <si>
    <t>=IF(K3982=0,"hide","")</t>
  </si>
  <si>
    <t>=D3981</t>
  </si>
  <si>
    <t>=NL("sum","Production Order","Quantity","Source No.",$D3982,"Equipment Code",$L3982,"due date",F$8)/-12</t>
  </si>
  <si>
    <t>=NL("sum","Production Order","Quantity","Source No.",$D3982,"Equipment Code",$L3982,"due date",G$8)/-12</t>
  </si>
  <si>
    <t>=NL("sum","Production Order","Quantity","Source No.",$D3982,"Equipment Code",$L3982,"due date",H$8)/-12</t>
  </si>
  <si>
    <t>=NL("sum","Production Order","Quantity","Source No.",$D3982,"Equipment Code",$L3982,"due date",I$8)/-12</t>
  </si>
  <si>
    <t>=NL("sum","Production Order","Quantity","Source No.",$D3982,"Equipment Code",$L3982,"due date",J$8)/$J$7</t>
  </si>
  <si>
    <t>=AVERAGE(I3982:J3982)</t>
  </si>
  <si>
    <t>=IF(K3983=0,"hide","")</t>
  </si>
  <si>
    <t>=D3982</t>
  </si>
  <si>
    <t>=NL("sum","Production Order","Quantity","Source No.",$D3983,"Equipment Code",$L3983,"due date",F$8)/-12</t>
  </si>
  <si>
    <t>=NL("sum","Production Order","Quantity","Source No.",$D3983,"Equipment Code",$L3983,"due date",G$8)/-12</t>
  </si>
  <si>
    <t>=NL("sum","Production Order","Quantity","Source No.",$D3983,"Equipment Code",$L3983,"due date",H$8)/-12</t>
  </si>
  <si>
    <t>=NL("sum","Production Order","Quantity","Source No.",$D3983,"Equipment Code",$L3983,"due date",I$8)/-12</t>
  </si>
  <si>
    <t>=NL("sum","Production Order","Quantity","Source No.",$D3983,"Equipment Code",$L3983,"due date",J$8)/$J$7</t>
  </si>
  <si>
    <t>=AVERAGE(I3983:J3983)</t>
  </si>
  <si>
    <t>=IF(K3984=0,"hide","")</t>
  </si>
  <si>
    <t>=D3983</t>
  </si>
  <si>
    <t>=NL("sum","Production Order","Quantity","Source No.",$D3984,"Equipment Code",$L3984,"due date",F$8)/-12</t>
  </si>
  <si>
    <t>=NL("sum","Production Order","Quantity","Source No.",$D3984,"Equipment Code",$L3984,"due date",G$8)/-12</t>
  </si>
  <si>
    <t>=NL("sum","Production Order","Quantity","Source No.",$D3984,"Equipment Code",$L3984,"due date",H$8)/-12</t>
  </si>
  <si>
    <t>=NL("sum","Production Order","Quantity","Source No.",$D3984,"Equipment Code",$L3984,"due date",I$8)/-12</t>
  </si>
  <si>
    <t>=NL("sum","Production Order","Quantity","Source No.",$D3984,"Equipment Code",$L3984,"due date",J$8)/$J$7</t>
  </si>
  <si>
    <t>=AVERAGE(I3984:J3984)</t>
  </si>
  <si>
    <t>=B3981</t>
  </si>
  <si>
    <t>=B3985</t>
  </si>
  <si>
    <t>=SUM(F3981:F3985)</t>
  </si>
  <si>
    <t>=SUM(G3981:G3985)</t>
  </si>
  <si>
    <t>=SUM(H3981:H3985)</t>
  </si>
  <si>
    <t>=SUM(I3981:I3985)</t>
  </si>
  <si>
    <t>=SUM(J3981:J3985)</t>
  </si>
  <si>
    <t>=IF(K3987=0,"hide","")</t>
  </si>
  <si>
    <t>="51919"</t>
  </si>
  <si>
    <t>=NL("rows","Production BOM Version","Version Code","Production BOM No.",D3987,"status","certified")</t>
  </si>
  <si>
    <t>=NL("sum","Item Ledger Entry","Quantity","Item No.",$D3987,"Entry Type","Sale|Consumption","posting date","01/01/19..12/31/19")/-12</t>
  </si>
  <si>
    <t>=NL("sum","Item Ledger Entry","Quantity","Item No.",$D3987,"Entry Type","Sale|Consumption","posting date","01/01/20..12/31/20")/-12</t>
  </si>
  <si>
    <t>=NL("sum","Item Ledger Entry","Quantity","Item No.",$D3987,"Entry Type","Sale|Consumption","posting date","01/01/21..12/31/21")/-12</t>
  </si>
  <si>
    <t>=NL("sum","Item Ledger Entry","Quantity","Item No.",$D3987,"Entry Type","Sale|Consumption","posting date","01/01/22..12/31/22")/-12</t>
  </si>
  <si>
    <t>=NL("sum","Item Ledger Entry","Quantity","Item No.",$D3987,"Entry Type","Sale|Consumption","posting date","01/01/23..12/31/23")/$J$7</t>
  </si>
  <si>
    <t>=AVERAGE(I3987:J3987)</t>
  </si>
  <si>
    <t>=NL(1,"item",L$9,"no.",D3987)</t>
  </si>
  <si>
    <t>=NL(1,"item",M$9,"no.",$D3987)</t>
  </si>
  <si>
    <t>=NL(1,"item","Units Per Parcel","no.",$D3987)</t>
  </si>
  <si>
    <t>=NL(1,"Prod. BOM Equipment","Fixed Prod. Time (Hours)","Production BOM No.",$D3987,"version code",$E3987,"Resource No.",O$9)</t>
  </si>
  <si>
    <t>=1/O3987</t>
  </si>
  <si>
    <t>=IF(NL(1,"Prod. BOM Equipment","Variable Prod. Time (Hours)","Production BOM No.",$D3987,"version code",$E3987,"Resource No.",$O$9)="",1,NL(1,"Prod. BOM Equipment","Variable Prod. Time (Hours)","Production BOM No.",$D3987,"version code",$E3987,"Resource No.",$O$9))</t>
  </si>
  <si>
    <t>=1/Q3987</t>
  </si>
  <si>
    <t>=R3987*N3987</t>
  </si>
  <si>
    <t>=IF(K3988=0,"hide","")</t>
  </si>
  <si>
    <t>=D3987</t>
  </si>
  <si>
    <t>=NL("sum","Production Order","Quantity","Source No.",$D3988,"Equipment Code",$L3988,"due date",F$8)/-12</t>
  </si>
  <si>
    <t>=NL("sum","Production Order","Quantity","Source No.",$D3988,"Equipment Code",$L3988,"due date",G$8)/-12</t>
  </si>
  <si>
    <t>=NL("sum","Production Order","Quantity","Source No.",$D3988,"Equipment Code",$L3988,"due date",H$8)/-12</t>
  </si>
  <si>
    <t>=NL("sum","Production Order","Quantity","Source No.",$D3988,"Equipment Code",$L3988,"due date",I$8)/-12</t>
  </si>
  <si>
    <t>=NL("sum","Production Order","Quantity","Source No.",$D3988,"Equipment Code",$L3988,"due date",J$8)/$J$7</t>
  </si>
  <si>
    <t>=AVERAGE(I3988:J3988)</t>
  </si>
  <si>
    <t>=IF(K3989=0,"hide","")</t>
  </si>
  <si>
    <t>=D3988</t>
  </si>
  <si>
    <t>=NL("sum","Production Order","Quantity","Source No.",$D3989,"Equipment Code",$L3989,"due date",F$8)/-12</t>
  </si>
  <si>
    <t>=NL("sum","Production Order","Quantity","Source No.",$D3989,"Equipment Code",$L3989,"due date",G$8)/-12</t>
  </si>
  <si>
    <t>=NL("sum","Production Order","Quantity","Source No.",$D3989,"Equipment Code",$L3989,"due date",H$8)/-12</t>
  </si>
  <si>
    <t>=NL("sum","Production Order","Quantity","Source No.",$D3989,"Equipment Code",$L3989,"due date",I$8)/-12</t>
  </si>
  <si>
    <t>=NL("sum","Production Order","Quantity","Source No.",$D3989,"Equipment Code",$L3989,"due date",J$8)/$J$7</t>
  </si>
  <si>
    <t>=AVERAGE(I3989:J3989)</t>
  </si>
  <si>
    <t>=IF(K3990=0,"hide","")</t>
  </si>
  <si>
    <t>=D3989</t>
  </si>
  <si>
    <t>=NL("sum","Production Order","Quantity","Source No.",$D3990,"Equipment Code",$L3990,"due date",F$8)/-12</t>
  </si>
  <si>
    <t>=NL("sum","Production Order","Quantity","Source No.",$D3990,"Equipment Code",$L3990,"due date",G$8)/-12</t>
  </si>
  <si>
    <t>=NL("sum","Production Order","Quantity","Source No.",$D3990,"Equipment Code",$L3990,"due date",H$8)/-12</t>
  </si>
  <si>
    <t>=NL("sum","Production Order","Quantity","Source No.",$D3990,"Equipment Code",$L3990,"due date",I$8)/-12</t>
  </si>
  <si>
    <t>=NL("sum","Production Order","Quantity","Source No.",$D3990,"Equipment Code",$L3990,"due date",J$8)/$J$7</t>
  </si>
  <si>
    <t>=AVERAGE(I3990:J3990)</t>
  </si>
  <si>
    <t>=IF(K3991=0,"hide","")</t>
  </si>
  <si>
    <t>=D3990</t>
  </si>
  <si>
    <t>=NL("sum","Production Order","Quantity","Source No.",$D3991,"Equipment Code",$L3991,"due date",F$8)/-12</t>
  </si>
  <si>
    <t>=NL("sum","Production Order","Quantity","Source No.",$D3991,"Equipment Code",$L3991,"due date",G$8)/-12</t>
  </si>
  <si>
    <t>=NL("sum","Production Order","Quantity","Source No.",$D3991,"Equipment Code",$L3991,"due date",H$8)/-12</t>
  </si>
  <si>
    <t>=NL("sum","Production Order","Quantity","Source No.",$D3991,"Equipment Code",$L3991,"due date",I$8)/-12</t>
  </si>
  <si>
    <t>=NL("sum","Production Order","Quantity","Source No.",$D3991,"Equipment Code",$L3991,"due date",J$8)/$J$7</t>
  </si>
  <si>
    <t>=AVERAGE(I3991:J3991)</t>
  </si>
  <si>
    <t>=B3988</t>
  </si>
  <si>
    <t>=B3992</t>
  </si>
  <si>
    <t>=SUM(F3988:F3992)</t>
  </si>
  <si>
    <t>=SUM(G3988:G3992)</t>
  </si>
  <si>
    <t>=SUM(H3988:H3992)</t>
  </si>
  <si>
    <t>=SUM(I3988:I3992)</t>
  </si>
  <si>
    <t>=SUM(J3988:J3992)</t>
  </si>
  <si>
    <t>=IF(K3994=0,"hide","")</t>
  </si>
  <si>
    <t>="51921"</t>
  </si>
  <si>
    <t>=NL("rows","Production BOM Version","Version Code","Production BOM No.",D3994,"status","certified")</t>
  </si>
  <si>
    <t>=NL("sum","Item Ledger Entry","Quantity","Item No.",$D3994,"Entry Type","Sale|Consumption","posting date","01/01/19..12/31/19")/-12</t>
  </si>
  <si>
    <t>=NL("sum","Item Ledger Entry","Quantity","Item No.",$D3994,"Entry Type","Sale|Consumption","posting date","01/01/20..12/31/20")/-12</t>
  </si>
  <si>
    <t>=NL("sum","Item Ledger Entry","Quantity","Item No.",$D3994,"Entry Type","Sale|Consumption","posting date","01/01/21..12/31/21")/-12</t>
  </si>
  <si>
    <t>=NL("sum","Item Ledger Entry","Quantity","Item No.",$D3994,"Entry Type","Sale|Consumption","posting date","01/01/22..12/31/22")/-12</t>
  </si>
  <si>
    <t>=NL("sum","Item Ledger Entry","Quantity","Item No.",$D3994,"Entry Type","Sale|Consumption","posting date","01/01/23..12/31/23")/$J$7</t>
  </si>
  <si>
    <t>=AVERAGE(I3994:J3994)</t>
  </si>
  <si>
    <t>=NL(1,"item",L$9,"no.",D3994)</t>
  </si>
  <si>
    <t>=NL(1,"item",M$9,"no.",$D3994)</t>
  </si>
  <si>
    <t>=NL(1,"item","Units Per Parcel","no.",$D3994)</t>
  </si>
  <si>
    <t>=NL(1,"Prod. BOM Equipment","Fixed Prod. Time (Hours)","Production BOM No.",$D3994,"version code",$E3994,"Resource No.",O$9)</t>
  </si>
  <si>
    <t>=1/O3994</t>
  </si>
  <si>
    <t>=IF(NL(1,"Prod. BOM Equipment","Variable Prod. Time (Hours)","Production BOM No.",$D3994,"version code",$E3994,"Resource No.",$O$9)="",1,NL(1,"Prod. BOM Equipment","Variable Prod. Time (Hours)","Production BOM No.",$D3994,"version code",$E3994,"Resource No.",$O$9))</t>
  </si>
  <si>
    <t>=1/Q3994</t>
  </si>
  <si>
    <t>=R3994*N3994</t>
  </si>
  <si>
    <t>=IF(K3995=0,"hide","")</t>
  </si>
  <si>
    <t>=D3994</t>
  </si>
  <si>
    <t>=NL("sum","Production Order","Quantity","Source No.",$D3995,"Equipment Code",$L3995,"due date",F$8)/-12</t>
  </si>
  <si>
    <t>=NL("sum","Production Order","Quantity","Source No.",$D3995,"Equipment Code",$L3995,"due date",G$8)/-12</t>
  </si>
  <si>
    <t>=NL("sum","Production Order","Quantity","Source No.",$D3995,"Equipment Code",$L3995,"due date",H$8)/-12</t>
  </si>
  <si>
    <t>=NL("sum","Production Order","Quantity","Source No.",$D3995,"Equipment Code",$L3995,"due date",I$8)/-12</t>
  </si>
  <si>
    <t>=NL("sum","Production Order","Quantity","Source No.",$D3995,"Equipment Code",$L3995,"due date",J$8)/$J$7</t>
  </si>
  <si>
    <t>=AVERAGE(I3995:J3995)</t>
  </si>
  <si>
    <t>=IF(K3996=0,"hide","")</t>
  </si>
  <si>
    <t>=D3995</t>
  </si>
  <si>
    <t>=NL("sum","Production Order","Quantity","Source No.",$D3996,"Equipment Code",$L3996,"due date",F$8)/-12</t>
  </si>
  <si>
    <t>=NL("sum","Production Order","Quantity","Source No.",$D3996,"Equipment Code",$L3996,"due date",G$8)/-12</t>
  </si>
  <si>
    <t>=NL("sum","Production Order","Quantity","Source No.",$D3996,"Equipment Code",$L3996,"due date",H$8)/-12</t>
  </si>
  <si>
    <t>=NL("sum","Production Order","Quantity","Source No.",$D3996,"Equipment Code",$L3996,"due date",I$8)/-12</t>
  </si>
  <si>
    <t>=NL("sum","Production Order","Quantity","Source No.",$D3996,"Equipment Code",$L3996,"due date",J$8)/$J$7</t>
  </si>
  <si>
    <t>=AVERAGE(I3996:J3996)</t>
  </si>
  <si>
    <t>=IF(K3997=0,"hide","")</t>
  </si>
  <si>
    <t>=D3996</t>
  </si>
  <si>
    <t>=NL("sum","Production Order","Quantity","Source No.",$D3997,"Equipment Code",$L3997,"due date",F$8)/-12</t>
  </si>
  <si>
    <t>=NL("sum","Production Order","Quantity","Source No.",$D3997,"Equipment Code",$L3997,"due date",G$8)/-12</t>
  </si>
  <si>
    <t>=NL("sum","Production Order","Quantity","Source No.",$D3997,"Equipment Code",$L3997,"due date",H$8)/-12</t>
  </si>
  <si>
    <t>=NL("sum","Production Order","Quantity","Source No.",$D3997,"Equipment Code",$L3997,"due date",I$8)/-12</t>
  </si>
  <si>
    <t>=NL("sum","Production Order","Quantity","Source No.",$D3997,"Equipment Code",$L3997,"due date",J$8)/$J$7</t>
  </si>
  <si>
    <t>=AVERAGE(I3997:J3997)</t>
  </si>
  <si>
    <t>=IF(K3998=0,"hide","")</t>
  </si>
  <si>
    <t>=D3997</t>
  </si>
  <si>
    <t>=NL("sum","Production Order","Quantity","Source No.",$D3998,"Equipment Code",$L3998,"due date",F$8)/-12</t>
  </si>
  <si>
    <t>=NL("sum","Production Order","Quantity","Source No.",$D3998,"Equipment Code",$L3998,"due date",G$8)/-12</t>
  </si>
  <si>
    <t>=NL("sum","Production Order","Quantity","Source No.",$D3998,"Equipment Code",$L3998,"due date",H$8)/-12</t>
  </si>
  <si>
    <t>=NL("sum","Production Order","Quantity","Source No.",$D3998,"Equipment Code",$L3998,"due date",I$8)/-12</t>
  </si>
  <si>
    <t>=NL("sum","Production Order","Quantity","Source No.",$D3998,"Equipment Code",$L3998,"due date",J$8)/$J$7</t>
  </si>
  <si>
    <t>=AVERAGE(I3998:J3998)</t>
  </si>
  <si>
    <t>=B3995</t>
  </si>
  <si>
    <t>=B3999</t>
  </si>
  <si>
    <t>=SUM(F3995:F3999)</t>
  </si>
  <si>
    <t>=SUM(G3995:G3999)</t>
  </si>
  <si>
    <t>=SUM(H3995:H3999)</t>
  </si>
  <si>
    <t>=SUM(I3995:I3999)</t>
  </si>
  <si>
    <t>=SUM(J3995:J3999)</t>
  </si>
  <si>
    <t>=IF(K4001=0,"hide","")</t>
  </si>
  <si>
    <t>=NL("rows","Production BOM Version","Version Code","Production BOM No.",D4001,"status","certified")</t>
  </si>
  <si>
    <t>=NL("sum","Item Ledger Entry","Quantity","Item No.",$D4001,"Entry Type","Sale|Consumption","posting date","01/01/19..12/31/19")/-12</t>
  </si>
  <si>
    <t>=NL("sum","Item Ledger Entry","Quantity","Item No.",$D4001,"Entry Type","Sale|Consumption","posting date","01/01/20..12/31/20")/-12</t>
  </si>
  <si>
    <t>=NL("sum","Item Ledger Entry","Quantity","Item No.",$D4001,"Entry Type","Sale|Consumption","posting date","01/01/21..12/31/21")/-12</t>
  </si>
  <si>
    <t>=NL("sum","Item Ledger Entry","Quantity","Item No.",$D4001,"Entry Type","Sale|Consumption","posting date","01/01/22..12/31/22")/-12</t>
  </si>
  <si>
    <t>=NL("sum","Item Ledger Entry","Quantity","Item No.",$D4001,"Entry Type","Sale|Consumption","posting date","01/01/23..12/31/23")/$J$7</t>
  </si>
  <si>
    <t>=AVERAGE(I4001:J4001)</t>
  </si>
  <si>
    <t>=NL(1,"item",L$9,"no.",D4001)</t>
  </si>
  <si>
    <t>=NL(1,"item",M$9,"no.",$D4001)</t>
  </si>
  <si>
    <t>=NL(1,"item","Units Per Parcel","no.",$D4001)</t>
  </si>
  <si>
    <t>=NL(1,"Prod. BOM Equipment","Fixed Prod. Time (Hours)","Production BOM No.",$D4001,"version code",$E4001,"Resource No.",O$9)</t>
  </si>
  <si>
    <t>=1/O4001</t>
  </si>
  <si>
    <t>=IF(NL(1,"Prod. BOM Equipment","Variable Prod. Time (Hours)","Production BOM No.",$D4001,"version code",$E4001,"Resource No.",$O$9)="",1,NL(1,"Prod. BOM Equipment","Variable Prod. Time (Hours)","Production BOM No.",$D4001,"version code",$E4001,"Resource No.",$O$9))</t>
  </si>
  <si>
    <t>=1/Q4001</t>
  </si>
  <si>
    <t>=R4001*N4001</t>
  </si>
  <si>
    <t>=IF(K4002=0,"hide","")</t>
  </si>
  <si>
    <t>=D4001</t>
  </si>
  <si>
    <t>=NL("sum","Production Order","Quantity","Source No.",$D4002,"Equipment Code",$L4002,"due date",F$8)/-12</t>
  </si>
  <si>
    <t>=NL("sum","Production Order","Quantity","Source No.",$D4002,"Equipment Code",$L4002,"due date",G$8)/-12</t>
  </si>
  <si>
    <t>=NL("sum","Production Order","Quantity","Source No.",$D4002,"Equipment Code",$L4002,"due date",H$8)/-12</t>
  </si>
  <si>
    <t>=NL("sum","Production Order","Quantity","Source No.",$D4002,"Equipment Code",$L4002,"due date",I$8)/-12</t>
  </si>
  <si>
    <t>=NL("sum","Production Order","Quantity","Source No.",$D4002,"Equipment Code",$L4002,"due date",J$8)/$J$7</t>
  </si>
  <si>
    <t>=AVERAGE(I4002:J4002)</t>
  </si>
  <si>
    <t>=IF(K4003=0,"hide","")</t>
  </si>
  <si>
    <t>=D4002</t>
  </si>
  <si>
    <t>=NL("sum","Production Order","Quantity","Source No.",$D4003,"Equipment Code",$L4003,"due date",F$8)/-12</t>
  </si>
  <si>
    <t>=NL("sum","Production Order","Quantity","Source No.",$D4003,"Equipment Code",$L4003,"due date",G$8)/-12</t>
  </si>
  <si>
    <t>=NL("sum","Production Order","Quantity","Source No.",$D4003,"Equipment Code",$L4003,"due date",H$8)/-12</t>
  </si>
  <si>
    <t>=NL("sum","Production Order","Quantity","Source No.",$D4003,"Equipment Code",$L4003,"due date",I$8)/-12</t>
  </si>
  <si>
    <t>=NL("sum","Production Order","Quantity","Source No.",$D4003,"Equipment Code",$L4003,"due date",J$8)/$J$7</t>
  </si>
  <si>
    <t>=AVERAGE(I4003:J4003)</t>
  </si>
  <si>
    <t>=IF(K4004=0,"hide","")</t>
  </si>
  <si>
    <t>=D4003</t>
  </si>
  <si>
    <t>=NL("sum","Production Order","Quantity","Source No.",$D4004,"Equipment Code",$L4004,"due date",F$8)/-12</t>
  </si>
  <si>
    <t>=NL("sum","Production Order","Quantity","Source No.",$D4004,"Equipment Code",$L4004,"due date",G$8)/-12</t>
  </si>
  <si>
    <t>=NL("sum","Production Order","Quantity","Source No.",$D4004,"Equipment Code",$L4004,"due date",H$8)/-12</t>
  </si>
  <si>
    <t>=NL("sum","Production Order","Quantity","Source No.",$D4004,"Equipment Code",$L4004,"due date",I$8)/-12</t>
  </si>
  <si>
    <t>=NL("sum","Production Order","Quantity","Source No.",$D4004,"Equipment Code",$L4004,"due date",J$8)/$J$7</t>
  </si>
  <si>
    <t>=AVERAGE(I4004:J4004)</t>
  </si>
  <si>
    <t>=IF(K4005=0,"hide","")</t>
  </si>
  <si>
    <t>=D4004</t>
  </si>
  <si>
    <t>=NL("sum","Production Order","Quantity","Source No.",$D4005,"Equipment Code",$L4005,"due date",F$8)/-12</t>
  </si>
  <si>
    <t>=NL("sum","Production Order","Quantity","Source No.",$D4005,"Equipment Code",$L4005,"due date",G$8)/-12</t>
  </si>
  <si>
    <t>=NL("sum","Production Order","Quantity","Source No.",$D4005,"Equipment Code",$L4005,"due date",H$8)/-12</t>
  </si>
  <si>
    <t>=NL("sum","Production Order","Quantity","Source No.",$D4005,"Equipment Code",$L4005,"due date",I$8)/-12</t>
  </si>
  <si>
    <t>=NL("sum","Production Order","Quantity","Source No.",$D4005,"Equipment Code",$L4005,"due date",J$8)/$J$7</t>
  </si>
  <si>
    <t>=AVERAGE(I4005:J4005)</t>
  </si>
  <si>
    <t>=B4002</t>
  </si>
  <si>
    <t>=B4006</t>
  </si>
  <si>
    <t>=SUM(F4002:F4006)</t>
  </si>
  <si>
    <t>=SUM(G4002:G4006)</t>
  </si>
  <si>
    <t>=SUM(H4002:H4006)</t>
  </si>
  <si>
    <t>=SUM(I4002:I4006)</t>
  </si>
  <si>
    <t>=SUM(J4002:J4006)</t>
  </si>
  <si>
    <t>=IF(K4008=0,"hide","")</t>
  </si>
  <si>
    <t>=NL("rows","Production BOM Version","Version Code","Production BOM No.",D4008,"status","certified")</t>
  </si>
  <si>
    <t>=NL("sum","Item Ledger Entry","Quantity","Item No.",$D4008,"Entry Type","Sale|Consumption","posting date","01/01/19..12/31/19")/-12</t>
  </si>
  <si>
    <t>=NL("sum","Item Ledger Entry","Quantity","Item No.",$D4008,"Entry Type","Sale|Consumption","posting date","01/01/20..12/31/20")/-12</t>
  </si>
  <si>
    <t>=NL("sum","Item Ledger Entry","Quantity","Item No.",$D4008,"Entry Type","Sale|Consumption","posting date","01/01/21..12/31/21")/-12</t>
  </si>
  <si>
    <t>=NL("sum","Item Ledger Entry","Quantity","Item No.",$D4008,"Entry Type","Sale|Consumption","posting date","01/01/22..12/31/22")/-12</t>
  </si>
  <si>
    <t>=NL("sum","Item Ledger Entry","Quantity","Item No.",$D4008,"Entry Type","Sale|Consumption","posting date","01/01/23..12/31/23")/$J$7</t>
  </si>
  <si>
    <t>=AVERAGE(I4008:J4008)</t>
  </si>
  <si>
    <t>=NL(1,"item",L$9,"no.",D4008)</t>
  </si>
  <si>
    <t>=NL(1,"item",M$9,"no.",$D4008)</t>
  </si>
  <si>
    <t>=NL(1,"item","Units Per Parcel","no.",$D4008)</t>
  </si>
  <si>
    <t>=NL(1,"Prod. BOM Equipment","Fixed Prod. Time (Hours)","Production BOM No.",$D4008,"version code",$E4008,"Resource No.",O$9)</t>
  </si>
  <si>
    <t>=1/O4008</t>
  </si>
  <si>
    <t>=IF(NL(1,"Prod. BOM Equipment","Variable Prod. Time (Hours)","Production BOM No.",$D4008,"version code",$E4008,"Resource No.",$O$9)="",1,NL(1,"Prod. BOM Equipment","Variable Prod. Time (Hours)","Production BOM No.",$D4008,"version code",$E4008,"Resource No.",$O$9))</t>
  </si>
  <si>
    <t>=1/Q4008</t>
  </si>
  <si>
    <t>=R4008*N4008</t>
  </si>
  <si>
    <t>=IF(K4009=0,"hide","")</t>
  </si>
  <si>
    <t>=D4008</t>
  </si>
  <si>
    <t>=NL("sum","Production Order","Quantity","Source No.",$D4009,"Equipment Code",$L4009,"due date",F$8)/-12</t>
  </si>
  <si>
    <t>=NL("sum","Production Order","Quantity","Source No.",$D4009,"Equipment Code",$L4009,"due date",G$8)/-12</t>
  </si>
  <si>
    <t>=NL("sum","Production Order","Quantity","Source No.",$D4009,"Equipment Code",$L4009,"due date",H$8)/-12</t>
  </si>
  <si>
    <t>=NL("sum","Production Order","Quantity","Source No.",$D4009,"Equipment Code",$L4009,"due date",I$8)/-12</t>
  </si>
  <si>
    <t>=NL("sum","Production Order","Quantity","Source No.",$D4009,"Equipment Code",$L4009,"due date",J$8)/$J$7</t>
  </si>
  <si>
    <t>=AVERAGE(I4009:J4009)</t>
  </si>
  <si>
    <t>=IF(K4010=0,"hide","")</t>
  </si>
  <si>
    <t>=D4009</t>
  </si>
  <si>
    <t>=NL("sum","Production Order","Quantity","Source No.",$D4010,"Equipment Code",$L4010,"due date",F$8)/-12</t>
  </si>
  <si>
    <t>=NL("sum","Production Order","Quantity","Source No.",$D4010,"Equipment Code",$L4010,"due date",G$8)/-12</t>
  </si>
  <si>
    <t>=NL("sum","Production Order","Quantity","Source No.",$D4010,"Equipment Code",$L4010,"due date",H$8)/-12</t>
  </si>
  <si>
    <t>=NL("sum","Production Order","Quantity","Source No.",$D4010,"Equipment Code",$L4010,"due date",I$8)/-12</t>
  </si>
  <si>
    <t>=NL("sum","Production Order","Quantity","Source No.",$D4010,"Equipment Code",$L4010,"due date",J$8)/$J$7</t>
  </si>
  <si>
    <t>=AVERAGE(I4010:J4010)</t>
  </si>
  <si>
    <t>=IF(K4011=0,"hide","")</t>
  </si>
  <si>
    <t>=D4010</t>
  </si>
  <si>
    <t>=NL("sum","Production Order","Quantity","Source No.",$D4011,"Equipment Code",$L4011,"due date",F$8)/-12</t>
  </si>
  <si>
    <t>=NL("sum","Production Order","Quantity","Source No.",$D4011,"Equipment Code",$L4011,"due date",G$8)/-12</t>
  </si>
  <si>
    <t>=NL("sum","Production Order","Quantity","Source No.",$D4011,"Equipment Code",$L4011,"due date",H$8)/-12</t>
  </si>
  <si>
    <t>=NL("sum","Production Order","Quantity","Source No.",$D4011,"Equipment Code",$L4011,"due date",I$8)/-12</t>
  </si>
  <si>
    <t>=NL("sum","Production Order","Quantity","Source No.",$D4011,"Equipment Code",$L4011,"due date",J$8)/$J$7</t>
  </si>
  <si>
    <t>=AVERAGE(I4011:J4011)</t>
  </si>
  <si>
    <t>=IF(K4012=0,"hide","")</t>
  </si>
  <si>
    <t>=D4011</t>
  </si>
  <si>
    <t>=NL("sum","Production Order","Quantity","Source No.",$D4012,"Equipment Code",$L4012,"due date",F$8)/-12</t>
  </si>
  <si>
    <t>=NL("sum","Production Order","Quantity","Source No.",$D4012,"Equipment Code",$L4012,"due date",G$8)/-12</t>
  </si>
  <si>
    <t>=NL("sum","Production Order","Quantity","Source No.",$D4012,"Equipment Code",$L4012,"due date",H$8)/-12</t>
  </si>
  <si>
    <t>=NL("sum","Production Order","Quantity","Source No.",$D4012,"Equipment Code",$L4012,"due date",I$8)/-12</t>
  </si>
  <si>
    <t>=NL("sum","Production Order","Quantity","Source No.",$D4012,"Equipment Code",$L4012,"due date",J$8)/$J$7</t>
  </si>
  <si>
    <t>=AVERAGE(I4012:J4012)</t>
  </si>
  <si>
    <t>=B4009</t>
  </si>
  <si>
    <t>=B4013</t>
  </si>
  <si>
    <t>=SUM(F4009:F4013)</t>
  </si>
  <si>
    <t>=SUM(G4009:G4013)</t>
  </si>
  <si>
    <t>=SUM(H4009:H4013)</t>
  </si>
  <si>
    <t>=SUM(I4009:I4013)</t>
  </si>
  <si>
    <t>=SUM(J4009:J4013)</t>
  </si>
  <si>
    <t>=IF(K4015=0,"hide","")</t>
  </si>
  <si>
    <t>=NL("rows","Production BOM Version","Version Code","Production BOM No.",D4015,"status","certified")</t>
  </si>
  <si>
    <t>=NL("sum","Item Ledger Entry","Quantity","Item No.",$D4015,"Entry Type","Sale|Consumption","posting date","01/01/19..12/31/19")/-12</t>
  </si>
  <si>
    <t>=NL("sum","Item Ledger Entry","Quantity","Item No.",$D4015,"Entry Type","Sale|Consumption","posting date","01/01/20..12/31/20")/-12</t>
  </si>
  <si>
    <t>=NL("sum","Item Ledger Entry","Quantity","Item No.",$D4015,"Entry Type","Sale|Consumption","posting date","01/01/21..12/31/21")/-12</t>
  </si>
  <si>
    <t>=NL("sum","Item Ledger Entry","Quantity","Item No.",$D4015,"Entry Type","Sale|Consumption","posting date","01/01/22..12/31/22")/-12</t>
  </si>
  <si>
    <t>=NL("sum","Item Ledger Entry","Quantity","Item No.",$D4015,"Entry Type","Sale|Consumption","posting date","01/01/23..12/31/23")/$J$7</t>
  </si>
  <si>
    <t>=AVERAGE(I4015:J4015)</t>
  </si>
  <si>
    <t>=NL(1,"item",L$9,"no.",D4015)</t>
  </si>
  <si>
    <t>=NL(1,"item",M$9,"no.",$D4015)</t>
  </si>
  <si>
    <t>=NL(1,"item","Units Per Parcel","no.",$D4015)</t>
  </si>
  <si>
    <t>=NL(1,"Prod. BOM Equipment","Fixed Prod. Time (Hours)","Production BOM No.",$D4015,"version code",$E4015,"Resource No.",O$9)</t>
  </si>
  <si>
    <t>=1/O4015</t>
  </si>
  <si>
    <t>=IF(NL(1,"Prod. BOM Equipment","Variable Prod. Time (Hours)","Production BOM No.",$D4015,"version code",$E4015,"Resource No.",$O$9)="",1,NL(1,"Prod. BOM Equipment","Variable Prod. Time (Hours)","Production BOM No.",$D4015,"version code",$E4015,"Resource No.",$O$9))</t>
  </si>
  <si>
    <t>=1/Q4015</t>
  </si>
  <si>
    <t>=R4015*N4015</t>
  </si>
  <si>
    <t>=IF(K4016=0,"hide","")</t>
  </si>
  <si>
    <t>=D4015</t>
  </si>
  <si>
    <t>=NL("sum","Production Order","Quantity","Source No.",$D4016,"Equipment Code",$L4016,"due date",F$8)/-12</t>
  </si>
  <si>
    <t>=NL("sum","Production Order","Quantity","Source No.",$D4016,"Equipment Code",$L4016,"due date",G$8)/-12</t>
  </si>
  <si>
    <t>=NL("sum","Production Order","Quantity","Source No.",$D4016,"Equipment Code",$L4016,"due date",H$8)/-12</t>
  </si>
  <si>
    <t>=NL("sum","Production Order","Quantity","Source No.",$D4016,"Equipment Code",$L4016,"due date",I$8)/-12</t>
  </si>
  <si>
    <t>=NL("sum","Production Order","Quantity","Source No.",$D4016,"Equipment Code",$L4016,"due date",J$8)/$J$7</t>
  </si>
  <si>
    <t>=AVERAGE(I4016:J4016)</t>
  </si>
  <si>
    <t>=IF(K4017=0,"hide","")</t>
  </si>
  <si>
    <t>=D4016</t>
  </si>
  <si>
    <t>=NL("sum","Production Order","Quantity","Source No.",$D4017,"Equipment Code",$L4017,"due date",F$8)/-12</t>
  </si>
  <si>
    <t>=NL("sum","Production Order","Quantity","Source No.",$D4017,"Equipment Code",$L4017,"due date",G$8)/-12</t>
  </si>
  <si>
    <t>=NL("sum","Production Order","Quantity","Source No.",$D4017,"Equipment Code",$L4017,"due date",H$8)/-12</t>
  </si>
  <si>
    <t>=NL("sum","Production Order","Quantity","Source No.",$D4017,"Equipment Code",$L4017,"due date",I$8)/-12</t>
  </si>
  <si>
    <t>=NL("sum","Production Order","Quantity","Source No.",$D4017,"Equipment Code",$L4017,"due date",J$8)/$J$7</t>
  </si>
  <si>
    <t>=AVERAGE(I4017:J4017)</t>
  </si>
  <si>
    <t>=IF(K4018=0,"hide","")</t>
  </si>
  <si>
    <t>=D4017</t>
  </si>
  <si>
    <t>=NL("sum","Production Order","Quantity","Source No.",$D4018,"Equipment Code",$L4018,"due date",F$8)/-12</t>
  </si>
  <si>
    <t>=NL("sum","Production Order","Quantity","Source No.",$D4018,"Equipment Code",$L4018,"due date",G$8)/-12</t>
  </si>
  <si>
    <t>=NL("sum","Production Order","Quantity","Source No.",$D4018,"Equipment Code",$L4018,"due date",H$8)/-12</t>
  </si>
  <si>
    <t>=NL("sum","Production Order","Quantity","Source No.",$D4018,"Equipment Code",$L4018,"due date",I$8)/-12</t>
  </si>
  <si>
    <t>=NL("sum","Production Order","Quantity","Source No.",$D4018,"Equipment Code",$L4018,"due date",J$8)/$J$7</t>
  </si>
  <si>
    <t>=AVERAGE(I4018:J4018)</t>
  </si>
  <si>
    <t>=IF(K4019=0,"hide","")</t>
  </si>
  <si>
    <t>=D4018</t>
  </si>
  <si>
    <t>=NL("sum","Production Order","Quantity","Source No.",$D4019,"Equipment Code",$L4019,"due date",F$8)/-12</t>
  </si>
  <si>
    <t>=NL("sum","Production Order","Quantity","Source No.",$D4019,"Equipment Code",$L4019,"due date",G$8)/-12</t>
  </si>
  <si>
    <t>=NL("sum","Production Order","Quantity","Source No.",$D4019,"Equipment Code",$L4019,"due date",H$8)/-12</t>
  </si>
  <si>
    <t>=NL("sum","Production Order","Quantity","Source No.",$D4019,"Equipment Code",$L4019,"due date",I$8)/-12</t>
  </si>
  <si>
    <t>=NL("sum","Production Order","Quantity","Source No.",$D4019,"Equipment Code",$L4019,"due date",J$8)/$J$7</t>
  </si>
  <si>
    <t>=AVERAGE(I4019:J4019)</t>
  </si>
  <si>
    <t>=B4016</t>
  </si>
  <si>
    <t>=B4020</t>
  </si>
  <si>
    <t>=SUM(F4016:F4020)</t>
  </si>
  <si>
    <t>=SUM(G4016:G4020)</t>
  </si>
  <si>
    <t>=SUM(H4016:H4020)</t>
  </si>
  <si>
    <t>=SUM(I4016:I4020)</t>
  </si>
  <si>
    <t>=SUM(J4016:J4020)</t>
  </si>
  <si>
    <t>=IF(K4022=0,"hide","")</t>
  </si>
  <si>
    <t>=NL("rows","Production BOM Version","Version Code","Production BOM No.",D4022,"status","certified")</t>
  </si>
  <si>
    <t>=NL("sum","Item Ledger Entry","Quantity","Item No.",$D4022,"Entry Type","Sale|Consumption","posting date","01/01/19..12/31/19")/-12</t>
  </si>
  <si>
    <t>=NL("sum","Item Ledger Entry","Quantity","Item No.",$D4022,"Entry Type","Sale|Consumption","posting date","01/01/20..12/31/20")/-12</t>
  </si>
  <si>
    <t>=NL("sum","Item Ledger Entry","Quantity","Item No.",$D4022,"Entry Type","Sale|Consumption","posting date","01/01/21..12/31/21")/-12</t>
  </si>
  <si>
    <t>=NL("sum","Item Ledger Entry","Quantity","Item No.",$D4022,"Entry Type","Sale|Consumption","posting date","01/01/22..12/31/22")/-12</t>
  </si>
  <si>
    <t>=NL("sum","Item Ledger Entry","Quantity","Item No.",$D4022,"Entry Type","Sale|Consumption","posting date","01/01/23..12/31/23")/$J$7</t>
  </si>
  <si>
    <t>=AVERAGE(I4022:J4022)</t>
  </si>
  <si>
    <t>=NL(1,"item",L$9,"no.",D4022)</t>
  </si>
  <si>
    <t>=NL(1,"item",M$9,"no.",$D4022)</t>
  </si>
  <si>
    <t>=NL(1,"item","Units Per Parcel","no.",$D4022)</t>
  </si>
  <si>
    <t>=NL(1,"Prod. BOM Equipment","Fixed Prod. Time (Hours)","Production BOM No.",$D4022,"version code",$E4022,"Resource No.",O$9)</t>
  </si>
  <si>
    <t>=1/O4022</t>
  </si>
  <si>
    <t>=IF(NL(1,"Prod. BOM Equipment","Variable Prod. Time (Hours)","Production BOM No.",$D4022,"version code",$E4022,"Resource No.",$O$9)="",1,NL(1,"Prod. BOM Equipment","Variable Prod. Time (Hours)","Production BOM No.",$D4022,"version code",$E4022,"Resource No.",$O$9))</t>
  </si>
  <si>
    <t>=1/Q4022</t>
  </si>
  <si>
    <t>=R4022*N4022</t>
  </si>
  <si>
    <t>=IF(K4023=0,"hide","")</t>
  </si>
  <si>
    <t>=D4022</t>
  </si>
  <si>
    <t>=NL("sum","Production Order","Quantity","Source No.",$D4023,"Equipment Code",$L4023,"due date",F$8)/-12</t>
  </si>
  <si>
    <t>=NL("sum","Production Order","Quantity","Source No.",$D4023,"Equipment Code",$L4023,"due date",G$8)/-12</t>
  </si>
  <si>
    <t>=NL("sum","Production Order","Quantity","Source No.",$D4023,"Equipment Code",$L4023,"due date",H$8)/-12</t>
  </si>
  <si>
    <t>=NL("sum","Production Order","Quantity","Source No.",$D4023,"Equipment Code",$L4023,"due date",I$8)/-12</t>
  </si>
  <si>
    <t>=NL("sum","Production Order","Quantity","Source No.",$D4023,"Equipment Code",$L4023,"due date",J$8)/$J$7</t>
  </si>
  <si>
    <t>=AVERAGE(I4023:J4023)</t>
  </si>
  <si>
    <t>=IF(K4024=0,"hide","")</t>
  </si>
  <si>
    <t>=D4023</t>
  </si>
  <si>
    <t>=NL("sum","Production Order","Quantity","Source No.",$D4024,"Equipment Code",$L4024,"due date",F$8)/-12</t>
  </si>
  <si>
    <t>=NL("sum","Production Order","Quantity","Source No.",$D4024,"Equipment Code",$L4024,"due date",G$8)/-12</t>
  </si>
  <si>
    <t>=NL("sum","Production Order","Quantity","Source No.",$D4024,"Equipment Code",$L4024,"due date",H$8)/-12</t>
  </si>
  <si>
    <t>=NL("sum","Production Order","Quantity","Source No.",$D4024,"Equipment Code",$L4024,"due date",I$8)/-12</t>
  </si>
  <si>
    <t>=NL("sum","Production Order","Quantity","Source No.",$D4024,"Equipment Code",$L4024,"due date",J$8)/$J$7</t>
  </si>
  <si>
    <t>=AVERAGE(I4024:J4024)</t>
  </si>
  <si>
    <t>=IF(K4025=0,"hide","")</t>
  </si>
  <si>
    <t>=D4024</t>
  </si>
  <si>
    <t>=NL("sum","Production Order","Quantity","Source No.",$D4025,"Equipment Code",$L4025,"due date",F$8)/-12</t>
  </si>
  <si>
    <t>=NL("sum","Production Order","Quantity","Source No.",$D4025,"Equipment Code",$L4025,"due date",G$8)/-12</t>
  </si>
  <si>
    <t>=NL("sum","Production Order","Quantity","Source No.",$D4025,"Equipment Code",$L4025,"due date",H$8)/-12</t>
  </si>
  <si>
    <t>=NL("sum","Production Order","Quantity","Source No.",$D4025,"Equipment Code",$L4025,"due date",I$8)/-12</t>
  </si>
  <si>
    <t>=NL("sum","Production Order","Quantity","Source No.",$D4025,"Equipment Code",$L4025,"due date",J$8)/$J$7</t>
  </si>
  <si>
    <t>=AVERAGE(I4025:J4025)</t>
  </si>
  <si>
    <t>=IF(K4026=0,"hide","")</t>
  </si>
  <si>
    <t>=D4025</t>
  </si>
  <si>
    <t>=NL("sum","Production Order","Quantity","Source No.",$D4026,"Equipment Code",$L4026,"due date",F$8)/-12</t>
  </si>
  <si>
    <t>=NL("sum","Production Order","Quantity","Source No.",$D4026,"Equipment Code",$L4026,"due date",G$8)/-12</t>
  </si>
  <si>
    <t>=NL("sum","Production Order","Quantity","Source No.",$D4026,"Equipment Code",$L4026,"due date",H$8)/-12</t>
  </si>
  <si>
    <t>=NL("sum","Production Order","Quantity","Source No.",$D4026,"Equipment Code",$L4026,"due date",I$8)/-12</t>
  </si>
  <si>
    <t>=NL("sum","Production Order","Quantity","Source No.",$D4026,"Equipment Code",$L4026,"due date",J$8)/$J$7</t>
  </si>
  <si>
    <t>=AVERAGE(I4026:J4026)</t>
  </si>
  <si>
    <t>=B4023</t>
  </si>
  <si>
    <t>=B4027</t>
  </si>
  <si>
    <t>=SUM(F4023:F4027)</t>
  </si>
  <si>
    <t>=SUM(G4023:G4027)</t>
  </si>
  <si>
    <t>=SUM(H4023:H4027)</t>
  </si>
  <si>
    <t>=SUM(I4023:I4027)</t>
  </si>
  <si>
    <t>=SUM(J4023:J4027)</t>
  </si>
  <si>
    <t>=IF(K4029=0,"hide","")</t>
  </si>
  <si>
    <t>=NL("rows","Production BOM Version","Version Code","Production BOM No.",D4029,"status","certified")</t>
  </si>
  <si>
    <t>=NL("sum","Item Ledger Entry","Quantity","Item No.",$D4029,"Entry Type","Sale|Consumption","posting date","01/01/19..12/31/19")/-12</t>
  </si>
  <si>
    <t>=NL("sum","Item Ledger Entry","Quantity","Item No.",$D4029,"Entry Type","Sale|Consumption","posting date","01/01/20..12/31/20")/-12</t>
  </si>
  <si>
    <t>=NL("sum","Item Ledger Entry","Quantity","Item No.",$D4029,"Entry Type","Sale|Consumption","posting date","01/01/21..12/31/21")/-12</t>
  </si>
  <si>
    <t>=NL("sum","Item Ledger Entry","Quantity","Item No.",$D4029,"Entry Type","Sale|Consumption","posting date","01/01/22..12/31/22")/-12</t>
  </si>
  <si>
    <t>=NL("sum","Item Ledger Entry","Quantity","Item No.",$D4029,"Entry Type","Sale|Consumption","posting date","01/01/23..12/31/23")/$J$7</t>
  </si>
  <si>
    <t>=AVERAGE(I4029:J4029)</t>
  </si>
  <si>
    <t>=NL(1,"item",L$9,"no.",D4029)</t>
  </si>
  <si>
    <t>=NL(1,"item",M$9,"no.",$D4029)</t>
  </si>
  <si>
    <t>=NL(1,"item","Units Per Parcel","no.",$D4029)</t>
  </si>
  <si>
    <t>=NL(1,"Prod. BOM Equipment","Fixed Prod. Time (Hours)","Production BOM No.",$D4029,"version code",$E4029,"Resource No.",O$9)</t>
  </si>
  <si>
    <t>=1/O4029</t>
  </si>
  <si>
    <t>=IF(NL(1,"Prod. BOM Equipment","Variable Prod. Time (Hours)","Production BOM No.",$D4029,"version code",$E4029,"Resource No.",$O$9)="",1,NL(1,"Prod. BOM Equipment","Variable Prod. Time (Hours)","Production BOM No.",$D4029,"version code",$E4029,"Resource No.",$O$9))</t>
  </si>
  <si>
    <t>=1/Q4029</t>
  </si>
  <si>
    <t>=R4029*N4029</t>
  </si>
  <si>
    <t>=IF(K4030=0,"hide","")</t>
  </si>
  <si>
    <t>=D4029</t>
  </si>
  <si>
    <t>=NL("sum","Production Order","Quantity","Source No.",$D4030,"Equipment Code",$L4030,"due date",F$8)/-12</t>
  </si>
  <si>
    <t>=NL("sum","Production Order","Quantity","Source No.",$D4030,"Equipment Code",$L4030,"due date",G$8)/-12</t>
  </si>
  <si>
    <t>=NL("sum","Production Order","Quantity","Source No.",$D4030,"Equipment Code",$L4030,"due date",H$8)/-12</t>
  </si>
  <si>
    <t>=NL("sum","Production Order","Quantity","Source No.",$D4030,"Equipment Code",$L4030,"due date",I$8)/-12</t>
  </si>
  <si>
    <t>=NL("sum","Production Order","Quantity","Source No.",$D4030,"Equipment Code",$L4030,"due date",J$8)/$J$7</t>
  </si>
  <si>
    <t>=AVERAGE(I4030:J4030)</t>
  </si>
  <si>
    <t>=IF(K4031=0,"hide","")</t>
  </si>
  <si>
    <t>=D4030</t>
  </si>
  <si>
    <t>=NL("sum","Production Order","Quantity","Source No.",$D4031,"Equipment Code",$L4031,"due date",F$8)/-12</t>
  </si>
  <si>
    <t>=NL("sum","Production Order","Quantity","Source No.",$D4031,"Equipment Code",$L4031,"due date",G$8)/-12</t>
  </si>
  <si>
    <t>=NL("sum","Production Order","Quantity","Source No.",$D4031,"Equipment Code",$L4031,"due date",H$8)/-12</t>
  </si>
  <si>
    <t>=NL("sum","Production Order","Quantity","Source No.",$D4031,"Equipment Code",$L4031,"due date",I$8)/-12</t>
  </si>
  <si>
    <t>=NL("sum","Production Order","Quantity","Source No.",$D4031,"Equipment Code",$L4031,"due date",J$8)/$J$7</t>
  </si>
  <si>
    <t>=AVERAGE(I4031:J4031)</t>
  </si>
  <si>
    <t>=IF(K4032=0,"hide","")</t>
  </si>
  <si>
    <t>=D4031</t>
  </si>
  <si>
    <t>=NL("sum","Production Order","Quantity","Source No.",$D4032,"Equipment Code",$L4032,"due date",F$8)/-12</t>
  </si>
  <si>
    <t>=NL("sum","Production Order","Quantity","Source No.",$D4032,"Equipment Code",$L4032,"due date",G$8)/-12</t>
  </si>
  <si>
    <t>=NL("sum","Production Order","Quantity","Source No.",$D4032,"Equipment Code",$L4032,"due date",H$8)/-12</t>
  </si>
  <si>
    <t>=NL("sum","Production Order","Quantity","Source No.",$D4032,"Equipment Code",$L4032,"due date",I$8)/-12</t>
  </si>
  <si>
    <t>=NL("sum","Production Order","Quantity","Source No.",$D4032,"Equipment Code",$L4032,"due date",J$8)/$J$7</t>
  </si>
  <si>
    <t>=AVERAGE(I4032:J4032)</t>
  </si>
  <si>
    <t>=IF(K4033=0,"hide","")</t>
  </si>
  <si>
    <t>=D4032</t>
  </si>
  <si>
    <t>=NL("sum","Production Order","Quantity","Source No.",$D4033,"Equipment Code",$L4033,"due date",F$8)/-12</t>
  </si>
  <si>
    <t>=NL("sum","Production Order","Quantity","Source No.",$D4033,"Equipment Code",$L4033,"due date",G$8)/-12</t>
  </si>
  <si>
    <t>=NL("sum","Production Order","Quantity","Source No.",$D4033,"Equipment Code",$L4033,"due date",H$8)/-12</t>
  </si>
  <si>
    <t>=NL("sum","Production Order","Quantity","Source No.",$D4033,"Equipment Code",$L4033,"due date",I$8)/-12</t>
  </si>
  <si>
    <t>=NL("sum","Production Order","Quantity","Source No.",$D4033,"Equipment Code",$L4033,"due date",J$8)/$J$7</t>
  </si>
  <si>
    <t>=AVERAGE(I4033:J4033)</t>
  </si>
  <si>
    <t>=B4030</t>
  </si>
  <si>
    <t>=B4034</t>
  </si>
  <si>
    <t>=SUM(F4030:F4034)</t>
  </si>
  <si>
    <t>=SUM(G4030:G4034)</t>
  </si>
  <si>
    <t>=SUM(H4030:H4034)</t>
  </si>
  <si>
    <t>=SUM(I4030:I4034)</t>
  </si>
  <si>
    <t>=SUM(J4030:J4034)</t>
  </si>
  <si>
    <t>=IF(K4036=0,"hide","")</t>
  </si>
  <si>
    <t>=NL("rows","Production BOM Version","Version Code","Production BOM No.",D4036,"status","certified")</t>
  </si>
  <si>
    <t>=NL("sum","Item Ledger Entry","Quantity","Item No.",$D4036,"Entry Type","Sale|Consumption","posting date","01/01/19..12/31/19")/-12</t>
  </si>
  <si>
    <t>=NL("sum","Item Ledger Entry","Quantity","Item No.",$D4036,"Entry Type","Sale|Consumption","posting date","01/01/20..12/31/20")/-12</t>
  </si>
  <si>
    <t>=NL("sum","Item Ledger Entry","Quantity","Item No.",$D4036,"Entry Type","Sale|Consumption","posting date","01/01/21..12/31/21")/-12</t>
  </si>
  <si>
    <t>=NL("sum","Item Ledger Entry","Quantity","Item No.",$D4036,"Entry Type","Sale|Consumption","posting date","01/01/22..12/31/22")/-12</t>
  </si>
  <si>
    <t>=NL("sum","Item Ledger Entry","Quantity","Item No.",$D4036,"Entry Type","Sale|Consumption","posting date","01/01/23..12/31/23")/$J$7</t>
  </si>
  <si>
    <t>=AVERAGE(I4036:J4036)</t>
  </si>
  <si>
    <t>=NL(1,"item",L$9,"no.",D4036)</t>
  </si>
  <si>
    <t>=NL(1,"item",M$9,"no.",$D4036)</t>
  </si>
  <si>
    <t>=NL(1,"item","Units Per Parcel","no.",$D4036)</t>
  </si>
  <si>
    <t>=NL(1,"Prod. BOM Equipment","Fixed Prod. Time (Hours)","Production BOM No.",$D4036,"version code",$E4036,"Resource No.",O$9)</t>
  </si>
  <si>
    <t>=1/O4036</t>
  </si>
  <si>
    <t>=IF(NL(1,"Prod. BOM Equipment","Variable Prod. Time (Hours)","Production BOM No.",$D4036,"version code",$E4036,"Resource No.",$O$9)="",1,NL(1,"Prod. BOM Equipment","Variable Prod. Time (Hours)","Production BOM No.",$D4036,"version code",$E4036,"Resource No.",$O$9))</t>
  </si>
  <si>
    <t>=1/Q4036</t>
  </si>
  <si>
    <t>=R4036*N4036</t>
  </si>
  <si>
    <t>=IF(K4037=0,"hide","")</t>
  </si>
  <si>
    <t>=D4036</t>
  </si>
  <si>
    <t>=NL("sum","Production Order","Quantity","Source No.",$D4037,"Equipment Code",$L4037,"due date",F$8)/-12</t>
  </si>
  <si>
    <t>=NL("sum","Production Order","Quantity","Source No.",$D4037,"Equipment Code",$L4037,"due date",G$8)/-12</t>
  </si>
  <si>
    <t>=NL("sum","Production Order","Quantity","Source No.",$D4037,"Equipment Code",$L4037,"due date",H$8)/-12</t>
  </si>
  <si>
    <t>=NL("sum","Production Order","Quantity","Source No.",$D4037,"Equipment Code",$L4037,"due date",I$8)/-12</t>
  </si>
  <si>
    <t>=NL("sum","Production Order","Quantity","Source No.",$D4037,"Equipment Code",$L4037,"due date",J$8)/$J$7</t>
  </si>
  <si>
    <t>=AVERAGE(I4037:J4037)</t>
  </si>
  <si>
    <t>=IF(K4038=0,"hide","")</t>
  </si>
  <si>
    <t>=D4037</t>
  </si>
  <si>
    <t>=NL("sum","Production Order","Quantity","Source No.",$D4038,"Equipment Code",$L4038,"due date",F$8)/-12</t>
  </si>
  <si>
    <t>=NL("sum","Production Order","Quantity","Source No.",$D4038,"Equipment Code",$L4038,"due date",G$8)/-12</t>
  </si>
  <si>
    <t>=NL("sum","Production Order","Quantity","Source No.",$D4038,"Equipment Code",$L4038,"due date",H$8)/-12</t>
  </si>
  <si>
    <t>=NL("sum","Production Order","Quantity","Source No.",$D4038,"Equipment Code",$L4038,"due date",I$8)/-12</t>
  </si>
  <si>
    <t>=NL("sum","Production Order","Quantity","Source No.",$D4038,"Equipment Code",$L4038,"due date",J$8)/$J$7</t>
  </si>
  <si>
    <t>=AVERAGE(I4038:J4038)</t>
  </si>
  <si>
    <t>=IF(K4039=0,"hide","")</t>
  </si>
  <si>
    <t>=D4038</t>
  </si>
  <si>
    <t>=NL("sum","Production Order","Quantity","Source No.",$D4039,"Equipment Code",$L4039,"due date",F$8)/-12</t>
  </si>
  <si>
    <t>=NL("sum","Production Order","Quantity","Source No.",$D4039,"Equipment Code",$L4039,"due date",G$8)/-12</t>
  </si>
  <si>
    <t>=NL("sum","Production Order","Quantity","Source No.",$D4039,"Equipment Code",$L4039,"due date",H$8)/-12</t>
  </si>
  <si>
    <t>=NL("sum","Production Order","Quantity","Source No.",$D4039,"Equipment Code",$L4039,"due date",I$8)/-12</t>
  </si>
  <si>
    <t>=NL("sum","Production Order","Quantity","Source No.",$D4039,"Equipment Code",$L4039,"due date",J$8)/$J$7</t>
  </si>
  <si>
    <t>=AVERAGE(I4039:J4039)</t>
  </si>
  <si>
    <t>=IF(K4040=0,"hide","")</t>
  </si>
  <si>
    <t>=D4039</t>
  </si>
  <si>
    <t>=NL("sum","Production Order","Quantity","Source No.",$D4040,"Equipment Code",$L4040,"due date",F$8)/-12</t>
  </si>
  <si>
    <t>=NL("sum","Production Order","Quantity","Source No.",$D4040,"Equipment Code",$L4040,"due date",G$8)/-12</t>
  </si>
  <si>
    <t>=NL("sum","Production Order","Quantity","Source No.",$D4040,"Equipment Code",$L4040,"due date",H$8)/-12</t>
  </si>
  <si>
    <t>=NL("sum","Production Order","Quantity","Source No.",$D4040,"Equipment Code",$L4040,"due date",I$8)/-12</t>
  </si>
  <si>
    <t>=NL("sum","Production Order","Quantity","Source No.",$D4040,"Equipment Code",$L4040,"due date",J$8)/$J$7</t>
  </si>
  <si>
    <t>=AVERAGE(I4040:J4040)</t>
  </si>
  <si>
    <t>=B4037</t>
  </si>
  <si>
    <t>=B4041</t>
  </si>
  <si>
    <t>=SUM(F4037:F4041)</t>
  </si>
  <si>
    <t>=SUM(G4037:G4041)</t>
  </si>
  <si>
    <t>=SUM(H4037:H4041)</t>
  </si>
  <si>
    <t>=SUM(I4037:I4041)</t>
  </si>
  <si>
    <t>=SUM(J4037:J4041)</t>
  </si>
  <si>
    <t>=IF(K4043=0,"hide","")</t>
  </si>
  <si>
    <t>=NL("rows","Production BOM Version","Version Code","Production BOM No.",D4043,"status","certified")</t>
  </si>
  <si>
    <t>=NL("sum","Item Ledger Entry","Quantity","Item No.",$D4043,"Entry Type","Sale|Consumption","posting date","01/01/19..12/31/19")/-12</t>
  </si>
  <si>
    <t>=NL("sum","Item Ledger Entry","Quantity","Item No.",$D4043,"Entry Type","Sale|Consumption","posting date","01/01/20..12/31/20")/-12</t>
  </si>
  <si>
    <t>=NL("sum","Item Ledger Entry","Quantity","Item No.",$D4043,"Entry Type","Sale|Consumption","posting date","01/01/21..12/31/21")/-12</t>
  </si>
  <si>
    <t>=NL("sum","Item Ledger Entry","Quantity","Item No.",$D4043,"Entry Type","Sale|Consumption","posting date","01/01/22..12/31/22")/-12</t>
  </si>
  <si>
    <t>=NL("sum","Item Ledger Entry","Quantity","Item No.",$D4043,"Entry Type","Sale|Consumption","posting date","01/01/23..12/31/23")/$J$7</t>
  </si>
  <si>
    <t>=AVERAGE(I4043:J4043)</t>
  </si>
  <si>
    <t>=NL(1,"item",L$9,"no.",D4043)</t>
  </si>
  <si>
    <t>=NL(1,"item",M$9,"no.",$D4043)</t>
  </si>
  <si>
    <t>=NL(1,"item","Units Per Parcel","no.",$D4043)</t>
  </si>
  <si>
    <t>=NL(1,"Prod. BOM Equipment","Fixed Prod. Time (Hours)","Production BOM No.",$D4043,"version code",$E4043,"Resource No.",O$9)</t>
  </si>
  <si>
    <t>=1/O4043</t>
  </si>
  <si>
    <t>=IF(NL(1,"Prod. BOM Equipment","Variable Prod. Time (Hours)","Production BOM No.",$D4043,"version code",$E4043,"Resource No.",$O$9)="",1,NL(1,"Prod. BOM Equipment","Variable Prod. Time (Hours)","Production BOM No.",$D4043,"version code",$E4043,"Resource No.",$O$9))</t>
  </si>
  <si>
    <t>=1/Q4043</t>
  </si>
  <si>
    <t>=R4043*N4043</t>
  </si>
  <si>
    <t>=IF(K4044=0,"hide","")</t>
  </si>
  <si>
    <t>=D4043</t>
  </si>
  <si>
    <t>=NL("sum","Production Order","Quantity","Source No.",$D4044,"Equipment Code",$L4044,"due date",F$8)/-12</t>
  </si>
  <si>
    <t>=NL("sum","Production Order","Quantity","Source No.",$D4044,"Equipment Code",$L4044,"due date",G$8)/-12</t>
  </si>
  <si>
    <t>=NL("sum","Production Order","Quantity","Source No.",$D4044,"Equipment Code",$L4044,"due date",H$8)/-12</t>
  </si>
  <si>
    <t>=NL("sum","Production Order","Quantity","Source No.",$D4044,"Equipment Code",$L4044,"due date",I$8)/-12</t>
  </si>
  <si>
    <t>=NL("sum","Production Order","Quantity","Source No.",$D4044,"Equipment Code",$L4044,"due date",J$8)/$J$7</t>
  </si>
  <si>
    <t>=AVERAGE(I4044:J4044)</t>
  </si>
  <si>
    <t>=IF(K4045=0,"hide","")</t>
  </si>
  <si>
    <t>=D4044</t>
  </si>
  <si>
    <t>=NL("sum","Production Order","Quantity","Source No.",$D4045,"Equipment Code",$L4045,"due date",F$8)/-12</t>
  </si>
  <si>
    <t>=NL("sum","Production Order","Quantity","Source No.",$D4045,"Equipment Code",$L4045,"due date",G$8)/-12</t>
  </si>
  <si>
    <t>=NL("sum","Production Order","Quantity","Source No.",$D4045,"Equipment Code",$L4045,"due date",H$8)/-12</t>
  </si>
  <si>
    <t>=NL("sum","Production Order","Quantity","Source No.",$D4045,"Equipment Code",$L4045,"due date",I$8)/-12</t>
  </si>
  <si>
    <t>=NL("sum","Production Order","Quantity","Source No.",$D4045,"Equipment Code",$L4045,"due date",J$8)/$J$7</t>
  </si>
  <si>
    <t>=AVERAGE(I4045:J4045)</t>
  </si>
  <si>
    <t>=IF(K4046=0,"hide","")</t>
  </si>
  <si>
    <t>=D4045</t>
  </si>
  <si>
    <t>=NL("sum","Production Order","Quantity","Source No.",$D4046,"Equipment Code",$L4046,"due date",F$8)/-12</t>
  </si>
  <si>
    <t>=NL("sum","Production Order","Quantity","Source No.",$D4046,"Equipment Code",$L4046,"due date",G$8)/-12</t>
  </si>
  <si>
    <t>=NL("sum","Production Order","Quantity","Source No.",$D4046,"Equipment Code",$L4046,"due date",H$8)/-12</t>
  </si>
  <si>
    <t>=NL("sum","Production Order","Quantity","Source No.",$D4046,"Equipment Code",$L4046,"due date",I$8)/-12</t>
  </si>
  <si>
    <t>=NL("sum","Production Order","Quantity","Source No.",$D4046,"Equipment Code",$L4046,"due date",J$8)/$J$7</t>
  </si>
  <si>
    <t>=AVERAGE(I4046:J4046)</t>
  </si>
  <si>
    <t>=IF(K4047=0,"hide","")</t>
  </si>
  <si>
    <t>=D4046</t>
  </si>
  <si>
    <t>=NL("sum","Production Order","Quantity","Source No.",$D4047,"Equipment Code",$L4047,"due date",F$8)/-12</t>
  </si>
  <si>
    <t>=NL("sum","Production Order","Quantity","Source No.",$D4047,"Equipment Code",$L4047,"due date",G$8)/-12</t>
  </si>
  <si>
    <t>=NL("sum","Production Order","Quantity","Source No.",$D4047,"Equipment Code",$L4047,"due date",H$8)/-12</t>
  </si>
  <si>
    <t>=NL("sum","Production Order","Quantity","Source No.",$D4047,"Equipment Code",$L4047,"due date",I$8)/-12</t>
  </si>
  <si>
    <t>=NL("sum","Production Order","Quantity","Source No.",$D4047,"Equipment Code",$L4047,"due date",J$8)/$J$7</t>
  </si>
  <si>
    <t>=AVERAGE(I4047:J4047)</t>
  </si>
  <si>
    <t>=B4044</t>
  </si>
  <si>
    <t>=B4048</t>
  </si>
  <si>
    <t>=SUM(F4044:F4048)</t>
  </si>
  <si>
    <t>=SUM(G4044:G4048)</t>
  </si>
  <si>
    <t>=SUM(H4044:H4048)</t>
  </si>
  <si>
    <t>=SUM(I4044:I4048)</t>
  </si>
  <si>
    <t>=SUM(J4044:J4048)</t>
  </si>
  <si>
    <t>=IF(K4050=0,"hide","")</t>
  </si>
  <si>
    <t>="52636"</t>
  </si>
  <si>
    <t>=NL("rows","Production BOM Version","Version Code","Production BOM No.",D4050,"status","certified")</t>
  </si>
  <si>
    <t>=NL("sum","Item Ledger Entry","Quantity","Item No.",$D4050,"Entry Type","Sale|Consumption","posting date","01/01/19..12/31/19")/-12</t>
  </si>
  <si>
    <t>=NL("sum","Item Ledger Entry","Quantity","Item No.",$D4050,"Entry Type","Sale|Consumption","posting date","01/01/20..12/31/20")/-12</t>
  </si>
  <si>
    <t>=NL("sum","Item Ledger Entry","Quantity","Item No.",$D4050,"Entry Type","Sale|Consumption","posting date","01/01/21..12/31/21")/-12</t>
  </si>
  <si>
    <t>=NL("sum","Item Ledger Entry","Quantity","Item No.",$D4050,"Entry Type","Sale|Consumption","posting date","01/01/22..12/31/22")/-12</t>
  </si>
  <si>
    <t>=NL("sum","Item Ledger Entry","Quantity","Item No.",$D4050,"Entry Type","Sale|Consumption","posting date","01/01/23..12/31/23")/$J$7</t>
  </si>
  <si>
    <t>=AVERAGE(I4050:J4050)</t>
  </si>
  <si>
    <t>=NL(1,"item",L$9,"no.",D4050)</t>
  </si>
  <si>
    <t>=NL(1,"item",M$9,"no.",$D4050)</t>
  </si>
  <si>
    <t>=NL(1,"item","Units Per Parcel","no.",$D4050)</t>
  </si>
  <si>
    <t>=NL(1,"Prod. BOM Equipment","Fixed Prod. Time (Hours)","Production BOM No.",$D4050,"version code",$E4050,"Resource No.",O$9)</t>
  </si>
  <si>
    <t>=1/O4050</t>
  </si>
  <si>
    <t>=IF(NL(1,"Prod. BOM Equipment","Variable Prod. Time (Hours)","Production BOM No.",$D4050,"version code",$E4050,"Resource No.",$O$9)="",1,NL(1,"Prod. BOM Equipment","Variable Prod. Time (Hours)","Production BOM No.",$D4050,"version code",$E4050,"Resource No.",$O$9))</t>
  </si>
  <si>
    <t>=1/Q4050</t>
  </si>
  <si>
    <t>=R4050*N4050</t>
  </si>
  <si>
    <t>=IF(K4051=0,"hide","")</t>
  </si>
  <si>
    <t>=D4050</t>
  </si>
  <si>
    <t>=NL("sum","Production Order","Quantity","Source No.",$D4051,"Equipment Code",$L4051,"due date",F$8)/-12</t>
  </si>
  <si>
    <t>=NL("sum","Production Order","Quantity","Source No.",$D4051,"Equipment Code",$L4051,"due date",G$8)/-12</t>
  </si>
  <si>
    <t>=NL("sum","Production Order","Quantity","Source No.",$D4051,"Equipment Code",$L4051,"due date",H$8)/-12</t>
  </si>
  <si>
    <t>=NL("sum","Production Order","Quantity","Source No.",$D4051,"Equipment Code",$L4051,"due date",I$8)/-12</t>
  </si>
  <si>
    <t>=NL("sum","Production Order","Quantity","Source No.",$D4051,"Equipment Code",$L4051,"due date",J$8)/$J$7</t>
  </si>
  <si>
    <t>=AVERAGE(I4051:J4051)</t>
  </si>
  <si>
    <t>=IF(K4052=0,"hide","")</t>
  </si>
  <si>
    <t>=D4051</t>
  </si>
  <si>
    <t>=NL("sum","Production Order","Quantity","Source No.",$D4052,"Equipment Code",$L4052,"due date",F$8)/-12</t>
  </si>
  <si>
    <t>=NL("sum","Production Order","Quantity","Source No.",$D4052,"Equipment Code",$L4052,"due date",G$8)/-12</t>
  </si>
  <si>
    <t>=NL("sum","Production Order","Quantity","Source No.",$D4052,"Equipment Code",$L4052,"due date",H$8)/-12</t>
  </si>
  <si>
    <t>=NL("sum","Production Order","Quantity","Source No.",$D4052,"Equipment Code",$L4052,"due date",I$8)/-12</t>
  </si>
  <si>
    <t>=NL("sum","Production Order","Quantity","Source No.",$D4052,"Equipment Code",$L4052,"due date",J$8)/$J$7</t>
  </si>
  <si>
    <t>=AVERAGE(I4052:J4052)</t>
  </si>
  <si>
    <t>=IF(K4053=0,"hide","")</t>
  </si>
  <si>
    <t>=D4052</t>
  </si>
  <si>
    <t>=NL("sum","Production Order","Quantity","Source No.",$D4053,"Equipment Code",$L4053,"due date",F$8)/-12</t>
  </si>
  <si>
    <t>=NL("sum","Production Order","Quantity","Source No.",$D4053,"Equipment Code",$L4053,"due date",G$8)/-12</t>
  </si>
  <si>
    <t>=NL("sum","Production Order","Quantity","Source No.",$D4053,"Equipment Code",$L4053,"due date",H$8)/-12</t>
  </si>
  <si>
    <t>=NL("sum","Production Order","Quantity","Source No.",$D4053,"Equipment Code",$L4053,"due date",I$8)/-12</t>
  </si>
  <si>
    <t>=NL("sum","Production Order","Quantity","Source No.",$D4053,"Equipment Code",$L4053,"due date",J$8)/$J$7</t>
  </si>
  <si>
    <t>=AVERAGE(I4053:J4053)</t>
  </si>
  <si>
    <t>=IF(K4054=0,"hide","")</t>
  </si>
  <si>
    <t>=D4053</t>
  </si>
  <si>
    <t>=NL("sum","Production Order","Quantity","Source No.",$D4054,"Equipment Code",$L4054,"due date",F$8)/-12</t>
  </si>
  <si>
    <t>=NL("sum","Production Order","Quantity","Source No.",$D4054,"Equipment Code",$L4054,"due date",G$8)/-12</t>
  </si>
  <si>
    <t>=NL("sum","Production Order","Quantity","Source No.",$D4054,"Equipment Code",$L4054,"due date",H$8)/-12</t>
  </si>
  <si>
    <t>=NL("sum","Production Order","Quantity","Source No.",$D4054,"Equipment Code",$L4054,"due date",I$8)/-12</t>
  </si>
  <si>
    <t>=NL("sum","Production Order","Quantity","Source No.",$D4054,"Equipment Code",$L4054,"due date",J$8)/$J$7</t>
  </si>
  <si>
    <t>=AVERAGE(I4054:J4054)</t>
  </si>
  <si>
    <t>=B4051</t>
  </si>
  <si>
    <t>=B4055</t>
  </si>
  <si>
    <t>=SUM(F4051:F4055)</t>
  </si>
  <si>
    <t>=SUM(G4051:G4055)</t>
  </si>
  <si>
    <t>=SUM(H4051:H4055)</t>
  </si>
  <si>
    <t>=SUM(I4051:I4055)</t>
  </si>
  <si>
    <t>=SUM(J4051:J4055)</t>
  </si>
  <si>
    <t>=IF(K4057=0,"hide","")</t>
  </si>
  <si>
    <t>="52644"</t>
  </si>
  <si>
    <t>=NL("rows","Production BOM Version","Version Code","Production BOM No.",D4057,"status","certified")</t>
  </si>
  <si>
    <t>=NL("sum","Item Ledger Entry","Quantity","Item No.",$D4057,"Entry Type","Sale|Consumption","posting date","01/01/19..12/31/19")/-12</t>
  </si>
  <si>
    <t>=NL("sum","Item Ledger Entry","Quantity","Item No.",$D4057,"Entry Type","Sale|Consumption","posting date","01/01/20..12/31/20")/-12</t>
  </si>
  <si>
    <t>=NL("sum","Item Ledger Entry","Quantity","Item No.",$D4057,"Entry Type","Sale|Consumption","posting date","01/01/21..12/31/21")/-12</t>
  </si>
  <si>
    <t>=NL("sum","Item Ledger Entry","Quantity","Item No.",$D4057,"Entry Type","Sale|Consumption","posting date","01/01/22..12/31/22")/-12</t>
  </si>
  <si>
    <t>=NL("sum","Item Ledger Entry","Quantity","Item No.",$D4057,"Entry Type","Sale|Consumption","posting date","01/01/23..12/31/23")/$J$7</t>
  </si>
  <si>
    <t>=AVERAGE(I4057:J4057)</t>
  </si>
  <si>
    <t>=NL(1,"item",L$9,"no.",D4057)</t>
  </si>
  <si>
    <t>=NL(1,"item",M$9,"no.",$D4057)</t>
  </si>
  <si>
    <t>=NL(1,"item","Units Per Parcel","no.",$D4057)</t>
  </si>
  <si>
    <t>=NL(1,"Prod. BOM Equipment","Fixed Prod. Time (Hours)","Production BOM No.",$D4057,"version code",$E4057,"Resource No.",O$9)</t>
  </si>
  <si>
    <t>=1/O4057</t>
  </si>
  <si>
    <t>=IF(NL(1,"Prod. BOM Equipment","Variable Prod. Time (Hours)","Production BOM No.",$D4057,"version code",$E4057,"Resource No.",$O$9)="",1,NL(1,"Prod. BOM Equipment","Variable Prod. Time (Hours)","Production BOM No.",$D4057,"version code",$E4057,"Resource No.",$O$9))</t>
  </si>
  <si>
    <t>=1/Q4057</t>
  </si>
  <si>
    <t>=R4057*N4057</t>
  </si>
  <si>
    <t>=IF(K4058=0,"hide","")</t>
  </si>
  <si>
    <t>=D4057</t>
  </si>
  <si>
    <t>=NL("sum","Production Order","Quantity","Source No.",$D4058,"Equipment Code",$L4058,"due date",F$8)/-12</t>
  </si>
  <si>
    <t>=NL("sum","Production Order","Quantity","Source No.",$D4058,"Equipment Code",$L4058,"due date",G$8)/-12</t>
  </si>
  <si>
    <t>=NL("sum","Production Order","Quantity","Source No.",$D4058,"Equipment Code",$L4058,"due date",H$8)/-12</t>
  </si>
  <si>
    <t>=NL("sum","Production Order","Quantity","Source No.",$D4058,"Equipment Code",$L4058,"due date",I$8)/-12</t>
  </si>
  <si>
    <t>=NL("sum","Production Order","Quantity","Source No.",$D4058,"Equipment Code",$L4058,"due date",J$8)/$J$7</t>
  </si>
  <si>
    <t>=AVERAGE(I4058:J4058)</t>
  </si>
  <si>
    <t>=IF(K4059=0,"hide","")</t>
  </si>
  <si>
    <t>=D4058</t>
  </si>
  <si>
    <t>=NL("sum","Production Order","Quantity","Source No.",$D4059,"Equipment Code",$L4059,"due date",F$8)/-12</t>
  </si>
  <si>
    <t>=NL("sum","Production Order","Quantity","Source No.",$D4059,"Equipment Code",$L4059,"due date",G$8)/-12</t>
  </si>
  <si>
    <t>=NL("sum","Production Order","Quantity","Source No.",$D4059,"Equipment Code",$L4059,"due date",H$8)/-12</t>
  </si>
  <si>
    <t>=NL("sum","Production Order","Quantity","Source No.",$D4059,"Equipment Code",$L4059,"due date",I$8)/-12</t>
  </si>
  <si>
    <t>=NL("sum","Production Order","Quantity","Source No.",$D4059,"Equipment Code",$L4059,"due date",J$8)/$J$7</t>
  </si>
  <si>
    <t>=AVERAGE(I4059:J4059)</t>
  </si>
  <si>
    <t>=IF(K4060=0,"hide","")</t>
  </si>
  <si>
    <t>=D4059</t>
  </si>
  <si>
    <t>=NL("sum","Production Order","Quantity","Source No.",$D4060,"Equipment Code",$L4060,"due date",F$8)/-12</t>
  </si>
  <si>
    <t>=NL("sum","Production Order","Quantity","Source No.",$D4060,"Equipment Code",$L4060,"due date",G$8)/-12</t>
  </si>
  <si>
    <t>=NL("sum","Production Order","Quantity","Source No.",$D4060,"Equipment Code",$L4060,"due date",H$8)/-12</t>
  </si>
  <si>
    <t>=NL("sum","Production Order","Quantity","Source No.",$D4060,"Equipment Code",$L4060,"due date",I$8)/-12</t>
  </si>
  <si>
    <t>=NL("sum","Production Order","Quantity","Source No.",$D4060,"Equipment Code",$L4060,"due date",J$8)/$J$7</t>
  </si>
  <si>
    <t>=AVERAGE(I4060:J4060)</t>
  </si>
  <si>
    <t>=IF(K4061=0,"hide","")</t>
  </si>
  <si>
    <t>=D4060</t>
  </si>
  <si>
    <t>=NL("sum","Production Order","Quantity","Source No.",$D4061,"Equipment Code",$L4061,"due date",F$8)/-12</t>
  </si>
  <si>
    <t>=NL("sum","Production Order","Quantity","Source No.",$D4061,"Equipment Code",$L4061,"due date",G$8)/-12</t>
  </si>
  <si>
    <t>=NL("sum","Production Order","Quantity","Source No.",$D4061,"Equipment Code",$L4061,"due date",H$8)/-12</t>
  </si>
  <si>
    <t>=NL("sum","Production Order","Quantity","Source No.",$D4061,"Equipment Code",$L4061,"due date",I$8)/-12</t>
  </si>
  <si>
    <t>=NL("sum","Production Order","Quantity","Source No.",$D4061,"Equipment Code",$L4061,"due date",J$8)/$J$7</t>
  </si>
  <si>
    <t>=AVERAGE(I4061:J4061)</t>
  </si>
  <si>
    <t>=B4058</t>
  </si>
  <si>
    <t>=B4062</t>
  </si>
  <si>
    <t>=SUM(F4058:F4062)</t>
  </si>
  <si>
    <t>=SUM(G4058:G4062)</t>
  </si>
  <si>
    <t>=SUM(H4058:H4062)</t>
  </si>
  <si>
    <t>=SUM(I4058:I4062)</t>
  </si>
  <si>
    <t>=SUM(J4058:J4062)</t>
  </si>
  <si>
    <t>=IF(K4064=0,"hide","")</t>
  </si>
  <si>
    <t>="52675"</t>
  </si>
  <si>
    <t>=NL("rows","Production BOM Version","Version Code","Production BOM No.",D4064,"status","certified")</t>
  </si>
  <si>
    <t>=NL("sum","Item Ledger Entry","Quantity","Item No.",$D4064,"Entry Type","Sale|Consumption","posting date","01/01/19..12/31/19")/-12</t>
  </si>
  <si>
    <t>=NL("sum","Item Ledger Entry","Quantity","Item No.",$D4064,"Entry Type","Sale|Consumption","posting date","01/01/20..12/31/20")/-12</t>
  </si>
  <si>
    <t>=NL("sum","Item Ledger Entry","Quantity","Item No.",$D4064,"Entry Type","Sale|Consumption","posting date","01/01/21..12/31/21")/-12</t>
  </si>
  <si>
    <t>=NL("sum","Item Ledger Entry","Quantity","Item No.",$D4064,"Entry Type","Sale|Consumption","posting date","01/01/22..12/31/22")/-12</t>
  </si>
  <si>
    <t>=NL("sum","Item Ledger Entry","Quantity","Item No.",$D4064,"Entry Type","Sale|Consumption","posting date","01/01/23..12/31/23")/$J$7</t>
  </si>
  <si>
    <t>=AVERAGE(I4064:J4064)</t>
  </si>
  <si>
    <t>=NL(1,"item",L$9,"no.",D4064)</t>
  </si>
  <si>
    <t>=NL(1,"item",M$9,"no.",$D4064)</t>
  </si>
  <si>
    <t>=NL(1,"item","Units Per Parcel","no.",$D4064)</t>
  </si>
  <si>
    <t>=NL(1,"Prod. BOM Equipment","Fixed Prod. Time (Hours)","Production BOM No.",$D4064,"version code",$E4064,"Resource No.",O$9)</t>
  </si>
  <si>
    <t>=1/O4064</t>
  </si>
  <si>
    <t>=IF(NL(1,"Prod. BOM Equipment","Variable Prod. Time (Hours)","Production BOM No.",$D4064,"version code",$E4064,"Resource No.",$O$9)="",1,NL(1,"Prod. BOM Equipment","Variable Prod. Time (Hours)","Production BOM No.",$D4064,"version code",$E4064,"Resource No.",$O$9))</t>
  </si>
  <si>
    <t>=1/Q4064</t>
  </si>
  <si>
    <t>=R4064*N4064</t>
  </si>
  <si>
    <t>=IF(K4065=0,"hide","")</t>
  </si>
  <si>
    <t>=D4064</t>
  </si>
  <si>
    <t>=NL("sum","Production Order","Quantity","Source No.",$D4065,"Equipment Code",$L4065,"due date",F$8)/-12</t>
  </si>
  <si>
    <t>=NL("sum","Production Order","Quantity","Source No.",$D4065,"Equipment Code",$L4065,"due date",G$8)/-12</t>
  </si>
  <si>
    <t>=NL("sum","Production Order","Quantity","Source No.",$D4065,"Equipment Code",$L4065,"due date",H$8)/-12</t>
  </si>
  <si>
    <t>=NL("sum","Production Order","Quantity","Source No.",$D4065,"Equipment Code",$L4065,"due date",I$8)/-12</t>
  </si>
  <si>
    <t>=NL("sum","Production Order","Quantity","Source No.",$D4065,"Equipment Code",$L4065,"due date",J$8)/$J$7</t>
  </si>
  <si>
    <t>=AVERAGE(I4065:J4065)</t>
  </si>
  <si>
    <t>=IF(K4066=0,"hide","")</t>
  </si>
  <si>
    <t>=D4065</t>
  </si>
  <si>
    <t>=NL("sum","Production Order","Quantity","Source No.",$D4066,"Equipment Code",$L4066,"due date",F$8)/-12</t>
  </si>
  <si>
    <t>=NL("sum","Production Order","Quantity","Source No.",$D4066,"Equipment Code",$L4066,"due date",G$8)/-12</t>
  </si>
  <si>
    <t>=NL("sum","Production Order","Quantity","Source No.",$D4066,"Equipment Code",$L4066,"due date",H$8)/-12</t>
  </si>
  <si>
    <t>=NL("sum","Production Order","Quantity","Source No.",$D4066,"Equipment Code",$L4066,"due date",I$8)/-12</t>
  </si>
  <si>
    <t>=NL("sum","Production Order","Quantity","Source No.",$D4066,"Equipment Code",$L4066,"due date",J$8)/$J$7</t>
  </si>
  <si>
    <t>=AVERAGE(I4066:J4066)</t>
  </si>
  <si>
    <t>=IF(K4067=0,"hide","")</t>
  </si>
  <si>
    <t>=D4066</t>
  </si>
  <si>
    <t>=NL("sum","Production Order","Quantity","Source No.",$D4067,"Equipment Code",$L4067,"due date",F$8)/-12</t>
  </si>
  <si>
    <t>=NL("sum","Production Order","Quantity","Source No.",$D4067,"Equipment Code",$L4067,"due date",G$8)/-12</t>
  </si>
  <si>
    <t>=NL("sum","Production Order","Quantity","Source No.",$D4067,"Equipment Code",$L4067,"due date",H$8)/-12</t>
  </si>
  <si>
    <t>=NL("sum","Production Order","Quantity","Source No.",$D4067,"Equipment Code",$L4067,"due date",I$8)/-12</t>
  </si>
  <si>
    <t>=NL("sum","Production Order","Quantity","Source No.",$D4067,"Equipment Code",$L4067,"due date",J$8)/$J$7</t>
  </si>
  <si>
    <t>=AVERAGE(I4067:J4067)</t>
  </si>
  <si>
    <t>=IF(K4068=0,"hide","")</t>
  </si>
  <si>
    <t>=D4067</t>
  </si>
  <si>
    <t>=NL("sum","Production Order","Quantity","Source No.",$D4068,"Equipment Code",$L4068,"due date",F$8)/-12</t>
  </si>
  <si>
    <t>=NL("sum","Production Order","Quantity","Source No.",$D4068,"Equipment Code",$L4068,"due date",G$8)/-12</t>
  </si>
  <si>
    <t>=NL("sum","Production Order","Quantity","Source No.",$D4068,"Equipment Code",$L4068,"due date",H$8)/-12</t>
  </si>
  <si>
    <t>=NL("sum","Production Order","Quantity","Source No.",$D4068,"Equipment Code",$L4068,"due date",I$8)/-12</t>
  </si>
  <si>
    <t>=NL("sum","Production Order","Quantity","Source No.",$D4068,"Equipment Code",$L4068,"due date",J$8)/$J$7</t>
  </si>
  <si>
    <t>=AVERAGE(I4068:J4068)</t>
  </si>
  <si>
    <t>=B4065</t>
  </si>
  <si>
    <t>=B4069</t>
  </si>
  <si>
    <t>=SUM(F4065:F4069)</t>
  </si>
  <si>
    <t>=SUM(G4065:G4069)</t>
  </si>
  <si>
    <t>=SUM(H4065:H4069)</t>
  </si>
  <si>
    <t>=SUM(I4065:I4069)</t>
  </si>
  <si>
    <t>=SUM(J4065:J4069)</t>
  </si>
  <si>
    <t>=IF(K4071=0,"hide","")</t>
  </si>
  <si>
    <t>="52688"</t>
  </si>
  <si>
    <t>=NL("rows","Production BOM Version","Version Code","Production BOM No.",D4071,"status","certified")</t>
  </si>
  <si>
    <t>=NL("sum","Item Ledger Entry","Quantity","Item No.",$D4071,"Entry Type","Sale|Consumption","posting date","01/01/19..12/31/19")/-12</t>
  </si>
  <si>
    <t>=NL("sum","Item Ledger Entry","Quantity","Item No.",$D4071,"Entry Type","Sale|Consumption","posting date","01/01/20..12/31/20")/-12</t>
  </si>
  <si>
    <t>=NL("sum","Item Ledger Entry","Quantity","Item No.",$D4071,"Entry Type","Sale|Consumption","posting date","01/01/21..12/31/21")/-12</t>
  </si>
  <si>
    <t>=NL("sum","Item Ledger Entry","Quantity","Item No.",$D4071,"Entry Type","Sale|Consumption","posting date","01/01/22..12/31/22")/-12</t>
  </si>
  <si>
    <t>=NL("sum","Item Ledger Entry","Quantity","Item No.",$D4071,"Entry Type","Sale|Consumption","posting date","01/01/23..12/31/23")/$J$7</t>
  </si>
  <si>
    <t>=AVERAGE(I4071:J4071)</t>
  </si>
  <si>
    <t>=NL(1,"item",L$9,"no.",D4071)</t>
  </si>
  <si>
    <t>=NL(1,"item",M$9,"no.",$D4071)</t>
  </si>
  <si>
    <t>=NL(1,"item","Units Per Parcel","no.",$D4071)</t>
  </si>
  <si>
    <t>=NL(1,"Prod. BOM Equipment","Fixed Prod. Time (Hours)","Production BOM No.",$D4071,"version code",$E4071,"Resource No.",O$9)</t>
  </si>
  <si>
    <t>=1/O4071</t>
  </si>
  <si>
    <t>=IF(NL(1,"Prod. BOM Equipment","Variable Prod. Time (Hours)","Production BOM No.",$D4071,"version code",$E4071,"Resource No.",$O$9)="",1,NL(1,"Prod. BOM Equipment","Variable Prod. Time (Hours)","Production BOM No.",$D4071,"version code",$E4071,"Resource No.",$O$9))</t>
  </si>
  <si>
    <t>=1/Q4071</t>
  </si>
  <si>
    <t>=R4071*N4071</t>
  </si>
  <si>
    <t>=IF(K4072=0,"hide","")</t>
  </si>
  <si>
    <t>=D4071</t>
  </si>
  <si>
    <t>=NL("sum","Production Order","Quantity","Source No.",$D4072,"Equipment Code",$L4072,"due date",F$8)/-12</t>
  </si>
  <si>
    <t>=NL("sum","Production Order","Quantity","Source No.",$D4072,"Equipment Code",$L4072,"due date",G$8)/-12</t>
  </si>
  <si>
    <t>=NL("sum","Production Order","Quantity","Source No.",$D4072,"Equipment Code",$L4072,"due date",H$8)/-12</t>
  </si>
  <si>
    <t>=NL("sum","Production Order","Quantity","Source No.",$D4072,"Equipment Code",$L4072,"due date",I$8)/-12</t>
  </si>
  <si>
    <t>=NL("sum","Production Order","Quantity","Source No.",$D4072,"Equipment Code",$L4072,"due date",J$8)/$J$7</t>
  </si>
  <si>
    <t>=AVERAGE(I4072:J4072)</t>
  </si>
  <si>
    <t>=IF(K4073=0,"hide","")</t>
  </si>
  <si>
    <t>=D4072</t>
  </si>
  <si>
    <t>=NL("sum","Production Order","Quantity","Source No.",$D4073,"Equipment Code",$L4073,"due date",F$8)/-12</t>
  </si>
  <si>
    <t>=NL("sum","Production Order","Quantity","Source No.",$D4073,"Equipment Code",$L4073,"due date",G$8)/-12</t>
  </si>
  <si>
    <t>=NL("sum","Production Order","Quantity","Source No.",$D4073,"Equipment Code",$L4073,"due date",H$8)/-12</t>
  </si>
  <si>
    <t>=NL("sum","Production Order","Quantity","Source No.",$D4073,"Equipment Code",$L4073,"due date",I$8)/-12</t>
  </si>
  <si>
    <t>=NL("sum","Production Order","Quantity","Source No.",$D4073,"Equipment Code",$L4073,"due date",J$8)/$J$7</t>
  </si>
  <si>
    <t>=AVERAGE(I4073:J4073)</t>
  </si>
  <si>
    <t>=IF(K4074=0,"hide","")</t>
  </si>
  <si>
    <t>=D4073</t>
  </si>
  <si>
    <t>=NL("sum","Production Order","Quantity","Source No.",$D4074,"Equipment Code",$L4074,"due date",F$8)/-12</t>
  </si>
  <si>
    <t>=NL("sum","Production Order","Quantity","Source No.",$D4074,"Equipment Code",$L4074,"due date",G$8)/-12</t>
  </si>
  <si>
    <t>=NL("sum","Production Order","Quantity","Source No.",$D4074,"Equipment Code",$L4074,"due date",H$8)/-12</t>
  </si>
  <si>
    <t>=NL("sum","Production Order","Quantity","Source No.",$D4074,"Equipment Code",$L4074,"due date",I$8)/-12</t>
  </si>
  <si>
    <t>=NL("sum","Production Order","Quantity","Source No.",$D4074,"Equipment Code",$L4074,"due date",J$8)/$J$7</t>
  </si>
  <si>
    <t>=AVERAGE(I4074:J4074)</t>
  </si>
  <si>
    <t>=IF(K4075=0,"hide","")</t>
  </si>
  <si>
    <t>=D4074</t>
  </si>
  <si>
    <t>=NL("sum","Production Order","Quantity","Source No.",$D4075,"Equipment Code",$L4075,"due date",F$8)/-12</t>
  </si>
  <si>
    <t>=NL("sum","Production Order","Quantity","Source No.",$D4075,"Equipment Code",$L4075,"due date",G$8)/-12</t>
  </si>
  <si>
    <t>=NL("sum","Production Order","Quantity","Source No.",$D4075,"Equipment Code",$L4075,"due date",H$8)/-12</t>
  </si>
  <si>
    <t>=NL("sum","Production Order","Quantity","Source No.",$D4075,"Equipment Code",$L4075,"due date",I$8)/-12</t>
  </si>
  <si>
    <t>=NL("sum","Production Order","Quantity","Source No.",$D4075,"Equipment Code",$L4075,"due date",J$8)/$J$7</t>
  </si>
  <si>
    <t>=AVERAGE(I4075:J4075)</t>
  </si>
  <si>
    <t>=B4072</t>
  </si>
  <si>
    <t>=B4076</t>
  </si>
  <si>
    <t>=SUM(F4072:F4076)</t>
  </si>
  <si>
    <t>=SUM(G4072:G4076)</t>
  </si>
  <si>
    <t>=SUM(H4072:H4076)</t>
  </si>
  <si>
    <t>=SUM(I4072:I4076)</t>
  </si>
  <si>
    <t>=SUM(J4072:J4076)</t>
  </si>
  <si>
    <t>=IF(K4078=0,"hide","")</t>
  </si>
  <si>
    <t>="52888"</t>
  </si>
  <si>
    <t>=NL("rows","Production BOM Version","Version Code","Production BOM No.",D4078,"status","certified")</t>
  </si>
  <si>
    <t>=NL("sum","Item Ledger Entry","Quantity","Item No.",$D4078,"Entry Type","Sale|Consumption","posting date","01/01/19..12/31/19")/-12</t>
  </si>
  <si>
    <t>=NL("sum","Item Ledger Entry","Quantity","Item No.",$D4078,"Entry Type","Sale|Consumption","posting date","01/01/20..12/31/20")/-12</t>
  </si>
  <si>
    <t>=NL("sum","Item Ledger Entry","Quantity","Item No.",$D4078,"Entry Type","Sale|Consumption","posting date","01/01/21..12/31/21")/-12</t>
  </si>
  <si>
    <t>=NL("sum","Item Ledger Entry","Quantity","Item No.",$D4078,"Entry Type","Sale|Consumption","posting date","01/01/22..12/31/22")/-12</t>
  </si>
  <si>
    <t>=NL("sum","Item Ledger Entry","Quantity","Item No.",$D4078,"Entry Type","Sale|Consumption","posting date","01/01/23..12/31/23")/$J$7</t>
  </si>
  <si>
    <t>=AVERAGE(I4078:J4078)</t>
  </si>
  <si>
    <t>=NL(1,"item",L$9,"no.",D4078)</t>
  </si>
  <si>
    <t>=NL(1,"item",M$9,"no.",$D4078)</t>
  </si>
  <si>
    <t>=NL(1,"item","Units Per Parcel","no.",$D4078)</t>
  </si>
  <si>
    <t>=NL(1,"Prod. BOM Equipment","Fixed Prod. Time (Hours)","Production BOM No.",$D4078,"version code",$E4078,"Resource No.",O$9)</t>
  </si>
  <si>
    <t>=1/O4078</t>
  </si>
  <si>
    <t>=IF(NL(1,"Prod. BOM Equipment","Variable Prod. Time (Hours)","Production BOM No.",$D4078,"version code",$E4078,"Resource No.",$O$9)="",1,NL(1,"Prod. BOM Equipment","Variable Prod. Time (Hours)","Production BOM No.",$D4078,"version code",$E4078,"Resource No.",$O$9))</t>
  </si>
  <si>
    <t>=1/Q4078</t>
  </si>
  <si>
    <t>=R4078*N4078</t>
  </si>
  <si>
    <t>=IF(K4079=0,"hide","")</t>
  </si>
  <si>
    <t>=D4078</t>
  </si>
  <si>
    <t>=NL("sum","Production Order","Quantity","Source No.",$D4079,"Equipment Code",$L4079,"due date",F$8)/-12</t>
  </si>
  <si>
    <t>=NL("sum","Production Order","Quantity","Source No.",$D4079,"Equipment Code",$L4079,"due date",G$8)/-12</t>
  </si>
  <si>
    <t>=NL("sum","Production Order","Quantity","Source No.",$D4079,"Equipment Code",$L4079,"due date",H$8)/-12</t>
  </si>
  <si>
    <t>=NL("sum","Production Order","Quantity","Source No.",$D4079,"Equipment Code",$L4079,"due date",I$8)/-12</t>
  </si>
  <si>
    <t>=NL("sum","Production Order","Quantity","Source No.",$D4079,"Equipment Code",$L4079,"due date",J$8)/$J$7</t>
  </si>
  <si>
    <t>=AVERAGE(I4079:J4079)</t>
  </si>
  <si>
    <t>=IF(K4080=0,"hide","")</t>
  </si>
  <si>
    <t>=D4079</t>
  </si>
  <si>
    <t>=NL("sum","Production Order","Quantity","Source No.",$D4080,"Equipment Code",$L4080,"due date",F$8)/-12</t>
  </si>
  <si>
    <t>=NL("sum","Production Order","Quantity","Source No.",$D4080,"Equipment Code",$L4080,"due date",G$8)/-12</t>
  </si>
  <si>
    <t>=NL("sum","Production Order","Quantity","Source No.",$D4080,"Equipment Code",$L4080,"due date",H$8)/-12</t>
  </si>
  <si>
    <t>=NL("sum","Production Order","Quantity","Source No.",$D4080,"Equipment Code",$L4080,"due date",I$8)/-12</t>
  </si>
  <si>
    <t>=NL("sum","Production Order","Quantity","Source No.",$D4080,"Equipment Code",$L4080,"due date",J$8)/$J$7</t>
  </si>
  <si>
    <t>=AVERAGE(I4080:J4080)</t>
  </si>
  <si>
    <t>=IF(K4081=0,"hide","")</t>
  </si>
  <si>
    <t>=D4080</t>
  </si>
  <si>
    <t>=NL("sum","Production Order","Quantity","Source No.",$D4081,"Equipment Code",$L4081,"due date",F$8)/-12</t>
  </si>
  <si>
    <t>=NL("sum","Production Order","Quantity","Source No.",$D4081,"Equipment Code",$L4081,"due date",G$8)/-12</t>
  </si>
  <si>
    <t>=NL("sum","Production Order","Quantity","Source No.",$D4081,"Equipment Code",$L4081,"due date",H$8)/-12</t>
  </si>
  <si>
    <t>=NL("sum","Production Order","Quantity","Source No.",$D4081,"Equipment Code",$L4081,"due date",I$8)/-12</t>
  </si>
  <si>
    <t>=NL("sum","Production Order","Quantity","Source No.",$D4081,"Equipment Code",$L4081,"due date",J$8)/$J$7</t>
  </si>
  <si>
    <t>=AVERAGE(I4081:J4081)</t>
  </si>
  <si>
    <t>=IF(K4082=0,"hide","")</t>
  </si>
  <si>
    <t>=D4081</t>
  </si>
  <si>
    <t>=NL("sum","Production Order","Quantity","Source No.",$D4082,"Equipment Code",$L4082,"due date",F$8)/-12</t>
  </si>
  <si>
    <t>=NL("sum","Production Order","Quantity","Source No.",$D4082,"Equipment Code",$L4082,"due date",G$8)/-12</t>
  </si>
  <si>
    <t>=NL("sum","Production Order","Quantity","Source No.",$D4082,"Equipment Code",$L4082,"due date",H$8)/-12</t>
  </si>
  <si>
    <t>=NL("sum","Production Order","Quantity","Source No.",$D4082,"Equipment Code",$L4082,"due date",I$8)/-12</t>
  </si>
  <si>
    <t>=NL("sum","Production Order","Quantity","Source No.",$D4082,"Equipment Code",$L4082,"due date",J$8)/$J$7</t>
  </si>
  <si>
    <t>=AVERAGE(I4082:J4082)</t>
  </si>
  <si>
    <t>=B4079</t>
  </si>
  <si>
    <t>=B4083</t>
  </si>
  <si>
    <t>=SUM(F4079:F4083)</t>
  </si>
  <si>
    <t>=SUM(G4079:G4083)</t>
  </si>
  <si>
    <t>=SUM(H4079:H4083)</t>
  </si>
  <si>
    <t>=SUM(I4079:I4083)</t>
  </si>
  <si>
    <t>=SUM(J4079:J4083)</t>
  </si>
  <si>
    <t>=IF(K4085=0,"hide","")</t>
  </si>
  <si>
    <t>="52936"</t>
  </si>
  <si>
    <t>=NL("rows","Production BOM Version","Version Code","Production BOM No.",D4085,"status","certified")</t>
  </si>
  <si>
    <t>=NL("sum","Item Ledger Entry","Quantity","Item No.",$D4085,"Entry Type","Sale|Consumption","posting date","01/01/19..12/31/19")/-12</t>
  </si>
  <si>
    <t>=NL("sum","Item Ledger Entry","Quantity","Item No.",$D4085,"Entry Type","Sale|Consumption","posting date","01/01/20..12/31/20")/-12</t>
  </si>
  <si>
    <t>=NL("sum","Item Ledger Entry","Quantity","Item No.",$D4085,"Entry Type","Sale|Consumption","posting date","01/01/21..12/31/21")/-12</t>
  </si>
  <si>
    <t>=NL("sum","Item Ledger Entry","Quantity","Item No.",$D4085,"Entry Type","Sale|Consumption","posting date","01/01/22..12/31/22")/-12</t>
  </si>
  <si>
    <t>=NL("sum","Item Ledger Entry","Quantity","Item No.",$D4085,"Entry Type","Sale|Consumption","posting date","01/01/23..12/31/23")/$J$7</t>
  </si>
  <si>
    <t>=AVERAGE(I4085:J4085)</t>
  </si>
  <si>
    <t>=NL(1,"item",L$9,"no.",D4085)</t>
  </si>
  <si>
    <t>=NL(1,"item",M$9,"no.",$D4085)</t>
  </si>
  <si>
    <t>=NL(1,"item","Units Per Parcel","no.",$D4085)</t>
  </si>
  <si>
    <t>=NL(1,"Prod. BOM Equipment","Fixed Prod. Time (Hours)","Production BOM No.",$D4085,"version code",$E4085,"Resource No.",O$9)</t>
  </si>
  <si>
    <t>=1/O4085</t>
  </si>
  <si>
    <t>=IF(NL(1,"Prod. BOM Equipment","Variable Prod. Time (Hours)","Production BOM No.",$D4085,"version code",$E4085,"Resource No.",$O$9)="",1,NL(1,"Prod. BOM Equipment","Variable Prod. Time (Hours)","Production BOM No.",$D4085,"version code",$E4085,"Resource No.",$O$9))</t>
  </si>
  <si>
    <t>=1/Q4085</t>
  </si>
  <si>
    <t>=R4085*N4085</t>
  </si>
  <si>
    <t>=IF(K4086=0,"hide","")</t>
  </si>
  <si>
    <t>=D4085</t>
  </si>
  <si>
    <t>=NL("sum","Production Order","Quantity","Source No.",$D4086,"Equipment Code",$L4086,"due date",F$8)/-12</t>
  </si>
  <si>
    <t>=NL("sum","Production Order","Quantity","Source No.",$D4086,"Equipment Code",$L4086,"due date",G$8)/-12</t>
  </si>
  <si>
    <t>=NL("sum","Production Order","Quantity","Source No.",$D4086,"Equipment Code",$L4086,"due date",H$8)/-12</t>
  </si>
  <si>
    <t>=NL("sum","Production Order","Quantity","Source No.",$D4086,"Equipment Code",$L4086,"due date",I$8)/-12</t>
  </si>
  <si>
    <t>=NL("sum","Production Order","Quantity","Source No.",$D4086,"Equipment Code",$L4086,"due date",J$8)/$J$7</t>
  </si>
  <si>
    <t>=AVERAGE(I4086:J4086)</t>
  </si>
  <si>
    <t>=IF(K4087=0,"hide","")</t>
  </si>
  <si>
    <t>=D4086</t>
  </si>
  <si>
    <t>=NL("sum","Production Order","Quantity","Source No.",$D4087,"Equipment Code",$L4087,"due date",F$8)/-12</t>
  </si>
  <si>
    <t>=NL("sum","Production Order","Quantity","Source No.",$D4087,"Equipment Code",$L4087,"due date",G$8)/-12</t>
  </si>
  <si>
    <t>=NL("sum","Production Order","Quantity","Source No.",$D4087,"Equipment Code",$L4087,"due date",H$8)/-12</t>
  </si>
  <si>
    <t>=NL("sum","Production Order","Quantity","Source No.",$D4087,"Equipment Code",$L4087,"due date",I$8)/-12</t>
  </si>
  <si>
    <t>=NL("sum","Production Order","Quantity","Source No.",$D4087,"Equipment Code",$L4087,"due date",J$8)/$J$7</t>
  </si>
  <si>
    <t>=AVERAGE(I4087:J4087)</t>
  </si>
  <si>
    <t>=IF(K4088=0,"hide","")</t>
  </si>
  <si>
    <t>=D4087</t>
  </si>
  <si>
    <t>=NL("sum","Production Order","Quantity","Source No.",$D4088,"Equipment Code",$L4088,"due date",F$8)/-12</t>
  </si>
  <si>
    <t>=NL("sum","Production Order","Quantity","Source No.",$D4088,"Equipment Code",$L4088,"due date",G$8)/-12</t>
  </si>
  <si>
    <t>=NL("sum","Production Order","Quantity","Source No.",$D4088,"Equipment Code",$L4088,"due date",H$8)/-12</t>
  </si>
  <si>
    <t>=NL("sum","Production Order","Quantity","Source No.",$D4088,"Equipment Code",$L4088,"due date",I$8)/-12</t>
  </si>
  <si>
    <t>=NL("sum","Production Order","Quantity","Source No.",$D4088,"Equipment Code",$L4088,"due date",J$8)/$J$7</t>
  </si>
  <si>
    <t>=AVERAGE(I4088:J4088)</t>
  </si>
  <si>
    <t>=IF(K4089=0,"hide","")</t>
  </si>
  <si>
    <t>=D4088</t>
  </si>
  <si>
    <t>=NL("sum","Production Order","Quantity","Source No.",$D4089,"Equipment Code",$L4089,"due date",F$8)/-12</t>
  </si>
  <si>
    <t>=NL("sum","Production Order","Quantity","Source No.",$D4089,"Equipment Code",$L4089,"due date",G$8)/-12</t>
  </si>
  <si>
    <t>=NL("sum","Production Order","Quantity","Source No.",$D4089,"Equipment Code",$L4089,"due date",H$8)/-12</t>
  </si>
  <si>
    <t>=NL("sum","Production Order","Quantity","Source No.",$D4089,"Equipment Code",$L4089,"due date",I$8)/-12</t>
  </si>
  <si>
    <t>=NL("sum","Production Order","Quantity","Source No.",$D4089,"Equipment Code",$L4089,"due date",J$8)/$J$7</t>
  </si>
  <si>
    <t>=AVERAGE(I4089:J4089)</t>
  </si>
  <si>
    <t>=B4086</t>
  </si>
  <si>
    <t>=B4090</t>
  </si>
  <si>
    <t>=SUM(F4086:F4090)</t>
  </si>
  <si>
    <t>=SUM(G4086:G4090)</t>
  </si>
  <si>
    <t>=SUM(H4086:H4090)</t>
  </si>
  <si>
    <t>=SUM(I4086:I4090)</t>
  </si>
  <si>
    <t>=SUM(J4086:J4090)</t>
  </si>
  <si>
    <t>=IF(K4092=0,"hide","")</t>
  </si>
  <si>
    <t>="52975"</t>
  </si>
  <si>
    <t>=NL("rows","Production BOM Version","Version Code","Production BOM No.",D4092,"status","certified")</t>
  </si>
  <si>
    <t>=NL("sum","Item Ledger Entry","Quantity","Item No.",$D4092,"Entry Type","Sale|Consumption","posting date","01/01/19..12/31/19")/-12</t>
  </si>
  <si>
    <t>=NL("sum","Item Ledger Entry","Quantity","Item No.",$D4092,"Entry Type","Sale|Consumption","posting date","01/01/20..12/31/20")/-12</t>
  </si>
  <si>
    <t>=NL("sum","Item Ledger Entry","Quantity","Item No.",$D4092,"Entry Type","Sale|Consumption","posting date","01/01/21..12/31/21")/-12</t>
  </si>
  <si>
    <t>=NL("sum","Item Ledger Entry","Quantity","Item No.",$D4092,"Entry Type","Sale|Consumption","posting date","01/01/22..12/31/22")/-12</t>
  </si>
  <si>
    <t>=NL("sum","Item Ledger Entry","Quantity","Item No.",$D4092,"Entry Type","Sale|Consumption","posting date","01/01/23..12/31/23")/$J$7</t>
  </si>
  <si>
    <t>=AVERAGE(I4092:J4092)</t>
  </si>
  <si>
    <t>=NL(1,"item",L$9,"no.",D4092)</t>
  </si>
  <si>
    <t>=NL(1,"item",M$9,"no.",$D4092)</t>
  </si>
  <si>
    <t>=NL(1,"item","Units Per Parcel","no.",$D4092)</t>
  </si>
  <si>
    <t>=NL(1,"Prod. BOM Equipment","Fixed Prod. Time (Hours)","Production BOM No.",$D4092,"version code",$E4092,"Resource No.",O$9)</t>
  </si>
  <si>
    <t>=1/O4092</t>
  </si>
  <si>
    <t>=IF(NL(1,"Prod. BOM Equipment","Variable Prod. Time (Hours)","Production BOM No.",$D4092,"version code",$E4092,"Resource No.",$O$9)="",1,NL(1,"Prod. BOM Equipment","Variable Prod. Time (Hours)","Production BOM No.",$D4092,"version code",$E4092,"Resource No.",$O$9))</t>
  </si>
  <si>
    <t>=1/Q4092</t>
  </si>
  <si>
    <t>=R4092*N4092</t>
  </si>
  <si>
    <t>=IF(K4093=0,"hide","")</t>
  </si>
  <si>
    <t>=D4092</t>
  </si>
  <si>
    <t>=NL("sum","Production Order","Quantity","Source No.",$D4093,"Equipment Code",$L4093,"due date",F$8)/-12</t>
  </si>
  <si>
    <t>=NL("sum","Production Order","Quantity","Source No.",$D4093,"Equipment Code",$L4093,"due date",G$8)/-12</t>
  </si>
  <si>
    <t>=NL("sum","Production Order","Quantity","Source No.",$D4093,"Equipment Code",$L4093,"due date",H$8)/-12</t>
  </si>
  <si>
    <t>=NL("sum","Production Order","Quantity","Source No.",$D4093,"Equipment Code",$L4093,"due date",I$8)/-12</t>
  </si>
  <si>
    <t>=NL("sum","Production Order","Quantity","Source No.",$D4093,"Equipment Code",$L4093,"due date",J$8)/$J$7</t>
  </si>
  <si>
    <t>=AVERAGE(I4093:J4093)</t>
  </si>
  <si>
    <t>=IF(K4094=0,"hide","")</t>
  </si>
  <si>
    <t>=D4093</t>
  </si>
  <si>
    <t>=NL("sum","Production Order","Quantity","Source No.",$D4094,"Equipment Code",$L4094,"due date",F$8)/-12</t>
  </si>
  <si>
    <t>=NL("sum","Production Order","Quantity","Source No.",$D4094,"Equipment Code",$L4094,"due date",G$8)/-12</t>
  </si>
  <si>
    <t>=NL("sum","Production Order","Quantity","Source No.",$D4094,"Equipment Code",$L4094,"due date",H$8)/-12</t>
  </si>
  <si>
    <t>=NL("sum","Production Order","Quantity","Source No.",$D4094,"Equipment Code",$L4094,"due date",I$8)/-12</t>
  </si>
  <si>
    <t>=NL("sum","Production Order","Quantity","Source No.",$D4094,"Equipment Code",$L4094,"due date",J$8)/$J$7</t>
  </si>
  <si>
    <t>=AVERAGE(I4094:J4094)</t>
  </si>
  <si>
    <t>=IF(K4095=0,"hide","")</t>
  </si>
  <si>
    <t>=D4094</t>
  </si>
  <si>
    <t>=NL("sum","Production Order","Quantity","Source No.",$D4095,"Equipment Code",$L4095,"due date",F$8)/-12</t>
  </si>
  <si>
    <t>=NL("sum","Production Order","Quantity","Source No.",$D4095,"Equipment Code",$L4095,"due date",G$8)/-12</t>
  </si>
  <si>
    <t>=NL("sum","Production Order","Quantity","Source No.",$D4095,"Equipment Code",$L4095,"due date",H$8)/-12</t>
  </si>
  <si>
    <t>=NL("sum","Production Order","Quantity","Source No.",$D4095,"Equipment Code",$L4095,"due date",I$8)/-12</t>
  </si>
  <si>
    <t>=NL("sum","Production Order","Quantity","Source No.",$D4095,"Equipment Code",$L4095,"due date",J$8)/$J$7</t>
  </si>
  <si>
    <t>=AVERAGE(I4095:J4095)</t>
  </si>
  <si>
    <t>=IF(K4096=0,"hide","")</t>
  </si>
  <si>
    <t>=D4095</t>
  </si>
  <si>
    <t>=NL("sum","Production Order","Quantity","Source No.",$D4096,"Equipment Code",$L4096,"due date",F$8)/-12</t>
  </si>
  <si>
    <t>=NL("sum","Production Order","Quantity","Source No.",$D4096,"Equipment Code",$L4096,"due date",G$8)/-12</t>
  </si>
  <si>
    <t>=NL("sum","Production Order","Quantity","Source No.",$D4096,"Equipment Code",$L4096,"due date",H$8)/-12</t>
  </si>
  <si>
    <t>=NL("sum","Production Order","Quantity","Source No.",$D4096,"Equipment Code",$L4096,"due date",I$8)/-12</t>
  </si>
  <si>
    <t>=NL("sum","Production Order","Quantity","Source No.",$D4096,"Equipment Code",$L4096,"due date",J$8)/$J$7</t>
  </si>
  <si>
    <t>=AVERAGE(I4096:J4096)</t>
  </si>
  <si>
    <t>=B4093</t>
  </si>
  <si>
    <t>=B4097</t>
  </si>
  <si>
    <t>=SUM(F4093:F4097)</t>
  </si>
  <si>
    <t>=SUM(G4093:G4097)</t>
  </si>
  <si>
    <t>=SUM(H4093:H4097)</t>
  </si>
  <si>
    <t>=SUM(I4093:I4097)</t>
  </si>
  <si>
    <t>=SUM(J4093:J4097)</t>
  </si>
  <si>
    <t>=IF(K4099=0,"hide","")</t>
  </si>
  <si>
    <t>="57001"</t>
  </si>
  <si>
    <t>=NL("rows","Production BOM Version","Version Code","Production BOM No.",D4099,"status","certified")</t>
  </si>
  <si>
    <t>=NL("sum","Item Ledger Entry","Quantity","Item No.",$D4099,"Entry Type","Sale|Consumption","posting date","01/01/19..12/31/19")/-12</t>
  </si>
  <si>
    <t>=NL("sum","Item Ledger Entry","Quantity","Item No.",$D4099,"Entry Type","Sale|Consumption","posting date","01/01/20..12/31/20")/-12</t>
  </si>
  <si>
    <t>=NL("sum","Item Ledger Entry","Quantity","Item No.",$D4099,"Entry Type","Sale|Consumption","posting date","01/01/21..12/31/21")/-12</t>
  </si>
  <si>
    <t>=NL("sum","Item Ledger Entry","Quantity","Item No.",$D4099,"Entry Type","Sale|Consumption","posting date","01/01/22..12/31/22")/-12</t>
  </si>
  <si>
    <t>=NL("sum","Item Ledger Entry","Quantity","Item No.",$D4099,"Entry Type","Sale|Consumption","posting date","01/01/23..12/31/23")/$J$7</t>
  </si>
  <si>
    <t>=AVERAGE(I4099:J4099)</t>
  </si>
  <si>
    <t>=NL(1,"item",L$9,"no.",D4099)</t>
  </si>
  <si>
    <t>=NL(1,"item",M$9,"no.",$D4099)</t>
  </si>
  <si>
    <t>=NL(1,"item","Units Per Parcel","no.",$D4099)</t>
  </si>
  <si>
    <t>=NL(1,"Prod. BOM Equipment","Fixed Prod. Time (Hours)","Production BOM No.",$D4099,"version code",$E4099,"Resource No.",O$9)</t>
  </si>
  <si>
    <t>=1/O4099</t>
  </si>
  <si>
    <t>=IF(NL(1,"Prod. BOM Equipment","Variable Prod. Time (Hours)","Production BOM No.",$D4099,"version code",$E4099,"Resource No.",$O$9)="",1,NL(1,"Prod. BOM Equipment","Variable Prod. Time (Hours)","Production BOM No.",$D4099,"version code",$E4099,"Resource No.",$O$9))</t>
  </si>
  <si>
    <t>=1/Q4099</t>
  </si>
  <si>
    <t>=R4099*N4099</t>
  </si>
  <si>
    <t>=IF(K4100=0,"hide","")</t>
  </si>
  <si>
    <t>=D4099</t>
  </si>
  <si>
    <t>=NL("sum","Production Order","Quantity","Source No.",$D4100,"Equipment Code",$L4100,"due date",F$8)/-12</t>
  </si>
  <si>
    <t>=NL("sum","Production Order","Quantity","Source No.",$D4100,"Equipment Code",$L4100,"due date",G$8)/-12</t>
  </si>
  <si>
    <t>=NL("sum","Production Order","Quantity","Source No.",$D4100,"Equipment Code",$L4100,"due date",H$8)/-12</t>
  </si>
  <si>
    <t>=NL("sum","Production Order","Quantity","Source No.",$D4100,"Equipment Code",$L4100,"due date",I$8)/-12</t>
  </si>
  <si>
    <t>=NL("sum","Production Order","Quantity","Source No.",$D4100,"Equipment Code",$L4100,"due date",J$8)/$J$7</t>
  </si>
  <si>
    <t>=AVERAGE(I4100:J4100)</t>
  </si>
  <si>
    <t>=IF(K4101=0,"hide","")</t>
  </si>
  <si>
    <t>=D4100</t>
  </si>
  <si>
    <t>=NL("sum","Production Order","Quantity","Source No.",$D4101,"Equipment Code",$L4101,"due date",F$8)/-12</t>
  </si>
  <si>
    <t>=NL("sum","Production Order","Quantity","Source No.",$D4101,"Equipment Code",$L4101,"due date",G$8)/-12</t>
  </si>
  <si>
    <t>=NL("sum","Production Order","Quantity","Source No.",$D4101,"Equipment Code",$L4101,"due date",H$8)/-12</t>
  </si>
  <si>
    <t>=NL("sum","Production Order","Quantity","Source No.",$D4101,"Equipment Code",$L4101,"due date",I$8)/-12</t>
  </si>
  <si>
    <t>=NL("sum","Production Order","Quantity","Source No.",$D4101,"Equipment Code",$L4101,"due date",J$8)/$J$7</t>
  </si>
  <si>
    <t>=AVERAGE(I4101:J4101)</t>
  </si>
  <si>
    <t>=IF(K4102=0,"hide","")</t>
  </si>
  <si>
    <t>=D4101</t>
  </si>
  <si>
    <t>=NL("sum","Production Order","Quantity","Source No.",$D4102,"Equipment Code",$L4102,"due date",F$8)/-12</t>
  </si>
  <si>
    <t>=NL("sum","Production Order","Quantity","Source No.",$D4102,"Equipment Code",$L4102,"due date",G$8)/-12</t>
  </si>
  <si>
    <t>=NL("sum","Production Order","Quantity","Source No.",$D4102,"Equipment Code",$L4102,"due date",H$8)/-12</t>
  </si>
  <si>
    <t>=NL("sum","Production Order","Quantity","Source No.",$D4102,"Equipment Code",$L4102,"due date",I$8)/-12</t>
  </si>
  <si>
    <t>=NL("sum","Production Order","Quantity","Source No.",$D4102,"Equipment Code",$L4102,"due date",J$8)/$J$7</t>
  </si>
  <si>
    <t>=AVERAGE(I4102:J4102)</t>
  </si>
  <si>
    <t>=IF(K4103=0,"hide","")</t>
  </si>
  <si>
    <t>=D4102</t>
  </si>
  <si>
    <t>=NL("sum","Production Order","Quantity","Source No.",$D4103,"Equipment Code",$L4103,"due date",F$8)/-12</t>
  </si>
  <si>
    <t>=NL("sum","Production Order","Quantity","Source No.",$D4103,"Equipment Code",$L4103,"due date",G$8)/-12</t>
  </si>
  <si>
    <t>=NL("sum","Production Order","Quantity","Source No.",$D4103,"Equipment Code",$L4103,"due date",H$8)/-12</t>
  </si>
  <si>
    <t>=NL("sum","Production Order","Quantity","Source No.",$D4103,"Equipment Code",$L4103,"due date",I$8)/-12</t>
  </si>
  <si>
    <t>=NL("sum","Production Order","Quantity","Source No.",$D4103,"Equipment Code",$L4103,"due date",J$8)/$J$7</t>
  </si>
  <si>
    <t>=AVERAGE(I4103:J4103)</t>
  </si>
  <si>
    <t>=B4100</t>
  </si>
  <si>
    <t>=B4104</t>
  </si>
  <si>
    <t>=SUM(F4100:F4104)</t>
  </si>
  <si>
    <t>=SUM(G4100:G4104)</t>
  </si>
  <si>
    <t>=SUM(H4100:H4104)</t>
  </si>
  <si>
    <t>=SUM(I4100:I4104)</t>
  </si>
  <si>
    <t>=SUM(J4100:J4104)</t>
  </si>
  <si>
    <t>=IF(K4106=0,"hide","")</t>
  </si>
  <si>
    <t>="57124"</t>
  </si>
  <si>
    <t>=NL("rows","Production BOM Version","Version Code","Production BOM No.",D4106,"status","certified")</t>
  </si>
  <si>
    <t>=NL("sum","Item Ledger Entry","Quantity","Item No.",$D4106,"Entry Type","Sale|Consumption","posting date","01/01/19..12/31/19")/-12</t>
  </si>
  <si>
    <t>=NL("sum","Item Ledger Entry","Quantity","Item No.",$D4106,"Entry Type","Sale|Consumption","posting date","01/01/20..12/31/20")/-12</t>
  </si>
  <si>
    <t>=NL("sum","Item Ledger Entry","Quantity","Item No.",$D4106,"Entry Type","Sale|Consumption","posting date","01/01/21..12/31/21")/-12</t>
  </si>
  <si>
    <t>=NL("sum","Item Ledger Entry","Quantity","Item No.",$D4106,"Entry Type","Sale|Consumption","posting date","01/01/22..12/31/22")/-12</t>
  </si>
  <si>
    <t>=NL("sum","Item Ledger Entry","Quantity","Item No.",$D4106,"Entry Type","Sale|Consumption","posting date","01/01/23..12/31/23")/$J$7</t>
  </si>
  <si>
    <t>=AVERAGE(I4106:J4106)</t>
  </si>
  <si>
    <t>=NL(1,"item",L$9,"no.",D4106)</t>
  </si>
  <si>
    <t>=NL(1,"item",M$9,"no.",$D4106)</t>
  </si>
  <si>
    <t>=NL(1,"item","Units Per Parcel","no.",$D4106)</t>
  </si>
  <si>
    <t>=NL(1,"Prod. BOM Equipment","Fixed Prod. Time (Hours)","Production BOM No.",$D4106,"version code",$E4106,"Resource No.",O$9)</t>
  </si>
  <si>
    <t>=1/O4106</t>
  </si>
  <si>
    <t>=IF(NL(1,"Prod. BOM Equipment","Variable Prod. Time (Hours)","Production BOM No.",$D4106,"version code",$E4106,"Resource No.",$O$9)="",1,NL(1,"Prod. BOM Equipment","Variable Prod. Time (Hours)","Production BOM No.",$D4106,"version code",$E4106,"Resource No.",$O$9))</t>
  </si>
  <si>
    <t>=1/Q4106</t>
  </si>
  <si>
    <t>=R4106*N4106</t>
  </si>
  <si>
    <t>=IF(K4107=0,"hide","")</t>
  </si>
  <si>
    <t>=D4106</t>
  </si>
  <si>
    <t>=NL("sum","Production Order","Quantity","Source No.",$D4107,"Equipment Code",$L4107,"due date",F$8)/-12</t>
  </si>
  <si>
    <t>=NL("sum","Production Order","Quantity","Source No.",$D4107,"Equipment Code",$L4107,"due date",G$8)/-12</t>
  </si>
  <si>
    <t>=NL("sum","Production Order","Quantity","Source No.",$D4107,"Equipment Code",$L4107,"due date",H$8)/-12</t>
  </si>
  <si>
    <t>=NL("sum","Production Order","Quantity","Source No.",$D4107,"Equipment Code",$L4107,"due date",I$8)/-12</t>
  </si>
  <si>
    <t>=NL("sum","Production Order","Quantity","Source No.",$D4107,"Equipment Code",$L4107,"due date",J$8)/$J$7</t>
  </si>
  <si>
    <t>=AVERAGE(I4107:J4107)</t>
  </si>
  <si>
    <t>=IF(K4108=0,"hide","")</t>
  </si>
  <si>
    <t>=D4107</t>
  </si>
  <si>
    <t>=NL("sum","Production Order","Quantity","Source No.",$D4108,"Equipment Code",$L4108,"due date",F$8)/-12</t>
  </si>
  <si>
    <t>=NL("sum","Production Order","Quantity","Source No.",$D4108,"Equipment Code",$L4108,"due date",G$8)/-12</t>
  </si>
  <si>
    <t>=NL("sum","Production Order","Quantity","Source No.",$D4108,"Equipment Code",$L4108,"due date",H$8)/-12</t>
  </si>
  <si>
    <t>=NL("sum","Production Order","Quantity","Source No.",$D4108,"Equipment Code",$L4108,"due date",I$8)/-12</t>
  </si>
  <si>
    <t>=NL("sum","Production Order","Quantity","Source No.",$D4108,"Equipment Code",$L4108,"due date",J$8)/$J$7</t>
  </si>
  <si>
    <t>=AVERAGE(I4108:J4108)</t>
  </si>
  <si>
    <t>=IF(K4109=0,"hide","")</t>
  </si>
  <si>
    <t>=D4108</t>
  </si>
  <si>
    <t>=NL("sum","Production Order","Quantity","Source No.",$D4109,"Equipment Code",$L4109,"due date",F$8)/-12</t>
  </si>
  <si>
    <t>=NL("sum","Production Order","Quantity","Source No.",$D4109,"Equipment Code",$L4109,"due date",G$8)/-12</t>
  </si>
  <si>
    <t>=NL("sum","Production Order","Quantity","Source No.",$D4109,"Equipment Code",$L4109,"due date",H$8)/-12</t>
  </si>
  <si>
    <t>=NL("sum","Production Order","Quantity","Source No.",$D4109,"Equipment Code",$L4109,"due date",I$8)/-12</t>
  </si>
  <si>
    <t>=NL("sum","Production Order","Quantity","Source No.",$D4109,"Equipment Code",$L4109,"due date",J$8)/$J$7</t>
  </si>
  <si>
    <t>=AVERAGE(I4109:J4109)</t>
  </si>
  <si>
    <t>=IF(K4110=0,"hide","")</t>
  </si>
  <si>
    <t>=D4109</t>
  </si>
  <si>
    <t>=NL("sum","Production Order","Quantity","Source No.",$D4110,"Equipment Code",$L4110,"due date",F$8)/-12</t>
  </si>
  <si>
    <t>=NL("sum","Production Order","Quantity","Source No.",$D4110,"Equipment Code",$L4110,"due date",G$8)/-12</t>
  </si>
  <si>
    <t>=NL("sum","Production Order","Quantity","Source No.",$D4110,"Equipment Code",$L4110,"due date",H$8)/-12</t>
  </si>
  <si>
    <t>=NL("sum","Production Order","Quantity","Source No.",$D4110,"Equipment Code",$L4110,"due date",I$8)/-12</t>
  </si>
  <si>
    <t>=NL("sum","Production Order","Quantity","Source No.",$D4110,"Equipment Code",$L4110,"due date",J$8)/$J$7</t>
  </si>
  <si>
    <t>=AVERAGE(I4110:J4110)</t>
  </si>
  <si>
    <t>=B4107</t>
  </si>
  <si>
    <t>=B4111</t>
  </si>
  <si>
    <t>=SUM(F4107:F4111)</t>
  </si>
  <si>
    <t>=SUM(G4107:G4111)</t>
  </si>
  <si>
    <t>=SUM(H4107:H4111)</t>
  </si>
  <si>
    <t>=SUM(I4107:I4111)</t>
  </si>
  <si>
    <t>=SUM(J4107:J4111)</t>
  </si>
  <si>
    <t>=IF(K4113=0,"hide","")</t>
  </si>
  <si>
    <t>=NL("rows","Production BOM Version","Version Code","Production BOM No.",D4113,"status","certified")</t>
  </si>
  <si>
    <t>=NL("sum","Item Ledger Entry","Quantity","Item No.",$D4113,"Entry Type","Sale|Consumption","posting date","01/01/19..12/31/19")/-12</t>
  </si>
  <si>
    <t>=NL("sum","Item Ledger Entry","Quantity","Item No.",$D4113,"Entry Type","Sale|Consumption","posting date","01/01/20..12/31/20")/-12</t>
  </si>
  <si>
    <t>=NL("sum","Item Ledger Entry","Quantity","Item No.",$D4113,"Entry Type","Sale|Consumption","posting date","01/01/21..12/31/21")/-12</t>
  </si>
  <si>
    <t>=NL("sum","Item Ledger Entry","Quantity","Item No.",$D4113,"Entry Type","Sale|Consumption","posting date","01/01/22..12/31/22")/-12</t>
  </si>
  <si>
    <t>=NL("sum","Item Ledger Entry","Quantity","Item No.",$D4113,"Entry Type","Sale|Consumption","posting date","01/01/23..12/31/23")/$J$7</t>
  </si>
  <si>
    <t>=AVERAGE(I4113:J4113)</t>
  </si>
  <si>
    <t>=NL(1,"item",L$9,"no.",D4113)</t>
  </si>
  <si>
    <t>=NL(1,"item",M$9,"no.",$D4113)</t>
  </si>
  <si>
    <t>=NL(1,"item","Units Per Parcel","no.",$D4113)</t>
  </si>
  <si>
    <t>=NL(1,"Prod. BOM Equipment","Fixed Prod. Time (Hours)","Production BOM No.",$D4113,"version code",$E4113,"Resource No.",O$9)</t>
  </si>
  <si>
    <t>=1/O4113</t>
  </si>
  <si>
    <t>=IF(NL(1,"Prod. BOM Equipment","Variable Prod. Time (Hours)","Production BOM No.",$D4113,"version code",$E4113,"Resource No.",$O$9)="",1,NL(1,"Prod. BOM Equipment","Variable Prod. Time (Hours)","Production BOM No.",$D4113,"version code",$E4113,"Resource No.",$O$9))</t>
  </si>
  <si>
    <t>=1/Q4113</t>
  </si>
  <si>
    <t>=R4113*N4113</t>
  </si>
  <si>
    <t>=IF(K4114=0,"hide","")</t>
  </si>
  <si>
    <t>=D4113</t>
  </si>
  <si>
    <t>=NL("sum","Production Order","Quantity","Source No.",$D4114,"Equipment Code",$L4114,"due date",F$8)/-12</t>
  </si>
  <si>
    <t>=NL("sum","Production Order","Quantity","Source No.",$D4114,"Equipment Code",$L4114,"due date",G$8)/-12</t>
  </si>
  <si>
    <t>=NL("sum","Production Order","Quantity","Source No.",$D4114,"Equipment Code",$L4114,"due date",H$8)/-12</t>
  </si>
  <si>
    <t>=NL("sum","Production Order","Quantity","Source No.",$D4114,"Equipment Code",$L4114,"due date",I$8)/-12</t>
  </si>
  <si>
    <t>=NL("sum","Production Order","Quantity","Source No.",$D4114,"Equipment Code",$L4114,"due date",J$8)/$J$7</t>
  </si>
  <si>
    <t>=AVERAGE(I4114:J4114)</t>
  </si>
  <si>
    <t>=IF(K4115=0,"hide","")</t>
  </si>
  <si>
    <t>=D4114</t>
  </si>
  <si>
    <t>=NL("sum","Production Order","Quantity","Source No.",$D4115,"Equipment Code",$L4115,"due date",F$8)/-12</t>
  </si>
  <si>
    <t>=NL("sum","Production Order","Quantity","Source No.",$D4115,"Equipment Code",$L4115,"due date",G$8)/-12</t>
  </si>
  <si>
    <t>=NL("sum","Production Order","Quantity","Source No.",$D4115,"Equipment Code",$L4115,"due date",H$8)/-12</t>
  </si>
  <si>
    <t>=NL("sum","Production Order","Quantity","Source No.",$D4115,"Equipment Code",$L4115,"due date",I$8)/-12</t>
  </si>
  <si>
    <t>=NL("sum","Production Order","Quantity","Source No.",$D4115,"Equipment Code",$L4115,"due date",J$8)/$J$7</t>
  </si>
  <si>
    <t>=AVERAGE(I4115:J4115)</t>
  </si>
  <si>
    <t>=IF(K4116=0,"hide","")</t>
  </si>
  <si>
    <t>=D4115</t>
  </si>
  <si>
    <t>=NL("sum","Production Order","Quantity","Source No.",$D4116,"Equipment Code",$L4116,"due date",F$8)/-12</t>
  </si>
  <si>
    <t>=NL("sum","Production Order","Quantity","Source No.",$D4116,"Equipment Code",$L4116,"due date",G$8)/-12</t>
  </si>
  <si>
    <t>=NL("sum","Production Order","Quantity","Source No.",$D4116,"Equipment Code",$L4116,"due date",H$8)/-12</t>
  </si>
  <si>
    <t>=NL("sum","Production Order","Quantity","Source No.",$D4116,"Equipment Code",$L4116,"due date",I$8)/-12</t>
  </si>
  <si>
    <t>=NL("sum","Production Order","Quantity","Source No.",$D4116,"Equipment Code",$L4116,"due date",J$8)/$J$7</t>
  </si>
  <si>
    <t>=AVERAGE(I4116:J4116)</t>
  </si>
  <si>
    <t>=IF(K4117=0,"hide","")</t>
  </si>
  <si>
    <t>=D4116</t>
  </si>
  <si>
    <t>=NL("sum","Production Order","Quantity","Source No.",$D4117,"Equipment Code",$L4117,"due date",F$8)/-12</t>
  </si>
  <si>
    <t>=NL("sum","Production Order","Quantity","Source No.",$D4117,"Equipment Code",$L4117,"due date",G$8)/-12</t>
  </si>
  <si>
    <t>=NL("sum","Production Order","Quantity","Source No.",$D4117,"Equipment Code",$L4117,"due date",H$8)/-12</t>
  </si>
  <si>
    <t>=NL("sum","Production Order","Quantity","Source No.",$D4117,"Equipment Code",$L4117,"due date",I$8)/-12</t>
  </si>
  <si>
    <t>=NL("sum","Production Order","Quantity","Source No.",$D4117,"Equipment Code",$L4117,"due date",J$8)/$J$7</t>
  </si>
  <si>
    <t>=AVERAGE(I4117:J4117)</t>
  </si>
  <si>
    <t>=B4114</t>
  </si>
  <si>
    <t>=B4118</t>
  </si>
  <si>
    <t>=SUM(F4114:F4118)</t>
  </si>
  <si>
    <t>=SUM(G4114:G4118)</t>
  </si>
  <si>
    <t>=SUM(H4114:H4118)</t>
  </si>
  <si>
    <t>=SUM(I4114:I4118)</t>
  </si>
  <si>
    <t>=SUM(J4114:J4118)</t>
  </si>
  <si>
    <t>=IF(K4120=0,"hide","")</t>
  </si>
  <si>
    <t>="57154"</t>
  </si>
  <si>
    <t>=NL("rows","Production BOM Version","Version Code","Production BOM No.",D4120,"status","certified")</t>
  </si>
  <si>
    <t>=NL("sum","Item Ledger Entry","Quantity","Item No.",$D4120,"Entry Type","Sale|Consumption","posting date","01/01/19..12/31/19")/-12</t>
  </si>
  <si>
    <t>=NL("sum","Item Ledger Entry","Quantity","Item No.",$D4120,"Entry Type","Sale|Consumption","posting date","01/01/20..12/31/20")/-12</t>
  </si>
  <si>
    <t>=NL("sum","Item Ledger Entry","Quantity","Item No.",$D4120,"Entry Type","Sale|Consumption","posting date","01/01/21..12/31/21")/-12</t>
  </si>
  <si>
    <t>=NL("sum","Item Ledger Entry","Quantity","Item No.",$D4120,"Entry Type","Sale|Consumption","posting date","01/01/22..12/31/22")/-12</t>
  </si>
  <si>
    <t>=NL("sum","Item Ledger Entry","Quantity","Item No.",$D4120,"Entry Type","Sale|Consumption","posting date","01/01/23..12/31/23")/$J$7</t>
  </si>
  <si>
    <t>=AVERAGE(I4120:J4120)</t>
  </si>
  <si>
    <t>=NL(1,"item",L$9,"no.",D4120)</t>
  </si>
  <si>
    <t>=NL(1,"item",M$9,"no.",$D4120)</t>
  </si>
  <si>
    <t>=NL(1,"item","Units Per Parcel","no.",$D4120)</t>
  </si>
  <si>
    <t>=NL(1,"Prod. BOM Equipment","Fixed Prod. Time (Hours)","Production BOM No.",$D4120,"version code",$E4120,"Resource No.",O$9)</t>
  </si>
  <si>
    <t>=1/O4120</t>
  </si>
  <si>
    <t>=IF(NL(1,"Prod. BOM Equipment","Variable Prod. Time (Hours)","Production BOM No.",$D4120,"version code",$E4120,"Resource No.",$O$9)="",1,NL(1,"Prod. BOM Equipment","Variable Prod. Time (Hours)","Production BOM No.",$D4120,"version code",$E4120,"Resource No.",$O$9))</t>
  </si>
  <si>
    <t>=1/Q4120</t>
  </si>
  <si>
    <t>=R4120*N4120</t>
  </si>
  <si>
    <t>=IF(K4121=0,"hide","")</t>
  </si>
  <si>
    <t>=D4120</t>
  </si>
  <si>
    <t>=NL("sum","Production Order","Quantity","Source No.",$D4121,"Equipment Code",$L4121,"due date",F$8)/-12</t>
  </si>
  <si>
    <t>=NL("sum","Production Order","Quantity","Source No.",$D4121,"Equipment Code",$L4121,"due date",G$8)/-12</t>
  </si>
  <si>
    <t>=NL("sum","Production Order","Quantity","Source No.",$D4121,"Equipment Code",$L4121,"due date",H$8)/-12</t>
  </si>
  <si>
    <t>=NL("sum","Production Order","Quantity","Source No.",$D4121,"Equipment Code",$L4121,"due date",I$8)/-12</t>
  </si>
  <si>
    <t>=NL("sum","Production Order","Quantity","Source No.",$D4121,"Equipment Code",$L4121,"due date",J$8)/$J$7</t>
  </si>
  <si>
    <t>=AVERAGE(I4121:J4121)</t>
  </si>
  <si>
    <t>=IF(K4122=0,"hide","")</t>
  </si>
  <si>
    <t>=D4121</t>
  </si>
  <si>
    <t>=NL("sum","Production Order","Quantity","Source No.",$D4122,"Equipment Code",$L4122,"due date",F$8)/-12</t>
  </si>
  <si>
    <t>=NL("sum","Production Order","Quantity","Source No.",$D4122,"Equipment Code",$L4122,"due date",G$8)/-12</t>
  </si>
  <si>
    <t>=NL("sum","Production Order","Quantity","Source No.",$D4122,"Equipment Code",$L4122,"due date",H$8)/-12</t>
  </si>
  <si>
    <t>=NL("sum","Production Order","Quantity","Source No.",$D4122,"Equipment Code",$L4122,"due date",I$8)/-12</t>
  </si>
  <si>
    <t>=NL("sum","Production Order","Quantity","Source No.",$D4122,"Equipment Code",$L4122,"due date",J$8)/$J$7</t>
  </si>
  <si>
    <t>=AVERAGE(I4122:J4122)</t>
  </si>
  <si>
    <t>=IF(K4123=0,"hide","")</t>
  </si>
  <si>
    <t>=D4122</t>
  </si>
  <si>
    <t>=NL("sum","Production Order","Quantity","Source No.",$D4123,"Equipment Code",$L4123,"due date",F$8)/-12</t>
  </si>
  <si>
    <t>=NL("sum","Production Order","Quantity","Source No.",$D4123,"Equipment Code",$L4123,"due date",G$8)/-12</t>
  </si>
  <si>
    <t>=NL("sum","Production Order","Quantity","Source No.",$D4123,"Equipment Code",$L4123,"due date",H$8)/-12</t>
  </si>
  <si>
    <t>=NL("sum","Production Order","Quantity","Source No.",$D4123,"Equipment Code",$L4123,"due date",I$8)/-12</t>
  </si>
  <si>
    <t>=NL("sum","Production Order","Quantity","Source No.",$D4123,"Equipment Code",$L4123,"due date",J$8)/$J$7</t>
  </si>
  <si>
    <t>=AVERAGE(I4123:J4123)</t>
  </si>
  <si>
    <t>=IF(K4124=0,"hide","")</t>
  </si>
  <si>
    <t>=D4123</t>
  </si>
  <si>
    <t>=NL("sum","Production Order","Quantity","Source No.",$D4124,"Equipment Code",$L4124,"due date",F$8)/-12</t>
  </si>
  <si>
    <t>=NL("sum","Production Order","Quantity","Source No.",$D4124,"Equipment Code",$L4124,"due date",G$8)/-12</t>
  </si>
  <si>
    <t>=NL("sum","Production Order","Quantity","Source No.",$D4124,"Equipment Code",$L4124,"due date",H$8)/-12</t>
  </si>
  <si>
    <t>=NL("sum","Production Order","Quantity","Source No.",$D4124,"Equipment Code",$L4124,"due date",I$8)/-12</t>
  </si>
  <si>
    <t>=NL("sum","Production Order","Quantity","Source No.",$D4124,"Equipment Code",$L4124,"due date",J$8)/$J$7</t>
  </si>
  <si>
    <t>=AVERAGE(I4124:J4124)</t>
  </si>
  <si>
    <t>=B4121</t>
  </si>
  <si>
    <t>=B4125</t>
  </si>
  <si>
    <t>=SUM(F4121:F4125)</t>
  </si>
  <si>
    <t>=SUM(G4121:G4125)</t>
  </si>
  <si>
    <t>=SUM(H4121:H4125)</t>
  </si>
  <si>
    <t>=SUM(I4121:I4125)</t>
  </si>
  <si>
    <t>=SUM(J4121:J4125)</t>
  </si>
  <si>
    <t>=IF(K4127=0,"hide","")</t>
  </si>
  <si>
    <t>="57164"</t>
  </si>
  <si>
    <t>=NL("rows","Production BOM Version","Version Code","Production BOM No.",D4127,"status","certified")</t>
  </si>
  <si>
    <t>=NL("sum","Item Ledger Entry","Quantity","Item No.",$D4127,"Entry Type","Sale|Consumption","posting date","01/01/19..12/31/19")/-12</t>
  </si>
  <si>
    <t>=NL("sum","Item Ledger Entry","Quantity","Item No.",$D4127,"Entry Type","Sale|Consumption","posting date","01/01/20..12/31/20")/-12</t>
  </si>
  <si>
    <t>=NL("sum","Item Ledger Entry","Quantity","Item No.",$D4127,"Entry Type","Sale|Consumption","posting date","01/01/21..12/31/21")/-12</t>
  </si>
  <si>
    <t>=NL("sum","Item Ledger Entry","Quantity","Item No.",$D4127,"Entry Type","Sale|Consumption","posting date","01/01/22..12/31/22")/-12</t>
  </si>
  <si>
    <t>=NL("sum","Item Ledger Entry","Quantity","Item No.",$D4127,"Entry Type","Sale|Consumption","posting date","01/01/23..12/31/23")/$J$7</t>
  </si>
  <si>
    <t>=AVERAGE(I4127:J4127)</t>
  </si>
  <si>
    <t>=NL(1,"item",L$9,"no.",D4127)</t>
  </si>
  <si>
    <t>=NL(1,"item",M$9,"no.",$D4127)</t>
  </si>
  <si>
    <t>=NL(1,"item","Units Per Parcel","no.",$D4127)</t>
  </si>
  <si>
    <t>=NL(1,"Prod. BOM Equipment","Fixed Prod. Time (Hours)","Production BOM No.",$D4127,"version code",$E4127,"Resource No.",O$9)</t>
  </si>
  <si>
    <t>=1/O4127</t>
  </si>
  <si>
    <t>=IF(NL(1,"Prod. BOM Equipment","Variable Prod. Time (Hours)","Production BOM No.",$D4127,"version code",$E4127,"Resource No.",$O$9)="",1,NL(1,"Prod. BOM Equipment","Variable Prod. Time (Hours)","Production BOM No.",$D4127,"version code",$E4127,"Resource No.",$O$9))</t>
  </si>
  <si>
    <t>=1/Q4127</t>
  </si>
  <si>
    <t>=R4127*N4127</t>
  </si>
  <si>
    <t>=IF(K4128=0,"hide","")</t>
  </si>
  <si>
    <t>=D4127</t>
  </si>
  <si>
    <t>=NL("sum","Production Order","Quantity","Source No.",$D4128,"Equipment Code",$L4128,"due date",F$8)/-12</t>
  </si>
  <si>
    <t>=NL("sum","Production Order","Quantity","Source No.",$D4128,"Equipment Code",$L4128,"due date",G$8)/-12</t>
  </si>
  <si>
    <t>=NL("sum","Production Order","Quantity","Source No.",$D4128,"Equipment Code",$L4128,"due date",H$8)/-12</t>
  </si>
  <si>
    <t>=NL("sum","Production Order","Quantity","Source No.",$D4128,"Equipment Code",$L4128,"due date",I$8)/-12</t>
  </si>
  <si>
    <t>=NL("sum","Production Order","Quantity","Source No.",$D4128,"Equipment Code",$L4128,"due date",J$8)/$J$7</t>
  </si>
  <si>
    <t>=AVERAGE(I4128:J4128)</t>
  </si>
  <si>
    <t>=IF(K4129=0,"hide","")</t>
  </si>
  <si>
    <t>=D4128</t>
  </si>
  <si>
    <t>=NL("sum","Production Order","Quantity","Source No.",$D4129,"Equipment Code",$L4129,"due date",F$8)/-12</t>
  </si>
  <si>
    <t>=NL("sum","Production Order","Quantity","Source No.",$D4129,"Equipment Code",$L4129,"due date",G$8)/-12</t>
  </si>
  <si>
    <t>=NL("sum","Production Order","Quantity","Source No.",$D4129,"Equipment Code",$L4129,"due date",H$8)/-12</t>
  </si>
  <si>
    <t>=NL("sum","Production Order","Quantity","Source No.",$D4129,"Equipment Code",$L4129,"due date",I$8)/-12</t>
  </si>
  <si>
    <t>=NL("sum","Production Order","Quantity","Source No.",$D4129,"Equipment Code",$L4129,"due date",J$8)/$J$7</t>
  </si>
  <si>
    <t>=AVERAGE(I4129:J4129)</t>
  </si>
  <si>
    <t>=IF(K4130=0,"hide","")</t>
  </si>
  <si>
    <t>=D4129</t>
  </si>
  <si>
    <t>=NL("sum","Production Order","Quantity","Source No.",$D4130,"Equipment Code",$L4130,"due date",F$8)/-12</t>
  </si>
  <si>
    <t>=NL("sum","Production Order","Quantity","Source No.",$D4130,"Equipment Code",$L4130,"due date",G$8)/-12</t>
  </si>
  <si>
    <t>=NL("sum","Production Order","Quantity","Source No.",$D4130,"Equipment Code",$L4130,"due date",H$8)/-12</t>
  </si>
  <si>
    <t>=NL("sum","Production Order","Quantity","Source No.",$D4130,"Equipment Code",$L4130,"due date",I$8)/-12</t>
  </si>
  <si>
    <t>=NL("sum","Production Order","Quantity","Source No.",$D4130,"Equipment Code",$L4130,"due date",J$8)/$J$7</t>
  </si>
  <si>
    <t>=AVERAGE(I4130:J4130)</t>
  </si>
  <si>
    <t>=IF(K4131=0,"hide","")</t>
  </si>
  <si>
    <t>=D4130</t>
  </si>
  <si>
    <t>=NL("sum","Production Order","Quantity","Source No.",$D4131,"Equipment Code",$L4131,"due date",F$8)/-12</t>
  </si>
  <si>
    <t>=NL("sum","Production Order","Quantity","Source No.",$D4131,"Equipment Code",$L4131,"due date",G$8)/-12</t>
  </si>
  <si>
    <t>=NL("sum","Production Order","Quantity","Source No.",$D4131,"Equipment Code",$L4131,"due date",H$8)/-12</t>
  </si>
  <si>
    <t>=NL("sum","Production Order","Quantity","Source No.",$D4131,"Equipment Code",$L4131,"due date",I$8)/-12</t>
  </si>
  <si>
    <t>=NL("sum","Production Order","Quantity","Source No.",$D4131,"Equipment Code",$L4131,"due date",J$8)/$J$7</t>
  </si>
  <si>
    <t>=AVERAGE(I4131:J4131)</t>
  </si>
  <si>
    <t>=B4128</t>
  </si>
  <si>
    <t>=B4132</t>
  </si>
  <si>
    <t>=SUM(F4128:F4132)</t>
  </si>
  <si>
    <t>=SUM(G4128:G4132)</t>
  </si>
  <si>
    <t>=SUM(H4128:H4132)</t>
  </si>
  <si>
    <t>=SUM(I4128:I4132)</t>
  </si>
  <si>
    <t>=SUM(J4128:J4132)</t>
  </si>
  <si>
    <t>=IF(K4134=0,"hide","")</t>
  </si>
  <si>
    <t>=NL("rows","Production BOM Version","Version Code","Production BOM No.",D4134,"status","certified")</t>
  </si>
  <si>
    <t>=NL("sum","Item Ledger Entry","Quantity","Item No.",$D4134,"Entry Type","Sale|Consumption","posting date","01/01/19..12/31/19")/-12</t>
  </si>
  <si>
    <t>=NL("sum","Item Ledger Entry","Quantity","Item No.",$D4134,"Entry Type","Sale|Consumption","posting date","01/01/20..12/31/20")/-12</t>
  </si>
  <si>
    <t>=NL("sum","Item Ledger Entry","Quantity","Item No.",$D4134,"Entry Type","Sale|Consumption","posting date","01/01/21..12/31/21")/-12</t>
  </si>
  <si>
    <t>=NL("sum","Item Ledger Entry","Quantity","Item No.",$D4134,"Entry Type","Sale|Consumption","posting date","01/01/22..12/31/22")/-12</t>
  </si>
  <si>
    <t>=NL("sum","Item Ledger Entry","Quantity","Item No.",$D4134,"Entry Type","Sale|Consumption","posting date","01/01/23..12/31/23")/$J$7</t>
  </si>
  <si>
    <t>=AVERAGE(I4134:J4134)</t>
  </si>
  <si>
    <t>=NL(1,"item",L$9,"no.",D4134)</t>
  </si>
  <si>
    <t>=NL(1,"item",M$9,"no.",$D4134)</t>
  </si>
  <si>
    <t>=NL(1,"item","Units Per Parcel","no.",$D4134)</t>
  </si>
  <si>
    <t>=NL(1,"Prod. BOM Equipment","Fixed Prod. Time (Hours)","Production BOM No.",$D4134,"version code",$E4134,"Resource No.",O$9)</t>
  </si>
  <si>
    <t>=1/O4134</t>
  </si>
  <si>
    <t>=IF(NL(1,"Prod. BOM Equipment","Variable Prod. Time (Hours)","Production BOM No.",$D4134,"version code",$E4134,"Resource No.",$O$9)="",1,NL(1,"Prod. BOM Equipment","Variable Prod. Time (Hours)","Production BOM No.",$D4134,"version code",$E4134,"Resource No.",$O$9))</t>
  </si>
  <si>
    <t>=1/Q4134</t>
  </si>
  <si>
    <t>=R4134*N4134</t>
  </si>
  <si>
    <t>=IF(K4135=0,"hide","")</t>
  </si>
  <si>
    <t>=D4134</t>
  </si>
  <si>
    <t>=NL("sum","Production Order","Quantity","Source No.",$D4135,"Equipment Code",$L4135,"due date",F$8)/-12</t>
  </si>
  <si>
    <t>=NL("sum","Production Order","Quantity","Source No.",$D4135,"Equipment Code",$L4135,"due date",G$8)/-12</t>
  </si>
  <si>
    <t>=NL("sum","Production Order","Quantity","Source No.",$D4135,"Equipment Code",$L4135,"due date",H$8)/-12</t>
  </si>
  <si>
    <t>=NL("sum","Production Order","Quantity","Source No.",$D4135,"Equipment Code",$L4135,"due date",I$8)/-12</t>
  </si>
  <si>
    <t>=NL("sum","Production Order","Quantity","Source No.",$D4135,"Equipment Code",$L4135,"due date",J$8)/$J$7</t>
  </si>
  <si>
    <t>=AVERAGE(I4135:J4135)</t>
  </si>
  <si>
    <t>=IF(K4136=0,"hide","")</t>
  </si>
  <si>
    <t>=D4135</t>
  </si>
  <si>
    <t>=NL("sum","Production Order","Quantity","Source No.",$D4136,"Equipment Code",$L4136,"due date",F$8)/-12</t>
  </si>
  <si>
    <t>=NL("sum","Production Order","Quantity","Source No.",$D4136,"Equipment Code",$L4136,"due date",G$8)/-12</t>
  </si>
  <si>
    <t>=NL("sum","Production Order","Quantity","Source No.",$D4136,"Equipment Code",$L4136,"due date",H$8)/-12</t>
  </si>
  <si>
    <t>=NL("sum","Production Order","Quantity","Source No.",$D4136,"Equipment Code",$L4136,"due date",I$8)/-12</t>
  </si>
  <si>
    <t>=NL("sum","Production Order","Quantity","Source No.",$D4136,"Equipment Code",$L4136,"due date",J$8)/$J$7</t>
  </si>
  <si>
    <t>=AVERAGE(I4136:J4136)</t>
  </si>
  <si>
    <t>=IF(K4137=0,"hide","")</t>
  </si>
  <si>
    <t>=D4136</t>
  </si>
  <si>
    <t>=NL("sum","Production Order","Quantity","Source No.",$D4137,"Equipment Code",$L4137,"due date",F$8)/-12</t>
  </si>
  <si>
    <t>=NL("sum","Production Order","Quantity","Source No.",$D4137,"Equipment Code",$L4137,"due date",G$8)/-12</t>
  </si>
  <si>
    <t>=NL("sum","Production Order","Quantity","Source No.",$D4137,"Equipment Code",$L4137,"due date",H$8)/-12</t>
  </si>
  <si>
    <t>=NL("sum","Production Order","Quantity","Source No.",$D4137,"Equipment Code",$L4137,"due date",I$8)/-12</t>
  </si>
  <si>
    <t>=NL("sum","Production Order","Quantity","Source No.",$D4137,"Equipment Code",$L4137,"due date",J$8)/$J$7</t>
  </si>
  <si>
    <t>=AVERAGE(I4137:J4137)</t>
  </si>
  <si>
    <t>=IF(K4138=0,"hide","")</t>
  </si>
  <si>
    <t>=D4137</t>
  </si>
  <si>
    <t>=NL("sum","Production Order","Quantity","Source No.",$D4138,"Equipment Code",$L4138,"due date",F$8)/-12</t>
  </si>
  <si>
    <t>=NL("sum","Production Order","Quantity","Source No.",$D4138,"Equipment Code",$L4138,"due date",G$8)/-12</t>
  </si>
  <si>
    <t>=NL("sum","Production Order","Quantity","Source No.",$D4138,"Equipment Code",$L4138,"due date",H$8)/-12</t>
  </si>
  <si>
    <t>=NL("sum","Production Order","Quantity","Source No.",$D4138,"Equipment Code",$L4138,"due date",I$8)/-12</t>
  </si>
  <si>
    <t>=NL("sum","Production Order","Quantity","Source No.",$D4138,"Equipment Code",$L4138,"due date",J$8)/$J$7</t>
  </si>
  <si>
    <t>=AVERAGE(I4138:J4138)</t>
  </si>
  <si>
    <t>=B4135</t>
  </si>
  <si>
    <t>=B4139</t>
  </si>
  <si>
    <t>=SUM(F4135:F4139)</t>
  </si>
  <si>
    <t>=SUM(G4135:G4139)</t>
  </si>
  <si>
    <t>=SUM(H4135:H4139)</t>
  </si>
  <si>
    <t>=SUM(I4135:I4139)</t>
  </si>
  <si>
    <t>=SUM(J4135:J4139)</t>
  </si>
  <si>
    <t>=IF(K4141=0,"hide","")</t>
  </si>
  <si>
    <t>=NL("rows","Production BOM Version","Version Code","Production BOM No.",D4141,"status","certified")</t>
  </si>
  <si>
    <t>=NL("sum","Item Ledger Entry","Quantity","Item No.",$D4141,"Entry Type","Sale|Consumption","posting date","01/01/19..12/31/19")/-12</t>
  </si>
  <si>
    <t>=NL("sum","Item Ledger Entry","Quantity","Item No.",$D4141,"Entry Type","Sale|Consumption","posting date","01/01/20..12/31/20")/-12</t>
  </si>
  <si>
    <t>=NL("sum","Item Ledger Entry","Quantity","Item No.",$D4141,"Entry Type","Sale|Consumption","posting date","01/01/21..12/31/21")/-12</t>
  </si>
  <si>
    <t>=NL("sum","Item Ledger Entry","Quantity","Item No.",$D4141,"Entry Type","Sale|Consumption","posting date","01/01/22..12/31/22")/-12</t>
  </si>
  <si>
    <t>=NL("sum","Item Ledger Entry","Quantity","Item No.",$D4141,"Entry Type","Sale|Consumption","posting date","01/01/23..12/31/23")/$J$7</t>
  </si>
  <si>
    <t>=AVERAGE(I4141:J4141)</t>
  </si>
  <si>
    <t>=NL(1,"item",L$9,"no.",D4141)</t>
  </si>
  <si>
    <t>=NL(1,"item",M$9,"no.",$D4141)</t>
  </si>
  <si>
    <t>=NL(1,"item","Units Per Parcel","no.",$D4141)</t>
  </si>
  <si>
    <t>=NL(1,"Prod. BOM Equipment","Fixed Prod. Time (Hours)","Production BOM No.",$D4141,"version code",$E4141,"Resource No.",O$9)</t>
  </si>
  <si>
    <t>=1/O4141</t>
  </si>
  <si>
    <t>=IF(NL(1,"Prod. BOM Equipment","Variable Prod. Time (Hours)","Production BOM No.",$D4141,"version code",$E4141,"Resource No.",$O$9)="",1,NL(1,"Prod. BOM Equipment","Variable Prod. Time (Hours)","Production BOM No.",$D4141,"version code",$E4141,"Resource No.",$O$9))</t>
  </si>
  <si>
    <t>=1/Q4141</t>
  </si>
  <si>
    <t>=R4141*N4141</t>
  </si>
  <si>
    <t>=IF(K4142=0,"hide","")</t>
  </si>
  <si>
    <t>=D4141</t>
  </si>
  <si>
    <t>=NL("sum","Production Order","Quantity","Source No.",$D4142,"Equipment Code",$L4142,"due date",F$8)/-12</t>
  </si>
  <si>
    <t>=NL("sum","Production Order","Quantity","Source No.",$D4142,"Equipment Code",$L4142,"due date",G$8)/-12</t>
  </si>
  <si>
    <t>=NL("sum","Production Order","Quantity","Source No.",$D4142,"Equipment Code",$L4142,"due date",H$8)/-12</t>
  </si>
  <si>
    <t>=NL("sum","Production Order","Quantity","Source No.",$D4142,"Equipment Code",$L4142,"due date",I$8)/-12</t>
  </si>
  <si>
    <t>=NL("sum","Production Order","Quantity","Source No.",$D4142,"Equipment Code",$L4142,"due date",J$8)/$J$7</t>
  </si>
  <si>
    <t>=AVERAGE(I4142:J4142)</t>
  </si>
  <si>
    <t>=IF(K4143=0,"hide","")</t>
  </si>
  <si>
    <t>=D4142</t>
  </si>
  <si>
    <t>=NL("sum","Production Order","Quantity","Source No.",$D4143,"Equipment Code",$L4143,"due date",F$8)/-12</t>
  </si>
  <si>
    <t>=NL("sum","Production Order","Quantity","Source No.",$D4143,"Equipment Code",$L4143,"due date",G$8)/-12</t>
  </si>
  <si>
    <t>=NL("sum","Production Order","Quantity","Source No.",$D4143,"Equipment Code",$L4143,"due date",H$8)/-12</t>
  </si>
  <si>
    <t>=NL("sum","Production Order","Quantity","Source No.",$D4143,"Equipment Code",$L4143,"due date",I$8)/-12</t>
  </si>
  <si>
    <t>=NL("sum","Production Order","Quantity","Source No.",$D4143,"Equipment Code",$L4143,"due date",J$8)/$J$7</t>
  </si>
  <si>
    <t>=AVERAGE(I4143:J4143)</t>
  </si>
  <si>
    <t>=IF(K4144=0,"hide","")</t>
  </si>
  <si>
    <t>=D4143</t>
  </si>
  <si>
    <t>=NL("sum","Production Order","Quantity","Source No.",$D4144,"Equipment Code",$L4144,"due date",F$8)/-12</t>
  </si>
  <si>
    <t>=NL("sum","Production Order","Quantity","Source No.",$D4144,"Equipment Code",$L4144,"due date",G$8)/-12</t>
  </si>
  <si>
    <t>=NL("sum","Production Order","Quantity","Source No.",$D4144,"Equipment Code",$L4144,"due date",H$8)/-12</t>
  </si>
  <si>
    <t>=NL("sum","Production Order","Quantity","Source No.",$D4144,"Equipment Code",$L4144,"due date",I$8)/-12</t>
  </si>
  <si>
    <t>=NL("sum","Production Order","Quantity","Source No.",$D4144,"Equipment Code",$L4144,"due date",J$8)/$J$7</t>
  </si>
  <si>
    <t>=AVERAGE(I4144:J4144)</t>
  </si>
  <si>
    <t>=IF(K4145=0,"hide","")</t>
  </si>
  <si>
    <t>=D4144</t>
  </si>
  <si>
    <t>=NL("sum","Production Order","Quantity","Source No.",$D4145,"Equipment Code",$L4145,"due date",F$8)/-12</t>
  </si>
  <si>
    <t>=NL("sum","Production Order","Quantity","Source No.",$D4145,"Equipment Code",$L4145,"due date",G$8)/-12</t>
  </si>
  <si>
    <t>=NL("sum","Production Order","Quantity","Source No.",$D4145,"Equipment Code",$L4145,"due date",H$8)/-12</t>
  </si>
  <si>
    <t>=NL("sum","Production Order","Quantity","Source No.",$D4145,"Equipment Code",$L4145,"due date",I$8)/-12</t>
  </si>
  <si>
    <t>=NL("sum","Production Order","Quantity","Source No.",$D4145,"Equipment Code",$L4145,"due date",J$8)/$J$7</t>
  </si>
  <si>
    <t>=AVERAGE(I4145:J4145)</t>
  </si>
  <si>
    <t>=B4142</t>
  </si>
  <si>
    <t>=B4146</t>
  </si>
  <si>
    <t>=SUM(F4142:F4146)</t>
  </si>
  <si>
    <t>=SUM(G4142:G4146)</t>
  </si>
  <si>
    <t>=SUM(H4142:H4146)</t>
  </si>
  <si>
    <t>=SUM(I4142:I4146)</t>
  </si>
  <si>
    <t>=SUM(J4142:J4146)</t>
  </si>
  <si>
    <t>=IF(K4148=0,"hide","")</t>
  </si>
  <si>
    <t>=NL("rows","Production BOM Version","Version Code","Production BOM No.",D4148,"status","certified")</t>
  </si>
  <si>
    <t>=NL("sum","Item Ledger Entry","Quantity","Item No.",$D4148,"Entry Type","Sale|Consumption","posting date","01/01/19..12/31/19")/-12</t>
  </si>
  <si>
    <t>=NL("sum","Item Ledger Entry","Quantity","Item No.",$D4148,"Entry Type","Sale|Consumption","posting date","01/01/20..12/31/20")/-12</t>
  </si>
  <si>
    <t>=NL("sum","Item Ledger Entry","Quantity","Item No.",$D4148,"Entry Type","Sale|Consumption","posting date","01/01/21..12/31/21")/-12</t>
  </si>
  <si>
    <t>=NL("sum","Item Ledger Entry","Quantity","Item No.",$D4148,"Entry Type","Sale|Consumption","posting date","01/01/22..12/31/22")/-12</t>
  </si>
  <si>
    <t>=NL("sum","Item Ledger Entry","Quantity","Item No.",$D4148,"Entry Type","Sale|Consumption","posting date","01/01/23..12/31/23")/$J$7</t>
  </si>
  <si>
    <t>=AVERAGE(I4148:J4148)</t>
  </si>
  <si>
    <t>=NL(1,"item",L$9,"no.",D4148)</t>
  </si>
  <si>
    <t>=NL(1,"item",M$9,"no.",$D4148)</t>
  </si>
  <si>
    <t>=NL(1,"item","Units Per Parcel","no.",$D4148)</t>
  </si>
  <si>
    <t>=NL(1,"Prod. BOM Equipment","Fixed Prod. Time (Hours)","Production BOM No.",$D4148,"version code",$E4148,"Resource No.",O$9)</t>
  </si>
  <si>
    <t>=1/O4148</t>
  </si>
  <si>
    <t>=IF(NL(1,"Prod. BOM Equipment","Variable Prod. Time (Hours)","Production BOM No.",$D4148,"version code",$E4148,"Resource No.",$O$9)="",1,NL(1,"Prod. BOM Equipment","Variable Prod. Time (Hours)","Production BOM No.",$D4148,"version code",$E4148,"Resource No.",$O$9))</t>
  </si>
  <si>
    <t>=1/Q4148</t>
  </si>
  <si>
    <t>=R4148*N4148</t>
  </si>
  <si>
    <t>=IF(K4149=0,"hide","")</t>
  </si>
  <si>
    <t>=D4148</t>
  </si>
  <si>
    <t>=NL("sum","Production Order","Quantity","Source No.",$D4149,"Equipment Code",$L4149,"due date",F$8)/-12</t>
  </si>
  <si>
    <t>=NL("sum","Production Order","Quantity","Source No.",$D4149,"Equipment Code",$L4149,"due date",G$8)/-12</t>
  </si>
  <si>
    <t>=NL("sum","Production Order","Quantity","Source No.",$D4149,"Equipment Code",$L4149,"due date",H$8)/-12</t>
  </si>
  <si>
    <t>=NL("sum","Production Order","Quantity","Source No.",$D4149,"Equipment Code",$L4149,"due date",I$8)/-12</t>
  </si>
  <si>
    <t>=NL("sum","Production Order","Quantity","Source No.",$D4149,"Equipment Code",$L4149,"due date",J$8)/$J$7</t>
  </si>
  <si>
    <t>=AVERAGE(I4149:J4149)</t>
  </si>
  <si>
    <t>=IF(K4150=0,"hide","")</t>
  </si>
  <si>
    <t>=D4149</t>
  </si>
  <si>
    <t>=NL("sum","Production Order","Quantity","Source No.",$D4150,"Equipment Code",$L4150,"due date",F$8)/-12</t>
  </si>
  <si>
    <t>=NL("sum","Production Order","Quantity","Source No.",$D4150,"Equipment Code",$L4150,"due date",G$8)/-12</t>
  </si>
  <si>
    <t>=NL("sum","Production Order","Quantity","Source No.",$D4150,"Equipment Code",$L4150,"due date",H$8)/-12</t>
  </si>
  <si>
    <t>=NL("sum","Production Order","Quantity","Source No.",$D4150,"Equipment Code",$L4150,"due date",I$8)/-12</t>
  </si>
  <si>
    <t>=NL("sum","Production Order","Quantity","Source No.",$D4150,"Equipment Code",$L4150,"due date",J$8)/$J$7</t>
  </si>
  <si>
    <t>=AVERAGE(I4150:J4150)</t>
  </si>
  <si>
    <t>=IF(K4151=0,"hide","")</t>
  </si>
  <si>
    <t>=D4150</t>
  </si>
  <si>
    <t>=NL("sum","Production Order","Quantity","Source No.",$D4151,"Equipment Code",$L4151,"due date",F$8)/-12</t>
  </si>
  <si>
    <t>=NL("sum","Production Order","Quantity","Source No.",$D4151,"Equipment Code",$L4151,"due date",G$8)/-12</t>
  </si>
  <si>
    <t>=NL("sum","Production Order","Quantity","Source No.",$D4151,"Equipment Code",$L4151,"due date",H$8)/-12</t>
  </si>
  <si>
    <t>=NL("sum","Production Order","Quantity","Source No.",$D4151,"Equipment Code",$L4151,"due date",I$8)/-12</t>
  </si>
  <si>
    <t>=NL("sum","Production Order","Quantity","Source No.",$D4151,"Equipment Code",$L4151,"due date",J$8)/$J$7</t>
  </si>
  <si>
    <t>=AVERAGE(I4151:J4151)</t>
  </si>
  <si>
    <t>=IF(K4152=0,"hide","")</t>
  </si>
  <si>
    <t>=D4151</t>
  </si>
  <si>
    <t>=NL("sum","Production Order","Quantity","Source No.",$D4152,"Equipment Code",$L4152,"due date",F$8)/-12</t>
  </si>
  <si>
    <t>=NL("sum","Production Order","Quantity","Source No.",$D4152,"Equipment Code",$L4152,"due date",G$8)/-12</t>
  </si>
  <si>
    <t>=NL("sum","Production Order","Quantity","Source No.",$D4152,"Equipment Code",$L4152,"due date",H$8)/-12</t>
  </si>
  <si>
    <t>=NL("sum","Production Order","Quantity","Source No.",$D4152,"Equipment Code",$L4152,"due date",I$8)/-12</t>
  </si>
  <si>
    <t>=NL("sum","Production Order","Quantity","Source No.",$D4152,"Equipment Code",$L4152,"due date",J$8)/$J$7</t>
  </si>
  <si>
    <t>=AVERAGE(I4152:J4152)</t>
  </si>
  <si>
    <t>=B4149</t>
  </si>
  <si>
    <t>=B4153</t>
  </si>
  <si>
    <t>=SUM(F4149:F4153)</t>
  </si>
  <si>
    <t>=SUM(G4149:G4153)</t>
  </si>
  <si>
    <t>=SUM(H4149:H4153)</t>
  </si>
  <si>
    <t>=SUM(I4149:I4153)</t>
  </si>
  <si>
    <t>=SUM(J4149:J4153)</t>
  </si>
  <si>
    <t>=IF(K4155=0,"hide","")</t>
  </si>
  <si>
    <t>=NL("rows","Production BOM Version","Version Code","Production BOM No.",D4155,"status","certified")</t>
  </si>
  <si>
    <t>=NL("sum","Item Ledger Entry","Quantity","Item No.",$D4155,"Entry Type","Sale|Consumption","posting date","01/01/19..12/31/19")/-12</t>
  </si>
  <si>
    <t>=NL("sum","Item Ledger Entry","Quantity","Item No.",$D4155,"Entry Type","Sale|Consumption","posting date","01/01/20..12/31/20")/-12</t>
  </si>
  <si>
    <t>=NL("sum","Item Ledger Entry","Quantity","Item No.",$D4155,"Entry Type","Sale|Consumption","posting date","01/01/21..12/31/21")/-12</t>
  </si>
  <si>
    <t>=NL("sum","Item Ledger Entry","Quantity","Item No.",$D4155,"Entry Type","Sale|Consumption","posting date","01/01/22..12/31/22")/-12</t>
  </si>
  <si>
    <t>=NL("sum","Item Ledger Entry","Quantity","Item No.",$D4155,"Entry Type","Sale|Consumption","posting date","01/01/23..12/31/23")/$J$7</t>
  </si>
  <si>
    <t>=AVERAGE(I4155:J4155)</t>
  </si>
  <si>
    <t>=NL(1,"item",L$9,"no.",D4155)</t>
  </si>
  <si>
    <t>=NL(1,"item",M$9,"no.",$D4155)</t>
  </si>
  <si>
    <t>=NL(1,"item","Units Per Parcel","no.",$D4155)</t>
  </si>
  <si>
    <t>=NL(1,"Prod. BOM Equipment","Fixed Prod. Time (Hours)","Production BOM No.",$D4155,"version code",$E4155,"Resource No.",O$9)</t>
  </si>
  <si>
    <t>=1/O4155</t>
  </si>
  <si>
    <t>=IF(NL(1,"Prod. BOM Equipment","Variable Prod. Time (Hours)","Production BOM No.",$D4155,"version code",$E4155,"Resource No.",$O$9)="",1,NL(1,"Prod. BOM Equipment","Variable Prod. Time (Hours)","Production BOM No.",$D4155,"version code",$E4155,"Resource No.",$O$9))</t>
  </si>
  <si>
    <t>=1/Q4155</t>
  </si>
  <si>
    <t>=R4155*N4155</t>
  </si>
  <si>
    <t>=IF(K4156=0,"hide","")</t>
  </si>
  <si>
    <t>=D4155</t>
  </si>
  <si>
    <t>=NL("sum","Production Order","Quantity","Source No.",$D4156,"Equipment Code",$L4156,"due date",F$8)/-12</t>
  </si>
  <si>
    <t>=NL("sum","Production Order","Quantity","Source No.",$D4156,"Equipment Code",$L4156,"due date",G$8)/-12</t>
  </si>
  <si>
    <t>=NL("sum","Production Order","Quantity","Source No.",$D4156,"Equipment Code",$L4156,"due date",H$8)/-12</t>
  </si>
  <si>
    <t>=NL("sum","Production Order","Quantity","Source No.",$D4156,"Equipment Code",$L4156,"due date",I$8)/-12</t>
  </si>
  <si>
    <t>=NL("sum","Production Order","Quantity","Source No.",$D4156,"Equipment Code",$L4156,"due date",J$8)/$J$7</t>
  </si>
  <si>
    <t>=AVERAGE(I4156:J4156)</t>
  </si>
  <si>
    <t>=IF(K4157=0,"hide","")</t>
  </si>
  <si>
    <t>=D4156</t>
  </si>
  <si>
    <t>=NL("sum","Production Order","Quantity","Source No.",$D4157,"Equipment Code",$L4157,"due date",F$8)/-12</t>
  </si>
  <si>
    <t>=NL("sum","Production Order","Quantity","Source No.",$D4157,"Equipment Code",$L4157,"due date",G$8)/-12</t>
  </si>
  <si>
    <t>=NL("sum","Production Order","Quantity","Source No.",$D4157,"Equipment Code",$L4157,"due date",H$8)/-12</t>
  </si>
  <si>
    <t>=NL("sum","Production Order","Quantity","Source No.",$D4157,"Equipment Code",$L4157,"due date",I$8)/-12</t>
  </si>
  <si>
    <t>=NL("sum","Production Order","Quantity","Source No.",$D4157,"Equipment Code",$L4157,"due date",J$8)/$J$7</t>
  </si>
  <si>
    <t>=AVERAGE(I4157:J4157)</t>
  </si>
  <si>
    <t>=IF(K4158=0,"hide","")</t>
  </si>
  <si>
    <t>=D4157</t>
  </si>
  <si>
    <t>=NL("sum","Production Order","Quantity","Source No.",$D4158,"Equipment Code",$L4158,"due date",F$8)/-12</t>
  </si>
  <si>
    <t>=NL("sum","Production Order","Quantity","Source No.",$D4158,"Equipment Code",$L4158,"due date",G$8)/-12</t>
  </si>
  <si>
    <t>=NL("sum","Production Order","Quantity","Source No.",$D4158,"Equipment Code",$L4158,"due date",H$8)/-12</t>
  </si>
  <si>
    <t>=NL("sum","Production Order","Quantity","Source No.",$D4158,"Equipment Code",$L4158,"due date",I$8)/-12</t>
  </si>
  <si>
    <t>=NL("sum","Production Order","Quantity","Source No.",$D4158,"Equipment Code",$L4158,"due date",J$8)/$J$7</t>
  </si>
  <si>
    <t>=AVERAGE(I4158:J4158)</t>
  </si>
  <si>
    <t>=IF(K4159=0,"hide","")</t>
  </si>
  <si>
    <t>=D4158</t>
  </si>
  <si>
    <t>=NL("sum","Production Order","Quantity","Source No.",$D4159,"Equipment Code",$L4159,"due date",F$8)/-12</t>
  </si>
  <si>
    <t>=NL("sum","Production Order","Quantity","Source No.",$D4159,"Equipment Code",$L4159,"due date",G$8)/-12</t>
  </si>
  <si>
    <t>=NL("sum","Production Order","Quantity","Source No.",$D4159,"Equipment Code",$L4159,"due date",H$8)/-12</t>
  </si>
  <si>
    <t>=NL("sum","Production Order","Quantity","Source No.",$D4159,"Equipment Code",$L4159,"due date",I$8)/-12</t>
  </si>
  <si>
    <t>=NL("sum","Production Order","Quantity","Source No.",$D4159,"Equipment Code",$L4159,"due date",J$8)/$J$7</t>
  </si>
  <si>
    <t>=AVERAGE(I4159:J4159)</t>
  </si>
  <si>
    <t>=B4156</t>
  </si>
  <si>
    <t>=B4160</t>
  </si>
  <si>
    <t>=SUM(F4156:F4160)</t>
  </si>
  <si>
    <t>=SUM(G4156:G4160)</t>
  </si>
  <si>
    <t>=SUM(H4156:H4160)</t>
  </si>
  <si>
    <t>=SUM(I4156:I4160)</t>
  </si>
  <si>
    <t>=SUM(J4156:J4160)</t>
  </si>
  <si>
    <t>=IF(K4162=0,"hide","")</t>
  </si>
  <si>
    <t>=NL("rows","Production BOM Version","Version Code","Production BOM No.",D4162,"status","certified")</t>
  </si>
  <si>
    <t>=NL("sum","Item Ledger Entry","Quantity","Item No.",$D4162,"Entry Type","Sale|Consumption","posting date","01/01/19..12/31/19")/-12</t>
  </si>
  <si>
    <t>=NL("sum","Item Ledger Entry","Quantity","Item No.",$D4162,"Entry Type","Sale|Consumption","posting date","01/01/20..12/31/20")/-12</t>
  </si>
  <si>
    <t>=NL("sum","Item Ledger Entry","Quantity","Item No.",$D4162,"Entry Type","Sale|Consumption","posting date","01/01/21..12/31/21")/-12</t>
  </si>
  <si>
    <t>=NL("sum","Item Ledger Entry","Quantity","Item No.",$D4162,"Entry Type","Sale|Consumption","posting date","01/01/22..12/31/22")/-12</t>
  </si>
  <si>
    <t>=NL("sum","Item Ledger Entry","Quantity","Item No.",$D4162,"Entry Type","Sale|Consumption","posting date","01/01/23..12/31/23")/$J$7</t>
  </si>
  <si>
    <t>=AVERAGE(I4162:J4162)</t>
  </si>
  <si>
    <t>=NL(1,"item",L$9,"no.",D4162)</t>
  </si>
  <si>
    <t>=NL(1,"item",M$9,"no.",$D4162)</t>
  </si>
  <si>
    <t>=NL(1,"item","Units Per Parcel","no.",$D4162)</t>
  </si>
  <si>
    <t>=NL(1,"Prod. BOM Equipment","Fixed Prod. Time (Hours)","Production BOM No.",$D4162,"version code",$E4162,"Resource No.",O$9)</t>
  </si>
  <si>
    <t>=1/O4162</t>
  </si>
  <si>
    <t>=IF(NL(1,"Prod. BOM Equipment","Variable Prod. Time (Hours)","Production BOM No.",$D4162,"version code",$E4162,"Resource No.",$O$9)="",1,NL(1,"Prod. BOM Equipment","Variable Prod. Time (Hours)","Production BOM No.",$D4162,"version code",$E4162,"Resource No.",$O$9))</t>
  </si>
  <si>
    <t>=1/Q4162</t>
  </si>
  <si>
    <t>=R4162*N4162</t>
  </si>
  <si>
    <t>=IF(K4163=0,"hide","")</t>
  </si>
  <si>
    <t>=D4162</t>
  </si>
  <si>
    <t>=NL("sum","Production Order","Quantity","Source No.",$D4163,"Equipment Code",$L4163,"due date",F$8)/-12</t>
  </si>
  <si>
    <t>=NL("sum","Production Order","Quantity","Source No.",$D4163,"Equipment Code",$L4163,"due date",G$8)/-12</t>
  </si>
  <si>
    <t>=NL("sum","Production Order","Quantity","Source No.",$D4163,"Equipment Code",$L4163,"due date",H$8)/-12</t>
  </si>
  <si>
    <t>=NL("sum","Production Order","Quantity","Source No.",$D4163,"Equipment Code",$L4163,"due date",I$8)/-12</t>
  </si>
  <si>
    <t>=NL("sum","Production Order","Quantity","Source No.",$D4163,"Equipment Code",$L4163,"due date",J$8)/$J$7</t>
  </si>
  <si>
    <t>=AVERAGE(I4163:J4163)</t>
  </si>
  <si>
    <t>=IF(K4164=0,"hide","")</t>
  </si>
  <si>
    <t>=D4163</t>
  </si>
  <si>
    <t>=NL("sum","Production Order","Quantity","Source No.",$D4164,"Equipment Code",$L4164,"due date",F$8)/-12</t>
  </si>
  <si>
    <t>=NL("sum","Production Order","Quantity","Source No.",$D4164,"Equipment Code",$L4164,"due date",G$8)/-12</t>
  </si>
  <si>
    <t>=NL("sum","Production Order","Quantity","Source No.",$D4164,"Equipment Code",$L4164,"due date",H$8)/-12</t>
  </si>
  <si>
    <t>=NL("sum","Production Order","Quantity","Source No.",$D4164,"Equipment Code",$L4164,"due date",I$8)/-12</t>
  </si>
  <si>
    <t>=NL("sum","Production Order","Quantity","Source No.",$D4164,"Equipment Code",$L4164,"due date",J$8)/$J$7</t>
  </si>
  <si>
    <t>=AVERAGE(I4164:J4164)</t>
  </si>
  <si>
    <t>=IF(K4165=0,"hide","")</t>
  </si>
  <si>
    <t>=D4164</t>
  </si>
  <si>
    <t>=NL("sum","Production Order","Quantity","Source No.",$D4165,"Equipment Code",$L4165,"due date",F$8)/-12</t>
  </si>
  <si>
    <t>=NL("sum","Production Order","Quantity","Source No.",$D4165,"Equipment Code",$L4165,"due date",G$8)/-12</t>
  </si>
  <si>
    <t>=NL("sum","Production Order","Quantity","Source No.",$D4165,"Equipment Code",$L4165,"due date",H$8)/-12</t>
  </si>
  <si>
    <t>=NL("sum","Production Order","Quantity","Source No.",$D4165,"Equipment Code",$L4165,"due date",I$8)/-12</t>
  </si>
  <si>
    <t>=NL("sum","Production Order","Quantity","Source No.",$D4165,"Equipment Code",$L4165,"due date",J$8)/$J$7</t>
  </si>
  <si>
    <t>=AVERAGE(I4165:J4165)</t>
  </si>
  <si>
    <t>=IF(K4166=0,"hide","")</t>
  </si>
  <si>
    <t>=D4165</t>
  </si>
  <si>
    <t>=NL("sum","Production Order","Quantity","Source No.",$D4166,"Equipment Code",$L4166,"due date",F$8)/-12</t>
  </si>
  <si>
    <t>=NL("sum","Production Order","Quantity","Source No.",$D4166,"Equipment Code",$L4166,"due date",G$8)/-12</t>
  </si>
  <si>
    <t>=NL("sum","Production Order","Quantity","Source No.",$D4166,"Equipment Code",$L4166,"due date",H$8)/-12</t>
  </si>
  <si>
    <t>=NL("sum","Production Order","Quantity","Source No.",$D4166,"Equipment Code",$L4166,"due date",I$8)/-12</t>
  </si>
  <si>
    <t>=NL("sum","Production Order","Quantity","Source No.",$D4166,"Equipment Code",$L4166,"due date",J$8)/$J$7</t>
  </si>
  <si>
    <t>=AVERAGE(I4166:J4166)</t>
  </si>
  <si>
    <t>=B4163</t>
  </si>
  <si>
    <t>=B4167</t>
  </si>
  <si>
    <t>=SUM(F4163:F4167)</t>
  </si>
  <si>
    <t>=SUM(G4163:G4167)</t>
  </si>
  <si>
    <t>=SUM(H4163:H4167)</t>
  </si>
  <si>
    <t>=SUM(I4163:I4167)</t>
  </si>
  <si>
    <t>=SUM(J4163:J4167)</t>
  </si>
  <si>
    <t>=IF(K4169=0,"hide","")</t>
  </si>
  <si>
    <t>="57340"</t>
  </si>
  <si>
    <t>=NL("rows","Production BOM Version","Version Code","Production BOM No.",D4169,"status","certified")</t>
  </si>
  <si>
    <t>=NL("sum","Item Ledger Entry","Quantity","Item No.",$D4169,"Entry Type","Sale|Consumption","posting date","01/01/19..12/31/19")/-12</t>
  </si>
  <si>
    <t>=NL("sum","Item Ledger Entry","Quantity","Item No.",$D4169,"Entry Type","Sale|Consumption","posting date","01/01/20..12/31/20")/-12</t>
  </si>
  <si>
    <t>=NL("sum","Item Ledger Entry","Quantity","Item No.",$D4169,"Entry Type","Sale|Consumption","posting date","01/01/21..12/31/21")/-12</t>
  </si>
  <si>
    <t>=NL("sum","Item Ledger Entry","Quantity","Item No.",$D4169,"Entry Type","Sale|Consumption","posting date","01/01/22..12/31/22")/-12</t>
  </si>
  <si>
    <t>=NL("sum","Item Ledger Entry","Quantity","Item No.",$D4169,"Entry Type","Sale|Consumption","posting date","01/01/23..12/31/23")/$J$7</t>
  </si>
  <si>
    <t>=AVERAGE(I4169:J4169)</t>
  </si>
  <si>
    <t>=NL(1,"item",L$9,"no.",D4169)</t>
  </si>
  <si>
    <t>=NL(1,"item",M$9,"no.",$D4169)</t>
  </si>
  <si>
    <t>=NL(1,"item","Units Per Parcel","no.",$D4169)</t>
  </si>
  <si>
    <t>=NL(1,"Prod. BOM Equipment","Fixed Prod. Time (Hours)","Production BOM No.",$D4169,"version code",$E4169,"Resource No.",O$9)</t>
  </si>
  <si>
    <t>=1/O4169</t>
  </si>
  <si>
    <t>=IF(NL(1,"Prod. BOM Equipment","Variable Prod. Time (Hours)","Production BOM No.",$D4169,"version code",$E4169,"Resource No.",$O$9)="",1,NL(1,"Prod. BOM Equipment","Variable Prod. Time (Hours)","Production BOM No.",$D4169,"version code",$E4169,"Resource No.",$O$9))</t>
  </si>
  <si>
    <t>=1/Q4169</t>
  </si>
  <si>
    <t>=R4169*N4169</t>
  </si>
  <si>
    <t>=IF(K4170=0,"hide","")</t>
  </si>
  <si>
    <t>=D4169</t>
  </si>
  <si>
    <t>=NL("sum","Production Order","Quantity","Source No.",$D4170,"Equipment Code",$L4170,"due date",F$8)/-12</t>
  </si>
  <si>
    <t>=NL("sum","Production Order","Quantity","Source No.",$D4170,"Equipment Code",$L4170,"due date",G$8)/-12</t>
  </si>
  <si>
    <t>=NL("sum","Production Order","Quantity","Source No.",$D4170,"Equipment Code",$L4170,"due date",H$8)/-12</t>
  </si>
  <si>
    <t>=NL("sum","Production Order","Quantity","Source No.",$D4170,"Equipment Code",$L4170,"due date",I$8)/-12</t>
  </si>
  <si>
    <t>=NL("sum","Production Order","Quantity","Source No.",$D4170,"Equipment Code",$L4170,"due date",J$8)/$J$7</t>
  </si>
  <si>
    <t>=AVERAGE(I4170:J4170)</t>
  </si>
  <si>
    <t>=IF(K4171=0,"hide","")</t>
  </si>
  <si>
    <t>=D4170</t>
  </si>
  <si>
    <t>=NL("sum","Production Order","Quantity","Source No.",$D4171,"Equipment Code",$L4171,"due date",F$8)/-12</t>
  </si>
  <si>
    <t>=NL("sum","Production Order","Quantity","Source No.",$D4171,"Equipment Code",$L4171,"due date",G$8)/-12</t>
  </si>
  <si>
    <t>=NL("sum","Production Order","Quantity","Source No.",$D4171,"Equipment Code",$L4171,"due date",H$8)/-12</t>
  </si>
  <si>
    <t>=NL("sum","Production Order","Quantity","Source No.",$D4171,"Equipment Code",$L4171,"due date",I$8)/-12</t>
  </si>
  <si>
    <t>=NL("sum","Production Order","Quantity","Source No.",$D4171,"Equipment Code",$L4171,"due date",J$8)/$J$7</t>
  </si>
  <si>
    <t>=AVERAGE(I4171:J4171)</t>
  </si>
  <si>
    <t>=IF(K4172=0,"hide","")</t>
  </si>
  <si>
    <t>=D4171</t>
  </si>
  <si>
    <t>=NL("sum","Production Order","Quantity","Source No.",$D4172,"Equipment Code",$L4172,"due date",F$8)/-12</t>
  </si>
  <si>
    <t>=NL("sum","Production Order","Quantity","Source No.",$D4172,"Equipment Code",$L4172,"due date",G$8)/-12</t>
  </si>
  <si>
    <t>=NL("sum","Production Order","Quantity","Source No.",$D4172,"Equipment Code",$L4172,"due date",H$8)/-12</t>
  </si>
  <si>
    <t>=NL("sum","Production Order","Quantity","Source No.",$D4172,"Equipment Code",$L4172,"due date",I$8)/-12</t>
  </si>
  <si>
    <t>=NL("sum","Production Order","Quantity","Source No.",$D4172,"Equipment Code",$L4172,"due date",J$8)/$J$7</t>
  </si>
  <si>
    <t>=AVERAGE(I4172:J4172)</t>
  </si>
  <si>
    <t>=IF(K4173=0,"hide","")</t>
  </si>
  <si>
    <t>=D4172</t>
  </si>
  <si>
    <t>=NL("sum","Production Order","Quantity","Source No.",$D4173,"Equipment Code",$L4173,"due date",F$8)/-12</t>
  </si>
  <si>
    <t>=NL("sum","Production Order","Quantity","Source No.",$D4173,"Equipment Code",$L4173,"due date",G$8)/-12</t>
  </si>
  <si>
    <t>=NL("sum","Production Order","Quantity","Source No.",$D4173,"Equipment Code",$L4173,"due date",H$8)/-12</t>
  </si>
  <si>
    <t>=NL("sum","Production Order","Quantity","Source No.",$D4173,"Equipment Code",$L4173,"due date",I$8)/-12</t>
  </si>
  <si>
    <t>=NL("sum","Production Order","Quantity","Source No.",$D4173,"Equipment Code",$L4173,"due date",J$8)/$J$7</t>
  </si>
  <si>
    <t>=AVERAGE(I4173:J4173)</t>
  </si>
  <si>
    <t>=B4170</t>
  </si>
  <si>
    <t>=B4174</t>
  </si>
  <si>
    <t>=SUM(F4170:F4174)</t>
  </si>
  <si>
    <t>=SUM(G4170:G4174)</t>
  </si>
  <si>
    <t>=SUM(H4170:H4174)</t>
  </si>
  <si>
    <t>=SUM(I4170:I4174)</t>
  </si>
  <si>
    <t>=SUM(J4170:J4174)</t>
  </si>
  <si>
    <t>=IF(K4176=0,"hide","")</t>
  </si>
  <si>
    <t>=NL("rows","Production BOM Version","Version Code","Production BOM No.",D4176,"status","certified")</t>
  </si>
  <si>
    <t>=NL("sum","Item Ledger Entry","Quantity","Item No.",$D4176,"Entry Type","Sale|Consumption","posting date","01/01/19..12/31/19")/-12</t>
  </si>
  <si>
    <t>=NL("sum","Item Ledger Entry","Quantity","Item No.",$D4176,"Entry Type","Sale|Consumption","posting date","01/01/20..12/31/20")/-12</t>
  </si>
  <si>
    <t>=NL("sum","Item Ledger Entry","Quantity","Item No.",$D4176,"Entry Type","Sale|Consumption","posting date","01/01/21..12/31/21")/-12</t>
  </si>
  <si>
    <t>=NL("sum","Item Ledger Entry","Quantity","Item No.",$D4176,"Entry Type","Sale|Consumption","posting date","01/01/22..12/31/22")/-12</t>
  </si>
  <si>
    <t>=NL("sum","Item Ledger Entry","Quantity","Item No.",$D4176,"Entry Type","Sale|Consumption","posting date","01/01/23..12/31/23")/$J$7</t>
  </si>
  <si>
    <t>=AVERAGE(I4176:J4176)</t>
  </si>
  <si>
    <t>=NL(1,"item",L$9,"no.",D4176)</t>
  </si>
  <si>
    <t>=NL(1,"item",M$9,"no.",$D4176)</t>
  </si>
  <si>
    <t>=NL(1,"item","Units Per Parcel","no.",$D4176)</t>
  </si>
  <si>
    <t>=NL(1,"Prod. BOM Equipment","Fixed Prod. Time (Hours)","Production BOM No.",$D4176,"version code",$E4176,"Resource No.",O$9)</t>
  </si>
  <si>
    <t>=1/O4176</t>
  </si>
  <si>
    <t>=IF(NL(1,"Prod. BOM Equipment","Variable Prod. Time (Hours)","Production BOM No.",$D4176,"version code",$E4176,"Resource No.",$O$9)="",1,NL(1,"Prod. BOM Equipment","Variable Prod. Time (Hours)","Production BOM No.",$D4176,"version code",$E4176,"Resource No.",$O$9))</t>
  </si>
  <si>
    <t>=1/Q4176</t>
  </si>
  <si>
    <t>=R4176*N4176</t>
  </si>
  <si>
    <t>=IF(K4177=0,"hide","")</t>
  </si>
  <si>
    <t>=D4176</t>
  </si>
  <si>
    <t>=NL("sum","Production Order","Quantity","Source No.",$D4177,"Equipment Code",$L4177,"due date",F$8)/-12</t>
  </si>
  <si>
    <t>=NL("sum","Production Order","Quantity","Source No.",$D4177,"Equipment Code",$L4177,"due date",G$8)/-12</t>
  </si>
  <si>
    <t>=NL("sum","Production Order","Quantity","Source No.",$D4177,"Equipment Code",$L4177,"due date",H$8)/-12</t>
  </si>
  <si>
    <t>=NL("sum","Production Order","Quantity","Source No.",$D4177,"Equipment Code",$L4177,"due date",I$8)/-12</t>
  </si>
  <si>
    <t>=NL("sum","Production Order","Quantity","Source No.",$D4177,"Equipment Code",$L4177,"due date",J$8)/$J$7</t>
  </si>
  <si>
    <t>=AVERAGE(I4177:J4177)</t>
  </si>
  <si>
    <t>=IF(K4178=0,"hide","")</t>
  </si>
  <si>
    <t>=D4177</t>
  </si>
  <si>
    <t>=NL("sum","Production Order","Quantity","Source No.",$D4178,"Equipment Code",$L4178,"due date",F$8)/-12</t>
  </si>
  <si>
    <t>=NL("sum","Production Order","Quantity","Source No.",$D4178,"Equipment Code",$L4178,"due date",G$8)/-12</t>
  </si>
  <si>
    <t>=NL("sum","Production Order","Quantity","Source No.",$D4178,"Equipment Code",$L4178,"due date",H$8)/-12</t>
  </si>
  <si>
    <t>=NL("sum","Production Order","Quantity","Source No.",$D4178,"Equipment Code",$L4178,"due date",I$8)/-12</t>
  </si>
  <si>
    <t>=NL("sum","Production Order","Quantity","Source No.",$D4178,"Equipment Code",$L4178,"due date",J$8)/$J$7</t>
  </si>
  <si>
    <t>=AVERAGE(I4178:J4178)</t>
  </si>
  <si>
    <t>=IF(K4179=0,"hide","")</t>
  </si>
  <si>
    <t>=D4178</t>
  </si>
  <si>
    <t>=NL("sum","Production Order","Quantity","Source No.",$D4179,"Equipment Code",$L4179,"due date",F$8)/-12</t>
  </si>
  <si>
    <t>=NL("sum","Production Order","Quantity","Source No.",$D4179,"Equipment Code",$L4179,"due date",G$8)/-12</t>
  </si>
  <si>
    <t>=NL("sum","Production Order","Quantity","Source No.",$D4179,"Equipment Code",$L4179,"due date",H$8)/-12</t>
  </si>
  <si>
    <t>=NL("sum","Production Order","Quantity","Source No.",$D4179,"Equipment Code",$L4179,"due date",I$8)/-12</t>
  </si>
  <si>
    <t>=NL("sum","Production Order","Quantity","Source No.",$D4179,"Equipment Code",$L4179,"due date",J$8)/$J$7</t>
  </si>
  <si>
    <t>=AVERAGE(I4179:J4179)</t>
  </si>
  <si>
    <t>=IF(K4180=0,"hide","")</t>
  </si>
  <si>
    <t>=D4179</t>
  </si>
  <si>
    <t>=NL("sum","Production Order","Quantity","Source No.",$D4180,"Equipment Code",$L4180,"due date",F$8)/-12</t>
  </si>
  <si>
    <t>=NL("sum","Production Order","Quantity","Source No.",$D4180,"Equipment Code",$L4180,"due date",G$8)/-12</t>
  </si>
  <si>
    <t>=NL("sum","Production Order","Quantity","Source No.",$D4180,"Equipment Code",$L4180,"due date",H$8)/-12</t>
  </si>
  <si>
    <t>=NL("sum","Production Order","Quantity","Source No.",$D4180,"Equipment Code",$L4180,"due date",I$8)/-12</t>
  </si>
  <si>
    <t>=NL("sum","Production Order","Quantity","Source No.",$D4180,"Equipment Code",$L4180,"due date",J$8)/$J$7</t>
  </si>
  <si>
    <t>=AVERAGE(I4180:J4180)</t>
  </si>
  <si>
    <t>=B4177</t>
  </si>
  <si>
    <t>=B4181</t>
  </si>
  <si>
    <t>=SUM(F4177:F4181)</t>
  </si>
  <si>
    <t>=SUM(G4177:G4181)</t>
  </si>
  <si>
    <t>=SUM(H4177:H4181)</t>
  </si>
  <si>
    <t>=SUM(I4177:I4181)</t>
  </si>
  <si>
    <t>=SUM(J4177:J4181)</t>
  </si>
  <si>
    <t>=IF(K4183=0,"hide","")</t>
  </si>
  <si>
    <t>="57534"</t>
  </si>
  <si>
    <t>=NL("rows","Production BOM Version","Version Code","Production BOM No.",D4183,"status","certified")</t>
  </si>
  <si>
    <t>=NL("sum","Item Ledger Entry","Quantity","Item No.",$D4183,"Entry Type","Sale|Consumption","posting date","01/01/19..12/31/19")/-12</t>
  </si>
  <si>
    <t>=NL("sum","Item Ledger Entry","Quantity","Item No.",$D4183,"Entry Type","Sale|Consumption","posting date","01/01/20..12/31/20")/-12</t>
  </si>
  <si>
    <t>=NL("sum","Item Ledger Entry","Quantity","Item No.",$D4183,"Entry Type","Sale|Consumption","posting date","01/01/21..12/31/21")/-12</t>
  </si>
  <si>
    <t>=NL("sum","Item Ledger Entry","Quantity","Item No.",$D4183,"Entry Type","Sale|Consumption","posting date","01/01/22..12/31/22")/-12</t>
  </si>
  <si>
    <t>=NL("sum","Item Ledger Entry","Quantity","Item No.",$D4183,"Entry Type","Sale|Consumption","posting date","01/01/23..12/31/23")/$J$7</t>
  </si>
  <si>
    <t>=AVERAGE(I4183:J4183)</t>
  </si>
  <si>
    <t>=NL(1,"item",L$9,"no.",D4183)</t>
  </si>
  <si>
    <t>=NL(1,"item",M$9,"no.",$D4183)</t>
  </si>
  <si>
    <t>=NL(1,"item","Units Per Parcel","no.",$D4183)</t>
  </si>
  <si>
    <t>=NL(1,"Prod. BOM Equipment","Fixed Prod. Time (Hours)","Production BOM No.",$D4183,"version code",$E4183,"Resource No.",O$9)</t>
  </si>
  <si>
    <t>=1/O4183</t>
  </si>
  <si>
    <t>=IF(NL(1,"Prod. BOM Equipment","Variable Prod. Time (Hours)","Production BOM No.",$D4183,"version code",$E4183,"Resource No.",$O$9)="",1,NL(1,"Prod. BOM Equipment","Variable Prod. Time (Hours)","Production BOM No.",$D4183,"version code",$E4183,"Resource No.",$O$9))</t>
  </si>
  <si>
    <t>=1/Q4183</t>
  </si>
  <si>
    <t>=R4183*N4183</t>
  </si>
  <si>
    <t>=IF(K4184=0,"hide","")</t>
  </si>
  <si>
    <t>=D4183</t>
  </si>
  <si>
    <t>=NL("sum","Production Order","Quantity","Source No.",$D4184,"Equipment Code",$L4184,"due date",F$8)/-12</t>
  </si>
  <si>
    <t>=NL("sum","Production Order","Quantity","Source No.",$D4184,"Equipment Code",$L4184,"due date",G$8)/-12</t>
  </si>
  <si>
    <t>=NL("sum","Production Order","Quantity","Source No.",$D4184,"Equipment Code",$L4184,"due date",H$8)/-12</t>
  </si>
  <si>
    <t>=NL("sum","Production Order","Quantity","Source No.",$D4184,"Equipment Code",$L4184,"due date",I$8)/-12</t>
  </si>
  <si>
    <t>=NL("sum","Production Order","Quantity","Source No.",$D4184,"Equipment Code",$L4184,"due date",J$8)/$J$7</t>
  </si>
  <si>
    <t>=AVERAGE(I4184:J4184)</t>
  </si>
  <si>
    <t>=IF(K4185=0,"hide","")</t>
  </si>
  <si>
    <t>=D4184</t>
  </si>
  <si>
    <t>=NL("sum","Production Order","Quantity","Source No.",$D4185,"Equipment Code",$L4185,"due date",F$8)/-12</t>
  </si>
  <si>
    <t>=NL("sum","Production Order","Quantity","Source No.",$D4185,"Equipment Code",$L4185,"due date",G$8)/-12</t>
  </si>
  <si>
    <t>=NL("sum","Production Order","Quantity","Source No.",$D4185,"Equipment Code",$L4185,"due date",H$8)/-12</t>
  </si>
  <si>
    <t>=NL("sum","Production Order","Quantity","Source No.",$D4185,"Equipment Code",$L4185,"due date",I$8)/-12</t>
  </si>
  <si>
    <t>=NL("sum","Production Order","Quantity","Source No.",$D4185,"Equipment Code",$L4185,"due date",J$8)/$J$7</t>
  </si>
  <si>
    <t>=AVERAGE(I4185:J4185)</t>
  </si>
  <si>
    <t>=IF(K4186=0,"hide","")</t>
  </si>
  <si>
    <t>=D4185</t>
  </si>
  <si>
    <t>=NL("sum","Production Order","Quantity","Source No.",$D4186,"Equipment Code",$L4186,"due date",F$8)/-12</t>
  </si>
  <si>
    <t>=NL("sum","Production Order","Quantity","Source No.",$D4186,"Equipment Code",$L4186,"due date",G$8)/-12</t>
  </si>
  <si>
    <t>=NL("sum","Production Order","Quantity","Source No.",$D4186,"Equipment Code",$L4186,"due date",H$8)/-12</t>
  </si>
  <si>
    <t>=NL("sum","Production Order","Quantity","Source No.",$D4186,"Equipment Code",$L4186,"due date",I$8)/-12</t>
  </si>
  <si>
    <t>=NL("sum","Production Order","Quantity","Source No.",$D4186,"Equipment Code",$L4186,"due date",J$8)/$J$7</t>
  </si>
  <si>
    <t>=AVERAGE(I4186:J4186)</t>
  </si>
  <si>
    <t>=IF(K4187=0,"hide","")</t>
  </si>
  <si>
    <t>=D4186</t>
  </si>
  <si>
    <t>=NL("sum","Production Order","Quantity","Source No.",$D4187,"Equipment Code",$L4187,"due date",F$8)/-12</t>
  </si>
  <si>
    <t>=NL("sum","Production Order","Quantity","Source No.",$D4187,"Equipment Code",$L4187,"due date",G$8)/-12</t>
  </si>
  <si>
    <t>=NL("sum","Production Order","Quantity","Source No.",$D4187,"Equipment Code",$L4187,"due date",H$8)/-12</t>
  </si>
  <si>
    <t>=NL("sum","Production Order","Quantity","Source No.",$D4187,"Equipment Code",$L4187,"due date",I$8)/-12</t>
  </si>
  <si>
    <t>=NL("sum","Production Order","Quantity","Source No.",$D4187,"Equipment Code",$L4187,"due date",J$8)/$J$7</t>
  </si>
  <si>
    <t>=AVERAGE(I4187:J4187)</t>
  </si>
  <si>
    <t>=B4184</t>
  </si>
  <si>
    <t>=B4188</t>
  </si>
  <si>
    <t>=SUM(F4184:F4188)</t>
  </si>
  <si>
    <t>=SUM(G4184:G4188)</t>
  </si>
  <si>
    <t>=SUM(H4184:H4188)</t>
  </si>
  <si>
    <t>=SUM(I4184:I4188)</t>
  </si>
  <si>
    <t>=SUM(J4184:J4188)</t>
  </si>
  <si>
    <t>=IF(K4190=0,"hide","")</t>
  </si>
  <si>
    <t>="57554"</t>
  </si>
  <si>
    <t>=NL("rows","Production BOM Version","Version Code","Production BOM No.",D4190,"status","certified")</t>
  </si>
  <si>
    <t>=NL("sum","Item Ledger Entry","Quantity","Item No.",$D4190,"Entry Type","Sale|Consumption","posting date","01/01/19..12/31/19")/-12</t>
  </si>
  <si>
    <t>=NL("sum","Item Ledger Entry","Quantity","Item No.",$D4190,"Entry Type","Sale|Consumption","posting date","01/01/20..12/31/20")/-12</t>
  </si>
  <si>
    <t>=NL("sum","Item Ledger Entry","Quantity","Item No.",$D4190,"Entry Type","Sale|Consumption","posting date","01/01/21..12/31/21")/-12</t>
  </si>
  <si>
    <t>=NL("sum","Item Ledger Entry","Quantity","Item No.",$D4190,"Entry Type","Sale|Consumption","posting date","01/01/22..12/31/22")/-12</t>
  </si>
  <si>
    <t>=NL("sum","Item Ledger Entry","Quantity","Item No.",$D4190,"Entry Type","Sale|Consumption","posting date","01/01/23..12/31/23")/$J$7</t>
  </si>
  <si>
    <t>=AVERAGE(I4190:J4190)</t>
  </si>
  <si>
    <t>=NL(1,"item",L$9,"no.",D4190)</t>
  </si>
  <si>
    <t>=NL(1,"item",M$9,"no.",$D4190)</t>
  </si>
  <si>
    <t>=NL(1,"item","Units Per Parcel","no.",$D4190)</t>
  </si>
  <si>
    <t>=NL(1,"Prod. BOM Equipment","Fixed Prod. Time (Hours)","Production BOM No.",$D4190,"version code",$E4190,"Resource No.",O$9)</t>
  </si>
  <si>
    <t>=1/O4190</t>
  </si>
  <si>
    <t>=IF(NL(1,"Prod. BOM Equipment","Variable Prod. Time (Hours)","Production BOM No.",$D4190,"version code",$E4190,"Resource No.",$O$9)="",1,NL(1,"Prod. BOM Equipment","Variable Prod. Time (Hours)","Production BOM No.",$D4190,"version code",$E4190,"Resource No.",$O$9))</t>
  </si>
  <si>
    <t>=1/Q4190</t>
  </si>
  <si>
    <t>=R4190*N4190</t>
  </si>
  <si>
    <t>=IF(K4191=0,"hide","")</t>
  </si>
  <si>
    <t>=D4190</t>
  </si>
  <si>
    <t>=NL("sum","Production Order","Quantity","Source No.",$D4191,"Equipment Code",$L4191,"due date",F$8)/-12</t>
  </si>
  <si>
    <t>=NL("sum","Production Order","Quantity","Source No.",$D4191,"Equipment Code",$L4191,"due date",G$8)/-12</t>
  </si>
  <si>
    <t>=NL("sum","Production Order","Quantity","Source No.",$D4191,"Equipment Code",$L4191,"due date",H$8)/-12</t>
  </si>
  <si>
    <t>=NL("sum","Production Order","Quantity","Source No.",$D4191,"Equipment Code",$L4191,"due date",I$8)/-12</t>
  </si>
  <si>
    <t>=NL("sum","Production Order","Quantity","Source No.",$D4191,"Equipment Code",$L4191,"due date",J$8)/$J$7</t>
  </si>
  <si>
    <t>=AVERAGE(I4191:J4191)</t>
  </si>
  <si>
    <t>=IF(K4192=0,"hide","")</t>
  </si>
  <si>
    <t>=D4191</t>
  </si>
  <si>
    <t>=NL("sum","Production Order","Quantity","Source No.",$D4192,"Equipment Code",$L4192,"due date",F$8)/-12</t>
  </si>
  <si>
    <t>=NL("sum","Production Order","Quantity","Source No.",$D4192,"Equipment Code",$L4192,"due date",G$8)/-12</t>
  </si>
  <si>
    <t>=NL("sum","Production Order","Quantity","Source No.",$D4192,"Equipment Code",$L4192,"due date",H$8)/-12</t>
  </si>
  <si>
    <t>=NL("sum","Production Order","Quantity","Source No.",$D4192,"Equipment Code",$L4192,"due date",I$8)/-12</t>
  </si>
  <si>
    <t>=NL("sum","Production Order","Quantity","Source No.",$D4192,"Equipment Code",$L4192,"due date",J$8)/$J$7</t>
  </si>
  <si>
    <t>=AVERAGE(I4192:J4192)</t>
  </si>
  <si>
    <t>=IF(K4193=0,"hide","")</t>
  </si>
  <si>
    <t>=D4192</t>
  </si>
  <si>
    <t>=NL("sum","Production Order","Quantity","Source No.",$D4193,"Equipment Code",$L4193,"due date",F$8)/-12</t>
  </si>
  <si>
    <t>=NL("sum","Production Order","Quantity","Source No.",$D4193,"Equipment Code",$L4193,"due date",G$8)/-12</t>
  </si>
  <si>
    <t>=NL("sum","Production Order","Quantity","Source No.",$D4193,"Equipment Code",$L4193,"due date",H$8)/-12</t>
  </si>
  <si>
    <t>=NL("sum","Production Order","Quantity","Source No.",$D4193,"Equipment Code",$L4193,"due date",I$8)/-12</t>
  </si>
  <si>
    <t>=NL("sum","Production Order","Quantity","Source No.",$D4193,"Equipment Code",$L4193,"due date",J$8)/$J$7</t>
  </si>
  <si>
    <t>=AVERAGE(I4193:J4193)</t>
  </si>
  <si>
    <t>=IF(K4194=0,"hide","")</t>
  </si>
  <si>
    <t>=D4193</t>
  </si>
  <si>
    <t>=NL("sum","Production Order","Quantity","Source No.",$D4194,"Equipment Code",$L4194,"due date",F$8)/-12</t>
  </si>
  <si>
    <t>=NL("sum","Production Order","Quantity","Source No.",$D4194,"Equipment Code",$L4194,"due date",G$8)/-12</t>
  </si>
  <si>
    <t>=NL("sum","Production Order","Quantity","Source No.",$D4194,"Equipment Code",$L4194,"due date",H$8)/-12</t>
  </si>
  <si>
    <t>=NL("sum","Production Order","Quantity","Source No.",$D4194,"Equipment Code",$L4194,"due date",I$8)/-12</t>
  </si>
  <si>
    <t>=NL("sum","Production Order","Quantity","Source No.",$D4194,"Equipment Code",$L4194,"due date",J$8)/$J$7</t>
  </si>
  <si>
    <t>=AVERAGE(I4194:J4194)</t>
  </si>
  <si>
    <t>=B4191</t>
  </si>
  <si>
    <t>=B4195</t>
  </si>
  <si>
    <t>=SUM(F4191:F4195)</t>
  </si>
  <si>
    <t>=SUM(G4191:G4195)</t>
  </si>
  <si>
    <t>=SUM(H4191:H4195)</t>
  </si>
  <si>
    <t>=SUM(I4191:I4195)</t>
  </si>
  <si>
    <t>=SUM(J4191:J4195)</t>
  </si>
  <si>
    <t>=IF(K4197=0,"hide","")</t>
  </si>
  <si>
    <t>="57564"</t>
  </si>
  <si>
    <t>=NL("rows","Production BOM Version","Version Code","Production BOM No.",D4197,"status","certified")</t>
  </si>
  <si>
    <t>=NL("sum","Item Ledger Entry","Quantity","Item No.",$D4197,"Entry Type","Sale|Consumption","posting date","01/01/19..12/31/19")/-12</t>
  </si>
  <si>
    <t>=NL("sum","Item Ledger Entry","Quantity","Item No.",$D4197,"Entry Type","Sale|Consumption","posting date","01/01/20..12/31/20")/-12</t>
  </si>
  <si>
    <t>=NL("sum","Item Ledger Entry","Quantity","Item No.",$D4197,"Entry Type","Sale|Consumption","posting date","01/01/21..12/31/21")/-12</t>
  </si>
  <si>
    <t>=NL("sum","Item Ledger Entry","Quantity","Item No.",$D4197,"Entry Type","Sale|Consumption","posting date","01/01/22..12/31/22")/-12</t>
  </si>
  <si>
    <t>=NL("sum","Item Ledger Entry","Quantity","Item No.",$D4197,"Entry Type","Sale|Consumption","posting date","01/01/23..12/31/23")/$J$7</t>
  </si>
  <si>
    <t>=AVERAGE(I4197:J4197)</t>
  </si>
  <si>
    <t>=NL(1,"item",L$9,"no.",D4197)</t>
  </si>
  <si>
    <t>=NL(1,"item",M$9,"no.",$D4197)</t>
  </si>
  <si>
    <t>=NL(1,"item","Units Per Parcel","no.",$D4197)</t>
  </si>
  <si>
    <t>=NL(1,"Prod. BOM Equipment","Fixed Prod. Time (Hours)","Production BOM No.",$D4197,"version code",$E4197,"Resource No.",O$9)</t>
  </si>
  <si>
    <t>=1/O4197</t>
  </si>
  <si>
    <t>=IF(NL(1,"Prod. BOM Equipment","Variable Prod. Time (Hours)","Production BOM No.",$D4197,"version code",$E4197,"Resource No.",$O$9)="",1,NL(1,"Prod. BOM Equipment","Variable Prod. Time (Hours)","Production BOM No.",$D4197,"version code",$E4197,"Resource No.",$O$9))</t>
  </si>
  <si>
    <t>=1/Q4197</t>
  </si>
  <si>
    <t>=R4197*N4197</t>
  </si>
  <si>
    <t>=IF(K4198=0,"hide","")</t>
  </si>
  <si>
    <t>=D4197</t>
  </si>
  <si>
    <t>=NL("sum","Production Order","Quantity","Source No.",$D4198,"Equipment Code",$L4198,"due date",F$8)/-12</t>
  </si>
  <si>
    <t>=NL("sum","Production Order","Quantity","Source No.",$D4198,"Equipment Code",$L4198,"due date",G$8)/-12</t>
  </si>
  <si>
    <t>=NL("sum","Production Order","Quantity","Source No.",$D4198,"Equipment Code",$L4198,"due date",H$8)/-12</t>
  </si>
  <si>
    <t>=NL("sum","Production Order","Quantity","Source No.",$D4198,"Equipment Code",$L4198,"due date",I$8)/-12</t>
  </si>
  <si>
    <t>=NL("sum","Production Order","Quantity","Source No.",$D4198,"Equipment Code",$L4198,"due date",J$8)/$J$7</t>
  </si>
  <si>
    <t>=AVERAGE(I4198:J4198)</t>
  </si>
  <si>
    <t>=IF(K4199=0,"hide","")</t>
  </si>
  <si>
    <t>=D4198</t>
  </si>
  <si>
    <t>=NL("sum","Production Order","Quantity","Source No.",$D4199,"Equipment Code",$L4199,"due date",F$8)/-12</t>
  </si>
  <si>
    <t>=NL("sum","Production Order","Quantity","Source No.",$D4199,"Equipment Code",$L4199,"due date",G$8)/-12</t>
  </si>
  <si>
    <t>=NL("sum","Production Order","Quantity","Source No.",$D4199,"Equipment Code",$L4199,"due date",H$8)/-12</t>
  </si>
  <si>
    <t>=NL("sum","Production Order","Quantity","Source No.",$D4199,"Equipment Code",$L4199,"due date",I$8)/-12</t>
  </si>
  <si>
    <t>=NL("sum","Production Order","Quantity","Source No.",$D4199,"Equipment Code",$L4199,"due date",J$8)/$J$7</t>
  </si>
  <si>
    <t>=AVERAGE(I4199:J4199)</t>
  </si>
  <si>
    <t>=IF(K4200=0,"hide","")</t>
  </si>
  <si>
    <t>=D4199</t>
  </si>
  <si>
    <t>=NL("sum","Production Order","Quantity","Source No.",$D4200,"Equipment Code",$L4200,"due date",F$8)/-12</t>
  </si>
  <si>
    <t>=NL("sum","Production Order","Quantity","Source No.",$D4200,"Equipment Code",$L4200,"due date",G$8)/-12</t>
  </si>
  <si>
    <t>=NL("sum","Production Order","Quantity","Source No.",$D4200,"Equipment Code",$L4200,"due date",H$8)/-12</t>
  </si>
  <si>
    <t>=NL("sum","Production Order","Quantity","Source No.",$D4200,"Equipment Code",$L4200,"due date",I$8)/-12</t>
  </si>
  <si>
    <t>=NL("sum","Production Order","Quantity","Source No.",$D4200,"Equipment Code",$L4200,"due date",J$8)/$J$7</t>
  </si>
  <si>
    <t>=AVERAGE(I4200:J4200)</t>
  </si>
  <si>
    <t>=IF(K4201=0,"hide","")</t>
  </si>
  <si>
    <t>=D4200</t>
  </si>
  <si>
    <t>=NL("sum","Production Order","Quantity","Source No.",$D4201,"Equipment Code",$L4201,"due date",F$8)/-12</t>
  </si>
  <si>
    <t>=NL("sum","Production Order","Quantity","Source No.",$D4201,"Equipment Code",$L4201,"due date",G$8)/-12</t>
  </si>
  <si>
    <t>=NL("sum","Production Order","Quantity","Source No.",$D4201,"Equipment Code",$L4201,"due date",H$8)/-12</t>
  </si>
  <si>
    <t>=NL("sum","Production Order","Quantity","Source No.",$D4201,"Equipment Code",$L4201,"due date",I$8)/-12</t>
  </si>
  <si>
    <t>=NL("sum","Production Order","Quantity","Source No.",$D4201,"Equipment Code",$L4201,"due date",J$8)/$J$7</t>
  </si>
  <si>
    <t>=AVERAGE(I4201:J4201)</t>
  </si>
  <si>
    <t>=B4198</t>
  </si>
  <si>
    <t>=B4202</t>
  </si>
  <si>
    <t>=SUM(F4198:F4202)</t>
  </si>
  <si>
    <t>=SUM(G4198:G4202)</t>
  </si>
  <si>
    <t>=SUM(H4198:H4202)</t>
  </si>
  <si>
    <t>=SUM(I4198:I4202)</t>
  </si>
  <si>
    <t>=SUM(J4198:J4202)</t>
  </si>
  <si>
    <t>=IF(K4204=0,"hide","")</t>
  </si>
  <si>
    <t>="57576"</t>
  </si>
  <si>
    <t>=NL("rows","Production BOM Version","Version Code","Production BOM No.",D4204,"status","certified")</t>
  </si>
  <si>
    <t>=NL("sum","Item Ledger Entry","Quantity","Item No.",$D4204,"Entry Type","Sale|Consumption","posting date","01/01/19..12/31/19")/-12</t>
  </si>
  <si>
    <t>=NL("sum","Item Ledger Entry","Quantity","Item No.",$D4204,"Entry Type","Sale|Consumption","posting date","01/01/20..12/31/20")/-12</t>
  </si>
  <si>
    <t>=NL("sum","Item Ledger Entry","Quantity","Item No.",$D4204,"Entry Type","Sale|Consumption","posting date","01/01/21..12/31/21")/-12</t>
  </si>
  <si>
    <t>=NL("sum","Item Ledger Entry","Quantity","Item No.",$D4204,"Entry Type","Sale|Consumption","posting date","01/01/22..12/31/22")/-12</t>
  </si>
  <si>
    <t>=NL("sum","Item Ledger Entry","Quantity","Item No.",$D4204,"Entry Type","Sale|Consumption","posting date","01/01/23..12/31/23")/$J$7</t>
  </si>
  <si>
    <t>=AVERAGE(I4204:J4204)</t>
  </si>
  <si>
    <t>=NL(1,"item",L$9,"no.",D4204)</t>
  </si>
  <si>
    <t>=NL(1,"item",M$9,"no.",$D4204)</t>
  </si>
  <si>
    <t>=NL(1,"item","Units Per Parcel","no.",$D4204)</t>
  </si>
  <si>
    <t>=NL(1,"Prod. BOM Equipment","Fixed Prod. Time (Hours)","Production BOM No.",$D4204,"version code",$E4204,"Resource No.",O$9)</t>
  </si>
  <si>
    <t>=1/O4204</t>
  </si>
  <si>
    <t>=IF(NL(1,"Prod. BOM Equipment","Variable Prod. Time (Hours)","Production BOM No.",$D4204,"version code",$E4204,"Resource No.",$O$9)="",1,NL(1,"Prod. BOM Equipment","Variable Prod. Time (Hours)","Production BOM No.",$D4204,"version code",$E4204,"Resource No.",$O$9))</t>
  </si>
  <si>
    <t>=1/Q4204</t>
  </si>
  <si>
    <t>=R4204*N4204</t>
  </si>
  <si>
    <t>=IF(K4205=0,"hide","")</t>
  </si>
  <si>
    <t>=D4204</t>
  </si>
  <si>
    <t>=NL("sum","Production Order","Quantity","Source No.",$D4205,"Equipment Code",$L4205,"due date",F$8)/-12</t>
  </si>
  <si>
    <t>=NL("sum","Production Order","Quantity","Source No.",$D4205,"Equipment Code",$L4205,"due date",G$8)/-12</t>
  </si>
  <si>
    <t>=NL("sum","Production Order","Quantity","Source No.",$D4205,"Equipment Code",$L4205,"due date",H$8)/-12</t>
  </si>
  <si>
    <t>=NL("sum","Production Order","Quantity","Source No.",$D4205,"Equipment Code",$L4205,"due date",I$8)/-12</t>
  </si>
  <si>
    <t>=NL("sum","Production Order","Quantity","Source No.",$D4205,"Equipment Code",$L4205,"due date",J$8)/$J$7</t>
  </si>
  <si>
    <t>=AVERAGE(I4205:J4205)</t>
  </si>
  <si>
    <t>=IF(K4206=0,"hide","")</t>
  </si>
  <si>
    <t>=D4205</t>
  </si>
  <si>
    <t>=NL("sum","Production Order","Quantity","Source No.",$D4206,"Equipment Code",$L4206,"due date",F$8)/-12</t>
  </si>
  <si>
    <t>=NL("sum","Production Order","Quantity","Source No.",$D4206,"Equipment Code",$L4206,"due date",G$8)/-12</t>
  </si>
  <si>
    <t>=NL("sum","Production Order","Quantity","Source No.",$D4206,"Equipment Code",$L4206,"due date",H$8)/-12</t>
  </si>
  <si>
    <t>=NL("sum","Production Order","Quantity","Source No.",$D4206,"Equipment Code",$L4206,"due date",I$8)/-12</t>
  </si>
  <si>
    <t>=NL("sum","Production Order","Quantity","Source No.",$D4206,"Equipment Code",$L4206,"due date",J$8)/$J$7</t>
  </si>
  <si>
    <t>=AVERAGE(I4206:J4206)</t>
  </si>
  <si>
    <t>=IF(K4207=0,"hide","")</t>
  </si>
  <si>
    <t>=D4206</t>
  </si>
  <si>
    <t>=NL("sum","Production Order","Quantity","Source No.",$D4207,"Equipment Code",$L4207,"due date",F$8)/-12</t>
  </si>
  <si>
    <t>=NL("sum","Production Order","Quantity","Source No.",$D4207,"Equipment Code",$L4207,"due date",G$8)/-12</t>
  </si>
  <si>
    <t>=NL("sum","Production Order","Quantity","Source No.",$D4207,"Equipment Code",$L4207,"due date",H$8)/-12</t>
  </si>
  <si>
    <t>=NL("sum","Production Order","Quantity","Source No.",$D4207,"Equipment Code",$L4207,"due date",I$8)/-12</t>
  </si>
  <si>
    <t>=NL("sum","Production Order","Quantity","Source No.",$D4207,"Equipment Code",$L4207,"due date",J$8)/$J$7</t>
  </si>
  <si>
    <t>=AVERAGE(I4207:J4207)</t>
  </si>
  <si>
    <t>=IF(K4208=0,"hide","")</t>
  </si>
  <si>
    <t>=D4207</t>
  </si>
  <si>
    <t>=NL("sum","Production Order","Quantity","Source No.",$D4208,"Equipment Code",$L4208,"due date",F$8)/-12</t>
  </si>
  <si>
    <t>=NL("sum","Production Order","Quantity","Source No.",$D4208,"Equipment Code",$L4208,"due date",G$8)/-12</t>
  </si>
  <si>
    <t>=NL("sum","Production Order","Quantity","Source No.",$D4208,"Equipment Code",$L4208,"due date",H$8)/-12</t>
  </si>
  <si>
    <t>=NL("sum","Production Order","Quantity","Source No.",$D4208,"Equipment Code",$L4208,"due date",I$8)/-12</t>
  </si>
  <si>
    <t>=NL("sum","Production Order","Quantity","Source No.",$D4208,"Equipment Code",$L4208,"due date",J$8)/$J$7</t>
  </si>
  <si>
    <t>=AVERAGE(I4208:J4208)</t>
  </si>
  <si>
    <t>=B4205</t>
  </si>
  <si>
    <t>=B4209</t>
  </si>
  <si>
    <t>=SUM(F4205:F4209)</t>
  </si>
  <si>
    <t>=SUM(G4205:G4209)</t>
  </si>
  <si>
    <t>=SUM(H4205:H4209)</t>
  </si>
  <si>
    <t>=SUM(I4205:I4209)</t>
  </si>
  <si>
    <t>=SUM(J4205:J4209)</t>
  </si>
  <si>
    <t>=IF(K4211=0,"hide","")</t>
  </si>
  <si>
    <t>="57619"</t>
  </si>
  <si>
    <t>=NL("rows","Production BOM Version","Version Code","Production BOM No.",D4211,"status","certified")</t>
  </si>
  <si>
    <t>=NL("sum","Item Ledger Entry","Quantity","Item No.",$D4211,"Entry Type","Sale|Consumption","posting date","01/01/19..12/31/19")/-12</t>
  </si>
  <si>
    <t>=NL("sum","Item Ledger Entry","Quantity","Item No.",$D4211,"Entry Type","Sale|Consumption","posting date","01/01/20..12/31/20")/-12</t>
  </si>
  <si>
    <t>=NL("sum","Item Ledger Entry","Quantity","Item No.",$D4211,"Entry Type","Sale|Consumption","posting date","01/01/21..12/31/21")/-12</t>
  </si>
  <si>
    <t>=NL("sum","Item Ledger Entry","Quantity","Item No.",$D4211,"Entry Type","Sale|Consumption","posting date","01/01/22..12/31/22")/-12</t>
  </si>
  <si>
    <t>=NL("sum","Item Ledger Entry","Quantity","Item No.",$D4211,"Entry Type","Sale|Consumption","posting date","01/01/23..12/31/23")/$J$7</t>
  </si>
  <si>
    <t>=AVERAGE(I4211:J4211)</t>
  </si>
  <si>
    <t>=NL(1,"item",L$9,"no.",D4211)</t>
  </si>
  <si>
    <t>=NL(1,"item",M$9,"no.",$D4211)</t>
  </si>
  <si>
    <t>=NL(1,"item","Units Per Parcel","no.",$D4211)</t>
  </si>
  <si>
    <t>=NL(1,"Prod. BOM Equipment","Fixed Prod. Time (Hours)","Production BOM No.",$D4211,"version code",$E4211,"Resource No.",O$9)</t>
  </si>
  <si>
    <t>=1/O4211</t>
  </si>
  <si>
    <t>=IF(NL(1,"Prod. BOM Equipment","Variable Prod. Time (Hours)","Production BOM No.",$D4211,"version code",$E4211,"Resource No.",$O$9)="",1,NL(1,"Prod. BOM Equipment","Variable Prod. Time (Hours)","Production BOM No.",$D4211,"version code",$E4211,"Resource No.",$O$9))</t>
  </si>
  <si>
    <t>=1/Q4211</t>
  </si>
  <si>
    <t>=R4211*N4211</t>
  </si>
  <si>
    <t>=IF(K4212=0,"hide","")</t>
  </si>
  <si>
    <t>=D4211</t>
  </si>
  <si>
    <t>=NL("sum","Production Order","Quantity","Source No.",$D4212,"Equipment Code",$L4212,"due date",F$8)/-12</t>
  </si>
  <si>
    <t>=NL("sum","Production Order","Quantity","Source No.",$D4212,"Equipment Code",$L4212,"due date",G$8)/-12</t>
  </si>
  <si>
    <t>=NL("sum","Production Order","Quantity","Source No.",$D4212,"Equipment Code",$L4212,"due date",H$8)/-12</t>
  </si>
  <si>
    <t>=NL("sum","Production Order","Quantity","Source No.",$D4212,"Equipment Code",$L4212,"due date",I$8)/-12</t>
  </si>
  <si>
    <t>=NL("sum","Production Order","Quantity","Source No.",$D4212,"Equipment Code",$L4212,"due date",J$8)/$J$7</t>
  </si>
  <si>
    <t>=AVERAGE(I4212:J4212)</t>
  </si>
  <si>
    <t>=IF(K4213=0,"hide","")</t>
  </si>
  <si>
    <t>=D4212</t>
  </si>
  <si>
    <t>=NL("sum","Production Order","Quantity","Source No.",$D4213,"Equipment Code",$L4213,"due date",F$8)/-12</t>
  </si>
  <si>
    <t>=NL("sum","Production Order","Quantity","Source No.",$D4213,"Equipment Code",$L4213,"due date",G$8)/-12</t>
  </si>
  <si>
    <t>=NL("sum","Production Order","Quantity","Source No.",$D4213,"Equipment Code",$L4213,"due date",H$8)/-12</t>
  </si>
  <si>
    <t>=NL("sum","Production Order","Quantity","Source No.",$D4213,"Equipment Code",$L4213,"due date",I$8)/-12</t>
  </si>
  <si>
    <t>=NL("sum","Production Order","Quantity","Source No.",$D4213,"Equipment Code",$L4213,"due date",J$8)/$J$7</t>
  </si>
  <si>
    <t>=AVERAGE(I4213:J4213)</t>
  </si>
  <si>
    <t>=IF(K4214=0,"hide","")</t>
  </si>
  <si>
    <t>=D4213</t>
  </si>
  <si>
    <t>=NL("sum","Production Order","Quantity","Source No.",$D4214,"Equipment Code",$L4214,"due date",F$8)/-12</t>
  </si>
  <si>
    <t>=NL("sum","Production Order","Quantity","Source No.",$D4214,"Equipment Code",$L4214,"due date",G$8)/-12</t>
  </si>
  <si>
    <t>=NL("sum","Production Order","Quantity","Source No.",$D4214,"Equipment Code",$L4214,"due date",H$8)/-12</t>
  </si>
  <si>
    <t>=NL("sum","Production Order","Quantity","Source No.",$D4214,"Equipment Code",$L4214,"due date",I$8)/-12</t>
  </si>
  <si>
    <t>=NL("sum","Production Order","Quantity","Source No.",$D4214,"Equipment Code",$L4214,"due date",J$8)/$J$7</t>
  </si>
  <si>
    <t>=AVERAGE(I4214:J4214)</t>
  </si>
  <si>
    <t>=IF(K4215=0,"hide","")</t>
  </si>
  <si>
    <t>=D4214</t>
  </si>
  <si>
    <t>=NL("sum","Production Order","Quantity","Source No.",$D4215,"Equipment Code",$L4215,"due date",F$8)/-12</t>
  </si>
  <si>
    <t>=NL("sum","Production Order","Quantity","Source No.",$D4215,"Equipment Code",$L4215,"due date",G$8)/-12</t>
  </si>
  <si>
    <t>=NL("sum","Production Order","Quantity","Source No.",$D4215,"Equipment Code",$L4215,"due date",H$8)/-12</t>
  </si>
  <si>
    <t>=NL("sum","Production Order","Quantity","Source No.",$D4215,"Equipment Code",$L4215,"due date",I$8)/-12</t>
  </si>
  <si>
    <t>=NL("sum","Production Order","Quantity","Source No.",$D4215,"Equipment Code",$L4215,"due date",J$8)/$J$7</t>
  </si>
  <si>
    <t>=AVERAGE(I4215:J4215)</t>
  </si>
  <si>
    <t>=B4212</t>
  </si>
  <si>
    <t>=B4216</t>
  </si>
  <si>
    <t>=SUM(F4212:F4216)</t>
  </si>
  <si>
    <t>=SUM(G4212:G4216)</t>
  </si>
  <si>
    <t>=SUM(H4212:H4216)</t>
  </si>
  <si>
    <t>=SUM(I4212:I4216)</t>
  </si>
  <si>
    <t>=SUM(J4212:J4216)</t>
  </si>
  <si>
    <t>=IF(K4218=0,"hide","")</t>
  </si>
  <si>
    <t>=NL("rows","Production BOM Version","Version Code","Production BOM No.",D4218,"status","certified")</t>
  </si>
  <si>
    <t>=NL("sum","Item Ledger Entry","Quantity","Item No.",$D4218,"Entry Type","Sale|Consumption","posting date","01/01/19..12/31/19")/-12</t>
  </si>
  <si>
    <t>=NL("sum","Item Ledger Entry","Quantity","Item No.",$D4218,"Entry Type","Sale|Consumption","posting date","01/01/20..12/31/20")/-12</t>
  </si>
  <si>
    <t>=NL("sum","Item Ledger Entry","Quantity","Item No.",$D4218,"Entry Type","Sale|Consumption","posting date","01/01/21..12/31/21")/-12</t>
  </si>
  <si>
    <t>=NL("sum","Item Ledger Entry","Quantity","Item No.",$D4218,"Entry Type","Sale|Consumption","posting date","01/01/22..12/31/22")/-12</t>
  </si>
  <si>
    <t>=NL("sum","Item Ledger Entry","Quantity","Item No.",$D4218,"Entry Type","Sale|Consumption","posting date","01/01/23..12/31/23")/$J$7</t>
  </si>
  <si>
    <t>=AVERAGE(I4218:J4218)</t>
  </si>
  <si>
    <t>=NL(1,"item",L$9,"no.",D4218)</t>
  </si>
  <si>
    <t>=NL(1,"item",M$9,"no.",$D4218)</t>
  </si>
  <si>
    <t>=NL(1,"item","Units Per Parcel","no.",$D4218)</t>
  </si>
  <si>
    <t>=NL(1,"Prod. BOM Equipment","Fixed Prod. Time (Hours)","Production BOM No.",$D4218,"version code",$E4218,"Resource No.",O$9)</t>
  </si>
  <si>
    <t>=1/O4218</t>
  </si>
  <si>
    <t>=IF(NL(1,"Prod. BOM Equipment","Variable Prod. Time (Hours)","Production BOM No.",$D4218,"version code",$E4218,"Resource No.",$O$9)="",1,NL(1,"Prod. BOM Equipment","Variable Prod. Time (Hours)","Production BOM No.",$D4218,"version code",$E4218,"Resource No.",$O$9))</t>
  </si>
  <si>
    <t>=1/Q4218</t>
  </si>
  <si>
    <t>=R4218*N4218</t>
  </si>
  <si>
    <t>=IF(K4219=0,"hide","")</t>
  </si>
  <si>
    <t>=D4218</t>
  </si>
  <si>
    <t>=NL("sum","Production Order","Quantity","Source No.",$D4219,"Equipment Code",$L4219,"due date",F$8)/-12</t>
  </si>
  <si>
    <t>=NL("sum","Production Order","Quantity","Source No.",$D4219,"Equipment Code",$L4219,"due date",G$8)/-12</t>
  </si>
  <si>
    <t>=NL("sum","Production Order","Quantity","Source No.",$D4219,"Equipment Code",$L4219,"due date",H$8)/-12</t>
  </si>
  <si>
    <t>=NL("sum","Production Order","Quantity","Source No.",$D4219,"Equipment Code",$L4219,"due date",I$8)/-12</t>
  </si>
  <si>
    <t>=NL("sum","Production Order","Quantity","Source No.",$D4219,"Equipment Code",$L4219,"due date",J$8)/$J$7</t>
  </si>
  <si>
    <t>=AVERAGE(I4219:J4219)</t>
  </si>
  <si>
    <t>=IF(K4220=0,"hide","")</t>
  </si>
  <si>
    <t>=D4219</t>
  </si>
  <si>
    <t>=NL("sum","Production Order","Quantity","Source No.",$D4220,"Equipment Code",$L4220,"due date",F$8)/-12</t>
  </si>
  <si>
    <t>=NL("sum","Production Order","Quantity","Source No.",$D4220,"Equipment Code",$L4220,"due date",G$8)/-12</t>
  </si>
  <si>
    <t>=NL("sum","Production Order","Quantity","Source No.",$D4220,"Equipment Code",$L4220,"due date",H$8)/-12</t>
  </si>
  <si>
    <t>=NL("sum","Production Order","Quantity","Source No.",$D4220,"Equipment Code",$L4220,"due date",I$8)/-12</t>
  </si>
  <si>
    <t>=NL("sum","Production Order","Quantity","Source No.",$D4220,"Equipment Code",$L4220,"due date",J$8)/$J$7</t>
  </si>
  <si>
    <t>=AVERAGE(I4220:J4220)</t>
  </si>
  <si>
    <t>=IF(K4221=0,"hide","")</t>
  </si>
  <si>
    <t>=D4220</t>
  </si>
  <si>
    <t>=NL("sum","Production Order","Quantity","Source No.",$D4221,"Equipment Code",$L4221,"due date",F$8)/-12</t>
  </si>
  <si>
    <t>=NL("sum","Production Order","Quantity","Source No.",$D4221,"Equipment Code",$L4221,"due date",G$8)/-12</t>
  </si>
  <si>
    <t>=NL("sum","Production Order","Quantity","Source No.",$D4221,"Equipment Code",$L4221,"due date",H$8)/-12</t>
  </si>
  <si>
    <t>=NL("sum","Production Order","Quantity","Source No.",$D4221,"Equipment Code",$L4221,"due date",I$8)/-12</t>
  </si>
  <si>
    <t>=NL("sum","Production Order","Quantity","Source No.",$D4221,"Equipment Code",$L4221,"due date",J$8)/$J$7</t>
  </si>
  <si>
    <t>=AVERAGE(I4221:J4221)</t>
  </si>
  <si>
    <t>=IF(K4222=0,"hide","")</t>
  </si>
  <si>
    <t>=D4221</t>
  </si>
  <si>
    <t>=NL("sum","Production Order","Quantity","Source No.",$D4222,"Equipment Code",$L4222,"due date",F$8)/-12</t>
  </si>
  <si>
    <t>=NL("sum","Production Order","Quantity","Source No.",$D4222,"Equipment Code",$L4222,"due date",G$8)/-12</t>
  </si>
  <si>
    <t>=NL("sum","Production Order","Quantity","Source No.",$D4222,"Equipment Code",$L4222,"due date",H$8)/-12</t>
  </si>
  <si>
    <t>=NL("sum","Production Order","Quantity","Source No.",$D4222,"Equipment Code",$L4222,"due date",I$8)/-12</t>
  </si>
  <si>
    <t>=NL("sum","Production Order","Quantity","Source No.",$D4222,"Equipment Code",$L4222,"due date",J$8)/$J$7</t>
  </si>
  <si>
    <t>=AVERAGE(I4222:J4222)</t>
  </si>
  <si>
    <t>=B4219</t>
  </si>
  <si>
    <t>=B4223</t>
  </si>
  <si>
    <t>=SUM(F4219:F4223)</t>
  </si>
  <si>
    <t>=SUM(G4219:G4223)</t>
  </si>
  <si>
    <t>=SUM(H4219:H4223)</t>
  </si>
  <si>
    <t>=SUM(I4219:I4223)</t>
  </si>
  <si>
    <t>=SUM(J4219:J4223)</t>
  </si>
  <si>
    <t>=IF(K4225=0,"hide","")</t>
  </si>
  <si>
    <t>=NL("rows","Production BOM Version","Version Code","Production BOM No.",D4225,"status","certified")</t>
  </si>
  <si>
    <t>=NL("sum","Item Ledger Entry","Quantity","Item No.",$D4225,"Entry Type","Sale|Consumption","posting date","01/01/19..12/31/19")/-12</t>
  </si>
  <si>
    <t>=NL("sum","Item Ledger Entry","Quantity","Item No.",$D4225,"Entry Type","Sale|Consumption","posting date","01/01/20..12/31/20")/-12</t>
  </si>
  <si>
    <t>=NL("sum","Item Ledger Entry","Quantity","Item No.",$D4225,"Entry Type","Sale|Consumption","posting date","01/01/21..12/31/21")/-12</t>
  </si>
  <si>
    <t>=NL("sum","Item Ledger Entry","Quantity","Item No.",$D4225,"Entry Type","Sale|Consumption","posting date","01/01/22..12/31/22")/-12</t>
  </si>
  <si>
    <t>=NL("sum","Item Ledger Entry","Quantity","Item No.",$D4225,"Entry Type","Sale|Consumption","posting date","01/01/23..12/31/23")/$J$7</t>
  </si>
  <si>
    <t>=AVERAGE(I4225:J4225)</t>
  </si>
  <si>
    <t>=NL(1,"item",L$9,"no.",D4225)</t>
  </si>
  <si>
    <t>=NL(1,"item",M$9,"no.",$D4225)</t>
  </si>
  <si>
    <t>=NL(1,"item","Units Per Parcel","no.",$D4225)</t>
  </si>
  <si>
    <t>=NL(1,"Prod. BOM Equipment","Fixed Prod. Time (Hours)","Production BOM No.",$D4225,"version code",$E4225,"Resource No.",O$9)</t>
  </si>
  <si>
    <t>=1/O4225</t>
  </si>
  <si>
    <t>=IF(NL(1,"Prod. BOM Equipment","Variable Prod. Time (Hours)","Production BOM No.",$D4225,"version code",$E4225,"Resource No.",$O$9)="",1,NL(1,"Prod. BOM Equipment","Variable Prod. Time (Hours)","Production BOM No.",$D4225,"version code",$E4225,"Resource No.",$O$9))</t>
  </si>
  <si>
    <t>=1/Q4225</t>
  </si>
  <si>
    <t>=R4225*N4225</t>
  </si>
  <si>
    <t>=IF(K4226=0,"hide","")</t>
  </si>
  <si>
    <t>=D4225</t>
  </si>
  <si>
    <t>=NL("sum","Production Order","Quantity","Source No.",$D4226,"Equipment Code",$L4226,"due date",F$8)/-12</t>
  </si>
  <si>
    <t>=NL("sum","Production Order","Quantity","Source No.",$D4226,"Equipment Code",$L4226,"due date",G$8)/-12</t>
  </si>
  <si>
    <t>=NL("sum","Production Order","Quantity","Source No.",$D4226,"Equipment Code",$L4226,"due date",H$8)/-12</t>
  </si>
  <si>
    <t>=NL("sum","Production Order","Quantity","Source No.",$D4226,"Equipment Code",$L4226,"due date",I$8)/-12</t>
  </si>
  <si>
    <t>=NL("sum","Production Order","Quantity","Source No.",$D4226,"Equipment Code",$L4226,"due date",J$8)/$J$7</t>
  </si>
  <si>
    <t>=AVERAGE(I4226:J4226)</t>
  </si>
  <si>
    <t>=IF(K4227=0,"hide","")</t>
  </si>
  <si>
    <t>=D4226</t>
  </si>
  <si>
    <t>=NL("sum","Production Order","Quantity","Source No.",$D4227,"Equipment Code",$L4227,"due date",F$8)/-12</t>
  </si>
  <si>
    <t>=NL("sum","Production Order","Quantity","Source No.",$D4227,"Equipment Code",$L4227,"due date",G$8)/-12</t>
  </si>
  <si>
    <t>=NL("sum","Production Order","Quantity","Source No.",$D4227,"Equipment Code",$L4227,"due date",H$8)/-12</t>
  </si>
  <si>
    <t>=NL("sum","Production Order","Quantity","Source No.",$D4227,"Equipment Code",$L4227,"due date",I$8)/-12</t>
  </si>
  <si>
    <t>=NL("sum","Production Order","Quantity","Source No.",$D4227,"Equipment Code",$L4227,"due date",J$8)/$J$7</t>
  </si>
  <si>
    <t>=AVERAGE(I4227:J4227)</t>
  </si>
  <si>
    <t>=IF(K4228=0,"hide","")</t>
  </si>
  <si>
    <t>=D4227</t>
  </si>
  <si>
    <t>=NL("sum","Production Order","Quantity","Source No.",$D4228,"Equipment Code",$L4228,"due date",F$8)/-12</t>
  </si>
  <si>
    <t>=NL("sum","Production Order","Quantity","Source No.",$D4228,"Equipment Code",$L4228,"due date",G$8)/-12</t>
  </si>
  <si>
    <t>=NL("sum","Production Order","Quantity","Source No.",$D4228,"Equipment Code",$L4228,"due date",H$8)/-12</t>
  </si>
  <si>
    <t>=NL("sum","Production Order","Quantity","Source No.",$D4228,"Equipment Code",$L4228,"due date",I$8)/-12</t>
  </si>
  <si>
    <t>=NL("sum","Production Order","Quantity","Source No.",$D4228,"Equipment Code",$L4228,"due date",J$8)/$J$7</t>
  </si>
  <si>
    <t>=AVERAGE(I4228:J4228)</t>
  </si>
  <si>
    <t>=IF(K4229=0,"hide","")</t>
  </si>
  <si>
    <t>=D4228</t>
  </si>
  <si>
    <t>=NL("sum","Production Order","Quantity","Source No.",$D4229,"Equipment Code",$L4229,"due date",F$8)/-12</t>
  </si>
  <si>
    <t>=NL("sum","Production Order","Quantity","Source No.",$D4229,"Equipment Code",$L4229,"due date",G$8)/-12</t>
  </si>
  <si>
    <t>=NL("sum","Production Order","Quantity","Source No.",$D4229,"Equipment Code",$L4229,"due date",H$8)/-12</t>
  </si>
  <si>
    <t>=NL("sum","Production Order","Quantity","Source No.",$D4229,"Equipment Code",$L4229,"due date",I$8)/-12</t>
  </si>
  <si>
    <t>=NL("sum","Production Order","Quantity","Source No.",$D4229,"Equipment Code",$L4229,"due date",J$8)/$J$7</t>
  </si>
  <si>
    <t>=AVERAGE(I4229:J4229)</t>
  </si>
  <si>
    <t>=B4226</t>
  </si>
  <si>
    <t>=B4230</t>
  </si>
  <si>
    <t>=SUM(F4226:F4230)</t>
  </si>
  <si>
    <t>=SUM(G4226:G4230)</t>
  </si>
  <si>
    <t>=SUM(H4226:H4230)</t>
  </si>
  <si>
    <t>=SUM(I4226:I4230)</t>
  </si>
  <si>
    <t>=SUM(J4226:J4230)</t>
  </si>
  <si>
    <t>=IF(K4232=0,"hide","")</t>
  </si>
  <si>
    <t>=NL("rows","Production BOM Version","Version Code","Production BOM No.",D4232,"status","certified")</t>
  </si>
  <si>
    <t>=NL("sum","Item Ledger Entry","Quantity","Item No.",$D4232,"Entry Type","Sale|Consumption","posting date","01/01/19..12/31/19")/-12</t>
  </si>
  <si>
    <t>=NL("sum","Item Ledger Entry","Quantity","Item No.",$D4232,"Entry Type","Sale|Consumption","posting date","01/01/20..12/31/20")/-12</t>
  </si>
  <si>
    <t>=NL("sum","Item Ledger Entry","Quantity","Item No.",$D4232,"Entry Type","Sale|Consumption","posting date","01/01/21..12/31/21")/-12</t>
  </si>
  <si>
    <t>=NL("sum","Item Ledger Entry","Quantity","Item No.",$D4232,"Entry Type","Sale|Consumption","posting date","01/01/22..12/31/22")/-12</t>
  </si>
  <si>
    <t>=NL("sum","Item Ledger Entry","Quantity","Item No.",$D4232,"Entry Type","Sale|Consumption","posting date","01/01/23..12/31/23")/$J$7</t>
  </si>
  <si>
    <t>=AVERAGE(I4232:J4232)</t>
  </si>
  <si>
    <t>=NL(1,"item",L$9,"no.",D4232)</t>
  </si>
  <si>
    <t>=NL(1,"item",M$9,"no.",$D4232)</t>
  </si>
  <si>
    <t>=NL(1,"item","Units Per Parcel","no.",$D4232)</t>
  </si>
  <si>
    <t>=NL(1,"Prod. BOM Equipment","Fixed Prod. Time (Hours)","Production BOM No.",$D4232,"version code",$E4232,"Resource No.",O$9)</t>
  </si>
  <si>
    <t>=1/O4232</t>
  </si>
  <si>
    <t>=IF(NL(1,"Prod. BOM Equipment","Variable Prod. Time (Hours)","Production BOM No.",$D4232,"version code",$E4232,"Resource No.",$O$9)="",1,NL(1,"Prod. BOM Equipment","Variable Prod. Time (Hours)","Production BOM No.",$D4232,"version code",$E4232,"Resource No.",$O$9))</t>
  </si>
  <si>
    <t>=1/Q4232</t>
  </si>
  <si>
    <t>=R4232*N4232</t>
  </si>
  <si>
    <t>=IF(K4233=0,"hide","")</t>
  </si>
  <si>
    <t>=D4232</t>
  </si>
  <si>
    <t>=NL("sum","Production Order","Quantity","Source No.",$D4233,"Equipment Code",$L4233,"due date",F$8)/-12</t>
  </si>
  <si>
    <t>=NL("sum","Production Order","Quantity","Source No.",$D4233,"Equipment Code",$L4233,"due date",G$8)/-12</t>
  </si>
  <si>
    <t>=NL("sum","Production Order","Quantity","Source No.",$D4233,"Equipment Code",$L4233,"due date",H$8)/-12</t>
  </si>
  <si>
    <t>=NL("sum","Production Order","Quantity","Source No.",$D4233,"Equipment Code",$L4233,"due date",I$8)/-12</t>
  </si>
  <si>
    <t>=NL("sum","Production Order","Quantity","Source No.",$D4233,"Equipment Code",$L4233,"due date",J$8)/$J$7</t>
  </si>
  <si>
    <t>=AVERAGE(I4233:J4233)</t>
  </si>
  <si>
    <t>=IF(K4234=0,"hide","")</t>
  </si>
  <si>
    <t>=D4233</t>
  </si>
  <si>
    <t>=NL("sum","Production Order","Quantity","Source No.",$D4234,"Equipment Code",$L4234,"due date",F$8)/-12</t>
  </si>
  <si>
    <t>=NL("sum","Production Order","Quantity","Source No.",$D4234,"Equipment Code",$L4234,"due date",G$8)/-12</t>
  </si>
  <si>
    <t>=NL("sum","Production Order","Quantity","Source No.",$D4234,"Equipment Code",$L4234,"due date",H$8)/-12</t>
  </si>
  <si>
    <t>=NL("sum","Production Order","Quantity","Source No.",$D4234,"Equipment Code",$L4234,"due date",I$8)/-12</t>
  </si>
  <si>
    <t>=NL("sum","Production Order","Quantity","Source No.",$D4234,"Equipment Code",$L4234,"due date",J$8)/$J$7</t>
  </si>
  <si>
    <t>=AVERAGE(I4234:J4234)</t>
  </si>
  <si>
    <t>=IF(K4235=0,"hide","")</t>
  </si>
  <si>
    <t>=D4234</t>
  </si>
  <si>
    <t>=NL("sum","Production Order","Quantity","Source No.",$D4235,"Equipment Code",$L4235,"due date",F$8)/-12</t>
  </si>
  <si>
    <t>=NL("sum","Production Order","Quantity","Source No.",$D4235,"Equipment Code",$L4235,"due date",G$8)/-12</t>
  </si>
  <si>
    <t>=NL("sum","Production Order","Quantity","Source No.",$D4235,"Equipment Code",$L4235,"due date",H$8)/-12</t>
  </si>
  <si>
    <t>=NL("sum","Production Order","Quantity","Source No.",$D4235,"Equipment Code",$L4235,"due date",I$8)/-12</t>
  </si>
  <si>
    <t>=NL("sum","Production Order","Quantity","Source No.",$D4235,"Equipment Code",$L4235,"due date",J$8)/$J$7</t>
  </si>
  <si>
    <t>=AVERAGE(I4235:J4235)</t>
  </si>
  <si>
    <t>=IF(K4236=0,"hide","")</t>
  </si>
  <si>
    <t>=D4235</t>
  </si>
  <si>
    <t>=NL("sum","Production Order","Quantity","Source No.",$D4236,"Equipment Code",$L4236,"due date",F$8)/-12</t>
  </si>
  <si>
    <t>=NL("sum","Production Order","Quantity","Source No.",$D4236,"Equipment Code",$L4236,"due date",G$8)/-12</t>
  </si>
  <si>
    <t>=NL("sum","Production Order","Quantity","Source No.",$D4236,"Equipment Code",$L4236,"due date",H$8)/-12</t>
  </si>
  <si>
    <t>=NL("sum","Production Order","Quantity","Source No.",$D4236,"Equipment Code",$L4236,"due date",I$8)/-12</t>
  </si>
  <si>
    <t>=NL("sum","Production Order","Quantity","Source No.",$D4236,"Equipment Code",$L4236,"due date",J$8)/$J$7</t>
  </si>
  <si>
    <t>=AVERAGE(I4236:J4236)</t>
  </si>
  <si>
    <t>=B4233</t>
  </si>
  <si>
    <t>=B4237</t>
  </si>
  <si>
    <t>=SUM(F4233:F4237)</t>
  </si>
  <si>
    <t>=SUM(G4233:G4237)</t>
  </si>
  <si>
    <t>=SUM(H4233:H4237)</t>
  </si>
  <si>
    <t>=SUM(I4233:I4237)</t>
  </si>
  <si>
    <t>=SUM(J4233:J4237)</t>
  </si>
  <si>
    <t>=IF(K4239=0,"hide","")</t>
  </si>
  <si>
    <t>=NL("rows","Production BOM Version","Version Code","Production BOM No.",D4239,"status","certified")</t>
  </si>
  <si>
    <t>=NL("sum","Item Ledger Entry","Quantity","Item No.",$D4239,"Entry Type","Sale|Consumption","posting date","01/01/19..12/31/19")/-12</t>
  </si>
  <si>
    <t>=NL("sum","Item Ledger Entry","Quantity","Item No.",$D4239,"Entry Type","Sale|Consumption","posting date","01/01/20..12/31/20")/-12</t>
  </si>
  <si>
    <t>=NL("sum","Item Ledger Entry","Quantity","Item No.",$D4239,"Entry Type","Sale|Consumption","posting date","01/01/21..12/31/21")/-12</t>
  </si>
  <si>
    <t>=NL("sum","Item Ledger Entry","Quantity","Item No.",$D4239,"Entry Type","Sale|Consumption","posting date","01/01/22..12/31/22")/-12</t>
  </si>
  <si>
    <t>=NL("sum","Item Ledger Entry","Quantity","Item No.",$D4239,"Entry Type","Sale|Consumption","posting date","01/01/23..12/31/23")/$J$7</t>
  </si>
  <si>
    <t>=AVERAGE(I4239:J4239)</t>
  </si>
  <si>
    <t>=NL(1,"item",L$9,"no.",D4239)</t>
  </si>
  <si>
    <t>=NL(1,"item",M$9,"no.",$D4239)</t>
  </si>
  <si>
    <t>=NL(1,"item","Units Per Parcel","no.",$D4239)</t>
  </si>
  <si>
    <t>=NL(1,"Prod. BOM Equipment","Fixed Prod. Time (Hours)","Production BOM No.",$D4239,"version code",$E4239,"Resource No.",O$9)</t>
  </si>
  <si>
    <t>=1/O4239</t>
  </si>
  <si>
    <t>=IF(NL(1,"Prod. BOM Equipment","Variable Prod. Time (Hours)","Production BOM No.",$D4239,"version code",$E4239,"Resource No.",$O$9)="",1,NL(1,"Prod. BOM Equipment","Variable Prod. Time (Hours)","Production BOM No.",$D4239,"version code",$E4239,"Resource No.",$O$9))</t>
  </si>
  <si>
    <t>=1/Q4239</t>
  </si>
  <si>
    <t>=R4239*N4239</t>
  </si>
  <si>
    <t>=IF(K4240=0,"hide","")</t>
  </si>
  <si>
    <t>=D4239</t>
  </si>
  <si>
    <t>=NL("sum","Production Order","Quantity","Source No.",$D4240,"Equipment Code",$L4240,"due date",F$8)/-12</t>
  </si>
  <si>
    <t>=NL("sum","Production Order","Quantity","Source No.",$D4240,"Equipment Code",$L4240,"due date",G$8)/-12</t>
  </si>
  <si>
    <t>=NL("sum","Production Order","Quantity","Source No.",$D4240,"Equipment Code",$L4240,"due date",H$8)/-12</t>
  </si>
  <si>
    <t>=NL("sum","Production Order","Quantity","Source No.",$D4240,"Equipment Code",$L4240,"due date",I$8)/-12</t>
  </si>
  <si>
    <t>=NL("sum","Production Order","Quantity","Source No.",$D4240,"Equipment Code",$L4240,"due date",J$8)/$J$7</t>
  </si>
  <si>
    <t>=AVERAGE(I4240:J4240)</t>
  </si>
  <si>
    <t>=IF(K4241=0,"hide","")</t>
  </si>
  <si>
    <t>=D4240</t>
  </si>
  <si>
    <t>=NL("sum","Production Order","Quantity","Source No.",$D4241,"Equipment Code",$L4241,"due date",F$8)/-12</t>
  </si>
  <si>
    <t>=NL("sum","Production Order","Quantity","Source No.",$D4241,"Equipment Code",$L4241,"due date",G$8)/-12</t>
  </si>
  <si>
    <t>=NL("sum","Production Order","Quantity","Source No.",$D4241,"Equipment Code",$L4241,"due date",H$8)/-12</t>
  </si>
  <si>
    <t>=NL("sum","Production Order","Quantity","Source No.",$D4241,"Equipment Code",$L4241,"due date",I$8)/-12</t>
  </si>
  <si>
    <t>=NL("sum","Production Order","Quantity","Source No.",$D4241,"Equipment Code",$L4241,"due date",J$8)/$J$7</t>
  </si>
  <si>
    <t>=AVERAGE(I4241:J4241)</t>
  </si>
  <si>
    <t>=IF(K4242=0,"hide","")</t>
  </si>
  <si>
    <t>=D4241</t>
  </si>
  <si>
    <t>=NL("sum","Production Order","Quantity","Source No.",$D4242,"Equipment Code",$L4242,"due date",F$8)/-12</t>
  </si>
  <si>
    <t>=NL("sum","Production Order","Quantity","Source No.",$D4242,"Equipment Code",$L4242,"due date",G$8)/-12</t>
  </si>
  <si>
    <t>=NL("sum","Production Order","Quantity","Source No.",$D4242,"Equipment Code",$L4242,"due date",H$8)/-12</t>
  </si>
  <si>
    <t>=NL("sum","Production Order","Quantity","Source No.",$D4242,"Equipment Code",$L4242,"due date",I$8)/-12</t>
  </si>
  <si>
    <t>=NL("sum","Production Order","Quantity","Source No.",$D4242,"Equipment Code",$L4242,"due date",J$8)/$J$7</t>
  </si>
  <si>
    <t>=AVERAGE(I4242:J4242)</t>
  </si>
  <si>
    <t>=IF(K4243=0,"hide","")</t>
  </si>
  <si>
    <t>=D4242</t>
  </si>
  <si>
    <t>=NL("sum","Production Order","Quantity","Source No.",$D4243,"Equipment Code",$L4243,"due date",F$8)/-12</t>
  </si>
  <si>
    <t>=NL("sum","Production Order","Quantity","Source No.",$D4243,"Equipment Code",$L4243,"due date",G$8)/-12</t>
  </si>
  <si>
    <t>=NL("sum","Production Order","Quantity","Source No.",$D4243,"Equipment Code",$L4243,"due date",H$8)/-12</t>
  </si>
  <si>
    <t>=NL("sum","Production Order","Quantity","Source No.",$D4243,"Equipment Code",$L4243,"due date",I$8)/-12</t>
  </si>
  <si>
    <t>=NL("sum","Production Order","Quantity","Source No.",$D4243,"Equipment Code",$L4243,"due date",J$8)/$J$7</t>
  </si>
  <si>
    <t>=AVERAGE(I4243:J4243)</t>
  </si>
  <si>
    <t>=B4240</t>
  </si>
  <si>
    <t>=B4244</t>
  </si>
  <si>
    <t>=SUM(F4240:F4244)</t>
  </si>
  <si>
    <t>=SUM(G4240:G4244)</t>
  </si>
  <si>
    <t>=SUM(H4240:H4244)</t>
  </si>
  <si>
    <t>=SUM(I4240:I4244)</t>
  </si>
  <si>
    <t>=SUM(J4240:J4244)</t>
  </si>
  <si>
    <t>=IF(K4246=0,"hide","")</t>
  </si>
  <si>
    <t>=NL("rows","Production BOM Version","Version Code","Production BOM No.",D4246,"status","certified")</t>
  </si>
  <si>
    <t>=NL("sum","Item Ledger Entry","Quantity","Item No.",$D4246,"Entry Type","Sale|Consumption","posting date","01/01/19..12/31/19")/-12</t>
  </si>
  <si>
    <t>=NL("sum","Item Ledger Entry","Quantity","Item No.",$D4246,"Entry Type","Sale|Consumption","posting date","01/01/20..12/31/20")/-12</t>
  </si>
  <si>
    <t>=NL("sum","Item Ledger Entry","Quantity","Item No.",$D4246,"Entry Type","Sale|Consumption","posting date","01/01/21..12/31/21")/-12</t>
  </si>
  <si>
    <t>=NL("sum","Item Ledger Entry","Quantity","Item No.",$D4246,"Entry Type","Sale|Consumption","posting date","01/01/22..12/31/22")/-12</t>
  </si>
  <si>
    <t>=NL("sum","Item Ledger Entry","Quantity","Item No.",$D4246,"Entry Type","Sale|Consumption","posting date","01/01/23..12/31/23")/$J$7</t>
  </si>
  <si>
    <t>=AVERAGE(I4246:J4246)</t>
  </si>
  <si>
    <t>=NL(1,"item",L$9,"no.",D4246)</t>
  </si>
  <si>
    <t>=NL(1,"item",M$9,"no.",$D4246)</t>
  </si>
  <si>
    <t>=NL(1,"item","Units Per Parcel","no.",$D4246)</t>
  </si>
  <si>
    <t>=NL(1,"Prod. BOM Equipment","Fixed Prod. Time (Hours)","Production BOM No.",$D4246,"version code",$E4246,"Resource No.",O$9)</t>
  </si>
  <si>
    <t>=1/O4246</t>
  </si>
  <si>
    <t>=IF(NL(1,"Prod. BOM Equipment","Variable Prod. Time (Hours)","Production BOM No.",$D4246,"version code",$E4246,"Resource No.",$O$9)="",1,NL(1,"Prod. BOM Equipment","Variable Prod. Time (Hours)","Production BOM No.",$D4246,"version code",$E4246,"Resource No.",$O$9))</t>
  </si>
  <si>
    <t>=1/Q4246</t>
  </si>
  <si>
    <t>=R4246*N4246</t>
  </si>
  <si>
    <t>=IF(K4247=0,"hide","")</t>
  </si>
  <si>
    <t>=D4246</t>
  </si>
  <si>
    <t>=NL("sum","Production Order","Quantity","Source No.",$D4247,"Equipment Code",$L4247,"due date",F$8)/-12</t>
  </si>
  <si>
    <t>=NL("sum","Production Order","Quantity","Source No.",$D4247,"Equipment Code",$L4247,"due date",G$8)/-12</t>
  </si>
  <si>
    <t>=NL("sum","Production Order","Quantity","Source No.",$D4247,"Equipment Code",$L4247,"due date",H$8)/-12</t>
  </si>
  <si>
    <t>=NL("sum","Production Order","Quantity","Source No.",$D4247,"Equipment Code",$L4247,"due date",I$8)/-12</t>
  </si>
  <si>
    <t>=NL("sum","Production Order","Quantity","Source No.",$D4247,"Equipment Code",$L4247,"due date",J$8)/$J$7</t>
  </si>
  <si>
    <t>=AVERAGE(I4247:J4247)</t>
  </si>
  <si>
    <t>=IF(K4248=0,"hide","")</t>
  </si>
  <si>
    <t>=D4247</t>
  </si>
  <si>
    <t>=NL("sum","Production Order","Quantity","Source No.",$D4248,"Equipment Code",$L4248,"due date",F$8)/-12</t>
  </si>
  <si>
    <t>=NL("sum","Production Order","Quantity","Source No.",$D4248,"Equipment Code",$L4248,"due date",G$8)/-12</t>
  </si>
  <si>
    <t>=NL("sum","Production Order","Quantity","Source No.",$D4248,"Equipment Code",$L4248,"due date",H$8)/-12</t>
  </si>
  <si>
    <t>=NL("sum","Production Order","Quantity","Source No.",$D4248,"Equipment Code",$L4248,"due date",I$8)/-12</t>
  </si>
  <si>
    <t>=NL("sum","Production Order","Quantity","Source No.",$D4248,"Equipment Code",$L4248,"due date",J$8)/$J$7</t>
  </si>
  <si>
    <t>=AVERAGE(I4248:J4248)</t>
  </si>
  <si>
    <t>=IF(K4249=0,"hide","")</t>
  </si>
  <si>
    <t>=D4248</t>
  </si>
  <si>
    <t>=NL("sum","Production Order","Quantity","Source No.",$D4249,"Equipment Code",$L4249,"due date",F$8)/-12</t>
  </si>
  <si>
    <t>=NL("sum","Production Order","Quantity","Source No.",$D4249,"Equipment Code",$L4249,"due date",G$8)/-12</t>
  </si>
  <si>
    <t>=NL("sum","Production Order","Quantity","Source No.",$D4249,"Equipment Code",$L4249,"due date",H$8)/-12</t>
  </si>
  <si>
    <t>=NL("sum","Production Order","Quantity","Source No.",$D4249,"Equipment Code",$L4249,"due date",I$8)/-12</t>
  </si>
  <si>
    <t>=NL("sum","Production Order","Quantity","Source No.",$D4249,"Equipment Code",$L4249,"due date",J$8)/$J$7</t>
  </si>
  <si>
    <t>=AVERAGE(I4249:J4249)</t>
  </si>
  <si>
    <t>=IF(K4250=0,"hide","")</t>
  </si>
  <si>
    <t>=D4249</t>
  </si>
  <si>
    <t>=NL("sum","Production Order","Quantity","Source No.",$D4250,"Equipment Code",$L4250,"due date",F$8)/-12</t>
  </si>
  <si>
    <t>=NL("sum","Production Order","Quantity","Source No.",$D4250,"Equipment Code",$L4250,"due date",G$8)/-12</t>
  </si>
  <si>
    <t>=NL("sum","Production Order","Quantity","Source No.",$D4250,"Equipment Code",$L4250,"due date",H$8)/-12</t>
  </si>
  <si>
    <t>=NL("sum","Production Order","Quantity","Source No.",$D4250,"Equipment Code",$L4250,"due date",I$8)/-12</t>
  </si>
  <si>
    <t>=NL("sum","Production Order","Quantity","Source No.",$D4250,"Equipment Code",$L4250,"due date",J$8)/$J$7</t>
  </si>
  <si>
    <t>=AVERAGE(I4250:J4250)</t>
  </si>
  <si>
    <t>=B4247</t>
  </si>
  <si>
    <t>=B4251</t>
  </si>
  <si>
    <t>=SUM(F4247:F4251)</t>
  </si>
  <si>
    <t>=SUM(G4247:G4251)</t>
  </si>
  <si>
    <t>=SUM(H4247:H4251)</t>
  </si>
  <si>
    <t>=SUM(I4247:I4251)</t>
  </si>
  <si>
    <t>=SUM(J4247:J4251)</t>
  </si>
  <si>
    <t>=IF(K4253=0,"hide","")</t>
  </si>
  <si>
    <t>=NL("rows","Production BOM Version","Version Code","Production BOM No.",D4253,"status","certified")</t>
  </si>
  <si>
    <t>=NL("sum","Item Ledger Entry","Quantity","Item No.",$D4253,"Entry Type","Sale|Consumption","posting date","01/01/19..12/31/19")/-12</t>
  </si>
  <si>
    <t>=NL("sum","Item Ledger Entry","Quantity","Item No.",$D4253,"Entry Type","Sale|Consumption","posting date","01/01/20..12/31/20")/-12</t>
  </si>
  <si>
    <t>=NL("sum","Item Ledger Entry","Quantity","Item No.",$D4253,"Entry Type","Sale|Consumption","posting date","01/01/21..12/31/21")/-12</t>
  </si>
  <si>
    <t>=NL("sum","Item Ledger Entry","Quantity","Item No.",$D4253,"Entry Type","Sale|Consumption","posting date","01/01/22..12/31/22")/-12</t>
  </si>
  <si>
    <t>=NL("sum","Item Ledger Entry","Quantity","Item No.",$D4253,"Entry Type","Sale|Consumption","posting date","01/01/23..12/31/23")/$J$7</t>
  </si>
  <si>
    <t>=AVERAGE(I4253:J4253)</t>
  </si>
  <si>
    <t>=NL(1,"item",L$9,"no.",D4253)</t>
  </si>
  <si>
    <t>=NL(1,"item",M$9,"no.",$D4253)</t>
  </si>
  <si>
    <t>=NL(1,"item","Units Per Parcel","no.",$D4253)</t>
  </si>
  <si>
    <t>=NL(1,"Prod. BOM Equipment","Fixed Prod. Time (Hours)","Production BOM No.",$D4253,"version code",$E4253,"Resource No.",O$9)</t>
  </si>
  <si>
    <t>=1/O4253</t>
  </si>
  <si>
    <t>=IF(NL(1,"Prod. BOM Equipment","Variable Prod. Time (Hours)","Production BOM No.",$D4253,"version code",$E4253,"Resource No.",$O$9)="",1,NL(1,"Prod. BOM Equipment","Variable Prod. Time (Hours)","Production BOM No.",$D4253,"version code",$E4253,"Resource No.",$O$9))</t>
  </si>
  <si>
    <t>=1/Q4253</t>
  </si>
  <si>
    <t>=R4253*N4253</t>
  </si>
  <si>
    <t>=IF(K4254=0,"hide","")</t>
  </si>
  <si>
    <t>=D4253</t>
  </si>
  <si>
    <t>=NL("sum","Production Order","Quantity","Source No.",$D4254,"Equipment Code",$L4254,"due date",F$8)/-12</t>
  </si>
  <si>
    <t>=NL("sum","Production Order","Quantity","Source No.",$D4254,"Equipment Code",$L4254,"due date",G$8)/-12</t>
  </si>
  <si>
    <t>=NL("sum","Production Order","Quantity","Source No.",$D4254,"Equipment Code",$L4254,"due date",H$8)/-12</t>
  </si>
  <si>
    <t>=NL("sum","Production Order","Quantity","Source No.",$D4254,"Equipment Code",$L4254,"due date",I$8)/-12</t>
  </si>
  <si>
    <t>=NL("sum","Production Order","Quantity","Source No.",$D4254,"Equipment Code",$L4254,"due date",J$8)/$J$7</t>
  </si>
  <si>
    <t>=AVERAGE(I4254:J4254)</t>
  </si>
  <si>
    <t>=IF(K4255=0,"hide","")</t>
  </si>
  <si>
    <t>=D4254</t>
  </si>
  <si>
    <t>=NL("sum","Production Order","Quantity","Source No.",$D4255,"Equipment Code",$L4255,"due date",F$8)/-12</t>
  </si>
  <si>
    <t>=NL("sum","Production Order","Quantity","Source No.",$D4255,"Equipment Code",$L4255,"due date",G$8)/-12</t>
  </si>
  <si>
    <t>=NL("sum","Production Order","Quantity","Source No.",$D4255,"Equipment Code",$L4255,"due date",H$8)/-12</t>
  </si>
  <si>
    <t>=NL("sum","Production Order","Quantity","Source No.",$D4255,"Equipment Code",$L4255,"due date",I$8)/-12</t>
  </si>
  <si>
    <t>=NL("sum","Production Order","Quantity","Source No.",$D4255,"Equipment Code",$L4255,"due date",J$8)/$J$7</t>
  </si>
  <si>
    <t>=AVERAGE(I4255:J4255)</t>
  </si>
  <si>
    <t>=IF(K4256=0,"hide","")</t>
  </si>
  <si>
    <t>=D4255</t>
  </si>
  <si>
    <t>=NL("sum","Production Order","Quantity","Source No.",$D4256,"Equipment Code",$L4256,"due date",F$8)/-12</t>
  </si>
  <si>
    <t>=NL("sum","Production Order","Quantity","Source No.",$D4256,"Equipment Code",$L4256,"due date",G$8)/-12</t>
  </si>
  <si>
    <t>=NL("sum","Production Order","Quantity","Source No.",$D4256,"Equipment Code",$L4256,"due date",H$8)/-12</t>
  </si>
  <si>
    <t>=NL("sum","Production Order","Quantity","Source No.",$D4256,"Equipment Code",$L4256,"due date",I$8)/-12</t>
  </si>
  <si>
    <t>=NL("sum","Production Order","Quantity","Source No.",$D4256,"Equipment Code",$L4256,"due date",J$8)/$J$7</t>
  </si>
  <si>
    <t>=AVERAGE(I4256:J4256)</t>
  </si>
  <si>
    <t>=IF(K4257=0,"hide","")</t>
  </si>
  <si>
    <t>=D4256</t>
  </si>
  <si>
    <t>=NL("sum","Production Order","Quantity","Source No.",$D4257,"Equipment Code",$L4257,"due date",F$8)/-12</t>
  </si>
  <si>
    <t>=NL("sum","Production Order","Quantity","Source No.",$D4257,"Equipment Code",$L4257,"due date",G$8)/-12</t>
  </si>
  <si>
    <t>=NL("sum","Production Order","Quantity","Source No.",$D4257,"Equipment Code",$L4257,"due date",H$8)/-12</t>
  </si>
  <si>
    <t>=NL("sum","Production Order","Quantity","Source No.",$D4257,"Equipment Code",$L4257,"due date",I$8)/-12</t>
  </si>
  <si>
    <t>=NL("sum","Production Order","Quantity","Source No.",$D4257,"Equipment Code",$L4257,"due date",J$8)/$J$7</t>
  </si>
  <si>
    <t>=AVERAGE(I4257:J4257)</t>
  </si>
  <si>
    <t>=B4254</t>
  </si>
  <si>
    <t>=B4258</t>
  </si>
  <si>
    <t>=SUM(F4254:F4258)</t>
  </si>
  <si>
    <t>=SUM(G4254:G4258)</t>
  </si>
  <si>
    <t>=SUM(H4254:H4258)</t>
  </si>
  <si>
    <t>=SUM(I4254:I4258)</t>
  </si>
  <si>
    <t>=SUM(J4254:J4258)</t>
  </si>
  <si>
    <t>=IF(K4260=0,"hide","")</t>
  </si>
  <si>
    <t>=NL("rows","Production BOM Version","Version Code","Production BOM No.",D4260,"status","certified")</t>
  </si>
  <si>
    <t>=NL("sum","Item Ledger Entry","Quantity","Item No.",$D4260,"Entry Type","Sale|Consumption","posting date","01/01/19..12/31/19")/-12</t>
  </si>
  <si>
    <t>=NL("sum","Item Ledger Entry","Quantity","Item No.",$D4260,"Entry Type","Sale|Consumption","posting date","01/01/20..12/31/20")/-12</t>
  </si>
  <si>
    <t>=NL("sum","Item Ledger Entry","Quantity","Item No.",$D4260,"Entry Type","Sale|Consumption","posting date","01/01/21..12/31/21")/-12</t>
  </si>
  <si>
    <t>=NL("sum","Item Ledger Entry","Quantity","Item No.",$D4260,"Entry Type","Sale|Consumption","posting date","01/01/22..12/31/22")/-12</t>
  </si>
  <si>
    <t>=NL("sum","Item Ledger Entry","Quantity","Item No.",$D4260,"Entry Type","Sale|Consumption","posting date","01/01/23..12/31/23")/$J$7</t>
  </si>
  <si>
    <t>=AVERAGE(I4260:J4260)</t>
  </si>
  <si>
    <t>=NL(1,"item",L$9,"no.",D4260)</t>
  </si>
  <si>
    <t>=NL(1,"item",M$9,"no.",$D4260)</t>
  </si>
  <si>
    <t>=NL(1,"item","Units Per Parcel","no.",$D4260)</t>
  </si>
  <si>
    <t>=NL(1,"Prod. BOM Equipment","Fixed Prod. Time (Hours)","Production BOM No.",$D4260,"version code",$E4260,"Resource No.",O$9)</t>
  </si>
  <si>
    <t>=1/O4260</t>
  </si>
  <si>
    <t>=IF(NL(1,"Prod. BOM Equipment","Variable Prod. Time (Hours)","Production BOM No.",$D4260,"version code",$E4260,"Resource No.",$O$9)="",1,NL(1,"Prod. BOM Equipment","Variable Prod. Time (Hours)","Production BOM No.",$D4260,"version code",$E4260,"Resource No.",$O$9))</t>
  </si>
  <si>
    <t>=1/Q4260</t>
  </si>
  <si>
    <t>=R4260*N4260</t>
  </si>
  <si>
    <t>=IF(K4261=0,"hide","")</t>
  </si>
  <si>
    <t>=D4260</t>
  </si>
  <si>
    <t>=NL("sum","Production Order","Quantity","Source No.",$D4261,"Equipment Code",$L4261,"due date",F$8)/-12</t>
  </si>
  <si>
    <t>=NL("sum","Production Order","Quantity","Source No.",$D4261,"Equipment Code",$L4261,"due date",G$8)/-12</t>
  </si>
  <si>
    <t>=NL("sum","Production Order","Quantity","Source No.",$D4261,"Equipment Code",$L4261,"due date",H$8)/-12</t>
  </si>
  <si>
    <t>=NL("sum","Production Order","Quantity","Source No.",$D4261,"Equipment Code",$L4261,"due date",I$8)/-12</t>
  </si>
  <si>
    <t>=NL("sum","Production Order","Quantity","Source No.",$D4261,"Equipment Code",$L4261,"due date",J$8)/$J$7</t>
  </si>
  <si>
    <t>=AVERAGE(I4261:J4261)</t>
  </si>
  <si>
    <t>=IF(K4262=0,"hide","")</t>
  </si>
  <si>
    <t>=D4261</t>
  </si>
  <si>
    <t>=NL("sum","Production Order","Quantity","Source No.",$D4262,"Equipment Code",$L4262,"due date",F$8)/-12</t>
  </si>
  <si>
    <t>=NL("sum","Production Order","Quantity","Source No.",$D4262,"Equipment Code",$L4262,"due date",G$8)/-12</t>
  </si>
  <si>
    <t>=NL("sum","Production Order","Quantity","Source No.",$D4262,"Equipment Code",$L4262,"due date",H$8)/-12</t>
  </si>
  <si>
    <t>=NL("sum","Production Order","Quantity","Source No.",$D4262,"Equipment Code",$L4262,"due date",I$8)/-12</t>
  </si>
  <si>
    <t>=NL("sum","Production Order","Quantity","Source No.",$D4262,"Equipment Code",$L4262,"due date",J$8)/$J$7</t>
  </si>
  <si>
    <t>=AVERAGE(I4262:J4262)</t>
  </si>
  <si>
    <t>=IF(K4263=0,"hide","")</t>
  </si>
  <si>
    <t>=D4262</t>
  </si>
  <si>
    <t>=NL("sum","Production Order","Quantity","Source No.",$D4263,"Equipment Code",$L4263,"due date",F$8)/-12</t>
  </si>
  <si>
    <t>=NL("sum","Production Order","Quantity","Source No.",$D4263,"Equipment Code",$L4263,"due date",G$8)/-12</t>
  </si>
  <si>
    <t>=NL("sum","Production Order","Quantity","Source No.",$D4263,"Equipment Code",$L4263,"due date",H$8)/-12</t>
  </si>
  <si>
    <t>=NL("sum","Production Order","Quantity","Source No.",$D4263,"Equipment Code",$L4263,"due date",I$8)/-12</t>
  </si>
  <si>
    <t>=NL("sum","Production Order","Quantity","Source No.",$D4263,"Equipment Code",$L4263,"due date",J$8)/$J$7</t>
  </si>
  <si>
    <t>=AVERAGE(I4263:J4263)</t>
  </si>
  <si>
    <t>=IF(K4264=0,"hide","")</t>
  </si>
  <si>
    <t>=D4263</t>
  </si>
  <si>
    <t>=NL("sum","Production Order","Quantity","Source No.",$D4264,"Equipment Code",$L4264,"due date",F$8)/-12</t>
  </si>
  <si>
    <t>=NL("sum","Production Order","Quantity","Source No.",$D4264,"Equipment Code",$L4264,"due date",G$8)/-12</t>
  </si>
  <si>
    <t>=NL("sum","Production Order","Quantity","Source No.",$D4264,"Equipment Code",$L4264,"due date",H$8)/-12</t>
  </si>
  <si>
    <t>=NL("sum","Production Order","Quantity","Source No.",$D4264,"Equipment Code",$L4264,"due date",I$8)/-12</t>
  </si>
  <si>
    <t>=NL("sum","Production Order","Quantity","Source No.",$D4264,"Equipment Code",$L4264,"due date",J$8)/$J$7</t>
  </si>
  <si>
    <t>=AVERAGE(I4264:J4264)</t>
  </si>
  <si>
    <t>=B4261</t>
  </si>
  <si>
    <t>=B4265</t>
  </si>
  <si>
    <t>=SUM(F4261:F4265)</t>
  </si>
  <si>
    <t>=SUM(G4261:G4265)</t>
  </si>
  <si>
    <t>=SUM(H4261:H4265)</t>
  </si>
  <si>
    <t>=SUM(I4261:I4265)</t>
  </si>
  <si>
    <t>=SUM(J4261:J4265)</t>
  </si>
  <si>
    <t>=IF(K4267=0,"hide","")</t>
  </si>
  <si>
    <t>="58174"</t>
  </si>
  <si>
    <t>=NL("rows","Production BOM Version","Version Code","Production BOM No.",D4267,"status","certified")</t>
  </si>
  <si>
    <t>=NL("sum","Item Ledger Entry","Quantity","Item No.",$D4267,"Entry Type","Sale|Consumption","posting date","01/01/19..12/31/19")/-12</t>
  </si>
  <si>
    <t>=NL("sum","Item Ledger Entry","Quantity","Item No.",$D4267,"Entry Type","Sale|Consumption","posting date","01/01/20..12/31/20")/-12</t>
  </si>
  <si>
    <t>=NL("sum","Item Ledger Entry","Quantity","Item No.",$D4267,"Entry Type","Sale|Consumption","posting date","01/01/21..12/31/21")/-12</t>
  </si>
  <si>
    <t>=NL("sum","Item Ledger Entry","Quantity","Item No.",$D4267,"Entry Type","Sale|Consumption","posting date","01/01/22..12/31/22")/-12</t>
  </si>
  <si>
    <t>=NL("sum","Item Ledger Entry","Quantity","Item No.",$D4267,"Entry Type","Sale|Consumption","posting date","01/01/23..12/31/23")/$J$7</t>
  </si>
  <si>
    <t>=AVERAGE(I4267:J4267)</t>
  </si>
  <si>
    <t>=NL(1,"item",L$9,"no.",D4267)</t>
  </si>
  <si>
    <t>=NL(1,"item",M$9,"no.",$D4267)</t>
  </si>
  <si>
    <t>=NL(1,"item","Units Per Parcel","no.",$D4267)</t>
  </si>
  <si>
    <t>=NL(1,"Prod. BOM Equipment","Fixed Prod. Time (Hours)","Production BOM No.",$D4267,"version code",$E4267,"Resource No.",O$9)</t>
  </si>
  <si>
    <t>=1/O4267</t>
  </si>
  <si>
    <t>=IF(NL(1,"Prod. BOM Equipment","Variable Prod. Time (Hours)","Production BOM No.",$D4267,"version code",$E4267,"Resource No.",$O$9)="",1,NL(1,"Prod. BOM Equipment","Variable Prod. Time (Hours)","Production BOM No.",$D4267,"version code",$E4267,"Resource No.",$O$9))</t>
  </si>
  <si>
    <t>=1/Q4267</t>
  </si>
  <si>
    <t>=R4267*N4267</t>
  </si>
  <si>
    <t>=IF(K4268=0,"hide","")</t>
  </si>
  <si>
    <t>=D4267</t>
  </si>
  <si>
    <t>=NL("sum","Production Order","Quantity","Source No.",$D4268,"Equipment Code",$L4268,"due date",F$8)/-12</t>
  </si>
  <si>
    <t>=NL("sum","Production Order","Quantity","Source No.",$D4268,"Equipment Code",$L4268,"due date",G$8)/-12</t>
  </si>
  <si>
    <t>=NL("sum","Production Order","Quantity","Source No.",$D4268,"Equipment Code",$L4268,"due date",H$8)/-12</t>
  </si>
  <si>
    <t>=NL("sum","Production Order","Quantity","Source No.",$D4268,"Equipment Code",$L4268,"due date",I$8)/-12</t>
  </si>
  <si>
    <t>=NL("sum","Production Order","Quantity","Source No.",$D4268,"Equipment Code",$L4268,"due date",J$8)/$J$7</t>
  </si>
  <si>
    <t>=AVERAGE(I4268:J4268)</t>
  </si>
  <si>
    <t>=IF(K4269=0,"hide","")</t>
  </si>
  <si>
    <t>=D4268</t>
  </si>
  <si>
    <t>=NL("sum","Production Order","Quantity","Source No.",$D4269,"Equipment Code",$L4269,"due date",F$8)/-12</t>
  </si>
  <si>
    <t>=NL("sum","Production Order","Quantity","Source No.",$D4269,"Equipment Code",$L4269,"due date",G$8)/-12</t>
  </si>
  <si>
    <t>=NL("sum","Production Order","Quantity","Source No.",$D4269,"Equipment Code",$L4269,"due date",H$8)/-12</t>
  </si>
  <si>
    <t>=NL("sum","Production Order","Quantity","Source No.",$D4269,"Equipment Code",$L4269,"due date",I$8)/-12</t>
  </si>
  <si>
    <t>=NL("sum","Production Order","Quantity","Source No.",$D4269,"Equipment Code",$L4269,"due date",J$8)/$J$7</t>
  </si>
  <si>
    <t>=AVERAGE(I4269:J4269)</t>
  </si>
  <si>
    <t>=IF(K4270=0,"hide","")</t>
  </si>
  <si>
    <t>=D4269</t>
  </si>
  <si>
    <t>=NL("sum","Production Order","Quantity","Source No.",$D4270,"Equipment Code",$L4270,"due date",F$8)/-12</t>
  </si>
  <si>
    <t>=NL("sum","Production Order","Quantity","Source No.",$D4270,"Equipment Code",$L4270,"due date",G$8)/-12</t>
  </si>
  <si>
    <t>=NL("sum","Production Order","Quantity","Source No.",$D4270,"Equipment Code",$L4270,"due date",H$8)/-12</t>
  </si>
  <si>
    <t>=NL("sum","Production Order","Quantity","Source No.",$D4270,"Equipment Code",$L4270,"due date",I$8)/-12</t>
  </si>
  <si>
    <t>=NL("sum","Production Order","Quantity","Source No.",$D4270,"Equipment Code",$L4270,"due date",J$8)/$J$7</t>
  </si>
  <si>
    <t>=AVERAGE(I4270:J4270)</t>
  </si>
  <si>
    <t>=IF(K4271=0,"hide","")</t>
  </si>
  <si>
    <t>=D4270</t>
  </si>
  <si>
    <t>=NL("sum","Production Order","Quantity","Source No.",$D4271,"Equipment Code",$L4271,"due date",F$8)/-12</t>
  </si>
  <si>
    <t>=NL("sum","Production Order","Quantity","Source No.",$D4271,"Equipment Code",$L4271,"due date",G$8)/-12</t>
  </si>
  <si>
    <t>=NL("sum","Production Order","Quantity","Source No.",$D4271,"Equipment Code",$L4271,"due date",H$8)/-12</t>
  </si>
  <si>
    <t>=NL("sum","Production Order","Quantity","Source No.",$D4271,"Equipment Code",$L4271,"due date",I$8)/-12</t>
  </si>
  <si>
    <t>=NL("sum","Production Order","Quantity","Source No.",$D4271,"Equipment Code",$L4271,"due date",J$8)/$J$7</t>
  </si>
  <si>
    <t>=AVERAGE(I4271:J4271)</t>
  </si>
  <si>
    <t>=B4268</t>
  </si>
  <si>
    <t>=B4272</t>
  </si>
  <si>
    <t>=SUM(F4268:F4272)</t>
  </si>
  <si>
    <t>=SUM(G4268:G4272)</t>
  </si>
  <si>
    <t>=SUM(H4268:H4272)</t>
  </si>
  <si>
    <t>=SUM(I4268:I4272)</t>
  </si>
  <si>
    <t>=SUM(J4268:J4272)</t>
  </si>
  <si>
    <t>=IF(K4274=0,"hide","")</t>
  </si>
  <si>
    <t>="58374"</t>
  </si>
  <si>
    <t>=NL("rows","Production BOM Version","Version Code","Production BOM No.",D4274,"status","certified")</t>
  </si>
  <si>
    <t>=NL("sum","Item Ledger Entry","Quantity","Item No.",$D4274,"Entry Type","Sale|Consumption","posting date","01/01/19..12/31/19")/-12</t>
  </si>
  <si>
    <t>=NL("sum","Item Ledger Entry","Quantity","Item No.",$D4274,"Entry Type","Sale|Consumption","posting date","01/01/20..12/31/20")/-12</t>
  </si>
  <si>
    <t>=NL("sum","Item Ledger Entry","Quantity","Item No.",$D4274,"Entry Type","Sale|Consumption","posting date","01/01/21..12/31/21")/-12</t>
  </si>
  <si>
    <t>=NL("sum","Item Ledger Entry","Quantity","Item No.",$D4274,"Entry Type","Sale|Consumption","posting date","01/01/22..12/31/22")/-12</t>
  </si>
  <si>
    <t>=NL("sum","Item Ledger Entry","Quantity","Item No.",$D4274,"Entry Type","Sale|Consumption","posting date","01/01/23..12/31/23")/$J$7</t>
  </si>
  <si>
    <t>=AVERAGE(I4274:J4274)</t>
  </si>
  <si>
    <t>=NL(1,"item",L$9,"no.",D4274)</t>
  </si>
  <si>
    <t>=NL(1,"item",M$9,"no.",$D4274)</t>
  </si>
  <si>
    <t>=NL(1,"item","Units Per Parcel","no.",$D4274)</t>
  </si>
  <si>
    <t>=NL(1,"Prod. BOM Equipment","Fixed Prod. Time (Hours)","Production BOM No.",$D4274,"version code",$E4274,"Resource No.",O$9)</t>
  </si>
  <si>
    <t>=1/O4274</t>
  </si>
  <si>
    <t>=IF(NL(1,"Prod. BOM Equipment","Variable Prod. Time (Hours)","Production BOM No.",$D4274,"version code",$E4274,"Resource No.",$O$9)="",1,NL(1,"Prod. BOM Equipment","Variable Prod. Time (Hours)","Production BOM No.",$D4274,"version code",$E4274,"Resource No.",$O$9))</t>
  </si>
  <si>
    <t>=1/Q4274</t>
  </si>
  <si>
    <t>=R4274*N4274</t>
  </si>
  <si>
    <t>=IF(K4275=0,"hide","")</t>
  </si>
  <si>
    <t>=D4274</t>
  </si>
  <si>
    <t>=NL("sum","Production Order","Quantity","Source No.",$D4275,"Equipment Code",$L4275,"due date",F$8)/-12</t>
  </si>
  <si>
    <t>=NL("sum","Production Order","Quantity","Source No.",$D4275,"Equipment Code",$L4275,"due date",G$8)/-12</t>
  </si>
  <si>
    <t>=NL("sum","Production Order","Quantity","Source No.",$D4275,"Equipment Code",$L4275,"due date",H$8)/-12</t>
  </si>
  <si>
    <t>=NL("sum","Production Order","Quantity","Source No.",$D4275,"Equipment Code",$L4275,"due date",I$8)/-12</t>
  </si>
  <si>
    <t>=NL("sum","Production Order","Quantity","Source No.",$D4275,"Equipment Code",$L4275,"due date",J$8)/$J$7</t>
  </si>
  <si>
    <t>=AVERAGE(I4275:J4275)</t>
  </si>
  <si>
    <t>=IF(K4276=0,"hide","")</t>
  </si>
  <si>
    <t>=D4275</t>
  </si>
  <si>
    <t>=NL("sum","Production Order","Quantity","Source No.",$D4276,"Equipment Code",$L4276,"due date",F$8)/-12</t>
  </si>
  <si>
    <t>=NL("sum","Production Order","Quantity","Source No.",$D4276,"Equipment Code",$L4276,"due date",G$8)/-12</t>
  </si>
  <si>
    <t>=NL("sum","Production Order","Quantity","Source No.",$D4276,"Equipment Code",$L4276,"due date",H$8)/-12</t>
  </si>
  <si>
    <t>=NL("sum","Production Order","Quantity","Source No.",$D4276,"Equipment Code",$L4276,"due date",I$8)/-12</t>
  </si>
  <si>
    <t>=NL("sum","Production Order","Quantity","Source No.",$D4276,"Equipment Code",$L4276,"due date",J$8)/$J$7</t>
  </si>
  <si>
    <t>=AVERAGE(I4276:J4276)</t>
  </si>
  <si>
    <t>=IF(K4277=0,"hide","")</t>
  </si>
  <si>
    <t>=D4276</t>
  </si>
  <si>
    <t>=NL("sum","Production Order","Quantity","Source No.",$D4277,"Equipment Code",$L4277,"due date",F$8)/-12</t>
  </si>
  <si>
    <t>=NL("sum","Production Order","Quantity","Source No.",$D4277,"Equipment Code",$L4277,"due date",G$8)/-12</t>
  </si>
  <si>
    <t>=NL("sum","Production Order","Quantity","Source No.",$D4277,"Equipment Code",$L4277,"due date",H$8)/-12</t>
  </si>
  <si>
    <t>=NL("sum","Production Order","Quantity","Source No.",$D4277,"Equipment Code",$L4277,"due date",I$8)/-12</t>
  </si>
  <si>
    <t>=NL("sum","Production Order","Quantity","Source No.",$D4277,"Equipment Code",$L4277,"due date",J$8)/$J$7</t>
  </si>
  <si>
    <t>=AVERAGE(I4277:J4277)</t>
  </si>
  <si>
    <t>=IF(K4278=0,"hide","")</t>
  </si>
  <si>
    <t>=D4277</t>
  </si>
  <si>
    <t>=NL("sum","Production Order","Quantity","Source No.",$D4278,"Equipment Code",$L4278,"due date",F$8)/-12</t>
  </si>
  <si>
    <t>=NL("sum","Production Order","Quantity","Source No.",$D4278,"Equipment Code",$L4278,"due date",G$8)/-12</t>
  </si>
  <si>
    <t>=NL("sum","Production Order","Quantity","Source No.",$D4278,"Equipment Code",$L4278,"due date",H$8)/-12</t>
  </si>
  <si>
    <t>=NL("sum","Production Order","Quantity","Source No.",$D4278,"Equipment Code",$L4278,"due date",I$8)/-12</t>
  </si>
  <si>
    <t>=NL("sum","Production Order","Quantity","Source No.",$D4278,"Equipment Code",$L4278,"due date",J$8)/$J$7</t>
  </si>
  <si>
    <t>=AVERAGE(I4278:J4278)</t>
  </si>
  <si>
    <t>=B4275</t>
  </si>
  <si>
    <t>=B4279</t>
  </si>
  <si>
    <t>=SUM(F4275:F4279)</t>
  </si>
  <si>
    <t>=SUM(G4275:G4279)</t>
  </si>
  <si>
    <t>=SUM(H4275:H4279)</t>
  </si>
  <si>
    <t>=SUM(I4275:I4279)</t>
  </si>
  <si>
    <t>=SUM(J4275:J4279)</t>
  </si>
  <si>
    <t>=IF(K4281=0,"hide","")</t>
  </si>
  <si>
    <t>="59601"</t>
  </si>
  <si>
    <t>=NL("rows","Production BOM Version","Version Code","Production BOM No.",D4281,"status","certified")</t>
  </si>
  <si>
    <t>=NL("sum","Item Ledger Entry","Quantity","Item No.",$D4281,"Entry Type","Sale|Consumption","posting date","01/01/19..12/31/19")/-12</t>
  </si>
  <si>
    <t>=NL("sum","Item Ledger Entry","Quantity","Item No.",$D4281,"Entry Type","Sale|Consumption","posting date","01/01/20..12/31/20")/-12</t>
  </si>
  <si>
    <t>=NL("sum","Item Ledger Entry","Quantity","Item No.",$D4281,"Entry Type","Sale|Consumption","posting date","01/01/21..12/31/21")/-12</t>
  </si>
  <si>
    <t>=NL("sum","Item Ledger Entry","Quantity","Item No.",$D4281,"Entry Type","Sale|Consumption","posting date","01/01/22..12/31/22")/-12</t>
  </si>
  <si>
    <t>=NL("sum","Item Ledger Entry","Quantity","Item No.",$D4281,"Entry Type","Sale|Consumption","posting date","01/01/23..12/31/23")/$J$7</t>
  </si>
  <si>
    <t>=AVERAGE(I4281:J4281)</t>
  </si>
  <si>
    <t>=NL(1,"item",L$9,"no.",D4281)</t>
  </si>
  <si>
    <t>=NL(1,"item",M$9,"no.",$D4281)</t>
  </si>
  <si>
    <t>=NL(1,"item","Units Per Parcel","no.",$D4281)</t>
  </si>
  <si>
    <t>=NL(1,"Prod. BOM Equipment","Fixed Prod. Time (Hours)","Production BOM No.",$D4281,"version code",$E4281,"Resource No.",O$9)</t>
  </si>
  <si>
    <t>=1/O4281</t>
  </si>
  <si>
    <t>=IF(NL(1,"Prod. BOM Equipment","Variable Prod. Time (Hours)","Production BOM No.",$D4281,"version code",$E4281,"Resource No.",$O$9)="",1,NL(1,"Prod. BOM Equipment","Variable Prod. Time (Hours)","Production BOM No.",$D4281,"version code",$E4281,"Resource No.",$O$9))</t>
  </si>
  <si>
    <t>=1/Q4281</t>
  </si>
  <si>
    <t>=R4281*N4281</t>
  </si>
  <si>
    <t>=IF(K4282=0,"hide","")</t>
  </si>
  <si>
    <t>=D4281</t>
  </si>
  <si>
    <t>=NL("sum","Production Order","Quantity","Source No.",$D4282,"Equipment Code",$L4282,"due date",F$8)/-12</t>
  </si>
  <si>
    <t>=NL("sum","Production Order","Quantity","Source No.",$D4282,"Equipment Code",$L4282,"due date",G$8)/-12</t>
  </si>
  <si>
    <t>=NL("sum","Production Order","Quantity","Source No.",$D4282,"Equipment Code",$L4282,"due date",H$8)/-12</t>
  </si>
  <si>
    <t>=NL("sum","Production Order","Quantity","Source No.",$D4282,"Equipment Code",$L4282,"due date",I$8)/-12</t>
  </si>
  <si>
    <t>=NL("sum","Production Order","Quantity","Source No.",$D4282,"Equipment Code",$L4282,"due date",J$8)/$J$7</t>
  </si>
  <si>
    <t>=AVERAGE(I4282:J4282)</t>
  </si>
  <si>
    <t>=IF(K4283=0,"hide","")</t>
  </si>
  <si>
    <t>=D4282</t>
  </si>
  <si>
    <t>=NL("sum","Production Order","Quantity","Source No.",$D4283,"Equipment Code",$L4283,"due date",F$8)/-12</t>
  </si>
  <si>
    <t>=NL("sum","Production Order","Quantity","Source No.",$D4283,"Equipment Code",$L4283,"due date",G$8)/-12</t>
  </si>
  <si>
    <t>=NL("sum","Production Order","Quantity","Source No.",$D4283,"Equipment Code",$L4283,"due date",H$8)/-12</t>
  </si>
  <si>
    <t>=NL("sum","Production Order","Quantity","Source No.",$D4283,"Equipment Code",$L4283,"due date",I$8)/-12</t>
  </si>
  <si>
    <t>=NL("sum","Production Order","Quantity","Source No.",$D4283,"Equipment Code",$L4283,"due date",J$8)/$J$7</t>
  </si>
  <si>
    <t>=AVERAGE(I4283:J4283)</t>
  </si>
  <si>
    <t>=IF(K4284=0,"hide","")</t>
  </si>
  <si>
    <t>=D4283</t>
  </si>
  <si>
    <t>=NL("sum","Production Order","Quantity","Source No.",$D4284,"Equipment Code",$L4284,"due date",F$8)/-12</t>
  </si>
  <si>
    <t>=NL("sum","Production Order","Quantity","Source No.",$D4284,"Equipment Code",$L4284,"due date",G$8)/-12</t>
  </si>
  <si>
    <t>=NL("sum","Production Order","Quantity","Source No.",$D4284,"Equipment Code",$L4284,"due date",H$8)/-12</t>
  </si>
  <si>
    <t>=NL("sum","Production Order","Quantity","Source No.",$D4284,"Equipment Code",$L4284,"due date",I$8)/-12</t>
  </si>
  <si>
    <t>=NL("sum","Production Order","Quantity","Source No.",$D4284,"Equipment Code",$L4284,"due date",J$8)/$J$7</t>
  </si>
  <si>
    <t>=AVERAGE(I4284:J4284)</t>
  </si>
  <si>
    <t>=IF(K4285=0,"hide","")</t>
  </si>
  <si>
    <t>=D4284</t>
  </si>
  <si>
    <t>=NL("sum","Production Order","Quantity","Source No.",$D4285,"Equipment Code",$L4285,"due date",F$8)/-12</t>
  </si>
  <si>
    <t>=NL("sum","Production Order","Quantity","Source No.",$D4285,"Equipment Code",$L4285,"due date",G$8)/-12</t>
  </si>
  <si>
    <t>=NL("sum","Production Order","Quantity","Source No.",$D4285,"Equipment Code",$L4285,"due date",H$8)/-12</t>
  </si>
  <si>
    <t>=NL("sum","Production Order","Quantity","Source No.",$D4285,"Equipment Code",$L4285,"due date",I$8)/-12</t>
  </si>
  <si>
    <t>=NL("sum","Production Order","Quantity","Source No.",$D4285,"Equipment Code",$L4285,"due date",J$8)/$J$7</t>
  </si>
  <si>
    <t>=AVERAGE(I4285:J4285)</t>
  </si>
  <si>
    <t>=B4282</t>
  </si>
  <si>
    <t>=B4286</t>
  </si>
  <si>
    <t>=SUM(F4282:F4286)</t>
  </si>
  <si>
    <t>=SUM(G4282:G4286)</t>
  </si>
  <si>
    <t>=SUM(H4282:H4286)</t>
  </si>
  <si>
    <t>=SUM(I4282:I4286)</t>
  </si>
  <si>
    <t>=SUM(J4282:J4286)</t>
  </si>
  <si>
    <t>=IF(K4288=0,"hide","")</t>
  </si>
  <si>
    <t>=NL("rows","Production BOM Version","Version Code","Production BOM No.",D4288,"status","certified")</t>
  </si>
  <si>
    <t>=NL("sum","Item Ledger Entry","Quantity","Item No.",$D4288,"Entry Type","Sale|Consumption","posting date","01/01/19..12/31/19")/-12</t>
  </si>
  <si>
    <t>=NL("sum","Item Ledger Entry","Quantity","Item No.",$D4288,"Entry Type","Sale|Consumption","posting date","01/01/20..12/31/20")/-12</t>
  </si>
  <si>
    <t>=NL("sum","Item Ledger Entry","Quantity","Item No.",$D4288,"Entry Type","Sale|Consumption","posting date","01/01/21..12/31/21")/-12</t>
  </si>
  <si>
    <t>=NL("sum","Item Ledger Entry","Quantity","Item No.",$D4288,"Entry Type","Sale|Consumption","posting date","01/01/22..12/31/22")/-12</t>
  </si>
  <si>
    <t>=NL("sum","Item Ledger Entry","Quantity","Item No.",$D4288,"Entry Type","Sale|Consumption","posting date","01/01/23..12/31/23")/$J$7</t>
  </si>
  <si>
    <t>=AVERAGE(I4288:J4288)</t>
  </si>
  <si>
    <t>=NL(1,"item",L$9,"no.",D4288)</t>
  </si>
  <si>
    <t>=NL(1,"item",M$9,"no.",$D4288)</t>
  </si>
  <si>
    <t>=NL(1,"item","Units Per Parcel","no.",$D4288)</t>
  </si>
  <si>
    <t>=NL(1,"Prod. BOM Equipment","Fixed Prod. Time (Hours)","Production BOM No.",$D4288,"version code",$E4288,"Resource No.",O$9)</t>
  </si>
  <si>
    <t>=1/O4288</t>
  </si>
  <si>
    <t>=IF(NL(1,"Prod. BOM Equipment","Variable Prod. Time (Hours)","Production BOM No.",$D4288,"version code",$E4288,"Resource No.",$O$9)="",1,NL(1,"Prod. BOM Equipment","Variable Prod. Time (Hours)","Production BOM No.",$D4288,"version code",$E4288,"Resource No.",$O$9))</t>
  </si>
  <si>
    <t>=1/Q4288</t>
  </si>
  <si>
    <t>=R4288*N4288</t>
  </si>
  <si>
    <t>=IF(K4289=0,"hide","")</t>
  </si>
  <si>
    <t>=D4288</t>
  </si>
  <si>
    <t>=NL("sum","Production Order","Quantity","Source No.",$D4289,"Equipment Code",$L4289,"due date",F$8)/-12</t>
  </si>
  <si>
    <t>=NL("sum","Production Order","Quantity","Source No.",$D4289,"Equipment Code",$L4289,"due date",G$8)/-12</t>
  </si>
  <si>
    <t>=NL("sum","Production Order","Quantity","Source No.",$D4289,"Equipment Code",$L4289,"due date",H$8)/-12</t>
  </si>
  <si>
    <t>=NL("sum","Production Order","Quantity","Source No.",$D4289,"Equipment Code",$L4289,"due date",I$8)/-12</t>
  </si>
  <si>
    <t>=NL("sum","Production Order","Quantity","Source No.",$D4289,"Equipment Code",$L4289,"due date",J$8)/$J$7</t>
  </si>
  <si>
    <t>=AVERAGE(I4289:J4289)</t>
  </si>
  <si>
    <t>=IF(K4290=0,"hide","")</t>
  </si>
  <si>
    <t>=D4289</t>
  </si>
  <si>
    <t>=NL("sum","Production Order","Quantity","Source No.",$D4290,"Equipment Code",$L4290,"due date",F$8)/-12</t>
  </si>
  <si>
    <t>=NL("sum","Production Order","Quantity","Source No.",$D4290,"Equipment Code",$L4290,"due date",G$8)/-12</t>
  </si>
  <si>
    <t>=NL("sum","Production Order","Quantity","Source No.",$D4290,"Equipment Code",$L4290,"due date",H$8)/-12</t>
  </si>
  <si>
    <t>=NL("sum","Production Order","Quantity","Source No.",$D4290,"Equipment Code",$L4290,"due date",I$8)/-12</t>
  </si>
  <si>
    <t>=NL("sum","Production Order","Quantity","Source No.",$D4290,"Equipment Code",$L4290,"due date",J$8)/$J$7</t>
  </si>
  <si>
    <t>=AVERAGE(I4290:J4290)</t>
  </si>
  <si>
    <t>=IF(K4291=0,"hide","")</t>
  </si>
  <si>
    <t>=D4290</t>
  </si>
  <si>
    <t>=NL("sum","Production Order","Quantity","Source No.",$D4291,"Equipment Code",$L4291,"due date",F$8)/-12</t>
  </si>
  <si>
    <t>=NL("sum","Production Order","Quantity","Source No.",$D4291,"Equipment Code",$L4291,"due date",G$8)/-12</t>
  </si>
  <si>
    <t>=NL("sum","Production Order","Quantity","Source No.",$D4291,"Equipment Code",$L4291,"due date",H$8)/-12</t>
  </si>
  <si>
    <t>=NL("sum","Production Order","Quantity","Source No.",$D4291,"Equipment Code",$L4291,"due date",I$8)/-12</t>
  </si>
  <si>
    <t>=NL("sum","Production Order","Quantity","Source No.",$D4291,"Equipment Code",$L4291,"due date",J$8)/$J$7</t>
  </si>
  <si>
    <t>=AVERAGE(I4291:J4291)</t>
  </si>
  <si>
    <t>=IF(K4292=0,"hide","")</t>
  </si>
  <si>
    <t>=D4291</t>
  </si>
  <si>
    <t>=NL("sum","Production Order","Quantity","Source No.",$D4292,"Equipment Code",$L4292,"due date",F$8)/-12</t>
  </si>
  <si>
    <t>=NL("sum","Production Order","Quantity","Source No.",$D4292,"Equipment Code",$L4292,"due date",G$8)/-12</t>
  </si>
  <si>
    <t>=NL("sum","Production Order","Quantity","Source No.",$D4292,"Equipment Code",$L4292,"due date",H$8)/-12</t>
  </si>
  <si>
    <t>=NL("sum","Production Order","Quantity","Source No.",$D4292,"Equipment Code",$L4292,"due date",I$8)/-12</t>
  </si>
  <si>
    <t>=NL("sum","Production Order","Quantity","Source No.",$D4292,"Equipment Code",$L4292,"due date",J$8)/$J$7</t>
  </si>
  <si>
    <t>=AVERAGE(I4292:J4292)</t>
  </si>
  <si>
    <t>=B4289</t>
  </si>
  <si>
    <t>=B4293</t>
  </si>
  <si>
    <t>=SUM(F4289:F4293)</t>
  </si>
  <si>
    <t>=SUM(G4289:G4293)</t>
  </si>
  <si>
    <t>=SUM(H4289:H4293)</t>
  </si>
  <si>
    <t>=SUM(I4289:I4293)</t>
  </si>
  <si>
    <t>=SUM(J4289:J4293)</t>
  </si>
  <si>
    <t>=IF(K4295=0,"hide","")</t>
  </si>
  <si>
    <t>="59609"</t>
  </si>
  <si>
    <t>=NL("rows","Production BOM Version","Version Code","Production BOM No.",D4295,"status","certified")</t>
  </si>
  <si>
    <t>=NL("sum","Item Ledger Entry","Quantity","Item No.",$D4295,"Entry Type","Sale|Consumption","posting date","01/01/19..12/31/19")/-12</t>
  </si>
  <si>
    <t>=NL("sum","Item Ledger Entry","Quantity","Item No.",$D4295,"Entry Type","Sale|Consumption","posting date","01/01/20..12/31/20")/-12</t>
  </si>
  <si>
    <t>=NL("sum","Item Ledger Entry","Quantity","Item No.",$D4295,"Entry Type","Sale|Consumption","posting date","01/01/21..12/31/21")/-12</t>
  </si>
  <si>
    <t>=NL("sum","Item Ledger Entry","Quantity","Item No.",$D4295,"Entry Type","Sale|Consumption","posting date","01/01/22..12/31/22")/-12</t>
  </si>
  <si>
    <t>=NL("sum","Item Ledger Entry","Quantity","Item No.",$D4295,"Entry Type","Sale|Consumption","posting date","01/01/23..12/31/23")/$J$7</t>
  </si>
  <si>
    <t>=AVERAGE(I4295:J4295)</t>
  </si>
  <si>
    <t>=NL(1,"item",L$9,"no.",D4295)</t>
  </si>
  <si>
    <t>=NL(1,"item",M$9,"no.",$D4295)</t>
  </si>
  <si>
    <t>=NL(1,"item","Units Per Parcel","no.",$D4295)</t>
  </si>
  <si>
    <t>=NL(1,"Prod. BOM Equipment","Fixed Prod. Time (Hours)","Production BOM No.",$D4295,"version code",$E4295,"Resource No.",O$9)</t>
  </si>
  <si>
    <t>=1/O4295</t>
  </si>
  <si>
    <t>=IF(NL(1,"Prod. BOM Equipment","Variable Prod. Time (Hours)","Production BOM No.",$D4295,"version code",$E4295,"Resource No.",$O$9)="",1,NL(1,"Prod. BOM Equipment","Variable Prod. Time (Hours)","Production BOM No.",$D4295,"version code",$E4295,"Resource No.",$O$9))</t>
  </si>
  <si>
    <t>=1/Q4295</t>
  </si>
  <si>
    <t>=R4295*N4295</t>
  </si>
  <si>
    <t>=IF(K4296=0,"hide","")</t>
  </si>
  <si>
    <t>=D4295</t>
  </si>
  <si>
    <t>=NL("sum","Production Order","Quantity","Source No.",$D4296,"Equipment Code",$L4296,"due date",F$8)/-12</t>
  </si>
  <si>
    <t>=NL("sum","Production Order","Quantity","Source No.",$D4296,"Equipment Code",$L4296,"due date",G$8)/-12</t>
  </si>
  <si>
    <t>=NL("sum","Production Order","Quantity","Source No.",$D4296,"Equipment Code",$L4296,"due date",H$8)/-12</t>
  </si>
  <si>
    <t>=NL("sum","Production Order","Quantity","Source No.",$D4296,"Equipment Code",$L4296,"due date",I$8)/-12</t>
  </si>
  <si>
    <t>=NL("sum","Production Order","Quantity","Source No.",$D4296,"Equipment Code",$L4296,"due date",J$8)/$J$7</t>
  </si>
  <si>
    <t>=AVERAGE(I4296:J4296)</t>
  </si>
  <si>
    <t>=IF(K4297=0,"hide","")</t>
  </si>
  <si>
    <t>=D4296</t>
  </si>
  <si>
    <t>=NL("sum","Production Order","Quantity","Source No.",$D4297,"Equipment Code",$L4297,"due date",F$8)/-12</t>
  </si>
  <si>
    <t>=NL("sum","Production Order","Quantity","Source No.",$D4297,"Equipment Code",$L4297,"due date",G$8)/-12</t>
  </si>
  <si>
    <t>=NL("sum","Production Order","Quantity","Source No.",$D4297,"Equipment Code",$L4297,"due date",H$8)/-12</t>
  </si>
  <si>
    <t>=NL("sum","Production Order","Quantity","Source No.",$D4297,"Equipment Code",$L4297,"due date",I$8)/-12</t>
  </si>
  <si>
    <t>=NL("sum","Production Order","Quantity","Source No.",$D4297,"Equipment Code",$L4297,"due date",J$8)/$J$7</t>
  </si>
  <si>
    <t>=AVERAGE(I4297:J4297)</t>
  </si>
  <si>
    <t>=IF(K4298=0,"hide","")</t>
  </si>
  <si>
    <t>=D4297</t>
  </si>
  <si>
    <t>=NL("sum","Production Order","Quantity","Source No.",$D4298,"Equipment Code",$L4298,"due date",F$8)/-12</t>
  </si>
  <si>
    <t>=NL("sum","Production Order","Quantity","Source No.",$D4298,"Equipment Code",$L4298,"due date",G$8)/-12</t>
  </si>
  <si>
    <t>=NL("sum","Production Order","Quantity","Source No.",$D4298,"Equipment Code",$L4298,"due date",H$8)/-12</t>
  </si>
  <si>
    <t>=NL("sum","Production Order","Quantity","Source No.",$D4298,"Equipment Code",$L4298,"due date",I$8)/-12</t>
  </si>
  <si>
    <t>=NL("sum","Production Order","Quantity","Source No.",$D4298,"Equipment Code",$L4298,"due date",J$8)/$J$7</t>
  </si>
  <si>
    <t>=AVERAGE(I4298:J4298)</t>
  </si>
  <si>
    <t>=IF(K4299=0,"hide","")</t>
  </si>
  <si>
    <t>=D4298</t>
  </si>
  <si>
    <t>=NL("sum","Production Order","Quantity","Source No.",$D4299,"Equipment Code",$L4299,"due date",F$8)/-12</t>
  </si>
  <si>
    <t>=NL("sum","Production Order","Quantity","Source No.",$D4299,"Equipment Code",$L4299,"due date",G$8)/-12</t>
  </si>
  <si>
    <t>=NL("sum","Production Order","Quantity","Source No.",$D4299,"Equipment Code",$L4299,"due date",H$8)/-12</t>
  </si>
  <si>
    <t>=NL("sum","Production Order","Quantity","Source No.",$D4299,"Equipment Code",$L4299,"due date",I$8)/-12</t>
  </si>
  <si>
    <t>=NL("sum","Production Order","Quantity","Source No.",$D4299,"Equipment Code",$L4299,"due date",J$8)/$J$7</t>
  </si>
  <si>
    <t>=AVERAGE(I4299:J4299)</t>
  </si>
  <si>
    <t>=B4296</t>
  </si>
  <si>
    <t>=B4300</t>
  </si>
  <si>
    <t>=SUM(F4296:F4300)</t>
  </si>
  <si>
    <t>=SUM(G4296:G4300)</t>
  </si>
  <si>
    <t>=SUM(H4296:H4300)</t>
  </si>
  <si>
    <t>=SUM(I4296:I4300)</t>
  </si>
  <si>
    <t>=SUM(J4296:J4300)</t>
  </si>
  <si>
    <t>=IF(K4302=0,"hide","")</t>
  </si>
  <si>
    <t>="59636"</t>
  </si>
  <si>
    <t>=NL("rows","Production BOM Version","Version Code","Production BOM No.",D4302,"status","certified")</t>
  </si>
  <si>
    <t>=NL("sum","Item Ledger Entry","Quantity","Item No.",$D4302,"Entry Type","Sale|Consumption","posting date","01/01/19..12/31/19")/-12</t>
  </si>
  <si>
    <t>=NL("sum","Item Ledger Entry","Quantity","Item No.",$D4302,"Entry Type","Sale|Consumption","posting date","01/01/20..12/31/20")/-12</t>
  </si>
  <si>
    <t>=NL("sum","Item Ledger Entry","Quantity","Item No.",$D4302,"Entry Type","Sale|Consumption","posting date","01/01/21..12/31/21")/-12</t>
  </si>
  <si>
    <t>=NL("sum","Item Ledger Entry","Quantity","Item No.",$D4302,"Entry Type","Sale|Consumption","posting date","01/01/22..12/31/22")/-12</t>
  </si>
  <si>
    <t>=NL("sum","Item Ledger Entry","Quantity","Item No.",$D4302,"Entry Type","Sale|Consumption","posting date","01/01/23..12/31/23")/$J$7</t>
  </si>
  <si>
    <t>=AVERAGE(I4302:J4302)</t>
  </si>
  <si>
    <t>=NL(1,"item",L$9,"no.",D4302)</t>
  </si>
  <si>
    <t>=NL(1,"item",M$9,"no.",$D4302)</t>
  </si>
  <si>
    <t>=NL(1,"item","Units Per Parcel","no.",$D4302)</t>
  </si>
  <si>
    <t>=NL(1,"Prod. BOM Equipment","Fixed Prod. Time (Hours)","Production BOM No.",$D4302,"version code",$E4302,"Resource No.",O$9)</t>
  </si>
  <si>
    <t>=1/O4302</t>
  </si>
  <si>
    <t>=IF(NL(1,"Prod. BOM Equipment","Variable Prod. Time (Hours)","Production BOM No.",$D4302,"version code",$E4302,"Resource No.",$O$9)="",1,NL(1,"Prod. BOM Equipment","Variable Prod. Time (Hours)","Production BOM No.",$D4302,"version code",$E4302,"Resource No.",$O$9))</t>
  </si>
  <si>
    <t>=1/Q4302</t>
  </si>
  <si>
    <t>=R4302*N4302</t>
  </si>
  <si>
    <t>=IF(K4303=0,"hide","")</t>
  </si>
  <si>
    <t>=D4302</t>
  </si>
  <si>
    <t>=NL("sum","Production Order","Quantity","Source No.",$D4303,"Equipment Code",$L4303,"due date",F$8)/-12</t>
  </si>
  <si>
    <t>=NL("sum","Production Order","Quantity","Source No.",$D4303,"Equipment Code",$L4303,"due date",G$8)/-12</t>
  </si>
  <si>
    <t>=NL("sum","Production Order","Quantity","Source No.",$D4303,"Equipment Code",$L4303,"due date",H$8)/-12</t>
  </si>
  <si>
    <t>=NL("sum","Production Order","Quantity","Source No.",$D4303,"Equipment Code",$L4303,"due date",I$8)/-12</t>
  </si>
  <si>
    <t>=NL("sum","Production Order","Quantity","Source No.",$D4303,"Equipment Code",$L4303,"due date",J$8)/$J$7</t>
  </si>
  <si>
    <t>=AVERAGE(I4303:J4303)</t>
  </si>
  <si>
    <t>=IF(K4304=0,"hide","")</t>
  </si>
  <si>
    <t>=D4303</t>
  </si>
  <si>
    <t>=NL("sum","Production Order","Quantity","Source No.",$D4304,"Equipment Code",$L4304,"due date",F$8)/-12</t>
  </si>
  <si>
    <t>=NL("sum","Production Order","Quantity","Source No.",$D4304,"Equipment Code",$L4304,"due date",G$8)/-12</t>
  </si>
  <si>
    <t>=NL("sum","Production Order","Quantity","Source No.",$D4304,"Equipment Code",$L4304,"due date",H$8)/-12</t>
  </si>
  <si>
    <t>=NL("sum","Production Order","Quantity","Source No.",$D4304,"Equipment Code",$L4304,"due date",I$8)/-12</t>
  </si>
  <si>
    <t>=NL("sum","Production Order","Quantity","Source No.",$D4304,"Equipment Code",$L4304,"due date",J$8)/$J$7</t>
  </si>
  <si>
    <t>=AVERAGE(I4304:J4304)</t>
  </si>
  <si>
    <t>=IF(K4305=0,"hide","")</t>
  </si>
  <si>
    <t>=D4304</t>
  </si>
  <si>
    <t>=NL("sum","Production Order","Quantity","Source No.",$D4305,"Equipment Code",$L4305,"due date",F$8)/-12</t>
  </si>
  <si>
    <t>=NL("sum","Production Order","Quantity","Source No.",$D4305,"Equipment Code",$L4305,"due date",G$8)/-12</t>
  </si>
  <si>
    <t>=NL("sum","Production Order","Quantity","Source No.",$D4305,"Equipment Code",$L4305,"due date",H$8)/-12</t>
  </si>
  <si>
    <t>=NL("sum","Production Order","Quantity","Source No.",$D4305,"Equipment Code",$L4305,"due date",I$8)/-12</t>
  </si>
  <si>
    <t>=NL("sum","Production Order","Quantity","Source No.",$D4305,"Equipment Code",$L4305,"due date",J$8)/$J$7</t>
  </si>
  <si>
    <t>=AVERAGE(I4305:J4305)</t>
  </si>
  <si>
    <t>=IF(K4306=0,"hide","")</t>
  </si>
  <si>
    <t>=D4305</t>
  </si>
  <si>
    <t>=NL("sum","Production Order","Quantity","Source No.",$D4306,"Equipment Code",$L4306,"due date",F$8)/-12</t>
  </si>
  <si>
    <t>=NL("sum","Production Order","Quantity","Source No.",$D4306,"Equipment Code",$L4306,"due date",G$8)/-12</t>
  </si>
  <si>
    <t>=NL("sum","Production Order","Quantity","Source No.",$D4306,"Equipment Code",$L4306,"due date",H$8)/-12</t>
  </si>
  <si>
    <t>=NL("sum","Production Order","Quantity","Source No.",$D4306,"Equipment Code",$L4306,"due date",I$8)/-12</t>
  </si>
  <si>
    <t>=NL("sum","Production Order","Quantity","Source No.",$D4306,"Equipment Code",$L4306,"due date",J$8)/$J$7</t>
  </si>
  <si>
    <t>=AVERAGE(I4306:J4306)</t>
  </si>
  <si>
    <t>=B4303</t>
  </si>
  <si>
    <t>=B4307</t>
  </si>
  <si>
    <t>=SUM(F4303:F4307)</t>
  </si>
  <si>
    <t>=SUM(G4303:G4307)</t>
  </si>
  <si>
    <t>=SUM(H4303:H4307)</t>
  </si>
  <si>
    <t>=SUM(I4303:I4307)</t>
  </si>
  <si>
    <t>=SUM(J4303:J4307)</t>
  </si>
  <si>
    <t>=IF(K4309=0,"hide","")</t>
  </si>
  <si>
    <t>=NL("rows","Production BOM Version","Version Code","Production BOM No.",D4309,"status","certified")</t>
  </si>
  <si>
    <t>=NL("sum","Item Ledger Entry","Quantity","Item No.",$D4309,"Entry Type","Sale|Consumption","posting date","01/01/19..12/31/19")/-12</t>
  </si>
  <si>
    <t>=NL("sum","Item Ledger Entry","Quantity","Item No.",$D4309,"Entry Type","Sale|Consumption","posting date","01/01/20..12/31/20")/-12</t>
  </si>
  <si>
    <t>=NL("sum","Item Ledger Entry","Quantity","Item No.",$D4309,"Entry Type","Sale|Consumption","posting date","01/01/21..12/31/21")/-12</t>
  </si>
  <si>
    <t>=NL("sum","Item Ledger Entry","Quantity","Item No.",$D4309,"Entry Type","Sale|Consumption","posting date","01/01/22..12/31/22")/-12</t>
  </si>
  <si>
    <t>=NL("sum","Item Ledger Entry","Quantity","Item No.",$D4309,"Entry Type","Sale|Consumption","posting date","01/01/23..12/31/23")/$J$7</t>
  </si>
  <si>
    <t>=AVERAGE(I4309:J4309)</t>
  </si>
  <si>
    <t>=NL(1,"item",L$9,"no.",D4309)</t>
  </si>
  <si>
    <t>=NL(1,"item",M$9,"no.",$D4309)</t>
  </si>
  <si>
    <t>=NL(1,"item","Units Per Parcel","no.",$D4309)</t>
  </si>
  <si>
    <t>=NL(1,"Prod. BOM Equipment","Fixed Prod. Time (Hours)","Production BOM No.",$D4309,"version code",$E4309,"Resource No.",O$9)</t>
  </si>
  <si>
    <t>=1/O4309</t>
  </si>
  <si>
    <t>=IF(NL(1,"Prod. BOM Equipment","Variable Prod. Time (Hours)","Production BOM No.",$D4309,"version code",$E4309,"Resource No.",$O$9)="",1,NL(1,"Prod. BOM Equipment","Variable Prod. Time (Hours)","Production BOM No.",$D4309,"version code",$E4309,"Resource No.",$O$9))</t>
  </si>
  <si>
    <t>=1/Q4309</t>
  </si>
  <si>
    <t>=R4309*N4309</t>
  </si>
  <si>
    <t>=IF(K4310=0,"hide","")</t>
  </si>
  <si>
    <t>=D4309</t>
  </si>
  <si>
    <t>=NL("sum","Production Order","Quantity","Source No.",$D4310,"Equipment Code",$L4310,"due date",F$8)/-12</t>
  </si>
  <si>
    <t>=NL("sum","Production Order","Quantity","Source No.",$D4310,"Equipment Code",$L4310,"due date",G$8)/-12</t>
  </si>
  <si>
    <t>=NL("sum","Production Order","Quantity","Source No.",$D4310,"Equipment Code",$L4310,"due date",H$8)/-12</t>
  </si>
  <si>
    <t>=NL("sum","Production Order","Quantity","Source No.",$D4310,"Equipment Code",$L4310,"due date",I$8)/-12</t>
  </si>
  <si>
    <t>=NL("sum","Production Order","Quantity","Source No.",$D4310,"Equipment Code",$L4310,"due date",J$8)/$J$7</t>
  </si>
  <si>
    <t>=AVERAGE(I4310:J4310)</t>
  </si>
  <si>
    <t>=IF(K4311=0,"hide","")</t>
  </si>
  <si>
    <t>=D4310</t>
  </si>
  <si>
    <t>=NL("sum","Production Order","Quantity","Source No.",$D4311,"Equipment Code",$L4311,"due date",F$8)/-12</t>
  </si>
  <si>
    <t>=NL("sum","Production Order","Quantity","Source No.",$D4311,"Equipment Code",$L4311,"due date",G$8)/-12</t>
  </si>
  <si>
    <t>=NL("sum","Production Order","Quantity","Source No.",$D4311,"Equipment Code",$L4311,"due date",H$8)/-12</t>
  </si>
  <si>
    <t>=NL("sum","Production Order","Quantity","Source No.",$D4311,"Equipment Code",$L4311,"due date",I$8)/-12</t>
  </si>
  <si>
    <t>=NL("sum","Production Order","Quantity","Source No.",$D4311,"Equipment Code",$L4311,"due date",J$8)/$J$7</t>
  </si>
  <si>
    <t>=AVERAGE(I4311:J4311)</t>
  </si>
  <si>
    <t>=IF(K4312=0,"hide","")</t>
  </si>
  <si>
    <t>=D4311</t>
  </si>
  <si>
    <t>=NL("sum","Production Order","Quantity","Source No.",$D4312,"Equipment Code",$L4312,"due date",F$8)/-12</t>
  </si>
  <si>
    <t>=NL("sum","Production Order","Quantity","Source No.",$D4312,"Equipment Code",$L4312,"due date",G$8)/-12</t>
  </si>
  <si>
    <t>=NL("sum","Production Order","Quantity","Source No.",$D4312,"Equipment Code",$L4312,"due date",H$8)/-12</t>
  </si>
  <si>
    <t>=NL("sum","Production Order","Quantity","Source No.",$D4312,"Equipment Code",$L4312,"due date",I$8)/-12</t>
  </si>
  <si>
    <t>=NL("sum","Production Order","Quantity","Source No.",$D4312,"Equipment Code",$L4312,"due date",J$8)/$J$7</t>
  </si>
  <si>
    <t>=AVERAGE(I4312:J4312)</t>
  </si>
  <si>
    <t>=IF(K4313=0,"hide","")</t>
  </si>
  <si>
    <t>=D4312</t>
  </si>
  <si>
    <t>=NL("sum","Production Order","Quantity","Source No.",$D4313,"Equipment Code",$L4313,"due date",F$8)/-12</t>
  </si>
  <si>
    <t>=NL("sum","Production Order","Quantity","Source No.",$D4313,"Equipment Code",$L4313,"due date",G$8)/-12</t>
  </si>
  <si>
    <t>=NL("sum","Production Order","Quantity","Source No.",$D4313,"Equipment Code",$L4313,"due date",H$8)/-12</t>
  </si>
  <si>
    <t>=NL("sum","Production Order","Quantity","Source No.",$D4313,"Equipment Code",$L4313,"due date",I$8)/-12</t>
  </si>
  <si>
    <t>=NL("sum","Production Order","Quantity","Source No.",$D4313,"Equipment Code",$L4313,"due date",J$8)/$J$7</t>
  </si>
  <si>
    <t>=AVERAGE(I4313:J4313)</t>
  </si>
  <si>
    <t>=B4310</t>
  </si>
  <si>
    <t>=B4314</t>
  </si>
  <si>
    <t>=SUM(F4310:F4314)</t>
  </si>
  <si>
    <t>=SUM(G4310:G4314)</t>
  </si>
  <si>
    <t>=SUM(H4310:H4314)</t>
  </si>
  <si>
    <t>=SUM(I4310:I4314)</t>
  </si>
  <si>
    <t>=SUM(J4310:J4314)</t>
  </si>
  <si>
    <t>=IF(K4316=0,"hide","")</t>
  </si>
  <si>
    <t>=NL("rows","Production BOM Version","Version Code","Production BOM No.",D4316,"status","certified")</t>
  </si>
  <si>
    <t>=NL("sum","Item Ledger Entry","Quantity","Item No.",$D4316,"Entry Type","Sale|Consumption","posting date","01/01/19..12/31/19")/-12</t>
  </si>
  <si>
    <t>=NL("sum","Item Ledger Entry","Quantity","Item No.",$D4316,"Entry Type","Sale|Consumption","posting date","01/01/20..12/31/20")/-12</t>
  </si>
  <si>
    <t>=NL("sum","Item Ledger Entry","Quantity","Item No.",$D4316,"Entry Type","Sale|Consumption","posting date","01/01/21..12/31/21")/-12</t>
  </si>
  <si>
    <t>=NL("sum","Item Ledger Entry","Quantity","Item No.",$D4316,"Entry Type","Sale|Consumption","posting date","01/01/22..12/31/22")/-12</t>
  </si>
  <si>
    <t>=NL("sum","Item Ledger Entry","Quantity","Item No.",$D4316,"Entry Type","Sale|Consumption","posting date","01/01/23..12/31/23")/$J$7</t>
  </si>
  <si>
    <t>=AVERAGE(I4316:J4316)</t>
  </si>
  <si>
    <t>=NL(1,"item",L$9,"no.",D4316)</t>
  </si>
  <si>
    <t>=NL(1,"item",M$9,"no.",$D4316)</t>
  </si>
  <si>
    <t>=NL(1,"item","Units Per Parcel","no.",$D4316)</t>
  </si>
  <si>
    <t>=NL(1,"Prod. BOM Equipment","Fixed Prod. Time (Hours)","Production BOM No.",$D4316,"version code",$E4316,"Resource No.",O$9)</t>
  </si>
  <si>
    <t>=1/O4316</t>
  </si>
  <si>
    <t>=IF(NL(1,"Prod. BOM Equipment","Variable Prod. Time (Hours)","Production BOM No.",$D4316,"version code",$E4316,"Resource No.",$O$9)="",1,NL(1,"Prod. BOM Equipment","Variable Prod. Time (Hours)","Production BOM No.",$D4316,"version code",$E4316,"Resource No.",$O$9))</t>
  </si>
  <si>
    <t>=1/Q4316</t>
  </si>
  <si>
    <t>=R4316*N4316</t>
  </si>
  <si>
    <t>=IF(K4317=0,"hide","")</t>
  </si>
  <si>
    <t>=D4316</t>
  </si>
  <si>
    <t>=NL("sum","Production Order","Quantity","Source No.",$D4317,"Equipment Code",$L4317,"due date",F$8)/-12</t>
  </si>
  <si>
    <t>=NL("sum","Production Order","Quantity","Source No.",$D4317,"Equipment Code",$L4317,"due date",G$8)/-12</t>
  </si>
  <si>
    <t>=NL("sum","Production Order","Quantity","Source No.",$D4317,"Equipment Code",$L4317,"due date",H$8)/-12</t>
  </si>
  <si>
    <t>=NL("sum","Production Order","Quantity","Source No.",$D4317,"Equipment Code",$L4317,"due date",I$8)/-12</t>
  </si>
  <si>
    <t>=NL("sum","Production Order","Quantity","Source No.",$D4317,"Equipment Code",$L4317,"due date",J$8)/$J$7</t>
  </si>
  <si>
    <t>=AVERAGE(I4317:J4317)</t>
  </si>
  <si>
    <t>=IF(K4318=0,"hide","")</t>
  </si>
  <si>
    <t>=D4317</t>
  </si>
  <si>
    <t>=NL("sum","Production Order","Quantity","Source No.",$D4318,"Equipment Code",$L4318,"due date",F$8)/-12</t>
  </si>
  <si>
    <t>=NL("sum","Production Order","Quantity","Source No.",$D4318,"Equipment Code",$L4318,"due date",G$8)/-12</t>
  </si>
  <si>
    <t>=NL("sum","Production Order","Quantity","Source No.",$D4318,"Equipment Code",$L4318,"due date",H$8)/-12</t>
  </si>
  <si>
    <t>=NL("sum","Production Order","Quantity","Source No.",$D4318,"Equipment Code",$L4318,"due date",I$8)/-12</t>
  </si>
  <si>
    <t>=NL("sum","Production Order","Quantity","Source No.",$D4318,"Equipment Code",$L4318,"due date",J$8)/$J$7</t>
  </si>
  <si>
    <t>=AVERAGE(I4318:J4318)</t>
  </si>
  <si>
    <t>=IF(K4319=0,"hide","")</t>
  </si>
  <si>
    <t>=D4318</t>
  </si>
  <si>
    <t>=NL("sum","Production Order","Quantity","Source No.",$D4319,"Equipment Code",$L4319,"due date",F$8)/-12</t>
  </si>
  <si>
    <t>=NL("sum","Production Order","Quantity","Source No.",$D4319,"Equipment Code",$L4319,"due date",G$8)/-12</t>
  </si>
  <si>
    <t>=NL("sum","Production Order","Quantity","Source No.",$D4319,"Equipment Code",$L4319,"due date",H$8)/-12</t>
  </si>
  <si>
    <t>=NL("sum","Production Order","Quantity","Source No.",$D4319,"Equipment Code",$L4319,"due date",I$8)/-12</t>
  </si>
  <si>
    <t>=NL("sum","Production Order","Quantity","Source No.",$D4319,"Equipment Code",$L4319,"due date",J$8)/$J$7</t>
  </si>
  <si>
    <t>=AVERAGE(I4319:J4319)</t>
  </si>
  <si>
    <t>=IF(K4320=0,"hide","")</t>
  </si>
  <si>
    <t>=D4319</t>
  </si>
  <si>
    <t>=NL("sum","Production Order","Quantity","Source No.",$D4320,"Equipment Code",$L4320,"due date",F$8)/-12</t>
  </si>
  <si>
    <t>=NL("sum","Production Order","Quantity","Source No.",$D4320,"Equipment Code",$L4320,"due date",G$8)/-12</t>
  </si>
  <si>
    <t>=NL("sum","Production Order","Quantity","Source No.",$D4320,"Equipment Code",$L4320,"due date",H$8)/-12</t>
  </si>
  <si>
    <t>=NL("sum","Production Order","Quantity","Source No.",$D4320,"Equipment Code",$L4320,"due date",I$8)/-12</t>
  </si>
  <si>
    <t>=NL("sum","Production Order","Quantity","Source No.",$D4320,"Equipment Code",$L4320,"due date",J$8)/$J$7</t>
  </si>
  <si>
    <t>=AVERAGE(I4320:J4320)</t>
  </si>
  <si>
    <t>=B4317</t>
  </si>
  <si>
    <t>=B4321</t>
  </si>
  <si>
    <t>=SUM(F4317:F4321)</t>
  </si>
  <si>
    <t>=SUM(G4317:G4321)</t>
  </si>
  <si>
    <t>=SUM(H4317:H4321)</t>
  </si>
  <si>
    <t>=SUM(I4317:I4321)</t>
  </si>
  <si>
    <t>=SUM(J4317:J4321)</t>
  </si>
  <si>
    <t>=IF(K4323=0,"hide","")</t>
  </si>
  <si>
    <t>=NL("rows","Production BOM Version","Version Code","Production BOM No.",D4323,"status","certified")</t>
  </si>
  <si>
    <t>=NL("sum","Item Ledger Entry","Quantity","Item No.",$D4323,"Entry Type","Sale|Consumption","posting date","01/01/19..12/31/19")/-12</t>
  </si>
  <si>
    <t>=NL("sum","Item Ledger Entry","Quantity","Item No.",$D4323,"Entry Type","Sale|Consumption","posting date","01/01/20..12/31/20")/-12</t>
  </si>
  <si>
    <t>=NL("sum","Item Ledger Entry","Quantity","Item No.",$D4323,"Entry Type","Sale|Consumption","posting date","01/01/21..12/31/21")/-12</t>
  </si>
  <si>
    <t>=NL("sum","Item Ledger Entry","Quantity","Item No.",$D4323,"Entry Type","Sale|Consumption","posting date","01/01/22..12/31/22")/-12</t>
  </si>
  <si>
    <t>=NL("sum","Item Ledger Entry","Quantity","Item No.",$D4323,"Entry Type","Sale|Consumption","posting date","01/01/23..12/31/23")/$J$7</t>
  </si>
  <si>
    <t>=AVERAGE(I4323:J4323)</t>
  </si>
  <si>
    <t>=NL(1,"item",L$9,"no.",D4323)</t>
  </si>
  <si>
    <t>=NL(1,"item",M$9,"no.",$D4323)</t>
  </si>
  <si>
    <t>=NL(1,"item","Units Per Parcel","no.",$D4323)</t>
  </si>
  <si>
    <t>=NL(1,"Prod. BOM Equipment","Fixed Prod. Time (Hours)","Production BOM No.",$D4323,"version code",$E4323,"Resource No.",O$9)</t>
  </si>
  <si>
    <t>=1/O4323</t>
  </si>
  <si>
    <t>=IF(NL(1,"Prod. BOM Equipment","Variable Prod. Time (Hours)","Production BOM No.",$D4323,"version code",$E4323,"Resource No.",$O$9)="",1,NL(1,"Prod. BOM Equipment","Variable Prod. Time (Hours)","Production BOM No.",$D4323,"version code",$E4323,"Resource No.",$O$9))</t>
  </si>
  <si>
    <t>=1/Q4323</t>
  </si>
  <si>
    <t>=R4323*N4323</t>
  </si>
  <si>
    <t>=IF(K4324=0,"hide","")</t>
  </si>
  <si>
    <t>=D4323</t>
  </si>
  <si>
    <t>=NL("sum","Production Order","Quantity","Source No.",$D4324,"Equipment Code",$L4324,"due date",F$8)/-12</t>
  </si>
  <si>
    <t>=NL("sum","Production Order","Quantity","Source No.",$D4324,"Equipment Code",$L4324,"due date",G$8)/-12</t>
  </si>
  <si>
    <t>=NL("sum","Production Order","Quantity","Source No.",$D4324,"Equipment Code",$L4324,"due date",H$8)/-12</t>
  </si>
  <si>
    <t>=NL("sum","Production Order","Quantity","Source No.",$D4324,"Equipment Code",$L4324,"due date",I$8)/-12</t>
  </si>
  <si>
    <t>=NL("sum","Production Order","Quantity","Source No.",$D4324,"Equipment Code",$L4324,"due date",J$8)/$J$7</t>
  </si>
  <si>
    <t>=AVERAGE(I4324:J4324)</t>
  </si>
  <si>
    <t>=IF(K4325=0,"hide","")</t>
  </si>
  <si>
    <t>=D4324</t>
  </si>
  <si>
    <t>=NL("sum","Production Order","Quantity","Source No.",$D4325,"Equipment Code",$L4325,"due date",F$8)/-12</t>
  </si>
  <si>
    <t>=NL("sum","Production Order","Quantity","Source No.",$D4325,"Equipment Code",$L4325,"due date",G$8)/-12</t>
  </si>
  <si>
    <t>=NL("sum","Production Order","Quantity","Source No.",$D4325,"Equipment Code",$L4325,"due date",H$8)/-12</t>
  </si>
  <si>
    <t>=NL("sum","Production Order","Quantity","Source No.",$D4325,"Equipment Code",$L4325,"due date",I$8)/-12</t>
  </si>
  <si>
    <t>=NL("sum","Production Order","Quantity","Source No.",$D4325,"Equipment Code",$L4325,"due date",J$8)/$J$7</t>
  </si>
  <si>
    <t>=AVERAGE(I4325:J4325)</t>
  </si>
  <si>
    <t>=IF(K4326=0,"hide","")</t>
  </si>
  <si>
    <t>=D4325</t>
  </si>
  <si>
    <t>=NL("sum","Production Order","Quantity","Source No.",$D4326,"Equipment Code",$L4326,"due date",F$8)/-12</t>
  </si>
  <si>
    <t>=NL("sum","Production Order","Quantity","Source No.",$D4326,"Equipment Code",$L4326,"due date",G$8)/-12</t>
  </si>
  <si>
    <t>=NL("sum","Production Order","Quantity","Source No.",$D4326,"Equipment Code",$L4326,"due date",H$8)/-12</t>
  </si>
  <si>
    <t>=NL("sum","Production Order","Quantity","Source No.",$D4326,"Equipment Code",$L4326,"due date",I$8)/-12</t>
  </si>
  <si>
    <t>=NL("sum","Production Order","Quantity","Source No.",$D4326,"Equipment Code",$L4326,"due date",J$8)/$J$7</t>
  </si>
  <si>
    <t>=AVERAGE(I4326:J4326)</t>
  </si>
  <si>
    <t>=IF(K4327=0,"hide","")</t>
  </si>
  <si>
    <t>=D4326</t>
  </si>
  <si>
    <t>=NL("sum","Production Order","Quantity","Source No.",$D4327,"Equipment Code",$L4327,"due date",F$8)/-12</t>
  </si>
  <si>
    <t>=NL("sum","Production Order","Quantity","Source No.",$D4327,"Equipment Code",$L4327,"due date",G$8)/-12</t>
  </si>
  <si>
    <t>=NL("sum","Production Order","Quantity","Source No.",$D4327,"Equipment Code",$L4327,"due date",H$8)/-12</t>
  </si>
  <si>
    <t>=NL("sum","Production Order","Quantity","Source No.",$D4327,"Equipment Code",$L4327,"due date",I$8)/-12</t>
  </si>
  <si>
    <t>=NL("sum","Production Order","Quantity","Source No.",$D4327,"Equipment Code",$L4327,"due date",J$8)/$J$7</t>
  </si>
  <si>
    <t>=AVERAGE(I4327:J4327)</t>
  </si>
  <si>
    <t>=B4324</t>
  </si>
  <si>
    <t>=B4328</t>
  </si>
  <si>
    <t>=SUM(F4324:F4328)</t>
  </si>
  <si>
    <t>=SUM(G4324:G4328)</t>
  </si>
  <si>
    <t>=SUM(H4324:H4328)</t>
  </si>
  <si>
    <t>=SUM(I4324:I4328)</t>
  </si>
  <si>
    <t>=SUM(J4324:J4328)</t>
  </si>
  <si>
    <t>=IF(K4330=0,"hide","")</t>
  </si>
  <si>
    <t>=NL("rows","Production BOM Version","Version Code","Production BOM No.",D4330,"status","certified")</t>
  </si>
  <si>
    <t>=NL("sum","Item Ledger Entry","Quantity","Item No.",$D4330,"Entry Type","Sale|Consumption","posting date","01/01/19..12/31/19")/-12</t>
  </si>
  <si>
    <t>=NL("sum","Item Ledger Entry","Quantity","Item No.",$D4330,"Entry Type","Sale|Consumption","posting date","01/01/20..12/31/20")/-12</t>
  </si>
  <si>
    <t>=NL("sum","Item Ledger Entry","Quantity","Item No.",$D4330,"Entry Type","Sale|Consumption","posting date","01/01/21..12/31/21")/-12</t>
  </si>
  <si>
    <t>=NL("sum","Item Ledger Entry","Quantity","Item No.",$D4330,"Entry Type","Sale|Consumption","posting date","01/01/22..12/31/22")/-12</t>
  </si>
  <si>
    <t>=NL("sum","Item Ledger Entry","Quantity","Item No.",$D4330,"Entry Type","Sale|Consumption","posting date","01/01/23..12/31/23")/$J$7</t>
  </si>
  <si>
    <t>=AVERAGE(I4330:J4330)</t>
  </si>
  <si>
    <t>=NL(1,"item",L$9,"no.",D4330)</t>
  </si>
  <si>
    <t>=NL(1,"item",M$9,"no.",$D4330)</t>
  </si>
  <si>
    <t>=NL(1,"item","Units Per Parcel","no.",$D4330)</t>
  </si>
  <si>
    <t>=NL(1,"Prod. BOM Equipment","Fixed Prod. Time (Hours)","Production BOM No.",$D4330,"version code",$E4330,"Resource No.",O$9)</t>
  </si>
  <si>
    <t>=1/O4330</t>
  </si>
  <si>
    <t>=IF(NL(1,"Prod. BOM Equipment","Variable Prod. Time (Hours)","Production BOM No.",$D4330,"version code",$E4330,"Resource No.",$O$9)="",1,NL(1,"Prod. BOM Equipment","Variable Prod. Time (Hours)","Production BOM No.",$D4330,"version code",$E4330,"Resource No.",$O$9))</t>
  </si>
  <si>
    <t>=1/Q4330</t>
  </si>
  <si>
    <t>=R4330*N4330</t>
  </si>
  <si>
    <t>=IF(K4331=0,"hide","")</t>
  </si>
  <si>
    <t>=D4330</t>
  </si>
  <si>
    <t>=NL("sum","Production Order","Quantity","Source No.",$D4331,"Equipment Code",$L4331,"due date",F$8)/-12</t>
  </si>
  <si>
    <t>=NL("sum","Production Order","Quantity","Source No.",$D4331,"Equipment Code",$L4331,"due date",G$8)/-12</t>
  </si>
  <si>
    <t>=NL("sum","Production Order","Quantity","Source No.",$D4331,"Equipment Code",$L4331,"due date",H$8)/-12</t>
  </si>
  <si>
    <t>=NL("sum","Production Order","Quantity","Source No.",$D4331,"Equipment Code",$L4331,"due date",I$8)/-12</t>
  </si>
  <si>
    <t>=NL("sum","Production Order","Quantity","Source No.",$D4331,"Equipment Code",$L4331,"due date",J$8)/$J$7</t>
  </si>
  <si>
    <t>=AVERAGE(I4331:J4331)</t>
  </si>
  <si>
    <t>=IF(K4332=0,"hide","")</t>
  </si>
  <si>
    <t>=D4331</t>
  </si>
  <si>
    <t>=NL("sum","Production Order","Quantity","Source No.",$D4332,"Equipment Code",$L4332,"due date",F$8)/-12</t>
  </si>
  <si>
    <t>=NL("sum","Production Order","Quantity","Source No.",$D4332,"Equipment Code",$L4332,"due date",G$8)/-12</t>
  </si>
  <si>
    <t>=NL("sum","Production Order","Quantity","Source No.",$D4332,"Equipment Code",$L4332,"due date",H$8)/-12</t>
  </si>
  <si>
    <t>=NL("sum","Production Order","Quantity","Source No.",$D4332,"Equipment Code",$L4332,"due date",I$8)/-12</t>
  </si>
  <si>
    <t>=NL("sum","Production Order","Quantity","Source No.",$D4332,"Equipment Code",$L4332,"due date",J$8)/$J$7</t>
  </si>
  <si>
    <t>=AVERAGE(I4332:J4332)</t>
  </si>
  <si>
    <t>=IF(K4333=0,"hide","")</t>
  </si>
  <si>
    <t>=D4332</t>
  </si>
  <si>
    <t>=NL("sum","Production Order","Quantity","Source No.",$D4333,"Equipment Code",$L4333,"due date",F$8)/-12</t>
  </si>
  <si>
    <t>=NL("sum","Production Order","Quantity","Source No.",$D4333,"Equipment Code",$L4333,"due date",G$8)/-12</t>
  </si>
  <si>
    <t>=NL("sum","Production Order","Quantity","Source No.",$D4333,"Equipment Code",$L4333,"due date",H$8)/-12</t>
  </si>
  <si>
    <t>=NL("sum","Production Order","Quantity","Source No.",$D4333,"Equipment Code",$L4333,"due date",I$8)/-12</t>
  </si>
  <si>
    <t>=NL("sum","Production Order","Quantity","Source No.",$D4333,"Equipment Code",$L4333,"due date",J$8)/$J$7</t>
  </si>
  <si>
    <t>=AVERAGE(I4333:J4333)</t>
  </si>
  <si>
    <t>=IF(K4334=0,"hide","")</t>
  </si>
  <si>
    <t>=D4333</t>
  </si>
  <si>
    <t>=NL("sum","Production Order","Quantity","Source No.",$D4334,"Equipment Code",$L4334,"due date",F$8)/-12</t>
  </si>
  <si>
    <t>=NL("sum","Production Order","Quantity","Source No.",$D4334,"Equipment Code",$L4334,"due date",G$8)/-12</t>
  </si>
  <si>
    <t>=NL("sum","Production Order","Quantity","Source No.",$D4334,"Equipment Code",$L4334,"due date",H$8)/-12</t>
  </si>
  <si>
    <t>=NL("sum","Production Order","Quantity","Source No.",$D4334,"Equipment Code",$L4334,"due date",I$8)/-12</t>
  </si>
  <si>
    <t>=NL("sum","Production Order","Quantity","Source No.",$D4334,"Equipment Code",$L4334,"due date",J$8)/$J$7</t>
  </si>
  <si>
    <t>=AVERAGE(I4334:J4334)</t>
  </si>
  <si>
    <t>=B4331</t>
  </si>
  <si>
    <t>=B4335</t>
  </si>
  <si>
    <t>=SUM(F4331:F4335)</t>
  </si>
  <si>
    <t>=SUM(G4331:G4335)</t>
  </si>
  <si>
    <t>=SUM(H4331:H4335)</t>
  </si>
  <si>
    <t>=SUM(I4331:I4335)</t>
  </si>
  <si>
    <t>=SUM(J4331:J4335)</t>
  </si>
  <si>
    <t>=IF(K4337=0,"hide","")</t>
  </si>
  <si>
    <t>="61457"</t>
  </si>
  <si>
    <t>=NL("rows","Production BOM Version","Version Code","Production BOM No.",D4337,"status","certified")</t>
  </si>
  <si>
    <t>=NL("sum","Item Ledger Entry","Quantity","Item No.",$D4337,"Entry Type","Sale|Consumption","posting date","01/01/19..12/31/19")/-12</t>
  </si>
  <si>
    <t>=NL("sum","Item Ledger Entry","Quantity","Item No.",$D4337,"Entry Type","Sale|Consumption","posting date","01/01/20..12/31/20")/-12</t>
  </si>
  <si>
    <t>=NL("sum","Item Ledger Entry","Quantity","Item No.",$D4337,"Entry Type","Sale|Consumption","posting date","01/01/21..12/31/21")/-12</t>
  </si>
  <si>
    <t>=NL("sum","Item Ledger Entry","Quantity","Item No.",$D4337,"Entry Type","Sale|Consumption","posting date","01/01/22..12/31/22")/-12</t>
  </si>
  <si>
    <t>=NL("sum","Item Ledger Entry","Quantity","Item No.",$D4337,"Entry Type","Sale|Consumption","posting date","01/01/23..12/31/23")/$J$7</t>
  </si>
  <si>
    <t>=AVERAGE(I4337:J4337)</t>
  </si>
  <si>
    <t>=NL(1,"item",L$9,"no.",D4337)</t>
  </si>
  <si>
    <t>=NL(1,"item",M$9,"no.",$D4337)</t>
  </si>
  <si>
    <t>=NL(1,"item","Units Per Parcel","no.",$D4337)</t>
  </si>
  <si>
    <t>=NL(1,"Prod. BOM Equipment","Fixed Prod. Time (Hours)","Production BOM No.",$D4337,"version code",$E4337,"Resource No.",O$9)</t>
  </si>
  <si>
    <t>=1/O4337</t>
  </si>
  <si>
    <t>=IF(NL(1,"Prod. BOM Equipment","Variable Prod. Time (Hours)","Production BOM No.",$D4337,"version code",$E4337,"Resource No.",$O$9)="",1,NL(1,"Prod. BOM Equipment","Variable Prod. Time (Hours)","Production BOM No.",$D4337,"version code",$E4337,"Resource No.",$O$9))</t>
  </si>
  <si>
    <t>=1/Q4337</t>
  </si>
  <si>
    <t>=R4337*N4337</t>
  </si>
  <si>
    <t>=IF(K4338=0,"hide","")</t>
  </si>
  <si>
    <t>=D4337</t>
  </si>
  <si>
    <t>=NL("sum","Production Order","Quantity","Source No.",$D4338,"Equipment Code",$L4338,"due date",F$8)/-12</t>
  </si>
  <si>
    <t>=NL("sum","Production Order","Quantity","Source No.",$D4338,"Equipment Code",$L4338,"due date",G$8)/-12</t>
  </si>
  <si>
    <t>=NL("sum","Production Order","Quantity","Source No.",$D4338,"Equipment Code",$L4338,"due date",H$8)/-12</t>
  </si>
  <si>
    <t>=NL("sum","Production Order","Quantity","Source No.",$D4338,"Equipment Code",$L4338,"due date",I$8)/-12</t>
  </si>
  <si>
    <t>=NL("sum","Production Order","Quantity","Source No.",$D4338,"Equipment Code",$L4338,"due date",J$8)/$J$7</t>
  </si>
  <si>
    <t>=AVERAGE(I4338:J4338)</t>
  </si>
  <si>
    <t>=IF(K4339=0,"hide","")</t>
  </si>
  <si>
    <t>=D4338</t>
  </si>
  <si>
    <t>=NL("sum","Production Order","Quantity","Source No.",$D4339,"Equipment Code",$L4339,"due date",F$8)/-12</t>
  </si>
  <si>
    <t>=NL("sum","Production Order","Quantity","Source No.",$D4339,"Equipment Code",$L4339,"due date",G$8)/-12</t>
  </si>
  <si>
    <t>=NL("sum","Production Order","Quantity","Source No.",$D4339,"Equipment Code",$L4339,"due date",H$8)/-12</t>
  </si>
  <si>
    <t>=NL("sum","Production Order","Quantity","Source No.",$D4339,"Equipment Code",$L4339,"due date",I$8)/-12</t>
  </si>
  <si>
    <t>=NL("sum","Production Order","Quantity","Source No.",$D4339,"Equipment Code",$L4339,"due date",J$8)/$J$7</t>
  </si>
  <si>
    <t>=AVERAGE(I4339:J4339)</t>
  </si>
  <si>
    <t>=IF(K4340=0,"hide","")</t>
  </si>
  <si>
    <t>=D4339</t>
  </si>
  <si>
    <t>=NL("sum","Production Order","Quantity","Source No.",$D4340,"Equipment Code",$L4340,"due date",F$8)/-12</t>
  </si>
  <si>
    <t>=NL("sum","Production Order","Quantity","Source No.",$D4340,"Equipment Code",$L4340,"due date",G$8)/-12</t>
  </si>
  <si>
    <t>=NL("sum","Production Order","Quantity","Source No.",$D4340,"Equipment Code",$L4340,"due date",H$8)/-12</t>
  </si>
  <si>
    <t>=NL("sum","Production Order","Quantity","Source No.",$D4340,"Equipment Code",$L4340,"due date",I$8)/-12</t>
  </si>
  <si>
    <t>=NL("sum","Production Order","Quantity","Source No.",$D4340,"Equipment Code",$L4340,"due date",J$8)/$J$7</t>
  </si>
  <si>
    <t>=AVERAGE(I4340:J4340)</t>
  </si>
  <si>
    <t>=IF(K4341=0,"hide","")</t>
  </si>
  <si>
    <t>=D4340</t>
  </si>
  <si>
    <t>=NL("sum","Production Order","Quantity","Source No.",$D4341,"Equipment Code",$L4341,"due date",F$8)/-12</t>
  </si>
  <si>
    <t>=NL("sum","Production Order","Quantity","Source No.",$D4341,"Equipment Code",$L4341,"due date",G$8)/-12</t>
  </si>
  <si>
    <t>=NL("sum","Production Order","Quantity","Source No.",$D4341,"Equipment Code",$L4341,"due date",H$8)/-12</t>
  </si>
  <si>
    <t>=NL("sum","Production Order","Quantity","Source No.",$D4341,"Equipment Code",$L4341,"due date",I$8)/-12</t>
  </si>
  <si>
    <t>=NL("sum","Production Order","Quantity","Source No.",$D4341,"Equipment Code",$L4341,"due date",J$8)/$J$7</t>
  </si>
  <si>
    <t>=AVERAGE(I4341:J4341)</t>
  </si>
  <si>
    <t>=B4338</t>
  </si>
  <si>
    <t>=B4342</t>
  </si>
  <si>
    <t>=SUM(F4338:F4342)</t>
  </si>
  <si>
    <t>=SUM(G4338:G4342)</t>
  </si>
  <si>
    <t>=SUM(H4338:H4342)</t>
  </si>
  <si>
    <t>=SUM(I4338:I4342)</t>
  </si>
  <si>
    <t>=SUM(J4338:J4342)</t>
  </si>
  <si>
    <t>=IF(K4344=0,"hide","")</t>
  </si>
  <si>
    <t>=NL("rows","Production BOM Version","Version Code","Production BOM No.",D4344,"status","certified")</t>
  </si>
  <si>
    <t>=NL("sum","Item Ledger Entry","Quantity","Item No.",$D4344,"Entry Type","Sale|Consumption","posting date","01/01/19..12/31/19")/-12</t>
  </si>
  <si>
    <t>=NL("sum","Item Ledger Entry","Quantity","Item No.",$D4344,"Entry Type","Sale|Consumption","posting date","01/01/20..12/31/20")/-12</t>
  </si>
  <si>
    <t>=NL("sum","Item Ledger Entry","Quantity","Item No.",$D4344,"Entry Type","Sale|Consumption","posting date","01/01/21..12/31/21")/-12</t>
  </si>
  <si>
    <t>=NL("sum","Item Ledger Entry","Quantity","Item No.",$D4344,"Entry Type","Sale|Consumption","posting date","01/01/22..12/31/22")/-12</t>
  </si>
  <si>
    <t>=NL("sum","Item Ledger Entry","Quantity","Item No.",$D4344,"Entry Type","Sale|Consumption","posting date","01/01/23..12/31/23")/$J$7</t>
  </si>
  <si>
    <t>=AVERAGE(I4344:J4344)</t>
  </si>
  <si>
    <t>=NL(1,"item",L$9,"no.",D4344)</t>
  </si>
  <si>
    <t>=NL(1,"item",M$9,"no.",$D4344)</t>
  </si>
  <si>
    <t>=NL(1,"item","Units Per Parcel","no.",$D4344)</t>
  </si>
  <si>
    <t>=NL(1,"Prod. BOM Equipment","Fixed Prod. Time (Hours)","Production BOM No.",$D4344,"version code",$E4344,"Resource No.",O$9)</t>
  </si>
  <si>
    <t>=1/O4344</t>
  </si>
  <si>
    <t>=IF(NL(1,"Prod. BOM Equipment","Variable Prod. Time (Hours)","Production BOM No.",$D4344,"version code",$E4344,"Resource No.",$O$9)="",1,NL(1,"Prod. BOM Equipment","Variable Prod. Time (Hours)","Production BOM No.",$D4344,"version code",$E4344,"Resource No.",$O$9))</t>
  </si>
  <si>
    <t>=1/Q4344</t>
  </si>
  <si>
    <t>=R4344*N4344</t>
  </si>
  <si>
    <t>=IF(K4345=0,"hide","")</t>
  </si>
  <si>
    <t>=D4344</t>
  </si>
  <si>
    <t>=NL("sum","Production Order","Quantity","Source No.",$D4345,"Equipment Code",$L4345,"due date",F$8)/-12</t>
  </si>
  <si>
    <t>=NL("sum","Production Order","Quantity","Source No.",$D4345,"Equipment Code",$L4345,"due date",G$8)/-12</t>
  </si>
  <si>
    <t>=NL("sum","Production Order","Quantity","Source No.",$D4345,"Equipment Code",$L4345,"due date",H$8)/-12</t>
  </si>
  <si>
    <t>=NL("sum","Production Order","Quantity","Source No.",$D4345,"Equipment Code",$L4345,"due date",I$8)/-12</t>
  </si>
  <si>
    <t>=NL("sum","Production Order","Quantity","Source No.",$D4345,"Equipment Code",$L4345,"due date",J$8)/$J$7</t>
  </si>
  <si>
    <t>=AVERAGE(I4345:J4345)</t>
  </si>
  <si>
    <t>=IF(K4346=0,"hide","")</t>
  </si>
  <si>
    <t>=D4345</t>
  </si>
  <si>
    <t>=NL("sum","Production Order","Quantity","Source No.",$D4346,"Equipment Code",$L4346,"due date",F$8)/-12</t>
  </si>
  <si>
    <t>=NL("sum","Production Order","Quantity","Source No.",$D4346,"Equipment Code",$L4346,"due date",G$8)/-12</t>
  </si>
  <si>
    <t>=NL("sum","Production Order","Quantity","Source No.",$D4346,"Equipment Code",$L4346,"due date",H$8)/-12</t>
  </si>
  <si>
    <t>=NL("sum","Production Order","Quantity","Source No.",$D4346,"Equipment Code",$L4346,"due date",I$8)/-12</t>
  </si>
  <si>
    <t>=NL("sum","Production Order","Quantity","Source No.",$D4346,"Equipment Code",$L4346,"due date",J$8)/$J$7</t>
  </si>
  <si>
    <t>=AVERAGE(I4346:J4346)</t>
  </si>
  <si>
    <t>=IF(K4347=0,"hide","")</t>
  </si>
  <si>
    <t>=D4346</t>
  </si>
  <si>
    <t>=NL("sum","Production Order","Quantity","Source No.",$D4347,"Equipment Code",$L4347,"due date",F$8)/-12</t>
  </si>
  <si>
    <t>=NL("sum","Production Order","Quantity","Source No.",$D4347,"Equipment Code",$L4347,"due date",G$8)/-12</t>
  </si>
  <si>
    <t>=NL("sum","Production Order","Quantity","Source No.",$D4347,"Equipment Code",$L4347,"due date",H$8)/-12</t>
  </si>
  <si>
    <t>=NL("sum","Production Order","Quantity","Source No.",$D4347,"Equipment Code",$L4347,"due date",I$8)/-12</t>
  </si>
  <si>
    <t>=NL("sum","Production Order","Quantity","Source No.",$D4347,"Equipment Code",$L4347,"due date",J$8)/$J$7</t>
  </si>
  <si>
    <t>=AVERAGE(I4347:J4347)</t>
  </si>
  <si>
    <t>=IF(K4348=0,"hide","")</t>
  </si>
  <si>
    <t>=D4347</t>
  </si>
  <si>
    <t>=NL("sum","Production Order","Quantity","Source No.",$D4348,"Equipment Code",$L4348,"due date",F$8)/-12</t>
  </si>
  <si>
    <t>=NL("sum","Production Order","Quantity","Source No.",$D4348,"Equipment Code",$L4348,"due date",G$8)/-12</t>
  </si>
  <si>
    <t>=NL("sum","Production Order","Quantity","Source No.",$D4348,"Equipment Code",$L4348,"due date",H$8)/-12</t>
  </si>
  <si>
    <t>=NL("sum","Production Order","Quantity","Source No.",$D4348,"Equipment Code",$L4348,"due date",I$8)/-12</t>
  </si>
  <si>
    <t>=NL("sum","Production Order","Quantity","Source No.",$D4348,"Equipment Code",$L4348,"due date",J$8)/$J$7</t>
  </si>
  <si>
    <t>=AVERAGE(I4348:J4348)</t>
  </si>
  <si>
    <t>=B4345</t>
  </si>
  <si>
    <t>=B4349</t>
  </si>
  <si>
    <t>=SUM(F4345:F4349)</t>
  </si>
  <si>
    <t>=SUM(G4345:G4349)</t>
  </si>
  <si>
    <t>=SUM(H4345:H4349)</t>
  </si>
  <si>
    <t>=SUM(I4345:I4349)</t>
  </si>
  <si>
    <t>=SUM(J4345:J4349)</t>
  </si>
  <si>
    <t>=IF(K4351=0,"hide","")</t>
  </si>
  <si>
    <t>="633-NSC"</t>
  </si>
  <si>
    <t>=NL("rows","Production BOM Version","Version Code","Production BOM No.",D4351,"status","certified")</t>
  </si>
  <si>
    <t>=NL("sum","Item Ledger Entry","Quantity","Item No.",$D4351,"Entry Type","Sale|Consumption","posting date","01/01/19..12/31/19")/-12</t>
  </si>
  <si>
    <t>=NL("sum","Item Ledger Entry","Quantity","Item No.",$D4351,"Entry Type","Sale|Consumption","posting date","01/01/20..12/31/20")/-12</t>
  </si>
  <si>
    <t>=NL("sum","Item Ledger Entry","Quantity","Item No.",$D4351,"Entry Type","Sale|Consumption","posting date","01/01/21..12/31/21")/-12</t>
  </si>
  <si>
    <t>=NL("sum","Item Ledger Entry","Quantity","Item No.",$D4351,"Entry Type","Sale|Consumption","posting date","01/01/22..12/31/22")/-12</t>
  </si>
  <si>
    <t>=NL("sum","Item Ledger Entry","Quantity","Item No.",$D4351,"Entry Type","Sale|Consumption","posting date","01/01/23..12/31/23")/$J$7</t>
  </si>
  <si>
    <t>=AVERAGE(I4351:J4351)</t>
  </si>
  <si>
    <t>=NL(1,"item",L$9,"no.",D4351)</t>
  </si>
  <si>
    <t>=NL(1,"item",M$9,"no.",$D4351)</t>
  </si>
  <si>
    <t>=NL(1,"item","Units Per Parcel","no.",$D4351)</t>
  </si>
  <si>
    <t>=NL(1,"Prod. BOM Equipment","Fixed Prod. Time (Hours)","Production BOM No.",$D4351,"version code",$E4351,"Resource No.",O$9)</t>
  </si>
  <si>
    <t>=1/O4351</t>
  </si>
  <si>
    <t>=IF(NL(1,"Prod. BOM Equipment","Variable Prod. Time (Hours)","Production BOM No.",$D4351,"version code",$E4351,"Resource No.",$O$9)="",1,NL(1,"Prod. BOM Equipment","Variable Prod. Time (Hours)","Production BOM No.",$D4351,"version code",$E4351,"Resource No.",$O$9))</t>
  </si>
  <si>
    <t>=1/Q4351</t>
  </si>
  <si>
    <t>=R4351*N4351</t>
  </si>
  <si>
    <t>=IF(K4352=0,"hide","")</t>
  </si>
  <si>
    <t>=D4351</t>
  </si>
  <si>
    <t>=NL("sum","Production Order","Quantity","Source No.",$D4352,"Equipment Code",$L4352,"due date",F$8)/-12</t>
  </si>
  <si>
    <t>=NL("sum","Production Order","Quantity","Source No.",$D4352,"Equipment Code",$L4352,"due date",G$8)/-12</t>
  </si>
  <si>
    <t>=NL("sum","Production Order","Quantity","Source No.",$D4352,"Equipment Code",$L4352,"due date",H$8)/-12</t>
  </si>
  <si>
    <t>=NL("sum","Production Order","Quantity","Source No.",$D4352,"Equipment Code",$L4352,"due date",I$8)/-12</t>
  </si>
  <si>
    <t>=NL("sum","Production Order","Quantity","Source No.",$D4352,"Equipment Code",$L4352,"due date",J$8)/$J$7</t>
  </si>
  <si>
    <t>=AVERAGE(I4352:J4352)</t>
  </si>
  <si>
    <t>=IF(K4353=0,"hide","")</t>
  </si>
  <si>
    <t>=D4352</t>
  </si>
  <si>
    <t>=NL("sum","Production Order","Quantity","Source No.",$D4353,"Equipment Code",$L4353,"due date",F$8)/-12</t>
  </si>
  <si>
    <t>=NL("sum","Production Order","Quantity","Source No.",$D4353,"Equipment Code",$L4353,"due date",G$8)/-12</t>
  </si>
  <si>
    <t>=NL("sum","Production Order","Quantity","Source No.",$D4353,"Equipment Code",$L4353,"due date",H$8)/-12</t>
  </si>
  <si>
    <t>=NL("sum","Production Order","Quantity","Source No.",$D4353,"Equipment Code",$L4353,"due date",I$8)/-12</t>
  </si>
  <si>
    <t>=NL("sum","Production Order","Quantity","Source No.",$D4353,"Equipment Code",$L4353,"due date",J$8)/$J$7</t>
  </si>
  <si>
    <t>=AVERAGE(I4353:J4353)</t>
  </si>
  <si>
    <t>=IF(K4354=0,"hide","")</t>
  </si>
  <si>
    <t>=D4353</t>
  </si>
  <si>
    <t>=NL("sum","Production Order","Quantity","Source No.",$D4354,"Equipment Code",$L4354,"due date",F$8)/-12</t>
  </si>
  <si>
    <t>=NL("sum","Production Order","Quantity","Source No.",$D4354,"Equipment Code",$L4354,"due date",G$8)/-12</t>
  </si>
  <si>
    <t>=NL("sum","Production Order","Quantity","Source No.",$D4354,"Equipment Code",$L4354,"due date",H$8)/-12</t>
  </si>
  <si>
    <t>=NL("sum","Production Order","Quantity","Source No.",$D4354,"Equipment Code",$L4354,"due date",I$8)/-12</t>
  </si>
  <si>
    <t>=NL("sum","Production Order","Quantity","Source No.",$D4354,"Equipment Code",$L4354,"due date",J$8)/$J$7</t>
  </si>
  <si>
    <t>=AVERAGE(I4354:J4354)</t>
  </si>
  <si>
    <t>=IF(K4355=0,"hide","")</t>
  </si>
  <si>
    <t>=D4354</t>
  </si>
  <si>
    <t>=NL("sum","Production Order","Quantity","Source No.",$D4355,"Equipment Code",$L4355,"due date",F$8)/-12</t>
  </si>
  <si>
    <t>=NL("sum","Production Order","Quantity","Source No.",$D4355,"Equipment Code",$L4355,"due date",G$8)/-12</t>
  </si>
  <si>
    <t>=NL("sum","Production Order","Quantity","Source No.",$D4355,"Equipment Code",$L4355,"due date",H$8)/-12</t>
  </si>
  <si>
    <t>=NL("sum","Production Order","Quantity","Source No.",$D4355,"Equipment Code",$L4355,"due date",I$8)/-12</t>
  </si>
  <si>
    <t>=NL("sum","Production Order","Quantity","Source No.",$D4355,"Equipment Code",$L4355,"due date",J$8)/$J$7</t>
  </si>
  <si>
    <t>=AVERAGE(I4355:J4355)</t>
  </si>
  <si>
    <t>=B4352</t>
  </si>
  <si>
    <t>=B4356</t>
  </si>
  <si>
    <t>=SUM(F4352:F4356)</t>
  </si>
  <si>
    <t>=SUM(G4352:G4356)</t>
  </si>
  <si>
    <t>=SUM(H4352:H4356)</t>
  </si>
  <si>
    <t>=SUM(I4352:I4356)</t>
  </si>
  <si>
    <t>=SUM(J4352:J4356)</t>
  </si>
  <si>
    <t>=IF(K4358=0,"hide","")</t>
  </si>
  <si>
    <t>="63401"</t>
  </si>
  <si>
    <t>=NL("rows","Production BOM Version","Version Code","Production BOM No.",D4358,"status","certified")</t>
  </si>
  <si>
    <t>=NL("sum","Item Ledger Entry","Quantity","Item No.",$D4358,"Entry Type","Sale|Consumption","posting date","01/01/19..12/31/19")/-12</t>
  </si>
  <si>
    <t>=NL("sum","Item Ledger Entry","Quantity","Item No.",$D4358,"Entry Type","Sale|Consumption","posting date","01/01/20..12/31/20")/-12</t>
  </si>
  <si>
    <t>=NL("sum","Item Ledger Entry","Quantity","Item No.",$D4358,"Entry Type","Sale|Consumption","posting date","01/01/21..12/31/21")/-12</t>
  </si>
  <si>
    <t>=NL("sum","Item Ledger Entry","Quantity","Item No.",$D4358,"Entry Type","Sale|Consumption","posting date","01/01/22..12/31/22")/-12</t>
  </si>
  <si>
    <t>=NL("sum","Item Ledger Entry","Quantity","Item No.",$D4358,"Entry Type","Sale|Consumption","posting date","01/01/23..12/31/23")/$J$7</t>
  </si>
  <si>
    <t>=AVERAGE(I4358:J4358)</t>
  </si>
  <si>
    <t>=NL(1,"item",L$9,"no.",D4358)</t>
  </si>
  <si>
    <t>=NL(1,"item",M$9,"no.",$D4358)</t>
  </si>
  <si>
    <t>=NL(1,"item","Units Per Parcel","no.",$D4358)</t>
  </si>
  <si>
    <t>=NL(1,"Prod. BOM Equipment","Fixed Prod. Time (Hours)","Production BOM No.",$D4358,"version code",$E4358,"Resource No.",O$9)</t>
  </si>
  <si>
    <t>=1/O4358</t>
  </si>
  <si>
    <t>=IF(NL(1,"Prod. BOM Equipment","Variable Prod. Time (Hours)","Production BOM No.",$D4358,"version code",$E4358,"Resource No.",$O$9)="",1,NL(1,"Prod. BOM Equipment","Variable Prod. Time (Hours)","Production BOM No.",$D4358,"version code",$E4358,"Resource No.",$O$9))</t>
  </si>
  <si>
    <t>=1/Q4358</t>
  </si>
  <si>
    <t>=R4358*N4358</t>
  </si>
  <si>
    <t>=IF(K4359=0,"hide","")</t>
  </si>
  <si>
    <t>=D4358</t>
  </si>
  <si>
    <t>=NL("sum","Production Order","Quantity","Source No.",$D4359,"Equipment Code",$L4359,"due date",F$8)/-12</t>
  </si>
  <si>
    <t>=NL("sum","Production Order","Quantity","Source No.",$D4359,"Equipment Code",$L4359,"due date",G$8)/-12</t>
  </si>
  <si>
    <t>=NL("sum","Production Order","Quantity","Source No.",$D4359,"Equipment Code",$L4359,"due date",H$8)/-12</t>
  </si>
  <si>
    <t>=NL("sum","Production Order","Quantity","Source No.",$D4359,"Equipment Code",$L4359,"due date",I$8)/-12</t>
  </si>
  <si>
    <t>=NL("sum","Production Order","Quantity","Source No.",$D4359,"Equipment Code",$L4359,"due date",J$8)/$J$7</t>
  </si>
  <si>
    <t>=AVERAGE(I4359:J4359)</t>
  </si>
  <si>
    <t>=IF(K4360=0,"hide","")</t>
  </si>
  <si>
    <t>=D4359</t>
  </si>
  <si>
    <t>=NL("sum","Production Order","Quantity","Source No.",$D4360,"Equipment Code",$L4360,"due date",F$8)/-12</t>
  </si>
  <si>
    <t>=NL("sum","Production Order","Quantity","Source No.",$D4360,"Equipment Code",$L4360,"due date",G$8)/-12</t>
  </si>
  <si>
    <t>=NL("sum","Production Order","Quantity","Source No.",$D4360,"Equipment Code",$L4360,"due date",H$8)/-12</t>
  </si>
  <si>
    <t>=NL("sum","Production Order","Quantity","Source No.",$D4360,"Equipment Code",$L4360,"due date",I$8)/-12</t>
  </si>
  <si>
    <t>=NL("sum","Production Order","Quantity","Source No.",$D4360,"Equipment Code",$L4360,"due date",J$8)/$J$7</t>
  </si>
  <si>
    <t>=AVERAGE(I4360:J4360)</t>
  </si>
  <si>
    <t>=IF(K4361=0,"hide","")</t>
  </si>
  <si>
    <t>=D4360</t>
  </si>
  <si>
    <t>=NL("sum","Production Order","Quantity","Source No.",$D4361,"Equipment Code",$L4361,"due date",F$8)/-12</t>
  </si>
  <si>
    <t>=NL("sum","Production Order","Quantity","Source No.",$D4361,"Equipment Code",$L4361,"due date",G$8)/-12</t>
  </si>
  <si>
    <t>=NL("sum","Production Order","Quantity","Source No.",$D4361,"Equipment Code",$L4361,"due date",H$8)/-12</t>
  </si>
  <si>
    <t>=NL("sum","Production Order","Quantity","Source No.",$D4361,"Equipment Code",$L4361,"due date",I$8)/-12</t>
  </si>
  <si>
    <t>=NL("sum","Production Order","Quantity","Source No.",$D4361,"Equipment Code",$L4361,"due date",J$8)/$J$7</t>
  </si>
  <si>
    <t>=AVERAGE(I4361:J4361)</t>
  </si>
  <si>
    <t>=IF(K4362=0,"hide","")</t>
  </si>
  <si>
    <t>=D4361</t>
  </si>
  <si>
    <t>=NL("sum","Production Order","Quantity","Source No.",$D4362,"Equipment Code",$L4362,"due date",F$8)/-12</t>
  </si>
  <si>
    <t>=NL("sum","Production Order","Quantity","Source No.",$D4362,"Equipment Code",$L4362,"due date",G$8)/-12</t>
  </si>
  <si>
    <t>=NL("sum","Production Order","Quantity","Source No.",$D4362,"Equipment Code",$L4362,"due date",H$8)/-12</t>
  </si>
  <si>
    <t>=NL("sum","Production Order","Quantity","Source No.",$D4362,"Equipment Code",$L4362,"due date",I$8)/-12</t>
  </si>
  <si>
    <t>=NL("sum","Production Order","Quantity","Source No.",$D4362,"Equipment Code",$L4362,"due date",J$8)/$J$7</t>
  </si>
  <si>
    <t>=AVERAGE(I4362:J4362)</t>
  </si>
  <si>
    <t>=B4359</t>
  </si>
  <si>
    <t>=B4363</t>
  </si>
  <si>
    <t>=SUM(F4359:F4363)</t>
  </si>
  <si>
    <t>=SUM(G4359:G4363)</t>
  </si>
  <si>
    <t>=SUM(H4359:H4363)</t>
  </si>
  <si>
    <t>=SUM(I4359:I4363)</t>
  </si>
  <si>
    <t>=SUM(J4359:J4363)</t>
  </si>
  <si>
    <t>=IF(K4365=0,"hide","")</t>
  </si>
  <si>
    <t>="63405"</t>
  </si>
  <si>
    <t>=NL("rows","Production BOM Version","Version Code","Production BOM No.",D4365,"status","certified")</t>
  </si>
  <si>
    <t>=NL("sum","Item Ledger Entry","Quantity","Item No.",$D4365,"Entry Type","Sale|Consumption","posting date","01/01/19..12/31/19")/-12</t>
  </si>
  <si>
    <t>=NL("sum","Item Ledger Entry","Quantity","Item No.",$D4365,"Entry Type","Sale|Consumption","posting date","01/01/20..12/31/20")/-12</t>
  </si>
  <si>
    <t>=NL("sum","Item Ledger Entry","Quantity","Item No.",$D4365,"Entry Type","Sale|Consumption","posting date","01/01/21..12/31/21")/-12</t>
  </si>
  <si>
    <t>=NL("sum","Item Ledger Entry","Quantity","Item No.",$D4365,"Entry Type","Sale|Consumption","posting date","01/01/22..12/31/22")/-12</t>
  </si>
  <si>
    <t>=NL("sum","Item Ledger Entry","Quantity","Item No.",$D4365,"Entry Type","Sale|Consumption","posting date","01/01/23..12/31/23")/$J$7</t>
  </si>
  <si>
    <t>=AVERAGE(I4365:J4365)</t>
  </si>
  <si>
    <t>=NL(1,"item",L$9,"no.",D4365)</t>
  </si>
  <si>
    <t>=NL(1,"item",M$9,"no.",$D4365)</t>
  </si>
  <si>
    <t>=NL(1,"item","Units Per Parcel","no.",$D4365)</t>
  </si>
  <si>
    <t>=NL(1,"Prod. BOM Equipment","Fixed Prod. Time (Hours)","Production BOM No.",$D4365,"version code",$E4365,"Resource No.",O$9)</t>
  </si>
  <si>
    <t>=1/O4365</t>
  </si>
  <si>
    <t>=IF(NL(1,"Prod. BOM Equipment","Variable Prod. Time (Hours)","Production BOM No.",$D4365,"version code",$E4365,"Resource No.",$O$9)="",1,NL(1,"Prod. BOM Equipment","Variable Prod. Time (Hours)","Production BOM No.",$D4365,"version code",$E4365,"Resource No.",$O$9))</t>
  </si>
  <si>
    <t>=1/Q4365</t>
  </si>
  <si>
    <t>=R4365*N4365</t>
  </si>
  <si>
    <t>=IF(K4366=0,"hide","")</t>
  </si>
  <si>
    <t>=D4365</t>
  </si>
  <si>
    <t>=NL("sum","Production Order","Quantity","Source No.",$D4366,"Equipment Code",$L4366,"due date",F$8)/-12</t>
  </si>
  <si>
    <t>=NL("sum","Production Order","Quantity","Source No.",$D4366,"Equipment Code",$L4366,"due date",G$8)/-12</t>
  </si>
  <si>
    <t>=NL("sum","Production Order","Quantity","Source No.",$D4366,"Equipment Code",$L4366,"due date",H$8)/-12</t>
  </si>
  <si>
    <t>=NL("sum","Production Order","Quantity","Source No.",$D4366,"Equipment Code",$L4366,"due date",I$8)/-12</t>
  </si>
  <si>
    <t>=NL("sum","Production Order","Quantity","Source No.",$D4366,"Equipment Code",$L4366,"due date",J$8)/$J$7</t>
  </si>
  <si>
    <t>=AVERAGE(I4366:J4366)</t>
  </si>
  <si>
    <t>=IF(K4367=0,"hide","")</t>
  </si>
  <si>
    <t>=D4366</t>
  </si>
  <si>
    <t>=NL("sum","Production Order","Quantity","Source No.",$D4367,"Equipment Code",$L4367,"due date",F$8)/-12</t>
  </si>
  <si>
    <t>=NL("sum","Production Order","Quantity","Source No.",$D4367,"Equipment Code",$L4367,"due date",G$8)/-12</t>
  </si>
  <si>
    <t>=NL("sum","Production Order","Quantity","Source No.",$D4367,"Equipment Code",$L4367,"due date",H$8)/-12</t>
  </si>
  <si>
    <t>=NL("sum","Production Order","Quantity","Source No.",$D4367,"Equipment Code",$L4367,"due date",I$8)/-12</t>
  </si>
  <si>
    <t>=NL("sum","Production Order","Quantity","Source No.",$D4367,"Equipment Code",$L4367,"due date",J$8)/$J$7</t>
  </si>
  <si>
    <t>=AVERAGE(I4367:J4367)</t>
  </si>
  <si>
    <t>=IF(K4368=0,"hide","")</t>
  </si>
  <si>
    <t>=D4367</t>
  </si>
  <si>
    <t>=NL("sum","Production Order","Quantity","Source No.",$D4368,"Equipment Code",$L4368,"due date",F$8)/-12</t>
  </si>
  <si>
    <t>=NL("sum","Production Order","Quantity","Source No.",$D4368,"Equipment Code",$L4368,"due date",G$8)/-12</t>
  </si>
  <si>
    <t>=NL("sum","Production Order","Quantity","Source No.",$D4368,"Equipment Code",$L4368,"due date",H$8)/-12</t>
  </si>
  <si>
    <t>=NL("sum","Production Order","Quantity","Source No.",$D4368,"Equipment Code",$L4368,"due date",I$8)/-12</t>
  </si>
  <si>
    <t>=NL("sum","Production Order","Quantity","Source No.",$D4368,"Equipment Code",$L4368,"due date",J$8)/$J$7</t>
  </si>
  <si>
    <t>=AVERAGE(I4368:J4368)</t>
  </si>
  <si>
    <t>=IF(K4369=0,"hide","")</t>
  </si>
  <si>
    <t>=D4368</t>
  </si>
  <si>
    <t>=NL("sum","Production Order","Quantity","Source No.",$D4369,"Equipment Code",$L4369,"due date",F$8)/-12</t>
  </si>
  <si>
    <t>=NL("sum","Production Order","Quantity","Source No.",$D4369,"Equipment Code",$L4369,"due date",G$8)/-12</t>
  </si>
  <si>
    <t>=NL("sum","Production Order","Quantity","Source No.",$D4369,"Equipment Code",$L4369,"due date",H$8)/-12</t>
  </si>
  <si>
    <t>=NL("sum","Production Order","Quantity","Source No.",$D4369,"Equipment Code",$L4369,"due date",I$8)/-12</t>
  </si>
  <si>
    <t>=NL("sum","Production Order","Quantity","Source No.",$D4369,"Equipment Code",$L4369,"due date",J$8)/$J$7</t>
  </si>
  <si>
    <t>=AVERAGE(I4369:J4369)</t>
  </si>
  <si>
    <t>=B4366</t>
  </si>
  <si>
    <t>=B4370</t>
  </si>
  <si>
    <t>=SUM(F4366:F4370)</t>
  </si>
  <si>
    <t>=SUM(G4366:G4370)</t>
  </si>
  <si>
    <t>=SUM(H4366:H4370)</t>
  </si>
  <si>
    <t>=SUM(I4366:I4370)</t>
  </si>
  <si>
    <t>=SUM(J4366:J4370)</t>
  </si>
  <si>
    <t>=IF(K4372=0,"hide","")</t>
  </si>
  <si>
    <t>="63410"</t>
  </si>
  <si>
    <t>=NL("rows","Production BOM Version","Version Code","Production BOM No.",D4372,"status","certified")</t>
  </si>
  <si>
    <t>=NL("sum","Item Ledger Entry","Quantity","Item No.",$D4372,"Entry Type","Sale|Consumption","posting date","01/01/19..12/31/19")/-12</t>
  </si>
  <si>
    <t>=NL("sum","Item Ledger Entry","Quantity","Item No.",$D4372,"Entry Type","Sale|Consumption","posting date","01/01/20..12/31/20")/-12</t>
  </si>
  <si>
    <t>=NL("sum","Item Ledger Entry","Quantity","Item No.",$D4372,"Entry Type","Sale|Consumption","posting date","01/01/21..12/31/21")/-12</t>
  </si>
  <si>
    <t>=NL("sum","Item Ledger Entry","Quantity","Item No.",$D4372,"Entry Type","Sale|Consumption","posting date","01/01/22..12/31/22")/-12</t>
  </si>
  <si>
    <t>=NL("sum","Item Ledger Entry","Quantity","Item No.",$D4372,"Entry Type","Sale|Consumption","posting date","01/01/23..12/31/23")/$J$7</t>
  </si>
  <si>
    <t>=AVERAGE(I4372:J4372)</t>
  </si>
  <si>
    <t>=NL(1,"item",L$9,"no.",D4372)</t>
  </si>
  <si>
    <t>=NL(1,"item",M$9,"no.",$D4372)</t>
  </si>
  <si>
    <t>=NL(1,"item","Units Per Parcel","no.",$D4372)</t>
  </si>
  <si>
    <t>=NL(1,"Prod. BOM Equipment","Fixed Prod. Time (Hours)","Production BOM No.",$D4372,"version code",$E4372,"Resource No.",O$9)</t>
  </si>
  <si>
    <t>=1/O4372</t>
  </si>
  <si>
    <t>=IF(NL(1,"Prod. BOM Equipment","Variable Prod. Time (Hours)","Production BOM No.",$D4372,"version code",$E4372,"Resource No.",$O$9)="",1,NL(1,"Prod. BOM Equipment","Variable Prod. Time (Hours)","Production BOM No.",$D4372,"version code",$E4372,"Resource No.",$O$9))</t>
  </si>
  <si>
    <t>=1/Q4372</t>
  </si>
  <si>
    <t>=R4372*N4372</t>
  </si>
  <si>
    <t>=IF(K4373=0,"hide","")</t>
  </si>
  <si>
    <t>=D4372</t>
  </si>
  <si>
    <t>=NL("sum","Production Order","Quantity","Source No.",$D4373,"Equipment Code",$L4373,"due date",F$8)/-12</t>
  </si>
  <si>
    <t>=NL("sum","Production Order","Quantity","Source No.",$D4373,"Equipment Code",$L4373,"due date",G$8)/-12</t>
  </si>
  <si>
    <t>=NL("sum","Production Order","Quantity","Source No.",$D4373,"Equipment Code",$L4373,"due date",H$8)/-12</t>
  </si>
  <si>
    <t>=NL("sum","Production Order","Quantity","Source No.",$D4373,"Equipment Code",$L4373,"due date",I$8)/-12</t>
  </si>
  <si>
    <t>=NL("sum","Production Order","Quantity","Source No.",$D4373,"Equipment Code",$L4373,"due date",J$8)/$J$7</t>
  </si>
  <si>
    <t>=AVERAGE(I4373:J4373)</t>
  </si>
  <si>
    <t>=IF(K4374=0,"hide","")</t>
  </si>
  <si>
    <t>=D4373</t>
  </si>
  <si>
    <t>=NL("sum","Production Order","Quantity","Source No.",$D4374,"Equipment Code",$L4374,"due date",F$8)/-12</t>
  </si>
  <si>
    <t>=NL("sum","Production Order","Quantity","Source No.",$D4374,"Equipment Code",$L4374,"due date",G$8)/-12</t>
  </si>
  <si>
    <t>=NL("sum","Production Order","Quantity","Source No.",$D4374,"Equipment Code",$L4374,"due date",H$8)/-12</t>
  </si>
  <si>
    <t>=NL("sum","Production Order","Quantity","Source No.",$D4374,"Equipment Code",$L4374,"due date",I$8)/-12</t>
  </si>
  <si>
    <t>=NL("sum","Production Order","Quantity","Source No.",$D4374,"Equipment Code",$L4374,"due date",J$8)/$J$7</t>
  </si>
  <si>
    <t>=AVERAGE(I4374:J4374)</t>
  </si>
  <si>
    <t>=IF(K4375=0,"hide","")</t>
  </si>
  <si>
    <t>=D4374</t>
  </si>
  <si>
    <t>=NL("sum","Production Order","Quantity","Source No.",$D4375,"Equipment Code",$L4375,"due date",F$8)/-12</t>
  </si>
  <si>
    <t>=NL("sum","Production Order","Quantity","Source No.",$D4375,"Equipment Code",$L4375,"due date",G$8)/-12</t>
  </si>
  <si>
    <t>=NL("sum","Production Order","Quantity","Source No.",$D4375,"Equipment Code",$L4375,"due date",H$8)/-12</t>
  </si>
  <si>
    <t>=NL("sum","Production Order","Quantity","Source No.",$D4375,"Equipment Code",$L4375,"due date",I$8)/-12</t>
  </si>
  <si>
    <t>=NL("sum","Production Order","Quantity","Source No.",$D4375,"Equipment Code",$L4375,"due date",J$8)/$J$7</t>
  </si>
  <si>
    <t>=AVERAGE(I4375:J4375)</t>
  </si>
  <si>
    <t>=IF(K4376=0,"hide","")</t>
  </si>
  <si>
    <t>=D4375</t>
  </si>
  <si>
    <t>=NL("sum","Production Order","Quantity","Source No.",$D4376,"Equipment Code",$L4376,"due date",F$8)/-12</t>
  </si>
  <si>
    <t>=NL("sum","Production Order","Quantity","Source No.",$D4376,"Equipment Code",$L4376,"due date",G$8)/-12</t>
  </si>
  <si>
    <t>=NL("sum","Production Order","Quantity","Source No.",$D4376,"Equipment Code",$L4376,"due date",H$8)/-12</t>
  </si>
  <si>
    <t>=NL("sum","Production Order","Quantity","Source No.",$D4376,"Equipment Code",$L4376,"due date",I$8)/-12</t>
  </si>
  <si>
    <t>=NL("sum","Production Order","Quantity","Source No.",$D4376,"Equipment Code",$L4376,"due date",J$8)/$J$7</t>
  </si>
  <si>
    <t>=AVERAGE(I4376:J4376)</t>
  </si>
  <si>
    <t>=B4373</t>
  </si>
  <si>
    <t>=B4377</t>
  </si>
  <si>
    <t>=SUM(F4373:F4377)</t>
  </si>
  <si>
    <t>=SUM(G4373:G4377)</t>
  </si>
  <si>
    <t>=SUM(H4373:H4377)</t>
  </si>
  <si>
    <t>=SUM(I4373:I4377)</t>
  </si>
  <si>
    <t>=SUM(J4373:J4377)</t>
  </si>
  <si>
    <t>=IF(K4379=0,"hide","")</t>
  </si>
  <si>
    <t>="64139"</t>
  </si>
  <si>
    <t>=NL("rows","Production BOM Version","Version Code","Production BOM No.",D4379,"status","certified")</t>
  </si>
  <si>
    <t>=NL("sum","Item Ledger Entry","Quantity","Item No.",$D4379,"Entry Type","Sale|Consumption","posting date","01/01/19..12/31/19")/-12</t>
  </si>
  <si>
    <t>=NL("sum","Item Ledger Entry","Quantity","Item No.",$D4379,"Entry Type","Sale|Consumption","posting date","01/01/20..12/31/20")/-12</t>
  </si>
  <si>
    <t>=NL("sum","Item Ledger Entry","Quantity","Item No.",$D4379,"Entry Type","Sale|Consumption","posting date","01/01/21..12/31/21")/-12</t>
  </si>
  <si>
    <t>=NL("sum","Item Ledger Entry","Quantity","Item No.",$D4379,"Entry Type","Sale|Consumption","posting date","01/01/22..12/31/22")/-12</t>
  </si>
  <si>
    <t>=NL("sum","Item Ledger Entry","Quantity","Item No.",$D4379,"Entry Type","Sale|Consumption","posting date","01/01/23..12/31/23")/$J$7</t>
  </si>
  <si>
    <t>=AVERAGE(I4379:J4379)</t>
  </si>
  <si>
    <t>=NL(1,"item",L$9,"no.",D4379)</t>
  </si>
  <si>
    <t>=NL(1,"item",M$9,"no.",$D4379)</t>
  </si>
  <si>
    <t>=NL(1,"item","Units Per Parcel","no.",$D4379)</t>
  </si>
  <si>
    <t>=NL(1,"Prod. BOM Equipment","Fixed Prod. Time (Hours)","Production BOM No.",$D4379,"version code",$E4379,"Resource No.",O$9)</t>
  </si>
  <si>
    <t>=1/O4379</t>
  </si>
  <si>
    <t>=IF(NL(1,"Prod. BOM Equipment","Variable Prod. Time (Hours)","Production BOM No.",$D4379,"version code",$E4379,"Resource No.",$O$9)="",1,NL(1,"Prod. BOM Equipment","Variable Prod. Time (Hours)","Production BOM No.",$D4379,"version code",$E4379,"Resource No.",$O$9))</t>
  </si>
  <si>
    <t>=1/Q4379</t>
  </si>
  <si>
    <t>=R4379*N4379</t>
  </si>
  <si>
    <t>=IF(K4380=0,"hide","")</t>
  </si>
  <si>
    <t>=D4379</t>
  </si>
  <si>
    <t>=NL("sum","Production Order","Quantity","Source No.",$D4380,"Equipment Code",$L4380,"due date",F$8)/-12</t>
  </si>
  <si>
    <t>=NL("sum","Production Order","Quantity","Source No.",$D4380,"Equipment Code",$L4380,"due date",G$8)/-12</t>
  </si>
  <si>
    <t>=NL("sum","Production Order","Quantity","Source No.",$D4380,"Equipment Code",$L4380,"due date",H$8)/-12</t>
  </si>
  <si>
    <t>=NL("sum","Production Order","Quantity","Source No.",$D4380,"Equipment Code",$L4380,"due date",I$8)/-12</t>
  </si>
  <si>
    <t>=NL("sum","Production Order","Quantity","Source No.",$D4380,"Equipment Code",$L4380,"due date",J$8)/$J$7</t>
  </si>
  <si>
    <t>=AVERAGE(I4380:J4380)</t>
  </si>
  <si>
    <t>=IF(K4381=0,"hide","")</t>
  </si>
  <si>
    <t>=D4380</t>
  </si>
  <si>
    <t>=NL("sum","Production Order","Quantity","Source No.",$D4381,"Equipment Code",$L4381,"due date",F$8)/-12</t>
  </si>
  <si>
    <t>=NL("sum","Production Order","Quantity","Source No.",$D4381,"Equipment Code",$L4381,"due date",G$8)/-12</t>
  </si>
  <si>
    <t>=NL("sum","Production Order","Quantity","Source No.",$D4381,"Equipment Code",$L4381,"due date",H$8)/-12</t>
  </si>
  <si>
    <t>=NL("sum","Production Order","Quantity","Source No.",$D4381,"Equipment Code",$L4381,"due date",I$8)/-12</t>
  </si>
  <si>
    <t>=NL("sum","Production Order","Quantity","Source No.",$D4381,"Equipment Code",$L4381,"due date",J$8)/$J$7</t>
  </si>
  <si>
    <t>=AVERAGE(I4381:J4381)</t>
  </si>
  <si>
    <t>=IF(K4382=0,"hide","")</t>
  </si>
  <si>
    <t>=D4381</t>
  </si>
  <si>
    <t>=NL("sum","Production Order","Quantity","Source No.",$D4382,"Equipment Code",$L4382,"due date",F$8)/-12</t>
  </si>
  <si>
    <t>=NL("sum","Production Order","Quantity","Source No.",$D4382,"Equipment Code",$L4382,"due date",G$8)/-12</t>
  </si>
  <si>
    <t>=NL("sum","Production Order","Quantity","Source No.",$D4382,"Equipment Code",$L4382,"due date",H$8)/-12</t>
  </si>
  <si>
    <t>=NL("sum","Production Order","Quantity","Source No.",$D4382,"Equipment Code",$L4382,"due date",I$8)/-12</t>
  </si>
  <si>
    <t>=NL("sum","Production Order","Quantity","Source No.",$D4382,"Equipment Code",$L4382,"due date",J$8)/$J$7</t>
  </si>
  <si>
    <t>=AVERAGE(I4382:J4382)</t>
  </si>
  <si>
    <t>=IF(K4383=0,"hide","")</t>
  </si>
  <si>
    <t>=D4382</t>
  </si>
  <si>
    <t>=NL("sum","Production Order","Quantity","Source No.",$D4383,"Equipment Code",$L4383,"due date",F$8)/-12</t>
  </si>
  <si>
    <t>=NL("sum","Production Order","Quantity","Source No.",$D4383,"Equipment Code",$L4383,"due date",G$8)/-12</t>
  </si>
  <si>
    <t>=NL("sum","Production Order","Quantity","Source No.",$D4383,"Equipment Code",$L4383,"due date",H$8)/-12</t>
  </si>
  <si>
    <t>=NL("sum","Production Order","Quantity","Source No.",$D4383,"Equipment Code",$L4383,"due date",I$8)/-12</t>
  </si>
  <si>
    <t>=NL("sum","Production Order","Quantity","Source No.",$D4383,"Equipment Code",$L4383,"due date",J$8)/$J$7</t>
  </si>
  <si>
    <t>=AVERAGE(I4383:J4383)</t>
  </si>
  <si>
    <t>=B4380</t>
  </si>
  <si>
    <t>=B4384</t>
  </si>
  <si>
    <t>=SUM(F4380:F4384)</t>
  </si>
  <si>
    <t>=SUM(G4380:G4384)</t>
  </si>
  <si>
    <t>=SUM(H4380:H4384)</t>
  </si>
  <si>
    <t>=SUM(I4380:I4384)</t>
  </si>
  <si>
    <t>=SUM(J4380:J4384)</t>
  </si>
  <si>
    <t>=IF(K4386=0,"hide","")</t>
  </si>
  <si>
    <t>="64501"</t>
  </si>
  <si>
    <t>=NL("rows","Production BOM Version","Version Code","Production BOM No.",D4386,"status","certified")</t>
  </si>
  <si>
    <t>=NL("sum","Item Ledger Entry","Quantity","Item No.",$D4386,"Entry Type","Sale|Consumption","posting date","01/01/19..12/31/19")/-12</t>
  </si>
  <si>
    <t>=NL("sum","Item Ledger Entry","Quantity","Item No.",$D4386,"Entry Type","Sale|Consumption","posting date","01/01/20..12/31/20")/-12</t>
  </si>
  <si>
    <t>=NL("sum","Item Ledger Entry","Quantity","Item No.",$D4386,"Entry Type","Sale|Consumption","posting date","01/01/21..12/31/21")/-12</t>
  </si>
  <si>
    <t>=NL("sum","Item Ledger Entry","Quantity","Item No.",$D4386,"Entry Type","Sale|Consumption","posting date","01/01/22..12/31/22")/-12</t>
  </si>
  <si>
    <t>=NL("sum","Item Ledger Entry","Quantity","Item No.",$D4386,"Entry Type","Sale|Consumption","posting date","01/01/23..12/31/23")/$J$7</t>
  </si>
  <si>
    <t>=AVERAGE(I4386:J4386)</t>
  </si>
  <si>
    <t>=NL(1,"item",L$9,"no.",D4386)</t>
  </si>
  <si>
    <t>=NL(1,"item",M$9,"no.",$D4386)</t>
  </si>
  <si>
    <t>=NL(1,"item","Units Per Parcel","no.",$D4386)</t>
  </si>
  <si>
    <t>=NL(1,"Prod. BOM Equipment","Fixed Prod. Time (Hours)","Production BOM No.",$D4386,"version code",$E4386,"Resource No.",O$9)</t>
  </si>
  <si>
    <t>=1/O4386</t>
  </si>
  <si>
    <t>=IF(NL(1,"Prod. BOM Equipment","Variable Prod. Time (Hours)","Production BOM No.",$D4386,"version code",$E4386,"Resource No.",$O$9)="",1,NL(1,"Prod. BOM Equipment","Variable Prod. Time (Hours)","Production BOM No.",$D4386,"version code",$E4386,"Resource No.",$O$9))</t>
  </si>
  <si>
    <t>=1/Q4386</t>
  </si>
  <si>
    <t>=R4386*N4386</t>
  </si>
  <si>
    <t>=IF(K4387=0,"hide","")</t>
  </si>
  <si>
    <t>=D4386</t>
  </si>
  <si>
    <t>=NL("sum","Production Order","Quantity","Source No.",$D4387,"Equipment Code",$L4387,"due date",F$8)/-12</t>
  </si>
  <si>
    <t>=NL("sum","Production Order","Quantity","Source No.",$D4387,"Equipment Code",$L4387,"due date",G$8)/-12</t>
  </si>
  <si>
    <t>=NL("sum","Production Order","Quantity","Source No.",$D4387,"Equipment Code",$L4387,"due date",H$8)/-12</t>
  </si>
  <si>
    <t>=NL("sum","Production Order","Quantity","Source No.",$D4387,"Equipment Code",$L4387,"due date",I$8)/-12</t>
  </si>
  <si>
    <t>=NL("sum","Production Order","Quantity","Source No.",$D4387,"Equipment Code",$L4387,"due date",J$8)/$J$7</t>
  </si>
  <si>
    <t>=AVERAGE(I4387:J4387)</t>
  </si>
  <si>
    <t>=IF(K4388=0,"hide","")</t>
  </si>
  <si>
    <t>=D4387</t>
  </si>
  <si>
    <t>=NL("sum","Production Order","Quantity","Source No.",$D4388,"Equipment Code",$L4388,"due date",F$8)/-12</t>
  </si>
  <si>
    <t>=NL("sum","Production Order","Quantity","Source No.",$D4388,"Equipment Code",$L4388,"due date",G$8)/-12</t>
  </si>
  <si>
    <t>=NL("sum","Production Order","Quantity","Source No.",$D4388,"Equipment Code",$L4388,"due date",H$8)/-12</t>
  </si>
  <si>
    <t>=NL("sum","Production Order","Quantity","Source No.",$D4388,"Equipment Code",$L4388,"due date",I$8)/-12</t>
  </si>
  <si>
    <t>=NL("sum","Production Order","Quantity","Source No.",$D4388,"Equipment Code",$L4388,"due date",J$8)/$J$7</t>
  </si>
  <si>
    <t>=AVERAGE(I4388:J4388)</t>
  </si>
  <si>
    <t>=IF(K4389=0,"hide","")</t>
  </si>
  <si>
    <t>=D4388</t>
  </si>
  <si>
    <t>=NL("sum","Production Order","Quantity","Source No.",$D4389,"Equipment Code",$L4389,"due date",F$8)/-12</t>
  </si>
  <si>
    <t>=NL("sum","Production Order","Quantity","Source No.",$D4389,"Equipment Code",$L4389,"due date",G$8)/-12</t>
  </si>
  <si>
    <t>=NL("sum","Production Order","Quantity","Source No.",$D4389,"Equipment Code",$L4389,"due date",H$8)/-12</t>
  </si>
  <si>
    <t>=NL("sum","Production Order","Quantity","Source No.",$D4389,"Equipment Code",$L4389,"due date",I$8)/-12</t>
  </si>
  <si>
    <t>=NL("sum","Production Order","Quantity","Source No.",$D4389,"Equipment Code",$L4389,"due date",J$8)/$J$7</t>
  </si>
  <si>
    <t>=AVERAGE(I4389:J4389)</t>
  </si>
  <si>
    <t>=IF(K4390=0,"hide","")</t>
  </si>
  <si>
    <t>=D4389</t>
  </si>
  <si>
    <t>=NL("sum","Production Order","Quantity","Source No.",$D4390,"Equipment Code",$L4390,"due date",F$8)/-12</t>
  </si>
  <si>
    <t>=NL("sum","Production Order","Quantity","Source No.",$D4390,"Equipment Code",$L4390,"due date",G$8)/-12</t>
  </si>
  <si>
    <t>=NL("sum","Production Order","Quantity","Source No.",$D4390,"Equipment Code",$L4390,"due date",H$8)/-12</t>
  </si>
  <si>
    <t>=NL("sum","Production Order","Quantity","Source No.",$D4390,"Equipment Code",$L4390,"due date",I$8)/-12</t>
  </si>
  <si>
    <t>=NL("sum","Production Order","Quantity","Source No.",$D4390,"Equipment Code",$L4390,"due date",J$8)/$J$7</t>
  </si>
  <si>
    <t>=AVERAGE(I4390:J4390)</t>
  </si>
  <si>
    <t>=B4387</t>
  </si>
  <si>
    <t>=B4391</t>
  </si>
  <si>
    <t>=SUM(F4387:F4391)</t>
  </si>
  <si>
    <t>=SUM(G4387:G4391)</t>
  </si>
  <si>
    <t>=SUM(H4387:H4391)</t>
  </si>
  <si>
    <t>=SUM(I4387:I4391)</t>
  </si>
  <si>
    <t>=SUM(J4387:J4391)</t>
  </si>
  <si>
    <t>=IF(K4393=0,"hide","")</t>
  </si>
  <si>
    <t>=NL("rows","Production BOM Version","Version Code","Production BOM No.",D4393,"status","certified")</t>
  </si>
  <si>
    <t>=NL("sum","Item Ledger Entry","Quantity","Item No.",$D4393,"Entry Type","Sale|Consumption","posting date","01/01/19..12/31/19")/-12</t>
  </si>
  <si>
    <t>=NL("sum","Item Ledger Entry","Quantity","Item No.",$D4393,"Entry Type","Sale|Consumption","posting date","01/01/20..12/31/20")/-12</t>
  </si>
  <si>
    <t>=NL("sum","Item Ledger Entry","Quantity","Item No.",$D4393,"Entry Type","Sale|Consumption","posting date","01/01/21..12/31/21")/-12</t>
  </si>
  <si>
    <t>=NL("sum","Item Ledger Entry","Quantity","Item No.",$D4393,"Entry Type","Sale|Consumption","posting date","01/01/22..12/31/22")/-12</t>
  </si>
  <si>
    <t>=NL("sum","Item Ledger Entry","Quantity","Item No.",$D4393,"Entry Type","Sale|Consumption","posting date","01/01/23..12/31/23")/$J$7</t>
  </si>
  <si>
    <t>=AVERAGE(I4393:J4393)</t>
  </si>
  <si>
    <t>=NL(1,"item",L$9,"no.",D4393)</t>
  </si>
  <si>
    <t>=NL(1,"item",M$9,"no.",$D4393)</t>
  </si>
  <si>
    <t>=NL(1,"item","Units Per Parcel","no.",$D4393)</t>
  </si>
  <si>
    <t>=NL(1,"Prod. BOM Equipment","Fixed Prod. Time (Hours)","Production BOM No.",$D4393,"version code",$E4393,"Resource No.",O$9)</t>
  </si>
  <si>
    <t>=1/O4393</t>
  </si>
  <si>
    <t>=IF(NL(1,"Prod. BOM Equipment","Variable Prod. Time (Hours)","Production BOM No.",$D4393,"version code",$E4393,"Resource No.",$O$9)="",1,NL(1,"Prod. BOM Equipment","Variable Prod. Time (Hours)","Production BOM No.",$D4393,"version code",$E4393,"Resource No.",$O$9))</t>
  </si>
  <si>
    <t>=1/Q4393</t>
  </si>
  <si>
    <t>=R4393*N4393</t>
  </si>
  <si>
    <t>=IF(K4394=0,"hide","")</t>
  </si>
  <si>
    <t>=D4393</t>
  </si>
  <si>
    <t>=NL("sum","Production Order","Quantity","Source No.",$D4394,"Equipment Code",$L4394,"due date",F$8)/-12</t>
  </si>
  <si>
    <t>=NL("sum","Production Order","Quantity","Source No.",$D4394,"Equipment Code",$L4394,"due date",G$8)/-12</t>
  </si>
  <si>
    <t>=NL("sum","Production Order","Quantity","Source No.",$D4394,"Equipment Code",$L4394,"due date",H$8)/-12</t>
  </si>
  <si>
    <t>=NL("sum","Production Order","Quantity","Source No.",$D4394,"Equipment Code",$L4394,"due date",I$8)/-12</t>
  </si>
  <si>
    <t>=NL("sum","Production Order","Quantity","Source No.",$D4394,"Equipment Code",$L4394,"due date",J$8)/$J$7</t>
  </si>
  <si>
    <t>=AVERAGE(I4394:J4394)</t>
  </si>
  <si>
    <t>=IF(K4395=0,"hide","")</t>
  </si>
  <si>
    <t>=D4394</t>
  </si>
  <si>
    <t>=NL("sum","Production Order","Quantity","Source No.",$D4395,"Equipment Code",$L4395,"due date",F$8)/-12</t>
  </si>
  <si>
    <t>=NL("sum","Production Order","Quantity","Source No.",$D4395,"Equipment Code",$L4395,"due date",G$8)/-12</t>
  </si>
  <si>
    <t>=NL("sum","Production Order","Quantity","Source No.",$D4395,"Equipment Code",$L4395,"due date",H$8)/-12</t>
  </si>
  <si>
    <t>=NL("sum","Production Order","Quantity","Source No.",$D4395,"Equipment Code",$L4395,"due date",I$8)/-12</t>
  </si>
  <si>
    <t>=NL("sum","Production Order","Quantity","Source No.",$D4395,"Equipment Code",$L4395,"due date",J$8)/$J$7</t>
  </si>
  <si>
    <t>=AVERAGE(I4395:J4395)</t>
  </si>
  <si>
    <t>=IF(K4396=0,"hide","")</t>
  </si>
  <si>
    <t>=D4395</t>
  </si>
  <si>
    <t>=NL("sum","Production Order","Quantity","Source No.",$D4396,"Equipment Code",$L4396,"due date",F$8)/-12</t>
  </si>
  <si>
    <t>=NL("sum","Production Order","Quantity","Source No.",$D4396,"Equipment Code",$L4396,"due date",G$8)/-12</t>
  </si>
  <si>
    <t>=NL("sum","Production Order","Quantity","Source No.",$D4396,"Equipment Code",$L4396,"due date",H$8)/-12</t>
  </si>
  <si>
    <t>=NL("sum","Production Order","Quantity","Source No.",$D4396,"Equipment Code",$L4396,"due date",I$8)/-12</t>
  </si>
  <si>
    <t>=NL("sum","Production Order","Quantity","Source No.",$D4396,"Equipment Code",$L4396,"due date",J$8)/$J$7</t>
  </si>
  <si>
    <t>=AVERAGE(I4396:J4396)</t>
  </si>
  <si>
    <t>=IF(K4397=0,"hide","")</t>
  </si>
  <si>
    <t>=D4396</t>
  </si>
  <si>
    <t>=NL("sum","Production Order","Quantity","Source No.",$D4397,"Equipment Code",$L4397,"due date",F$8)/-12</t>
  </si>
  <si>
    <t>=NL("sum","Production Order","Quantity","Source No.",$D4397,"Equipment Code",$L4397,"due date",G$8)/-12</t>
  </si>
  <si>
    <t>=NL("sum","Production Order","Quantity","Source No.",$D4397,"Equipment Code",$L4397,"due date",H$8)/-12</t>
  </si>
  <si>
    <t>=NL("sum","Production Order","Quantity","Source No.",$D4397,"Equipment Code",$L4397,"due date",I$8)/-12</t>
  </si>
  <si>
    <t>=NL("sum","Production Order","Quantity","Source No.",$D4397,"Equipment Code",$L4397,"due date",J$8)/$J$7</t>
  </si>
  <si>
    <t>=AVERAGE(I4397:J4397)</t>
  </si>
  <si>
    <t>=B4394</t>
  </si>
  <si>
    <t>=B4398</t>
  </si>
  <si>
    <t>=SUM(F4394:F4398)</t>
  </si>
  <si>
    <t>=SUM(G4394:G4398)</t>
  </si>
  <si>
    <t>=SUM(H4394:H4398)</t>
  </si>
  <si>
    <t>=SUM(I4394:I4398)</t>
  </si>
  <si>
    <t>=SUM(J4394:J4398)</t>
  </si>
  <si>
    <t>=IF(K4400=0,"hide","")</t>
  </si>
  <si>
    <t>="64703"</t>
  </si>
  <si>
    <t>=NL("rows","Production BOM Version","Version Code","Production BOM No.",D4400,"status","certified")</t>
  </si>
  <si>
    <t>=NL("sum","Item Ledger Entry","Quantity","Item No.",$D4400,"Entry Type","Sale|Consumption","posting date","01/01/19..12/31/19")/-12</t>
  </si>
  <si>
    <t>=NL("sum","Item Ledger Entry","Quantity","Item No.",$D4400,"Entry Type","Sale|Consumption","posting date","01/01/20..12/31/20")/-12</t>
  </si>
  <si>
    <t>=NL("sum","Item Ledger Entry","Quantity","Item No.",$D4400,"Entry Type","Sale|Consumption","posting date","01/01/21..12/31/21")/-12</t>
  </si>
  <si>
    <t>=NL("sum","Item Ledger Entry","Quantity","Item No.",$D4400,"Entry Type","Sale|Consumption","posting date","01/01/22..12/31/22")/-12</t>
  </si>
  <si>
    <t>=NL("sum","Item Ledger Entry","Quantity","Item No.",$D4400,"Entry Type","Sale|Consumption","posting date","01/01/23..12/31/23")/$J$7</t>
  </si>
  <si>
    <t>=AVERAGE(I4400:J4400)</t>
  </si>
  <si>
    <t>=NL(1,"item",L$9,"no.",D4400)</t>
  </si>
  <si>
    <t>=NL(1,"item",M$9,"no.",$D4400)</t>
  </si>
  <si>
    <t>=NL(1,"item","Units Per Parcel","no.",$D4400)</t>
  </si>
  <si>
    <t>=NL(1,"Prod. BOM Equipment","Fixed Prod. Time (Hours)","Production BOM No.",$D4400,"version code",$E4400,"Resource No.",O$9)</t>
  </si>
  <si>
    <t>=1/O4400</t>
  </si>
  <si>
    <t>=IF(NL(1,"Prod. BOM Equipment","Variable Prod. Time (Hours)","Production BOM No.",$D4400,"version code",$E4400,"Resource No.",$O$9)="",1,NL(1,"Prod. BOM Equipment","Variable Prod. Time (Hours)","Production BOM No.",$D4400,"version code",$E4400,"Resource No.",$O$9))</t>
  </si>
  <si>
    <t>=1/Q4400</t>
  </si>
  <si>
    <t>=R4400*N4400</t>
  </si>
  <si>
    <t>=IF(K4401=0,"hide","")</t>
  </si>
  <si>
    <t>=D4400</t>
  </si>
  <si>
    <t>=NL("sum","Production Order","Quantity","Source No.",$D4401,"Equipment Code",$L4401,"due date",F$8)/-12</t>
  </si>
  <si>
    <t>=NL("sum","Production Order","Quantity","Source No.",$D4401,"Equipment Code",$L4401,"due date",G$8)/-12</t>
  </si>
  <si>
    <t>=NL("sum","Production Order","Quantity","Source No.",$D4401,"Equipment Code",$L4401,"due date",H$8)/-12</t>
  </si>
  <si>
    <t>=NL("sum","Production Order","Quantity","Source No.",$D4401,"Equipment Code",$L4401,"due date",I$8)/-12</t>
  </si>
  <si>
    <t>=NL("sum","Production Order","Quantity","Source No.",$D4401,"Equipment Code",$L4401,"due date",J$8)/$J$7</t>
  </si>
  <si>
    <t>=AVERAGE(I4401:J4401)</t>
  </si>
  <si>
    <t>=IF(K4402=0,"hide","")</t>
  </si>
  <si>
    <t>=D4401</t>
  </si>
  <si>
    <t>=NL("sum","Production Order","Quantity","Source No.",$D4402,"Equipment Code",$L4402,"due date",F$8)/-12</t>
  </si>
  <si>
    <t>=NL("sum","Production Order","Quantity","Source No.",$D4402,"Equipment Code",$L4402,"due date",G$8)/-12</t>
  </si>
  <si>
    <t>=NL("sum","Production Order","Quantity","Source No.",$D4402,"Equipment Code",$L4402,"due date",H$8)/-12</t>
  </si>
  <si>
    <t>=NL("sum","Production Order","Quantity","Source No.",$D4402,"Equipment Code",$L4402,"due date",I$8)/-12</t>
  </si>
  <si>
    <t>=NL("sum","Production Order","Quantity","Source No.",$D4402,"Equipment Code",$L4402,"due date",J$8)/$J$7</t>
  </si>
  <si>
    <t>=AVERAGE(I4402:J4402)</t>
  </si>
  <si>
    <t>=IF(K4403=0,"hide","")</t>
  </si>
  <si>
    <t>=D4402</t>
  </si>
  <si>
    <t>=NL("sum","Production Order","Quantity","Source No.",$D4403,"Equipment Code",$L4403,"due date",F$8)/-12</t>
  </si>
  <si>
    <t>=NL("sum","Production Order","Quantity","Source No.",$D4403,"Equipment Code",$L4403,"due date",G$8)/-12</t>
  </si>
  <si>
    <t>=NL("sum","Production Order","Quantity","Source No.",$D4403,"Equipment Code",$L4403,"due date",H$8)/-12</t>
  </si>
  <si>
    <t>=NL("sum","Production Order","Quantity","Source No.",$D4403,"Equipment Code",$L4403,"due date",I$8)/-12</t>
  </si>
  <si>
    <t>=NL("sum","Production Order","Quantity","Source No.",$D4403,"Equipment Code",$L4403,"due date",J$8)/$J$7</t>
  </si>
  <si>
    <t>=AVERAGE(I4403:J4403)</t>
  </si>
  <si>
    <t>=IF(K4404=0,"hide","")</t>
  </si>
  <si>
    <t>=D4403</t>
  </si>
  <si>
    <t>=NL("sum","Production Order","Quantity","Source No.",$D4404,"Equipment Code",$L4404,"due date",F$8)/-12</t>
  </si>
  <si>
    <t>=NL("sum","Production Order","Quantity","Source No.",$D4404,"Equipment Code",$L4404,"due date",G$8)/-12</t>
  </si>
  <si>
    <t>=NL("sum","Production Order","Quantity","Source No.",$D4404,"Equipment Code",$L4404,"due date",H$8)/-12</t>
  </si>
  <si>
    <t>=NL("sum","Production Order","Quantity","Source No.",$D4404,"Equipment Code",$L4404,"due date",I$8)/-12</t>
  </si>
  <si>
    <t>=NL("sum","Production Order","Quantity","Source No.",$D4404,"Equipment Code",$L4404,"due date",J$8)/$J$7</t>
  </si>
  <si>
    <t>=AVERAGE(I4404:J4404)</t>
  </si>
  <si>
    <t>=B4401</t>
  </si>
  <si>
    <t>=B4405</t>
  </si>
  <si>
    <t>=SUM(F4401:F4405)</t>
  </si>
  <si>
    <t>=SUM(G4401:G4405)</t>
  </si>
  <si>
    <t>=SUM(H4401:H4405)</t>
  </si>
  <si>
    <t>=SUM(I4401:I4405)</t>
  </si>
  <si>
    <t>=SUM(J4401:J4405)</t>
  </si>
  <si>
    <t>=IF(K4407=0,"hide","")</t>
  </si>
  <si>
    <t>="64704"</t>
  </si>
  <si>
    <t>=NL("rows","Production BOM Version","Version Code","Production BOM No.",D4407,"status","certified")</t>
  </si>
  <si>
    <t>=NL("sum","Item Ledger Entry","Quantity","Item No.",$D4407,"Entry Type","Sale|Consumption","posting date","01/01/19..12/31/19")/-12</t>
  </si>
  <si>
    <t>=NL("sum","Item Ledger Entry","Quantity","Item No.",$D4407,"Entry Type","Sale|Consumption","posting date","01/01/20..12/31/20")/-12</t>
  </si>
  <si>
    <t>=NL("sum","Item Ledger Entry","Quantity","Item No.",$D4407,"Entry Type","Sale|Consumption","posting date","01/01/21..12/31/21")/-12</t>
  </si>
  <si>
    <t>=NL("sum","Item Ledger Entry","Quantity","Item No.",$D4407,"Entry Type","Sale|Consumption","posting date","01/01/22..12/31/22")/-12</t>
  </si>
  <si>
    <t>=NL("sum","Item Ledger Entry","Quantity","Item No.",$D4407,"Entry Type","Sale|Consumption","posting date","01/01/23..12/31/23")/$J$7</t>
  </si>
  <si>
    <t>=AVERAGE(I4407:J4407)</t>
  </si>
  <si>
    <t>=NL(1,"item",L$9,"no.",D4407)</t>
  </si>
  <si>
    <t>=NL(1,"item",M$9,"no.",$D4407)</t>
  </si>
  <si>
    <t>=NL(1,"item","Units Per Parcel","no.",$D4407)</t>
  </si>
  <si>
    <t>=NL(1,"Prod. BOM Equipment","Fixed Prod. Time (Hours)","Production BOM No.",$D4407,"version code",$E4407,"Resource No.",O$9)</t>
  </si>
  <si>
    <t>=1/O4407</t>
  </si>
  <si>
    <t>=IF(NL(1,"Prod. BOM Equipment","Variable Prod. Time (Hours)","Production BOM No.",$D4407,"version code",$E4407,"Resource No.",$O$9)="",1,NL(1,"Prod. BOM Equipment","Variable Prod. Time (Hours)","Production BOM No.",$D4407,"version code",$E4407,"Resource No.",$O$9))</t>
  </si>
  <si>
    <t>=1/Q4407</t>
  </si>
  <si>
    <t>=R4407*N4407</t>
  </si>
  <si>
    <t>=IF(K4408=0,"hide","")</t>
  </si>
  <si>
    <t>=D4407</t>
  </si>
  <si>
    <t>=NL("sum","Production Order","Quantity","Source No.",$D4408,"Equipment Code",$L4408,"due date",F$8)/-12</t>
  </si>
  <si>
    <t>=NL("sum","Production Order","Quantity","Source No.",$D4408,"Equipment Code",$L4408,"due date",G$8)/-12</t>
  </si>
  <si>
    <t>=NL("sum","Production Order","Quantity","Source No.",$D4408,"Equipment Code",$L4408,"due date",H$8)/-12</t>
  </si>
  <si>
    <t>=NL("sum","Production Order","Quantity","Source No.",$D4408,"Equipment Code",$L4408,"due date",I$8)/-12</t>
  </si>
  <si>
    <t>=NL("sum","Production Order","Quantity","Source No.",$D4408,"Equipment Code",$L4408,"due date",J$8)/$J$7</t>
  </si>
  <si>
    <t>=AVERAGE(I4408:J4408)</t>
  </si>
  <si>
    <t>=IF(K4409=0,"hide","")</t>
  </si>
  <si>
    <t>=D4408</t>
  </si>
  <si>
    <t>=NL("sum","Production Order","Quantity","Source No.",$D4409,"Equipment Code",$L4409,"due date",F$8)/-12</t>
  </si>
  <si>
    <t>=NL("sum","Production Order","Quantity","Source No.",$D4409,"Equipment Code",$L4409,"due date",G$8)/-12</t>
  </si>
  <si>
    <t>=NL("sum","Production Order","Quantity","Source No.",$D4409,"Equipment Code",$L4409,"due date",H$8)/-12</t>
  </si>
  <si>
    <t>=NL("sum","Production Order","Quantity","Source No.",$D4409,"Equipment Code",$L4409,"due date",I$8)/-12</t>
  </si>
  <si>
    <t>=NL("sum","Production Order","Quantity","Source No.",$D4409,"Equipment Code",$L4409,"due date",J$8)/$J$7</t>
  </si>
  <si>
    <t>=AVERAGE(I4409:J4409)</t>
  </si>
  <si>
    <t>=IF(K4410=0,"hide","")</t>
  </si>
  <si>
    <t>=D4409</t>
  </si>
  <si>
    <t>=NL("sum","Production Order","Quantity","Source No.",$D4410,"Equipment Code",$L4410,"due date",F$8)/-12</t>
  </si>
  <si>
    <t>=NL("sum","Production Order","Quantity","Source No.",$D4410,"Equipment Code",$L4410,"due date",G$8)/-12</t>
  </si>
  <si>
    <t>=NL("sum","Production Order","Quantity","Source No.",$D4410,"Equipment Code",$L4410,"due date",H$8)/-12</t>
  </si>
  <si>
    <t>=NL("sum","Production Order","Quantity","Source No.",$D4410,"Equipment Code",$L4410,"due date",I$8)/-12</t>
  </si>
  <si>
    <t>=NL("sum","Production Order","Quantity","Source No.",$D4410,"Equipment Code",$L4410,"due date",J$8)/$J$7</t>
  </si>
  <si>
    <t>=AVERAGE(I4410:J4410)</t>
  </si>
  <si>
    <t>=IF(K4411=0,"hide","")</t>
  </si>
  <si>
    <t>=D4410</t>
  </si>
  <si>
    <t>=NL("sum","Production Order","Quantity","Source No.",$D4411,"Equipment Code",$L4411,"due date",F$8)/-12</t>
  </si>
  <si>
    <t>=NL("sum","Production Order","Quantity","Source No.",$D4411,"Equipment Code",$L4411,"due date",G$8)/-12</t>
  </si>
  <si>
    <t>=NL("sum","Production Order","Quantity","Source No.",$D4411,"Equipment Code",$L4411,"due date",H$8)/-12</t>
  </si>
  <si>
    <t>=NL("sum","Production Order","Quantity","Source No.",$D4411,"Equipment Code",$L4411,"due date",I$8)/-12</t>
  </si>
  <si>
    <t>=NL("sum","Production Order","Quantity","Source No.",$D4411,"Equipment Code",$L4411,"due date",J$8)/$J$7</t>
  </si>
  <si>
    <t>=AVERAGE(I4411:J4411)</t>
  </si>
  <si>
    <t>=B4408</t>
  </si>
  <si>
    <t>=B4412</t>
  </si>
  <si>
    <t>=SUM(F4408:F4412)</t>
  </si>
  <si>
    <t>=SUM(G4408:G4412)</t>
  </si>
  <si>
    <t>=SUM(H4408:H4412)</t>
  </si>
  <si>
    <t>=SUM(I4408:I4412)</t>
  </si>
  <si>
    <t>=SUM(J4408:J4412)</t>
  </si>
  <si>
    <t>=IF(K4414=0,"hide","")</t>
  </si>
  <si>
    <t>="64706"</t>
  </si>
  <si>
    <t>=NL("rows","Production BOM Version","Version Code","Production BOM No.",D4414,"status","certified")</t>
  </si>
  <si>
    <t>=NL("sum","Item Ledger Entry","Quantity","Item No.",$D4414,"Entry Type","Sale|Consumption","posting date","01/01/19..12/31/19")/-12</t>
  </si>
  <si>
    <t>=NL("sum","Item Ledger Entry","Quantity","Item No.",$D4414,"Entry Type","Sale|Consumption","posting date","01/01/20..12/31/20")/-12</t>
  </si>
  <si>
    <t>=NL("sum","Item Ledger Entry","Quantity","Item No.",$D4414,"Entry Type","Sale|Consumption","posting date","01/01/21..12/31/21")/-12</t>
  </si>
  <si>
    <t>=NL("sum","Item Ledger Entry","Quantity","Item No.",$D4414,"Entry Type","Sale|Consumption","posting date","01/01/22..12/31/22")/-12</t>
  </si>
  <si>
    <t>=NL("sum","Item Ledger Entry","Quantity","Item No.",$D4414,"Entry Type","Sale|Consumption","posting date","01/01/23..12/31/23")/$J$7</t>
  </si>
  <si>
    <t>=AVERAGE(I4414:J4414)</t>
  </si>
  <si>
    <t>=NL(1,"item",L$9,"no.",D4414)</t>
  </si>
  <si>
    <t>=NL(1,"item",M$9,"no.",$D4414)</t>
  </si>
  <si>
    <t>=NL(1,"item","Units Per Parcel","no.",$D4414)</t>
  </si>
  <si>
    <t>=NL(1,"Prod. BOM Equipment","Fixed Prod. Time (Hours)","Production BOM No.",$D4414,"version code",$E4414,"Resource No.",O$9)</t>
  </si>
  <si>
    <t>=1/O4414</t>
  </si>
  <si>
    <t>=IF(NL(1,"Prod. BOM Equipment","Variable Prod. Time (Hours)","Production BOM No.",$D4414,"version code",$E4414,"Resource No.",$O$9)="",1,NL(1,"Prod. BOM Equipment","Variable Prod. Time (Hours)","Production BOM No.",$D4414,"version code",$E4414,"Resource No.",$O$9))</t>
  </si>
  <si>
    <t>=1/Q4414</t>
  </si>
  <si>
    <t>=R4414*N4414</t>
  </si>
  <si>
    <t>=IF(K4415=0,"hide","")</t>
  </si>
  <si>
    <t>=D4414</t>
  </si>
  <si>
    <t>=NL("sum","Production Order","Quantity","Source No.",$D4415,"Equipment Code",$L4415,"due date",F$8)/-12</t>
  </si>
  <si>
    <t>=NL("sum","Production Order","Quantity","Source No.",$D4415,"Equipment Code",$L4415,"due date",G$8)/-12</t>
  </si>
  <si>
    <t>=NL("sum","Production Order","Quantity","Source No.",$D4415,"Equipment Code",$L4415,"due date",H$8)/-12</t>
  </si>
  <si>
    <t>=NL("sum","Production Order","Quantity","Source No.",$D4415,"Equipment Code",$L4415,"due date",I$8)/-12</t>
  </si>
  <si>
    <t>=NL("sum","Production Order","Quantity","Source No.",$D4415,"Equipment Code",$L4415,"due date",J$8)/$J$7</t>
  </si>
  <si>
    <t>=AVERAGE(I4415:J4415)</t>
  </si>
  <si>
    <t>=IF(K4416=0,"hide","")</t>
  </si>
  <si>
    <t>=D4415</t>
  </si>
  <si>
    <t>=NL("sum","Production Order","Quantity","Source No.",$D4416,"Equipment Code",$L4416,"due date",F$8)/-12</t>
  </si>
  <si>
    <t>=NL("sum","Production Order","Quantity","Source No.",$D4416,"Equipment Code",$L4416,"due date",G$8)/-12</t>
  </si>
  <si>
    <t>=NL("sum","Production Order","Quantity","Source No.",$D4416,"Equipment Code",$L4416,"due date",H$8)/-12</t>
  </si>
  <si>
    <t>=NL("sum","Production Order","Quantity","Source No.",$D4416,"Equipment Code",$L4416,"due date",I$8)/-12</t>
  </si>
  <si>
    <t>=NL("sum","Production Order","Quantity","Source No.",$D4416,"Equipment Code",$L4416,"due date",J$8)/$J$7</t>
  </si>
  <si>
    <t>=AVERAGE(I4416:J4416)</t>
  </si>
  <si>
    <t>=IF(K4417=0,"hide","")</t>
  </si>
  <si>
    <t>=D4416</t>
  </si>
  <si>
    <t>=NL("sum","Production Order","Quantity","Source No.",$D4417,"Equipment Code",$L4417,"due date",F$8)/-12</t>
  </si>
  <si>
    <t>=NL("sum","Production Order","Quantity","Source No.",$D4417,"Equipment Code",$L4417,"due date",G$8)/-12</t>
  </si>
  <si>
    <t>=NL("sum","Production Order","Quantity","Source No.",$D4417,"Equipment Code",$L4417,"due date",H$8)/-12</t>
  </si>
  <si>
    <t>=NL("sum","Production Order","Quantity","Source No.",$D4417,"Equipment Code",$L4417,"due date",I$8)/-12</t>
  </si>
  <si>
    <t>=NL("sum","Production Order","Quantity","Source No.",$D4417,"Equipment Code",$L4417,"due date",J$8)/$J$7</t>
  </si>
  <si>
    <t>=AVERAGE(I4417:J4417)</t>
  </si>
  <si>
    <t>=IF(K4418=0,"hide","")</t>
  </si>
  <si>
    <t>=D4417</t>
  </si>
  <si>
    <t>=NL("sum","Production Order","Quantity","Source No.",$D4418,"Equipment Code",$L4418,"due date",F$8)/-12</t>
  </si>
  <si>
    <t>=NL("sum","Production Order","Quantity","Source No.",$D4418,"Equipment Code",$L4418,"due date",G$8)/-12</t>
  </si>
  <si>
    <t>=NL("sum","Production Order","Quantity","Source No.",$D4418,"Equipment Code",$L4418,"due date",H$8)/-12</t>
  </si>
  <si>
    <t>=NL("sum","Production Order","Quantity","Source No.",$D4418,"Equipment Code",$L4418,"due date",I$8)/-12</t>
  </si>
  <si>
    <t>=NL("sum","Production Order","Quantity","Source No.",$D4418,"Equipment Code",$L4418,"due date",J$8)/$J$7</t>
  </si>
  <si>
    <t>=AVERAGE(I4418:J4418)</t>
  </si>
  <si>
    <t>=B4415</t>
  </si>
  <si>
    <t>=B4419</t>
  </si>
  <si>
    <t>=SUM(F4415:F4419)</t>
  </si>
  <si>
    <t>=SUM(G4415:G4419)</t>
  </si>
  <si>
    <t>=SUM(H4415:H4419)</t>
  </si>
  <si>
    <t>=SUM(I4415:I4419)</t>
  </si>
  <si>
    <t>=SUM(J4415:J4419)</t>
  </si>
  <si>
    <t>=IF(K4421=0,"hide","")</t>
  </si>
  <si>
    <t>="66208"</t>
  </si>
  <si>
    <t>=NL("rows","Production BOM Version","Version Code","Production BOM No.",D4421,"status","certified")</t>
  </si>
  <si>
    <t>=NL("sum","Item Ledger Entry","Quantity","Item No.",$D4421,"Entry Type","Sale|Consumption","posting date","01/01/19..12/31/19")/-12</t>
  </si>
  <si>
    <t>=NL("sum","Item Ledger Entry","Quantity","Item No.",$D4421,"Entry Type","Sale|Consumption","posting date","01/01/20..12/31/20")/-12</t>
  </si>
  <si>
    <t>=NL("sum","Item Ledger Entry","Quantity","Item No.",$D4421,"Entry Type","Sale|Consumption","posting date","01/01/21..12/31/21")/-12</t>
  </si>
  <si>
    <t>=NL("sum","Item Ledger Entry","Quantity","Item No.",$D4421,"Entry Type","Sale|Consumption","posting date","01/01/22..12/31/22")/-12</t>
  </si>
  <si>
    <t>=NL("sum","Item Ledger Entry","Quantity","Item No.",$D4421,"Entry Type","Sale|Consumption","posting date","01/01/23..12/31/23")/$J$7</t>
  </si>
  <si>
    <t>=AVERAGE(I4421:J4421)</t>
  </si>
  <si>
    <t>=NL(1,"item",L$9,"no.",D4421)</t>
  </si>
  <si>
    <t>=NL(1,"item",M$9,"no.",$D4421)</t>
  </si>
  <si>
    <t>=NL(1,"item","Units Per Parcel","no.",$D4421)</t>
  </si>
  <si>
    <t>=NL(1,"Prod. BOM Equipment","Fixed Prod. Time (Hours)","Production BOM No.",$D4421,"version code",$E4421,"Resource No.",O$9)</t>
  </si>
  <si>
    <t>=1/O4421</t>
  </si>
  <si>
    <t>=IF(NL(1,"Prod. BOM Equipment","Variable Prod. Time (Hours)","Production BOM No.",$D4421,"version code",$E4421,"Resource No.",$O$9)="",1,NL(1,"Prod. BOM Equipment","Variable Prod. Time (Hours)","Production BOM No.",$D4421,"version code",$E4421,"Resource No.",$O$9))</t>
  </si>
  <si>
    <t>=1/Q4421</t>
  </si>
  <si>
    <t>=R4421*N4421</t>
  </si>
  <si>
    <t>=IF(K4422=0,"hide","")</t>
  </si>
  <si>
    <t>=D4421</t>
  </si>
  <si>
    <t>=NL("sum","Production Order","Quantity","Source No.",$D4422,"Equipment Code",$L4422,"due date",F$8)/-12</t>
  </si>
  <si>
    <t>=NL("sum","Production Order","Quantity","Source No.",$D4422,"Equipment Code",$L4422,"due date",G$8)/-12</t>
  </si>
  <si>
    <t>=NL("sum","Production Order","Quantity","Source No.",$D4422,"Equipment Code",$L4422,"due date",H$8)/-12</t>
  </si>
  <si>
    <t>=NL("sum","Production Order","Quantity","Source No.",$D4422,"Equipment Code",$L4422,"due date",I$8)/-12</t>
  </si>
  <si>
    <t>=NL("sum","Production Order","Quantity","Source No.",$D4422,"Equipment Code",$L4422,"due date",J$8)/$J$7</t>
  </si>
  <si>
    <t>=AVERAGE(I4422:J4422)</t>
  </si>
  <si>
    <t>=IF(K4423=0,"hide","")</t>
  </si>
  <si>
    <t>=D4422</t>
  </si>
  <si>
    <t>=NL("sum","Production Order","Quantity","Source No.",$D4423,"Equipment Code",$L4423,"due date",F$8)/-12</t>
  </si>
  <si>
    <t>=NL("sum","Production Order","Quantity","Source No.",$D4423,"Equipment Code",$L4423,"due date",G$8)/-12</t>
  </si>
  <si>
    <t>=NL("sum","Production Order","Quantity","Source No.",$D4423,"Equipment Code",$L4423,"due date",H$8)/-12</t>
  </si>
  <si>
    <t>=NL("sum","Production Order","Quantity","Source No.",$D4423,"Equipment Code",$L4423,"due date",I$8)/-12</t>
  </si>
  <si>
    <t>=NL("sum","Production Order","Quantity","Source No.",$D4423,"Equipment Code",$L4423,"due date",J$8)/$J$7</t>
  </si>
  <si>
    <t>=AVERAGE(I4423:J4423)</t>
  </si>
  <si>
    <t>=IF(K4424=0,"hide","")</t>
  </si>
  <si>
    <t>=D4423</t>
  </si>
  <si>
    <t>=NL("sum","Production Order","Quantity","Source No.",$D4424,"Equipment Code",$L4424,"due date",F$8)/-12</t>
  </si>
  <si>
    <t>=NL("sum","Production Order","Quantity","Source No.",$D4424,"Equipment Code",$L4424,"due date",G$8)/-12</t>
  </si>
  <si>
    <t>=NL("sum","Production Order","Quantity","Source No.",$D4424,"Equipment Code",$L4424,"due date",H$8)/-12</t>
  </si>
  <si>
    <t>=NL("sum","Production Order","Quantity","Source No.",$D4424,"Equipment Code",$L4424,"due date",I$8)/-12</t>
  </si>
  <si>
    <t>=NL("sum","Production Order","Quantity","Source No.",$D4424,"Equipment Code",$L4424,"due date",J$8)/$J$7</t>
  </si>
  <si>
    <t>=AVERAGE(I4424:J4424)</t>
  </si>
  <si>
    <t>=IF(K4425=0,"hide","")</t>
  </si>
  <si>
    <t>=D4424</t>
  </si>
  <si>
    <t>=NL("sum","Production Order","Quantity","Source No.",$D4425,"Equipment Code",$L4425,"due date",F$8)/-12</t>
  </si>
  <si>
    <t>=NL("sum","Production Order","Quantity","Source No.",$D4425,"Equipment Code",$L4425,"due date",G$8)/-12</t>
  </si>
  <si>
    <t>=NL("sum","Production Order","Quantity","Source No.",$D4425,"Equipment Code",$L4425,"due date",H$8)/-12</t>
  </si>
  <si>
    <t>=NL("sum","Production Order","Quantity","Source No.",$D4425,"Equipment Code",$L4425,"due date",I$8)/-12</t>
  </si>
  <si>
    <t>=NL("sum","Production Order","Quantity","Source No.",$D4425,"Equipment Code",$L4425,"due date",J$8)/$J$7</t>
  </si>
  <si>
    <t>=AVERAGE(I4425:J4425)</t>
  </si>
  <si>
    <t>=B4422</t>
  </si>
  <si>
    <t>=B4426</t>
  </si>
  <si>
    <t>=SUM(F4422:F4426)</t>
  </si>
  <si>
    <t>=SUM(G4422:G4426)</t>
  </si>
  <si>
    <t>=SUM(H4422:H4426)</t>
  </si>
  <si>
    <t>=SUM(I4422:I4426)</t>
  </si>
  <si>
    <t>=SUM(J4422:J4426)</t>
  </si>
  <si>
    <t>=IF(K4428=0,"hide","")</t>
  </si>
  <si>
    <t>=NL("rows","Production BOM Version","Version Code","Production BOM No.",D4428,"status","certified")</t>
  </si>
  <si>
    <t>=NL("sum","Item Ledger Entry","Quantity","Item No.",$D4428,"Entry Type","Sale|Consumption","posting date","01/01/19..12/31/19")/-12</t>
  </si>
  <si>
    <t>=NL("sum","Item Ledger Entry","Quantity","Item No.",$D4428,"Entry Type","Sale|Consumption","posting date","01/01/20..12/31/20")/-12</t>
  </si>
  <si>
    <t>=NL("sum","Item Ledger Entry","Quantity","Item No.",$D4428,"Entry Type","Sale|Consumption","posting date","01/01/21..12/31/21")/-12</t>
  </si>
  <si>
    <t>=NL("sum","Item Ledger Entry","Quantity","Item No.",$D4428,"Entry Type","Sale|Consumption","posting date","01/01/22..12/31/22")/-12</t>
  </si>
  <si>
    <t>=NL("sum","Item Ledger Entry","Quantity","Item No.",$D4428,"Entry Type","Sale|Consumption","posting date","01/01/23..12/31/23")/$J$7</t>
  </si>
  <si>
    <t>=AVERAGE(I4428:J4428)</t>
  </si>
  <si>
    <t>=NL(1,"item",L$9,"no.",D4428)</t>
  </si>
  <si>
    <t>=NL(1,"item",M$9,"no.",$D4428)</t>
  </si>
  <si>
    <t>=NL(1,"item","Units Per Parcel","no.",$D4428)</t>
  </si>
  <si>
    <t>=NL(1,"Prod. BOM Equipment","Fixed Prod. Time (Hours)","Production BOM No.",$D4428,"version code",$E4428,"Resource No.",O$9)</t>
  </si>
  <si>
    <t>=1/O4428</t>
  </si>
  <si>
    <t>=IF(NL(1,"Prod. BOM Equipment","Variable Prod. Time (Hours)","Production BOM No.",$D4428,"version code",$E4428,"Resource No.",$O$9)="",1,NL(1,"Prod. BOM Equipment","Variable Prod. Time (Hours)","Production BOM No.",$D4428,"version code",$E4428,"Resource No.",$O$9))</t>
  </si>
  <si>
    <t>=1/Q4428</t>
  </si>
  <si>
    <t>=R4428*N4428</t>
  </si>
  <si>
    <t>=IF(K4429=0,"hide","")</t>
  </si>
  <si>
    <t>=D4428</t>
  </si>
  <si>
    <t>=NL("sum","Production Order","Quantity","Source No.",$D4429,"Equipment Code",$L4429,"due date",F$8)/-12</t>
  </si>
  <si>
    <t>=NL("sum","Production Order","Quantity","Source No.",$D4429,"Equipment Code",$L4429,"due date",G$8)/-12</t>
  </si>
  <si>
    <t>=NL("sum","Production Order","Quantity","Source No.",$D4429,"Equipment Code",$L4429,"due date",H$8)/-12</t>
  </si>
  <si>
    <t>=NL("sum","Production Order","Quantity","Source No.",$D4429,"Equipment Code",$L4429,"due date",I$8)/-12</t>
  </si>
  <si>
    <t>=NL("sum","Production Order","Quantity","Source No.",$D4429,"Equipment Code",$L4429,"due date",J$8)/$J$7</t>
  </si>
  <si>
    <t>=AVERAGE(I4429:J4429)</t>
  </si>
  <si>
    <t>=IF(K4430=0,"hide","")</t>
  </si>
  <si>
    <t>=D4429</t>
  </si>
  <si>
    <t>=NL("sum","Production Order","Quantity","Source No.",$D4430,"Equipment Code",$L4430,"due date",F$8)/-12</t>
  </si>
  <si>
    <t>=NL("sum","Production Order","Quantity","Source No.",$D4430,"Equipment Code",$L4430,"due date",G$8)/-12</t>
  </si>
  <si>
    <t>=NL("sum","Production Order","Quantity","Source No.",$D4430,"Equipment Code",$L4430,"due date",H$8)/-12</t>
  </si>
  <si>
    <t>=NL("sum","Production Order","Quantity","Source No.",$D4430,"Equipment Code",$L4430,"due date",I$8)/-12</t>
  </si>
  <si>
    <t>=NL("sum","Production Order","Quantity","Source No.",$D4430,"Equipment Code",$L4430,"due date",J$8)/$J$7</t>
  </si>
  <si>
    <t>=AVERAGE(I4430:J4430)</t>
  </si>
  <si>
    <t>=IF(K4431=0,"hide","")</t>
  </si>
  <si>
    <t>=D4430</t>
  </si>
  <si>
    <t>=NL("sum","Production Order","Quantity","Source No.",$D4431,"Equipment Code",$L4431,"due date",F$8)/-12</t>
  </si>
  <si>
    <t>=NL("sum","Production Order","Quantity","Source No.",$D4431,"Equipment Code",$L4431,"due date",G$8)/-12</t>
  </si>
  <si>
    <t>=NL("sum","Production Order","Quantity","Source No.",$D4431,"Equipment Code",$L4431,"due date",H$8)/-12</t>
  </si>
  <si>
    <t>=NL("sum","Production Order","Quantity","Source No.",$D4431,"Equipment Code",$L4431,"due date",I$8)/-12</t>
  </si>
  <si>
    <t>=NL("sum","Production Order","Quantity","Source No.",$D4431,"Equipment Code",$L4431,"due date",J$8)/$J$7</t>
  </si>
  <si>
    <t>=AVERAGE(I4431:J4431)</t>
  </si>
  <si>
    <t>=IF(K4432=0,"hide","")</t>
  </si>
  <si>
    <t>=D4431</t>
  </si>
  <si>
    <t>=NL("sum","Production Order","Quantity","Source No.",$D4432,"Equipment Code",$L4432,"due date",F$8)/-12</t>
  </si>
  <si>
    <t>=NL("sum","Production Order","Quantity","Source No.",$D4432,"Equipment Code",$L4432,"due date",G$8)/-12</t>
  </si>
  <si>
    <t>=NL("sum","Production Order","Quantity","Source No.",$D4432,"Equipment Code",$L4432,"due date",H$8)/-12</t>
  </si>
  <si>
    <t>=NL("sum","Production Order","Quantity","Source No.",$D4432,"Equipment Code",$L4432,"due date",I$8)/-12</t>
  </si>
  <si>
    <t>=NL("sum","Production Order","Quantity","Source No.",$D4432,"Equipment Code",$L4432,"due date",J$8)/$J$7</t>
  </si>
  <si>
    <t>=AVERAGE(I4432:J4432)</t>
  </si>
  <si>
    <t>=B4429</t>
  </si>
  <si>
    <t>=B4433</t>
  </si>
  <si>
    <t>=SUM(F4429:F4433)</t>
  </si>
  <si>
    <t>=SUM(G4429:G4433)</t>
  </si>
  <si>
    <t>=SUM(H4429:H4433)</t>
  </si>
  <si>
    <t>=SUM(I4429:I4433)</t>
  </si>
  <si>
    <t>=SUM(J4429:J4433)</t>
  </si>
  <si>
    <t>=IF(K4435=0,"hide","")</t>
  </si>
  <si>
    <t>="66488"</t>
  </si>
  <si>
    <t>=NL("rows","Production BOM Version","Version Code","Production BOM No.",D4435,"status","certified")</t>
  </si>
  <si>
    <t>=NL("sum","Item Ledger Entry","Quantity","Item No.",$D4435,"Entry Type","Sale|Consumption","posting date","01/01/19..12/31/19")/-12</t>
  </si>
  <si>
    <t>=NL("sum","Item Ledger Entry","Quantity","Item No.",$D4435,"Entry Type","Sale|Consumption","posting date","01/01/20..12/31/20")/-12</t>
  </si>
  <si>
    <t>=NL("sum","Item Ledger Entry","Quantity","Item No.",$D4435,"Entry Type","Sale|Consumption","posting date","01/01/21..12/31/21")/-12</t>
  </si>
  <si>
    <t>=NL("sum","Item Ledger Entry","Quantity","Item No.",$D4435,"Entry Type","Sale|Consumption","posting date","01/01/22..12/31/22")/-12</t>
  </si>
  <si>
    <t>=NL("sum","Item Ledger Entry","Quantity","Item No.",$D4435,"Entry Type","Sale|Consumption","posting date","01/01/23..12/31/23")/$J$7</t>
  </si>
  <si>
    <t>=AVERAGE(I4435:J4435)</t>
  </si>
  <si>
    <t>=NL(1,"item",L$9,"no.",D4435)</t>
  </si>
  <si>
    <t>=NL(1,"item",M$9,"no.",$D4435)</t>
  </si>
  <si>
    <t>=NL(1,"item","Units Per Parcel","no.",$D4435)</t>
  </si>
  <si>
    <t>=NL(1,"Prod. BOM Equipment","Fixed Prod. Time (Hours)","Production BOM No.",$D4435,"version code",$E4435,"Resource No.",O$9)</t>
  </si>
  <si>
    <t>=1/O4435</t>
  </si>
  <si>
    <t>=IF(NL(1,"Prod. BOM Equipment","Variable Prod. Time (Hours)","Production BOM No.",$D4435,"version code",$E4435,"Resource No.",$O$9)="",1,NL(1,"Prod. BOM Equipment","Variable Prod. Time (Hours)","Production BOM No.",$D4435,"version code",$E4435,"Resource No.",$O$9))</t>
  </si>
  <si>
    <t>=1/Q4435</t>
  </si>
  <si>
    <t>=R4435*N4435</t>
  </si>
  <si>
    <t>=IF(K4436=0,"hide","")</t>
  </si>
  <si>
    <t>=D4435</t>
  </si>
  <si>
    <t>=NL("sum","Production Order","Quantity","Source No.",$D4436,"Equipment Code",$L4436,"due date",F$8)/-12</t>
  </si>
  <si>
    <t>=NL("sum","Production Order","Quantity","Source No.",$D4436,"Equipment Code",$L4436,"due date",G$8)/-12</t>
  </si>
  <si>
    <t>=NL("sum","Production Order","Quantity","Source No.",$D4436,"Equipment Code",$L4436,"due date",H$8)/-12</t>
  </si>
  <si>
    <t>=NL("sum","Production Order","Quantity","Source No.",$D4436,"Equipment Code",$L4436,"due date",I$8)/-12</t>
  </si>
  <si>
    <t>=NL("sum","Production Order","Quantity","Source No.",$D4436,"Equipment Code",$L4436,"due date",J$8)/$J$7</t>
  </si>
  <si>
    <t>=AVERAGE(I4436:J4436)</t>
  </si>
  <si>
    <t>=IF(K4437=0,"hide","")</t>
  </si>
  <si>
    <t>=D4436</t>
  </si>
  <si>
    <t>=NL("sum","Production Order","Quantity","Source No.",$D4437,"Equipment Code",$L4437,"due date",F$8)/-12</t>
  </si>
  <si>
    <t>=NL("sum","Production Order","Quantity","Source No.",$D4437,"Equipment Code",$L4437,"due date",G$8)/-12</t>
  </si>
  <si>
    <t>=NL("sum","Production Order","Quantity","Source No.",$D4437,"Equipment Code",$L4437,"due date",H$8)/-12</t>
  </si>
  <si>
    <t>=NL("sum","Production Order","Quantity","Source No.",$D4437,"Equipment Code",$L4437,"due date",I$8)/-12</t>
  </si>
  <si>
    <t>=NL("sum","Production Order","Quantity","Source No.",$D4437,"Equipment Code",$L4437,"due date",J$8)/$J$7</t>
  </si>
  <si>
    <t>=AVERAGE(I4437:J4437)</t>
  </si>
  <si>
    <t>=IF(K4438=0,"hide","")</t>
  </si>
  <si>
    <t>=D4437</t>
  </si>
  <si>
    <t>=NL("sum","Production Order","Quantity","Source No.",$D4438,"Equipment Code",$L4438,"due date",F$8)/-12</t>
  </si>
  <si>
    <t>=NL("sum","Production Order","Quantity","Source No.",$D4438,"Equipment Code",$L4438,"due date",G$8)/-12</t>
  </si>
  <si>
    <t>=NL("sum","Production Order","Quantity","Source No.",$D4438,"Equipment Code",$L4438,"due date",H$8)/-12</t>
  </si>
  <si>
    <t>=NL("sum","Production Order","Quantity","Source No.",$D4438,"Equipment Code",$L4438,"due date",I$8)/-12</t>
  </si>
  <si>
    <t>=NL("sum","Production Order","Quantity","Source No.",$D4438,"Equipment Code",$L4438,"due date",J$8)/$J$7</t>
  </si>
  <si>
    <t>=AVERAGE(I4438:J4438)</t>
  </si>
  <si>
    <t>=IF(K4439=0,"hide","")</t>
  </si>
  <si>
    <t>=D4438</t>
  </si>
  <si>
    <t>=NL("sum","Production Order","Quantity","Source No.",$D4439,"Equipment Code",$L4439,"due date",F$8)/-12</t>
  </si>
  <si>
    <t>=NL("sum","Production Order","Quantity","Source No.",$D4439,"Equipment Code",$L4439,"due date",G$8)/-12</t>
  </si>
  <si>
    <t>=NL("sum","Production Order","Quantity","Source No.",$D4439,"Equipment Code",$L4439,"due date",H$8)/-12</t>
  </si>
  <si>
    <t>=NL("sum","Production Order","Quantity","Source No.",$D4439,"Equipment Code",$L4439,"due date",I$8)/-12</t>
  </si>
  <si>
    <t>=NL("sum","Production Order","Quantity","Source No.",$D4439,"Equipment Code",$L4439,"due date",J$8)/$J$7</t>
  </si>
  <si>
    <t>=AVERAGE(I4439:J4439)</t>
  </si>
  <si>
    <t>=B4436</t>
  </si>
  <si>
    <t>=B4440</t>
  </si>
  <si>
    <t>=SUM(F4436:F4440)</t>
  </si>
  <si>
    <t>=SUM(G4436:G4440)</t>
  </si>
  <si>
    <t>=SUM(H4436:H4440)</t>
  </si>
  <si>
    <t>=SUM(I4436:I4440)</t>
  </si>
  <si>
    <t>=SUM(J4436:J4440)</t>
  </si>
  <si>
    <t>=IF(K4442=0,"hide","")</t>
  </si>
  <si>
    <t>="66508"</t>
  </si>
  <si>
    <t>=NL("rows","Production BOM Version","Version Code","Production BOM No.",D4442,"status","certified")</t>
  </si>
  <si>
    <t>=NL("sum","Item Ledger Entry","Quantity","Item No.",$D4442,"Entry Type","Sale|Consumption","posting date","01/01/19..12/31/19")/-12</t>
  </si>
  <si>
    <t>=NL("sum","Item Ledger Entry","Quantity","Item No.",$D4442,"Entry Type","Sale|Consumption","posting date","01/01/20..12/31/20")/-12</t>
  </si>
  <si>
    <t>=NL("sum","Item Ledger Entry","Quantity","Item No.",$D4442,"Entry Type","Sale|Consumption","posting date","01/01/21..12/31/21")/-12</t>
  </si>
  <si>
    <t>=NL("sum","Item Ledger Entry","Quantity","Item No.",$D4442,"Entry Type","Sale|Consumption","posting date","01/01/22..12/31/22")/-12</t>
  </si>
  <si>
    <t>=NL("sum","Item Ledger Entry","Quantity","Item No.",$D4442,"Entry Type","Sale|Consumption","posting date","01/01/23..12/31/23")/$J$7</t>
  </si>
  <si>
    <t>=AVERAGE(I4442:J4442)</t>
  </si>
  <si>
    <t>=NL(1,"item",L$9,"no.",D4442)</t>
  </si>
  <si>
    <t>=NL(1,"item",M$9,"no.",$D4442)</t>
  </si>
  <si>
    <t>=NL(1,"item","Units Per Parcel","no.",$D4442)</t>
  </si>
  <si>
    <t>=NL(1,"Prod. BOM Equipment","Fixed Prod. Time (Hours)","Production BOM No.",$D4442,"version code",$E4442,"Resource No.",O$9)</t>
  </si>
  <si>
    <t>=1/O4442</t>
  </si>
  <si>
    <t>=IF(NL(1,"Prod. BOM Equipment","Variable Prod. Time (Hours)","Production BOM No.",$D4442,"version code",$E4442,"Resource No.",$O$9)="",1,NL(1,"Prod. BOM Equipment","Variable Prod. Time (Hours)","Production BOM No.",$D4442,"version code",$E4442,"Resource No.",$O$9))</t>
  </si>
  <si>
    <t>=1/Q4442</t>
  </si>
  <si>
    <t>=R4442*N4442</t>
  </si>
  <si>
    <t>=IF(K4443=0,"hide","")</t>
  </si>
  <si>
    <t>=D4442</t>
  </si>
  <si>
    <t>=NL("sum","Production Order","Quantity","Source No.",$D4443,"Equipment Code",$L4443,"due date",F$8)/-12</t>
  </si>
  <si>
    <t>=NL("sum","Production Order","Quantity","Source No.",$D4443,"Equipment Code",$L4443,"due date",G$8)/-12</t>
  </si>
  <si>
    <t>=NL("sum","Production Order","Quantity","Source No.",$D4443,"Equipment Code",$L4443,"due date",H$8)/-12</t>
  </si>
  <si>
    <t>=NL("sum","Production Order","Quantity","Source No.",$D4443,"Equipment Code",$L4443,"due date",I$8)/-12</t>
  </si>
  <si>
    <t>=NL("sum","Production Order","Quantity","Source No.",$D4443,"Equipment Code",$L4443,"due date",J$8)/$J$7</t>
  </si>
  <si>
    <t>=AVERAGE(I4443:J4443)</t>
  </si>
  <si>
    <t>=IF(K4444=0,"hide","")</t>
  </si>
  <si>
    <t>=D4443</t>
  </si>
  <si>
    <t>=NL("sum","Production Order","Quantity","Source No.",$D4444,"Equipment Code",$L4444,"due date",F$8)/-12</t>
  </si>
  <si>
    <t>=NL("sum","Production Order","Quantity","Source No.",$D4444,"Equipment Code",$L4444,"due date",G$8)/-12</t>
  </si>
  <si>
    <t>=NL("sum","Production Order","Quantity","Source No.",$D4444,"Equipment Code",$L4444,"due date",H$8)/-12</t>
  </si>
  <si>
    <t>=NL("sum","Production Order","Quantity","Source No.",$D4444,"Equipment Code",$L4444,"due date",I$8)/-12</t>
  </si>
  <si>
    <t>=NL("sum","Production Order","Quantity","Source No.",$D4444,"Equipment Code",$L4444,"due date",J$8)/$J$7</t>
  </si>
  <si>
    <t>=AVERAGE(I4444:J4444)</t>
  </si>
  <si>
    <t>=IF(K4445=0,"hide","")</t>
  </si>
  <si>
    <t>=D4444</t>
  </si>
  <si>
    <t>=NL("sum","Production Order","Quantity","Source No.",$D4445,"Equipment Code",$L4445,"due date",F$8)/-12</t>
  </si>
  <si>
    <t>=NL("sum","Production Order","Quantity","Source No.",$D4445,"Equipment Code",$L4445,"due date",G$8)/-12</t>
  </si>
  <si>
    <t>=NL("sum","Production Order","Quantity","Source No.",$D4445,"Equipment Code",$L4445,"due date",H$8)/-12</t>
  </si>
  <si>
    <t>=NL("sum","Production Order","Quantity","Source No.",$D4445,"Equipment Code",$L4445,"due date",I$8)/-12</t>
  </si>
  <si>
    <t>=NL("sum","Production Order","Quantity","Source No.",$D4445,"Equipment Code",$L4445,"due date",J$8)/$J$7</t>
  </si>
  <si>
    <t>=AVERAGE(I4445:J4445)</t>
  </si>
  <si>
    <t>=IF(K4446=0,"hide","")</t>
  </si>
  <si>
    <t>=D4445</t>
  </si>
  <si>
    <t>=NL("sum","Production Order","Quantity","Source No.",$D4446,"Equipment Code",$L4446,"due date",F$8)/-12</t>
  </si>
  <si>
    <t>=NL("sum","Production Order","Quantity","Source No.",$D4446,"Equipment Code",$L4446,"due date",G$8)/-12</t>
  </si>
  <si>
    <t>=NL("sum","Production Order","Quantity","Source No.",$D4446,"Equipment Code",$L4446,"due date",H$8)/-12</t>
  </si>
  <si>
    <t>=NL("sum","Production Order","Quantity","Source No.",$D4446,"Equipment Code",$L4446,"due date",I$8)/-12</t>
  </si>
  <si>
    <t>=NL("sum","Production Order","Quantity","Source No.",$D4446,"Equipment Code",$L4446,"due date",J$8)/$J$7</t>
  </si>
  <si>
    <t>=AVERAGE(I4446:J4446)</t>
  </si>
  <si>
    <t>=B4443</t>
  </si>
  <si>
    <t>=B4447</t>
  </si>
  <si>
    <t>=SUM(F4443:F4447)</t>
  </si>
  <si>
    <t>=SUM(G4443:G4447)</t>
  </si>
  <si>
    <t>=SUM(H4443:H4447)</t>
  </si>
  <si>
    <t>=SUM(I4443:I4447)</t>
  </si>
  <si>
    <t>=SUM(J4443:J4447)</t>
  </si>
  <si>
    <t>=IF(K4449=0,"hide","")</t>
  </si>
  <si>
    <t>="67822"</t>
  </si>
  <si>
    <t>=NL("rows","Production BOM Version","Version Code","Production BOM No.",D4449,"status","certified")</t>
  </si>
  <si>
    <t>=NL("sum","Item Ledger Entry","Quantity","Item No.",$D4449,"Entry Type","Sale|Consumption","posting date","01/01/19..12/31/19")/-12</t>
  </si>
  <si>
    <t>=NL("sum","Item Ledger Entry","Quantity","Item No.",$D4449,"Entry Type","Sale|Consumption","posting date","01/01/20..12/31/20")/-12</t>
  </si>
  <si>
    <t>=NL("sum","Item Ledger Entry","Quantity","Item No.",$D4449,"Entry Type","Sale|Consumption","posting date","01/01/21..12/31/21")/-12</t>
  </si>
  <si>
    <t>=NL("sum","Item Ledger Entry","Quantity","Item No.",$D4449,"Entry Type","Sale|Consumption","posting date","01/01/22..12/31/22")/-12</t>
  </si>
  <si>
    <t>=NL("sum","Item Ledger Entry","Quantity","Item No.",$D4449,"Entry Type","Sale|Consumption","posting date","01/01/23..12/31/23")/$J$7</t>
  </si>
  <si>
    <t>=AVERAGE(I4449:J4449)</t>
  </si>
  <si>
    <t>=NL(1,"item",L$9,"no.",D4449)</t>
  </si>
  <si>
    <t>=NL(1,"item",M$9,"no.",$D4449)</t>
  </si>
  <si>
    <t>=NL(1,"item","Units Per Parcel","no.",$D4449)</t>
  </si>
  <si>
    <t>=NL(1,"Prod. BOM Equipment","Fixed Prod. Time (Hours)","Production BOM No.",$D4449,"version code",$E4449,"Resource No.",O$9)</t>
  </si>
  <si>
    <t>=1/O4449</t>
  </si>
  <si>
    <t>=IF(NL(1,"Prod. BOM Equipment","Variable Prod. Time (Hours)","Production BOM No.",$D4449,"version code",$E4449,"Resource No.",$O$9)="",1,NL(1,"Prod. BOM Equipment","Variable Prod. Time (Hours)","Production BOM No.",$D4449,"version code",$E4449,"Resource No.",$O$9))</t>
  </si>
  <si>
    <t>=1/Q4449</t>
  </si>
  <si>
    <t>=R4449*N4449</t>
  </si>
  <si>
    <t>=IF(K4450=0,"hide","")</t>
  </si>
  <si>
    <t>=D4449</t>
  </si>
  <si>
    <t>=NL("sum","Production Order","Quantity","Source No.",$D4450,"Equipment Code",$L4450,"due date",F$8)/-12</t>
  </si>
  <si>
    <t>=NL("sum","Production Order","Quantity","Source No.",$D4450,"Equipment Code",$L4450,"due date",G$8)/-12</t>
  </si>
  <si>
    <t>=NL("sum","Production Order","Quantity","Source No.",$D4450,"Equipment Code",$L4450,"due date",H$8)/-12</t>
  </si>
  <si>
    <t>=NL("sum","Production Order","Quantity","Source No.",$D4450,"Equipment Code",$L4450,"due date",I$8)/-12</t>
  </si>
  <si>
    <t>=NL("sum","Production Order","Quantity","Source No.",$D4450,"Equipment Code",$L4450,"due date",J$8)/$J$7</t>
  </si>
  <si>
    <t>=AVERAGE(I4450:J4450)</t>
  </si>
  <si>
    <t>=IF(K4451=0,"hide","")</t>
  </si>
  <si>
    <t>=D4450</t>
  </si>
  <si>
    <t>=NL("sum","Production Order","Quantity","Source No.",$D4451,"Equipment Code",$L4451,"due date",F$8)/-12</t>
  </si>
  <si>
    <t>=NL("sum","Production Order","Quantity","Source No.",$D4451,"Equipment Code",$L4451,"due date",G$8)/-12</t>
  </si>
  <si>
    <t>=NL("sum","Production Order","Quantity","Source No.",$D4451,"Equipment Code",$L4451,"due date",H$8)/-12</t>
  </si>
  <si>
    <t>=NL("sum","Production Order","Quantity","Source No.",$D4451,"Equipment Code",$L4451,"due date",I$8)/-12</t>
  </si>
  <si>
    <t>=NL("sum","Production Order","Quantity","Source No.",$D4451,"Equipment Code",$L4451,"due date",J$8)/$J$7</t>
  </si>
  <si>
    <t>=AVERAGE(I4451:J4451)</t>
  </si>
  <si>
    <t>=IF(K4452=0,"hide","")</t>
  </si>
  <si>
    <t>=D4451</t>
  </si>
  <si>
    <t>=NL("sum","Production Order","Quantity","Source No.",$D4452,"Equipment Code",$L4452,"due date",F$8)/-12</t>
  </si>
  <si>
    <t>=NL("sum","Production Order","Quantity","Source No.",$D4452,"Equipment Code",$L4452,"due date",G$8)/-12</t>
  </si>
  <si>
    <t>=NL("sum","Production Order","Quantity","Source No.",$D4452,"Equipment Code",$L4452,"due date",H$8)/-12</t>
  </si>
  <si>
    <t>=NL("sum","Production Order","Quantity","Source No.",$D4452,"Equipment Code",$L4452,"due date",I$8)/-12</t>
  </si>
  <si>
    <t>=NL("sum","Production Order","Quantity","Source No.",$D4452,"Equipment Code",$L4452,"due date",J$8)/$J$7</t>
  </si>
  <si>
    <t>=AVERAGE(I4452:J4452)</t>
  </si>
  <si>
    <t>=IF(K4453=0,"hide","")</t>
  </si>
  <si>
    <t>=D4452</t>
  </si>
  <si>
    <t>=NL("sum","Production Order","Quantity","Source No.",$D4453,"Equipment Code",$L4453,"due date",F$8)/-12</t>
  </si>
  <si>
    <t>=NL("sum","Production Order","Quantity","Source No.",$D4453,"Equipment Code",$L4453,"due date",G$8)/-12</t>
  </si>
  <si>
    <t>=NL("sum","Production Order","Quantity","Source No.",$D4453,"Equipment Code",$L4453,"due date",H$8)/-12</t>
  </si>
  <si>
    <t>=NL("sum","Production Order","Quantity","Source No.",$D4453,"Equipment Code",$L4453,"due date",I$8)/-12</t>
  </si>
  <si>
    <t>=NL("sum","Production Order","Quantity","Source No.",$D4453,"Equipment Code",$L4453,"due date",J$8)/$J$7</t>
  </si>
  <si>
    <t>=AVERAGE(I4453:J4453)</t>
  </si>
  <si>
    <t>=B4450</t>
  </si>
  <si>
    <t>=B4454</t>
  </si>
  <si>
    <t>=SUM(F4450:F4454)</t>
  </si>
  <si>
    <t>=SUM(G4450:G4454)</t>
  </si>
  <si>
    <t>=SUM(H4450:H4454)</t>
  </si>
  <si>
    <t>=SUM(I4450:I4454)</t>
  </si>
  <si>
    <t>=SUM(J4450:J4454)</t>
  </si>
  <si>
    <t>=IF(K4456=0,"hide","")</t>
  </si>
  <si>
    <t>="71501"</t>
  </si>
  <si>
    <t>=NL("rows","Production BOM Version","Version Code","Production BOM No.",D4456,"status","certified")</t>
  </si>
  <si>
    <t>=NL("sum","Item Ledger Entry","Quantity","Item No.",$D4456,"Entry Type","Sale|Consumption","posting date","01/01/19..12/31/19")/-12</t>
  </si>
  <si>
    <t>=NL("sum","Item Ledger Entry","Quantity","Item No.",$D4456,"Entry Type","Sale|Consumption","posting date","01/01/20..12/31/20")/-12</t>
  </si>
  <si>
    <t>=NL("sum","Item Ledger Entry","Quantity","Item No.",$D4456,"Entry Type","Sale|Consumption","posting date","01/01/21..12/31/21")/-12</t>
  </si>
  <si>
    <t>=NL("sum","Item Ledger Entry","Quantity","Item No.",$D4456,"Entry Type","Sale|Consumption","posting date","01/01/22..12/31/22")/-12</t>
  </si>
  <si>
    <t>=NL("sum","Item Ledger Entry","Quantity","Item No.",$D4456,"Entry Type","Sale|Consumption","posting date","01/01/23..12/31/23")/$J$7</t>
  </si>
  <si>
    <t>=AVERAGE(I4456:J4456)</t>
  </si>
  <si>
    <t>=NL(1,"item",L$9,"no.",D4456)</t>
  </si>
  <si>
    <t>=NL(1,"item",M$9,"no.",$D4456)</t>
  </si>
  <si>
    <t>=NL(1,"item","Units Per Parcel","no.",$D4456)</t>
  </si>
  <si>
    <t>=NL(1,"Prod. BOM Equipment","Fixed Prod. Time (Hours)","Production BOM No.",$D4456,"version code",$E4456,"Resource No.",O$9)</t>
  </si>
  <si>
    <t>=1/O4456</t>
  </si>
  <si>
    <t>=IF(NL(1,"Prod. BOM Equipment","Variable Prod. Time (Hours)","Production BOM No.",$D4456,"version code",$E4456,"Resource No.",$O$9)="",1,NL(1,"Prod. BOM Equipment","Variable Prod. Time (Hours)","Production BOM No.",$D4456,"version code",$E4456,"Resource No.",$O$9))</t>
  </si>
  <si>
    <t>=1/Q4456</t>
  </si>
  <si>
    <t>=R4456*N4456</t>
  </si>
  <si>
    <t>=IF(K4457=0,"hide","")</t>
  </si>
  <si>
    <t>=D4456</t>
  </si>
  <si>
    <t>=NL("sum","Production Order","Quantity","Source No.",$D4457,"Equipment Code",$L4457,"due date",F$8)/-12</t>
  </si>
  <si>
    <t>=NL("sum","Production Order","Quantity","Source No.",$D4457,"Equipment Code",$L4457,"due date",G$8)/-12</t>
  </si>
  <si>
    <t>=NL("sum","Production Order","Quantity","Source No.",$D4457,"Equipment Code",$L4457,"due date",H$8)/-12</t>
  </si>
  <si>
    <t>=NL("sum","Production Order","Quantity","Source No.",$D4457,"Equipment Code",$L4457,"due date",I$8)/-12</t>
  </si>
  <si>
    <t>=NL("sum","Production Order","Quantity","Source No.",$D4457,"Equipment Code",$L4457,"due date",J$8)/$J$7</t>
  </si>
  <si>
    <t>=AVERAGE(I4457:J4457)</t>
  </si>
  <si>
    <t>=IF(K4458=0,"hide","")</t>
  </si>
  <si>
    <t>=D4457</t>
  </si>
  <si>
    <t>=NL("sum","Production Order","Quantity","Source No.",$D4458,"Equipment Code",$L4458,"due date",F$8)/-12</t>
  </si>
  <si>
    <t>=NL("sum","Production Order","Quantity","Source No.",$D4458,"Equipment Code",$L4458,"due date",G$8)/-12</t>
  </si>
  <si>
    <t>=NL("sum","Production Order","Quantity","Source No.",$D4458,"Equipment Code",$L4458,"due date",H$8)/-12</t>
  </si>
  <si>
    <t>=NL("sum","Production Order","Quantity","Source No.",$D4458,"Equipment Code",$L4458,"due date",I$8)/-12</t>
  </si>
  <si>
    <t>=NL("sum","Production Order","Quantity","Source No.",$D4458,"Equipment Code",$L4458,"due date",J$8)/$J$7</t>
  </si>
  <si>
    <t>=AVERAGE(I4458:J4458)</t>
  </si>
  <si>
    <t>=IF(K4459=0,"hide","")</t>
  </si>
  <si>
    <t>=D4458</t>
  </si>
  <si>
    <t>=NL("sum","Production Order","Quantity","Source No.",$D4459,"Equipment Code",$L4459,"due date",F$8)/-12</t>
  </si>
  <si>
    <t>=NL("sum","Production Order","Quantity","Source No.",$D4459,"Equipment Code",$L4459,"due date",G$8)/-12</t>
  </si>
  <si>
    <t>=NL("sum","Production Order","Quantity","Source No.",$D4459,"Equipment Code",$L4459,"due date",H$8)/-12</t>
  </si>
  <si>
    <t>=NL("sum","Production Order","Quantity","Source No.",$D4459,"Equipment Code",$L4459,"due date",I$8)/-12</t>
  </si>
  <si>
    <t>=NL("sum","Production Order","Quantity","Source No.",$D4459,"Equipment Code",$L4459,"due date",J$8)/$J$7</t>
  </si>
  <si>
    <t>=AVERAGE(I4459:J4459)</t>
  </si>
  <si>
    <t>=IF(K4460=0,"hide","")</t>
  </si>
  <si>
    <t>=D4459</t>
  </si>
  <si>
    <t>=NL("sum","Production Order","Quantity","Source No.",$D4460,"Equipment Code",$L4460,"due date",F$8)/-12</t>
  </si>
  <si>
    <t>=NL("sum","Production Order","Quantity","Source No.",$D4460,"Equipment Code",$L4460,"due date",G$8)/-12</t>
  </si>
  <si>
    <t>=NL("sum","Production Order","Quantity","Source No.",$D4460,"Equipment Code",$L4460,"due date",H$8)/-12</t>
  </si>
  <si>
    <t>=NL("sum","Production Order","Quantity","Source No.",$D4460,"Equipment Code",$L4460,"due date",I$8)/-12</t>
  </si>
  <si>
    <t>=NL("sum","Production Order","Quantity","Source No.",$D4460,"Equipment Code",$L4460,"due date",J$8)/$J$7</t>
  </si>
  <si>
    <t>=AVERAGE(I4460:J4460)</t>
  </si>
  <si>
    <t>=B4457</t>
  </si>
  <si>
    <t>=B4461</t>
  </si>
  <si>
    <t>=SUM(F4457:F4461)</t>
  </si>
  <si>
    <t>=SUM(G4457:G4461)</t>
  </si>
  <si>
    <t>=SUM(H4457:H4461)</t>
  </si>
  <si>
    <t>=SUM(I4457:I4461)</t>
  </si>
  <si>
    <t>=SUM(J4457:J4461)</t>
  </si>
  <si>
    <t>=IF(K4463=0,"hide","")</t>
  </si>
  <si>
    <t>="71505"</t>
  </si>
  <si>
    <t>=NL("rows","Production BOM Version","Version Code","Production BOM No.",D4463,"status","certified")</t>
  </si>
  <si>
    <t>=NL("sum","Item Ledger Entry","Quantity","Item No.",$D4463,"Entry Type","Sale|Consumption","posting date","01/01/19..12/31/19")/-12</t>
  </si>
  <si>
    <t>=NL("sum","Item Ledger Entry","Quantity","Item No.",$D4463,"Entry Type","Sale|Consumption","posting date","01/01/20..12/31/20")/-12</t>
  </si>
  <si>
    <t>=NL("sum","Item Ledger Entry","Quantity","Item No.",$D4463,"Entry Type","Sale|Consumption","posting date","01/01/21..12/31/21")/-12</t>
  </si>
  <si>
    <t>=NL("sum","Item Ledger Entry","Quantity","Item No.",$D4463,"Entry Type","Sale|Consumption","posting date","01/01/22..12/31/22")/-12</t>
  </si>
  <si>
    <t>=NL("sum","Item Ledger Entry","Quantity","Item No.",$D4463,"Entry Type","Sale|Consumption","posting date","01/01/23..12/31/23")/$J$7</t>
  </si>
  <si>
    <t>=AVERAGE(I4463:J4463)</t>
  </si>
  <si>
    <t>=NL(1,"item",L$9,"no.",D4463)</t>
  </si>
  <si>
    <t>=NL(1,"item",M$9,"no.",$D4463)</t>
  </si>
  <si>
    <t>=NL(1,"item","Units Per Parcel","no.",$D4463)</t>
  </si>
  <si>
    <t>=NL(1,"Prod. BOM Equipment","Fixed Prod. Time (Hours)","Production BOM No.",$D4463,"version code",$E4463,"Resource No.",O$9)</t>
  </si>
  <si>
    <t>=1/O4463</t>
  </si>
  <si>
    <t>=IF(NL(1,"Prod. BOM Equipment","Variable Prod. Time (Hours)","Production BOM No.",$D4463,"version code",$E4463,"Resource No.",$O$9)="",1,NL(1,"Prod. BOM Equipment","Variable Prod. Time (Hours)","Production BOM No.",$D4463,"version code",$E4463,"Resource No.",$O$9))</t>
  </si>
  <si>
    <t>=1/Q4463</t>
  </si>
  <si>
    <t>=R4463*N4463</t>
  </si>
  <si>
    <t>=IF(K4464=0,"hide","")</t>
  </si>
  <si>
    <t>=D4463</t>
  </si>
  <si>
    <t>=NL("sum","Production Order","Quantity","Source No.",$D4464,"Equipment Code",$L4464,"due date",F$8)/-12</t>
  </si>
  <si>
    <t>=NL("sum","Production Order","Quantity","Source No.",$D4464,"Equipment Code",$L4464,"due date",G$8)/-12</t>
  </si>
  <si>
    <t>=NL("sum","Production Order","Quantity","Source No.",$D4464,"Equipment Code",$L4464,"due date",H$8)/-12</t>
  </si>
  <si>
    <t>=NL("sum","Production Order","Quantity","Source No.",$D4464,"Equipment Code",$L4464,"due date",I$8)/-12</t>
  </si>
  <si>
    <t>=NL("sum","Production Order","Quantity","Source No.",$D4464,"Equipment Code",$L4464,"due date",J$8)/$J$7</t>
  </si>
  <si>
    <t>=AVERAGE(I4464:J4464)</t>
  </si>
  <si>
    <t>=IF(K4465=0,"hide","")</t>
  </si>
  <si>
    <t>=D4464</t>
  </si>
  <si>
    <t>=NL("sum","Production Order","Quantity","Source No.",$D4465,"Equipment Code",$L4465,"due date",F$8)/-12</t>
  </si>
  <si>
    <t>=NL("sum","Production Order","Quantity","Source No.",$D4465,"Equipment Code",$L4465,"due date",G$8)/-12</t>
  </si>
  <si>
    <t>=NL("sum","Production Order","Quantity","Source No.",$D4465,"Equipment Code",$L4465,"due date",H$8)/-12</t>
  </si>
  <si>
    <t>=NL("sum","Production Order","Quantity","Source No.",$D4465,"Equipment Code",$L4465,"due date",I$8)/-12</t>
  </si>
  <si>
    <t>=NL("sum","Production Order","Quantity","Source No.",$D4465,"Equipment Code",$L4465,"due date",J$8)/$J$7</t>
  </si>
  <si>
    <t>=AVERAGE(I4465:J4465)</t>
  </si>
  <si>
    <t>=IF(K4466=0,"hide","")</t>
  </si>
  <si>
    <t>=D4465</t>
  </si>
  <si>
    <t>=NL("sum","Production Order","Quantity","Source No.",$D4466,"Equipment Code",$L4466,"due date",F$8)/-12</t>
  </si>
  <si>
    <t>=NL("sum","Production Order","Quantity","Source No.",$D4466,"Equipment Code",$L4466,"due date",G$8)/-12</t>
  </si>
  <si>
    <t>=NL("sum","Production Order","Quantity","Source No.",$D4466,"Equipment Code",$L4466,"due date",H$8)/-12</t>
  </si>
  <si>
    <t>=NL("sum","Production Order","Quantity","Source No.",$D4466,"Equipment Code",$L4466,"due date",I$8)/-12</t>
  </si>
  <si>
    <t>=NL("sum","Production Order","Quantity","Source No.",$D4466,"Equipment Code",$L4466,"due date",J$8)/$J$7</t>
  </si>
  <si>
    <t>=AVERAGE(I4466:J4466)</t>
  </si>
  <si>
    <t>=IF(K4467=0,"hide","")</t>
  </si>
  <si>
    <t>=D4466</t>
  </si>
  <si>
    <t>=NL("sum","Production Order","Quantity","Source No.",$D4467,"Equipment Code",$L4467,"due date",F$8)/-12</t>
  </si>
  <si>
    <t>=NL("sum","Production Order","Quantity","Source No.",$D4467,"Equipment Code",$L4467,"due date",G$8)/-12</t>
  </si>
  <si>
    <t>=NL("sum","Production Order","Quantity","Source No.",$D4467,"Equipment Code",$L4467,"due date",H$8)/-12</t>
  </si>
  <si>
    <t>=NL("sum","Production Order","Quantity","Source No.",$D4467,"Equipment Code",$L4467,"due date",I$8)/-12</t>
  </si>
  <si>
    <t>=NL("sum","Production Order","Quantity","Source No.",$D4467,"Equipment Code",$L4467,"due date",J$8)/$J$7</t>
  </si>
  <si>
    <t>=AVERAGE(I4467:J4467)</t>
  </si>
  <si>
    <t>=B4464</t>
  </si>
  <si>
    <t>=B4468</t>
  </si>
  <si>
    <t>=SUM(F4464:F4468)</t>
  </si>
  <si>
    <t>=SUM(G4464:G4468)</t>
  </si>
  <si>
    <t>=SUM(H4464:H4468)</t>
  </si>
  <si>
    <t>=SUM(I4464:I4468)</t>
  </si>
  <si>
    <t>=SUM(J4464:J4468)</t>
  </si>
  <si>
    <t>=IF(K4470=0,"hide","")</t>
  </si>
  <si>
    <t>="71510"</t>
  </si>
  <si>
    <t>=NL("rows","Production BOM Version","Version Code","Production BOM No.",D4470,"status","certified")</t>
  </si>
  <si>
    <t>=NL("sum","Item Ledger Entry","Quantity","Item No.",$D4470,"Entry Type","Sale|Consumption","posting date","01/01/19..12/31/19")/-12</t>
  </si>
  <si>
    <t>=NL("sum","Item Ledger Entry","Quantity","Item No.",$D4470,"Entry Type","Sale|Consumption","posting date","01/01/20..12/31/20")/-12</t>
  </si>
  <si>
    <t>=NL("sum","Item Ledger Entry","Quantity","Item No.",$D4470,"Entry Type","Sale|Consumption","posting date","01/01/21..12/31/21")/-12</t>
  </si>
  <si>
    <t>=NL("sum","Item Ledger Entry","Quantity","Item No.",$D4470,"Entry Type","Sale|Consumption","posting date","01/01/22..12/31/22")/-12</t>
  </si>
  <si>
    <t>=NL("sum","Item Ledger Entry","Quantity","Item No.",$D4470,"Entry Type","Sale|Consumption","posting date","01/01/23..12/31/23")/$J$7</t>
  </si>
  <si>
    <t>=AVERAGE(I4470:J4470)</t>
  </si>
  <si>
    <t>=NL(1,"item",L$9,"no.",D4470)</t>
  </si>
  <si>
    <t>=NL(1,"item",M$9,"no.",$D4470)</t>
  </si>
  <si>
    <t>=NL(1,"item","Units Per Parcel","no.",$D4470)</t>
  </si>
  <si>
    <t>=NL(1,"Prod. BOM Equipment","Fixed Prod. Time (Hours)","Production BOM No.",$D4470,"version code",$E4470,"Resource No.",O$9)</t>
  </si>
  <si>
    <t>=1/O4470</t>
  </si>
  <si>
    <t>=IF(NL(1,"Prod. BOM Equipment","Variable Prod. Time (Hours)","Production BOM No.",$D4470,"version code",$E4470,"Resource No.",$O$9)="",1,NL(1,"Prod. BOM Equipment","Variable Prod. Time (Hours)","Production BOM No.",$D4470,"version code",$E4470,"Resource No.",$O$9))</t>
  </si>
  <si>
    <t>=1/Q4470</t>
  </si>
  <si>
    <t>=R4470*N4470</t>
  </si>
  <si>
    <t>=IF(K4471=0,"hide","")</t>
  </si>
  <si>
    <t>=D4470</t>
  </si>
  <si>
    <t>=NL("sum","Production Order","Quantity","Source No.",$D4471,"Equipment Code",$L4471,"due date",F$8)/-12</t>
  </si>
  <si>
    <t>=NL("sum","Production Order","Quantity","Source No.",$D4471,"Equipment Code",$L4471,"due date",G$8)/-12</t>
  </si>
  <si>
    <t>=NL("sum","Production Order","Quantity","Source No.",$D4471,"Equipment Code",$L4471,"due date",H$8)/-12</t>
  </si>
  <si>
    <t>=NL("sum","Production Order","Quantity","Source No.",$D4471,"Equipment Code",$L4471,"due date",I$8)/-12</t>
  </si>
  <si>
    <t>=NL("sum","Production Order","Quantity","Source No.",$D4471,"Equipment Code",$L4471,"due date",J$8)/$J$7</t>
  </si>
  <si>
    <t>=AVERAGE(I4471:J4471)</t>
  </si>
  <si>
    <t>=IF(K4472=0,"hide","")</t>
  </si>
  <si>
    <t>=D4471</t>
  </si>
  <si>
    <t>=NL("sum","Production Order","Quantity","Source No.",$D4472,"Equipment Code",$L4472,"due date",F$8)/-12</t>
  </si>
  <si>
    <t>=NL("sum","Production Order","Quantity","Source No.",$D4472,"Equipment Code",$L4472,"due date",G$8)/-12</t>
  </si>
  <si>
    <t>=NL("sum","Production Order","Quantity","Source No.",$D4472,"Equipment Code",$L4472,"due date",H$8)/-12</t>
  </si>
  <si>
    <t>=NL("sum","Production Order","Quantity","Source No.",$D4472,"Equipment Code",$L4472,"due date",I$8)/-12</t>
  </si>
  <si>
    <t>=NL("sum","Production Order","Quantity","Source No.",$D4472,"Equipment Code",$L4472,"due date",J$8)/$J$7</t>
  </si>
  <si>
    <t>=AVERAGE(I4472:J4472)</t>
  </si>
  <si>
    <t>=IF(K4473=0,"hide","")</t>
  </si>
  <si>
    <t>=D4472</t>
  </si>
  <si>
    <t>=NL("sum","Production Order","Quantity","Source No.",$D4473,"Equipment Code",$L4473,"due date",F$8)/-12</t>
  </si>
  <si>
    <t>=NL("sum","Production Order","Quantity","Source No.",$D4473,"Equipment Code",$L4473,"due date",G$8)/-12</t>
  </si>
  <si>
    <t>=NL("sum","Production Order","Quantity","Source No.",$D4473,"Equipment Code",$L4473,"due date",H$8)/-12</t>
  </si>
  <si>
    <t>=NL("sum","Production Order","Quantity","Source No.",$D4473,"Equipment Code",$L4473,"due date",I$8)/-12</t>
  </si>
  <si>
    <t>=NL("sum","Production Order","Quantity","Source No.",$D4473,"Equipment Code",$L4473,"due date",J$8)/$J$7</t>
  </si>
  <si>
    <t>=AVERAGE(I4473:J4473)</t>
  </si>
  <si>
    <t>=IF(K4474=0,"hide","")</t>
  </si>
  <si>
    <t>=D4473</t>
  </si>
  <si>
    <t>=NL("sum","Production Order","Quantity","Source No.",$D4474,"Equipment Code",$L4474,"due date",F$8)/-12</t>
  </si>
  <si>
    <t>=NL("sum","Production Order","Quantity","Source No.",$D4474,"Equipment Code",$L4474,"due date",G$8)/-12</t>
  </si>
  <si>
    <t>=NL("sum","Production Order","Quantity","Source No.",$D4474,"Equipment Code",$L4474,"due date",H$8)/-12</t>
  </si>
  <si>
    <t>=NL("sum","Production Order","Quantity","Source No.",$D4474,"Equipment Code",$L4474,"due date",I$8)/-12</t>
  </si>
  <si>
    <t>=NL("sum","Production Order","Quantity","Source No.",$D4474,"Equipment Code",$L4474,"due date",J$8)/$J$7</t>
  </si>
  <si>
    <t>=AVERAGE(I4474:J4474)</t>
  </si>
  <si>
    <t>=B4471</t>
  </si>
  <si>
    <t>=B4475</t>
  </si>
  <si>
    <t>=SUM(F4471:F4475)</t>
  </si>
  <si>
    <t>=SUM(G4471:G4475)</t>
  </si>
  <si>
    <t>=SUM(H4471:H4475)</t>
  </si>
  <si>
    <t>=SUM(I4471:I4475)</t>
  </si>
  <si>
    <t>=SUM(J4471:J4475)</t>
  </si>
  <si>
    <t>=IF(K4477=0,"hide","")</t>
  </si>
  <si>
    <t>="731701"</t>
  </si>
  <si>
    <t>=NL("rows","Production BOM Version","Version Code","Production BOM No.",D4477,"status","certified")</t>
  </si>
  <si>
    <t>=NL("sum","Item Ledger Entry","Quantity","Item No.",$D4477,"Entry Type","Sale|Consumption","posting date","01/01/19..12/31/19")/-12</t>
  </si>
  <si>
    <t>=NL("sum","Item Ledger Entry","Quantity","Item No.",$D4477,"Entry Type","Sale|Consumption","posting date","01/01/20..12/31/20")/-12</t>
  </si>
  <si>
    <t>=NL("sum","Item Ledger Entry","Quantity","Item No.",$D4477,"Entry Type","Sale|Consumption","posting date","01/01/21..12/31/21")/-12</t>
  </si>
  <si>
    <t>=NL("sum","Item Ledger Entry","Quantity","Item No.",$D4477,"Entry Type","Sale|Consumption","posting date","01/01/22..12/31/22")/-12</t>
  </si>
  <si>
    <t>=NL("sum","Item Ledger Entry","Quantity","Item No.",$D4477,"Entry Type","Sale|Consumption","posting date","01/01/23..12/31/23")/$J$7</t>
  </si>
  <si>
    <t>=AVERAGE(I4477:J4477)</t>
  </si>
  <si>
    <t>=NL(1,"item",L$9,"no.",D4477)</t>
  </si>
  <si>
    <t>=NL(1,"item",M$9,"no.",$D4477)</t>
  </si>
  <si>
    <t>=NL(1,"item","Units Per Parcel","no.",$D4477)</t>
  </si>
  <si>
    <t>=NL(1,"Prod. BOM Equipment","Fixed Prod. Time (Hours)","Production BOM No.",$D4477,"version code",$E4477,"Resource No.",O$9)</t>
  </si>
  <si>
    <t>=1/O4477</t>
  </si>
  <si>
    <t>=IF(NL(1,"Prod. BOM Equipment","Variable Prod. Time (Hours)","Production BOM No.",$D4477,"version code",$E4477,"Resource No.",$O$9)="",1,NL(1,"Prod. BOM Equipment","Variable Prod. Time (Hours)","Production BOM No.",$D4477,"version code",$E4477,"Resource No.",$O$9))</t>
  </si>
  <si>
    <t>=1/Q4477</t>
  </si>
  <si>
    <t>=R4477*N4477</t>
  </si>
  <si>
    <t>=IF(K4478=0,"hide","")</t>
  </si>
  <si>
    <t>=D4477</t>
  </si>
  <si>
    <t>=NL("sum","Production Order","Quantity","Source No.",$D4478,"Equipment Code",$L4478,"due date",F$8)/-12</t>
  </si>
  <si>
    <t>=NL("sum","Production Order","Quantity","Source No.",$D4478,"Equipment Code",$L4478,"due date",G$8)/-12</t>
  </si>
  <si>
    <t>=NL("sum","Production Order","Quantity","Source No.",$D4478,"Equipment Code",$L4478,"due date",H$8)/-12</t>
  </si>
  <si>
    <t>=NL("sum","Production Order","Quantity","Source No.",$D4478,"Equipment Code",$L4478,"due date",I$8)/-12</t>
  </si>
  <si>
    <t>=NL("sum","Production Order","Quantity","Source No.",$D4478,"Equipment Code",$L4478,"due date",J$8)/$J$7</t>
  </si>
  <si>
    <t>=AVERAGE(I4478:J4478)</t>
  </si>
  <si>
    <t>=IF(K4479=0,"hide","")</t>
  </si>
  <si>
    <t>=D4478</t>
  </si>
  <si>
    <t>=NL("sum","Production Order","Quantity","Source No.",$D4479,"Equipment Code",$L4479,"due date",F$8)/-12</t>
  </si>
  <si>
    <t>=NL("sum","Production Order","Quantity","Source No.",$D4479,"Equipment Code",$L4479,"due date",G$8)/-12</t>
  </si>
  <si>
    <t>=NL("sum","Production Order","Quantity","Source No.",$D4479,"Equipment Code",$L4479,"due date",H$8)/-12</t>
  </si>
  <si>
    <t>=NL("sum","Production Order","Quantity","Source No.",$D4479,"Equipment Code",$L4479,"due date",I$8)/-12</t>
  </si>
  <si>
    <t>=NL("sum","Production Order","Quantity","Source No.",$D4479,"Equipment Code",$L4479,"due date",J$8)/$J$7</t>
  </si>
  <si>
    <t>=AVERAGE(I4479:J4479)</t>
  </si>
  <si>
    <t>=IF(K4480=0,"hide","")</t>
  </si>
  <si>
    <t>=D4479</t>
  </si>
  <si>
    <t>=NL("sum","Production Order","Quantity","Source No.",$D4480,"Equipment Code",$L4480,"due date",F$8)/-12</t>
  </si>
  <si>
    <t>=NL("sum","Production Order","Quantity","Source No.",$D4480,"Equipment Code",$L4480,"due date",G$8)/-12</t>
  </si>
  <si>
    <t>=NL("sum","Production Order","Quantity","Source No.",$D4480,"Equipment Code",$L4480,"due date",H$8)/-12</t>
  </si>
  <si>
    <t>=NL("sum","Production Order","Quantity","Source No.",$D4480,"Equipment Code",$L4480,"due date",I$8)/-12</t>
  </si>
  <si>
    <t>=NL("sum","Production Order","Quantity","Source No.",$D4480,"Equipment Code",$L4480,"due date",J$8)/$J$7</t>
  </si>
  <si>
    <t>=AVERAGE(I4480:J4480)</t>
  </si>
  <si>
    <t>=IF(K4481=0,"hide","")</t>
  </si>
  <si>
    <t>=D4480</t>
  </si>
  <si>
    <t>=NL("sum","Production Order","Quantity","Source No.",$D4481,"Equipment Code",$L4481,"due date",F$8)/-12</t>
  </si>
  <si>
    <t>=NL("sum","Production Order","Quantity","Source No.",$D4481,"Equipment Code",$L4481,"due date",G$8)/-12</t>
  </si>
  <si>
    <t>=NL("sum","Production Order","Quantity","Source No.",$D4481,"Equipment Code",$L4481,"due date",H$8)/-12</t>
  </si>
  <si>
    <t>=NL("sum","Production Order","Quantity","Source No.",$D4481,"Equipment Code",$L4481,"due date",I$8)/-12</t>
  </si>
  <si>
    <t>=NL("sum","Production Order","Quantity","Source No.",$D4481,"Equipment Code",$L4481,"due date",J$8)/$J$7</t>
  </si>
  <si>
    <t>=AVERAGE(I4481:J4481)</t>
  </si>
  <si>
    <t>=B4478</t>
  </si>
  <si>
    <t>=B4482</t>
  </si>
  <si>
    <t>=SUM(F4478:F4482)</t>
  </si>
  <si>
    <t>=SUM(G4478:G4482)</t>
  </si>
  <si>
    <t>=SUM(H4478:H4482)</t>
  </si>
  <si>
    <t>=SUM(I4478:I4482)</t>
  </si>
  <si>
    <t>=SUM(J4478:J4482)</t>
  </si>
  <si>
    <t>=IF(K4484=0,"hide","")</t>
  </si>
  <si>
    <t>="731710"</t>
  </si>
  <si>
    <t>=NL("rows","Production BOM Version","Version Code","Production BOM No.",D4484,"status","certified")</t>
  </si>
  <si>
    <t>=NL("sum","Item Ledger Entry","Quantity","Item No.",$D4484,"Entry Type","Sale|Consumption","posting date","01/01/19..12/31/19")/-12</t>
  </si>
  <si>
    <t>=NL("sum","Item Ledger Entry","Quantity","Item No.",$D4484,"Entry Type","Sale|Consumption","posting date","01/01/20..12/31/20")/-12</t>
  </si>
  <si>
    <t>=NL("sum","Item Ledger Entry","Quantity","Item No.",$D4484,"Entry Type","Sale|Consumption","posting date","01/01/21..12/31/21")/-12</t>
  </si>
  <si>
    <t>=NL("sum","Item Ledger Entry","Quantity","Item No.",$D4484,"Entry Type","Sale|Consumption","posting date","01/01/22..12/31/22")/-12</t>
  </si>
  <si>
    <t>=NL("sum","Item Ledger Entry","Quantity","Item No.",$D4484,"Entry Type","Sale|Consumption","posting date","01/01/23..12/31/23")/$J$7</t>
  </si>
  <si>
    <t>=AVERAGE(I4484:J4484)</t>
  </si>
  <si>
    <t>=NL(1,"item",L$9,"no.",D4484)</t>
  </si>
  <si>
    <t>=NL(1,"item",M$9,"no.",$D4484)</t>
  </si>
  <si>
    <t>=NL(1,"item","Units Per Parcel","no.",$D4484)</t>
  </si>
  <si>
    <t>=NL(1,"Prod. BOM Equipment","Fixed Prod. Time (Hours)","Production BOM No.",$D4484,"version code",$E4484,"Resource No.",O$9)</t>
  </si>
  <si>
    <t>=1/O4484</t>
  </si>
  <si>
    <t>=IF(NL(1,"Prod. BOM Equipment","Variable Prod. Time (Hours)","Production BOM No.",$D4484,"version code",$E4484,"Resource No.",$O$9)="",1,NL(1,"Prod. BOM Equipment","Variable Prod. Time (Hours)","Production BOM No.",$D4484,"version code",$E4484,"Resource No.",$O$9))</t>
  </si>
  <si>
    <t>=1/Q4484</t>
  </si>
  <si>
    <t>=R4484*N4484</t>
  </si>
  <si>
    <t>=IF(K4485=0,"hide","")</t>
  </si>
  <si>
    <t>=D4484</t>
  </si>
  <si>
    <t>=NL("sum","Production Order","Quantity","Source No.",$D4485,"Equipment Code",$L4485,"due date",F$8)/-12</t>
  </si>
  <si>
    <t>=NL("sum","Production Order","Quantity","Source No.",$D4485,"Equipment Code",$L4485,"due date",G$8)/-12</t>
  </si>
  <si>
    <t>=NL("sum","Production Order","Quantity","Source No.",$D4485,"Equipment Code",$L4485,"due date",H$8)/-12</t>
  </si>
  <si>
    <t>=NL("sum","Production Order","Quantity","Source No.",$D4485,"Equipment Code",$L4485,"due date",I$8)/-12</t>
  </si>
  <si>
    <t>=NL("sum","Production Order","Quantity","Source No.",$D4485,"Equipment Code",$L4485,"due date",J$8)/$J$7</t>
  </si>
  <si>
    <t>=AVERAGE(I4485:J4485)</t>
  </si>
  <si>
    <t>=IF(K4486=0,"hide","")</t>
  </si>
  <si>
    <t>=D4485</t>
  </si>
  <si>
    <t>=NL("sum","Production Order","Quantity","Source No.",$D4486,"Equipment Code",$L4486,"due date",F$8)/-12</t>
  </si>
  <si>
    <t>=NL("sum","Production Order","Quantity","Source No.",$D4486,"Equipment Code",$L4486,"due date",G$8)/-12</t>
  </si>
  <si>
    <t>=NL("sum","Production Order","Quantity","Source No.",$D4486,"Equipment Code",$L4486,"due date",H$8)/-12</t>
  </si>
  <si>
    <t>=NL("sum","Production Order","Quantity","Source No.",$D4486,"Equipment Code",$L4486,"due date",I$8)/-12</t>
  </si>
  <si>
    <t>=NL("sum","Production Order","Quantity","Source No.",$D4486,"Equipment Code",$L4486,"due date",J$8)/$J$7</t>
  </si>
  <si>
    <t>=AVERAGE(I4486:J4486)</t>
  </si>
  <si>
    <t>=IF(K4487=0,"hide","")</t>
  </si>
  <si>
    <t>=D4486</t>
  </si>
  <si>
    <t>=NL("sum","Production Order","Quantity","Source No.",$D4487,"Equipment Code",$L4487,"due date",F$8)/-12</t>
  </si>
  <si>
    <t>=NL("sum","Production Order","Quantity","Source No.",$D4487,"Equipment Code",$L4487,"due date",G$8)/-12</t>
  </si>
  <si>
    <t>=NL("sum","Production Order","Quantity","Source No.",$D4487,"Equipment Code",$L4487,"due date",H$8)/-12</t>
  </si>
  <si>
    <t>=NL("sum","Production Order","Quantity","Source No.",$D4487,"Equipment Code",$L4487,"due date",I$8)/-12</t>
  </si>
  <si>
    <t>=NL("sum","Production Order","Quantity","Source No.",$D4487,"Equipment Code",$L4487,"due date",J$8)/$J$7</t>
  </si>
  <si>
    <t>=AVERAGE(I4487:J4487)</t>
  </si>
  <si>
    <t>=IF(K4488=0,"hide","")</t>
  </si>
  <si>
    <t>=D4487</t>
  </si>
  <si>
    <t>=NL("sum","Production Order","Quantity","Source No.",$D4488,"Equipment Code",$L4488,"due date",F$8)/-12</t>
  </si>
  <si>
    <t>=NL("sum","Production Order","Quantity","Source No.",$D4488,"Equipment Code",$L4488,"due date",G$8)/-12</t>
  </si>
  <si>
    <t>=NL("sum","Production Order","Quantity","Source No.",$D4488,"Equipment Code",$L4488,"due date",H$8)/-12</t>
  </si>
  <si>
    <t>=NL("sum","Production Order","Quantity","Source No.",$D4488,"Equipment Code",$L4488,"due date",I$8)/-12</t>
  </si>
  <si>
    <t>=NL("sum","Production Order","Quantity","Source No.",$D4488,"Equipment Code",$L4488,"due date",J$8)/$J$7</t>
  </si>
  <si>
    <t>=AVERAGE(I4488:J4488)</t>
  </si>
  <si>
    <t>=B4485</t>
  </si>
  <si>
    <t>=B4489</t>
  </si>
  <si>
    <t>=SUM(F4485:F4489)</t>
  </si>
  <si>
    <t>=SUM(G4485:G4489)</t>
  </si>
  <si>
    <t>=SUM(H4485:H4489)</t>
  </si>
  <si>
    <t>=SUM(I4485:I4489)</t>
  </si>
  <si>
    <t>=SUM(J4485:J4489)</t>
  </si>
  <si>
    <t>=IF(K4491=0,"hide","")</t>
  </si>
  <si>
    <t>="733701"</t>
  </si>
  <si>
    <t>=NL("rows","Production BOM Version","Version Code","Production BOM No.",D4491,"status","certified")</t>
  </si>
  <si>
    <t>=NL("sum","Item Ledger Entry","Quantity","Item No.",$D4491,"Entry Type","Sale|Consumption","posting date","01/01/19..12/31/19")/-12</t>
  </si>
  <si>
    <t>=NL("sum","Item Ledger Entry","Quantity","Item No.",$D4491,"Entry Type","Sale|Consumption","posting date","01/01/20..12/31/20")/-12</t>
  </si>
  <si>
    <t>=NL("sum","Item Ledger Entry","Quantity","Item No.",$D4491,"Entry Type","Sale|Consumption","posting date","01/01/21..12/31/21")/-12</t>
  </si>
  <si>
    <t>=NL("sum","Item Ledger Entry","Quantity","Item No.",$D4491,"Entry Type","Sale|Consumption","posting date","01/01/22..12/31/22")/-12</t>
  </si>
  <si>
    <t>=NL("sum","Item Ledger Entry","Quantity","Item No.",$D4491,"Entry Type","Sale|Consumption","posting date","01/01/23..12/31/23")/$J$7</t>
  </si>
  <si>
    <t>=AVERAGE(I4491:J4491)</t>
  </si>
  <si>
    <t>=NL(1,"item",L$9,"no.",D4491)</t>
  </si>
  <si>
    <t>=NL(1,"item",M$9,"no.",$D4491)</t>
  </si>
  <si>
    <t>=NL(1,"item","Units Per Parcel","no.",$D4491)</t>
  </si>
  <si>
    <t>=NL(1,"Prod. BOM Equipment","Fixed Prod. Time (Hours)","Production BOM No.",$D4491,"version code",$E4491,"Resource No.",O$9)</t>
  </si>
  <si>
    <t>=1/O4491</t>
  </si>
  <si>
    <t>=IF(NL(1,"Prod. BOM Equipment","Variable Prod. Time (Hours)","Production BOM No.",$D4491,"version code",$E4491,"Resource No.",$O$9)="",1,NL(1,"Prod. BOM Equipment","Variable Prod. Time (Hours)","Production BOM No.",$D4491,"version code",$E4491,"Resource No.",$O$9))</t>
  </si>
  <si>
    <t>=1/Q4491</t>
  </si>
  <si>
    <t>=R4491*N4491</t>
  </si>
  <si>
    <t>=IF(K4492=0,"hide","")</t>
  </si>
  <si>
    <t>=D4491</t>
  </si>
  <si>
    <t>=NL("sum","Production Order","Quantity","Source No.",$D4492,"Equipment Code",$L4492,"due date",F$8)/-12</t>
  </si>
  <si>
    <t>=NL("sum","Production Order","Quantity","Source No.",$D4492,"Equipment Code",$L4492,"due date",G$8)/-12</t>
  </si>
  <si>
    <t>=NL("sum","Production Order","Quantity","Source No.",$D4492,"Equipment Code",$L4492,"due date",H$8)/-12</t>
  </si>
  <si>
    <t>=NL("sum","Production Order","Quantity","Source No.",$D4492,"Equipment Code",$L4492,"due date",I$8)/-12</t>
  </si>
  <si>
    <t>=NL("sum","Production Order","Quantity","Source No.",$D4492,"Equipment Code",$L4492,"due date",J$8)/$J$7</t>
  </si>
  <si>
    <t>=AVERAGE(I4492:J4492)</t>
  </si>
  <si>
    <t>=IF(K4493=0,"hide","")</t>
  </si>
  <si>
    <t>=D4492</t>
  </si>
  <si>
    <t>=NL("sum","Production Order","Quantity","Source No.",$D4493,"Equipment Code",$L4493,"due date",F$8)/-12</t>
  </si>
  <si>
    <t>=NL("sum","Production Order","Quantity","Source No.",$D4493,"Equipment Code",$L4493,"due date",G$8)/-12</t>
  </si>
  <si>
    <t>=NL("sum","Production Order","Quantity","Source No.",$D4493,"Equipment Code",$L4493,"due date",H$8)/-12</t>
  </si>
  <si>
    <t>=NL("sum","Production Order","Quantity","Source No.",$D4493,"Equipment Code",$L4493,"due date",I$8)/-12</t>
  </si>
  <si>
    <t>=NL("sum","Production Order","Quantity","Source No.",$D4493,"Equipment Code",$L4493,"due date",J$8)/$J$7</t>
  </si>
  <si>
    <t>=AVERAGE(I4493:J4493)</t>
  </si>
  <si>
    <t>=IF(K4494=0,"hide","")</t>
  </si>
  <si>
    <t>=D4493</t>
  </si>
  <si>
    <t>=NL("sum","Production Order","Quantity","Source No.",$D4494,"Equipment Code",$L4494,"due date",F$8)/-12</t>
  </si>
  <si>
    <t>=NL("sum","Production Order","Quantity","Source No.",$D4494,"Equipment Code",$L4494,"due date",G$8)/-12</t>
  </si>
  <si>
    <t>=NL("sum","Production Order","Quantity","Source No.",$D4494,"Equipment Code",$L4494,"due date",H$8)/-12</t>
  </si>
  <si>
    <t>=NL("sum","Production Order","Quantity","Source No.",$D4494,"Equipment Code",$L4494,"due date",I$8)/-12</t>
  </si>
  <si>
    <t>=NL("sum","Production Order","Quantity","Source No.",$D4494,"Equipment Code",$L4494,"due date",J$8)/$J$7</t>
  </si>
  <si>
    <t>=AVERAGE(I4494:J4494)</t>
  </si>
  <si>
    <t>=IF(K4495=0,"hide","")</t>
  </si>
  <si>
    <t>=D4494</t>
  </si>
  <si>
    <t>=NL("sum","Production Order","Quantity","Source No.",$D4495,"Equipment Code",$L4495,"due date",F$8)/-12</t>
  </si>
  <si>
    <t>=NL("sum","Production Order","Quantity","Source No.",$D4495,"Equipment Code",$L4495,"due date",G$8)/-12</t>
  </si>
  <si>
    <t>=NL("sum","Production Order","Quantity","Source No.",$D4495,"Equipment Code",$L4495,"due date",H$8)/-12</t>
  </si>
  <si>
    <t>=NL("sum","Production Order","Quantity","Source No.",$D4495,"Equipment Code",$L4495,"due date",I$8)/-12</t>
  </si>
  <si>
    <t>=NL("sum","Production Order","Quantity","Source No.",$D4495,"Equipment Code",$L4495,"due date",J$8)/$J$7</t>
  </si>
  <si>
    <t>=AVERAGE(I4495:J4495)</t>
  </si>
  <si>
    <t>=B4492</t>
  </si>
  <si>
    <t>=B4496</t>
  </si>
  <si>
    <t>=SUM(F4492:F4496)</t>
  </si>
  <si>
    <t>=SUM(G4492:G4496)</t>
  </si>
  <si>
    <t>=SUM(H4492:H4496)</t>
  </si>
  <si>
    <t>=SUM(I4492:I4496)</t>
  </si>
  <si>
    <t>=SUM(J4492:J4496)</t>
  </si>
  <si>
    <t>=IF(K4498=0,"hide","")</t>
  </si>
  <si>
    <t>="733736"</t>
  </si>
  <si>
    <t>=NL("rows","Production BOM Version","Version Code","Production BOM No.",D4498,"status","certified")</t>
  </si>
  <si>
    <t>=NL("sum","Item Ledger Entry","Quantity","Item No.",$D4498,"Entry Type","Sale|Consumption","posting date","01/01/19..12/31/19")/-12</t>
  </si>
  <si>
    <t>=NL("sum","Item Ledger Entry","Quantity","Item No.",$D4498,"Entry Type","Sale|Consumption","posting date","01/01/20..12/31/20")/-12</t>
  </si>
  <si>
    <t>=NL("sum","Item Ledger Entry","Quantity","Item No.",$D4498,"Entry Type","Sale|Consumption","posting date","01/01/21..12/31/21")/-12</t>
  </si>
  <si>
    <t>=NL("sum","Item Ledger Entry","Quantity","Item No.",$D4498,"Entry Type","Sale|Consumption","posting date","01/01/22..12/31/22")/-12</t>
  </si>
  <si>
    <t>=NL("sum","Item Ledger Entry","Quantity","Item No.",$D4498,"Entry Type","Sale|Consumption","posting date","01/01/23..12/31/23")/$J$7</t>
  </si>
  <si>
    <t>=AVERAGE(I4498:J4498)</t>
  </si>
  <si>
    <t>=NL(1,"item",L$9,"no.",D4498)</t>
  </si>
  <si>
    <t>=NL(1,"item",M$9,"no.",$D4498)</t>
  </si>
  <si>
    <t>=NL(1,"item","Units Per Parcel","no.",$D4498)</t>
  </si>
  <si>
    <t>=NL(1,"Prod. BOM Equipment","Fixed Prod. Time (Hours)","Production BOM No.",$D4498,"version code",$E4498,"Resource No.",O$9)</t>
  </si>
  <si>
    <t>=1/O4498</t>
  </si>
  <si>
    <t>=IF(NL(1,"Prod. BOM Equipment","Variable Prod. Time (Hours)","Production BOM No.",$D4498,"version code",$E4498,"Resource No.",$O$9)="",1,NL(1,"Prod. BOM Equipment","Variable Prod. Time (Hours)","Production BOM No.",$D4498,"version code",$E4498,"Resource No.",$O$9))</t>
  </si>
  <si>
    <t>=1/Q4498</t>
  </si>
  <si>
    <t>=R4498*N4498</t>
  </si>
  <si>
    <t>=IF(K4499=0,"hide","")</t>
  </si>
  <si>
    <t>=D4498</t>
  </si>
  <si>
    <t>=NL("sum","Production Order","Quantity","Source No.",$D4499,"Equipment Code",$L4499,"due date",F$8)/-12</t>
  </si>
  <si>
    <t>=NL("sum","Production Order","Quantity","Source No.",$D4499,"Equipment Code",$L4499,"due date",G$8)/-12</t>
  </si>
  <si>
    <t>=NL("sum","Production Order","Quantity","Source No.",$D4499,"Equipment Code",$L4499,"due date",H$8)/-12</t>
  </si>
  <si>
    <t>=NL("sum","Production Order","Quantity","Source No.",$D4499,"Equipment Code",$L4499,"due date",I$8)/-12</t>
  </si>
  <si>
    <t>=NL("sum","Production Order","Quantity","Source No.",$D4499,"Equipment Code",$L4499,"due date",J$8)/$J$7</t>
  </si>
  <si>
    <t>=AVERAGE(I4499:J4499)</t>
  </si>
  <si>
    <t>=IF(K4500=0,"hide","")</t>
  </si>
  <si>
    <t>=D4499</t>
  </si>
  <si>
    <t>=NL("sum","Production Order","Quantity","Source No.",$D4500,"Equipment Code",$L4500,"due date",F$8)/-12</t>
  </si>
  <si>
    <t>=NL("sum","Production Order","Quantity","Source No.",$D4500,"Equipment Code",$L4500,"due date",G$8)/-12</t>
  </si>
  <si>
    <t>=NL("sum","Production Order","Quantity","Source No.",$D4500,"Equipment Code",$L4500,"due date",H$8)/-12</t>
  </si>
  <si>
    <t>=NL("sum","Production Order","Quantity","Source No.",$D4500,"Equipment Code",$L4500,"due date",I$8)/-12</t>
  </si>
  <si>
    <t>=NL("sum","Production Order","Quantity","Source No.",$D4500,"Equipment Code",$L4500,"due date",J$8)/$J$7</t>
  </si>
  <si>
    <t>=AVERAGE(I4500:J4500)</t>
  </si>
  <si>
    <t>=IF(K4501=0,"hide","")</t>
  </si>
  <si>
    <t>=D4500</t>
  </si>
  <si>
    <t>=NL("sum","Production Order","Quantity","Source No.",$D4501,"Equipment Code",$L4501,"due date",F$8)/-12</t>
  </si>
  <si>
    <t>=NL("sum","Production Order","Quantity","Source No.",$D4501,"Equipment Code",$L4501,"due date",G$8)/-12</t>
  </si>
  <si>
    <t>=NL("sum","Production Order","Quantity","Source No.",$D4501,"Equipment Code",$L4501,"due date",H$8)/-12</t>
  </si>
  <si>
    <t>=NL("sum","Production Order","Quantity","Source No.",$D4501,"Equipment Code",$L4501,"due date",I$8)/-12</t>
  </si>
  <si>
    <t>=NL("sum","Production Order","Quantity","Source No.",$D4501,"Equipment Code",$L4501,"due date",J$8)/$J$7</t>
  </si>
  <si>
    <t>=AVERAGE(I4501:J4501)</t>
  </si>
  <si>
    <t>=IF(K4502=0,"hide","")</t>
  </si>
  <si>
    <t>=D4501</t>
  </si>
  <si>
    <t>=NL("sum","Production Order","Quantity","Source No.",$D4502,"Equipment Code",$L4502,"due date",F$8)/-12</t>
  </si>
  <si>
    <t>=NL("sum","Production Order","Quantity","Source No.",$D4502,"Equipment Code",$L4502,"due date",G$8)/-12</t>
  </si>
  <si>
    <t>=NL("sum","Production Order","Quantity","Source No.",$D4502,"Equipment Code",$L4502,"due date",H$8)/-12</t>
  </si>
  <si>
    <t>=NL("sum","Production Order","Quantity","Source No.",$D4502,"Equipment Code",$L4502,"due date",I$8)/-12</t>
  </si>
  <si>
    <t>=NL("sum","Production Order","Quantity","Source No.",$D4502,"Equipment Code",$L4502,"due date",J$8)/$J$7</t>
  </si>
  <si>
    <t>=AVERAGE(I4502:J4502)</t>
  </si>
  <si>
    <t>=B4499</t>
  </si>
  <si>
    <t>=B4503</t>
  </si>
  <si>
    <t>=SUM(F4499:F4503)</t>
  </si>
  <si>
    <t>=SUM(G4499:G4503)</t>
  </si>
  <si>
    <t>=SUM(H4499:H4503)</t>
  </si>
  <si>
    <t>=SUM(I4499:I4503)</t>
  </si>
  <si>
    <t>=SUM(J4499:J4503)</t>
  </si>
  <si>
    <t>=IF(K4505=0,"hide","")</t>
  </si>
  <si>
    <t>="73405"</t>
  </si>
  <si>
    <t>=NL("rows","Production BOM Version","Version Code","Production BOM No.",D4505,"status","certified")</t>
  </si>
  <si>
    <t>=NL("sum","Item Ledger Entry","Quantity","Item No.",$D4505,"Entry Type","Sale|Consumption","posting date","01/01/19..12/31/19")/-12</t>
  </si>
  <si>
    <t>=NL("sum","Item Ledger Entry","Quantity","Item No.",$D4505,"Entry Type","Sale|Consumption","posting date","01/01/20..12/31/20")/-12</t>
  </si>
  <si>
    <t>=NL("sum","Item Ledger Entry","Quantity","Item No.",$D4505,"Entry Type","Sale|Consumption","posting date","01/01/21..12/31/21")/-12</t>
  </si>
  <si>
    <t>=NL("sum","Item Ledger Entry","Quantity","Item No.",$D4505,"Entry Type","Sale|Consumption","posting date","01/01/22..12/31/22")/-12</t>
  </si>
  <si>
    <t>=NL("sum","Item Ledger Entry","Quantity","Item No.",$D4505,"Entry Type","Sale|Consumption","posting date","01/01/23..12/31/23")/$J$7</t>
  </si>
  <si>
    <t>=AVERAGE(I4505:J4505)</t>
  </si>
  <si>
    <t>=NL(1,"item",L$9,"no.",D4505)</t>
  </si>
  <si>
    <t>=NL(1,"item",M$9,"no.",$D4505)</t>
  </si>
  <si>
    <t>=NL(1,"item","Units Per Parcel","no.",$D4505)</t>
  </si>
  <si>
    <t>=NL(1,"Prod. BOM Equipment","Fixed Prod. Time (Hours)","Production BOM No.",$D4505,"version code",$E4505,"Resource No.",O$9)</t>
  </si>
  <si>
    <t>=1/O4505</t>
  </si>
  <si>
    <t>=IF(NL(1,"Prod. BOM Equipment","Variable Prod. Time (Hours)","Production BOM No.",$D4505,"version code",$E4505,"Resource No.",$O$9)="",1,NL(1,"Prod. BOM Equipment","Variable Prod. Time (Hours)","Production BOM No.",$D4505,"version code",$E4505,"Resource No.",$O$9))</t>
  </si>
  <si>
    <t>=1/Q4505</t>
  </si>
  <si>
    <t>=R4505*N4505</t>
  </si>
  <si>
    <t>=IF(K4506=0,"hide","")</t>
  </si>
  <si>
    <t>=D4505</t>
  </si>
  <si>
    <t>=NL("sum","Production Order","Quantity","Source No.",$D4506,"Equipment Code",$L4506,"due date",F$8)/-12</t>
  </si>
  <si>
    <t>=NL("sum","Production Order","Quantity","Source No.",$D4506,"Equipment Code",$L4506,"due date",G$8)/-12</t>
  </si>
  <si>
    <t>=NL("sum","Production Order","Quantity","Source No.",$D4506,"Equipment Code",$L4506,"due date",H$8)/-12</t>
  </si>
  <si>
    <t>=NL("sum","Production Order","Quantity","Source No.",$D4506,"Equipment Code",$L4506,"due date",I$8)/-12</t>
  </si>
  <si>
    <t>=NL("sum","Production Order","Quantity","Source No.",$D4506,"Equipment Code",$L4506,"due date",J$8)/$J$7</t>
  </si>
  <si>
    <t>=AVERAGE(I4506:J4506)</t>
  </si>
  <si>
    <t>=IF(K4507=0,"hide","")</t>
  </si>
  <si>
    <t>=D4506</t>
  </si>
  <si>
    <t>=NL("sum","Production Order","Quantity","Source No.",$D4507,"Equipment Code",$L4507,"due date",F$8)/-12</t>
  </si>
  <si>
    <t>=NL("sum","Production Order","Quantity","Source No.",$D4507,"Equipment Code",$L4507,"due date",G$8)/-12</t>
  </si>
  <si>
    <t>=NL("sum","Production Order","Quantity","Source No.",$D4507,"Equipment Code",$L4507,"due date",H$8)/-12</t>
  </si>
  <si>
    <t>=NL("sum","Production Order","Quantity","Source No.",$D4507,"Equipment Code",$L4507,"due date",I$8)/-12</t>
  </si>
  <si>
    <t>=NL("sum","Production Order","Quantity","Source No.",$D4507,"Equipment Code",$L4507,"due date",J$8)/$J$7</t>
  </si>
  <si>
    <t>=AVERAGE(I4507:J4507)</t>
  </si>
  <si>
    <t>=IF(K4508=0,"hide","")</t>
  </si>
  <si>
    <t>=D4507</t>
  </si>
  <si>
    <t>=NL("sum","Production Order","Quantity","Source No.",$D4508,"Equipment Code",$L4508,"due date",F$8)/-12</t>
  </si>
  <si>
    <t>=NL("sum","Production Order","Quantity","Source No.",$D4508,"Equipment Code",$L4508,"due date",G$8)/-12</t>
  </si>
  <si>
    <t>=NL("sum","Production Order","Quantity","Source No.",$D4508,"Equipment Code",$L4508,"due date",H$8)/-12</t>
  </si>
  <si>
    <t>=NL("sum","Production Order","Quantity","Source No.",$D4508,"Equipment Code",$L4508,"due date",I$8)/-12</t>
  </si>
  <si>
    <t>=NL("sum","Production Order","Quantity","Source No.",$D4508,"Equipment Code",$L4508,"due date",J$8)/$J$7</t>
  </si>
  <si>
    <t>=AVERAGE(I4508:J4508)</t>
  </si>
  <si>
    <t>=IF(K4509=0,"hide","")</t>
  </si>
  <si>
    <t>=D4508</t>
  </si>
  <si>
    <t>=NL("sum","Production Order","Quantity","Source No.",$D4509,"Equipment Code",$L4509,"due date",F$8)/-12</t>
  </si>
  <si>
    <t>=NL("sum","Production Order","Quantity","Source No.",$D4509,"Equipment Code",$L4509,"due date",G$8)/-12</t>
  </si>
  <si>
    <t>=NL("sum","Production Order","Quantity","Source No.",$D4509,"Equipment Code",$L4509,"due date",H$8)/-12</t>
  </si>
  <si>
    <t>=NL("sum","Production Order","Quantity","Source No.",$D4509,"Equipment Code",$L4509,"due date",I$8)/-12</t>
  </si>
  <si>
    <t>=NL("sum","Production Order","Quantity","Source No.",$D4509,"Equipment Code",$L4509,"due date",J$8)/$J$7</t>
  </si>
  <si>
    <t>=AVERAGE(I4509:J4509)</t>
  </si>
  <si>
    <t>=B4506</t>
  </si>
  <si>
    <t>=B4510</t>
  </si>
  <si>
    <t>=SUM(F4506:F4510)</t>
  </si>
  <si>
    <t>=SUM(G4506:G4510)</t>
  </si>
  <si>
    <t>=SUM(H4506:H4510)</t>
  </si>
  <si>
    <t>=SUM(I4506:I4510)</t>
  </si>
  <si>
    <t>=SUM(J4506:J4510)</t>
  </si>
  <si>
    <t>=IF(K4512=0,"hide","")</t>
  </si>
  <si>
    <t>="73605"</t>
  </si>
  <si>
    <t>=NL("rows","Production BOM Version","Version Code","Production BOM No.",D4512,"status","certified")</t>
  </si>
  <si>
    <t>=NL("sum","Item Ledger Entry","Quantity","Item No.",$D4512,"Entry Type","Sale|Consumption","posting date","01/01/19..12/31/19")/-12</t>
  </si>
  <si>
    <t>=NL("sum","Item Ledger Entry","Quantity","Item No.",$D4512,"Entry Type","Sale|Consumption","posting date","01/01/20..12/31/20")/-12</t>
  </si>
  <si>
    <t>=NL("sum","Item Ledger Entry","Quantity","Item No.",$D4512,"Entry Type","Sale|Consumption","posting date","01/01/21..12/31/21")/-12</t>
  </si>
  <si>
    <t>=NL("sum","Item Ledger Entry","Quantity","Item No.",$D4512,"Entry Type","Sale|Consumption","posting date","01/01/22..12/31/22")/-12</t>
  </si>
  <si>
    <t>=NL("sum","Item Ledger Entry","Quantity","Item No.",$D4512,"Entry Type","Sale|Consumption","posting date","01/01/23..12/31/23")/$J$7</t>
  </si>
  <si>
    <t>=AVERAGE(I4512:J4512)</t>
  </si>
  <si>
    <t>=NL(1,"item",L$9,"no.",D4512)</t>
  </si>
  <si>
    <t>=NL(1,"item",M$9,"no.",$D4512)</t>
  </si>
  <si>
    <t>=NL(1,"item","Units Per Parcel","no.",$D4512)</t>
  </si>
  <si>
    <t>=NL(1,"Prod. BOM Equipment","Fixed Prod. Time (Hours)","Production BOM No.",$D4512,"version code",$E4512,"Resource No.",O$9)</t>
  </si>
  <si>
    <t>=1/O4512</t>
  </si>
  <si>
    <t>=IF(NL(1,"Prod. BOM Equipment","Variable Prod. Time (Hours)","Production BOM No.",$D4512,"version code",$E4512,"Resource No.",$O$9)="",1,NL(1,"Prod. BOM Equipment","Variable Prod. Time (Hours)","Production BOM No.",$D4512,"version code",$E4512,"Resource No.",$O$9))</t>
  </si>
  <si>
    <t>=1/Q4512</t>
  </si>
  <si>
    <t>=R4512*N4512</t>
  </si>
  <si>
    <t>=IF(K4513=0,"hide","")</t>
  </si>
  <si>
    <t>=D4512</t>
  </si>
  <si>
    <t>=NL("sum","Production Order","Quantity","Source No.",$D4513,"Equipment Code",$L4513,"due date",F$8)/-12</t>
  </si>
  <si>
    <t>=NL("sum","Production Order","Quantity","Source No.",$D4513,"Equipment Code",$L4513,"due date",G$8)/-12</t>
  </si>
  <si>
    <t>=NL("sum","Production Order","Quantity","Source No.",$D4513,"Equipment Code",$L4513,"due date",H$8)/-12</t>
  </si>
  <si>
    <t>=NL("sum","Production Order","Quantity","Source No.",$D4513,"Equipment Code",$L4513,"due date",I$8)/-12</t>
  </si>
  <si>
    <t>=NL("sum","Production Order","Quantity","Source No.",$D4513,"Equipment Code",$L4513,"due date",J$8)/$J$7</t>
  </si>
  <si>
    <t>=AVERAGE(I4513:J4513)</t>
  </si>
  <si>
    <t>=IF(K4514=0,"hide","")</t>
  </si>
  <si>
    <t>=D4513</t>
  </si>
  <si>
    <t>=NL("sum","Production Order","Quantity","Source No.",$D4514,"Equipment Code",$L4514,"due date",F$8)/-12</t>
  </si>
  <si>
    <t>=NL("sum","Production Order","Quantity","Source No.",$D4514,"Equipment Code",$L4514,"due date",G$8)/-12</t>
  </si>
  <si>
    <t>=NL("sum","Production Order","Quantity","Source No.",$D4514,"Equipment Code",$L4514,"due date",H$8)/-12</t>
  </si>
  <si>
    <t>=NL("sum","Production Order","Quantity","Source No.",$D4514,"Equipment Code",$L4514,"due date",I$8)/-12</t>
  </si>
  <si>
    <t>=NL("sum","Production Order","Quantity","Source No.",$D4514,"Equipment Code",$L4514,"due date",J$8)/$J$7</t>
  </si>
  <si>
    <t>=AVERAGE(I4514:J4514)</t>
  </si>
  <si>
    <t>=IF(K4515=0,"hide","")</t>
  </si>
  <si>
    <t>=D4514</t>
  </si>
  <si>
    <t>=NL("sum","Production Order","Quantity","Source No.",$D4515,"Equipment Code",$L4515,"due date",F$8)/-12</t>
  </si>
  <si>
    <t>=NL("sum","Production Order","Quantity","Source No.",$D4515,"Equipment Code",$L4515,"due date",G$8)/-12</t>
  </si>
  <si>
    <t>=NL("sum","Production Order","Quantity","Source No.",$D4515,"Equipment Code",$L4515,"due date",H$8)/-12</t>
  </si>
  <si>
    <t>=NL("sum","Production Order","Quantity","Source No.",$D4515,"Equipment Code",$L4515,"due date",I$8)/-12</t>
  </si>
  <si>
    <t>=NL("sum","Production Order","Quantity","Source No.",$D4515,"Equipment Code",$L4515,"due date",J$8)/$J$7</t>
  </si>
  <si>
    <t>=AVERAGE(I4515:J4515)</t>
  </si>
  <si>
    <t>=IF(K4516=0,"hide","")</t>
  </si>
  <si>
    <t>=D4515</t>
  </si>
  <si>
    <t>=NL("sum","Production Order","Quantity","Source No.",$D4516,"Equipment Code",$L4516,"due date",F$8)/-12</t>
  </si>
  <si>
    <t>=NL("sum","Production Order","Quantity","Source No.",$D4516,"Equipment Code",$L4516,"due date",G$8)/-12</t>
  </si>
  <si>
    <t>=NL("sum","Production Order","Quantity","Source No.",$D4516,"Equipment Code",$L4516,"due date",H$8)/-12</t>
  </si>
  <si>
    <t>=NL("sum","Production Order","Quantity","Source No.",$D4516,"Equipment Code",$L4516,"due date",I$8)/-12</t>
  </si>
  <si>
    <t>=NL("sum","Production Order","Quantity","Source No.",$D4516,"Equipment Code",$L4516,"due date",J$8)/$J$7</t>
  </si>
  <si>
    <t>=AVERAGE(I4516:J4516)</t>
  </si>
  <si>
    <t>=B4513</t>
  </si>
  <si>
    <t>=B4517</t>
  </si>
  <si>
    <t>=SUM(F4513:F4517)</t>
  </si>
  <si>
    <t>=SUM(G4513:G4517)</t>
  </si>
  <si>
    <t>=SUM(H4513:H4517)</t>
  </si>
  <si>
    <t>=SUM(I4513:I4517)</t>
  </si>
  <si>
    <t>=SUM(J4513:J4517)</t>
  </si>
  <si>
    <t>=IF(K4519=0,"hide","")</t>
  </si>
  <si>
    <t>=NL("rows","Production BOM Version","Version Code","Production BOM No.",D4519,"status","certified")</t>
  </si>
  <si>
    <t>=NL("sum","Item Ledger Entry","Quantity","Item No.",$D4519,"Entry Type","Sale|Consumption","posting date","01/01/19..12/31/19")/-12</t>
  </si>
  <si>
    <t>=NL("sum","Item Ledger Entry","Quantity","Item No.",$D4519,"Entry Type","Sale|Consumption","posting date","01/01/20..12/31/20")/-12</t>
  </si>
  <si>
    <t>=NL("sum","Item Ledger Entry","Quantity","Item No.",$D4519,"Entry Type","Sale|Consumption","posting date","01/01/21..12/31/21")/-12</t>
  </si>
  <si>
    <t>=NL("sum","Item Ledger Entry","Quantity","Item No.",$D4519,"Entry Type","Sale|Consumption","posting date","01/01/22..12/31/22")/-12</t>
  </si>
  <si>
    <t>=NL("sum","Item Ledger Entry","Quantity","Item No.",$D4519,"Entry Type","Sale|Consumption","posting date","01/01/23..12/31/23")/$J$7</t>
  </si>
  <si>
    <t>=AVERAGE(I4519:J4519)</t>
  </si>
  <si>
    <t>=NL(1,"item",L$9,"no.",D4519)</t>
  </si>
  <si>
    <t>=NL(1,"item",M$9,"no.",$D4519)</t>
  </si>
  <si>
    <t>=NL(1,"item","Units Per Parcel","no.",$D4519)</t>
  </si>
  <si>
    <t>=NL(1,"Prod. BOM Equipment","Fixed Prod. Time (Hours)","Production BOM No.",$D4519,"version code",$E4519,"Resource No.",O$9)</t>
  </si>
  <si>
    <t>=1/O4519</t>
  </si>
  <si>
    <t>=IF(NL(1,"Prod. BOM Equipment","Variable Prod. Time (Hours)","Production BOM No.",$D4519,"version code",$E4519,"Resource No.",$O$9)="",1,NL(1,"Prod. BOM Equipment","Variable Prod. Time (Hours)","Production BOM No.",$D4519,"version code",$E4519,"Resource No.",$O$9))</t>
  </si>
  <si>
    <t>=1/Q4519</t>
  </si>
  <si>
    <t>=R4519*N4519</t>
  </si>
  <si>
    <t>=IF(K4520=0,"hide","")</t>
  </si>
  <si>
    <t>=D4519</t>
  </si>
  <si>
    <t>=NL("sum","Production Order","Quantity","Source No.",$D4520,"Equipment Code",$L4520,"due date",F$8)/-12</t>
  </si>
  <si>
    <t>=NL("sum","Production Order","Quantity","Source No.",$D4520,"Equipment Code",$L4520,"due date",G$8)/-12</t>
  </si>
  <si>
    <t>=NL("sum","Production Order","Quantity","Source No.",$D4520,"Equipment Code",$L4520,"due date",H$8)/-12</t>
  </si>
  <si>
    <t>=NL("sum","Production Order","Quantity","Source No.",$D4520,"Equipment Code",$L4520,"due date",I$8)/-12</t>
  </si>
  <si>
    <t>=NL("sum","Production Order","Quantity","Source No.",$D4520,"Equipment Code",$L4520,"due date",J$8)/$J$7</t>
  </si>
  <si>
    <t>=AVERAGE(I4520:J4520)</t>
  </si>
  <si>
    <t>=IF(K4521=0,"hide","")</t>
  </si>
  <si>
    <t>=D4520</t>
  </si>
  <si>
    <t>=NL("sum","Production Order","Quantity","Source No.",$D4521,"Equipment Code",$L4521,"due date",F$8)/-12</t>
  </si>
  <si>
    <t>=NL("sum","Production Order","Quantity","Source No.",$D4521,"Equipment Code",$L4521,"due date",G$8)/-12</t>
  </si>
  <si>
    <t>=NL("sum","Production Order","Quantity","Source No.",$D4521,"Equipment Code",$L4521,"due date",H$8)/-12</t>
  </si>
  <si>
    <t>=NL("sum","Production Order","Quantity","Source No.",$D4521,"Equipment Code",$L4521,"due date",I$8)/-12</t>
  </si>
  <si>
    <t>=NL("sum","Production Order","Quantity","Source No.",$D4521,"Equipment Code",$L4521,"due date",J$8)/$J$7</t>
  </si>
  <si>
    <t>=AVERAGE(I4521:J4521)</t>
  </si>
  <si>
    <t>=IF(K4522=0,"hide","")</t>
  </si>
  <si>
    <t>=D4521</t>
  </si>
  <si>
    <t>=NL("sum","Production Order","Quantity","Source No.",$D4522,"Equipment Code",$L4522,"due date",F$8)/-12</t>
  </si>
  <si>
    <t>=NL("sum","Production Order","Quantity","Source No.",$D4522,"Equipment Code",$L4522,"due date",G$8)/-12</t>
  </si>
  <si>
    <t>=NL("sum","Production Order","Quantity","Source No.",$D4522,"Equipment Code",$L4522,"due date",H$8)/-12</t>
  </si>
  <si>
    <t>=NL("sum","Production Order","Quantity","Source No.",$D4522,"Equipment Code",$L4522,"due date",I$8)/-12</t>
  </si>
  <si>
    <t>=NL("sum","Production Order","Quantity","Source No.",$D4522,"Equipment Code",$L4522,"due date",J$8)/$J$7</t>
  </si>
  <si>
    <t>=AVERAGE(I4522:J4522)</t>
  </si>
  <si>
    <t>=IF(K4523=0,"hide","")</t>
  </si>
  <si>
    <t>=D4522</t>
  </si>
  <si>
    <t>=NL("sum","Production Order","Quantity","Source No.",$D4523,"Equipment Code",$L4523,"due date",F$8)/-12</t>
  </si>
  <si>
    <t>=NL("sum","Production Order","Quantity","Source No.",$D4523,"Equipment Code",$L4523,"due date",G$8)/-12</t>
  </si>
  <si>
    <t>=NL("sum","Production Order","Quantity","Source No.",$D4523,"Equipment Code",$L4523,"due date",H$8)/-12</t>
  </si>
  <si>
    <t>=NL("sum","Production Order","Quantity","Source No.",$D4523,"Equipment Code",$L4523,"due date",I$8)/-12</t>
  </si>
  <si>
    <t>=NL("sum","Production Order","Quantity","Source No.",$D4523,"Equipment Code",$L4523,"due date",J$8)/$J$7</t>
  </si>
  <si>
    <t>=AVERAGE(I4523:J4523)</t>
  </si>
  <si>
    <t>=B4520</t>
  </si>
  <si>
    <t>=B4524</t>
  </si>
  <si>
    <t>=SUM(F4520:F4524)</t>
  </si>
  <si>
    <t>=SUM(G4520:G4524)</t>
  </si>
  <si>
    <t>=SUM(H4520:H4524)</t>
  </si>
  <si>
    <t>=SUM(I4520:I4524)</t>
  </si>
  <si>
    <t>=SUM(J4520:J4524)</t>
  </si>
  <si>
    <t>=IF(K4526=0,"hide","")</t>
  </si>
  <si>
    <t>=NL("rows","Production BOM Version","Version Code","Production BOM No.",D4526,"status","certified")</t>
  </si>
  <si>
    <t>=NL("sum","Item Ledger Entry","Quantity","Item No.",$D4526,"Entry Type","Sale|Consumption","posting date","01/01/19..12/31/19")/-12</t>
  </si>
  <si>
    <t>=NL("sum","Item Ledger Entry","Quantity","Item No.",$D4526,"Entry Type","Sale|Consumption","posting date","01/01/20..12/31/20")/-12</t>
  </si>
  <si>
    <t>=NL("sum","Item Ledger Entry","Quantity","Item No.",$D4526,"Entry Type","Sale|Consumption","posting date","01/01/21..12/31/21")/-12</t>
  </si>
  <si>
    <t>=NL("sum","Item Ledger Entry","Quantity","Item No.",$D4526,"Entry Type","Sale|Consumption","posting date","01/01/22..12/31/22")/-12</t>
  </si>
  <si>
    <t>=NL("sum","Item Ledger Entry","Quantity","Item No.",$D4526,"Entry Type","Sale|Consumption","posting date","01/01/23..12/31/23")/$J$7</t>
  </si>
  <si>
    <t>=AVERAGE(I4526:J4526)</t>
  </si>
  <si>
    <t>=NL(1,"item",L$9,"no.",D4526)</t>
  </si>
  <si>
    <t>=NL(1,"item",M$9,"no.",$D4526)</t>
  </si>
  <si>
    <t>=NL(1,"item","Units Per Parcel","no.",$D4526)</t>
  </si>
  <si>
    <t>=NL(1,"Prod. BOM Equipment","Fixed Prod. Time (Hours)","Production BOM No.",$D4526,"version code",$E4526,"Resource No.",O$9)</t>
  </si>
  <si>
    <t>=1/O4526</t>
  </si>
  <si>
    <t>=IF(NL(1,"Prod. BOM Equipment","Variable Prod. Time (Hours)","Production BOM No.",$D4526,"version code",$E4526,"Resource No.",$O$9)="",1,NL(1,"Prod. BOM Equipment","Variable Prod. Time (Hours)","Production BOM No.",$D4526,"version code",$E4526,"Resource No.",$O$9))</t>
  </si>
  <si>
    <t>=1/Q4526</t>
  </si>
  <si>
    <t>=R4526*N4526</t>
  </si>
  <si>
    <t>=IF(K4527=0,"hide","")</t>
  </si>
  <si>
    <t>=D4526</t>
  </si>
  <si>
    <t>=NL("sum","Production Order","Quantity","Source No.",$D4527,"Equipment Code",$L4527,"due date",F$8)/-12</t>
  </si>
  <si>
    <t>=NL("sum","Production Order","Quantity","Source No.",$D4527,"Equipment Code",$L4527,"due date",G$8)/-12</t>
  </si>
  <si>
    <t>=NL("sum","Production Order","Quantity","Source No.",$D4527,"Equipment Code",$L4527,"due date",H$8)/-12</t>
  </si>
  <si>
    <t>=NL("sum","Production Order","Quantity","Source No.",$D4527,"Equipment Code",$L4527,"due date",I$8)/-12</t>
  </si>
  <si>
    <t>=NL("sum","Production Order","Quantity","Source No.",$D4527,"Equipment Code",$L4527,"due date",J$8)/$J$7</t>
  </si>
  <si>
    <t>=AVERAGE(I4527:J4527)</t>
  </si>
  <si>
    <t>=IF(K4528=0,"hide","")</t>
  </si>
  <si>
    <t>=D4527</t>
  </si>
  <si>
    <t>=NL("sum","Production Order","Quantity","Source No.",$D4528,"Equipment Code",$L4528,"due date",F$8)/-12</t>
  </si>
  <si>
    <t>=NL("sum","Production Order","Quantity","Source No.",$D4528,"Equipment Code",$L4528,"due date",G$8)/-12</t>
  </si>
  <si>
    <t>=NL("sum","Production Order","Quantity","Source No.",$D4528,"Equipment Code",$L4528,"due date",H$8)/-12</t>
  </si>
  <si>
    <t>=NL("sum","Production Order","Quantity","Source No.",$D4528,"Equipment Code",$L4528,"due date",I$8)/-12</t>
  </si>
  <si>
    <t>=NL("sum","Production Order","Quantity","Source No.",$D4528,"Equipment Code",$L4528,"due date",J$8)/$J$7</t>
  </si>
  <si>
    <t>=AVERAGE(I4528:J4528)</t>
  </si>
  <si>
    <t>=IF(K4529=0,"hide","")</t>
  </si>
  <si>
    <t>=D4528</t>
  </si>
  <si>
    <t>=NL("sum","Production Order","Quantity","Source No.",$D4529,"Equipment Code",$L4529,"due date",F$8)/-12</t>
  </si>
  <si>
    <t>=NL("sum","Production Order","Quantity","Source No.",$D4529,"Equipment Code",$L4529,"due date",G$8)/-12</t>
  </si>
  <si>
    <t>=NL("sum","Production Order","Quantity","Source No.",$D4529,"Equipment Code",$L4529,"due date",H$8)/-12</t>
  </si>
  <si>
    <t>=NL("sum","Production Order","Quantity","Source No.",$D4529,"Equipment Code",$L4529,"due date",I$8)/-12</t>
  </si>
  <si>
    <t>=NL("sum","Production Order","Quantity","Source No.",$D4529,"Equipment Code",$L4529,"due date",J$8)/$J$7</t>
  </si>
  <si>
    <t>=AVERAGE(I4529:J4529)</t>
  </si>
  <si>
    <t>=IF(K4530=0,"hide","")</t>
  </si>
  <si>
    <t>=D4529</t>
  </si>
  <si>
    <t>=NL("sum","Production Order","Quantity","Source No.",$D4530,"Equipment Code",$L4530,"due date",F$8)/-12</t>
  </si>
  <si>
    <t>=NL("sum","Production Order","Quantity","Source No.",$D4530,"Equipment Code",$L4530,"due date",G$8)/-12</t>
  </si>
  <si>
    <t>=NL("sum","Production Order","Quantity","Source No.",$D4530,"Equipment Code",$L4530,"due date",H$8)/-12</t>
  </si>
  <si>
    <t>=NL("sum","Production Order","Quantity","Source No.",$D4530,"Equipment Code",$L4530,"due date",I$8)/-12</t>
  </si>
  <si>
    <t>=NL("sum","Production Order","Quantity","Source No.",$D4530,"Equipment Code",$L4530,"due date",J$8)/$J$7</t>
  </si>
  <si>
    <t>=AVERAGE(I4530:J4530)</t>
  </si>
  <si>
    <t>=B4527</t>
  </si>
  <si>
    <t>=B4531</t>
  </si>
  <si>
    <t>=SUM(F4527:F4531)</t>
  </si>
  <si>
    <t>=SUM(G4527:G4531)</t>
  </si>
  <si>
    <t>=SUM(H4527:H4531)</t>
  </si>
  <si>
    <t>=SUM(I4527:I4531)</t>
  </si>
  <si>
    <t>=SUM(J4527:J4531)</t>
  </si>
  <si>
    <t>=IF(K4533=0,"hide","")</t>
  </si>
  <si>
    <t>=NL("rows","Production BOM Version","Version Code","Production BOM No.",D4533,"status","certified")</t>
  </si>
  <si>
    <t>=NL("sum","Item Ledger Entry","Quantity","Item No.",$D4533,"Entry Type","Sale|Consumption","posting date","01/01/19..12/31/19")/-12</t>
  </si>
  <si>
    <t>=NL("sum","Item Ledger Entry","Quantity","Item No.",$D4533,"Entry Type","Sale|Consumption","posting date","01/01/20..12/31/20")/-12</t>
  </si>
  <si>
    <t>=NL("sum","Item Ledger Entry","Quantity","Item No.",$D4533,"Entry Type","Sale|Consumption","posting date","01/01/21..12/31/21")/-12</t>
  </si>
  <si>
    <t>=NL("sum","Item Ledger Entry","Quantity","Item No.",$D4533,"Entry Type","Sale|Consumption","posting date","01/01/22..12/31/22")/-12</t>
  </si>
  <si>
    <t>=NL("sum","Item Ledger Entry","Quantity","Item No.",$D4533,"Entry Type","Sale|Consumption","posting date","01/01/23..12/31/23")/$J$7</t>
  </si>
  <si>
    <t>=AVERAGE(I4533:J4533)</t>
  </si>
  <si>
    <t>=NL(1,"item",L$9,"no.",D4533)</t>
  </si>
  <si>
    <t>=NL(1,"item",M$9,"no.",$D4533)</t>
  </si>
  <si>
    <t>=NL(1,"item","Units Per Parcel","no.",$D4533)</t>
  </si>
  <si>
    <t>=NL(1,"Prod. BOM Equipment","Fixed Prod. Time (Hours)","Production BOM No.",$D4533,"version code",$E4533,"Resource No.",O$9)</t>
  </si>
  <si>
    <t>=1/O4533</t>
  </si>
  <si>
    <t>=IF(NL(1,"Prod. BOM Equipment","Variable Prod. Time (Hours)","Production BOM No.",$D4533,"version code",$E4533,"Resource No.",$O$9)="",1,NL(1,"Prod. BOM Equipment","Variable Prod. Time (Hours)","Production BOM No.",$D4533,"version code",$E4533,"Resource No.",$O$9))</t>
  </si>
  <si>
    <t>=1/Q4533</t>
  </si>
  <si>
    <t>=R4533*N4533</t>
  </si>
  <si>
    <t>=IF(K4534=0,"hide","")</t>
  </si>
  <si>
    <t>=D4533</t>
  </si>
  <si>
    <t>=NL("sum","Production Order","Quantity","Source No.",$D4534,"Equipment Code",$L4534,"due date",F$8)/-12</t>
  </si>
  <si>
    <t>=NL("sum","Production Order","Quantity","Source No.",$D4534,"Equipment Code",$L4534,"due date",G$8)/-12</t>
  </si>
  <si>
    <t>=NL("sum","Production Order","Quantity","Source No.",$D4534,"Equipment Code",$L4534,"due date",H$8)/-12</t>
  </si>
  <si>
    <t>=NL("sum","Production Order","Quantity","Source No.",$D4534,"Equipment Code",$L4534,"due date",I$8)/-12</t>
  </si>
  <si>
    <t>=NL("sum","Production Order","Quantity","Source No.",$D4534,"Equipment Code",$L4534,"due date",J$8)/$J$7</t>
  </si>
  <si>
    <t>=AVERAGE(I4534:J4534)</t>
  </si>
  <si>
    <t>=IF(K4535=0,"hide","")</t>
  </si>
  <si>
    <t>=D4534</t>
  </si>
  <si>
    <t>=NL("sum","Production Order","Quantity","Source No.",$D4535,"Equipment Code",$L4535,"due date",F$8)/-12</t>
  </si>
  <si>
    <t>=NL("sum","Production Order","Quantity","Source No.",$D4535,"Equipment Code",$L4535,"due date",G$8)/-12</t>
  </si>
  <si>
    <t>=NL("sum","Production Order","Quantity","Source No.",$D4535,"Equipment Code",$L4535,"due date",H$8)/-12</t>
  </si>
  <si>
    <t>=NL("sum","Production Order","Quantity","Source No.",$D4535,"Equipment Code",$L4535,"due date",I$8)/-12</t>
  </si>
  <si>
    <t>=NL("sum","Production Order","Quantity","Source No.",$D4535,"Equipment Code",$L4535,"due date",J$8)/$J$7</t>
  </si>
  <si>
    <t>=AVERAGE(I4535:J4535)</t>
  </si>
  <si>
    <t>=IF(K4536=0,"hide","")</t>
  </si>
  <si>
    <t>=D4535</t>
  </si>
  <si>
    <t>=NL("sum","Production Order","Quantity","Source No.",$D4536,"Equipment Code",$L4536,"due date",F$8)/-12</t>
  </si>
  <si>
    <t>=NL("sum","Production Order","Quantity","Source No.",$D4536,"Equipment Code",$L4536,"due date",G$8)/-12</t>
  </si>
  <si>
    <t>=NL("sum","Production Order","Quantity","Source No.",$D4536,"Equipment Code",$L4536,"due date",H$8)/-12</t>
  </si>
  <si>
    <t>=NL("sum","Production Order","Quantity","Source No.",$D4536,"Equipment Code",$L4536,"due date",I$8)/-12</t>
  </si>
  <si>
    <t>=NL("sum","Production Order","Quantity","Source No.",$D4536,"Equipment Code",$L4536,"due date",J$8)/$J$7</t>
  </si>
  <si>
    <t>=AVERAGE(I4536:J4536)</t>
  </si>
  <si>
    <t>=IF(K4537=0,"hide","")</t>
  </si>
  <si>
    <t>=D4536</t>
  </si>
  <si>
    <t>=NL("sum","Production Order","Quantity","Source No.",$D4537,"Equipment Code",$L4537,"due date",F$8)/-12</t>
  </si>
  <si>
    <t>=NL("sum","Production Order","Quantity","Source No.",$D4537,"Equipment Code",$L4537,"due date",G$8)/-12</t>
  </si>
  <si>
    <t>=NL("sum","Production Order","Quantity","Source No.",$D4537,"Equipment Code",$L4537,"due date",H$8)/-12</t>
  </si>
  <si>
    <t>=NL("sum","Production Order","Quantity","Source No.",$D4537,"Equipment Code",$L4537,"due date",I$8)/-12</t>
  </si>
  <si>
    <t>=NL("sum","Production Order","Quantity","Source No.",$D4537,"Equipment Code",$L4537,"due date",J$8)/$J$7</t>
  </si>
  <si>
    <t>=AVERAGE(I4537:J4537)</t>
  </si>
  <si>
    <t>=B4534</t>
  </si>
  <si>
    <t>=B4538</t>
  </si>
  <si>
    <t>=SUM(F4534:F4538)</t>
  </si>
  <si>
    <t>=SUM(G4534:G4538)</t>
  </si>
  <si>
    <t>=SUM(H4534:H4538)</t>
  </si>
  <si>
    <t>=SUM(I4534:I4538)</t>
  </si>
  <si>
    <t>=SUM(J4534:J4538)</t>
  </si>
  <si>
    <t>=IF(K4540=0,"hide","")</t>
  </si>
  <si>
    <t>="77301"</t>
  </si>
  <si>
    <t>=NL("rows","Production BOM Version","Version Code","Production BOM No.",D4540,"status","certified")</t>
  </si>
  <si>
    <t>=NL("sum","Item Ledger Entry","Quantity","Item No.",$D4540,"Entry Type","Sale|Consumption","posting date","01/01/19..12/31/19")/-12</t>
  </si>
  <si>
    <t>=NL("sum","Item Ledger Entry","Quantity","Item No.",$D4540,"Entry Type","Sale|Consumption","posting date","01/01/20..12/31/20")/-12</t>
  </si>
  <si>
    <t>=NL("sum","Item Ledger Entry","Quantity","Item No.",$D4540,"Entry Type","Sale|Consumption","posting date","01/01/21..12/31/21")/-12</t>
  </si>
  <si>
    <t>=NL("sum","Item Ledger Entry","Quantity","Item No.",$D4540,"Entry Type","Sale|Consumption","posting date","01/01/22..12/31/22")/-12</t>
  </si>
  <si>
    <t>=NL("sum","Item Ledger Entry","Quantity","Item No.",$D4540,"Entry Type","Sale|Consumption","posting date","01/01/23..12/31/23")/$J$7</t>
  </si>
  <si>
    <t>=AVERAGE(I4540:J4540)</t>
  </si>
  <si>
    <t>=NL(1,"item",L$9,"no.",D4540)</t>
  </si>
  <si>
    <t>=NL(1,"item",M$9,"no.",$D4540)</t>
  </si>
  <si>
    <t>=NL(1,"item","Units Per Parcel","no.",$D4540)</t>
  </si>
  <si>
    <t>=NL(1,"Prod. BOM Equipment","Fixed Prod. Time (Hours)","Production BOM No.",$D4540,"version code",$E4540,"Resource No.",O$9)</t>
  </si>
  <si>
    <t>=1/O4540</t>
  </si>
  <si>
    <t>=IF(NL(1,"Prod. BOM Equipment","Variable Prod. Time (Hours)","Production BOM No.",$D4540,"version code",$E4540,"Resource No.",$O$9)="",1,NL(1,"Prod. BOM Equipment","Variable Prod. Time (Hours)","Production BOM No.",$D4540,"version code",$E4540,"Resource No.",$O$9))</t>
  </si>
  <si>
    <t>=1/Q4540</t>
  </si>
  <si>
    <t>=R4540*N4540</t>
  </si>
  <si>
    <t>=IF(K4541=0,"hide","")</t>
  </si>
  <si>
    <t>=D4540</t>
  </si>
  <si>
    <t>=NL("sum","Production Order","Quantity","Source No.",$D4541,"Equipment Code",$L4541,"due date",F$8)/-12</t>
  </si>
  <si>
    <t>=NL("sum","Production Order","Quantity","Source No.",$D4541,"Equipment Code",$L4541,"due date",G$8)/-12</t>
  </si>
  <si>
    <t>=NL("sum","Production Order","Quantity","Source No.",$D4541,"Equipment Code",$L4541,"due date",H$8)/-12</t>
  </si>
  <si>
    <t>=NL("sum","Production Order","Quantity","Source No.",$D4541,"Equipment Code",$L4541,"due date",I$8)/-12</t>
  </si>
  <si>
    <t>=NL("sum","Production Order","Quantity","Source No.",$D4541,"Equipment Code",$L4541,"due date",J$8)/$J$7</t>
  </si>
  <si>
    <t>=AVERAGE(I4541:J4541)</t>
  </si>
  <si>
    <t>=IF(K4542=0,"hide","")</t>
  </si>
  <si>
    <t>=D4541</t>
  </si>
  <si>
    <t>=NL("sum","Production Order","Quantity","Source No.",$D4542,"Equipment Code",$L4542,"due date",F$8)/-12</t>
  </si>
  <si>
    <t>=NL("sum","Production Order","Quantity","Source No.",$D4542,"Equipment Code",$L4542,"due date",G$8)/-12</t>
  </si>
  <si>
    <t>=NL("sum","Production Order","Quantity","Source No.",$D4542,"Equipment Code",$L4542,"due date",H$8)/-12</t>
  </si>
  <si>
    <t>=NL("sum","Production Order","Quantity","Source No.",$D4542,"Equipment Code",$L4542,"due date",I$8)/-12</t>
  </si>
  <si>
    <t>=NL("sum","Production Order","Quantity","Source No.",$D4542,"Equipment Code",$L4542,"due date",J$8)/$J$7</t>
  </si>
  <si>
    <t>=AVERAGE(I4542:J4542)</t>
  </si>
  <si>
    <t>=IF(K4543=0,"hide","")</t>
  </si>
  <si>
    <t>=D4542</t>
  </si>
  <si>
    <t>=NL("sum","Production Order","Quantity","Source No.",$D4543,"Equipment Code",$L4543,"due date",F$8)/-12</t>
  </si>
  <si>
    <t>=NL("sum","Production Order","Quantity","Source No.",$D4543,"Equipment Code",$L4543,"due date",G$8)/-12</t>
  </si>
  <si>
    <t>=NL("sum","Production Order","Quantity","Source No.",$D4543,"Equipment Code",$L4543,"due date",H$8)/-12</t>
  </si>
  <si>
    <t>=NL("sum","Production Order","Quantity","Source No.",$D4543,"Equipment Code",$L4543,"due date",I$8)/-12</t>
  </si>
  <si>
    <t>=NL("sum","Production Order","Quantity","Source No.",$D4543,"Equipment Code",$L4543,"due date",J$8)/$J$7</t>
  </si>
  <si>
    <t>=AVERAGE(I4543:J4543)</t>
  </si>
  <si>
    <t>=IF(K4544=0,"hide","")</t>
  </si>
  <si>
    <t>=D4543</t>
  </si>
  <si>
    <t>=NL("sum","Production Order","Quantity","Source No.",$D4544,"Equipment Code",$L4544,"due date",F$8)/-12</t>
  </si>
  <si>
    <t>=NL("sum","Production Order","Quantity","Source No.",$D4544,"Equipment Code",$L4544,"due date",G$8)/-12</t>
  </si>
  <si>
    <t>=NL("sum","Production Order","Quantity","Source No.",$D4544,"Equipment Code",$L4544,"due date",H$8)/-12</t>
  </si>
  <si>
    <t>=NL("sum","Production Order","Quantity","Source No.",$D4544,"Equipment Code",$L4544,"due date",I$8)/-12</t>
  </si>
  <si>
    <t>=NL("sum","Production Order","Quantity","Source No.",$D4544,"Equipment Code",$L4544,"due date",J$8)/$J$7</t>
  </si>
  <si>
    <t>=AVERAGE(I4544:J4544)</t>
  </si>
  <si>
    <t>=B4541</t>
  </si>
  <si>
    <t>=B4545</t>
  </si>
  <si>
    <t>=SUM(F4541:F4545)</t>
  </si>
  <si>
    <t>=SUM(G4541:G4545)</t>
  </si>
  <si>
    <t>=SUM(H4541:H4545)</t>
  </si>
  <si>
    <t>=SUM(I4541:I4545)</t>
  </si>
  <si>
    <t>=SUM(J4541:J4545)</t>
  </si>
  <si>
    <t>=IF(K4547=0,"hide","")</t>
  </si>
  <si>
    <t>="77361"</t>
  </si>
  <si>
    <t>=NL("rows","Production BOM Version","Version Code","Production BOM No.",D4547,"status","certified")</t>
  </si>
  <si>
    <t>=NL("sum","Item Ledger Entry","Quantity","Item No.",$D4547,"Entry Type","Sale|Consumption","posting date","01/01/19..12/31/19")/-12</t>
  </si>
  <si>
    <t>=NL("sum","Item Ledger Entry","Quantity","Item No.",$D4547,"Entry Type","Sale|Consumption","posting date","01/01/20..12/31/20")/-12</t>
  </si>
  <si>
    <t>=NL("sum","Item Ledger Entry","Quantity","Item No.",$D4547,"Entry Type","Sale|Consumption","posting date","01/01/21..12/31/21")/-12</t>
  </si>
  <si>
    <t>=NL("sum","Item Ledger Entry","Quantity","Item No.",$D4547,"Entry Type","Sale|Consumption","posting date","01/01/22..12/31/22")/-12</t>
  </si>
  <si>
    <t>=NL("sum","Item Ledger Entry","Quantity","Item No.",$D4547,"Entry Type","Sale|Consumption","posting date","01/01/23..12/31/23")/$J$7</t>
  </si>
  <si>
    <t>=AVERAGE(I4547:J4547)</t>
  </si>
  <si>
    <t>=NL(1,"item",L$9,"no.",D4547)</t>
  </si>
  <si>
    <t>=NL(1,"item",M$9,"no.",$D4547)</t>
  </si>
  <si>
    <t>=NL(1,"item","Units Per Parcel","no.",$D4547)</t>
  </si>
  <si>
    <t>=NL(1,"Prod. BOM Equipment","Fixed Prod. Time (Hours)","Production BOM No.",$D4547,"version code",$E4547,"Resource No.",O$9)</t>
  </si>
  <si>
    <t>=1/O4547</t>
  </si>
  <si>
    <t>=IF(NL(1,"Prod. BOM Equipment","Variable Prod. Time (Hours)","Production BOM No.",$D4547,"version code",$E4547,"Resource No.",$O$9)="",1,NL(1,"Prod. BOM Equipment","Variable Prod. Time (Hours)","Production BOM No.",$D4547,"version code",$E4547,"Resource No.",$O$9))</t>
  </si>
  <si>
    <t>=1/Q4547</t>
  </si>
  <si>
    <t>=R4547*N4547</t>
  </si>
  <si>
    <t>=IF(K4548=0,"hide","")</t>
  </si>
  <si>
    <t>=D4547</t>
  </si>
  <si>
    <t>=NL("sum","Production Order","Quantity","Source No.",$D4548,"Equipment Code",$L4548,"due date",F$8)/-12</t>
  </si>
  <si>
    <t>=NL("sum","Production Order","Quantity","Source No.",$D4548,"Equipment Code",$L4548,"due date",G$8)/-12</t>
  </si>
  <si>
    <t>=NL("sum","Production Order","Quantity","Source No.",$D4548,"Equipment Code",$L4548,"due date",H$8)/-12</t>
  </si>
  <si>
    <t>=NL("sum","Production Order","Quantity","Source No.",$D4548,"Equipment Code",$L4548,"due date",I$8)/-12</t>
  </si>
  <si>
    <t>=NL("sum","Production Order","Quantity","Source No.",$D4548,"Equipment Code",$L4548,"due date",J$8)/$J$7</t>
  </si>
  <si>
    <t>=AVERAGE(I4548:J4548)</t>
  </si>
  <si>
    <t>=IF(K4549=0,"hide","")</t>
  </si>
  <si>
    <t>=D4548</t>
  </si>
  <si>
    <t>=NL("sum","Production Order","Quantity","Source No.",$D4549,"Equipment Code",$L4549,"due date",F$8)/-12</t>
  </si>
  <si>
    <t>=NL("sum","Production Order","Quantity","Source No.",$D4549,"Equipment Code",$L4549,"due date",G$8)/-12</t>
  </si>
  <si>
    <t>=NL("sum","Production Order","Quantity","Source No.",$D4549,"Equipment Code",$L4549,"due date",H$8)/-12</t>
  </si>
  <si>
    <t>=NL("sum","Production Order","Quantity","Source No.",$D4549,"Equipment Code",$L4549,"due date",I$8)/-12</t>
  </si>
  <si>
    <t>=NL("sum","Production Order","Quantity","Source No.",$D4549,"Equipment Code",$L4549,"due date",J$8)/$J$7</t>
  </si>
  <si>
    <t>=AVERAGE(I4549:J4549)</t>
  </si>
  <si>
    <t>=IF(K4550=0,"hide","")</t>
  </si>
  <si>
    <t>=D4549</t>
  </si>
  <si>
    <t>=NL("sum","Production Order","Quantity","Source No.",$D4550,"Equipment Code",$L4550,"due date",F$8)/-12</t>
  </si>
  <si>
    <t>=NL("sum","Production Order","Quantity","Source No.",$D4550,"Equipment Code",$L4550,"due date",G$8)/-12</t>
  </si>
  <si>
    <t>=NL("sum","Production Order","Quantity","Source No.",$D4550,"Equipment Code",$L4550,"due date",H$8)/-12</t>
  </si>
  <si>
    <t>=NL("sum","Production Order","Quantity","Source No.",$D4550,"Equipment Code",$L4550,"due date",I$8)/-12</t>
  </si>
  <si>
    <t>=NL("sum","Production Order","Quantity","Source No.",$D4550,"Equipment Code",$L4550,"due date",J$8)/$J$7</t>
  </si>
  <si>
    <t>=AVERAGE(I4550:J4550)</t>
  </si>
  <si>
    <t>=IF(K4551=0,"hide","")</t>
  </si>
  <si>
    <t>=D4550</t>
  </si>
  <si>
    <t>=NL("sum","Production Order","Quantity","Source No.",$D4551,"Equipment Code",$L4551,"due date",F$8)/-12</t>
  </si>
  <si>
    <t>=NL("sum","Production Order","Quantity","Source No.",$D4551,"Equipment Code",$L4551,"due date",G$8)/-12</t>
  </si>
  <si>
    <t>=NL("sum","Production Order","Quantity","Source No.",$D4551,"Equipment Code",$L4551,"due date",H$8)/-12</t>
  </si>
  <si>
    <t>=NL("sum","Production Order","Quantity","Source No.",$D4551,"Equipment Code",$L4551,"due date",I$8)/-12</t>
  </si>
  <si>
    <t>=NL("sum","Production Order","Quantity","Source No.",$D4551,"Equipment Code",$L4551,"due date",J$8)/$J$7</t>
  </si>
  <si>
    <t>=AVERAGE(I4551:J4551)</t>
  </si>
  <si>
    <t>=B4548</t>
  </si>
  <si>
    <t>=B4552</t>
  </si>
  <si>
    <t>=SUM(F4548:F4552)</t>
  </si>
  <si>
    <t>=SUM(G4548:G4552)</t>
  </si>
  <si>
    <t>=SUM(H4548:H4552)</t>
  </si>
  <si>
    <t>=SUM(I4548:I4552)</t>
  </si>
  <si>
    <t>=SUM(J4548:J4552)</t>
  </si>
  <si>
    <t>=IF(K4554=0,"hide","")</t>
  </si>
  <si>
    <t>="77362"</t>
  </si>
  <si>
    <t>=NL("rows","Production BOM Version","Version Code","Production BOM No.",D4554,"status","certified")</t>
  </si>
  <si>
    <t>=NL("sum","Item Ledger Entry","Quantity","Item No.",$D4554,"Entry Type","Sale|Consumption","posting date","01/01/19..12/31/19")/-12</t>
  </si>
  <si>
    <t>=NL("sum","Item Ledger Entry","Quantity","Item No.",$D4554,"Entry Type","Sale|Consumption","posting date","01/01/20..12/31/20")/-12</t>
  </si>
  <si>
    <t>=NL("sum","Item Ledger Entry","Quantity","Item No.",$D4554,"Entry Type","Sale|Consumption","posting date","01/01/21..12/31/21")/-12</t>
  </si>
  <si>
    <t>=NL("sum","Item Ledger Entry","Quantity","Item No.",$D4554,"Entry Type","Sale|Consumption","posting date","01/01/22..12/31/22")/-12</t>
  </si>
  <si>
    <t>=NL("sum","Item Ledger Entry","Quantity","Item No.",$D4554,"Entry Type","Sale|Consumption","posting date","01/01/23..12/31/23")/$J$7</t>
  </si>
  <si>
    <t>=AVERAGE(I4554:J4554)</t>
  </si>
  <si>
    <t>=NL(1,"item",L$9,"no.",D4554)</t>
  </si>
  <si>
    <t>=NL(1,"item",M$9,"no.",$D4554)</t>
  </si>
  <si>
    <t>=NL(1,"item","Units Per Parcel","no.",$D4554)</t>
  </si>
  <si>
    <t>=NL(1,"Prod. BOM Equipment","Fixed Prod. Time (Hours)","Production BOM No.",$D4554,"version code",$E4554,"Resource No.",O$9)</t>
  </si>
  <si>
    <t>=1/O4554</t>
  </si>
  <si>
    <t>=IF(NL(1,"Prod. BOM Equipment","Variable Prod. Time (Hours)","Production BOM No.",$D4554,"version code",$E4554,"Resource No.",$O$9)="",1,NL(1,"Prod. BOM Equipment","Variable Prod. Time (Hours)","Production BOM No.",$D4554,"version code",$E4554,"Resource No.",$O$9))</t>
  </si>
  <si>
    <t>=1/Q4554</t>
  </si>
  <si>
    <t>=R4554*N4554</t>
  </si>
  <si>
    <t>=IF(K4555=0,"hide","")</t>
  </si>
  <si>
    <t>=D4554</t>
  </si>
  <si>
    <t>=NL("sum","Production Order","Quantity","Source No.",$D4555,"Equipment Code",$L4555,"due date",F$8)/-12</t>
  </si>
  <si>
    <t>=NL("sum","Production Order","Quantity","Source No.",$D4555,"Equipment Code",$L4555,"due date",G$8)/-12</t>
  </si>
  <si>
    <t>=NL("sum","Production Order","Quantity","Source No.",$D4555,"Equipment Code",$L4555,"due date",H$8)/-12</t>
  </si>
  <si>
    <t>=NL("sum","Production Order","Quantity","Source No.",$D4555,"Equipment Code",$L4555,"due date",I$8)/-12</t>
  </si>
  <si>
    <t>=NL("sum","Production Order","Quantity","Source No.",$D4555,"Equipment Code",$L4555,"due date",J$8)/$J$7</t>
  </si>
  <si>
    <t>=AVERAGE(I4555:J4555)</t>
  </si>
  <si>
    <t>=IF(K4556=0,"hide","")</t>
  </si>
  <si>
    <t>=D4555</t>
  </si>
  <si>
    <t>=NL("sum","Production Order","Quantity","Source No.",$D4556,"Equipment Code",$L4556,"due date",F$8)/-12</t>
  </si>
  <si>
    <t>=NL("sum","Production Order","Quantity","Source No.",$D4556,"Equipment Code",$L4556,"due date",G$8)/-12</t>
  </si>
  <si>
    <t>=NL("sum","Production Order","Quantity","Source No.",$D4556,"Equipment Code",$L4556,"due date",H$8)/-12</t>
  </si>
  <si>
    <t>=NL("sum","Production Order","Quantity","Source No.",$D4556,"Equipment Code",$L4556,"due date",I$8)/-12</t>
  </si>
  <si>
    <t>=NL("sum","Production Order","Quantity","Source No.",$D4556,"Equipment Code",$L4556,"due date",J$8)/$J$7</t>
  </si>
  <si>
    <t>=AVERAGE(I4556:J4556)</t>
  </si>
  <si>
    <t>=IF(K4557=0,"hide","")</t>
  </si>
  <si>
    <t>=D4556</t>
  </si>
  <si>
    <t>=NL("sum","Production Order","Quantity","Source No.",$D4557,"Equipment Code",$L4557,"due date",F$8)/-12</t>
  </si>
  <si>
    <t>=NL("sum","Production Order","Quantity","Source No.",$D4557,"Equipment Code",$L4557,"due date",G$8)/-12</t>
  </si>
  <si>
    <t>=NL("sum","Production Order","Quantity","Source No.",$D4557,"Equipment Code",$L4557,"due date",H$8)/-12</t>
  </si>
  <si>
    <t>=NL("sum","Production Order","Quantity","Source No.",$D4557,"Equipment Code",$L4557,"due date",I$8)/-12</t>
  </si>
  <si>
    <t>=NL("sum","Production Order","Quantity","Source No.",$D4557,"Equipment Code",$L4557,"due date",J$8)/$J$7</t>
  </si>
  <si>
    <t>=AVERAGE(I4557:J4557)</t>
  </si>
  <si>
    <t>=IF(K4558=0,"hide","")</t>
  </si>
  <si>
    <t>=D4557</t>
  </si>
  <si>
    <t>=NL("sum","Production Order","Quantity","Source No.",$D4558,"Equipment Code",$L4558,"due date",F$8)/-12</t>
  </si>
  <si>
    <t>=NL("sum","Production Order","Quantity","Source No.",$D4558,"Equipment Code",$L4558,"due date",G$8)/-12</t>
  </si>
  <si>
    <t>=NL("sum","Production Order","Quantity","Source No.",$D4558,"Equipment Code",$L4558,"due date",H$8)/-12</t>
  </si>
  <si>
    <t>=NL("sum","Production Order","Quantity","Source No.",$D4558,"Equipment Code",$L4558,"due date",I$8)/-12</t>
  </si>
  <si>
    <t>=NL("sum","Production Order","Quantity","Source No.",$D4558,"Equipment Code",$L4558,"due date",J$8)/$J$7</t>
  </si>
  <si>
    <t>=AVERAGE(I4558:J4558)</t>
  </si>
  <si>
    <t>=B4555</t>
  </si>
  <si>
    <t>=B4559</t>
  </si>
  <si>
    <t>=SUM(F4555:F4559)</t>
  </si>
  <si>
    <t>=SUM(G4555:G4559)</t>
  </si>
  <si>
    <t>=SUM(H4555:H4559)</t>
  </si>
  <si>
    <t>=SUM(I4555:I4559)</t>
  </si>
  <si>
    <t>=SUM(J4555:J4559)</t>
  </si>
  <si>
    <t>=IF(K4561=0,"hide","")</t>
  </si>
  <si>
    <t>="77365"</t>
  </si>
  <si>
    <t>=NL("rows","Production BOM Version","Version Code","Production BOM No.",D4561,"status","certified")</t>
  </si>
  <si>
    <t>=NL("sum","Item Ledger Entry","Quantity","Item No.",$D4561,"Entry Type","Sale|Consumption","posting date","01/01/19..12/31/19")/-12</t>
  </si>
  <si>
    <t>=NL("sum","Item Ledger Entry","Quantity","Item No.",$D4561,"Entry Type","Sale|Consumption","posting date","01/01/20..12/31/20")/-12</t>
  </si>
  <si>
    <t>=NL("sum","Item Ledger Entry","Quantity","Item No.",$D4561,"Entry Type","Sale|Consumption","posting date","01/01/21..12/31/21")/-12</t>
  </si>
  <si>
    <t>=NL("sum","Item Ledger Entry","Quantity","Item No.",$D4561,"Entry Type","Sale|Consumption","posting date","01/01/22..12/31/22")/-12</t>
  </si>
  <si>
    <t>=NL("sum","Item Ledger Entry","Quantity","Item No.",$D4561,"Entry Type","Sale|Consumption","posting date","01/01/23..12/31/23")/$J$7</t>
  </si>
  <si>
    <t>=AVERAGE(I4561:J4561)</t>
  </si>
  <si>
    <t>=NL(1,"item",L$9,"no.",D4561)</t>
  </si>
  <si>
    <t>=NL(1,"item",M$9,"no.",$D4561)</t>
  </si>
  <si>
    <t>=NL(1,"item","Units Per Parcel","no.",$D4561)</t>
  </si>
  <si>
    <t>=NL(1,"Prod. BOM Equipment","Fixed Prod. Time (Hours)","Production BOM No.",$D4561,"version code",$E4561,"Resource No.",O$9)</t>
  </si>
  <si>
    <t>=1/O4561</t>
  </si>
  <si>
    <t>=IF(NL(1,"Prod. BOM Equipment","Variable Prod. Time (Hours)","Production BOM No.",$D4561,"version code",$E4561,"Resource No.",$O$9)="",1,NL(1,"Prod. BOM Equipment","Variable Prod. Time (Hours)","Production BOM No.",$D4561,"version code",$E4561,"Resource No.",$O$9))</t>
  </si>
  <si>
    <t>=1/Q4561</t>
  </si>
  <si>
    <t>=R4561*N4561</t>
  </si>
  <si>
    <t>=IF(K4562=0,"hide","")</t>
  </si>
  <si>
    <t>=D4561</t>
  </si>
  <si>
    <t>=NL("sum","Production Order","Quantity","Source No.",$D4562,"Equipment Code",$L4562,"due date",F$8)/-12</t>
  </si>
  <si>
    <t>=NL("sum","Production Order","Quantity","Source No.",$D4562,"Equipment Code",$L4562,"due date",G$8)/-12</t>
  </si>
  <si>
    <t>=NL("sum","Production Order","Quantity","Source No.",$D4562,"Equipment Code",$L4562,"due date",H$8)/-12</t>
  </si>
  <si>
    <t>=NL("sum","Production Order","Quantity","Source No.",$D4562,"Equipment Code",$L4562,"due date",I$8)/-12</t>
  </si>
  <si>
    <t>=NL("sum","Production Order","Quantity","Source No.",$D4562,"Equipment Code",$L4562,"due date",J$8)/$J$7</t>
  </si>
  <si>
    <t>=AVERAGE(I4562:J4562)</t>
  </si>
  <si>
    <t>=IF(K4563=0,"hide","")</t>
  </si>
  <si>
    <t>=D4562</t>
  </si>
  <si>
    <t>=NL("sum","Production Order","Quantity","Source No.",$D4563,"Equipment Code",$L4563,"due date",F$8)/-12</t>
  </si>
  <si>
    <t>=NL("sum","Production Order","Quantity","Source No.",$D4563,"Equipment Code",$L4563,"due date",G$8)/-12</t>
  </si>
  <si>
    <t>=NL("sum","Production Order","Quantity","Source No.",$D4563,"Equipment Code",$L4563,"due date",H$8)/-12</t>
  </si>
  <si>
    <t>=NL("sum","Production Order","Quantity","Source No.",$D4563,"Equipment Code",$L4563,"due date",I$8)/-12</t>
  </si>
  <si>
    <t>=NL("sum","Production Order","Quantity","Source No.",$D4563,"Equipment Code",$L4563,"due date",J$8)/$J$7</t>
  </si>
  <si>
    <t>=AVERAGE(I4563:J4563)</t>
  </si>
  <si>
    <t>=IF(K4564=0,"hide","")</t>
  </si>
  <si>
    <t>=D4563</t>
  </si>
  <si>
    <t>=NL("sum","Production Order","Quantity","Source No.",$D4564,"Equipment Code",$L4564,"due date",F$8)/-12</t>
  </si>
  <si>
    <t>=NL("sum","Production Order","Quantity","Source No.",$D4564,"Equipment Code",$L4564,"due date",G$8)/-12</t>
  </si>
  <si>
    <t>=NL("sum","Production Order","Quantity","Source No.",$D4564,"Equipment Code",$L4564,"due date",H$8)/-12</t>
  </si>
  <si>
    <t>=NL("sum","Production Order","Quantity","Source No.",$D4564,"Equipment Code",$L4564,"due date",I$8)/-12</t>
  </si>
  <si>
    <t>=NL("sum","Production Order","Quantity","Source No.",$D4564,"Equipment Code",$L4564,"due date",J$8)/$J$7</t>
  </si>
  <si>
    <t>=AVERAGE(I4564:J4564)</t>
  </si>
  <si>
    <t>=IF(K4565=0,"hide","")</t>
  </si>
  <si>
    <t>=D4564</t>
  </si>
  <si>
    <t>=NL("sum","Production Order","Quantity","Source No.",$D4565,"Equipment Code",$L4565,"due date",F$8)/-12</t>
  </si>
  <si>
    <t>=NL("sum","Production Order","Quantity","Source No.",$D4565,"Equipment Code",$L4565,"due date",G$8)/-12</t>
  </si>
  <si>
    <t>=NL("sum","Production Order","Quantity","Source No.",$D4565,"Equipment Code",$L4565,"due date",H$8)/-12</t>
  </si>
  <si>
    <t>=NL("sum","Production Order","Quantity","Source No.",$D4565,"Equipment Code",$L4565,"due date",I$8)/-12</t>
  </si>
  <si>
    <t>=NL("sum","Production Order","Quantity","Source No.",$D4565,"Equipment Code",$L4565,"due date",J$8)/$J$7</t>
  </si>
  <si>
    <t>=AVERAGE(I4565:J4565)</t>
  </si>
  <si>
    <t>=B4562</t>
  </si>
  <si>
    <t>=B4566</t>
  </si>
  <si>
    <t>=SUM(F4562:F4566)</t>
  </si>
  <si>
    <t>=SUM(G4562:G4566)</t>
  </si>
  <si>
    <t>=SUM(H4562:H4566)</t>
  </si>
  <si>
    <t>=SUM(I4562:I4566)</t>
  </si>
  <si>
    <t>=SUM(J4562:J4566)</t>
  </si>
  <si>
    <t>=IF(K4568=0,"hide","")</t>
  </si>
  <si>
    <t>="77372"</t>
  </si>
  <si>
    <t>=NL("rows","Production BOM Version","Version Code","Production BOM No.",D4568,"status","certified")</t>
  </si>
  <si>
    <t>=NL("sum","Item Ledger Entry","Quantity","Item No.",$D4568,"Entry Type","Sale|Consumption","posting date","01/01/19..12/31/19")/-12</t>
  </si>
  <si>
    <t>=NL("sum","Item Ledger Entry","Quantity","Item No.",$D4568,"Entry Type","Sale|Consumption","posting date","01/01/20..12/31/20")/-12</t>
  </si>
  <si>
    <t>=NL("sum","Item Ledger Entry","Quantity","Item No.",$D4568,"Entry Type","Sale|Consumption","posting date","01/01/21..12/31/21")/-12</t>
  </si>
  <si>
    <t>=NL("sum","Item Ledger Entry","Quantity","Item No.",$D4568,"Entry Type","Sale|Consumption","posting date","01/01/22..12/31/22")/-12</t>
  </si>
  <si>
    <t>=NL("sum","Item Ledger Entry","Quantity","Item No.",$D4568,"Entry Type","Sale|Consumption","posting date","01/01/23..12/31/23")/$J$7</t>
  </si>
  <si>
    <t>=AVERAGE(I4568:J4568)</t>
  </si>
  <si>
    <t>=NL(1,"item",L$9,"no.",D4568)</t>
  </si>
  <si>
    <t>=NL(1,"item",M$9,"no.",$D4568)</t>
  </si>
  <si>
    <t>=NL(1,"item","Units Per Parcel","no.",$D4568)</t>
  </si>
  <si>
    <t>=NL(1,"Prod. BOM Equipment","Fixed Prod. Time (Hours)","Production BOM No.",$D4568,"version code",$E4568,"Resource No.",O$9)</t>
  </si>
  <si>
    <t>=1/O4568</t>
  </si>
  <si>
    <t>=IF(NL(1,"Prod. BOM Equipment","Variable Prod. Time (Hours)","Production BOM No.",$D4568,"version code",$E4568,"Resource No.",$O$9)="",1,NL(1,"Prod. BOM Equipment","Variable Prod. Time (Hours)","Production BOM No.",$D4568,"version code",$E4568,"Resource No.",$O$9))</t>
  </si>
  <si>
    <t>=1/Q4568</t>
  </si>
  <si>
    <t>=R4568*N4568</t>
  </si>
  <si>
    <t>=IF(K4569=0,"hide","")</t>
  </si>
  <si>
    <t>=D4568</t>
  </si>
  <si>
    <t>=NL("sum","Production Order","Quantity","Source No.",$D4569,"Equipment Code",$L4569,"due date",F$8)/-12</t>
  </si>
  <si>
    <t>=NL("sum","Production Order","Quantity","Source No.",$D4569,"Equipment Code",$L4569,"due date",G$8)/-12</t>
  </si>
  <si>
    <t>=NL("sum","Production Order","Quantity","Source No.",$D4569,"Equipment Code",$L4569,"due date",H$8)/-12</t>
  </si>
  <si>
    <t>=NL("sum","Production Order","Quantity","Source No.",$D4569,"Equipment Code",$L4569,"due date",I$8)/-12</t>
  </si>
  <si>
    <t>=NL("sum","Production Order","Quantity","Source No.",$D4569,"Equipment Code",$L4569,"due date",J$8)/$J$7</t>
  </si>
  <si>
    <t>=AVERAGE(I4569:J4569)</t>
  </si>
  <si>
    <t>=IF(K4570=0,"hide","")</t>
  </si>
  <si>
    <t>=D4569</t>
  </si>
  <si>
    <t>=NL("sum","Production Order","Quantity","Source No.",$D4570,"Equipment Code",$L4570,"due date",F$8)/-12</t>
  </si>
  <si>
    <t>=NL("sum","Production Order","Quantity","Source No.",$D4570,"Equipment Code",$L4570,"due date",G$8)/-12</t>
  </si>
  <si>
    <t>=NL("sum","Production Order","Quantity","Source No.",$D4570,"Equipment Code",$L4570,"due date",H$8)/-12</t>
  </si>
  <si>
    <t>=NL("sum","Production Order","Quantity","Source No.",$D4570,"Equipment Code",$L4570,"due date",I$8)/-12</t>
  </si>
  <si>
    <t>=NL("sum","Production Order","Quantity","Source No.",$D4570,"Equipment Code",$L4570,"due date",J$8)/$J$7</t>
  </si>
  <si>
    <t>=AVERAGE(I4570:J4570)</t>
  </si>
  <si>
    <t>=IF(K4571=0,"hide","")</t>
  </si>
  <si>
    <t>=D4570</t>
  </si>
  <si>
    <t>=NL("sum","Production Order","Quantity","Source No.",$D4571,"Equipment Code",$L4571,"due date",F$8)/-12</t>
  </si>
  <si>
    <t>=NL("sum","Production Order","Quantity","Source No.",$D4571,"Equipment Code",$L4571,"due date",G$8)/-12</t>
  </si>
  <si>
    <t>=NL("sum","Production Order","Quantity","Source No.",$D4571,"Equipment Code",$L4571,"due date",H$8)/-12</t>
  </si>
  <si>
    <t>=NL("sum","Production Order","Quantity","Source No.",$D4571,"Equipment Code",$L4571,"due date",I$8)/-12</t>
  </si>
  <si>
    <t>=NL("sum","Production Order","Quantity","Source No.",$D4571,"Equipment Code",$L4571,"due date",J$8)/$J$7</t>
  </si>
  <si>
    <t>=AVERAGE(I4571:J4571)</t>
  </si>
  <si>
    <t>=IF(K4572=0,"hide","")</t>
  </si>
  <si>
    <t>=D4571</t>
  </si>
  <si>
    <t>=NL("sum","Production Order","Quantity","Source No.",$D4572,"Equipment Code",$L4572,"due date",F$8)/-12</t>
  </si>
  <si>
    <t>=NL("sum","Production Order","Quantity","Source No.",$D4572,"Equipment Code",$L4572,"due date",G$8)/-12</t>
  </si>
  <si>
    <t>=NL("sum","Production Order","Quantity","Source No.",$D4572,"Equipment Code",$L4572,"due date",H$8)/-12</t>
  </si>
  <si>
    <t>=NL("sum","Production Order","Quantity","Source No.",$D4572,"Equipment Code",$L4572,"due date",I$8)/-12</t>
  </si>
  <si>
    <t>=NL("sum","Production Order","Quantity","Source No.",$D4572,"Equipment Code",$L4572,"due date",J$8)/$J$7</t>
  </si>
  <si>
    <t>=AVERAGE(I4572:J4572)</t>
  </si>
  <si>
    <t>=B4569</t>
  </si>
  <si>
    <t>=B4573</t>
  </si>
  <si>
    <t>=SUM(F4569:F4573)</t>
  </si>
  <si>
    <t>=SUM(G4569:G4573)</t>
  </si>
  <si>
    <t>=SUM(H4569:H4573)</t>
  </si>
  <si>
    <t>=SUM(I4569:I4573)</t>
  </si>
  <si>
    <t>=SUM(J4569:J4573)</t>
  </si>
  <si>
    <t>=IF(K4575=0,"hide","")</t>
  </si>
  <si>
    <t>="77401"</t>
  </si>
  <si>
    <t>=NL("rows","Production BOM Version","Version Code","Production BOM No.",D4575,"status","certified")</t>
  </si>
  <si>
    <t>=NL("sum","Item Ledger Entry","Quantity","Item No.",$D4575,"Entry Type","Sale|Consumption","posting date","01/01/19..12/31/19")/-12</t>
  </si>
  <si>
    <t>=NL("sum","Item Ledger Entry","Quantity","Item No.",$D4575,"Entry Type","Sale|Consumption","posting date","01/01/20..12/31/20")/-12</t>
  </si>
  <si>
    <t>=NL("sum","Item Ledger Entry","Quantity","Item No.",$D4575,"Entry Type","Sale|Consumption","posting date","01/01/21..12/31/21")/-12</t>
  </si>
  <si>
    <t>=NL("sum","Item Ledger Entry","Quantity","Item No.",$D4575,"Entry Type","Sale|Consumption","posting date","01/01/22..12/31/22")/-12</t>
  </si>
  <si>
    <t>=NL("sum","Item Ledger Entry","Quantity","Item No.",$D4575,"Entry Type","Sale|Consumption","posting date","01/01/23..12/31/23")/$J$7</t>
  </si>
  <si>
    <t>=AVERAGE(I4575:J4575)</t>
  </si>
  <si>
    <t>=NL(1,"item",L$9,"no.",D4575)</t>
  </si>
  <si>
    <t>=NL(1,"item",M$9,"no.",$D4575)</t>
  </si>
  <si>
    <t>=NL(1,"item","Units Per Parcel","no.",$D4575)</t>
  </si>
  <si>
    <t>=NL(1,"Prod. BOM Equipment","Fixed Prod. Time (Hours)","Production BOM No.",$D4575,"version code",$E4575,"Resource No.",O$9)</t>
  </si>
  <si>
    <t>=1/O4575</t>
  </si>
  <si>
    <t>=IF(NL(1,"Prod. BOM Equipment","Variable Prod. Time (Hours)","Production BOM No.",$D4575,"version code",$E4575,"Resource No.",$O$9)="",1,NL(1,"Prod. BOM Equipment","Variable Prod. Time (Hours)","Production BOM No.",$D4575,"version code",$E4575,"Resource No.",$O$9))</t>
  </si>
  <si>
    <t>=1/Q4575</t>
  </si>
  <si>
    <t>=R4575*N4575</t>
  </si>
  <si>
    <t>=IF(K4576=0,"hide","")</t>
  </si>
  <si>
    <t>=D4575</t>
  </si>
  <si>
    <t>=NL("sum","Production Order","Quantity","Source No.",$D4576,"Equipment Code",$L4576,"due date",F$8)/-12</t>
  </si>
  <si>
    <t>=NL("sum","Production Order","Quantity","Source No.",$D4576,"Equipment Code",$L4576,"due date",G$8)/-12</t>
  </si>
  <si>
    <t>=NL("sum","Production Order","Quantity","Source No.",$D4576,"Equipment Code",$L4576,"due date",H$8)/-12</t>
  </si>
  <si>
    <t>=NL("sum","Production Order","Quantity","Source No.",$D4576,"Equipment Code",$L4576,"due date",I$8)/-12</t>
  </si>
  <si>
    <t>=NL("sum","Production Order","Quantity","Source No.",$D4576,"Equipment Code",$L4576,"due date",J$8)/$J$7</t>
  </si>
  <si>
    <t>=AVERAGE(I4576:J4576)</t>
  </si>
  <si>
    <t>=IF(K4577=0,"hide","")</t>
  </si>
  <si>
    <t>=D4576</t>
  </si>
  <si>
    <t>=NL("sum","Production Order","Quantity","Source No.",$D4577,"Equipment Code",$L4577,"due date",F$8)/-12</t>
  </si>
  <si>
    <t>=NL("sum","Production Order","Quantity","Source No.",$D4577,"Equipment Code",$L4577,"due date",G$8)/-12</t>
  </si>
  <si>
    <t>=NL("sum","Production Order","Quantity","Source No.",$D4577,"Equipment Code",$L4577,"due date",H$8)/-12</t>
  </si>
  <si>
    <t>=NL("sum","Production Order","Quantity","Source No.",$D4577,"Equipment Code",$L4577,"due date",I$8)/-12</t>
  </si>
  <si>
    <t>=NL("sum","Production Order","Quantity","Source No.",$D4577,"Equipment Code",$L4577,"due date",J$8)/$J$7</t>
  </si>
  <si>
    <t>=AVERAGE(I4577:J4577)</t>
  </si>
  <si>
    <t>=IF(K4578=0,"hide","")</t>
  </si>
  <si>
    <t>=D4577</t>
  </si>
  <si>
    <t>=NL("sum","Production Order","Quantity","Source No.",$D4578,"Equipment Code",$L4578,"due date",F$8)/-12</t>
  </si>
  <si>
    <t>=NL("sum","Production Order","Quantity","Source No.",$D4578,"Equipment Code",$L4578,"due date",G$8)/-12</t>
  </si>
  <si>
    <t>=NL("sum","Production Order","Quantity","Source No.",$D4578,"Equipment Code",$L4578,"due date",H$8)/-12</t>
  </si>
  <si>
    <t>=NL("sum","Production Order","Quantity","Source No.",$D4578,"Equipment Code",$L4578,"due date",I$8)/-12</t>
  </si>
  <si>
    <t>=NL("sum","Production Order","Quantity","Source No.",$D4578,"Equipment Code",$L4578,"due date",J$8)/$J$7</t>
  </si>
  <si>
    <t>=AVERAGE(I4578:J4578)</t>
  </si>
  <si>
    <t>=IF(K4579=0,"hide","")</t>
  </si>
  <si>
    <t>=D4578</t>
  </si>
  <si>
    <t>=NL("sum","Production Order","Quantity","Source No.",$D4579,"Equipment Code",$L4579,"due date",F$8)/-12</t>
  </si>
  <si>
    <t>=NL("sum","Production Order","Quantity","Source No.",$D4579,"Equipment Code",$L4579,"due date",G$8)/-12</t>
  </si>
  <si>
    <t>=NL("sum","Production Order","Quantity","Source No.",$D4579,"Equipment Code",$L4579,"due date",H$8)/-12</t>
  </si>
  <si>
    <t>=NL("sum","Production Order","Quantity","Source No.",$D4579,"Equipment Code",$L4579,"due date",I$8)/-12</t>
  </si>
  <si>
    <t>=NL("sum","Production Order","Quantity","Source No.",$D4579,"Equipment Code",$L4579,"due date",J$8)/$J$7</t>
  </si>
  <si>
    <t>=AVERAGE(I4579:J4579)</t>
  </si>
  <si>
    <t>=B4576</t>
  </si>
  <si>
    <t>=B4580</t>
  </si>
  <si>
    <t>=SUM(F4576:F4580)</t>
  </si>
  <si>
    <t>=SUM(G4576:G4580)</t>
  </si>
  <si>
    <t>=SUM(H4576:H4580)</t>
  </si>
  <si>
    <t>=SUM(I4576:I4580)</t>
  </si>
  <si>
    <t>=SUM(J4576:J4580)</t>
  </si>
  <si>
    <t>=IF(K4582=0,"hide","")</t>
  </si>
  <si>
    <t>="77405"</t>
  </si>
  <si>
    <t>=NL("rows","Production BOM Version","Version Code","Production BOM No.",D4582,"status","certified")</t>
  </si>
  <si>
    <t>=NL("sum","Item Ledger Entry","Quantity","Item No.",$D4582,"Entry Type","Sale|Consumption","posting date","01/01/19..12/31/19")/-12</t>
  </si>
  <si>
    <t>=NL("sum","Item Ledger Entry","Quantity","Item No.",$D4582,"Entry Type","Sale|Consumption","posting date","01/01/20..12/31/20")/-12</t>
  </si>
  <si>
    <t>=NL("sum","Item Ledger Entry","Quantity","Item No.",$D4582,"Entry Type","Sale|Consumption","posting date","01/01/21..12/31/21")/-12</t>
  </si>
  <si>
    <t>=NL("sum","Item Ledger Entry","Quantity","Item No.",$D4582,"Entry Type","Sale|Consumption","posting date","01/01/22..12/31/22")/-12</t>
  </si>
  <si>
    <t>=NL("sum","Item Ledger Entry","Quantity","Item No.",$D4582,"Entry Type","Sale|Consumption","posting date","01/01/23..12/31/23")/$J$7</t>
  </si>
  <si>
    <t>=AVERAGE(I4582:J4582)</t>
  </si>
  <si>
    <t>=NL(1,"item",L$9,"no.",D4582)</t>
  </si>
  <si>
    <t>=NL(1,"item",M$9,"no.",$D4582)</t>
  </si>
  <si>
    <t>=NL(1,"item","Units Per Parcel","no.",$D4582)</t>
  </si>
  <si>
    <t>=NL(1,"Prod. BOM Equipment","Fixed Prod. Time (Hours)","Production BOM No.",$D4582,"version code",$E4582,"Resource No.",O$9)</t>
  </si>
  <si>
    <t>=1/O4582</t>
  </si>
  <si>
    <t>=IF(NL(1,"Prod. BOM Equipment","Variable Prod. Time (Hours)","Production BOM No.",$D4582,"version code",$E4582,"Resource No.",$O$9)="",1,NL(1,"Prod. BOM Equipment","Variable Prod. Time (Hours)","Production BOM No.",$D4582,"version code",$E4582,"Resource No.",$O$9))</t>
  </si>
  <si>
    <t>=1/Q4582</t>
  </si>
  <si>
    <t>=R4582*N4582</t>
  </si>
  <si>
    <t>=IF(K4583=0,"hide","")</t>
  </si>
  <si>
    <t>=D4582</t>
  </si>
  <si>
    <t>=NL("sum","Production Order","Quantity","Source No.",$D4583,"Equipment Code",$L4583,"due date",F$8)/-12</t>
  </si>
  <si>
    <t>=NL("sum","Production Order","Quantity","Source No.",$D4583,"Equipment Code",$L4583,"due date",G$8)/-12</t>
  </si>
  <si>
    <t>=NL("sum","Production Order","Quantity","Source No.",$D4583,"Equipment Code",$L4583,"due date",H$8)/-12</t>
  </si>
  <si>
    <t>=NL("sum","Production Order","Quantity","Source No.",$D4583,"Equipment Code",$L4583,"due date",I$8)/-12</t>
  </si>
  <si>
    <t>=NL("sum","Production Order","Quantity","Source No.",$D4583,"Equipment Code",$L4583,"due date",J$8)/$J$7</t>
  </si>
  <si>
    <t>=AVERAGE(I4583:J4583)</t>
  </si>
  <si>
    <t>=IF(K4584=0,"hide","")</t>
  </si>
  <si>
    <t>=D4583</t>
  </si>
  <si>
    <t>=NL("sum","Production Order","Quantity","Source No.",$D4584,"Equipment Code",$L4584,"due date",F$8)/-12</t>
  </si>
  <si>
    <t>=NL("sum","Production Order","Quantity","Source No.",$D4584,"Equipment Code",$L4584,"due date",G$8)/-12</t>
  </si>
  <si>
    <t>=NL("sum","Production Order","Quantity","Source No.",$D4584,"Equipment Code",$L4584,"due date",H$8)/-12</t>
  </si>
  <si>
    <t>=NL("sum","Production Order","Quantity","Source No.",$D4584,"Equipment Code",$L4584,"due date",I$8)/-12</t>
  </si>
  <si>
    <t>=NL("sum","Production Order","Quantity","Source No.",$D4584,"Equipment Code",$L4584,"due date",J$8)/$J$7</t>
  </si>
  <si>
    <t>=AVERAGE(I4584:J4584)</t>
  </si>
  <si>
    <t>=IF(K4585=0,"hide","")</t>
  </si>
  <si>
    <t>=D4584</t>
  </si>
  <si>
    <t>=NL("sum","Production Order","Quantity","Source No.",$D4585,"Equipment Code",$L4585,"due date",F$8)/-12</t>
  </si>
  <si>
    <t>=NL("sum","Production Order","Quantity","Source No.",$D4585,"Equipment Code",$L4585,"due date",G$8)/-12</t>
  </si>
  <si>
    <t>=NL("sum","Production Order","Quantity","Source No.",$D4585,"Equipment Code",$L4585,"due date",H$8)/-12</t>
  </si>
  <si>
    <t>=NL("sum","Production Order","Quantity","Source No.",$D4585,"Equipment Code",$L4585,"due date",I$8)/-12</t>
  </si>
  <si>
    <t>=NL("sum","Production Order","Quantity","Source No.",$D4585,"Equipment Code",$L4585,"due date",J$8)/$J$7</t>
  </si>
  <si>
    <t>=AVERAGE(I4585:J4585)</t>
  </si>
  <si>
    <t>=IF(K4586=0,"hide","")</t>
  </si>
  <si>
    <t>=D4585</t>
  </si>
  <si>
    <t>=NL("sum","Production Order","Quantity","Source No.",$D4586,"Equipment Code",$L4586,"due date",F$8)/-12</t>
  </si>
  <si>
    <t>=NL("sum","Production Order","Quantity","Source No.",$D4586,"Equipment Code",$L4586,"due date",G$8)/-12</t>
  </si>
  <si>
    <t>=NL("sum","Production Order","Quantity","Source No.",$D4586,"Equipment Code",$L4586,"due date",H$8)/-12</t>
  </si>
  <si>
    <t>=NL("sum","Production Order","Quantity","Source No.",$D4586,"Equipment Code",$L4586,"due date",I$8)/-12</t>
  </si>
  <si>
    <t>=NL("sum","Production Order","Quantity","Source No.",$D4586,"Equipment Code",$L4586,"due date",J$8)/$J$7</t>
  </si>
  <si>
    <t>=AVERAGE(I4586:J4586)</t>
  </si>
  <si>
    <t>=B4583</t>
  </si>
  <si>
    <t>=B4587</t>
  </si>
  <si>
    <t>=SUM(F4583:F4587)</t>
  </si>
  <si>
    <t>=SUM(G4583:G4587)</t>
  </si>
  <si>
    <t>=SUM(H4583:H4587)</t>
  </si>
  <si>
    <t>=SUM(I4583:I4587)</t>
  </si>
  <si>
    <t>=SUM(J4583:J4587)</t>
  </si>
  <si>
    <t>=IF(K4589=0,"hide","")</t>
  </si>
  <si>
    <t>="77407"</t>
  </si>
  <si>
    <t>=NL("rows","Production BOM Version","Version Code","Production BOM No.",D4589,"status","certified")</t>
  </si>
  <si>
    <t>=NL("sum","Item Ledger Entry","Quantity","Item No.",$D4589,"Entry Type","Sale|Consumption","posting date","01/01/19..12/31/19")/-12</t>
  </si>
  <si>
    <t>=NL("sum","Item Ledger Entry","Quantity","Item No.",$D4589,"Entry Type","Sale|Consumption","posting date","01/01/20..12/31/20")/-12</t>
  </si>
  <si>
    <t>=NL("sum","Item Ledger Entry","Quantity","Item No.",$D4589,"Entry Type","Sale|Consumption","posting date","01/01/21..12/31/21")/-12</t>
  </si>
  <si>
    <t>=NL("sum","Item Ledger Entry","Quantity","Item No.",$D4589,"Entry Type","Sale|Consumption","posting date","01/01/22..12/31/22")/-12</t>
  </si>
  <si>
    <t>=NL("sum","Item Ledger Entry","Quantity","Item No.",$D4589,"Entry Type","Sale|Consumption","posting date","01/01/23..12/31/23")/$J$7</t>
  </si>
  <si>
    <t>=AVERAGE(I4589:J4589)</t>
  </si>
  <si>
    <t>=NL(1,"item",L$9,"no.",D4589)</t>
  </si>
  <si>
    <t>=NL(1,"item",M$9,"no.",$D4589)</t>
  </si>
  <si>
    <t>=NL(1,"item","Units Per Parcel","no.",$D4589)</t>
  </si>
  <si>
    <t>=NL(1,"Prod. BOM Equipment","Fixed Prod. Time (Hours)","Production BOM No.",$D4589,"version code",$E4589,"Resource No.",O$9)</t>
  </si>
  <si>
    <t>=1/O4589</t>
  </si>
  <si>
    <t>=IF(NL(1,"Prod. BOM Equipment","Variable Prod. Time (Hours)","Production BOM No.",$D4589,"version code",$E4589,"Resource No.",$O$9)="",1,NL(1,"Prod. BOM Equipment","Variable Prod. Time (Hours)","Production BOM No.",$D4589,"version code",$E4589,"Resource No.",$O$9))</t>
  </si>
  <si>
    <t>=1/Q4589</t>
  </si>
  <si>
    <t>=R4589*N4589</t>
  </si>
  <si>
    <t>=IF(K4590=0,"hide","")</t>
  </si>
  <si>
    <t>=AVERAGE(I4590:J4590)</t>
  </si>
  <si>
    <t>=IF(K4591=0,"hide","")</t>
  </si>
  <si>
    <t>=D4589</t>
  </si>
  <si>
    <t>=NL("sum","Production Order","Quantity","Source No.",$D4591,"Equipment Code",$L4591,"due date",F$8)/-12</t>
  </si>
  <si>
    <t>=NL("sum","Production Order","Quantity","Source No.",$D4591,"Equipment Code",$L4591,"due date",G$8)/-12</t>
  </si>
  <si>
    <t>=NL("sum","Production Order","Quantity","Source No.",$D4591,"Equipment Code",$L4591,"due date",H$8)/-12</t>
  </si>
  <si>
    <t>=NL("sum","Production Order","Quantity","Source No.",$D4591,"Equipment Code",$L4591,"due date",I$8)/-12</t>
  </si>
  <si>
    <t>=NL("sum","Production Order","Quantity","Source No.",$D4591,"Equipment Code",$L4591,"due date",J$8)/$J$7</t>
  </si>
  <si>
    <t>=AVERAGE(I4591:J4591)</t>
  </si>
  <si>
    <t>=IF(K4592=0,"hide","")</t>
  </si>
  <si>
    <t>=D4590</t>
  </si>
  <si>
    <t>=NL("sum","Production Order","Quantity","Source No.",$D4592,"Equipment Code",$L4592,"due date",F$8)/-12</t>
  </si>
  <si>
    <t>=NL("sum","Production Order","Quantity","Source No.",$D4592,"Equipment Code",$L4592,"due date",G$8)/-12</t>
  </si>
  <si>
    <t>=NL("sum","Production Order","Quantity","Source No.",$D4592,"Equipment Code",$L4592,"due date",H$8)/-12</t>
  </si>
  <si>
    <t>=NL("sum","Production Order","Quantity","Source No.",$D4592,"Equipment Code",$L4592,"due date",I$8)/-12</t>
  </si>
  <si>
    <t>=NL("sum","Production Order","Quantity","Source No.",$D4592,"Equipment Code",$L4592,"due date",J$8)/$J$7</t>
  </si>
  <si>
    <t>=AVERAGE(I4592:J4592)</t>
  </si>
  <si>
    <t>=IF(K4593=0,"hide","")</t>
  </si>
  <si>
    <t>=D4591</t>
  </si>
  <si>
    <t>=NL("sum","Production Order","Quantity","Source No.",$D4593,"Equipment Code",$L4593,"due date",F$8)/-12</t>
  </si>
  <si>
    <t>=NL("sum","Production Order","Quantity","Source No.",$D4593,"Equipment Code",$L4593,"due date",G$8)/-12</t>
  </si>
  <si>
    <t>=NL("sum","Production Order","Quantity","Source No.",$D4593,"Equipment Code",$L4593,"due date",H$8)/-12</t>
  </si>
  <si>
    <t>=NL("sum","Production Order","Quantity","Source No.",$D4593,"Equipment Code",$L4593,"due date",I$8)/-12</t>
  </si>
  <si>
    <t>=NL("sum","Production Order","Quantity","Source No.",$D4593,"Equipment Code",$L4593,"due date",J$8)/$J$7</t>
  </si>
  <si>
    <t>=AVERAGE(I4593:J4593)</t>
  </si>
  <si>
    <t>=D4592</t>
  </si>
  <si>
    <t>=IF(K4597=0,"hide","")</t>
  </si>
  <si>
    <t>="77430"</t>
  </si>
  <si>
    <t>=AVERAGE(I4597:J4597)</t>
  </si>
  <si>
    <t>=IF(K4598=0,"hide","")</t>
  </si>
  <si>
    <t>=D4597</t>
  </si>
  <si>
    <t>=NL("sum","Production Order","Quantity","Source No.",$D4598,"Equipment Code",$L4598,"due date",F$8)/-12</t>
  </si>
  <si>
    <t>=NL("sum","Production Order","Quantity","Source No.",$D4598,"Equipment Code",$L4598,"due date",G$8)/-12</t>
  </si>
  <si>
    <t>=NL("sum","Production Order","Quantity","Source No.",$D4598,"Equipment Code",$L4598,"due date",H$8)/-12</t>
  </si>
  <si>
    <t>=NL("sum","Production Order","Quantity","Source No.",$D4598,"Equipment Code",$L4598,"due date",I$8)/-12</t>
  </si>
  <si>
    <t>=NL("sum","Production Order","Quantity","Source No.",$D4598,"Equipment Code",$L4598,"due date",J$8)/$J$7</t>
  </si>
  <si>
    <t>=AVERAGE(I4598:J4598)</t>
  </si>
  <si>
    <t>=IF(K4599=0,"hide","")</t>
  </si>
  <si>
    <t>=D4598</t>
  </si>
  <si>
    <t>=NL("sum","Production Order","Quantity","Source No.",$D4599,"Equipment Code",$L4599,"due date",F$8)/-12</t>
  </si>
  <si>
    <t>=NL("sum","Production Order","Quantity","Source No.",$D4599,"Equipment Code",$L4599,"due date",G$8)/-12</t>
  </si>
  <si>
    <t>=NL("sum","Production Order","Quantity","Source No.",$D4599,"Equipment Code",$L4599,"due date",H$8)/-12</t>
  </si>
  <si>
    <t>=NL("sum","Production Order","Quantity","Source No.",$D4599,"Equipment Code",$L4599,"due date",I$8)/-12</t>
  </si>
  <si>
    <t>=NL("sum","Production Order","Quantity","Source No.",$D4599,"Equipment Code",$L4599,"due date",J$8)/$J$7</t>
  </si>
  <si>
    <t>=AVERAGE(I4599:J4599)</t>
  </si>
  <si>
    <t>=IF(K4600=0,"hide","")</t>
  </si>
  <si>
    <t>=D4599</t>
  </si>
  <si>
    <t>=NL("sum","Production Order","Quantity","Source No.",$D4600,"Equipment Code",$L4600,"due date",F$8)/-12</t>
  </si>
  <si>
    <t>=NL("sum","Production Order","Quantity","Source No.",$D4600,"Equipment Code",$L4600,"due date",G$8)/-12</t>
  </si>
  <si>
    <t>=NL("sum","Production Order","Quantity","Source No.",$D4600,"Equipment Code",$L4600,"due date",H$8)/-12</t>
  </si>
  <si>
    <t>=NL("sum","Production Order","Quantity","Source No.",$D4600,"Equipment Code",$L4600,"due date",I$8)/-12</t>
  </si>
  <si>
    <t>=NL("sum","Production Order","Quantity","Source No.",$D4600,"Equipment Code",$L4600,"due date",J$8)/$J$7</t>
  </si>
  <si>
    <t>=AVERAGE(I4600:J4600)</t>
  </si>
  <si>
    <t>=IF(K4604=0,"hide","")</t>
  </si>
  <si>
    <t>="77436"</t>
  </si>
  <si>
    <t>=AVERAGE(I4604:J4604)</t>
  </si>
  <si>
    <t>=IF(K4605=0,"hide","")</t>
  </si>
  <si>
    <t>=D4604</t>
  </si>
  <si>
    <t>=NL("sum","Production Order","Quantity","Source No.",$D4605,"Equipment Code",$L4605,"due date",F$8)/-12</t>
  </si>
  <si>
    <t>=NL("sum","Production Order","Quantity","Source No.",$D4605,"Equipment Code",$L4605,"due date",G$8)/-12</t>
  </si>
  <si>
    <t>=NL("sum","Production Order","Quantity","Source No.",$D4605,"Equipment Code",$L4605,"due date",H$8)/-12</t>
  </si>
  <si>
    <t>=NL("sum","Production Order","Quantity","Source No.",$D4605,"Equipment Code",$L4605,"due date",I$8)/-12</t>
  </si>
  <si>
    <t>=NL("sum","Production Order","Quantity","Source No.",$D4605,"Equipment Code",$L4605,"due date",J$8)/$J$7</t>
  </si>
  <si>
    <t>=AVERAGE(I4605:J4605)</t>
  </si>
  <si>
    <t>=IF(K4606=0,"hide","")</t>
  </si>
  <si>
    <t>=D4605</t>
  </si>
  <si>
    <t>=NL("sum","Production Order","Quantity","Source No.",$D4606,"Equipment Code",$L4606,"due date",F$8)/-12</t>
  </si>
  <si>
    <t>=NL("sum","Production Order","Quantity","Source No.",$D4606,"Equipment Code",$L4606,"due date",G$8)/-12</t>
  </si>
  <si>
    <t>=NL("sum","Production Order","Quantity","Source No.",$D4606,"Equipment Code",$L4606,"due date",H$8)/-12</t>
  </si>
  <si>
    <t>=NL("sum","Production Order","Quantity","Source No.",$D4606,"Equipment Code",$L4606,"due date",I$8)/-12</t>
  </si>
  <si>
    <t>=NL("sum","Production Order","Quantity","Source No.",$D4606,"Equipment Code",$L4606,"due date",J$8)/$J$7</t>
  </si>
  <si>
    <t>=AVERAGE(I4606:J4606)</t>
  </si>
  <si>
    <t>=IF(K4607=0,"hide","")</t>
  </si>
  <si>
    <t>=D4606</t>
  </si>
  <si>
    <t>=NL("sum","Production Order","Quantity","Source No.",$D4607,"Equipment Code",$L4607,"due date",F$8)/-12</t>
  </si>
  <si>
    <t>=NL("sum","Production Order","Quantity","Source No.",$D4607,"Equipment Code",$L4607,"due date",G$8)/-12</t>
  </si>
  <si>
    <t>=NL("sum","Production Order","Quantity","Source No.",$D4607,"Equipment Code",$L4607,"due date",H$8)/-12</t>
  </si>
  <si>
    <t>=NL("sum","Production Order","Quantity","Source No.",$D4607,"Equipment Code",$L4607,"due date",I$8)/-12</t>
  </si>
  <si>
    <t>=NL("sum","Production Order","Quantity","Source No.",$D4607,"Equipment Code",$L4607,"due date",J$8)/$J$7</t>
  </si>
  <si>
    <t>=AVERAGE(I4607:J4607)</t>
  </si>
  <si>
    <t>=IF(K4611=0,"hide","")</t>
  </si>
  <si>
    <t>="77451"</t>
  </si>
  <si>
    <t>=NL("sum","Item Ledger Entry","Quantity","Item No.",$D4611,"Entry Type","Sale|Consumption","posting date","01/01/19..12/31/19")/-12</t>
  </si>
  <si>
    <t>=NL("sum","Item Ledger Entry","Quantity","Item No.",$D4611,"Entry Type","Sale|Consumption","posting date","01/01/20..12/31/20")/-12</t>
  </si>
  <si>
    <t>=NL("sum","Item Ledger Entry","Quantity","Item No.",$D4611,"Entry Type","Sale|Consumption","posting date","01/01/21..12/31/21")/-12</t>
  </si>
  <si>
    <t>=NL("sum","Item Ledger Entry","Quantity","Item No.",$D4611,"Entry Type","Sale|Consumption","posting date","01/01/22..12/31/22")/-12</t>
  </si>
  <si>
    <t>=NL("sum","Item Ledger Entry","Quantity","Item No.",$D4611,"Entry Type","Sale|Consumption","posting date","01/01/23..12/31/23")/$J$7</t>
  </si>
  <si>
    <t>=AVERAGE(I4611:J4611)</t>
  </si>
  <si>
    <t>=NL(1,"item",L$9,"no.",D4611)</t>
  </si>
  <si>
    <t>=NL(1,"item",M$9,"no.",$D4611)</t>
  </si>
  <si>
    <t>=NL(1,"item","Units Per Parcel","no.",$D4611)</t>
  </si>
  <si>
    <t>=NL(1,"Prod. BOM Equipment","Fixed Prod. Time (Hours)","Production BOM No.",$D4611,"version code",$E4611,"Resource No.",O$9)</t>
  </si>
  <si>
    <t>=1/O4611</t>
  </si>
  <si>
    <t>=IF(NL(1,"Prod. BOM Equipment","Variable Prod. Time (Hours)","Production BOM No.",$D4611,"version code",$E4611,"Resource No.",$O$9)="",1,NL(1,"Prod. BOM Equipment","Variable Prod. Time (Hours)","Production BOM No.",$D4611,"version code",$E4611,"Resource No.",$O$9))</t>
  </si>
  <si>
    <t>=1/Q4611</t>
  </si>
  <si>
    <t>=R4611*N4611</t>
  </si>
  <si>
    <t>=IF(K4612=0,"hide","")</t>
  </si>
  <si>
    <t>=D4611</t>
  </si>
  <si>
    <t>=NL("sum","Production Order","Quantity","Source No.",$D4612,"Equipment Code",$L4612,"due date",F$8)/-12</t>
  </si>
  <si>
    <t>=NL("sum","Production Order","Quantity","Source No.",$D4612,"Equipment Code",$L4612,"due date",G$8)/-12</t>
  </si>
  <si>
    <t>=NL("sum","Production Order","Quantity","Source No.",$D4612,"Equipment Code",$L4612,"due date",H$8)/-12</t>
  </si>
  <si>
    <t>=NL("sum","Production Order","Quantity","Source No.",$D4612,"Equipment Code",$L4612,"due date",I$8)/-12</t>
  </si>
  <si>
    <t>=NL("sum","Production Order","Quantity","Source No.",$D4612,"Equipment Code",$L4612,"due date",J$8)/$J$7</t>
  </si>
  <si>
    <t>=AVERAGE(I4612:J4612)</t>
  </si>
  <si>
    <t>=IF(K4613=0,"hide","")</t>
  </si>
  <si>
    <t>=D4612</t>
  </si>
  <si>
    <t>=NL("sum","Production Order","Quantity","Source No.",$D4613,"Equipment Code",$L4613,"due date",F$8)/-12</t>
  </si>
  <si>
    <t>=NL("sum","Production Order","Quantity","Source No.",$D4613,"Equipment Code",$L4613,"due date",G$8)/-12</t>
  </si>
  <si>
    <t>=NL("sum","Production Order","Quantity","Source No.",$D4613,"Equipment Code",$L4613,"due date",H$8)/-12</t>
  </si>
  <si>
    <t>=NL("sum","Production Order","Quantity","Source No.",$D4613,"Equipment Code",$L4613,"due date",I$8)/-12</t>
  </si>
  <si>
    <t>=NL("sum","Production Order","Quantity","Source No.",$D4613,"Equipment Code",$L4613,"due date",J$8)/$J$7</t>
  </si>
  <si>
    <t>=AVERAGE(I4613:J4613)</t>
  </si>
  <si>
    <t>=IF(K4614=0,"hide","")</t>
  </si>
  <si>
    <t>=D4613</t>
  </si>
  <si>
    <t>=NL("sum","Production Order","Quantity","Source No.",$D4614,"Equipment Code",$L4614,"due date",F$8)/-12</t>
  </si>
  <si>
    <t>=NL("sum","Production Order","Quantity","Source No.",$D4614,"Equipment Code",$L4614,"due date",G$8)/-12</t>
  </si>
  <si>
    <t>=NL("sum","Production Order","Quantity","Source No.",$D4614,"Equipment Code",$L4614,"due date",H$8)/-12</t>
  </si>
  <si>
    <t>=NL("sum","Production Order","Quantity","Source No.",$D4614,"Equipment Code",$L4614,"due date",I$8)/-12</t>
  </si>
  <si>
    <t>=NL("sum","Production Order","Quantity","Source No.",$D4614,"Equipment Code",$L4614,"due date",J$8)/$J$7</t>
  </si>
  <si>
    <t>=AVERAGE(I4614:J4614)</t>
  </si>
  <si>
    <t>=IF(K4615=0,"hide","")</t>
  </si>
  <si>
    <t>=NL("sum","Production Order","Quantity","Source No.",$D4615,"Equipment Code",$L4615,"due date",F$8)/-12</t>
  </si>
  <si>
    <t>=NL("sum","Production Order","Quantity","Source No.",$D4615,"Equipment Code",$L4615,"due date",G$8)/-12</t>
  </si>
  <si>
    <t>=NL("sum","Production Order","Quantity","Source No.",$D4615,"Equipment Code",$L4615,"due date",H$8)/-12</t>
  </si>
  <si>
    <t>=NL("sum","Production Order","Quantity","Source No.",$D4615,"Equipment Code",$L4615,"due date",I$8)/-12</t>
  </si>
  <si>
    <t>=NL("sum","Production Order","Quantity","Source No.",$D4615,"Equipment Code",$L4615,"due date",J$8)/$J$7</t>
  </si>
  <si>
    <t>=AVERAGE(I4615:J4615)</t>
  </si>
  <si>
    <t>=B4612</t>
  </si>
  <si>
    <t>=B4616</t>
  </si>
  <si>
    <t>=SUM(F4612:F4616)</t>
  </si>
  <si>
    <t>=SUM(G4612:G4616)</t>
  </si>
  <si>
    <t>=SUM(H4612:H4616)</t>
  </si>
  <si>
    <t>=SUM(I4612:I4616)</t>
  </si>
  <si>
    <t>=SUM(J4612:J4616)</t>
  </si>
  <si>
    <t>=IF(K4618=0,"hide","")</t>
  </si>
  <si>
    <t>="80106"</t>
  </si>
  <si>
    <t>=NL("rows","Production BOM Version","Version Code","Production BOM No.",D4618,"status","certified")</t>
  </si>
  <si>
    <t>=NL("sum","Item Ledger Entry","Quantity","Item No.",$D4618,"Entry Type","Sale|Consumption","posting date","01/01/19..12/31/19")/-12</t>
  </si>
  <si>
    <t>=NL("sum","Item Ledger Entry","Quantity","Item No.",$D4618,"Entry Type","Sale|Consumption","posting date","01/01/20..12/31/20")/-12</t>
  </si>
  <si>
    <t>=NL("sum","Item Ledger Entry","Quantity","Item No.",$D4618,"Entry Type","Sale|Consumption","posting date","01/01/21..12/31/21")/-12</t>
  </si>
  <si>
    <t>=NL("sum","Item Ledger Entry","Quantity","Item No.",$D4618,"Entry Type","Sale|Consumption","posting date","01/01/22..12/31/22")/-12</t>
  </si>
  <si>
    <t>=NL("sum","Item Ledger Entry","Quantity","Item No.",$D4618,"Entry Type","Sale|Consumption","posting date","01/01/23..12/31/23")/$J$7</t>
  </si>
  <si>
    <t>=AVERAGE(I4618:J4618)</t>
  </si>
  <si>
    <t>=NL(1,"item",L$9,"no.",D4618)</t>
  </si>
  <si>
    <t>=NL(1,"item",M$9,"no.",$D4618)</t>
  </si>
  <si>
    <t>=NL(1,"item","Units Per Parcel","no.",$D4618)</t>
  </si>
  <si>
    <t>=NL(1,"Prod. BOM Equipment","Fixed Prod. Time (Hours)","Production BOM No.",$D4618,"version code",$E4618,"Resource No.",O$9)</t>
  </si>
  <si>
    <t>=1/O4618</t>
  </si>
  <si>
    <t>=IF(NL(1,"Prod. BOM Equipment","Variable Prod. Time (Hours)","Production BOM No.",$D4618,"version code",$E4618,"Resource No.",$O$9)="",1,NL(1,"Prod. BOM Equipment","Variable Prod. Time (Hours)","Production BOM No.",$D4618,"version code",$E4618,"Resource No.",$O$9))</t>
  </si>
  <si>
    <t>=1/Q4618</t>
  </si>
  <si>
    <t>=R4618*N4618</t>
  </si>
  <si>
    <t>=IF(K4619=0,"hide","")</t>
  </si>
  <si>
    <t>=D4618</t>
  </si>
  <si>
    <t>=NL("sum","Production Order","Quantity","Source No.",$D4619,"Equipment Code",$L4619,"due date",F$8)/-12</t>
  </si>
  <si>
    <t>=NL("sum","Production Order","Quantity","Source No.",$D4619,"Equipment Code",$L4619,"due date",G$8)/-12</t>
  </si>
  <si>
    <t>=NL("sum","Production Order","Quantity","Source No.",$D4619,"Equipment Code",$L4619,"due date",H$8)/-12</t>
  </si>
  <si>
    <t>=NL("sum","Production Order","Quantity","Source No.",$D4619,"Equipment Code",$L4619,"due date",I$8)/-12</t>
  </si>
  <si>
    <t>=NL("sum","Production Order","Quantity","Source No.",$D4619,"Equipment Code",$L4619,"due date",J$8)/$J$7</t>
  </si>
  <si>
    <t>=AVERAGE(I4619:J4619)</t>
  </si>
  <si>
    <t>=IF(K4620=0,"hide","")</t>
  </si>
  <si>
    <t>=D4619</t>
  </si>
  <si>
    <t>=NL("sum","Production Order","Quantity","Source No.",$D4620,"Equipment Code",$L4620,"due date",F$8)/-12</t>
  </si>
  <si>
    <t>=NL("sum","Production Order","Quantity","Source No.",$D4620,"Equipment Code",$L4620,"due date",G$8)/-12</t>
  </si>
  <si>
    <t>=NL("sum","Production Order","Quantity","Source No.",$D4620,"Equipment Code",$L4620,"due date",H$8)/-12</t>
  </si>
  <si>
    <t>=NL("sum","Production Order","Quantity","Source No.",$D4620,"Equipment Code",$L4620,"due date",I$8)/-12</t>
  </si>
  <si>
    <t>=NL("sum","Production Order","Quantity","Source No.",$D4620,"Equipment Code",$L4620,"due date",J$8)/$J$7</t>
  </si>
  <si>
    <t>=AVERAGE(I4620:J4620)</t>
  </si>
  <si>
    <t>=IF(K4621=0,"hide","")</t>
  </si>
  <si>
    <t>=D4620</t>
  </si>
  <si>
    <t>=NL("sum","Production Order","Quantity","Source No.",$D4621,"Equipment Code",$L4621,"due date",F$8)/-12</t>
  </si>
  <si>
    <t>=NL("sum","Production Order","Quantity","Source No.",$D4621,"Equipment Code",$L4621,"due date",G$8)/-12</t>
  </si>
  <si>
    <t>=NL("sum","Production Order","Quantity","Source No.",$D4621,"Equipment Code",$L4621,"due date",H$8)/-12</t>
  </si>
  <si>
    <t>=NL("sum","Production Order","Quantity","Source No.",$D4621,"Equipment Code",$L4621,"due date",I$8)/-12</t>
  </si>
  <si>
    <t>=NL("sum","Production Order","Quantity","Source No.",$D4621,"Equipment Code",$L4621,"due date",J$8)/$J$7</t>
  </si>
  <si>
    <t>=AVERAGE(I4621:J4621)</t>
  </si>
  <si>
    <t>=IF(K4622=0,"hide","")</t>
  </si>
  <si>
    <t>=D4621</t>
  </si>
  <si>
    <t>=NL("sum","Production Order","Quantity","Source No.",$D4622,"Equipment Code",$L4622,"due date",F$8)/-12</t>
  </si>
  <si>
    <t>=NL("sum","Production Order","Quantity","Source No.",$D4622,"Equipment Code",$L4622,"due date",G$8)/-12</t>
  </si>
  <si>
    <t>=NL("sum","Production Order","Quantity","Source No.",$D4622,"Equipment Code",$L4622,"due date",H$8)/-12</t>
  </si>
  <si>
    <t>=NL("sum","Production Order","Quantity","Source No.",$D4622,"Equipment Code",$L4622,"due date",I$8)/-12</t>
  </si>
  <si>
    <t>=NL("sum","Production Order","Quantity","Source No.",$D4622,"Equipment Code",$L4622,"due date",J$8)/$J$7</t>
  </si>
  <si>
    <t>=AVERAGE(I4622:J4622)</t>
  </si>
  <si>
    <t>=B4619</t>
  </si>
  <si>
    <t>=B4623</t>
  </si>
  <si>
    <t>=SUM(F4619:F4623)</t>
  </si>
  <si>
    <t>=SUM(G4619:G4623)</t>
  </si>
  <si>
    <t>=SUM(H4619:H4623)</t>
  </si>
  <si>
    <t>=SUM(I4619:I4623)</t>
  </si>
  <si>
    <t>=SUM(J4619:J4623)</t>
  </si>
  <si>
    <t>=IF(K4625=0,"hide","")</t>
  </si>
  <si>
    <t>="80116"</t>
  </si>
  <si>
    <t>=NL("rows","Production BOM Version","Version Code","Production BOM No.",D4625,"status","certified")</t>
  </si>
  <si>
    <t>=NL("sum","Item Ledger Entry","Quantity","Item No.",$D4625,"Entry Type","Sale|Consumption","posting date","01/01/19..12/31/19")/-12</t>
  </si>
  <si>
    <t>=NL("sum","Item Ledger Entry","Quantity","Item No.",$D4625,"Entry Type","Sale|Consumption","posting date","01/01/20..12/31/20")/-12</t>
  </si>
  <si>
    <t>=NL("sum","Item Ledger Entry","Quantity","Item No.",$D4625,"Entry Type","Sale|Consumption","posting date","01/01/21..12/31/21")/-12</t>
  </si>
  <si>
    <t>=NL("sum","Item Ledger Entry","Quantity","Item No.",$D4625,"Entry Type","Sale|Consumption","posting date","01/01/22..12/31/22")/-12</t>
  </si>
  <si>
    <t>=NL("sum","Item Ledger Entry","Quantity","Item No.",$D4625,"Entry Type","Sale|Consumption","posting date","01/01/23..12/31/23")/$J$7</t>
  </si>
  <si>
    <t>=AVERAGE(I4625:J4625)</t>
  </si>
  <si>
    <t>=NL(1,"item",L$9,"no.",D4625)</t>
  </si>
  <si>
    <t>=NL(1,"item",M$9,"no.",$D4625)</t>
  </si>
  <si>
    <t>=NL(1,"item","Units Per Parcel","no.",$D4625)</t>
  </si>
  <si>
    <t>=NL(1,"Prod. BOM Equipment","Fixed Prod. Time (Hours)","Production BOM No.",$D4625,"version code",$E4625,"Resource No.",O$9)</t>
  </si>
  <si>
    <t>=1/O4625</t>
  </si>
  <si>
    <t>=IF(NL(1,"Prod. BOM Equipment","Variable Prod. Time (Hours)","Production BOM No.",$D4625,"version code",$E4625,"Resource No.",$O$9)="",1,NL(1,"Prod. BOM Equipment","Variable Prod. Time (Hours)","Production BOM No.",$D4625,"version code",$E4625,"Resource No.",$O$9))</t>
  </si>
  <si>
    <t>=1/Q4625</t>
  </si>
  <si>
    <t>=R4625*N4625</t>
  </si>
  <si>
    <t>=IF(K4626=0,"hide","")</t>
  </si>
  <si>
    <t>=D4625</t>
  </si>
  <si>
    <t>=NL("sum","Production Order","Quantity","Source No.",$D4626,"Equipment Code",$L4626,"due date",F$8)/-12</t>
  </si>
  <si>
    <t>=NL("sum","Production Order","Quantity","Source No.",$D4626,"Equipment Code",$L4626,"due date",G$8)/-12</t>
  </si>
  <si>
    <t>=NL("sum","Production Order","Quantity","Source No.",$D4626,"Equipment Code",$L4626,"due date",H$8)/-12</t>
  </si>
  <si>
    <t>=NL("sum","Production Order","Quantity","Source No.",$D4626,"Equipment Code",$L4626,"due date",I$8)/-12</t>
  </si>
  <si>
    <t>=NL("sum","Production Order","Quantity","Source No.",$D4626,"Equipment Code",$L4626,"due date",J$8)/$J$7</t>
  </si>
  <si>
    <t>=AVERAGE(I4626:J4626)</t>
  </si>
  <si>
    <t>=IF(K4627=0,"hide","")</t>
  </si>
  <si>
    <t>=D4626</t>
  </si>
  <si>
    <t>=NL("sum","Production Order","Quantity","Source No.",$D4627,"Equipment Code",$L4627,"due date",F$8)/-12</t>
  </si>
  <si>
    <t>=NL("sum","Production Order","Quantity","Source No.",$D4627,"Equipment Code",$L4627,"due date",G$8)/-12</t>
  </si>
  <si>
    <t>=NL("sum","Production Order","Quantity","Source No.",$D4627,"Equipment Code",$L4627,"due date",H$8)/-12</t>
  </si>
  <si>
    <t>=NL("sum","Production Order","Quantity","Source No.",$D4627,"Equipment Code",$L4627,"due date",I$8)/-12</t>
  </si>
  <si>
    <t>=NL("sum","Production Order","Quantity","Source No.",$D4627,"Equipment Code",$L4627,"due date",J$8)/$J$7</t>
  </si>
  <si>
    <t>=AVERAGE(I4627:J4627)</t>
  </si>
  <si>
    <t>=IF(K4628=0,"hide","")</t>
  </si>
  <si>
    <t>=D4627</t>
  </si>
  <si>
    <t>=NL("sum","Production Order","Quantity","Source No.",$D4628,"Equipment Code",$L4628,"due date",F$8)/-12</t>
  </si>
  <si>
    <t>=NL("sum","Production Order","Quantity","Source No.",$D4628,"Equipment Code",$L4628,"due date",G$8)/-12</t>
  </si>
  <si>
    <t>=NL("sum","Production Order","Quantity","Source No.",$D4628,"Equipment Code",$L4628,"due date",H$8)/-12</t>
  </si>
  <si>
    <t>=NL("sum","Production Order","Quantity","Source No.",$D4628,"Equipment Code",$L4628,"due date",I$8)/-12</t>
  </si>
  <si>
    <t>=NL("sum","Production Order","Quantity","Source No.",$D4628,"Equipment Code",$L4628,"due date",J$8)/$J$7</t>
  </si>
  <si>
    <t>=AVERAGE(I4628:J4628)</t>
  </si>
  <si>
    <t>=IF(K4629=0,"hide","")</t>
  </si>
  <si>
    <t>=D4628</t>
  </si>
  <si>
    <t>=NL("sum","Production Order","Quantity","Source No.",$D4629,"Equipment Code",$L4629,"due date",F$8)/-12</t>
  </si>
  <si>
    <t>=NL("sum","Production Order","Quantity","Source No.",$D4629,"Equipment Code",$L4629,"due date",G$8)/-12</t>
  </si>
  <si>
    <t>=NL("sum","Production Order","Quantity","Source No.",$D4629,"Equipment Code",$L4629,"due date",H$8)/-12</t>
  </si>
  <si>
    <t>=NL("sum","Production Order","Quantity","Source No.",$D4629,"Equipment Code",$L4629,"due date",I$8)/-12</t>
  </si>
  <si>
    <t>=NL("sum","Production Order","Quantity","Source No.",$D4629,"Equipment Code",$L4629,"due date",J$8)/$J$7</t>
  </si>
  <si>
    <t>=AVERAGE(I4629:J4629)</t>
  </si>
  <si>
    <t>=B4626</t>
  </si>
  <si>
    <t>=B4630</t>
  </si>
  <si>
    <t>=SUM(F4626:F4630)</t>
  </si>
  <si>
    <t>=SUM(G4626:G4630)</t>
  </si>
  <si>
    <t>=SUM(H4626:H4630)</t>
  </si>
  <si>
    <t>=SUM(I4626:I4630)</t>
  </si>
  <si>
    <t>=SUM(J4626:J4630)</t>
  </si>
  <si>
    <t>=IF(K4632=0,"hide","")</t>
  </si>
  <si>
    <t>="80129"</t>
  </si>
  <si>
    <t>=NL("rows","Production BOM Version","Version Code","Production BOM No.",D4632,"status","certified")</t>
  </si>
  <si>
    <t>=NL("sum","Item Ledger Entry","Quantity","Item No.",$D4632,"Entry Type","Sale|Consumption","posting date","01/01/19..12/31/19")/-12</t>
  </si>
  <si>
    <t>=NL("sum","Item Ledger Entry","Quantity","Item No.",$D4632,"Entry Type","Sale|Consumption","posting date","01/01/20..12/31/20")/-12</t>
  </si>
  <si>
    <t>=NL("sum","Item Ledger Entry","Quantity","Item No.",$D4632,"Entry Type","Sale|Consumption","posting date","01/01/21..12/31/21")/-12</t>
  </si>
  <si>
    <t>=NL("sum","Item Ledger Entry","Quantity","Item No.",$D4632,"Entry Type","Sale|Consumption","posting date","01/01/22..12/31/22")/-12</t>
  </si>
  <si>
    <t>=NL("sum","Item Ledger Entry","Quantity","Item No.",$D4632,"Entry Type","Sale|Consumption","posting date","01/01/23..12/31/23")/$J$7</t>
  </si>
  <si>
    <t>=AVERAGE(I4632:J4632)</t>
  </si>
  <si>
    <t>=NL(1,"item",L$9,"no.",D4632)</t>
  </si>
  <si>
    <t>=NL(1,"item",M$9,"no.",$D4632)</t>
  </si>
  <si>
    <t>=NL(1,"item","Units Per Parcel","no.",$D4632)</t>
  </si>
  <si>
    <t>=NL(1,"Prod. BOM Equipment","Fixed Prod. Time (Hours)","Production BOM No.",$D4632,"version code",$E4632,"Resource No.",O$9)</t>
  </si>
  <si>
    <t>=1/O4632</t>
  </si>
  <si>
    <t>=IF(NL(1,"Prod. BOM Equipment","Variable Prod. Time (Hours)","Production BOM No.",$D4632,"version code",$E4632,"Resource No.",$O$9)="",1,NL(1,"Prod. BOM Equipment","Variable Prod. Time (Hours)","Production BOM No.",$D4632,"version code",$E4632,"Resource No.",$O$9))</t>
  </si>
  <si>
    <t>=1/Q4632</t>
  </si>
  <si>
    <t>=R4632*N4632</t>
  </si>
  <si>
    <t>=IF(K4633=0,"hide","")</t>
  </si>
  <si>
    <t>=D4632</t>
  </si>
  <si>
    <t>=NL("sum","Production Order","Quantity","Source No.",$D4633,"Equipment Code",$L4633,"due date",F$8)/-12</t>
  </si>
  <si>
    <t>=NL("sum","Production Order","Quantity","Source No.",$D4633,"Equipment Code",$L4633,"due date",G$8)/-12</t>
  </si>
  <si>
    <t>=NL("sum","Production Order","Quantity","Source No.",$D4633,"Equipment Code",$L4633,"due date",H$8)/-12</t>
  </si>
  <si>
    <t>=NL("sum","Production Order","Quantity","Source No.",$D4633,"Equipment Code",$L4633,"due date",I$8)/-12</t>
  </si>
  <si>
    <t>=NL("sum","Production Order","Quantity","Source No.",$D4633,"Equipment Code",$L4633,"due date",J$8)/$J$7</t>
  </si>
  <si>
    <t>=AVERAGE(I4633:J4633)</t>
  </si>
  <si>
    <t>=IF(K4634=0,"hide","")</t>
  </si>
  <si>
    <t>=D4633</t>
  </si>
  <si>
    <t>=NL("sum","Production Order","Quantity","Source No.",$D4634,"Equipment Code",$L4634,"due date",F$8)/-12</t>
  </si>
  <si>
    <t>=NL("sum","Production Order","Quantity","Source No.",$D4634,"Equipment Code",$L4634,"due date",G$8)/-12</t>
  </si>
  <si>
    <t>=NL("sum","Production Order","Quantity","Source No.",$D4634,"Equipment Code",$L4634,"due date",H$8)/-12</t>
  </si>
  <si>
    <t>=NL("sum","Production Order","Quantity","Source No.",$D4634,"Equipment Code",$L4634,"due date",I$8)/-12</t>
  </si>
  <si>
    <t>=NL("sum","Production Order","Quantity","Source No.",$D4634,"Equipment Code",$L4634,"due date",J$8)/$J$7</t>
  </si>
  <si>
    <t>=AVERAGE(I4634:J4634)</t>
  </si>
  <si>
    <t>=IF(K4635=0,"hide","")</t>
  </si>
  <si>
    <t>=D4634</t>
  </si>
  <si>
    <t>=NL("sum","Production Order","Quantity","Source No.",$D4635,"Equipment Code",$L4635,"due date",F$8)/-12</t>
  </si>
  <si>
    <t>=NL("sum","Production Order","Quantity","Source No.",$D4635,"Equipment Code",$L4635,"due date",G$8)/-12</t>
  </si>
  <si>
    <t>=NL("sum","Production Order","Quantity","Source No.",$D4635,"Equipment Code",$L4635,"due date",H$8)/-12</t>
  </si>
  <si>
    <t>=NL("sum","Production Order","Quantity","Source No.",$D4635,"Equipment Code",$L4635,"due date",I$8)/-12</t>
  </si>
  <si>
    <t>=NL("sum","Production Order","Quantity","Source No.",$D4635,"Equipment Code",$L4635,"due date",J$8)/$J$7</t>
  </si>
  <si>
    <t>=AVERAGE(I4635:J4635)</t>
  </si>
  <si>
    <t>=IF(K4636=0,"hide","")</t>
  </si>
  <si>
    <t>=D4635</t>
  </si>
  <si>
    <t>=NL("sum","Production Order","Quantity","Source No.",$D4636,"Equipment Code",$L4636,"due date",F$8)/-12</t>
  </si>
  <si>
    <t>=NL("sum","Production Order","Quantity","Source No.",$D4636,"Equipment Code",$L4636,"due date",G$8)/-12</t>
  </si>
  <si>
    <t>=NL("sum","Production Order","Quantity","Source No.",$D4636,"Equipment Code",$L4636,"due date",H$8)/-12</t>
  </si>
  <si>
    <t>=NL("sum","Production Order","Quantity","Source No.",$D4636,"Equipment Code",$L4636,"due date",I$8)/-12</t>
  </si>
  <si>
    <t>=NL("sum","Production Order","Quantity","Source No.",$D4636,"Equipment Code",$L4636,"due date",J$8)/$J$7</t>
  </si>
  <si>
    <t>=AVERAGE(I4636:J4636)</t>
  </si>
  <si>
    <t>=B4633</t>
  </si>
  <si>
    <t>=B4637</t>
  </si>
  <si>
    <t>=SUM(F4633:F4637)</t>
  </si>
  <si>
    <t>=SUM(G4633:G4637)</t>
  </si>
  <si>
    <t>=SUM(H4633:H4637)</t>
  </si>
  <si>
    <t>=SUM(I4633:I4637)</t>
  </si>
  <si>
    <t>=SUM(J4633:J4637)</t>
  </si>
  <si>
    <t>=IF(K4639=0,"hide","")</t>
  </si>
  <si>
    <t>="80130"</t>
  </si>
  <si>
    <t>=NL("rows","Production BOM Version","Version Code","Production BOM No.",D4639,"status","certified")</t>
  </si>
  <si>
    <t>=NL("sum","Item Ledger Entry","Quantity","Item No.",$D4639,"Entry Type","Sale|Consumption","posting date","01/01/19..12/31/19")/-12</t>
  </si>
  <si>
    <t>=NL("sum","Item Ledger Entry","Quantity","Item No.",$D4639,"Entry Type","Sale|Consumption","posting date","01/01/20..12/31/20")/-12</t>
  </si>
  <si>
    <t>=NL("sum","Item Ledger Entry","Quantity","Item No.",$D4639,"Entry Type","Sale|Consumption","posting date","01/01/21..12/31/21")/-12</t>
  </si>
  <si>
    <t>=NL("sum","Item Ledger Entry","Quantity","Item No.",$D4639,"Entry Type","Sale|Consumption","posting date","01/01/22..12/31/22")/-12</t>
  </si>
  <si>
    <t>=NL("sum","Item Ledger Entry","Quantity","Item No.",$D4639,"Entry Type","Sale|Consumption","posting date","01/01/23..12/31/23")/$J$7</t>
  </si>
  <si>
    <t>=AVERAGE(I4639:J4639)</t>
  </si>
  <si>
    <t>=NL(1,"item",L$9,"no.",D4639)</t>
  </si>
  <si>
    <t>=NL(1,"item",M$9,"no.",$D4639)</t>
  </si>
  <si>
    <t>=NL(1,"item","Units Per Parcel","no.",$D4639)</t>
  </si>
  <si>
    <t>=NL(1,"Prod. BOM Equipment","Fixed Prod. Time (Hours)","Production BOM No.",$D4639,"version code",$E4639,"Resource No.",O$9)</t>
  </si>
  <si>
    <t>=1/O4639</t>
  </si>
  <si>
    <t>=IF(NL(1,"Prod. BOM Equipment","Variable Prod. Time (Hours)","Production BOM No.",$D4639,"version code",$E4639,"Resource No.",$O$9)="",1,NL(1,"Prod. BOM Equipment","Variable Prod. Time (Hours)","Production BOM No.",$D4639,"version code",$E4639,"Resource No.",$O$9))</t>
  </si>
  <si>
    <t>=1/Q4639</t>
  </si>
  <si>
    <t>=R4639*N4639</t>
  </si>
  <si>
    <t>=IF(K4640=0,"hide","")</t>
  </si>
  <si>
    <t>=D4639</t>
  </si>
  <si>
    <t>=NL("sum","Production Order","Quantity","Source No.",$D4640,"Equipment Code",$L4640,"due date",F$8)/-12</t>
  </si>
  <si>
    <t>=NL("sum","Production Order","Quantity","Source No.",$D4640,"Equipment Code",$L4640,"due date",G$8)/-12</t>
  </si>
  <si>
    <t>=NL("sum","Production Order","Quantity","Source No.",$D4640,"Equipment Code",$L4640,"due date",H$8)/-12</t>
  </si>
  <si>
    <t>=NL("sum","Production Order","Quantity","Source No.",$D4640,"Equipment Code",$L4640,"due date",I$8)/-12</t>
  </si>
  <si>
    <t>=NL("sum","Production Order","Quantity","Source No.",$D4640,"Equipment Code",$L4640,"due date",J$8)/$J$7</t>
  </si>
  <si>
    <t>=AVERAGE(I4640:J4640)</t>
  </si>
  <si>
    <t>=IF(K4641=0,"hide","")</t>
  </si>
  <si>
    <t>=D4640</t>
  </si>
  <si>
    <t>=NL("sum","Production Order","Quantity","Source No.",$D4641,"Equipment Code",$L4641,"due date",F$8)/-12</t>
  </si>
  <si>
    <t>=NL("sum","Production Order","Quantity","Source No.",$D4641,"Equipment Code",$L4641,"due date",G$8)/-12</t>
  </si>
  <si>
    <t>=NL("sum","Production Order","Quantity","Source No.",$D4641,"Equipment Code",$L4641,"due date",H$8)/-12</t>
  </si>
  <si>
    <t>=NL("sum","Production Order","Quantity","Source No.",$D4641,"Equipment Code",$L4641,"due date",I$8)/-12</t>
  </si>
  <si>
    <t>=NL("sum","Production Order","Quantity","Source No.",$D4641,"Equipment Code",$L4641,"due date",J$8)/$J$7</t>
  </si>
  <si>
    <t>=AVERAGE(I4641:J4641)</t>
  </si>
  <si>
    <t>=IF(K4642=0,"hide","")</t>
  </si>
  <si>
    <t>=D4641</t>
  </si>
  <si>
    <t>=NL("sum","Production Order","Quantity","Source No.",$D4642,"Equipment Code",$L4642,"due date",F$8)/-12</t>
  </si>
  <si>
    <t>=NL("sum","Production Order","Quantity","Source No.",$D4642,"Equipment Code",$L4642,"due date",G$8)/-12</t>
  </si>
  <si>
    <t>=NL("sum","Production Order","Quantity","Source No.",$D4642,"Equipment Code",$L4642,"due date",H$8)/-12</t>
  </si>
  <si>
    <t>=NL("sum","Production Order","Quantity","Source No.",$D4642,"Equipment Code",$L4642,"due date",I$8)/-12</t>
  </si>
  <si>
    <t>=NL("sum","Production Order","Quantity","Source No.",$D4642,"Equipment Code",$L4642,"due date",J$8)/$J$7</t>
  </si>
  <si>
    <t>=AVERAGE(I4642:J4642)</t>
  </si>
  <si>
    <t>=IF(K4643=0,"hide","")</t>
  </si>
  <si>
    <t>=D4642</t>
  </si>
  <si>
    <t>=NL("sum","Production Order","Quantity","Source No.",$D4643,"Equipment Code",$L4643,"due date",F$8)/-12</t>
  </si>
  <si>
    <t>=NL("sum","Production Order","Quantity","Source No.",$D4643,"Equipment Code",$L4643,"due date",G$8)/-12</t>
  </si>
  <si>
    <t>=NL("sum","Production Order","Quantity","Source No.",$D4643,"Equipment Code",$L4643,"due date",H$8)/-12</t>
  </si>
  <si>
    <t>=NL("sum","Production Order","Quantity","Source No.",$D4643,"Equipment Code",$L4643,"due date",I$8)/-12</t>
  </si>
  <si>
    <t>=NL("sum","Production Order","Quantity","Source No.",$D4643,"Equipment Code",$L4643,"due date",J$8)/$J$7</t>
  </si>
  <si>
    <t>=AVERAGE(I4643:J4643)</t>
  </si>
  <si>
    <t>=B4640</t>
  </si>
  <si>
    <t>=B4644</t>
  </si>
  <si>
    <t>=SUM(F4640:F4644)</t>
  </si>
  <si>
    <t>=SUM(G4640:G4644)</t>
  </si>
  <si>
    <t>=SUM(H4640:H4644)</t>
  </si>
  <si>
    <t>=SUM(I4640:I4644)</t>
  </si>
  <si>
    <t>=SUM(J4640:J4644)</t>
  </si>
  <si>
    <t>=IF(K4646=0,"hide","")</t>
  </si>
  <si>
    <t>="80136"</t>
  </si>
  <si>
    <t>=NL("rows","Production BOM Version","Version Code","Production BOM No.",D4646,"status","certified")</t>
  </si>
  <si>
    <t>=NL("sum","Item Ledger Entry","Quantity","Item No.",$D4646,"Entry Type","Sale|Consumption","posting date","01/01/19..12/31/19")/-12</t>
  </si>
  <si>
    <t>=NL("sum","Item Ledger Entry","Quantity","Item No.",$D4646,"Entry Type","Sale|Consumption","posting date","01/01/20..12/31/20")/-12</t>
  </si>
  <si>
    <t>=NL("sum","Item Ledger Entry","Quantity","Item No.",$D4646,"Entry Type","Sale|Consumption","posting date","01/01/21..12/31/21")/-12</t>
  </si>
  <si>
    <t>=NL("sum","Item Ledger Entry","Quantity","Item No.",$D4646,"Entry Type","Sale|Consumption","posting date","01/01/22..12/31/22")/-12</t>
  </si>
  <si>
    <t>=NL("sum","Item Ledger Entry","Quantity","Item No.",$D4646,"Entry Type","Sale|Consumption","posting date","01/01/23..12/31/23")/$J$7</t>
  </si>
  <si>
    <t>=AVERAGE(I4646:J4646)</t>
  </si>
  <si>
    <t>=NL(1,"item",L$9,"no.",D4646)</t>
  </si>
  <si>
    <t>=NL(1,"item",M$9,"no.",$D4646)</t>
  </si>
  <si>
    <t>=NL(1,"item","Units Per Parcel","no.",$D4646)</t>
  </si>
  <si>
    <t>=NL(1,"Prod. BOM Equipment","Fixed Prod. Time (Hours)","Production BOM No.",$D4646,"version code",$E4646,"Resource No.",O$9)</t>
  </si>
  <si>
    <t>=1/O4646</t>
  </si>
  <si>
    <t>=IF(NL(1,"Prod. BOM Equipment","Variable Prod. Time (Hours)","Production BOM No.",$D4646,"version code",$E4646,"Resource No.",$O$9)="",1,NL(1,"Prod. BOM Equipment","Variable Prod. Time (Hours)","Production BOM No.",$D4646,"version code",$E4646,"Resource No.",$O$9))</t>
  </si>
  <si>
    <t>=1/Q4646</t>
  </si>
  <si>
    <t>=R4646*N4646</t>
  </si>
  <si>
    <t>=IF(K4647=0,"hide","")</t>
  </si>
  <si>
    <t>=D4646</t>
  </si>
  <si>
    <t>=NL("sum","Production Order","Quantity","Source No.",$D4647,"Equipment Code",$L4647,"due date",F$8)/-12</t>
  </si>
  <si>
    <t>=NL("sum","Production Order","Quantity","Source No.",$D4647,"Equipment Code",$L4647,"due date",G$8)/-12</t>
  </si>
  <si>
    <t>=NL("sum","Production Order","Quantity","Source No.",$D4647,"Equipment Code",$L4647,"due date",H$8)/-12</t>
  </si>
  <si>
    <t>=NL("sum","Production Order","Quantity","Source No.",$D4647,"Equipment Code",$L4647,"due date",I$8)/-12</t>
  </si>
  <si>
    <t>=NL("sum","Production Order","Quantity","Source No.",$D4647,"Equipment Code",$L4647,"due date",J$8)/$J$7</t>
  </si>
  <si>
    <t>=AVERAGE(I4647:J4647)</t>
  </si>
  <si>
    <t>=IF(K4648=0,"hide","")</t>
  </si>
  <si>
    <t>=D4647</t>
  </si>
  <si>
    <t>=NL("sum","Production Order","Quantity","Source No.",$D4648,"Equipment Code",$L4648,"due date",F$8)/-12</t>
  </si>
  <si>
    <t>=NL("sum","Production Order","Quantity","Source No.",$D4648,"Equipment Code",$L4648,"due date",G$8)/-12</t>
  </si>
  <si>
    <t>=NL("sum","Production Order","Quantity","Source No.",$D4648,"Equipment Code",$L4648,"due date",H$8)/-12</t>
  </si>
  <si>
    <t>=NL("sum","Production Order","Quantity","Source No.",$D4648,"Equipment Code",$L4648,"due date",I$8)/-12</t>
  </si>
  <si>
    <t>=NL("sum","Production Order","Quantity","Source No.",$D4648,"Equipment Code",$L4648,"due date",J$8)/$J$7</t>
  </si>
  <si>
    <t>=AVERAGE(I4648:J4648)</t>
  </si>
  <si>
    <t>=IF(K4649=0,"hide","")</t>
  </si>
  <si>
    <t>=D4648</t>
  </si>
  <si>
    <t>=NL("sum","Production Order","Quantity","Source No.",$D4649,"Equipment Code",$L4649,"due date",F$8)/-12</t>
  </si>
  <si>
    <t>=NL("sum","Production Order","Quantity","Source No.",$D4649,"Equipment Code",$L4649,"due date",G$8)/-12</t>
  </si>
  <si>
    <t>=NL("sum","Production Order","Quantity","Source No.",$D4649,"Equipment Code",$L4649,"due date",H$8)/-12</t>
  </si>
  <si>
    <t>=NL("sum","Production Order","Quantity","Source No.",$D4649,"Equipment Code",$L4649,"due date",I$8)/-12</t>
  </si>
  <si>
    <t>=NL("sum","Production Order","Quantity","Source No.",$D4649,"Equipment Code",$L4649,"due date",J$8)/$J$7</t>
  </si>
  <si>
    <t>=AVERAGE(I4649:J4649)</t>
  </si>
  <si>
    <t>=IF(K4650=0,"hide","")</t>
  </si>
  <si>
    <t>=D4649</t>
  </si>
  <si>
    <t>=NL("sum","Production Order","Quantity","Source No.",$D4650,"Equipment Code",$L4650,"due date",F$8)/-12</t>
  </si>
  <si>
    <t>=NL("sum","Production Order","Quantity","Source No.",$D4650,"Equipment Code",$L4650,"due date",G$8)/-12</t>
  </si>
  <si>
    <t>=NL("sum","Production Order","Quantity","Source No.",$D4650,"Equipment Code",$L4650,"due date",H$8)/-12</t>
  </si>
  <si>
    <t>=NL("sum","Production Order","Quantity","Source No.",$D4650,"Equipment Code",$L4650,"due date",I$8)/-12</t>
  </si>
  <si>
    <t>=NL("sum","Production Order","Quantity","Source No.",$D4650,"Equipment Code",$L4650,"due date",J$8)/$J$7</t>
  </si>
  <si>
    <t>=AVERAGE(I4650:J4650)</t>
  </si>
  <si>
    <t>=B4647</t>
  </si>
  <si>
    <t>=B4651</t>
  </si>
  <si>
    <t>=SUM(F4647:F4651)</t>
  </si>
  <si>
    <t>=SUM(G4647:G4651)</t>
  </si>
  <si>
    <t>=SUM(H4647:H4651)</t>
  </si>
  <si>
    <t>=SUM(I4647:I4651)</t>
  </si>
  <si>
    <t>=SUM(J4647:J4651)</t>
  </si>
  <si>
    <t>=IF(K4653=0,"hide","")</t>
  </si>
  <si>
    <t>="80195"</t>
  </si>
  <si>
    <t>=NL("rows","Production BOM Version","Version Code","Production BOM No.",D4653,"status","certified")</t>
  </si>
  <si>
    <t>=NL("sum","Item Ledger Entry","Quantity","Item No.",$D4653,"Entry Type","Sale|Consumption","posting date","01/01/19..12/31/19")/-12</t>
  </si>
  <si>
    <t>=NL("sum","Item Ledger Entry","Quantity","Item No.",$D4653,"Entry Type","Sale|Consumption","posting date","01/01/20..12/31/20")/-12</t>
  </si>
  <si>
    <t>=NL("sum","Item Ledger Entry","Quantity","Item No.",$D4653,"Entry Type","Sale|Consumption","posting date","01/01/21..12/31/21")/-12</t>
  </si>
  <si>
    <t>=NL("sum","Item Ledger Entry","Quantity","Item No.",$D4653,"Entry Type","Sale|Consumption","posting date","01/01/22..12/31/22")/-12</t>
  </si>
  <si>
    <t>=NL("sum","Item Ledger Entry","Quantity","Item No.",$D4653,"Entry Type","Sale|Consumption","posting date","01/01/23..12/31/23")/$J$7</t>
  </si>
  <si>
    <t>=AVERAGE(I4653:J4653)</t>
  </si>
  <si>
    <t>=NL(1,"item",L$9,"no.",D4653)</t>
  </si>
  <si>
    <t>=NL(1,"item",M$9,"no.",$D4653)</t>
  </si>
  <si>
    <t>=NL(1,"item","Units Per Parcel","no.",$D4653)</t>
  </si>
  <si>
    <t>=NL(1,"Prod. BOM Equipment","Fixed Prod. Time (Hours)","Production BOM No.",$D4653,"version code",$E4653,"Resource No.",O$9)</t>
  </si>
  <si>
    <t>=1/O4653</t>
  </si>
  <si>
    <t>=IF(NL(1,"Prod. BOM Equipment","Variable Prod. Time (Hours)","Production BOM No.",$D4653,"version code",$E4653,"Resource No.",$O$9)="",1,NL(1,"Prod. BOM Equipment","Variable Prod. Time (Hours)","Production BOM No.",$D4653,"version code",$E4653,"Resource No.",$O$9))</t>
  </si>
  <si>
    <t>=1/Q4653</t>
  </si>
  <si>
    <t>=R4653*N4653</t>
  </si>
  <si>
    <t>=IF(K4654=0,"hide","")</t>
  </si>
  <si>
    <t>=D4653</t>
  </si>
  <si>
    <t>=NL("sum","Production Order","Quantity","Source No.",$D4654,"Equipment Code",$L4654,"due date",F$8)/-12</t>
  </si>
  <si>
    <t>=NL("sum","Production Order","Quantity","Source No.",$D4654,"Equipment Code",$L4654,"due date",G$8)/-12</t>
  </si>
  <si>
    <t>=NL("sum","Production Order","Quantity","Source No.",$D4654,"Equipment Code",$L4654,"due date",H$8)/-12</t>
  </si>
  <si>
    <t>=NL("sum","Production Order","Quantity","Source No.",$D4654,"Equipment Code",$L4654,"due date",I$8)/-12</t>
  </si>
  <si>
    <t>=NL("sum","Production Order","Quantity","Source No.",$D4654,"Equipment Code",$L4654,"due date",J$8)/$J$7</t>
  </si>
  <si>
    <t>=AVERAGE(I4654:J4654)</t>
  </si>
  <si>
    <t>=IF(K4655=0,"hide","")</t>
  </si>
  <si>
    <t>=D4654</t>
  </si>
  <si>
    <t>=NL("sum","Production Order","Quantity","Source No.",$D4655,"Equipment Code",$L4655,"due date",F$8)/-12</t>
  </si>
  <si>
    <t>=NL("sum","Production Order","Quantity","Source No.",$D4655,"Equipment Code",$L4655,"due date",G$8)/-12</t>
  </si>
  <si>
    <t>=NL("sum","Production Order","Quantity","Source No.",$D4655,"Equipment Code",$L4655,"due date",H$8)/-12</t>
  </si>
  <si>
    <t>=NL("sum","Production Order","Quantity","Source No.",$D4655,"Equipment Code",$L4655,"due date",I$8)/-12</t>
  </si>
  <si>
    <t>=NL("sum","Production Order","Quantity","Source No.",$D4655,"Equipment Code",$L4655,"due date",J$8)/$J$7</t>
  </si>
  <si>
    <t>=AVERAGE(I4655:J4655)</t>
  </si>
  <si>
    <t>=IF(K4656=0,"hide","")</t>
  </si>
  <si>
    <t>=D4655</t>
  </si>
  <si>
    <t>=NL("sum","Production Order","Quantity","Source No.",$D4656,"Equipment Code",$L4656,"due date",F$8)/-12</t>
  </si>
  <si>
    <t>=NL("sum","Production Order","Quantity","Source No.",$D4656,"Equipment Code",$L4656,"due date",G$8)/-12</t>
  </si>
  <si>
    <t>=NL("sum","Production Order","Quantity","Source No.",$D4656,"Equipment Code",$L4656,"due date",H$8)/-12</t>
  </si>
  <si>
    <t>=NL("sum","Production Order","Quantity","Source No.",$D4656,"Equipment Code",$L4656,"due date",I$8)/-12</t>
  </si>
  <si>
    <t>=NL("sum","Production Order","Quantity","Source No.",$D4656,"Equipment Code",$L4656,"due date",J$8)/$J$7</t>
  </si>
  <si>
    <t>=AVERAGE(I4656:J4656)</t>
  </si>
  <si>
    <t>=IF(K4657=0,"hide","")</t>
  </si>
  <si>
    <t>=D4656</t>
  </si>
  <si>
    <t>=NL("sum","Production Order","Quantity","Source No.",$D4657,"Equipment Code",$L4657,"due date",F$8)/-12</t>
  </si>
  <si>
    <t>=NL("sum","Production Order","Quantity","Source No.",$D4657,"Equipment Code",$L4657,"due date",G$8)/-12</t>
  </si>
  <si>
    <t>=NL("sum","Production Order","Quantity","Source No.",$D4657,"Equipment Code",$L4657,"due date",H$8)/-12</t>
  </si>
  <si>
    <t>=NL("sum","Production Order","Quantity","Source No.",$D4657,"Equipment Code",$L4657,"due date",I$8)/-12</t>
  </si>
  <si>
    <t>=NL("sum","Production Order","Quantity","Source No.",$D4657,"Equipment Code",$L4657,"due date",J$8)/$J$7</t>
  </si>
  <si>
    <t>=AVERAGE(I4657:J4657)</t>
  </si>
  <si>
    <t>=B4654</t>
  </si>
  <si>
    <t>=B4658</t>
  </si>
  <si>
    <t>=SUM(F4654:F4658)</t>
  </si>
  <si>
    <t>=SUM(G4654:G4658)</t>
  </si>
  <si>
    <t>=SUM(H4654:H4658)</t>
  </si>
  <si>
    <t>=SUM(I4654:I4658)</t>
  </si>
  <si>
    <t>=SUM(J4654:J4658)</t>
  </si>
  <si>
    <t>=IF(K4660=0,"hide","")</t>
  </si>
  <si>
    <t>=NL("rows","Production BOM Version","Version Code","Production BOM No.",D4660,"status","certified")</t>
  </si>
  <si>
    <t>=NL("sum","Item Ledger Entry","Quantity","Item No.",$D4660,"Entry Type","Sale|Consumption","posting date","01/01/19..12/31/19")/-12</t>
  </si>
  <si>
    <t>=NL("sum","Item Ledger Entry","Quantity","Item No.",$D4660,"Entry Type","Sale|Consumption","posting date","01/01/20..12/31/20")/-12</t>
  </si>
  <si>
    <t>=NL("sum","Item Ledger Entry","Quantity","Item No.",$D4660,"Entry Type","Sale|Consumption","posting date","01/01/21..12/31/21")/-12</t>
  </si>
  <si>
    <t>=NL("sum","Item Ledger Entry","Quantity","Item No.",$D4660,"Entry Type","Sale|Consumption","posting date","01/01/22..12/31/22")/-12</t>
  </si>
  <si>
    <t>=NL("sum","Item Ledger Entry","Quantity","Item No.",$D4660,"Entry Type","Sale|Consumption","posting date","01/01/23..12/31/23")/$J$7</t>
  </si>
  <si>
    <t>=AVERAGE(I4660:J4660)</t>
  </si>
  <si>
    <t>=NL(1,"item",L$9,"no.",D4660)</t>
  </si>
  <si>
    <t>=NL(1,"item",M$9,"no.",$D4660)</t>
  </si>
  <si>
    <t>=NL(1,"item","Units Per Parcel","no.",$D4660)</t>
  </si>
  <si>
    <t>=NL(1,"Prod. BOM Equipment","Fixed Prod. Time (Hours)","Production BOM No.",$D4660,"version code",$E4660,"Resource No.",O$9)</t>
  </si>
  <si>
    <t>=1/O4660</t>
  </si>
  <si>
    <t>=IF(NL(1,"Prod. BOM Equipment","Variable Prod. Time (Hours)","Production BOM No.",$D4660,"version code",$E4660,"Resource No.",$O$9)="",1,NL(1,"Prod. BOM Equipment","Variable Prod. Time (Hours)","Production BOM No.",$D4660,"version code",$E4660,"Resource No.",$O$9))</t>
  </si>
  <si>
    <t>=1/Q4660</t>
  </si>
  <si>
    <t>=R4660*N4660</t>
  </si>
  <si>
    <t>=IF(K4661=0,"hide","")</t>
  </si>
  <si>
    <t>=D4660</t>
  </si>
  <si>
    <t>=NL("sum","Production Order","Quantity","Source No.",$D4661,"Equipment Code",$L4661,"due date",F$8)/-12</t>
  </si>
  <si>
    <t>=NL("sum","Production Order","Quantity","Source No.",$D4661,"Equipment Code",$L4661,"due date",G$8)/-12</t>
  </si>
  <si>
    <t>=NL("sum","Production Order","Quantity","Source No.",$D4661,"Equipment Code",$L4661,"due date",H$8)/-12</t>
  </si>
  <si>
    <t>=NL("sum","Production Order","Quantity","Source No.",$D4661,"Equipment Code",$L4661,"due date",I$8)/-12</t>
  </si>
  <si>
    <t>=NL("sum","Production Order","Quantity","Source No.",$D4661,"Equipment Code",$L4661,"due date",J$8)/$J$7</t>
  </si>
  <si>
    <t>=AVERAGE(I4661:J4661)</t>
  </si>
  <si>
    <t>=IF(K4662=0,"hide","")</t>
  </si>
  <si>
    <t>=D4661</t>
  </si>
  <si>
    <t>=NL("sum","Production Order","Quantity","Source No.",$D4662,"Equipment Code",$L4662,"due date",F$8)/-12</t>
  </si>
  <si>
    <t>=NL("sum","Production Order","Quantity","Source No.",$D4662,"Equipment Code",$L4662,"due date",G$8)/-12</t>
  </si>
  <si>
    <t>=NL("sum","Production Order","Quantity","Source No.",$D4662,"Equipment Code",$L4662,"due date",H$8)/-12</t>
  </si>
  <si>
    <t>=NL("sum","Production Order","Quantity","Source No.",$D4662,"Equipment Code",$L4662,"due date",I$8)/-12</t>
  </si>
  <si>
    <t>=NL("sum","Production Order","Quantity","Source No.",$D4662,"Equipment Code",$L4662,"due date",J$8)/$J$7</t>
  </si>
  <si>
    <t>=AVERAGE(I4662:J4662)</t>
  </si>
  <si>
    <t>=IF(K4663=0,"hide","")</t>
  </si>
  <si>
    <t>=D4662</t>
  </si>
  <si>
    <t>=NL("sum","Production Order","Quantity","Source No.",$D4663,"Equipment Code",$L4663,"due date",F$8)/-12</t>
  </si>
  <si>
    <t>=NL("sum","Production Order","Quantity","Source No.",$D4663,"Equipment Code",$L4663,"due date",G$8)/-12</t>
  </si>
  <si>
    <t>=NL("sum","Production Order","Quantity","Source No.",$D4663,"Equipment Code",$L4663,"due date",H$8)/-12</t>
  </si>
  <si>
    <t>=NL("sum","Production Order","Quantity","Source No.",$D4663,"Equipment Code",$L4663,"due date",I$8)/-12</t>
  </si>
  <si>
    <t>=NL("sum","Production Order","Quantity","Source No.",$D4663,"Equipment Code",$L4663,"due date",J$8)/$J$7</t>
  </si>
  <si>
    <t>=AVERAGE(I4663:J4663)</t>
  </si>
  <si>
    <t>=IF(K4664=0,"hide","")</t>
  </si>
  <si>
    <t>=D4663</t>
  </si>
  <si>
    <t>=NL("sum","Production Order","Quantity","Source No.",$D4664,"Equipment Code",$L4664,"due date",F$8)/-12</t>
  </si>
  <si>
    <t>=NL("sum","Production Order","Quantity","Source No.",$D4664,"Equipment Code",$L4664,"due date",G$8)/-12</t>
  </si>
  <si>
    <t>=NL("sum","Production Order","Quantity","Source No.",$D4664,"Equipment Code",$L4664,"due date",H$8)/-12</t>
  </si>
  <si>
    <t>=NL("sum","Production Order","Quantity","Source No.",$D4664,"Equipment Code",$L4664,"due date",I$8)/-12</t>
  </si>
  <si>
    <t>=NL("sum","Production Order","Quantity","Source No.",$D4664,"Equipment Code",$L4664,"due date",J$8)/$J$7</t>
  </si>
  <si>
    <t>=AVERAGE(I4664:J4664)</t>
  </si>
  <si>
    <t>=B4661</t>
  </si>
  <si>
    <t>=B4665</t>
  </si>
  <si>
    <t>=SUM(F4661:F4665)</t>
  </si>
  <si>
    <t>=SUM(G4661:G4665)</t>
  </si>
  <si>
    <t>=SUM(H4661:H4665)</t>
  </si>
  <si>
    <t>=SUM(I4661:I4665)</t>
  </si>
  <si>
    <t>=SUM(J4661:J4665)</t>
  </si>
  <si>
    <t>=IF(K4667=0,"hide","")</t>
  </si>
  <si>
    <t>=NL("rows","Production BOM Version","Version Code","Production BOM No.",D4667,"status","certified")</t>
  </si>
  <si>
    <t>=NL("sum","Item Ledger Entry","Quantity","Item No.",$D4667,"Entry Type","Sale|Consumption","posting date","01/01/19..12/31/19")/-12</t>
  </si>
  <si>
    <t>=NL("sum","Item Ledger Entry","Quantity","Item No.",$D4667,"Entry Type","Sale|Consumption","posting date","01/01/20..12/31/20")/-12</t>
  </si>
  <si>
    <t>=NL("sum","Item Ledger Entry","Quantity","Item No.",$D4667,"Entry Type","Sale|Consumption","posting date","01/01/21..12/31/21")/-12</t>
  </si>
  <si>
    <t>=NL("sum","Item Ledger Entry","Quantity","Item No.",$D4667,"Entry Type","Sale|Consumption","posting date","01/01/22..12/31/22")/-12</t>
  </si>
  <si>
    <t>=NL("sum","Item Ledger Entry","Quantity","Item No.",$D4667,"Entry Type","Sale|Consumption","posting date","01/01/23..12/31/23")/$J$7</t>
  </si>
  <si>
    <t>=AVERAGE(I4667:J4667)</t>
  </si>
  <si>
    <t>=NL(1,"item",L$9,"no.",D4667)</t>
  </si>
  <si>
    <t>=NL(1,"item",M$9,"no.",$D4667)</t>
  </si>
  <si>
    <t>=NL(1,"item","Units Per Parcel","no.",$D4667)</t>
  </si>
  <si>
    <t>=NL(1,"Prod. BOM Equipment","Fixed Prod. Time (Hours)","Production BOM No.",$D4667,"version code",$E4667,"Resource No.",O$9)</t>
  </si>
  <si>
    <t>=1/O4667</t>
  </si>
  <si>
    <t>=IF(NL(1,"Prod. BOM Equipment","Variable Prod. Time (Hours)","Production BOM No.",$D4667,"version code",$E4667,"Resource No.",$O$9)="",1,NL(1,"Prod. BOM Equipment","Variable Prod. Time (Hours)","Production BOM No.",$D4667,"version code",$E4667,"Resource No.",$O$9))</t>
  </si>
  <si>
    <t>=1/Q4667</t>
  </si>
  <si>
    <t>=R4667*N4667</t>
  </si>
  <si>
    <t>=IF(K4668=0,"hide","")</t>
  </si>
  <si>
    <t>=D4667</t>
  </si>
  <si>
    <t>=NL("sum","Production Order","Quantity","Source No.",$D4668,"Equipment Code",$L4668,"due date",F$8)/-12</t>
  </si>
  <si>
    <t>=NL("sum","Production Order","Quantity","Source No.",$D4668,"Equipment Code",$L4668,"due date",G$8)/-12</t>
  </si>
  <si>
    <t>=NL("sum","Production Order","Quantity","Source No.",$D4668,"Equipment Code",$L4668,"due date",H$8)/-12</t>
  </si>
  <si>
    <t>=NL("sum","Production Order","Quantity","Source No.",$D4668,"Equipment Code",$L4668,"due date",I$8)/-12</t>
  </si>
  <si>
    <t>=NL("sum","Production Order","Quantity","Source No.",$D4668,"Equipment Code",$L4668,"due date",J$8)/$J$7</t>
  </si>
  <si>
    <t>=AVERAGE(I4668:J4668)</t>
  </si>
  <si>
    <t>=IF(K4669=0,"hide","")</t>
  </si>
  <si>
    <t>=D4668</t>
  </si>
  <si>
    <t>=NL("sum","Production Order","Quantity","Source No.",$D4669,"Equipment Code",$L4669,"due date",F$8)/-12</t>
  </si>
  <si>
    <t>=NL("sum","Production Order","Quantity","Source No.",$D4669,"Equipment Code",$L4669,"due date",G$8)/-12</t>
  </si>
  <si>
    <t>=NL("sum","Production Order","Quantity","Source No.",$D4669,"Equipment Code",$L4669,"due date",H$8)/-12</t>
  </si>
  <si>
    <t>=NL("sum","Production Order","Quantity","Source No.",$D4669,"Equipment Code",$L4669,"due date",I$8)/-12</t>
  </si>
  <si>
    <t>=NL("sum","Production Order","Quantity","Source No.",$D4669,"Equipment Code",$L4669,"due date",J$8)/$J$7</t>
  </si>
  <si>
    <t>=AVERAGE(I4669:J4669)</t>
  </si>
  <si>
    <t>=IF(K4670=0,"hide","")</t>
  </si>
  <si>
    <t>=D4669</t>
  </si>
  <si>
    <t>=NL("sum","Production Order","Quantity","Source No.",$D4670,"Equipment Code",$L4670,"due date",F$8)/-12</t>
  </si>
  <si>
    <t>=NL("sum","Production Order","Quantity","Source No.",$D4670,"Equipment Code",$L4670,"due date",G$8)/-12</t>
  </si>
  <si>
    <t>=NL("sum","Production Order","Quantity","Source No.",$D4670,"Equipment Code",$L4670,"due date",H$8)/-12</t>
  </si>
  <si>
    <t>=NL("sum","Production Order","Quantity","Source No.",$D4670,"Equipment Code",$L4670,"due date",I$8)/-12</t>
  </si>
  <si>
    <t>=NL("sum","Production Order","Quantity","Source No.",$D4670,"Equipment Code",$L4670,"due date",J$8)/$J$7</t>
  </si>
  <si>
    <t>=AVERAGE(I4670:J4670)</t>
  </si>
  <si>
    <t>=IF(K4671=0,"hide","")</t>
  </si>
  <si>
    <t>=D4670</t>
  </si>
  <si>
    <t>=NL("sum","Production Order","Quantity","Source No.",$D4671,"Equipment Code",$L4671,"due date",F$8)/-12</t>
  </si>
  <si>
    <t>=NL("sum","Production Order","Quantity","Source No.",$D4671,"Equipment Code",$L4671,"due date",G$8)/-12</t>
  </si>
  <si>
    <t>=NL("sum","Production Order","Quantity","Source No.",$D4671,"Equipment Code",$L4671,"due date",H$8)/-12</t>
  </si>
  <si>
    <t>=NL("sum","Production Order","Quantity","Source No.",$D4671,"Equipment Code",$L4671,"due date",I$8)/-12</t>
  </si>
  <si>
    <t>=NL("sum","Production Order","Quantity","Source No.",$D4671,"Equipment Code",$L4671,"due date",J$8)/$J$7</t>
  </si>
  <si>
    <t>=AVERAGE(I4671:J4671)</t>
  </si>
  <si>
    <t>=B4668</t>
  </si>
  <si>
    <t>=B4672</t>
  </si>
  <si>
    <t>=SUM(F4668:F4672)</t>
  </si>
  <si>
    <t>=SUM(G4668:G4672)</t>
  </si>
  <si>
    <t>=SUM(H4668:H4672)</t>
  </si>
  <si>
    <t>=SUM(I4668:I4672)</t>
  </si>
  <si>
    <t>=SUM(J4668:J4672)</t>
  </si>
  <si>
    <t>=IF(K4674=0,"hide","")</t>
  </si>
  <si>
    <t>=NL("rows","Production BOM Version","Version Code","Production BOM No.",D4674,"status","certified")</t>
  </si>
  <si>
    <t>=NL("sum","Item Ledger Entry","Quantity","Item No.",$D4674,"Entry Type","Sale|Consumption","posting date","01/01/19..12/31/19")/-12</t>
  </si>
  <si>
    <t>=NL("sum","Item Ledger Entry","Quantity","Item No.",$D4674,"Entry Type","Sale|Consumption","posting date","01/01/20..12/31/20")/-12</t>
  </si>
  <si>
    <t>=NL("sum","Item Ledger Entry","Quantity","Item No.",$D4674,"Entry Type","Sale|Consumption","posting date","01/01/21..12/31/21")/-12</t>
  </si>
  <si>
    <t>=NL("sum","Item Ledger Entry","Quantity","Item No.",$D4674,"Entry Type","Sale|Consumption","posting date","01/01/22..12/31/22")/-12</t>
  </si>
  <si>
    <t>=NL("sum","Item Ledger Entry","Quantity","Item No.",$D4674,"Entry Type","Sale|Consumption","posting date","01/01/23..12/31/23")/$J$7</t>
  </si>
  <si>
    <t>=AVERAGE(I4674:J4674)</t>
  </si>
  <si>
    <t>=NL(1,"item",L$9,"no.",D4674)</t>
  </si>
  <si>
    <t>=NL(1,"item",M$9,"no.",$D4674)</t>
  </si>
  <si>
    <t>=NL(1,"item","Units Per Parcel","no.",$D4674)</t>
  </si>
  <si>
    <t>=NL(1,"Prod. BOM Equipment","Fixed Prod. Time (Hours)","Production BOM No.",$D4674,"version code",$E4674,"Resource No.",O$9)</t>
  </si>
  <si>
    <t>=1/O4674</t>
  </si>
  <si>
    <t>=IF(NL(1,"Prod. BOM Equipment","Variable Prod. Time (Hours)","Production BOM No.",$D4674,"version code",$E4674,"Resource No.",$O$9)="",1,NL(1,"Prod. BOM Equipment","Variable Prod. Time (Hours)","Production BOM No.",$D4674,"version code",$E4674,"Resource No.",$O$9))</t>
  </si>
  <si>
    <t>=1/Q4674</t>
  </si>
  <si>
    <t>=R4674*N4674</t>
  </si>
  <si>
    <t>=IF(K4675=0,"hide","")</t>
  </si>
  <si>
    <t>=D4674</t>
  </si>
  <si>
    <t>=NL("sum","Production Order","Quantity","Source No.",$D4675,"Equipment Code",$L4675,"due date",F$8)/-12</t>
  </si>
  <si>
    <t>=NL("sum","Production Order","Quantity","Source No.",$D4675,"Equipment Code",$L4675,"due date",G$8)/-12</t>
  </si>
  <si>
    <t>=NL("sum","Production Order","Quantity","Source No.",$D4675,"Equipment Code",$L4675,"due date",H$8)/-12</t>
  </si>
  <si>
    <t>=NL("sum","Production Order","Quantity","Source No.",$D4675,"Equipment Code",$L4675,"due date",I$8)/-12</t>
  </si>
  <si>
    <t>=NL("sum","Production Order","Quantity","Source No.",$D4675,"Equipment Code",$L4675,"due date",J$8)/$J$7</t>
  </si>
  <si>
    <t>=AVERAGE(I4675:J4675)</t>
  </si>
  <si>
    <t>=IF(K4676=0,"hide","")</t>
  </si>
  <si>
    <t>=D4675</t>
  </si>
  <si>
    <t>=NL("sum","Production Order","Quantity","Source No.",$D4676,"Equipment Code",$L4676,"due date",F$8)/-12</t>
  </si>
  <si>
    <t>=NL("sum","Production Order","Quantity","Source No.",$D4676,"Equipment Code",$L4676,"due date",G$8)/-12</t>
  </si>
  <si>
    <t>=NL("sum","Production Order","Quantity","Source No.",$D4676,"Equipment Code",$L4676,"due date",H$8)/-12</t>
  </si>
  <si>
    <t>=NL("sum","Production Order","Quantity","Source No.",$D4676,"Equipment Code",$L4676,"due date",I$8)/-12</t>
  </si>
  <si>
    <t>=NL("sum","Production Order","Quantity","Source No.",$D4676,"Equipment Code",$L4676,"due date",J$8)/$J$7</t>
  </si>
  <si>
    <t>=AVERAGE(I4676:J4676)</t>
  </si>
  <si>
    <t>=IF(K4677=0,"hide","")</t>
  </si>
  <si>
    <t>=D4676</t>
  </si>
  <si>
    <t>=NL("sum","Production Order","Quantity","Source No.",$D4677,"Equipment Code",$L4677,"due date",F$8)/-12</t>
  </si>
  <si>
    <t>=NL("sum","Production Order","Quantity","Source No.",$D4677,"Equipment Code",$L4677,"due date",G$8)/-12</t>
  </si>
  <si>
    <t>=NL("sum","Production Order","Quantity","Source No.",$D4677,"Equipment Code",$L4677,"due date",H$8)/-12</t>
  </si>
  <si>
    <t>=NL("sum","Production Order","Quantity","Source No.",$D4677,"Equipment Code",$L4677,"due date",I$8)/-12</t>
  </si>
  <si>
    <t>=NL("sum","Production Order","Quantity","Source No.",$D4677,"Equipment Code",$L4677,"due date",J$8)/$J$7</t>
  </si>
  <si>
    <t>=AVERAGE(I4677:J4677)</t>
  </si>
  <si>
    <t>=IF(K4678=0,"hide","")</t>
  </si>
  <si>
    <t>=D4677</t>
  </si>
  <si>
    <t>=NL("sum","Production Order","Quantity","Source No.",$D4678,"Equipment Code",$L4678,"due date",F$8)/-12</t>
  </si>
  <si>
    <t>=NL("sum","Production Order","Quantity","Source No.",$D4678,"Equipment Code",$L4678,"due date",G$8)/-12</t>
  </si>
  <si>
    <t>=NL("sum","Production Order","Quantity","Source No.",$D4678,"Equipment Code",$L4678,"due date",H$8)/-12</t>
  </si>
  <si>
    <t>=NL("sum","Production Order","Quantity","Source No.",$D4678,"Equipment Code",$L4678,"due date",I$8)/-12</t>
  </si>
  <si>
    <t>=NL("sum","Production Order","Quantity","Source No.",$D4678,"Equipment Code",$L4678,"due date",J$8)/$J$7</t>
  </si>
  <si>
    <t>=AVERAGE(I4678:J4678)</t>
  </si>
  <si>
    <t>=B4675</t>
  </si>
  <si>
    <t>=B4679</t>
  </si>
  <si>
    <t>=SUM(F4675:F4679)</t>
  </si>
  <si>
    <t>=SUM(G4675:G4679)</t>
  </si>
  <si>
    <t>=SUM(H4675:H4679)</t>
  </si>
  <si>
    <t>=SUM(I4675:I4679)</t>
  </si>
  <si>
    <t>=SUM(J4675:J4679)</t>
  </si>
  <si>
    <t>=IF(K4681=0,"hide","")</t>
  </si>
  <si>
    <t>=NL("rows","Production BOM Version","Version Code","Production BOM No.",D4681,"status","certified")</t>
  </si>
  <si>
    <t>=NL("sum","Item Ledger Entry","Quantity","Item No.",$D4681,"Entry Type","Sale|Consumption","posting date","01/01/19..12/31/19")/-12</t>
  </si>
  <si>
    <t>=NL("sum","Item Ledger Entry","Quantity","Item No.",$D4681,"Entry Type","Sale|Consumption","posting date","01/01/20..12/31/20")/-12</t>
  </si>
  <si>
    <t>=NL("sum","Item Ledger Entry","Quantity","Item No.",$D4681,"Entry Type","Sale|Consumption","posting date","01/01/21..12/31/21")/-12</t>
  </si>
  <si>
    <t>=NL("sum","Item Ledger Entry","Quantity","Item No.",$D4681,"Entry Type","Sale|Consumption","posting date","01/01/22..12/31/22")/-12</t>
  </si>
  <si>
    <t>=NL("sum","Item Ledger Entry","Quantity","Item No.",$D4681,"Entry Type","Sale|Consumption","posting date","01/01/23..12/31/23")/$J$7</t>
  </si>
  <si>
    <t>=AVERAGE(I4681:J4681)</t>
  </si>
  <si>
    <t>=NL(1,"item",L$9,"no.",D4681)</t>
  </si>
  <si>
    <t>=NL(1,"item",M$9,"no.",$D4681)</t>
  </si>
  <si>
    <t>=NL(1,"item","Units Per Parcel","no.",$D4681)</t>
  </si>
  <si>
    <t>=NL(1,"Prod. BOM Equipment","Fixed Prod. Time (Hours)","Production BOM No.",$D4681,"version code",$E4681,"Resource No.",O$9)</t>
  </si>
  <si>
    <t>=1/O4681</t>
  </si>
  <si>
    <t>=IF(NL(1,"Prod. BOM Equipment","Variable Prod. Time (Hours)","Production BOM No.",$D4681,"version code",$E4681,"Resource No.",$O$9)="",1,NL(1,"Prod. BOM Equipment","Variable Prod. Time (Hours)","Production BOM No.",$D4681,"version code",$E4681,"Resource No.",$O$9))</t>
  </si>
  <si>
    <t>=1/Q4681</t>
  </si>
  <si>
    <t>=R4681*N4681</t>
  </si>
  <si>
    <t>=IF(K4682=0,"hide","")</t>
  </si>
  <si>
    <t>=D4681</t>
  </si>
  <si>
    <t>=NL("sum","Production Order","Quantity","Source No.",$D4682,"Equipment Code",$L4682,"due date",F$8)/-12</t>
  </si>
  <si>
    <t>=NL("sum","Production Order","Quantity","Source No.",$D4682,"Equipment Code",$L4682,"due date",G$8)/-12</t>
  </si>
  <si>
    <t>=NL("sum","Production Order","Quantity","Source No.",$D4682,"Equipment Code",$L4682,"due date",H$8)/-12</t>
  </si>
  <si>
    <t>=NL("sum","Production Order","Quantity","Source No.",$D4682,"Equipment Code",$L4682,"due date",I$8)/-12</t>
  </si>
  <si>
    <t>=NL("sum","Production Order","Quantity","Source No.",$D4682,"Equipment Code",$L4682,"due date",J$8)/$J$7</t>
  </si>
  <si>
    <t>=AVERAGE(I4682:J4682)</t>
  </si>
  <si>
    <t>=IF(K4683=0,"hide","")</t>
  </si>
  <si>
    <t>=D4682</t>
  </si>
  <si>
    <t>=NL("sum","Production Order","Quantity","Source No.",$D4683,"Equipment Code",$L4683,"due date",F$8)/-12</t>
  </si>
  <si>
    <t>=NL("sum","Production Order","Quantity","Source No.",$D4683,"Equipment Code",$L4683,"due date",G$8)/-12</t>
  </si>
  <si>
    <t>=NL("sum","Production Order","Quantity","Source No.",$D4683,"Equipment Code",$L4683,"due date",H$8)/-12</t>
  </si>
  <si>
    <t>=NL("sum","Production Order","Quantity","Source No.",$D4683,"Equipment Code",$L4683,"due date",I$8)/-12</t>
  </si>
  <si>
    <t>=NL("sum","Production Order","Quantity","Source No.",$D4683,"Equipment Code",$L4683,"due date",J$8)/$J$7</t>
  </si>
  <si>
    <t>=AVERAGE(I4683:J4683)</t>
  </si>
  <si>
    <t>=IF(K4684=0,"hide","")</t>
  </si>
  <si>
    <t>=D4683</t>
  </si>
  <si>
    <t>=NL("sum","Production Order","Quantity","Source No.",$D4684,"Equipment Code",$L4684,"due date",F$8)/-12</t>
  </si>
  <si>
    <t>=NL("sum","Production Order","Quantity","Source No.",$D4684,"Equipment Code",$L4684,"due date",G$8)/-12</t>
  </si>
  <si>
    <t>=NL("sum","Production Order","Quantity","Source No.",$D4684,"Equipment Code",$L4684,"due date",H$8)/-12</t>
  </si>
  <si>
    <t>=NL("sum","Production Order","Quantity","Source No.",$D4684,"Equipment Code",$L4684,"due date",I$8)/-12</t>
  </si>
  <si>
    <t>=NL("sum","Production Order","Quantity","Source No.",$D4684,"Equipment Code",$L4684,"due date",J$8)/$J$7</t>
  </si>
  <si>
    <t>=AVERAGE(I4684:J4684)</t>
  </si>
  <si>
    <t>=IF(K4685=0,"hide","")</t>
  </si>
  <si>
    <t>=D4684</t>
  </si>
  <si>
    <t>=NL("sum","Production Order","Quantity","Source No.",$D4685,"Equipment Code",$L4685,"due date",F$8)/-12</t>
  </si>
  <si>
    <t>=NL("sum","Production Order","Quantity","Source No.",$D4685,"Equipment Code",$L4685,"due date",G$8)/-12</t>
  </si>
  <si>
    <t>=NL("sum","Production Order","Quantity","Source No.",$D4685,"Equipment Code",$L4685,"due date",H$8)/-12</t>
  </si>
  <si>
    <t>=NL("sum","Production Order","Quantity","Source No.",$D4685,"Equipment Code",$L4685,"due date",I$8)/-12</t>
  </si>
  <si>
    <t>=NL("sum","Production Order","Quantity","Source No.",$D4685,"Equipment Code",$L4685,"due date",J$8)/$J$7</t>
  </si>
  <si>
    <t>=AVERAGE(I4685:J4685)</t>
  </si>
  <si>
    <t>=B4682</t>
  </si>
  <si>
    <t>=B4686</t>
  </si>
  <si>
    <t>=SUM(F4682:F4686)</t>
  </si>
  <si>
    <t>=SUM(G4682:G4686)</t>
  </si>
  <si>
    <t>=SUM(H4682:H4686)</t>
  </si>
  <si>
    <t>=SUM(I4682:I4686)</t>
  </si>
  <si>
    <t>=SUM(J4682:J4686)</t>
  </si>
  <si>
    <t>=IF(K4688=0,"hide","")</t>
  </si>
  <si>
    <t>=NL("rows","Production BOM Version","Version Code","Production BOM No.",D4688,"status","certified")</t>
  </si>
  <si>
    <t>=NL("sum","Item Ledger Entry","Quantity","Item No.",$D4688,"Entry Type","Sale|Consumption","posting date","01/01/19..12/31/19")/-12</t>
  </si>
  <si>
    <t>=NL("sum","Item Ledger Entry","Quantity","Item No.",$D4688,"Entry Type","Sale|Consumption","posting date","01/01/20..12/31/20")/-12</t>
  </si>
  <si>
    <t>=NL("sum","Item Ledger Entry","Quantity","Item No.",$D4688,"Entry Type","Sale|Consumption","posting date","01/01/21..12/31/21")/-12</t>
  </si>
  <si>
    <t>=NL("sum","Item Ledger Entry","Quantity","Item No.",$D4688,"Entry Type","Sale|Consumption","posting date","01/01/22..12/31/22")/-12</t>
  </si>
  <si>
    <t>=NL("sum","Item Ledger Entry","Quantity","Item No.",$D4688,"Entry Type","Sale|Consumption","posting date","01/01/23..12/31/23")/$J$7</t>
  </si>
  <si>
    <t>=AVERAGE(I4688:J4688)</t>
  </si>
  <si>
    <t>=NL(1,"item",L$9,"no.",D4688)</t>
  </si>
  <si>
    <t>=NL(1,"item",M$9,"no.",$D4688)</t>
  </si>
  <si>
    <t>=NL(1,"item","Units Per Parcel","no.",$D4688)</t>
  </si>
  <si>
    <t>=NL(1,"Prod. BOM Equipment","Fixed Prod. Time (Hours)","Production BOM No.",$D4688,"version code",$E4688,"Resource No.",O$9)</t>
  </si>
  <si>
    <t>=1/O4688</t>
  </si>
  <si>
    <t>=IF(NL(1,"Prod. BOM Equipment","Variable Prod. Time (Hours)","Production BOM No.",$D4688,"version code",$E4688,"Resource No.",$O$9)="",1,NL(1,"Prod. BOM Equipment","Variable Prod. Time (Hours)","Production BOM No.",$D4688,"version code",$E4688,"Resource No.",$O$9))</t>
  </si>
  <si>
    <t>=1/Q4688</t>
  </si>
  <si>
    <t>=R4688*N4688</t>
  </si>
  <si>
    <t>=IF(K4689=0,"hide","")</t>
  </si>
  <si>
    <t>=D4688</t>
  </si>
  <si>
    <t>=NL("sum","Production Order","Quantity","Source No.",$D4689,"Equipment Code",$L4689,"due date",F$8)/-12</t>
  </si>
  <si>
    <t>=NL("sum","Production Order","Quantity","Source No.",$D4689,"Equipment Code",$L4689,"due date",G$8)/-12</t>
  </si>
  <si>
    <t>=NL("sum","Production Order","Quantity","Source No.",$D4689,"Equipment Code",$L4689,"due date",H$8)/-12</t>
  </si>
  <si>
    <t>=NL("sum","Production Order","Quantity","Source No.",$D4689,"Equipment Code",$L4689,"due date",I$8)/-12</t>
  </si>
  <si>
    <t>=NL("sum","Production Order","Quantity","Source No.",$D4689,"Equipment Code",$L4689,"due date",J$8)/$J$7</t>
  </si>
  <si>
    <t>=AVERAGE(I4689:J4689)</t>
  </si>
  <si>
    <t>=IF(K4690=0,"hide","")</t>
  </si>
  <si>
    <t>=D4689</t>
  </si>
  <si>
    <t>=NL("sum","Production Order","Quantity","Source No.",$D4690,"Equipment Code",$L4690,"due date",F$8)/-12</t>
  </si>
  <si>
    <t>=NL("sum","Production Order","Quantity","Source No.",$D4690,"Equipment Code",$L4690,"due date",G$8)/-12</t>
  </si>
  <si>
    <t>=NL("sum","Production Order","Quantity","Source No.",$D4690,"Equipment Code",$L4690,"due date",H$8)/-12</t>
  </si>
  <si>
    <t>=NL("sum","Production Order","Quantity","Source No.",$D4690,"Equipment Code",$L4690,"due date",I$8)/-12</t>
  </si>
  <si>
    <t>=NL("sum","Production Order","Quantity","Source No.",$D4690,"Equipment Code",$L4690,"due date",J$8)/$J$7</t>
  </si>
  <si>
    <t>=AVERAGE(I4690:J4690)</t>
  </si>
  <si>
    <t>=IF(K4691=0,"hide","")</t>
  </si>
  <si>
    <t>=D4690</t>
  </si>
  <si>
    <t>=NL("sum","Production Order","Quantity","Source No.",$D4691,"Equipment Code",$L4691,"due date",F$8)/-12</t>
  </si>
  <si>
    <t>=NL("sum","Production Order","Quantity","Source No.",$D4691,"Equipment Code",$L4691,"due date",G$8)/-12</t>
  </si>
  <si>
    <t>=NL("sum","Production Order","Quantity","Source No.",$D4691,"Equipment Code",$L4691,"due date",H$8)/-12</t>
  </si>
  <si>
    <t>=NL("sum","Production Order","Quantity","Source No.",$D4691,"Equipment Code",$L4691,"due date",I$8)/-12</t>
  </si>
  <si>
    <t>=NL("sum","Production Order","Quantity","Source No.",$D4691,"Equipment Code",$L4691,"due date",J$8)/$J$7</t>
  </si>
  <si>
    <t>=AVERAGE(I4691:J4691)</t>
  </si>
  <si>
    <t>=IF(K4692=0,"hide","")</t>
  </si>
  <si>
    <t>=D4691</t>
  </si>
  <si>
    <t>=NL("sum","Production Order","Quantity","Source No.",$D4692,"Equipment Code",$L4692,"due date",F$8)/-12</t>
  </si>
  <si>
    <t>=NL("sum","Production Order","Quantity","Source No.",$D4692,"Equipment Code",$L4692,"due date",G$8)/-12</t>
  </si>
  <si>
    <t>=NL("sum","Production Order","Quantity","Source No.",$D4692,"Equipment Code",$L4692,"due date",H$8)/-12</t>
  </si>
  <si>
    <t>=NL("sum","Production Order","Quantity","Source No.",$D4692,"Equipment Code",$L4692,"due date",I$8)/-12</t>
  </si>
  <si>
    <t>=NL("sum","Production Order","Quantity","Source No.",$D4692,"Equipment Code",$L4692,"due date",J$8)/$J$7</t>
  </si>
  <si>
    <t>=AVERAGE(I4692:J4692)</t>
  </si>
  <si>
    <t>=B4689</t>
  </si>
  <si>
    <t>=B4693</t>
  </si>
  <si>
    <t>=SUM(F4689:F4693)</t>
  </si>
  <si>
    <t>=SUM(G4689:G4693)</t>
  </si>
  <si>
    <t>=SUM(H4689:H4693)</t>
  </si>
  <si>
    <t>=SUM(I4689:I4693)</t>
  </si>
  <si>
    <t>=SUM(J4689:J4693)</t>
  </si>
  <si>
    <t>=IF(K4695=0,"hide","")</t>
  </si>
  <si>
    <t>=NL("rows","Production BOM Version","Version Code","Production BOM No.",D4695,"status","certified")</t>
  </si>
  <si>
    <t>=NL("sum","Item Ledger Entry","Quantity","Item No.",$D4695,"Entry Type","Sale|Consumption","posting date","01/01/19..12/31/19")/-12</t>
  </si>
  <si>
    <t>=NL("sum","Item Ledger Entry","Quantity","Item No.",$D4695,"Entry Type","Sale|Consumption","posting date","01/01/20..12/31/20")/-12</t>
  </si>
  <si>
    <t>=NL("sum","Item Ledger Entry","Quantity","Item No.",$D4695,"Entry Type","Sale|Consumption","posting date","01/01/21..12/31/21")/-12</t>
  </si>
  <si>
    <t>=NL("sum","Item Ledger Entry","Quantity","Item No.",$D4695,"Entry Type","Sale|Consumption","posting date","01/01/22..12/31/22")/-12</t>
  </si>
  <si>
    <t>=NL("sum","Item Ledger Entry","Quantity","Item No.",$D4695,"Entry Type","Sale|Consumption","posting date","01/01/23..12/31/23")/$J$7</t>
  </si>
  <si>
    <t>=AVERAGE(I4695:J4695)</t>
  </si>
  <si>
    <t>=NL(1,"item",L$9,"no.",D4695)</t>
  </si>
  <si>
    <t>=NL(1,"item",M$9,"no.",$D4695)</t>
  </si>
  <si>
    <t>=NL(1,"item","Units Per Parcel","no.",$D4695)</t>
  </si>
  <si>
    <t>=NL(1,"Prod. BOM Equipment","Fixed Prod. Time (Hours)","Production BOM No.",$D4695,"version code",$E4695,"Resource No.",O$9)</t>
  </si>
  <si>
    <t>=1/O4695</t>
  </si>
  <si>
    <t>=IF(NL(1,"Prod. BOM Equipment","Variable Prod. Time (Hours)","Production BOM No.",$D4695,"version code",$E4695,"Resource No.",$O$9)="",1,NL(1,"Prod. BOM Equipment","Variable Prod. Time (Hours)","Production BOM No.",$D4695,"version code",$E4695,"Resource No.",$O$9))</t>
  </si>
  <si>
    <t>=1/Q4695</t>
  </si>
  <si>
    <t>=R4695*N4695</t>
  </si>
  <si>
    <t>=IF(K4696=0,"hide","")</t>
  </si>
  <si>
    <t>=D4695</t>
  </si>
  <si>
    <t>=NL("sum","Production Order","Quantity","Source No.",$D4696,"Equipment Code",$L4696,"due date",F$8)/-12</t>
  </si>
  <si>
    <t>=NL("sum","Production Order","Quantity","Source No.",$D4696,"Equipment Code",$L4696,"due date",G$8)/-12</t>
  </si>
  <si>
    <t>=NL("sum","Production Order","Quantity","Source No.",$D4696,"Equipment Code",$L4696,"due date",H$8)/-12</t>
  </si>
  <si>
    <t>=NL("sum","Production Order","Quantity","Source No.",$D4696,"Equipment Code",$L4696,"due date",I$8)/-12</t>
  </si>
  <si>
    <t>=NL("sum","Production Order","Quantity","Source No.",$D4696,"Equipment Code",$L4696,"due date",J$8)/$J$7</t>
  </si>
  <si>
    <t>=AVERAGE(I4696:J4696)</t>
  </si>
  <si>
    <t>=IF(K4697=0,"hide","")</t>
  </si>
  <si>
    <t>=D4696</t>
  </si>
  <si>
    <t>=NL("sum","Production Order","Quantity","Source No.",$D4697,"Equipment Code",$L4697,"due date",F$8)/-12</t>
  </si>
  <si>
    <t>=NL("sum","Production Order","Quantity","Source No.",$D4697,"Equipment Code",$L4697,"due date",G$8)/-12</t>
  </si>
  <si>
    <t>=NL("sum","Production Order","Quantity","Source No.",$D4697,"Equipment Code",$L4697,"due date",H$8)/-12</t>
  </si>
  <si>
    <t>=NL("sum","Production Order","Quantity","Source No.",$D4697,"Equipment Code",$L4697,"due date",I$8)/-12</t>
  </si>
  <si>
    <t>=NL("sum","Production Order","Quantity","Source No.",$D4697,"Equipment Code",$L4697,"due date",J$8)/$J$7</t>
  </si>
  <si>
    <t>=AVERAGE(I4697:J4697)</t>
  </si>
  <si>
    <t>=IF(K4698=0,"hide","")</t>
  </si>
  <si>
    <t>=D4697</t>
  </si>
  <si>
    <t>=NL("sum","Production Order","Quantity","Source No.",$D4698,"Equipment Code",$L4698,"due date",F$8)/-12</t>
  </si>
  <si>
    <t>=NL("sum","Production Order","Quantity","Source No.",$D4698,"Equipment Code",$L4698,"due date",G$8)/-12</t>
  </si>
  <si>
    <t>=NL("sum","Production Order","Quantity","Source No.",$D4698,"Equipment Code",$L4698,"due date",H$8)/-12</t>
  </si>
  <si>
    <t>=NL("sum","Production Order","Quantity","Source No.",$D4698,"Equipment Code",$L4698,"due date",I$8)/-12</t>
  </si>
  <si>
    <t>=NL("sum","Production Order","Quantity","Source No.",$D4698,"Equipment Code",$L4698,"due date",J$8)/$J$7</t>
  </si>
  <si>
    <t>=AVERAGE(I4698:J4698)</t>
  </si>
  <si>
    <t>=IF(K4699=0,"hide","")</t>
  </si>
  <si>
    <t>=D4698</t>
  </si>
  <si>
    <t>=NL("sum","Production Order","Quantity","Source No.",$D4699,"Equipment Code",$L4699,"due date",F$8)/-12</t>
  </si>
  <si>
    <t>=NL("sum","Production Order","Quantity","Source No.",$D4699,"Equipment Code",$L4699,"due date",G$8)/-12</t>
  </si>
  <si>
    <t>=NL("sum","Production Order","Quantity","Source No.",$D4699,"Equipment Code",$L4699,"due date",H$8)/-12</t>
  </si>
  <si>
    <t>=NL("sum","Production Order","Quantity","Source No.",$D4699,"Equipment Code",$L4699,"due date",I$8)/-12</t>
  </si>
  <si>
    <t>=NL("sum","Production Order","Quantity","Source No.",$D4699,"Equipment Code",$L4699,"due date",J$8)/$J$7</t>
  </si>
  <si>
    <t>=AVERAGE(I4699:J4699)</t>
  </si>
  <si>
    <t>=B4696</t>
  </si>
  <si>
    <t>=B4700</t>
  </si>
  <si>
    <t>=SUM(F4696:F4700)</t>
  </si>
  <si>
    <t>=SUM(G4696:G4700)</t>
  </si>
  <si>
    <t>=SUM(H4696:H4700)</t>
  </si>
  <si>
    <t>=SUM(I4696:I4700)</t>
  </si>
  <si>
    <t>=SUM(J4696:J4700)</t>
  </si>
  <si>
    <t>=IF(K4702=0,"hide","")</t>
  </si>
  <si>
    <t>=NL("rows","Production BOM Version","Version Code","Production BOM No.",D4702,"status","certified")</t>
  </si>
  <si>
    <t>=NL("sum","Item Ledger Entry","Quantity","Item No.",$D4702,"Entry Type","Sale|Consumption","posting date","01/01/19..12/31/19")/-12</t>
  </si>
  <si>
    <t>=NL("sum","Item Ledger Entry","Quantity","Item No.",$D4702,"Entry Type","Sale|Consumption","posting date","01/01/20..12/31/20")/-12</t>
  </si>
  <si>
    <t>=NL("sum","Item Ledger Entry","Quantity","Item No.",$D4702,"Entry Type","Sale|Consumption","posting date","01/01/21..12/31/21")/-12</t>
  </si>
  <si>
    <t>=NL("sum","Item Ledger Entry","Quantity","Item No.",$D4702,"Entry Type","Sale|Consumption","posting date","01/01/22..12/31/22")/-12</t>
  </si>
  <si>
    <t>=NL("sum","Item Ledger Entry","Quantity","Item No.",$D4702,"Entry Type","Sale|Consumption","posting date","01/01/23..12/31/23")/$J$7</t>
  </si>
  <si>
    <t>=AVERAGE(I4702:J4702)</t>
  </si>
  <si>
    <t>=NL(1,"item",L$9,"no.",D4702)</t>
  </si>
  <si>
    <t>=NL(1,"item",M$9,"no.",$D4702)</t>
  </si>
  <si>
    <t>=NL(1,"item","Units Per Parcel","no.",$D4702)</t>
  </si>
  <si>
    <t>=NL(1,"Prod. BOM Equipment","Fixed Prod. Time (Hours)","Production BOM No.",$D4702,"version code",$E4702,"Resource No.",O$9)</t>
  </si>
  <si>
    <t>=1/O4702</t>
  </si>
  <si>
    <t>=IF(NL(1,"Prod. BOM Equipment","Variable Prod. Time (Hours)","Production BOM No.",$D4702,"version code",$E4702,"Resource No.",$O$9)="",1,NL(1,"Prod. BOM Equipment","Variable Prod. Time (Hours)","Production BOM No.",$D4702,"version code",$E4702,"Resource No.",$O$9))</t>
  </si>
  <si>
    <t>=1/Q4702</t>
  </si>
  <si>
    <t>=R4702*N4702</t>
  </si>
  <si>
    <t>=IF(K4703=0,"hide","")</t>
  </si>
  <si>
    <t>=D4702</t>
  </si>
  <si>
    <t>=NL("sum","Production Order","Quantity","Source No.",$D4703,"Equipment Code",$L4703,"due date",F$8)/-12</t>
  </si>
  <si>
    <t>=NL("sum","Production Order","Quantity","Source No.",$D4703,"Equipment Code",$L4703,"due date",G$8)/-12</t>
  </si>
  <si>
    <t>=NL("sum","Production Order","Quantity","Source No.",$D4703,"Equipment Code",$L4703,"due date",H$8)/-12</t>
  </si>
  <si>
    <t>=NL("sum","Production Order","Quantity","Source No.",$D4703,"Equipment Code",$L4703,"due date",I$8)/-12</t>
  </si>
  <si>
    <t>=NL("sum","Production Order","Quantity","Source No.",$D4703,"Equipment Code",$L4703,"due date",J$8)/$J$7</t>
  </si>
  <si>
    <t>=AVERAGE(I4703:J4703)</t>
  </si>
  <si>
    <t>=IF(K4704=0,"hide","")</t>
  </si>
  <si>
    <t>=D4703</t>
  </si>
  <si>
    <t>=NL("sum","Production Order","Quantity","Source No.",$D4704,"Equipment Code",$L4704,"due date",F$8)/-12</t>
  </si>
  <si>
    <t>=NL("sum","Production Order","Quantity","Source No.",$D4704,"Equipment Code",$L4704,"due date",G$8)/-12</t>
  </si>
  <si>
    <t>=NL("sum","Production Order","Quantity","Source No.",$D4704,"Equipment Code",$L4704,"due date",H$8)/-12</t>
  </si>
  <si>
    <t>=NL("sum","Production Order","Quantity","Source No.",$D4704,"Equipment Code",$L4704,"due date",I$8)/-12</t>
  </si>
  <si>
    <t>=NL("sum","Production Order","Quantity","Source No.",$D4704,"Equipment Code",$L4704,"due date",J$8)/$J$7</t>
  </si>
  <si>
    <t>=AVERAGE(I4704:J4704)</t>
  </si>
  <si>
    <t>=IF(K4705=0,"hide","")</t>
  </si>
  <si>
    <t>=D4704</t>
  </si>
  <si>
    <t>=NL("sum","Production Order","Quantity","Source No.",$D4705,"Equipment Code",$L4705,"due date",F$8)/-12</t>
  </si>
  <si>
    <t>=NL("sum","Production Order","Quantity","Source No.",$D4705,"Equipment Code",$L4705,"due date",G$8)/-12</t>
  </si>
  <si>
    <t>=NL("sum","Production Order","Quantity","Source No.",$D4705,"Equipment Code",$L4705,"due date",H$8)/-12</t>
  </si>
  <si>
    <t>=NL("sum","Production Order","Quantity","Source No.",$D4705,"Equipment Code",$L4705,"due date",I$8)/-12</t>
  </si>
  <si>
    <t>=NL("sum","Production Order","Quantity","Source No.",$D4705,"Equipment Code",$L4705,"due date",J$8)/$J$7</t>
  </si>
  <si>
    <t>=AVERAGE(I4705:J4705)</t>
  </si>
  <si>
    <t>=IF(K4706=0,"hide","")</t>
  </si>
  <si>
    <t>=D4705</t>
  </si>
  <si>
    <t>=NL("sum","Production Order","Quantity","Source No.",$D4706,"Equipment Code",$L4706,"due date",F$8)/-12</t>
  </si>
  <si>
    <t>=NL("sum","Production Order","Quantity","Source No.",$D4706,"Equipment Code",$L4706,"due date",G$8)/-12</t>
  </si>
  <si>
    <t>=NL("sum","Production Order","Quantity","Source No.",$D4706,"Equipment Code",$L4706,"due date",H$8)/-12</t>
  </si>
  <si>
    <t>=NL("sum","Production Order","Quantity","Source No.",$D4706,"Equipment Code",$L4706,"due date",I$8)/-12</t>
  </si>
  <si>
    <t>=NL("sum","Production Order","Quantity","Source No.",$D4706,"Equipment Code",$L4706,"due date",J$8)/$J$7</t>
  </si>
  <si>
    <t>=AVERAGE(I4706:J4706)</t>
  </si>
  <si>
    <t>=B4703</t>
  </si>
  <si>
    <t>=B4707</t>
  </si>
  <si>
    <t>=SUM(F4703:F4707)</t>
  </si>
  <si>
    <t>=SUM(G4703:G4707)</t>
  </si>
  <si>
    <t>=SUM(H4703:H4707)</t>
  </si>
  <si>
    <t>=SUM(I4703:I4707)</t>
  </si>
  <si>
    <t>=SUM(J4703:J4707)</t>
  </si>
  <si>
    <t>=IF(K4709=0,"hide","")</t>
  </si>
  <si>
    <t>=NL("rows","Production BOM Version","Version Code","Production BOM No.",D4709,"status","certified")</t>
  </si>
  <si>
    <t>=NL("sum","Item Ledger Entry","Quantity","Item No.",$D4709,"Entry Type","Sale|Consumption","posting date","01/01/19..12/31/19")/-12</t>
  </si>
  <si>
    <t>=NL("sum","Item Ledger Entry","Quantity","Item No.",$D4709,"Entry Type","Sale|Consumption","posting date","01/01/20..12/31/20")/-12</t>
  </si>
  <si>
    <t>=NL("sum","Item Ledger Entry","Quantity","Item No.",$D4709,"Entry Type","Sale|Consumption","posting date","01/01/21..12/31/21")/-12</t>
  </si>
  <si>
    <t>=NL("sum","Item Ledger Entry","Quantity","Item No.",$D4709,"Entry Type","Sale|Consumption","posting date","01/01/22..12/31/22")/-12</t>
  </si>
  <si>
    <t>=NL("sum","Item Ledger Entry","Quantity","Item No.",$D4709,"Entry Type","Sale|Consumption","posting date","01/01/23..12/31/23")/$J$7</t>
  </si>
  <si>
    <t>=AVERAGE(I4709:J4709)</t>
  </si>
  <si>
    <t>=NL(1,"item",L$9,"no.",D4709)</t>
  </si>
  <si>
    <t>=NL(1,"item",M$9,"no.",$D4709)</t>
  </si>
  <si>
    <t>=NL(1,"item","Units Per Parcel","no.",$D4709)</t>
  </si>
  <si>
    <t>=NL(1,"Prod. BOM Equipment","Fixed Prod. Time (Hours)","Production BOM No.",$D4709,"version code",$E4709,"Resource No.",O$9)</t>
  </si>
  <si>
    <t>=1/O4709</t>
  </si>
  <si>
    <t>=IF(NL(1,"Prod. BOM Equipment","Variable Prod. Time (Hours)","Production BOM No.",$D4709,"version code",$E4709,"Resource No.",$O$9)="",1,NL(1,"Prod. BOM Equipment","Variable Prod. Time (Hours)","Production BOM No.",$D4709,"version code",$E4709,"Resource No.",$O$9))</t>
  </si>
  <si>
    <t>=1/Q4709</t>
  </si>
  <si>
    <t>=R4709*N4709</t>
  </si>
  <si>
    <t>=IF(K4710=0,"hide","")</t>
  </si>
  <si>
    <t>=D4709</t>
  </si>
  <si>
    <t>=NL("sum","Production Order","Quantity","Source No.",$D4710,"Equipment Code",$L4710,"due date",F$8)/-12</t>
  </si>
  <si>
    <t>=NL("sum","Production Order","Quantity","Source No.",$D4710,"Equipment Code",$L4710,"due date",G$8)/-12</t>
  </si>
  <si>
    <t>=NL("sum","Production Order","Quantity","Source No.",$D4710,"Equipment Code",$L4710,"due date",H$8)/-12</t>
  </si>
  <si>
    <t>=NL("sum","Production Order","Quantity","Source No.",$D4710,"Equipment Code",$L4710,"due date",I$8)/-12</t>
  </si>
  <si>
    <t>=NL("sum","Production Order","Quantity","Source No.",$D4710,"Equipment Code",$L4710,"due date",J$8)/$J$7</t>
  </si>
  <si>
    <t>=AVERAGE(I4710:J4710)</t>
  </si>
  <si>
    <t>=IF(K4711=0,"hide","")</t>
  </si>
  <si>
    <t>=D4710</t>
  </si>
  <si>
    <t>=NL("sum","Production Order","Quantity","Source No.",$D4711,"Equipment Code",$L4711,"due date",F$8)/-12</t>
  </si>
  <si>
    <t>=NL("sum","Production Order","Quantity","Source No.",$D4711,"Equipment Code",$L4711,"due date",G$8)/-12</t>
  </si>
  <si>
    <t>=NL("sum","Production Order","Quantity","Source No.",$D4711,"Equipment Code",$L4711,"due date",H$8)/-12</t>
  </si>
  <si>
    <t>=NL("sum","Production Order","Quantity","Source No.",$D4711,"Equipment Code",$L4711,"due date",I$8)/-12</t>
  </si>
  <si>
    <t>=NL("sum","Production Order","Quantity","Source No.",$D4711,"Equipment Code",$L4711,"due date",J$8)/$J$7</t>
  </si>
  <si>
    <t>=AVERAGE(I4711:J4711)</t>
  </si>
  <si>
    <t>=IF(K4712=0,"hide","")</t>
  </si>
  <si>
    <t>=D4711</t>
  </si>
  <si>
    <t>=NL("sum","Production Order","Quantity","Source No.",$D4712,"Equipment Code",$L4712,"due date",F$8)/-12</t>
  </si>
  <si>
    <t>=NL("sum","Production Order","Quantity","Source No.",$D4712,"Equipment Code",$L4712,"due date",G$8)/-12</t>
  </si>
  <si>
    <t>=NL("sum","Production Order","Quantity","Source No.",$D4712,"Equipment Code",$L4712,"due date",H$8)/-12</t>
  </si>
  <si>
    <t>=NL("sum","Production Order","Quantity","Source No.",$D4712,"Equipment Code",$L4712,"due date",I$8)/-12</t>
  </si>
  <si>
    <t>=NL("sum","Production Order","Quantity","Source No.",$D4712,"Equipment Code",$L4712,"due date",J$8)/$J$7</t>
  </si>
  <si>
    <t>=AVERAGE(I4712:J4712)</t>
  </si>
  <si>
    <t>=IF(K4713=0,"hide","")</t>
  </si>
  <si>
    <t>=D4712</t>
  </si>
  <si>
    <t>=NL("sum","Production Order","Quantity","Source No.",$D4713,"Equipment Code",$L4713,"due date",F$8)/-12</t>
  </si>
  <si>
    <t>=NL("sum","Production Order","Quantity","Source No.",$D4713,"Equipment Code",$L4713,"due date",G$8)/-12</t>
  </si>
  <si>
    <t>=NL("sum","Production Order","Quantity","Source No.",$D4713,"Equipment Code",$L4713,"due date",H$8)/-12</t>
  </si>
  <si>
    <t>=NL("sum","Production Order","Quantity","Source No.",$D4713,"Equipment Code",$L4713,"due date",I$8)/-12</t>
  </si>
  <si>
    <t>=NL("sum","Production Order","Quantity","Source No.",$D4713,"Equipment Code",$L4713,"due date",J$8)/$J$7</t>
  </si>
  <si>
    <t>=AVERAGE(I4713:J4713)</t>
  </si>
  <si>
    <t>=B4710</t>
  </si>
  <si>
    <t>=B4714</t>
  </si>
  <si>
    <t>=SUM(F4710:F4714)</t>
  </si>
  <si>
    <t>=SUM(G4710:G4714)</t>
  </si>
  <si>
    <t>=SUM(H4710:H4714)</t>
  </si>
  <si>
    <t>=SUM(I4710:I4714)</t>
  </si>
  <si>
    <t>=SUM(J4710:J4714)</t>
  </si>
  <si>
    <t>=IF(K4716=0,"hide","")</t>
  </si>
  <si>
    <t>=NL("rows","Production BOM Version","Version Code","Production BOM No.",D4716,"status","certified")</t>
  </si>
  <si>
    <t>=NL("sum","Item Ledger Entry","Quantity","Item No.",$D4716,"Entry Type","Sale|Consumption","posting date","01/01/19..12/31/19")/-12</t>
  </si>
  <si>
    <t>=NL("sum","Item Ledger Entry","Quantity","Item No.",$D4716,"Entry Type","Sale|Consumption","posting date","01/01/20..12/31/20")/-12</t>
  </si>
  <si>
    <t>=NL("sum","Item Ledger Entry","Quantity","Item No.",$D4716,"Entry Type","Sale|Consumption","posting date","01/01/21..12/31/21")/-12</t>
  </si>
  <si>
    <t>=NL("sum","Item Ledger Entry","Quantity","Item No.",$D4716,"Entry Type","Sale|Consumption","posting date","01/01/22..12/31/22")/-12</t>
  </si>
  <si>
    <t>=NL("sum","Item Ledger Entry","Quantity","Item No.",$D4716,"Entry Type","Sale|Consumption","posting date","01/01/23..12/31/23")/$J$7</t>
  </si>
  <si>
    <t>=AVERAGE(I4716:J4716)</t>
  </si>
  <si>
    <t>=NL(1,"item",L$9,"no.",D4716)</t>
  </si>
  <si>
    <t>=NL(1,"item",M$9,"no.",$D4716)</t>
  </si>
  <si>
    <t>=NL(1,"item","Units Per Parcel","no.",$D4716)</t>
  </si>
  <si>
    <t>=NL(1,"Prod. BOM Equipment","Fixed Prod. Time (Hours)","Production BOM No.",$D4716,"version code",$E4716,"Resource No.",O$9)</t>
  </si>
  <si>
    <t>=1/O4716</t>
  </si>
  <si>
    <t>=IF(NL(1,"Prod. BOM Equipment","Variable Prod. Time (Hours)","Production BOM No.",$D4716,"version code",$E4716,"Resource No.",$O$9)="",1,NL(1,"Prod. BOM Equipment","Variable Prod. Time (Hours)","Production BOM No.",$D4716,"version code",$E4716,"Resource No.",$O$9))</t>
  </si>
  <si>
    <t>=1/Q4716</t>
  </si>
  <si>
    <t>=R4716*N4716</t>
  </si>
  <si>
    <t>=IF(K4717=0,"hide","")</t>
  </si>
  <si>
    <t>=D4716</t>
  </si>
  <si>
    <t>=NL("sum","Production Order","Quantity","Source No.",$D4717,"Equipment Code",$L4717,"due date",F$8)/-12</t>
  </si>
  <si>
    <t>=NL("sum","Production Order","Quantity","Source No.",$D4717,"Equipment Code",$L4717,"due date",G$8)/-12</t>
  </si>
  <si>
    <t>=NL("sum","Production Order","Quantity","Source No.",$D4717,"Equipment Code",$L4717,"due date",H$8)/-12</t>
  </si>
  <si>
    <t>=NL("sum","Production Order","Quantity","Source No.",$D4717,"Equipment Code",$L4717,"due date",I$8)/-12</t>
  </si>
  <si>
    <t>=NL("sum","Production Order","Quantity","Source No.",$D4717,"Equipment Code",$L4717,"due date",J$8)/$J$7</t>
  </si>
  <si>
    <t>=AVERAGE(I4717:J4717)</t>
  </si>
  <si>
    <t>=IF(K4718=0,"hide","")</t>
  </si>
  <si>
    <t>=D4717</t>
  </si>
  <si>
    <t>=NL("sum","Production Order","Quantity","Source No.",$D4718,"Equipment Code",$L4718,"due date",F$8)/-12</t>
  </si>
  <si>
    <t>=NL("sum","Production Order","Quantity","Source No.",$D4718,"Equipment Code",$L4718,"due date",G$8)/-12</t>
  </si>
  <si>
    <t>=NL("sum","Production Order","Quantity","Source No.",$D4718,"Equipment Code",$L4718,"due date",H$8)/-12</t>
  </si>
  <si>
    <t>=NL("sum","Production Order","Quantity","Source No.",$D4718,"Equipment Code",$L4718,"due date",I$8)/-12</t>
  </si>
  <si>
    <t>=NL("sum","Production Order","Quantity","Source No.",$D4718,"Equipment Code",$L4718,"due date",J$8)/$J$7</t>
  </si>
  <si>
    <t>=AVERAGE(I4718:J4718)</t>
  </si>
  <si>
    <t>=IF(K4719=0,"hide","")</t>
  </si>
  <si>
    <t>=D4718</t>
  </si>
  <si>
    <t>=NL("sum","Production Order","Quantity","Source No.",$D4719,"Equipment Code",$L4719,"due date",F$8)/-12</t>
  </si>
  <si>
    <t>=NL("sum","Production Order","Quantity","Source No.",$D4719,"Equipment Code",$L4719,"due date",G$8)/-12</t>
  </si>
  <si>
    <t>=NL("sum","Production Order","Quantity","Source No.",$D4719,"Equipment Code",$L4719,"due date",H$8)/-12</t>
  </si>
  <si>
    <t>=NL("sum","Production Order","Quantity","Source No.",$D4719,"Equipment Code",$L4719,"due date",I$8)/-12</t>
  </si>
  <si>
    <t>=NL("sum","Production Order","Quantity","Source No.",$D4719,"Equipment Code",$L4719,"due date",J$8)/$J$7</t>
  </si>
  <si>
    <t>=AVERAGE(I4719:J4719)</t>
  </si>
  <si>
    <t>=IF(K4720=0,"hide","")</t>
  </si>
  <si>
    <t>=D4719</t>
  </si>
  <si>
    <t>=NL("sum","Production Order","Quantity","Source No.",$D4720,"Equipment Code",$L4720,"due date",F$8)/-12</t>
  </si>
  <si>
    <t>=NL("sum","Production Order","Quantity","Source No.",$D4720,"Equipment Code",$L4720,"due date",G$8)/-12</t>
  </si>
  <si>
    <t>=NL("sum","Production Order","Quantity","Source No.",$D4720,"Equipment Code",$L4720,"due date",H$8)/-12</t>
  </si>
  <si>
    <t>=NL("sum","Production Order","Quantity","Source No.",$D4720,"Equipment Code",$L4720,"due date",I$8)/-12</t>
  </si>
  <si>
    <t>=NL("sum","Production Order","Quantity","Source No.",$D4720,"Equipment Code",$L4720,"due date",J$8)/$J$7</t>
  </si>
  <si>
    <t>=AVERAGE(I4720:J4720)</t>
  </si>
  <si>
    <t>=B4717</t>
  </si>
  <si>
    <t>=B4721</t>
  </si>
  <si>
    <t>=SUM(F4717:F4721)</t>
  </si>
  <si>
    <t>=SUM(G4717:G4721)</t>
  </si>
  <si>
    <t>=SUM(H4717:H4721)</t>
  </si>
  <si>
    <t>=SUM(I4717:I4721)</t>
  </si>
  <si>
    <t>=SUM(J4717:J4721)</t>
  </si>
  <si>
    <t>=IF(K4723=0,"hide","")</t>
  </si>
  <si>
    <t>="82100"</t>
  </si>
  <si>
    <t>=NL("rows","Production BOM Version","Version Code","Production BOM No.",D4723,"status","certified")</t>
  </si>
  <si>
    <t>=NL("sum","Item Ledger Entry","Quantity","Item No.",$D4723,"Entry Type","Sale|Consumption","posting date","01/01/19..12/31/19")/-12</t>
  </si>
  <si>
    <t>=NL("sum","Item Ledger Entry","Quantity","Item No.",$D4723,"Entry Type","Sale|Consumption","posting date","01/01/20..12/31/20")/-12</t>
  </si>
  <si>
    <t>=NL("sum","Item Ledger Entry","Quantity","Item No.",$D4723,"Entry Type","Sale|Consumption","posting date","01/01/21..12/31/21")/-12</t>
  </si>
  <si>
    <t>=NL("sum","Item Ledger Entry","Quantity","Item No.",$D4723,"Entry Type","Sale|Consumption","posting date","01/01/22..12/31/22")/-12</t>
  </si>
  <si>
    <t>=NL("sum","Item Ledger Entry","Quantity","Item No.",$D4723,"Entry Type","Sale|Consumption","posting date","01/01/23..12/31/23")/$J$7</t>
  </si>
  <si>
    <t>=AVERAGE(I4723:J4723)</t>
  </si>
  <si>
    <t>=NL(1,"item",L$9,"no.",D4723)</t>
  </si>
  <si>
    <t>=NL(1,"item",M$9,"no.",$D4723)</t>
  </si>
  <si>
    <t>=NL(1,"item","Units Per Parcel","no.",$D4723)</t>
  </si>
  <si>
    <t>=NL(1,"Prod. BOM Equipment","Fixed Prod. Time (Hours)","Production BOM No.",$D4723,"version code",$E4723,"Resource No.",O$9)</t>
  </si>
  <si>
    <t>=1/O4723</t>
  </si>
  <si>
    <t>=IF(NL(1,"Prod. BOM Equipment","Variable Prod. Time (Hours)","Production BOM No.",$D4723,"version code",$E4723,"Resource No.",$O$9)="",1,NL(1,"Prod. BOM Equipment","Variable Prod. Time (Hours)","Production BOM No.",$D4723,"version code",$E4723,"Resource No.",$O$9))</t>
  </si>
  <si>
    <t>=1/Q4723</t>
  </si>
  <si>
    <t>=R4723*N4723</t>
  </si>
  <si>
    <t>=IF(K4724=0,"hide","")</t>
  </si>
  <si>
    <t>=D4723</t>
  </si>
  <si>
    <t>=NL("sum","Production Order","Quantity","Source No.",$D4724,"Equipment Code",$L4724,"due date",F$8)/-12</t>
  </si>
  <si>
    <t>=NL("sum","Production Order","Quantity","Source No.",$D4724,"Equipment Code",$L4724,"due date",G$8)/-12</t>
  </si>
  <si>
    <t>=NL("sum","Production Order","Quantity","Source No.",$D4724,"Equipment Code",$L4724,"due date",H$8)/-12</t>
  </si>
  <si>
    <t>=NL("sum","Production Order","Quantity","Source No.",$D4724,"Equipment Code",$L4724,"due date",I$8)/-12</t>
  </si>
  <si>
    <t>=NL("sum","Production Order","Quantity","Source No.",$D4724,"Equipment Code",$L4724,"due date",J$8)/$J$7</t>
  </si>
  <si>
    <t>=AVERAGE(I4724:J4724)</t>
  </si>
  <si>
    <t>=IF(K4725=0,"hide","")</t>
  </si>
  <si>
    <t>=D4724</t>
  </si>
  <si>
    <t>=NL("sum","Production Order","Quantity","Source No.",$D4725,"Equipment Code",$L4725,"due date",F$8)/-12</t>
  </si>
  <si>
    <t>=NL("sum","Production Order","Quantity","Source No.",$D4725,"Equipment Code",$L4725,"due date",G$8)/-12</t>
  </si>
  <si>
    <t>=NL("sum","Production Order","Quantity","Source No.",$D4725,"Equipment Code",$L4725,"due date",H$8)/-12</t>
  </si>
  <si>
    <t>=NL("sum","Production Order","Quantity","Source No.",$D4725,"Equipment Code",$L4725,"due date",I$8)/-12</t>
  </si>
  <si>
    <t>=NL("sum","Production Order","Quantity","Source No.",$D4725,"Equipment Code",$L4725,"due date",J$8)/$J$7</t>
  </si>
  <si>
    <t>=AVERAGE(I4725:J4725)</t>
  </si>
  <si>
    <t>=IF(K4726=0,"hide","")</t>
  </si>
  <si>
    <t>=D4725</t>
  </si>
  <si>
    <t>=NL("sum","Production Order","Quantity","Source No.",$D4726,"Equipment Code",$L4726,"due date",F$8)/-12</t>
  </si>
  <si>
    <t>=NL("sum","Production Order","Quantity","Source No.",$D4726,"Equipment Code",$L4726,"due date",G$8)/-12</t>
  </si>
  <si>
    <t>=NL("sum","Production Order","Quantity","Source No.",$D4726,"Equipment Code",$L4726,"due date",H$8)/-12</t>
  </si>
  <si>
    <t>=NL("sum","Production Order","Quantity","Source No.",$D4726,"Equipment Code",$L4726,"due date",I$8)/-12</t>
  </si>
  <si>
    <t>=NL("sum","Production Order","Quantity","Source No.",$D4726,"Equipment Code",$L4726,"due date",J$8)/$J$7</t>
  </si>
  <si>
    <t>=AVERAGE(I4726:J4726)</t>
  </si>
  <si>
    <t>=IF(K4727=0,"hide","")</t>
  </si>
  <si>
    <t>=D4726</t>
  </si>
  <si>
    <t>=NL("sum","Production Order","Quantity","Source No.",$D4727,"Equipment Code",$L4727,"due date",F$8)/-12</t>
  </si>
  <si>
    <t>=NL("sum","Production Order","Quantity","Source No.",$D4727,"Equipment Code",$L4727,"due date",G$8)/-12</t>
  </si>
  <si>
    <t>=NL("sum","Production Order","Quantity","Source No.",$D4727,"Equipment Code",$L4727,"due date",H$8)/-12</t>
  </si>
  <si>
    <t>=NL("sum","Production Order","Quantity","Source No.",$D4727,"Equipment Code",$L4727,"due date",I$8)/-12</t>
  </si>
  <si>
    <t>=NL("sum","Production Order","Quantity","Source No.",$D4727,"Equipment Code",$L4727,"due date",J$8)/$J$7</t>
  </si>
  <si>
    <t>=AVERAGE(I4727:J4727)</t>
  </si>
  <si>
    <t>=B4724</t>
  </si>
  <si>
    <t>=B4728</t>
  </si>
  <si>
    <t>=SUM(F4724:F4728)</t>
  </si>
  <si>
    <t>=SUM(G4724:G4728)</t>
  </si>
  <si>
    <t>=SUM(H4724:H4728)</t>
  </si>
  <si>
    <t>=SUM(I4724:I4728)</t>
  </si>
  <si>
    <t>=SUM(J4724:J4728)</t>
  </si>
  <si>
    <t>=IF(K4730=0,"hide","")</t>
  </si>
  <si>
    <t>="82136"</t>
  </si>
  <si>
    <t>=NL("rows","Production BOM Version","Version Code","Production BOM No.",D4730,"status","certified")</t>
  </si>
  <si>
    <t>=NL("sum","Item Ledger Entry","Quantity","Item No.",$D4730,"Entry Type","Sale|Consumption","posting date","01/01/19..12/31/19")/-12</t>
  </si>
  <si>
    <t>=NL("sum","Item Ledger Entry","Quantity","Item No.",$D4730,"Entry Type","Sale|Consumption","posting date","01/01/20..12/31/20")/-12</t>
  </si>
  <si>
    <t>=NL("sum","Item Ledger Entry","Quantity","Item No.",$D4730,"Entry Type","Sale|Consumption","posting date","01/01/21..12/31/21")/-12</t>
  </si>
  <si>
    <t>=NL("sum","Item Ledger Entry","Quantity","Item No.",$D4730,"Entry Type","Sale|Consumption","posting date","01/01/22..12/31/22")/-12</t>
  </si>
  <si>
    <t>=NL("sum","Item Ledger Entry","Quantity","Item No.",$D4730,"Entry Type","Sale|Consumption","posting date","01/01/23..12/31/23")/$J$7</t>
  </si>
  <si>
    <t>=AVERAGE(I4730:J4730)</t>
  </si>
  <si>
    <t>=NL(1,"item",L$9,"no.",D4730)</t>
  </si>
  <si>
    <t>=NL(1,"item",M$9,"no.",$D4730)</t>
  </si>
  <si>
    <t>=NL(1,"item","Units Per Parcel","no.",$D4730)</t>
  </si>
  <si>
    <t>=NL(1,"Prod. BOM Equipment","Fixed Prod. Time (Hours)","Production BOM No.",$D4730,"version code",$E4730,"Resource No.",O$9)</t>
  </si>
  <si>
    <t>=1/O4730</t>
  </si>
  <si>
    <t>=IF(NL(1,"Prod. BOM Equipment","Variable Prod. Time (Hours)","Production BOM No.",$D4730,"version code",$E4730,"Resource No.",$O$9)="",1,NL(1,"Prod. BOM Equipment","Variable Prod. Time (Hours)","Production BOM No.",$D4730,"version code",$E4730,"Resource No.",$O$9))</t>
  </si>
  <si>
    <t>=1/Q4730</t>
  </si>
  <si>
    <t>=R4730*N4730</t>
  </si>
  <si>
    <t>=IF(K4731=0,"hide","")</t>
  </si>
  <si>
    <t>=D4730</t>
  </si>
  <si>
    <t>=NL("sum","Production Order","Quantity","Source No.",$D4731,"Equipment Code",$L4731,"due date",F$8)/-12</t>
  </si>
  <si>
    <t>=NL("sum","Production Order","Quantity","Source No.",$D4731,"Equipment Code",$L4731,"due date",G$8)/-12</t>
  </si>
  <si>
    <t>=NL("sum","Production Order","Quantity","Source No.",$D4731,"Equipment Code",$L4731,"due date",H$8)/-12</t>
  </si>
  <si>
    <t>=NL("sum","Production Order","Quantity","Source No.",$D4731,"Equipment Code",$L4731,"due date",I$8)/-12</t>
  </si>
  <si>
    <t>=NL("sum","Production Order","Quantity","Source No.",$D4731,"Equipment Code",$L4731,"due date",J$8)/$J$7</t>
  </si>
  <si>
    <t>=AVERAGE(I4731:J4731)</t>
  </si>
  <si>
    <t>=IF(K4732=0,"hide","")</t>
  </si>
  <si>
    <t>=D4731</t>
  </si>
  <si>
    <t>=NL("sum","Production Order","Quantity","Source No.",$D4732,"Equipment Code",$L4732,"due date",F$8)/-12</t>
  </si>
  <si>
    <t>=NL("sum","Production Order","Quantity","Source No.",$D4732,"Equipment Code",$L4732,"due date",G$8)/-12</t>
  </si>
  <si>
    <t>=NL("sum","Production Order","Quantity","Source No.",$D4732,"Equipment Code",$L4732,"due date",H$8)/-12</t>
  </si>
  <si>
    <t>=NL("sum","Production Order","Quantity","Source No.",$D4732,"Equipment Code",$L4732,"due date",I$8)/-12</t>
  </si>
  <si>
    <t>=NL("sum","Production Order","Quantity","Source No.",$D4732,"Equipment Code",$L4732,"due date",J$8)/$J$7</t>
  </si>
  <si>
    <t>=AVERAGE(I4732:J4732)</t>
  </si>
  <si>
    <t>=IF(K4733=0,"hide","")</t>
  </si>
  <si>
    <t>=D4732</t>
  </si>
  <si>
    <t>=NL("sum","Production Order","Quantity","Source No.",$D4733,"Equipment Code",$L4733,"due date",F$8)/-12</t>
  </si>
  <si>
    <t>=NL("sum","Production Order","Quantity","Source No.",$D4733,"Equipment Code",$L4733,"due date",G$8)/-12</t>
  </si>
  <si>
    <t>=NL("sum","Production Order","Quantity","Source No.",$D4733,"Equipment Code",$L4733,"due date",H$8)/-12</t>
  </si>
  <si>
    <t>=NL("sum","Production Order","Quantity","Source No.",$D4733,"Equipment Code",$L4733,"due date",I$8)/-12</t>
  </si>
  <si>
    <t>=NL("sum","Production Order","Quantity","Source No.",$D4733,"Equipment Code",$L4733,"due date",J$8)/$J$7</t>
  </si>
  <si>
    <t>=AVERAGE(I4733:J4733)</t>
  </si>
  <si>
    <t>=IF(K4734=0,"hide","")</t>
  </si>
  <si>
    <t>=D4733</t>
  </si>
  <si>
    <t>=NL("sum","Production Order","Quantity","Source No.",$D4734,"Equipment Code",$L4734,"due date",F$8)/-12</t>
  </si>
  <si>
    <t>=NL("sum","Production Order","Quantity","Source No.",$D4734,"Equipment Code",$L4734,"due date",G$8)/-12</t>
  </si>
  <si>
    <t>=NL("sum","Production Order","Quantity","Source No.",$D4734,"Equipment Code",$L4734,"due date",H$8)/-12</t>
  </si>
  <si>
    <t>=NL("sum","Production Order","Quantity","Source No.",$D4734,"Equipment Code",$L4734,"due date",I$8)/-12</t>
  </si>
  <si>
    <t>=NL("sum","Production Order","Quantity","Source No.",$D4734,"Equipment Code",$L4734,"due date",J$8)/$J$7</t>
  </si>
  <si>
    <t>=AVERAGE(I4734:J4734)</t>
  </si>
  <si>
    <t>=B4731</t>
  </si>
  <si>
    <t>=B4735</t>
  </si>
  <si>
    <t>=SUM(F4731:F4735)</t>
  </si>
  <si>
    <t>=SUM(G4731:G4735)</t>
  </si>
  <si>
    <t>=SUM(H4731:H4735)</t>
  </si>
  <si>
    <t>=SUM(I4731:I4735)</t>
  </si>
  <si>
    <t>=SUM(J4731:J4735)</t>
  </si>
  <si>
    <t>=IF(K4737=0,"hide","")</t>
  </si>
  <si>
    <t>="82666"</t>
  </si>
  <si>
    <t>=NL("rows","Production BOM Version","Version Code","Production BOM No.",D4737,"status","certified")</t>
  </si>
  <si>
    <t>=NL("sum","Item Ledger Entry","Quantity","Item No.",$D4737,"Entry Type","Sale|Consumption","posting date","01/01/19..12/31/19")/-12</t>
  </si>
  <si>
    <t>=NL("sum","Item Ledger Entry","Quantity","Item No.",$D4737,"Entry Type","Sale|Consumption","posting date","01/01/20..12/31/20")/-12</t>
  </si>
  <si>
    <t>=NL("sum","Item Ledger Entry","Quantity","Item No.",$D4737,"Entry Type","Sale|Consumption","posting date","01/01/21..12/31/21")/-12</t>
  </si>
  <si>
    <t>=NL("sum","Item Ledger Entry","Quantity","Item No.",$D4737,"Entry Type","Sale|Consumption","posting date","01/01/22..12/31/22")/-12</t>
  </si>
  <si>
    <t>=NL("sum","Item Ledger Entry","Quantity","Item No.",$D4737,"Entry Type","Sale|Consumption","posting date","01/01/23..12/31/23")/$J$7</t>
  </si>
  <si>
    <t>=AVERAGE(I4737:J4737)</t>
  </si>
  <si>
    <t>=NL(1,"item",L$9,"no.",D4737)</t>
  </si>
  <si>
    <t>=NL(1,"item",M$9,"no.",$D4737)</t>
  </si>
  <si>
    <t>=NL(1,"item","Units Per Parcel","no.",$D4737)</t>
  </si>
  <si>
    <t>=NL(1,"Prod. BOM Equipment","Fixed Prod. Time (Hours)","Production BOM No.",$D4737,"version code",$E4737,"Resource No.",O$9)</t>
  </si>
  <si>
    <t>=1/O4737</t>
  </si>
  <si>
    <t>=IF(NL(1,"Prod. BOM Equipment","Variable Prod. Time (Hours)","Production BOM No.",$D4737,"version code",$E4737,"Resource No.",$O$9)="",1,NL(1,"Prod. BOM Equipment","Variable Prod. Time (Hours)","Production BOM No.",$D4737,"version code",$E4737,"Resource No.",$O$9))</t>
  </si>
  <si>
    <t>=1/Q4737</t>
  </si>
  <si>
    <t>=R4737*N4737</t>
  </si>
  <si>
    <t>=IF(K4738=0,"hide","")</t>
  </si>
  <si>
    <t>=D4737</t>
  </si>
  <si>
    <t>=NL("sum","Production Order","Quantity","Source No.",$D4738,"Equipment Code",$L4738,"due date",F$8)/-12</t>
  </si>
  <si>
    <t>=NL("sum","Production Order","Quantity","Source No.",$D4738,"Equipment Code",$L4738,"due date",G$8)/-12</t>
  </si>
  <si>
    <t>=NL("sum","Production Order","Quantity","Source No.",$D4738,"Equipment Code",$L4738,"due date",H$8)/-12</t>
  </si>
  <si>
    <t>=NL("sum","Production Order","Quantity","Source No.",$D4738,"Equipment Code",$L4738,"due date",I$8)/-12</t>
  </si>
  <si>
    <t>=NL("sum","Production Order","Quantity","Source No.",$D4738,"Equipment Code",$L4738,"due date",J$8)/$J$7</t>
  </si>
  <si>
    <t>=AVERAGE(I4738:J4738)</t>
  </si>
  <si>
    <t>=IF(K4739=0,"hide","")</t>
  </si>
  <si>
    <t>=D4738</t>
  </si>
  <si>
    <t>=NL("sum","Production Order","Quantity","Source No.",$D4739,"Equipment Code",$L4739,"due date",F$8)/-12</t>
  </si>
  <si>
    <t>=NL("sum","Production Order","Quantity","Source No.",$D4739,"Equipment Code",$L4739,"due date",G$8)/-12</t>
  </si>
  <si>
    <t>=NL("sum","Production Order","Quantity","Source No.",$D4739,"Equipment Code",$L4739,"due date",H$8)/-12</t>
  </si>
  <si>
    <t>=NL("sum","Production Order","Quantity","Source No.",$D4739,"Equipment Code",$L4739,"due date",I$8)/-12</t>
  </si>
  <si>
    <t>=NL("sum","Production Order","Quantity","Source No.",$D4739,"Equipment Code",$L4739,"due date",J$8)/$J$7</t>
  </si>
  <si>
    <t>=AVERAGE(I4739:J4739)</t>
  </si>
  <si>
    <t>=IF(K4740=0,"hide","")</t>
  </si>
  <si>
    <t>=D4739</t>
  </si>
  <si>
    <t>=NL("sum","Production Order","Quantity","Source No.",$D4740,"Equipment Code",$L4740,"due date",F$8)/-12</t>
  </si>
  <si>
    <t>=NL("sum","Production Order","Quantity","Source No.",$D4740,"Equipment Code",$L4740,"due date",G$8)/-12</t>
  </si>
  <si>
    <t>=NL("sum","Production Order","Quantity","Source No.",$D4740,"Equipment Code",$L4740,"due date",H$8)/-12</t>
  </si>
  <si>
    <t>=NL("sum","Production Order","Quantity","Source No.",$D4740,"Equipment Code",$L4740,"due date",I$8)/-12</t>
  </si>
  <si>
    <t>=NL("sum","Production Order","Quantity","Source No.",$D4740,"Equipment Code",$L4740,"due date",J$8)/$J$7</t>
  </si>
  <si>
    <t>=AVERAGE(I4740:J4740)</t>
  </si>
  <si>
    <t>=IF(K4741=0,"hide","")</t>
  </si>
  <si>
    <t>=D4740</t>
  </si>
  <si>
    <t>=NL("sum","Production Order","Quantity","Source No.",$D4741,"Equipment Code",$L4741,"due date",F$8)/-12</t>
  </si>
  <si>
    <t>=NL("sum","Production Order","Quantity","Source No.",$D4741,"Equipment Code",$L4741,"due date",G$8)/-12</t>
  </si>
  <si>
    <t>=NL("sum","Production Order","Quantity","Source No.",$D4741,"Equipment Code",$L4741,"due date",H$8)/-12</t>
  </si>
  <si>
    <t>=NL("sum","Production Order","Quantity","Source No.",$D4741,"Equipment Code",$L4741,"due date",I$8)/-12</t>
  </si>
  <si>
    <t>=NL("sum","Production Order","Quantity","Source No.",$D4741,"Equipment Code",$L4741,"due date",J$8)/$J$7</t>
  </si>
  <si>
    <t>=AVERAGE(I4741:J4741)</t>
  </si>
  <si>
    <t>=B4738</t>
  </si>
  <si>
    <t>=B4742</t>
  </si>
  <si>
    <t>=SUM(F4738:F4742)</t>
  </si>
  <si>
    <t>=SUM(G4738:G4742)</t>
  </si>
  <si>
    <t>=SUM(H4738:H4742)</t>
  </si>
  <si>
    <t>=SUM(I4738:I4742)</t>
  </si>
  <si>
    <t>=SUM(J4738:J4742)</t>
  </si>
  <si>
    <t>=IF(K4744=0,"hide","")</t>
  </si>
  <si>
    <t>="84660"</t>
  </si>
  <si>
    <t>=NL("rows","Production BOM Version","Version Code","Production BOM No.",D4744,"status","certified")</t>
  </si>
  <si>
    <t>=NL("sum","Item Ledger Entry","Quantity","Item No.",$D4744,"Entry Type","Sale|Consumption","posting date","01/01/19..12/31/19")/-12</t>
  </si>
  <si>
    <t>=NL("sum","Item Ledger Entry","Quantity","Item No.",$D4744,"Entry Type","Sale|Consumption","posting date","01/01/20..12/31/20")/-12</t>
  </si>
  <si>
    <t>=NL("sum","Item Ledger Entry","Quantity","Item No.",$D4744,"Entry Type","Sale|Consumption","posting date","01/01/21..12/31/21")/-12</t>
  </si>
  <si>
    <t>=NL("sum","Item Ledger Entry","Quantity","Item No.",$D4744,"Entry Type","Sale|Consumption","posting date","01/01/22..12/31/22")/-12</t>
  </si>
  <si>
    <t>=NL("sum","Item Ledger Entry","Quantity","Item No.",$D4744,"Entry Type","Sale|Consumption","posting date","01/01/23..12/31/23")/$J$7</t>
  </si>
  <si>
    <t>=AVERAGE(I4744:J4744)</t>
  </si>
  <si>
    <t>=NL(1,"item",L$9,"no.",D4744)</t>
  </si>
  <si>
    <t>=NL(1,"item",M$9,"no.",$D4744)</t>
  </si>
  <si>
    <t>=NL(1,"item","Units Per Parcel","no.",$D4744)</t>
  </si>
  <si>
    <t>=NL(1,"Prod. BOM Equipment","Fixed Prod. Time (Hours)","Production BOM No.",$D4744,"version code",$E4744,"Resource No.",O$9)</t>
  </si>
  <si>
    <t>=1/O4744</t>
  </si>
  <si>
    <t>=IF(NL(1,"Prod. BOM Equipment","Variable Prod. Time (Hours)","Production BOM No.",$D4744,"version code",$E4744,"Resource No.",$O$9)="",1,NL(1,"Prod. BOM Equipment","Variable Prod. Time (Hours)","Production BOM No.",$D4744,"version code",$E4744,"Resource No.",$O$9))</t>
  </si>
  <si>
    <t>=1/Q4744</t>
  </si>
  <si>
    <t>=R4744*N4744</t>
  </si>
  <si>
    <t>=IF(K4745=0,"hide","")</t>
  </si>
  <si>
    <t>=D4744</t>
  </si>
  <si>
    <t>=NL("sum","Production Order","Quantity","Source No.",$D4745,"Equipment Code",$L4745,"due date",F$8)/-12</t>
  </si>
  <si>
    <t>=NL("sum","Production Order","Quantity","Source No.",$D4745,"Equipment Code",$L4745,"due date",G$8)/-12</t>
  </si>
  <si>
    <t>=NL("sum","Production Order","Quantity","Source No.",$D4745,"Equipment Code",$L4745,"due date",H$8)/-12</t>
  </si>
  <si>
    <t>=NL("sum","Production Order","Quantity","Source No.",$D4745,"Equipment Code",$L4745,"due date",I$8)/-12</t>
  </si>
  <si>
    <t>=NL("sum","Production Order","Quantity","Source No.",$D4745,"Equipment Code",$L4745,"due date",J$8)/$J$7</t>
  </si>
  <si>
    <t>=AVERAGE(I4745:J4745)</t>
  </si>
  <si>
    <t>=IF(K4746=0,"hide","")</t>
  </si>
  <si>
    <t>=D4745</t>
  </si>
  <si>
    <t>=NL("sum","Production Order","Quantity","Source No.",$D4746,"Equipment Code",$L4746,"due date",F$8)/-12</t>
  </si>
  <si>
    <t>=NL("sum","Production Order","Quantity","Source No.",$D4746,"Equipment Code",$L4746,"due date",G$8)/-12</t>
  </si>
  <si>
    <t>=NL("sum","Production Order","Quantity","Source No.",$D4746,"Equipment Code",$L4746,"due date",H$8)/-12</t>
  </si>
  <si>
    <t>=NL("sum","Production Order","Quantity","Source No.",$D4746,"Equipment Code",$L4746,"due date",I$8)/-12</t>
  </si>
  <si>
    <t>=NL("sum","Production Order","Quantity","Source No.",$D4746,"Equipment Code",$L4746,"due date",J$8)/$J$7</t>
  </si>
  <si>
    <t>=AVERAGE(I4746:J4746)</t>
  </si>
  <si>
    <t>=IF(K4747=0,"hide","")</t>
  </si>
  <si>
    <t>=D4746</t>
  </si>
  <si>
    <t>=NL("sum","Production Order","Quantity","Source No.",$D4747,"Equipment Code",$L4747,"due date",F$8)/-12</t>
  </si>
  <si>
    <t>=NL("sum","Production Order","Quantity","Source No.",$D4747,"Equipment Code",$L4747,"due date",G$8)/-12</t>
  </si>
  <si>
    <t>=NL("sum","Production Order","Quantity","Source No.",$D4747,"Equipment Code",$L4747,"due date",H$8)/-12</t>
  </si>
  <si>
    <t>=NL("sum","Production Order","Quantity","Source No.",$D4747,"Equipment Code",$L4747,"due date",I$8)/-12</t>
  </si>
  <si>
    <t>=NL("sum","Production Order","Quantity","Source No.",$D4747,"Equipment Code",$L4747,"due date",J$8)/$J$7</t>
  </si>
  <si>
    <t>=AVERAGE(I4747:J4747)</t>
  </si>
  <si>
    <t>=IF(K4748=0,"hide","")</t>
  </si>
  <si>
    <t>=D4747</t>
  </si>
  <si>
    <t>=NL("sum","Production Order","Quantity","Source No.",$D4748,"Equipment Code",$L4748,"due date",F$8)/-12</t>
  </si>
  <si>
    <t>=NL("sum","Production Order","Quantity","Source No.",$D4748,"Equipment Code",$L4748,"due date",G$8)/-12</t>
  </si>
  <si>
    <t>=NL("sum","Production Order","Quantity","Source No.",$D4748,"Equipment Code",$L4748,"due date",H$8)/-12</t>
  </si>
  <si>
    <t>=NL("sum","Production Order","Quantity","Source No.",$D4748,"Equipment Code",$L4748,"due date",I$8)/-12</t>
  </si>
  <si>
    <t>=NL("sum","Production Order","Quantity","Source No.",$D4748,"Equipment Code",$L4748,"due date",J$8)/$J$7</t>
  </si>
  <si>
    <t>=AVERAGE(I4748:J4748)</t>
  </si>
  <si>
    <t>=B4745</t>
  </si>
  <si>
    <t>=B4749</t>
  </si>
  <si>
    <t>=SUM(F4745:F4749)</t>
  </si>
  <si>
    <t>=SUM(G4745:G4749)</t>
  </si>
  <si>
    <t>=SUM(H4745:H4749)</t>
  </si>
  <si>
    <t>=SUM(I4745:I4749)</t>
  </si>
  <si>
    <t>=SUM(J4745:J4749)</t>
  </si>
  <si>
    <t>=IF(K4751=0,"hide","")</t>
  </si>
  <si>
    <t>="85101"</t>
  </si>
  <si>
    <t>=NL("rows","Production BOM Version","Version Code","Production BOM No.",D4751,"status","certified")</t>
  </si>
  <si>
    <t>=NL("sum","Item Ledger Entry","Quantity","Item No.",$D4751,"Entry Type","Sale|Consumption","posting date","01/01/19..12/31/19")/-12</t>
  </si>
  <si>
    <t>=NL("sum","Item Ledger Entry","Quantity","Item No.",$D4751,"Entry Type","Sale|Consumption","posting date","01/01/20..12/31/20")/-12</t>
  </si>
  <si>
    <t>=NL("sum","Item Ledger Entry","Quantity","Item No.",$D4751,"Entry Type","Sale|Consumption","posting date","01/01/21..12/31/21")/-12</t>
  </si>
  <si>
    <t>=NL("sum","Item Ledger Entry","Quantity","Item No.",$D4751,"Entry Type","Sale|Consumption","posting date","01/01/22..12/31/22")/-12</t>
  </si>
  <si>
    <t>=NL("sum","Item Ledger Entry","Quantity","Item No.",$D4751,"Entry Type","Sale|Consumption","posting date","01/01/23..12/31/23")/$J$7</t>
  </si>
  <si>
    <t>=AVERAGE(I4751:J4751)</t>
  </si>
  <si>
    <t>=NL(1,"item",L$9,"no.",D4751)</t>
  </si>
  <si>
    <t>=NL(1,"item",M$9,"no.",$D4751)</t>
  </si>
  <si>
    <t>=NL(1,"item","Units Per Parcel","no.",$D4751)</t>
  </si>
  <si>
    <t>=NL(1,"Prod. BOM Equipment","Fixed Prod. Time (Hours)","Production BOM No.",$D4751,"version code",$E4751,"Resource No.",O$9)</t>
  </si>
  <si>
    <t>=1/O4751</t>
  </si>
  <si>
    <t>=IF(NL(1,"Prod. BOM Equipment","Variable Prod. Time (Hours)","Production BOM No.",$D4751,"version code",$E4751,"Resource No.",$O$9)="",1,NL(1,"Prod. BOM Equipment","Variable Prod. Time (Hours)","Production BOM No.",$D4751,"version code",$E4751,"Resource No.",$O$9))</t>
  </si>
  <si>
    <t>=1/Q4751</t>
  </si>
  <si>
    <t>=R4751*N4751</t>
  </si>
  <si>
    <t>=IF(K4752=0,"hide","")</t>
  </si>
  <si>
    <t>=D4751</t>
  </si>
  <si>
    <t>=NL("sum","Production Order","Quantity","Source No.",$D4752,"Equipment Code",$L4752,"due date",F$8)/-12</t>
  </si>
  <si>
    <t>=NL("sum","Production Order","Quantity","Source No.",$D4752,"Equipment Code",$L4752,"due date",G$8)/-12</t>
  </si>
  <si>
    <t>=NL("sum","Production Order","Quantity","Source No.",$D4752,"Equipment Code",$L4752,"due date",H$8)/-12</t>
  </si>
  <si>
    <t>=NL("sum","Production Order","Quantity","Source No.",$D4752,"Equipment Code",$L4752,"due date",I$8)/-12</t>
  </si>
  <si>
    <t>=NL("sum","Production Order","Quantity","Source No.",$D4752,"Equipment Code",$L4752,"due date",J$8)/$J$7</t>
  </si>
  <si>
    <t>=AVERAGE(I4752:J4752)</t>
  </si>
  <si>
    <t>=IF(K4753=0,"hide","")</t>
  </si>
  <si>
    <t>=D4752</t>
  </si>
  <si>
    <t>=NL("sum","Production Order","Quantity","Source No.",$D4753,"Equipment Code",$L4753,"due date",F$8)/-12</t>
  </si>
  <si>
    <t>=NL("sum","Production Order","Quantity","Source No.",$D4753,"Equipment Code",$L4753,"due date",G$8)/-12</t>
  </si>
  <si>
    <t>=NL("sum","Production Order","Quantity","Source No.",$D4753,"Equipment Code",$L4753,"due date",H$8)/-12</t>
  </si>
  <si>
    <t>=NL("sum","Production Order","Quantity","Source No.",$D4753,"Equipment Code",$L4753,"due date",I$8)/-12</t>
  </si>
  <si>
    <t>=NL("sum","Production Order","Quantity","Source No.",$D4753,"Equipment Code",$L4753,"due date",J$8)/$J$7</t>
  </si>
  <si>
    <t>=AVERAGE(I4753:J4753)</t>
  </si>
  <si>
    <t>=IF(K4754=0,"hide","")</t>
  </si>
  <si>
    <t>=D4753</t>
  </si>
  <si>
    <t>=NL("sum","Production Order","Quantity","Source No.",$D4754,"Equipment Code",$L4754,"due date",F$8)/-12</t>
  </si>
  <si>
    <t>=NL("sum","Production Order","Quantity","Source No.",$D4754,"Equipment Code",$L4754,"due date",G$8)/-12</t>
  </si>
  <si>
    <t>=NL("sum","Production Order","Quantity","Source No.",$D4754,"Equipment Code",$L4754,"due date",H$8)/-12</t>
  </si>
  <si>
    <t>=NL("sum","Production Order","Quantity","Source No.",$D4754,"Equipment Code",$L4754,"due date",I$8)/-12</t>
  </si>
  <si>
    <t>=NL("sum","Production Order","Quantity","Source No.",$D4754,"Equipment Code",$L4754,"due date",J$8)/$J$7</t>
  </si>
  <si>
    <t>=AVERAGE(I4754:J4754)</t>
  </si>
  <si>
    <t>=IF(K4755=0,"hide","")</t>
  </si>
  <si>
    <t>=D4754</t>
  </si>
  <si>
    <t>=NL("sum","Production Order","Quantity","Source No.",$D4755,"Equipment Code",$L4755,"due date",F$8)/-12</t>
  </si>
  <si>
    <t>=NL("sum","Production Order","Quantity","Source No.",$D4755,"Equipment Code",$L4755,"due date",G$8)/-12</t>
  </si>
  <si>
    <t>=NL("sum","Production Order","Quantity","Source No.",$D4755,"Equipment Code",$L4755,"due date",H$8)/-12</t>
  </si>
  <si>
    <t>=NL("sum","Production Order","Quantity","Source No.",$D4755,"Equipment Code",$L4755,"due date",I$8)/-12</t>
  </si>
  <si>
    <t>=NL("sum","Production Order","Quantity","Source No.",$D4755,"Equipment Code",$L4755,"due date",J$8)/$J$7</t>
  </si>
  <si>
    <t>=AVERAGE(I4755:J4755)</t>
  </si>
  <si>
    <t>=B4752</t>
  </si>
  <si>
    <t>=B4756</t>
  </si>
  <si>
    <t>=SUM(F4752:F4756)</t>
  </si>
  <si>
    <t>=SUM(G4752:G4756)</t>
  </si>
  <si>
    <t>=SUM(H4752:H4756)</t>
  </si>
  <si>
    <t>=SUM(I4752:I4756)</t>
  </si>
  <si>
    <t>=SUM(J4752:J4756)</t>
  </si>
  <si>
    <t>=IF(K4758=0,"hide","")</t>
  </si>
  <si>
    <t>="85116"</t>
  </si>
  <si>
    <t>=NL("rows","Production BOM Version","Version Code","Production BOM No.",D4758,"status","certified")</t>
  </si>
  <si>
    <t>=NL("sum","Item Ledger Entry","Quantity","Item No.",$D4758,"Entry Type","Sale|Consumption","posting date","01/01/19..12/31/19")/-12</t>
  </si>
  <si>
    <t>=NL("sum","Item Ledger Entry","Quantity","Item No.",$D4758,"Entry Type","Sale|Consumption","posting date","01/01/20..12/31/20")/-12</t>
  </si>
  <si>
    <t>=NL("sum","Item Ledger Entry","Quantity","Item No.",$D4758,"Entry Type","Sale|Consumption","posting date","01/01/21..12/31/21")/-12</t>
  </si>
  <si>
    <t>=NL("sum","Item Ledger Entry","Quantity","Item No.",$D4758,"Entry Type","Sale|Consumption","posting date","01/01/22..12/31/22")/-12</t>
  </si>
  <si>
    <t>=NL("sum","Item Ledger Entry","Quantity","Item No.",$D4758,"Entry Type","Sale|Consumption","posting date","01/01/23..12/31/23")/$J$7</t>
  </si>
  <si>
    <t>=AVERAGE(I4758:J4758)</t>
  </si>
  <si>
    <t>=NL(1,"item",L$9,"no.",D4758)</t>
  </si>
  <si>
    <t>=NL(1,"item",M$9,"no.",$D4758)</t>
  </si>
  <si>
    <t>=NL(1,"item","Units Per Parcel","no.",$D4758)</t>
  </si>
  <si>
    <t>=NL(1,"Prod. BOM Equipment","Fixed Prod. Time (Hours)","Production BOM No.",$D4758,"version code",$E4758,"Resource No.",O$9)</t>
  </si>
  <si>
    <t>=1/O4758</t>
  </si>
  <si>
    <t>=IF(NL(1,"Prod. BOM Equipment","Variable Prod. Time (Hours)","Production BOM No.",$D4758,"version code",$E4758,"Resource No.",$O$9)="",1,NL(1,"Prod. BOM Equipment","Variable Prod. Time (Hours)","Production BOM No.",$D4758,"version code",$E4758,"Resource No.",$O$9))</t>
  </si>
  <si>
    <t>=1/Q4758</t>
  </si>
  <si>
    <t>=R4758*N4758</t>
  </si>
  <si>
    <t>=IF(K4759=0,"hide","")</t>
  </si>
  <si>
    <t>=D4758</t>
  </si>
  <si>
    <t>=NL("sum","Production Order","Quantity","Source No.",$D4759,"Equipment Code",$L4759,"due date",F$8)/-12</t>
  </si>
  <si>
    <t>=NL("sum","Production Order","Quantity","Source No.",$D4759,"Equipment Code",$L4759,"due date",G$8)/-12</t>
  </si>
  <si>
    <t>=NL("sum","Production Order","Quantity","Source No.",$D4759,"Equipment Code",$L4759,"due date",H$8)/-12</t>
  </si>
  <si>
    <t>=NL("sum","Production Order","Quantity","Source No.",$D4759,"Equipment Code",$L4759,"due date",I$8)/-12</t>
  </si>
  <si>
    <t>=NL("sum","Production Order","Quantity","Source No.",$D4759,"Equipment Code",$L4759,"due date",J$8)/$J$7</t>
  </si>
  <si>
    <t>=AVERAGE(I4759:J4759)</t>
  </si>
  <si>
    <t>=IF(K4760=0,"hide","")</t>
  </si>
  <si>
    <t>=D4759</t>
  </si>
  <si>
    <t>=NL("sum","Production Order","Quantity","Source No.",$D4760,"Equipment Code",$L4760,"due date",F$8)/-12</t>
  </si>
  <si>
    <t>=NL("sum","Production Order","Quantity","Source No.",$D4760,"Equipment Code",$L4760,"due date",G$8)/-12</t>
  </si>
  <si>
    <t>=NL("sum","Production Order","Quantity","Source No.",$D4760,"Equipment Code",$L4760,"due date",H$8)/-12</t>
  </si>
  <si>
    <t>=NL("sum","Production Order","Quantity","Source No.",$D4760,"Equipment Code",$L4760,"due date",I$8)/-12</t>
  </si>
  <si>
    <t>=NL("sum","Production Order","Quantity","Source No.",$D4760,"Equipment Code",$L4760,"due date",J$8)/$J$7</t>
  </si>
  <si>
    <t>=AVERAGE(I4760:J4760)</t>
  </si>
  <si>
    <t>=IF(K4761=0,"hide","")</t>
  </si>
  <si>
    <t>=D4760</t>
  </si>
  <si>
    <t>=NL("sum","Production Order","Quantity","Source No.",$D4761,"Equipment Code",$L4761,"due date",F$8)/-12</t>
  </si>
  <si>
    <t>=NL("sum","Production Order","Quantity","Source No.",$D4761,"Equipment Code",$L4761,"due date",G$8)/-12</t>
  </si>
  <si>
    <t>=NL("sum","Production Order","Quantity","Source No.",$D4761,"Equipment Code",$L4761,"due date",H$8)/-12</t>
  </si>
  <si>
    <t>=NL("sum","Production Order","Quantity","Source No.",$D4761,"Equipment Code",$L4761,"due date",I$8)/-12</t>
  </si>
  <si>
    <t>=NL("sum","Production Order","Quantity","Source No.",$D4761,"Equipment Code",$L4761,"due date",J$8)/$J$7</t>
  </si>
  <si>
    <t>=AVERAGE(I4761:J4761)</t>
  </si>
  <si>
    <t>=IF(K4762=0,"hide","")</t>
  </si>
  <si>
    <t>=D4761</t>
  </si>
  <si>
    <t>=NL("sum","Production Order","Quantity","Source No.",$D4762,"Equipment Code",$L4762,"due date",F$8)/-12</t>
  </si>
  <si>
    <t>=NL("sum","Production Order","Quantity","Source No.",$D4762,"Equipment Code",$L4762,"due date",G$8)/-12</t>
  </si>
  <si>
    <t>=NL("sum","Production Order","Quantity","Source No.",$D4762,"Equipment Code",$L4762,"due date",H$8)/-12</t>
  </si>
  <si>
    <t>=NL("sum","Production Order","Quantity","Source No.",$D4762,"Equipment Code",$L4762,"due date",I$8)/-12</t>
  </si>
  <si>
    <t>=NL("sum","Production Order","Quantity","Source No.",$D4762,"Equipment Code",$L4762,"due date",J$8)/$J$7</t>
  </si>
  <si>
    <t>=AVERAGE(I4762:J4762)</t>
  </si>
  <si>
    <t>=B4759</t>
  </si>
  <si>
    <t>=B4763</t>
  </si>
  <si>
    <t>=SUM(F4759:F4763)</t>
  </si>
  <si>
    <t>=SUM(G4759:G4763)</t>
  </si>
  <si>
    <t>=SUM(H4759:H4763)</t>
  </si>
  <si>
    <t>=SUM(I4759:I4763)</t>
  </si>
  <si>
    <t>=SUM(J4759:J4763)</t>
  </si>
  <si>
    <t>=IF(K4765=0,"hide","")</t>
  </si>
  <si>
    <t>="85125"</t>
  </si>
  <si>
    <t>=NL("rows","Production BOM Version","Version Code","Production BOM No.",D4765,"status","certified")</t>
  </si>
  <si>
    <t>=NL("sum","Item Ledger Entry","Quantity","Item No.",$D4765,"Entry Type","Sale|Consumption","posting date","01/01/19..12/31/19")/-12</t>
  </si>
  <si>
    <t>=NL("sum","Item Ledger Entry","Quantity","Item No.",$D4765,"Entry Type","Sale|Consumption","posting date","01/01/20..12/31/20")/-12</t>
  </si>
  <si>
    <t>=NL("sum","Item Ledger Entry","Quantity","Item No.",$D4765,"Entry Type","Sale|Consumption","posting date","01/01/21..12/31/21")/-12</t>
  </si>
  <si>
    <t>=NL("sum","Item Ledger Entry","Quantity","Item No.",$D4765,"Entry Type","Sale|Consumption","posting date","01/01/22..12/31/22")/-12</t>
  </si>
  <si>
    <t>=NL("sum","Item Ledger Entry","Quantity","Item No.",$D4765,"Entry Type","Sale|Consumption","posting date","01/01/23..12/31/23")/$J$7</t>
  </si>
  <si>
    <t>=AVERAGE(I4765:J4765)</t>
  </si>
  <si>
    <t>=NL(1,"item",L$9,"no.",D4765)</t>
  </si>
  <si>
    <t>=NL(1,"item",M$9,"no.",$D4765)</t>
  </si>
  <si>
    <t>=NL(1,"item","Units Per Parcel","no.",$D4765)</t>
  </si>
  <si>
    <t>=NL(1,"Prod. BOM Equipment","Fixed Prod. Time (Hours)","Production BOM No.",$D4765,"version code",$E4765,"Resource No.",O$9)</t>
  </si>
  <si>
    <t>=1/O4765</t>
  </si>
  <si>
    <t>=IF(NL(1,"Prod. BOM Equipment","Variable Prod. Time (Hours)","Production BOM No.",$D4765,"version code",$E4765,"Resource No.",$O$9)="",1,NL(1,"Prod. BOM Equipment","Variable Prod. Time (Hours)","Production BOM No.",$D4765,"version code",$E4765,"Resource No.",$O$9))</t>
  </si>
  <si>
    <t>=1/Q4765</t>
  </si>
  <si>
    <t>=R4765*N4765</t>
  </si>
  <si>
    <t>=IF(K4766=0,"hide","")</t>
  </si>
  <si>
    <t>=D4765</t>
  </si>
  <si>
    <t>=NL("sum","Production Order","Quantity","Source No.",$D4766,"Equipment Code",$L4766,"due date",F$8)/-12</t>
  </si>
  <si>
    <t>=NL("sum","Production Order","Quantity","Source No.",$D4766,"Equipment Code",$L4766,"due date",G$8)/-12</t>
  </si>
  <si>
    <t>=NL("sum","Production Order","Quantity","Source No.",$D4766,"Equipment Code",$L4766,"due date",H$8)/-12</t>
  </si>
  <si>
    <t>=NL("sum","Production Order","Quantity","Source No.",$D4766,"Equipment Code",$L4766,"due date",I$8)/-12</t>
  </si>
  <si>
    <t>=NL("sum","Production Order","Quantity","Source No.",$D4766,"Equipment Code",$L4766,"due date",J$8)/$J$7</t>
  </si>
  <si>
    <t>=AVERAGE(I4766:J4766)</t>
  </si>
  <si>
    <t>=IF(K4767=0,"hide","")</t>
  </si>
  <si>
    <t>=D4766</t>
  </si>
  <si>
    <t>=NL("sum","Production Order","Quantity","Source No.",$D4767,"Equipment Code",$L4767,"due date",F$8)/-12</t>
  </si>
  <si>
    <t>=NL("sum","Production Order","Quantity","Source No.",$D4767,"Equipment Code",$L4767,"due date",G$8)/-12</t>
  </si>
  <si>
    <t>=NL("sum","Production Order","Quantity","Source No.",$D4767,"Equipment Code",$L4767,"due date",H$8)/-12</t>
  </si>
  <si>
    <t>=NL("sum","Production Order","Quantity","Source No.",$D4767,"Equipment Code",$L4767,"due date",I$8)/-12</t>
  </si>
  <si>
    <t>=NL("sum","Production Order","Quantity","Source No.",$D4767,"Equipment Code",$L4767,"due date",J$8)/$J$7</t>
  </si>
  <si>
    <t>=AVERAGE(I4767:J4767)</t>
  </si>
  <si>
    <t>=IF(K4768=0,"hide","")</t>
  </si>
  <si>
    <t>=D4767</t>
  </si>
  <si>
    <t>=NL("sum","Production Order","Quantity","Source No.",$D4768,"Equipment Code",$L4768,"due date",F$8)/-12</t>
  </si>
  <si>
    <t>=NL("sum","Production Order","Quantity","Source No.",$D4768,"Equipment Code",$L4768,"due date",G$8)/-12</t>
  </si>
  <si>
    <t>=NL("sum","Production Order","Quantity","Source No.",$D4768,"Equipment Code",$L4768,"due date",H$8)/-12</t>
  </si>
  <si>
    <t>=NL("sum","Production Order","Quantity","Source No.",$D4768,"Equipment Code",$L4768,"due date",I$8)/-12</t>
  </si>
  <si>
    <t>=NL("sum","Production Order","Quantity","Source No.",$D4768,"Equipment Code",$L4768,"due date",J$8)/$J$7</t>
  </si>
  <si>
    <t>=AVERAGE(I4768:J4768)</t>
  </si>
  <si>
    <t>=IF(K4769=0,"hide","")</t>
  </si>
  <si>
    <t>=D4768</t>
  </si>
  <si>
    <t>=NL("sum","Production Order","Quantity","Source No.",$D4769,"Equipment Code",$L4769,"due date",F$8)/-12</t>
  </si>
  <si>
    <t>=NL("sum","Production Order","Quantity","Source No.",$D4769,"Equipment Code",$L4769,"due date",G$8)/-12</t>
  </si>
  <si>
    <t>=NL("sum","Production Order","Quantity","Source No.",$D4769,"Equipment Code",$L4769,"due date",H$8)/-12</t>
  </si>
  <si>
    <t>=NL("sum","Production Order","Quantity","Source No.",$D4769,"Equipment Code",$L4769,"due date",I$8)/-12</t>
  </si>
  <si>
    <t>=NL("sum","Production Order","Quantity","Source No.",$D4769,"Equipment Code",$L4769,"due date",J$8)/$J$7</t>
  </si>
  <si>
    <t>=AVERAGE(I4769:J4769)</t>
  </si>
  <si>
    <t>=B4766</t>
  </si>
  <si>
    <t>=B4770</t>
  </si>
  <si>
    <t>=SUM(F4766:F4770)</t>
  </si>
  <si>
    <t>=SUM(G4766:G4770)</t>
  </si>
  <si>
    <t>=SUM(H4766:H4770)</t>
  </si>
  <si>
    <t>=SUM(I4766:I4770)</t>
  </si>
  <si>
    <t>=SUM(J4766:J4770)</t>
  </si>
  <si>
    <t>=IF(K4772=0,"hide","")</t>
  </si>
  <si>
    <t>="85126"</t>
  </si>
  <si>
    <t>=NL("rows","Production BOM Version","Version Code","Production BOM No.",D4772,"status","certified")</t>
  </si>
  <si>
    <t>=NL("sum","Item Ledger Entry","Quantity","Item No.",$D4772,"Entry Type","Sale|Consumption","posting date","01/01/19..12/31/19")/-12</t>
  </si>
  <si>
    <t>=NL("sum","Item Ledger Entry","Quantity","Item No.",$D4772,"Entry Type","Sale|Consumption","posting date","01/01/20..12/31/20")/-12</t>
  </si>
  <si>
    <t>=NL("sum","Item Ledger Entry","Quantity","Item No.",$D4772,"Entry Type","Sale|Consumption","posting date","01/01/21..12/31/21")/-12</t>
  </si>
  <si>
    <t>=NL("sum","Item Ledger Entry","Quantity","Item No.",$D4772,"Entry Type","Sale|Consumption","posting date","01/01/22..12/31/22")/-12</t>
  </si>
  <si>
    <t>=NL("sum","Item Ledger Entry","Quantity","Item No.",$D4772,"Entry Type","Sale|Consumption","posting date","01/01/23..12/31/23")/$J$7</t>
  </si>
  <si>
    <t>=AVERAGE(I4772:J4772)</t>
  </si>
  <si>
    <t>=NL(1,"item",L$9,"no.",D4772)</t>
  </si>
  <si>
    <t>=NL(1,"item",M$9,"no.",$D4772)</t>
  </si>
  <si>
    <t>=NL(1,"item","Units Per Parcel","no.",$D4772)</t>
  </si>
  <si>
    <t>=NL(1,"Prod. BOM Equipment","Fixed Prod. Time (Hours)","Production BOM No.",$D4772,"version code",$E4772,"Resource No.",O$9)</t>
  </si>
  <si>
    <t>=1/O4772</t>
  </si>
  <si>
    <t>=IF(NL(1,"Prod. BOM Equipment","Variable Prod. Time (Hours)","Production BOM No.",$D4772,"version code",$E4772,"Resource No.",$O$9)="",1,NL(1,"Prod. BOM Equipment","Variable Prod. Time (Hours)","Production BOM No.",$D4772,"version code",$E4772,"Resource No.",$O$9))</t>
  </si>
  <si>
    <t>=1/Q4772</t>
  </si>
  <si>
    <t>=R4772*N4772</t>
  </si>
  <si>
    <t>=IF(K4773=0,"hide","")</t>
  </si>
  <si>
    <t>=D4772</t>
  </si>
  <si>
    <t>=NL("sum","Production Order","Quantity","Source No.",$D4773,"Equipment Code",$L4773,"due date",F$8)/-12</t>
  </si>
  <si>
    <t>=NL("sum","Production Order","Quantity","Source No.",$D4773,"Equipment Code",$L4773,"due date",G$8)/-12</t>
  </si>
  <si>
    <t>=NL("sum","Production Order","Quantity","Source No.",$D4773,"Equipment Code",$L4773,"due date",H$8)/-12</t>
  </si>
  <si>
    <t>=NL("sum","Production Order","Quantity","Source No.",$D4773,"Equipment Code",$L4773,"due date",I$8)/-12</t>
  </si>
  <si>
    <t>=NL("sum","Production Order","Quantity","Source No.",$D4773,"Equipment Code",$L4773,"due date",J$8)/$J$7</t>
  </si>
  <si>
    <t>=AVERAGE(I4773:J4773)</t>
  </si>
  <si>
    <t>=IF(K4774=0,"hide","")</t>
  </si>
  <si>
    <t>=D4773</t>
  </si>
  <si>
    <t>=NL("sum","Production Order","Quantity","Source No.",$D4774,"Equipment Code",$L4774,"due date",F$8)/-12</t>
  </si>
  <si>
    <t>=NL("sum","Production Order","Quantity","Source No.",$D4774,"Equipment Code",$L4774,"due date",G$8)/-12</t>
  </si>
  <si>
    <t>=NL("sum","Production Order","Quantity","Source No.",$D4774,"Equipment Code",$L4774,"due date",H$8)/-12</t>
  </si>
  <si>
    <t>=NL("sum","Production Order","Quantity","Source No.",$D4774,"Equipment Code",$L4774,"due date",I$8)/-12</t>
  </si>
  <si>
    <t>=NL("sum","Production Order","Quantity","Source No.",$D4774,"Equipment Code",$L4774,"due date",J$8)/$J$7</t>
  </si>
  <si>
    <t>=AVERAGE(I4774:J4774)</t>
  </si>
  <si>
    <t>=IF(K4775=0,"hide","")</t>
  </si>
  <si>
    <t>=D4774</t>
  </si>
  <si>
    <t>=NL("sum","Production Order","Quantity","Source No.",$D4775,"Equipment Code",$L4775,"due date",F$8)/-12</t>
  </si>
  <si>
    <t>=NL("sum","Production Order","Quantity","Source No.",$D4775,"Equipment Code",$L4775,"due date",G$8)/-12</t>
  </si>
  <si>
    <t>=NL("sum","Production Order","Quantity","Source No.",$D4775,"Equipment Code",$L4775,"due date",H$8)/-12</t>
  </si>
  <si>
    <t>=NL("sum","Production Order","Quantity","Source No.",$D4775,"Equipment Code",$L4775,"due date",I$8)/-12</t>
  </si>
  <si>
    <t>=NL("sum","Production Order","Quantity","Source No.",$D4775,"Equipment Code",$L4775,"due date",J$8)/$J$7</t>
  </si>
  <si>
    <t>=AVERAGE(I4775:J4775)</t>
  </si>
  <si>
    <t>=IF(K4776=0,"hide","")</t>
  </si>
  <si>
    <t>=D4775</t>
  </si>
  <si>
    <t>=NL("sum","Production Order","Quantity","Source No.",$D4776,"Equipment Code",$L4776,"due date",F$8)/-12</t>
  </si>
  <si>
    <t>=NL("sum","Production Order","Quantity","Source No.",$D4776,"Equipment Code",$L4776,"due date",G$8)/-12</t>
  </si>
  <si>
    <t>=NL("sum","Production Order","Quantity","Source No.",$D4776,"Equipment Code",$L4776,"due date",H$8)/-12</t>
  </si>
  <si>
    <t>=NL("sum","Production Order","Quantity","Source No.",$D4776,"Equipment Code",$L4776,"due date",I$8)/-12</t>
  </si>
  <si>
    <t>=NL("sum","Production Order","Quantity","Source No.",$D4776,"Equipment Code",$L4776,"due date",J$8)/$J$7</t>
  </si>
  <si>
    <t>=AVERAGE(I4776:J4776)</t>
  </si>
  <si>
    <t>=B4773</t>
  </si>
  <si>
    <t>=B4777</t>
  </si>
  <si>
    <t>=SUM(F4773:F4777)</t>
  </si>
  <si>
    <t>=SUM(G4773:G4777)</t>
  </si>
  <si>
    <t>=SUM(H4773:H4777)</t>
  </si>
  <si>
    <t>=SUM(I4773:I4777)</t>
  </si>
  <si>
    <t>=SUM(J4773:J4777)</t>
  </si>
  <si>
    <t>=IF(K4779=0,"hide","")</t>
  </si>
  <si>
    <t>="85129"</t>
  </si>
  <si>
    <t>=NL("rows","Production BOM Version","Version Code","Production BOM No.",D4779,"status","certified")</t>
  </si>
  <si>
    <t>=NL("sum","Item Ledger Entry","Quantity","Item No.",$D4779,"Entry Type","Sale|Consumption","posting date","01/01/19..12/31/19")/-12</t>
  </si>
  <si>
    <t>=NL("sum","Item Ledger Entry","Quantity","Item No.",$D4779,"Entry Type","Sale|Consumption","posting date","01/01/20..12/31/20")/-12</t>
  </si>
  <si>
    <t>=NL("sum","Item Ledger Entry","Quantity","Item No.",$D4779,"Entry Type","Sale|Consumption","posting date","01/01/21..12/31/21")/-12</t>
  </si>
  <si>
    <t>=NL("sum","Item Ledger Entry","Quantity","Item No.",$D4779,"Entry Type","Sale|Consumption","posting date","01/01/22..12/31/22")/-12</t>
  </si>
  <si>
    <t>=NL("sum","Item Ledger Entry","Quantity","Item No.",$D4779,"Entry Type","Sale|Consumption","posting date","01/01/23..12/31/23")/$J$7</t>
  </si>
  <si>
    <t>=AVERAGE(I4779:J4779)</t>
  </si>
  <si>
    <t>=NL(1,"item",L$9,"no.",D4779)</t>
  </si>
  <si>
    <t>=NL(1,"item",M$9,"no.",$D4779)</t>
  </si>
  <si>
    <t>=NL(1,"item","Units Per Parcel","no.",$D4779)</t>
  </si>
  <si>
    <t>=NL(1,"Prod. BOM Equipment","Fixed Prod. Time (Hours)","Production BOM No.",$D4779,"version code",$E4779,"Resource No.",O$9)</t>
  </si>
  <si>
    <t>=1/O4779</t>
  </si>
  <si>
    <t>=IF(NL(1,"Prod. BOM Equipment","Variable Prod. Time (Hours)","Production BOM No.",$D4779,"version code",$E4779,"Resource No.",$O$9)="",1,NL(1,"Prod. BOM Equipment","Variable Prod. Time (Hours)","Production BOM No.",$D4779,"version code",$E4779,"Resource No.",$O$9))</t>
  </si>
  <si>
    <t>=1/Q4779</t>
  </si>
  <si>
    <t>=R4779*N4779</t>
  </si>
  <si>
    <t>=IF(K4780=0,"hide","")</t>
  </si>
  <si>
    <t>=D4779</t>
  </si>
  <si>
    <t>=NL("sum","Production Order","Quantity","Source No.",$D4780,"Equipment Code",$L4780,"due date",F$8)/-12</t>
  </si>
  <si>
    <t>=NL("sum","Production Order","Quantity","Source No.",$D4780,"Equipment Code",$L4780,"due date",G$8)/-12</t>
  </si>
  <si>
    <t>=NL("sum","Production Order","Quantity","Source No.",$D4780,"Equipment Code",$L4780,"due date",H$8)/-12</t>
  </si>
  <si>
    <t>=NL("sum","Production Order","Quantity","Source No.",$D4780,"Equipment Code",$L4780,"due date",I$8)/-12</t>
  </si>
  <si>
    <t>=NL("sum","Production Order","Quantity","Source No.",$D4780,"Equipment Code",$L4780,"due date",J$8)/$J$7</t>
  </si>
  <si>
    <t>=AVERAGE(I4780:J4780)</t>
  </si>
  <si>
    <t>=IF(K4781=0,"hide","")</t>
  </si>
  <si>
    <t>=D4780</t>
  </si>
  <si>
    <t>=NL("sum","Production Order","Quantity","Source No.",$D4781,"Equipment Code",$L4781,"due date",F$8)/-12</t>
  </si>
  <si>
    <t>=NL("sum","Production Order","Quantity","Source No.",$D4781,"Equipment Code",$L4781,"due date",G$8)/-12</t>
  </si>
  <si>
    <t>=NL("sum","Production Order","Quantity","Source No.",$D4781,"Equipment Code",$L4781,"due date",H$8)/-12</t>
  </si>
  <si>
    <t>=NL("sum","Production Order","Quantity","Source No.",$D4781,"Equipment Code",$L4781,"due date",I$8)/-12</t>
  </si>
  <si>
    <t>=NL("sum","Production Order","Quantity","Source No.",$D4781,"Equipment Code",$L4781,"due date",J$8)/$J$7</t>
  </si>
  <si>
    <t>=AVERAGE(I4781:J4781)</t>
  </si>
  <si>
    <t>=IF(K4782=0,"hide","")</t>
  </si>
  <si>
    <t>=D4781</t>
  </si>
  <si>
    <t>=NL("sum","Production Order","Quantity","Source No.",$D4782,"Equipment Code",$L4782,"due date",F$8)/-12</t>
  </si>
  <si>
    <t>=NL("sum","Production Order","Quantity","Source No.",$D4782,"Equipment Code",$L4782,"due date",G$8)/-12</t>
  </si>
  <si>
    <t>=NL("sum","Production Order","Quantity","Source No.",$D4782,"Equipment Code",$L4782,"due date",H$8)/-12</t>
  </si>
  <si>
    <t>=NL("sum","Production Order","Quantity","Source No.",$D4782,"Equipment Code",$L4782,"due date",I$8)/-12</t>
  </si>
  <si>
    <t>=NL("sum","Production Order","Quantity","Source No.",$D4782,"Equipment Code",$L4782,"due date",J$8)/$J$7</t>
  </si>
  <si>
    <t>=AVERAGE(I4782:J4782)</t>
  </si>
  <si>
    <t>=IF(K4783=0,"hide","")</t>
  </si>
  <si>
    <t>=D4782</t>
  </si>
  <si>
    <t>=NL("sum","Production Order","Quantity","Source No.",$D4783,"Equipment Code",$L4783,"due date",F$8)/-12</t>
  </si>
  <si>
    <t>=NL("sum","Production Order","Quantity","Source No.",$D4783,"Equipment Code",$L4783,"due date",G$8)/-12</t>
  </si>
  <si>
    <t>=NL("sum","Production Order","Quantity","Source No.",$D4783,"Equipment Code",$L4783,"due date",H$8)/-12</t>
  </si>
  <si>
    <t>=NL("sum","Production Order","Quantity","Source No.",$D4783,"Equipment Code",$L4783,"due date",I$8)/-12</t>
  </si>
  <si>
    <t>=NL("sum","Production Order","Quantity","Source No.",$D4783,"Equipment Code",$L4783,"due date",J$8)/$J$7</t>
  </si>
  <si>
    <t>=AVERAGE(I4783:J4783)</t>
  </si>
  <si>
    <t>=B4780</t>
  </si>
  <si>
    <t>=B4784</t>
  </si>
  <si>
    <t>=SUM(F4780:F4784)</t>
  </si>
  <si>
    <t>=SUM(G4780:G4784)</t>
  </si>
  <si>
    <t>=SUM(H4780:H4784)</t>
  </si>
  <si>
    <t>=SUM(I4780:I4784)</t>
  </si>
  <si>
    <t>=SUM(J4780:J4784)</t>
  </si>
  <si>
    <t>=IF(K4786=0,"hide","")</t>
  </si>
  <si>
    <t>="85160"</t>
  </si>
  <si>
    <t>=NL("rows","Production BOM Version","Version Code","Production BOM No.",D4786,"status","certified")</t>
  </si>
  <si>
    <t>=NL("sum","Item Ledger Entry","Quantity","Item No.",$D4786,"Entry Type","Sale|Consumption","posting date","01/01/19..12/31/19")/-12</t>
  </si>
  <si>
    <t>=NL("sum","Item Ledger Entry","Quantity","Item No.",$D4786,"Entry Type","Sale|Consumption","posting date","01/01/20..12/31/20")/-12</t>
  </si>
  <si>
    <t>=NL("sum","Item Ledger Entry","Quantity","Item No.",$D4786,"Entry Type","Sale|Consumption","posting date","01/01/21..12/31/21")/-12</t>
  </si>
  <si>
    <t>=NL("sum","Item Ledger Entry","Quantity","Item No.",$D4786,"Entry Type","Sale|Consumption","posting date","01/01/22..12/31/22")/-12</t>
  </si>
  <si>
    <t>=NL("sum","Item Ledger Entry","Quantity","Item No.",$D4786,"Entry Type","Sale|Consumption","posting date","01/01/23..12/31/23")/$J$7</t>
  </si>
  <si>
    <t>=AVERAGE(I4786:J4786)</t>
  </si>
  <si>
    <t>=NL(1,"item",L$9,"no.",D4786)</t>
  </si>
  <si>
    <t>=NL(1,"item",M$9,"no.",$D4786)</t>
  </si>
  <si>
    <t>=NL(1,"item","Units Per Parcel","no.",$D4786)</t>
  </si>
  <si>
    <t>=NL(1,"Prod. BOM Equipment","Fixed Prod. Time (Hours)","Production BOM No.",$D4786,"version code",$E4786,"Resource No.",O$9)</t>
  </si>
  <si>
    <t>=1/O4786</t>
  </si>
  <si>
    <t>=IF(NL(1,"Prod. BOM Equipment","Variable Prod. Time (Hours)","Production BOM No.",$D4786,"version code",$E4786,"Resource No.",$O$9)="",1,NL(1,"Prod. BOM Equipment","Variable Prod. Time (Hours)","Production BOM No.",$D4786,"version code",$E4786,"Resource No.",$O$9))</t>
  </si>
  <si>
    <t>=1/Q4786</t>
  </si>
  <si>
    <t>=R4786*N4786</t>
  </si>
  <si>
    <t>=IF(K4787=0,"hide","")</t>
  </si>
  <si>
    <t>=D4786</t>
  </si>
  <si>
    <t>=NL("sum","Production Order","Quantity","Source No.",$D4787,"Equipment Code",$L4787,"due date",F$8)/-12</t>
  </si>
  <si>
    <t>=NL("sum","Production Order","Quantity","Source No.",$D4787,"Equipment Code",$L4787,"due date",G$8)/-12</t>
  </si>
  <si>
    <t>=NL("sum","Production Order","Quantity","Source No.",$D4787,"Equipment Code",$L4787,"due date",H$8)/-12</t>
  </si>
  <si>
    <t>=NL("sum","Production Order","Quantity","Source No.",$D4787,"Equipment Code",$L4787,"due date",I$8)/-12</t>
  </si>
  <si>
    <t>=NL("sum","Production Order","Quantity","Source No.",$D4787,"Equipment Code",$L4787,"due date",J$8)/$J$7</t>
  </si>
  <si>
    <t>=AVERAGE(I4787:J4787)</t>
  </si>
  <si>
    <t>=IF(K4788=0,"hide","")</t>
  </si>
  <si>
    <t>=D4787</t>
  </si>
  <si>
    <t>=NL("sum","Production Order","Quantity","Source No.",$D4788,"Equipment Code",$L4788,"due date",F$8)/-12</t>
  </si>
  <si>
    <t>=NL("sum","Production Order","Quantity","Source No.",$D4788,"Equipment Code",$L4788,"due date",G$8)/-12</t>
  </si>
  <si>
    <t>=NL("sum","Production Order","Quantity","Source No.",$D4788,"Equipment Code",$L4788,"due date",H$8)/-12</t>
  </si>
  <si>
    <t>=NL("sum","Production Order","Quantity","Source No.",$D4788,"Equipment Code",$L4788,"due date",I$8)/-12</t>
  </si>
  <si>
    <t>=NL("sum","Production Order","Quantity","Source No.",$D4788,"Equipment Code",$L4788,"due date",J$8)/$J$7</t>
  </si>
  <si>
    <t>=AVERAGE(I4788:J4788)</t>
  </si>
  <si>
    <t>=IF(K4789=0,"hide","")</t>
  </si>
  <si>
    <t>=D4788</t>
  </si>
  <si>
    <t>=NL("sum","Production Order","Quantity","Source No.",$D4789,"Equipment Code",$L4789,"due date",F$8)/-12</t>
  </si>
  <si>
    <t>=NL("sum","Production Order","Quantity","Source No.",$D4789,"Equipment Code",$L4789,"due date",G$8)/-12</t>
  </si>
  <si>
    <t>=NL("sum","Production Order","Quantity","Source No.",$D4789,"Equipment Code",$L4789,"due date",H$8)/-12</t>
  </si>
  <si>
    <t>=NL("sum","Production Order","Quantity","Source No.",$D4789,"Equipment Code",$L4789,"due date",I$8)/-12</t>
  </si>
  <si>
    <t>=NL("sum","Production Order","Quantity","Source No.",$D4789,"Equipment Code",$L4789,"due date",J$8)/$J$7</t>
  </si>
  <si>
    <t>=AVERAGE(I4789:J4789)</t>
  </si>
  <si>
    <t>=IF(K4790=0,"hide","")</t>
  </si>
  <si>
    <t>=D4789</t>
  </si>
  <si>
    <t>=NL("sum","Production Order","Quantity","Source No.",$D4790,"Equipment Code",$L4790,"due date",F$8)/-12</t>
  </si>
  <si>
    <t>=NL("sum","Production Order","Quantity","Source No.",$D4790,"Equipment Code",$L4790,"due date",G$8)/-12</t>
  </si>
  <si>
    <t>=NL("sum","Production Order","Quantity","Source No.",$D4790,"Equipment Code",$L4790,"due date",H$8)/-12</t>
  </si>
  <si>
    <t>=NL("sum","Production Order","Quantity","Source No.",$D4790,"Equipment Code",$L4790,"due date",I$8)/-12</t>
  </si>
  <si>
    <t>=NL("sum","Production Order","Quantity","Source No.",$D4790,"Equipment Code",$L4790,"due date",J$8)/$J$7</t>
  </si>
  <si>
    <t>=AVERAGE(I4790:J4790)</t>
  </si>
  <si>
    <t>=B4787</t>
  </si>
  <si>
    <t>=B4791</t>
  </si>
  <si>
    <t>=SUM(F4787:F4791)</t>
  </si>
  <si>
    <t>=SUM(G4787:G4791)</t>
  </si>
  <si>
    <t>=SUM(H4787:H4791)</t>
  </si>
  <si>
    <t>=SUM(I4787:I4791)</t>
  </si>
  <si>
    <t>=SUM(J4787:J4791)</t>
  </si>
  <si>
    <t>=IF(K4793=0,"hide","")</t>
  </si>
  <si>
    <t>="85193"</t>
  </si>
  <si>
    <t>=NL("rows","Production BOM Version","Version Code","Production BOM No.",D4793,"status","certified")</t>
  </si>
  <si>
    <t>=NL("sum","Item Ledger Entry","Quantity","Item No.",$D4793,"Entry Type","Sale|Consumption","posting date","01/01/19..12/31/19")/-12</t>
  </si>
  <si>
    <t>=NL("sum","Item Ledger Entry","Quantity","Item No.",$D4793,"Entry Type","Sale|Consumption","posting date","01/01/20..12/31/20")/-12</t>
  </si>
  <si>
    <t>=NL("sum","Item Ledger Entry","Quantity","Item No.",$D4793,"Entry Type","Sale|Consumption","posting date","01/01/21..12/31/21")/-12</t>
  </si>
  <si>
    <t>=NL("sum","Item Ledger Entry","Quantity","Item No.",$D4793,"Entry Type","Sale|Consumption","posting date","01/01/22..12/31/22")/-12</t>
  </si>
  <si>
    <t>=NL("sum","Item Ledger Entry","Quantity","Item No.",$D4793,"Entry Type","Sale|Consumption","posting date","01/01/23..12/31/23")/$J$7</t>
  </si>
  <si>
    <t>=AVERAGE(I4793:J4793)</t>
  </si>
  <si>
    <t>=NL(1,"item",L$9,"no.",D4793)</t>
  </si>
  <si>
    <t>=NL(1,"item",M$9,"no.",$D4793)</t>
  </si>
  <si>
    <t>=NL(1,"item","Units Per Parcel","no.",$D4793)</t>
  </si>
  <si>
    <t>=NL(1,"Prod. BOM Equipment","Fixed Prod. Time (Hours)","Production BOM No.",$D4793,"version code",$E4793,"Resource No.",O$9)</t>
  </si>
  <si>
    <t>=1/O4793</t>
  </si>
  <si>
    <t>=IF(NL(1,"Prod. BOM Equipment","Variable Prod. Time (Hours)","Production BOM No.",$D4793,"version code",$E4793,"Resource No.",$O$9)="",1,NL(1,"Prod. BOM Equipment","Variable Prod. Time (Hours)","Production BOM No.",$D4793,"version code",$E4793,"Resource No.",$O$9))</t>
  </si>
  <si>
    <t>=1/Q4793</t>
  </si>
  <si>
    <t>=R4793*N4793</t>
  </si>
  <si>
    <t>=IF(K4794=0,"hide","")</t>
  </si>
  <si>
    <t>=D4793</t>
  </si>
  <si>
    <t>=NL("sum","Production Order","Quantity","Source No.",$D4794,"Equipment Code",$L4794,"due date",F$8)/-12</t>
  </si>
  <si>
    <t>=NL("sum","Production Order","Quantity","Source No.",$D4794,"Equipment Code",$L4794,"due date",G$8)/-12</t>
  </si>
  <si>
    <t>=NL("sum","Production Order","Quantity","Source No.",$D4794,"Equipment Code",$L4794,"due date",H$8)/-12</t>
  </si>
  <si>
    <t>=NL("sum","Production Order","Quantity","Source No.",$D4794,"Equipment Code",$L4794,"due date",I$8)/-12</t>
  </si>
  <si>
    <t>=NL("sum","Production Order","Quantity","Source No.",$D4794,"Equipment Code",$L4794,"due date",J$8)/$J$7</t>
  </si>
  <si>
    <t>=AVERAGE(I4794:J4794)</t>
  </si>
  <si>
    <t>=IF(K4795=0,"hide","")</t>
  </si>
  <si>
    <t>=D4794</t>
  </si>
  <si>
    <t>=NL("sum","Production Order","Quantity","Source No.",$D4795,"Equipment Code",$L4795,"due date",F$8)/-12</t>
  </si>
  <si>
    <t>=NL("sum","Production Order","Quantity","Source No.",$D4795,"Equipment Code",$L4795,"due date",G$8)/-12</t>
  </si>
  <si>
    <t>=NL("sum","Production Order","Quantity","Source No.",$D4795,"Equipment Code",$L4795,"due date",H$8)/-12</t>
  </si>
  <si>
    <t>=NL("sum","Production Order","Quantity","Source No.",$D4795,"Equipment Code",$L4795,"due date",I$8)/-12</t>
  </si>
  <si>
    <t>=NL("sum","Production Order","Quantity","Source No.",$D4795,"Equipment Code",$L4795,"due date",J$8)/$J$7</t>
  </si>
  <si>
    <t>=AVERAGE(I4795:J4795)</t>
  </si>
  <si>
    <t>=IF(K4796=0,"hide","")</t>
  </si>
  <si>
    <t>=D4795</t>
  </si>
  <si>
    <t>=NL("sum","Production Order","Quantity","Source No.",$D4796,"Equipment Code",$L4796,"due date",F$8)/-12</t>
  </si>
  <si>
    <t>=NL("sum","Production Order","Quantity","Source No.",$D4796,"Equipment Code",$L4796,"due date",G$8)/-12</t>
  </si>
  <si>
    <t>=NL("sum","Production Order","Quantity","Source No.",$D4796,"Equipment Code",$L4796,"due date",H$8)/-12</t>
  </si>
  <si>
    <t>=NL("sum","Production Order","Quantity","Source No.",$D4796,"Equipment Code",$L4796,"due date",I$8)/-12</t>
  </si>
  <si>
    <t>=NL("sum","Production Order","Quantity","Source No.",$D4796,"Equipment Code",$L4796,"due date",J$8)/$J$7</t>
  </si>
  <si>
    <t>=AVERAGE(I4796:J4796)</t>
  </si>
  <si>
    <t>=IF(K4797=0,"hide","")</t>
  </si>
  <si>
    <t>=D4796</t>
  </si>
  <si>
    <t>=NL("sum","Production Order","Quantity","Source No.",$D4797,"Equipment Code",$L4797,"due date",F$8)/-12</t>
  </si>
  <si>
    <t>=NL("sum","Production Order","Quantity","Source No.",$D4797,"Equipment Code",$L4797,"due date",G$8)/-12</t>
  </si>
  <si>
    <t>=NL("sum","Production Order","Quantity","Source No.",$D4797,"Equipment Code",$L4797,"due date",H$8)/-12</t>
  </si>
  <si>
    <t>=NL("sum","Production Order","Quantity","Source No.",$D4797,"Equipment Code",$L4797,"due date",I$8)/-12</t>
  </si>
  <si>
    <t>=NL("sum","Production Order","Quantity","Source No.",$D4797,"Equipment Code",$L4797,"due date",J$8)/$J$7</t>
  </si>
  <si>
    <t>=AVERAGE(I4797:J4797)</t>
  </si>
  <si>
    <t>=B4794</t>
  </si>
  <si>
    <t>=B4798</t>
  </si>
  <si>
    <t>=SUM(F4794:F4798)</t>
  </si>
  <si>
    <t>=SUM(G4794:G4798)</t>
  </si>
  <si>
    <t>=SUM(H4794:H4798)</t>
  </si>
  <si>
    <t>=SUM(I4794:I4798)</t>
  </si>
  <si>
    <t>=SUM(J4794:J4798)</t>
  </si>
  <si>
    <t>=IF(K4800=0,"hide","")</t>
  </si>
  <si>
    <t>="85195"</t>
  </si>
  <si>
    <t>=NL("rows","Production BOM Version","Version Code","Production BOM No.",D4800,"status","certified")</t>
  </si>
  <si>
    <t>=NL("sum","Item Ledger Entry","Quantity","Item No.",$D4800,"Entry Type","Sale|Consumption","posting date","01/01/19..12/31/19")/-12</t>
  </si>
  <si>
    <t>=NL("sum","Item Ledger Entry","Quantity","Item No.",$D4800,"Entry Type","Sale|Consumption","posting date","01/01/20..12/31/20")/-12</t>
  </si>
  <si>
    <t>=NL("sum","Item Ledger Entry","Quantity","Item No.",$D4800,"Entry Type","Sale|Consumption","posting date","01/01/21..12/31/21")/-12</t>
  </si>
  <si>
    <t>=NL("sum","Item Ledger Entry","Quantity","Item No.",$D4800,"Entry Type","Sale|Consumption","posting date","01/01/22..12/31/22")/-12</t>
  </si>
  <si>
    <t>=NL("sum","Item Ledger Entry","Quantity","Item No.",$D4800,"Entry Type","Sale|Consumption","posting date","01/01/23..12/31/23")/$J$7</t>
  </si>
  <si>
    <t>=AVERAGE(I4800:J4800)</t>
  </si>
  <si>
    <t>=NL(1,"item",L$9,"no.",D4800)</t>
  </si>
  <si>
    <t>=NL(1,"item",M$9,"no.",$D4800)</t>
  </si>
  <si>
    <t>=NL(1,"item","Units Per Parcel","no.",$D4800)</t>
  </si>
  <si>
    <t>=NL(1,"Prod. BOM Equipment","Fixed Prod. Time (Hours)","Production BOM No.",$D4800,"version code",$E4800,"Resource No.",O$9)</t>
  </si>
  <si>
    <t>=1/O4800</t>
  </si>
  <si>
    <t>=IF(NL(1,"Prod. BOM Equipment","Variable Prod. Time (Hours)","Production BOM No.",$D4800,"version code",$E4800,"Resource No.",$O$9)="",1,NL(1,"Prod. BOM Equipment","Variable Prod. Time (Hours)","Production BOM No.",$D4800,"version code",$E4800,"Resource No.",$O$9))</t>
  </si>
  <si>
    <t>=1/Q4800</t>
  </si>
  <si>
    <t>=R4800*N4800</t>
  </si>
  <si>
    <t>=IF(K4801=0,"hide","")</t>
  </si>
  <si>
    <t>=D4800</t>
  </si>
  <si>
    <t>=NL("sum","Production Order","Quantity","Source No.",$D4801,"Equipment Code",$L4801,"due date",F$8)/-12</t>
  </si>
  <si>
    <t>=NL("sum","Production Order","Quantity","Source No.",$D4801,"Equipment Code",$L4801,"due date",G$8)/-12</t>
  </si>
  <si>
    <t>=NL("sum","Production Order","Quantity","Source No.",$D4801,"Equipment Code",$L4801,"due date",H$8)/-12</t>
  </si>
  <si>
    <t>=NL("sum","Production Order","Quantity","Source No.",$D4801,"Equipment Code",$L4801,"due date",I$8)/-12</t>
  </si>
  <si>
    <t>=NL("sum","Production Order","Quantity","Source No.",$D4801,"Equipment Code",$L4801,"due date",J$8)/$J$7</t>
  </si>
  <si>
    <t>=AVERAGE(I4801:J4801)</t>
  </si>
  <si>
    <t>=IF(K4802=0,"hide","")</t>
  </si>
  <si>
    <t>=D4801</t>
  </si>
  <si>
    <t>=NL("sum","Production Order","Quantity","Source No.",$D4802,"Equipment Code",$L4802,"due date",F$8)/-12</t>
  </si>
  <si>
    <t>=NL("sum","Production Order","Quantity","Source No.",$D4802,"Equipment Code",$L4802,"due date",G$8)/-12</t>
  </si>
  <si>
    <t>=NL("sum","Production Order","Quantity","Source No.",$D4802,"Equipment Code",$L4802,"due date",H$8)/-12</t>
  </si>
  <si>
    <t>=NL("sum","Production Order","Quantity","Source No.",$D4802,"Equipment Code",$L4802,"due date",I$8)/-12</t>
  </si>
  <si>
    <t>=NL("sum","Production Order","Quantity","Source No.",$D4802,"Equipment Code",$L4802,"due date",J$8)/$J$7</t>
  </si>
  <si>
    <t>=AVERAGE(I4802:J4802)</t>
  </si>
  <si>
    <t>=IF(K4803=0,"hide","")</t>
  </si>
  <si>
    <t>=D4802</t>
  </si>
  <si>
    <t>=NL("sum","Production Order","Quantity","Source No.",$D4803,"Equipment Code",$L4803,"due date",F$8)/-12</t>
  </si>
  <si>
    <t>=NL("sum","Production Order","Quantity","Source No.",$D4803,"Equipment Code",$L4803,"due date",G$8)/-12</t>
  </si>
  <si>
    <t>=NL("sum","Production Order","Quantity","Source No.",$D4803,"Equipment Code",$L4803,"due date",H$8)/-12</t>
  </si>
  <si>
    <t>=NL("sum","Production Order","Quantity","Source No.",$D4803,"Equipment Code",$L4803,"due date",I$8)/-12</t>
  </si>
  <si>
    <t>=NL("sum","Production Order","Quantity","Source No.",$D4803,"Equipment Code",$L4803,"due date",J$8)/$J$7</t>
  </si>
  <si>
    <t>=AVERAGE(I4803:J4803)</t>
  </si>
  <si>
    <t>=IF(K4804=0,"hide","")</t>
  </si>
  <si>
    <t>=D4803</t>
  </si>
  <si>
    <t>=NL("sum","Production Order","Quantity","Source No.",$D4804,"Equipment Code",$L4804,"due date",F$8)/-12</t>
  </si>
  <si>
    <t>=NL("sum","Production Order","Quantity","Source No.",$D4804,"Equipment Code",$L4804,"due date",G$8)/-12</t>
  </si>
  <si>
    <t>=NL("sum","Production Order","Quantity","Source No.",$D4804,"Equipment Code",$L4804,"due date",H$8)/-12</t>
  </si>
  <si>
    <t>=NL("sum","Production Order","Quantity","Source No.",$D4804,"Equipment Code",$L4804,"due date",I$8)/-12</t>
  </si>
  <si>
    <t>=NL("sum","Production Order","Quantity","Source No.",$D4804,"Equipment Code",$L4804,"due date",J$8)/$J$7</t>
  </si>
  <si>
    <t>=AVERAGE(I4804:J4804)</t>
  </si>
  <si>
    <t>=B4801</t>
  </si>
  <si>
    <t>=B4805</t>
  </si>
  <si>
    <t>=SUM(F4801:F4805)</t>
  </si>
  <si>
    <t>=SUM(G4801:G4805)</t>
  </si>
  <si>
    <t>=SUM(H4801:H4805)</t>
  </si>
  <si>
    <t>=SUM(I4801:I4805)</t>
  </si>
  <si>
    <t>=SUM(J4801:J4805)</t>
  </si>
  <si>
    <t>=IF(K4807=0,"hide","")</t>
  </si>
  <si>
    <t>="85303"</t>
  </si>
  <si>
    <t>=NL("rows","Production BOM Version","Version Code","Production BOM No.",D4807,"status","certified")</t>
  </si>
  <si>
    <t>=NL("sum","Item Ledger Entry","Quantity","Item No.",$D4807,"Entry Type","Sale|Consumption","posting date","01/01/19..12/31/19")/-12</t>
  </si>
  <si>
    <t>=NL("sum","Item Ledger Entry","Quantity","Item No.",$D4807,"Entry Type","Sale|Consumption","posting date","01/01/20..12/31/20")/-12</t>
  </si>
  <si>
    <t>=NL("sum","Item Ledger Entry","Quantity","Item No.",$D4807,"Entry Type","Sale|Consumption","posting date","01/01/21..12/31/21")/-12</t>
  </si>
  <si>
    <t>=NL("sum","Item Ledger Entry","Quantity","Item No.",$D4807,"Entry Type","Sale|Consumption","posting date","01/01/22..12/31/22")/-12</t>
  </si>
  <si>
    <t>=NL("sum","Item Ledger Entry","Quantity","Item No.",$D4807,"Entry Type","Sale|Consumption","posting date","01/01/23..12/31/23")/$J$7</t>
  </si>
  <si>
    <t>=AVERAGE(I4807:J4807)</t>
  </si>
  <si>
    <t>=NL(1,"item",L$9,"no.",D4807)</t>
  </si>
  <si>
    <t>=NL(1,"item",M$9,"no.",$D4807)</t>
  </si>
  <si>
    <t>=NL(1,"item","Units Per Parcel","no.",$D4807)</t>
  </si>
  <si>
    <t>=NL(1,"Prod. BOM Equipment","Fixed Prod. Time (Hours)","Production BOM No.",$D4807,"version code",$E4807,"Resource No.",O$9)</t>
  </si>
  <si>
    <t>=1/O4807</t>
  </si>
  <si>
    <t>=IF(NL(1,"Prod. BOM Equipment","Variable Prod. Time (Hours)","Production BOM No.",$D4807,"version code",$E4807,"Resource No.",$O$9)="",1,NL(1,"Prod. BOM Equipment","Variable Prod. Time (Hours)","Production BOM No.",$D4807,"version code",$E4807,"Resource No.",$O$9))</t>
  </si>
  <si>
    <t>=1/Q4807</t>
  </si>
  <si>
    <t>=R4807*N4807</t>
  </si>
  <si>
    <t>=IF(K4808=0,"hide","")</t>
  </si>
  <si>
    <t>=D4807</t>
  </si>
  <si>
    <t>=NL("sum","Production Order","Quantity","Source No.",$D4808,"Equipment Code",$L4808,"due date",F$8)/-12</t>
  </si>
  <si>
    <t>=NL("sum","Production Order","Quantity","Source No.",$D4808,"Equipment Code",$L4808,"due date",G$8)/-12</t>
  </si>
  <si>
    <t>=NL("sum","Production Order","Quantity","Source No.",$D4808,"Equipment Code",$L4808,"due date",H$8)/-12</t>
  </si>
  <si>
    <t>=NL("sum","Production Order","Quantity","Source No.",$D4808,"Equipment Code",$L4808,"due date",I$8)/-12</t>
  </si>
  <si>
    <t>=NL("sum","Production Order","Quantity","Source No.",$D4808,"Equipment Code",$L4808,"due date",J$8)/$J$7</t>
  </si>
  <si>
    <t>=AVERAGE(I4808:J4808)</t>
  </si>
  <si>
    <t>=IF(K4809=0,"hide","")</t>
  </si>
  <si>
    <t>=D4808</t>
  </si>
  <si>
    <t>=NL("sum","Production Order","Quantity","Source No.",$D4809,"Equipment Code",$L4809,"due date",F$8)/-12</t>
  </si>
  <si>
    <t>=NL("sum","Production Order","Quantity","Source No.",$D4809,"Equipment Code",$L4809,"due date",G$8)/-12</t>
  </si>
  <si>
    <t>=NL("sum","Production Order","Quantity","Source No.",$D4809,"Equipment Code",$L4809,"due date",H$8)/-12</t>
  </si>
  <si>
    <t>=NL("sum","Production Order","Quantity","Source No.",$D4809,"Equipment Code",$L4809,"due date",I$8)/-12</t>
  </si>
  <si>
    <t>=NL("sum","Production Order","Quantity","Source No.",$D4809,"Equipment Code",$L4809,"due date",J$8)/$J$7</t>
  </si>
  <si>
    <t>=AVERAGE(I4809:J4809)</t>
  </si>
  <si>
    <t>=IF(K4810=0,"hide","")</t>
  </si>
  <si>
    <t>=D4809</t>
  </si>
  <si>
    <t>=NL("sum","Production Order","Quantity","Source No.",$D4810,"Equipment Code",$L4810,"due date",F$8)/-12</t>
  </si>
  <si>
    <t>=NL("sum","Production Order","Quantity","Source No.",$D4810,"Equipment Code",$L4810,"due date",G$8)/-12</t>
  </si>
  <si>
    <t>=NL("sum","Production Order","Quantity","Source No.",$D4810,"Equipment Code",$L4810,"due date",H$8)/-12</t>
  </si>
  <si>
    <t>=NL("sum","Production Order","Quantity","Source No.",$D4810,"Equipment Code",$L4810,"due date",I$8)/-12</t>
  </si>
  <si>
    <t>=NL("sum","Production Order","Quantity","Source No.",$D4810,"Equipment Code",$L4810,"due date",J$8)/$J$7</t>
  </si>
  <si>
    <t>=AVERAGE(I4810:J4810)</t>
  </si>
  <si>
    <t>=IF(K4811=0,"hide","")</t>
  </si>
  <si>
    <t>=D4810</t>
  </si>
  <si>
    <t>=NL("sum","Production Order","Quantity","Source No.",$D4811,"Equipment Code",$L4811,"due date",F$8)/-12</t>
  </si>
  <si>
    <t>=NL("sum","Production Order","Quantity","Source No.",$D4811,"Equipment Code",$L4811,"due date",G$8)/-12</t>
  </si>
  <si>
    <t>=NL("sum","Production Order","Quantity","Source No.",$D4811,"Equipment Code",$L4811,"due date",H$8)/-12</t>
  </si>
  <si>
    <t>=NL("sum","Production Order","Quantity","Source No.",$D4811,"Equipment Code",$L4811,"due date",I$8)/-12</t>
  </si>
  <si>
    <t>=NL("sum","Production Order","Quantity","Source No.",$D4811,"Equipment Code",$L4811,"due date",J$8)/$J$7</t>
  </si>
  <si>
    <t>=AVERAGE(I4811:J4811)</t>
  </si>
  <si>
    <t>=B4808</t>
  </si>
  <si>
    <t>=B4812</t>
  </si>
  <si>
    <t>=SUM(F4808:F4812)</t>
  </si>
  <si>
    <t>=SUM(G4808:G4812)</t>
  </si>
  <si>
    <t>=SUM(H4808:H4812)</t>
  </si>
  <si>
    <t>=SUM(I4808:I4812)</t>
  </si>
  <si>
    <t>=SUM(J4808:J4812)</t>
  </si>
  <si>
    <t>=IF(K4814=0,"hide","")</t>
  </si>
  <si>
    <t>="85316"</t>
  </si>
  <si>
    <t>=NL("rows","Production BOM Version","Version Code","Production BOM No.",D4814,"status","certified")</t>
  </si>
  <si>
    <t>=NL("sum","Item Ledger Entry","Quantity","Item No.",$D4814,"Entry Type","Sale|Consumption","posting date","01/01/19..12/31/19")/-12</t>
  </si>
  <si>
    <t>=NL("sum","Item Ledger Entry","Quantity","Item No.",$D4814,"Entry Type","Sale|Consumption","posting date","01/01/20..12/31/20")/-12</t>
  </si>
  <si>
    <t>=NL("sum","Item Ledger Entry","Quantity","Item No.",$D4814,"Entry Type","Sale|Consumption","posting date","01/01/21..12/31/21")/-12</t>
  </si>
  <si>
    <t>=NL("sum","Item Ledger Entry","Quantity","Item No.",$D4814,"Entry Type","Sale|Consumption","posting date","01/01/22..12/31/22")/-12</t>
  </si>
  <si>
    <t>=NL("sum","Item Ledger Entry","Quantity","Item No.",$D4814,"Entry Type","Sale|Consumption","posting date","01/01/23..12/31/23")/$J$7</t>
  </si>
  <si>
    <t>=AVERAGE(I4814:J4814)</t>
  </si>
  <si>
    <t>=NL(1,"item",L$9,"no.",D4814)</t>
  </si>
  <si>
    <t>=NL(1,"item",M$9,"no.",$D4814)</t>
  </si>
  <si>
    <t>=NL(1,"item","Units Per Parcel","no.",$D4814)</t>
  </si>
  <si>
    <t>=NL(1,"Prod. BOM Equipment","Fixed Prod. Time (Hours)","Production BOM No.",$D4814,"version code",$E4814,"Resource No.",O$9)</t>
  </si>
  <si>
    <t>=1/O4814</t>
  </si>
  <si>
    <t>=IF(NL(1,"Prod. BOM Equipment","Variable Prod. Time (Hours)","Production BOM No.",$D4814,"version code",$E4814,"Resource No.",$O$9)="",1,NL(1,"Prod. BOM Equipment","Variable Prod. Time (Hours)","Production BOM No.",$D4814,"version code",$E4814,"Resource No.",$O$9))</t>
  </si>
  <si>
    <t>=1/Q4814</t>
  </si>
  <si>
    <t>=R4814*N4814</t>
  </si>
  <si>
    <t>=IF(K4815=0,"hide","")</t>
  </si>
  <si>
    <t>=D4814</t>
  </si>
  <si>
    <t>=NL("sum","Production Order","Quantity","Source No.",$D4815,"Equipment Code",$L4815,"due date",F$8)/-12</t>
  </si>
  <si>
    <t>=NL("sum","Production Order","Quantity","Source No.",$D4815,"Equipment Code",$L4815,"due date",G$8)/-12</t>
  </si>
  <si>
    <t>=NL("sum","Production Order","Quantity","Source No.",$D4815,"Equipment Code",$L4815,"due date",H$8)/-12</t>
  </si>
  <si>
    <t>=NL("sum","Production Order","Quantity","Source No.",$D4815,"Equipment Code",$L4815,"due date",I$8)/-12</t>
  </si>
  <si>
    <t>=NL("sum","Production Order","Quantity","Source No.",$D4815,"Equipment Code",$L4815,"due date",J$8)/$J$7</t>
  </si>
  <si>
    <t>=AVERAGE(I4815:J4815)</t>
  </si>
  <si>
    <t>=IF(K4816=0,"hide","")</t>
  </si>
  <si>
    <t>=D4815</t>
  </si>
  <si>
    <t>=NL("sum","Production Order","Quantity","Source No.",$D4816,"Equipment Code",$L4816,"due date",F$8)/-12</t>
  </si>
  <si>
    <t>=NL("sum","Production Order","Quantity","Source No.",$D4816,"Equipment Code",$L4816,"due date",G$8)/-12</t>
  </si>
  <si>
    <t>=NL("sum","Production Order","Quantity","Source No.",$D4816,"Equipment Code",$L4816,"due date",H$8)/-12</t>
  </si>
  <si>
    <t>=NL("sum","Production Order","Quantity","Source No.",$D4816,"Equipment Code",$L4816,"due date",I$8)/-12</t>
  </si>
  <si>
    <t>=NL("sum","Production Order","Quantity","Source No.",$D4816,"Equipment Code",$L4816,"due date",J$8)/$J$7</t>
  </si>
  <si>
    <t>=AVERAGE(I4816:J4816)</t>
  </si>
  <si>
    <t>=IF(K4817=0,"hide","")</t>
  </si>
  <si>
    <t>=D4816</t>
  </si>
  <si>
    <t>=NL("sum","Production Order","Quantity","Source No.",$D4817,"Equipment Code",$L4817,"due date",F$8)/-12</t>
  </si>
  <si>
    <t>=NL("sum","Production Order","Quantity","Source No.",$D4817,"Equipment Code",$L4817,"due date",G$8)/-12</t>
  </si>
  <si>
    <t>=NL("sum","Production Order","Quantity","Source No.",$D4817,"Equipment Code",$L4817,"due date",H$8)/-12</t>
  </si>
  <si>
    <t>=NL("sum","Production Order","Quantity","Source No.",$D4817,"Equipment Code",$L4817,"due date",I$8)/-12</t>
  </si>
  <si>
    <t>=NL("sum","Production Order","Quantity","Source No.",$D4817,"Equipment Code",$L4817,"due date",J$8)/$J$7</t>
  </si>
  <si>
    <t>=AVERAGE(I4817:J4817)</t>
  </si>
  <si>
    <t>=IF(K4818=0,"hide","")</t>
  </si>
  <si>
    <t>=D4817</t>
  </si>
  <si>
    <t>=NL("sum","Production Order","Quantity","Source No.",$D4818,"Equipment Code",$L4818,"due date",F$8)/-12</t>
  </si>
  <si>
    <t>=NL("sum","Production Order","Quantity","Source No.",$D4818,"Equipment Code",$L4818,"due date",G$8)/-12</t>
  </si>
  <si>
    <t>=NL("sum","Production Order","Quantity","Source No.",$D4818,"Equipment Code",$L4818,"due date",H$8)/-12</t>
  </si>
  <si>
    <t>=NL("sum","Production Order","Quantity","Source No.",$D4818,"Equipment Code",$L4818,"due date",I$8)/-12</t>
  </si>
  <si>
    <t>=NL("sum","Production Order","Quantity","Source No.",$D4818,"Equipment Code",$L4818,"due date",J$8)/$J$7</t>
  </si>
  <si>
    <t>=AVERAGE(I4818:J4818)</t>
  </si>
  <si>
    <t>=B4815</t>
  </si>
  <si>
    <t>=B4819</t>
  </si>
  <si>
    <t>=SUM(F4815:F4819)</t>
  </si>
  <si>
    <t>=SUM(G4815:G4819)</t>
  </si>
  <si>
    <t>=SUM(H4815:H4819)</t>
  </si>
  <si>
    <t>=SUM(I4815:I4819)</t>
  </si>
  <si>
    <t>=SUM(J4815:J4819)</t>
  </si>
  <si>
    <t>=IF(K4821=0,"hide","")</t>
  </si>
  <si>
    <t>="85324"</t>
  </si>
  <si>
    <t>=NL("rows","Production BOM Version","Version Code","Production BOM No.",D4821,"status","certified")</t>
  </si>
  <si>
    <t>=NL("sum","Item Ledger Entry","Quantity","Item No.",$D4821,"Entry Type","Sale|Consumption","posting date","01/01/19..12/31/19")/-12</t>
  </si>
  <si>
    <t>=NL("sum","Item Ledger Entry","Quantity","Item No.",$D4821,"Entry Type","Sale|Consumption","posting date","01/01/20..12/31/20")/-12</t>
  </si>
  <si>
    <t>=NL("sum","Item Ledger Entry","Quantity","Item No.",$D4821,"Entry Type","Sale|Consumption","posting date","01/01/21..12/31/21")/-12</t>
  </si>
  <si>
    <t>=NL("sum","Item Ledger Entry","Quantity","Item No.",$D4821,"Entry Type","Sale|Consumption","posting date","01/01/22..12/31/22")/-12</t>
  </si>
  <si>
    <t>=NL("sum","Item Ledger Entry","Quantity","Item No.",$D4821,"Entry Type","Sale|Consumption","posting date","01/01/23..12/31/23")/$J$7</t>
  </si>
  <si>
    <t>=AVERAGE(I4821:J4821)</t>
  </si>
  <si>
    <t>=NL(1,"item",L$9,"no.",D4821)</t>
  </si>
  <si>
    <t>=NL(1,"item",M$9,"no.",$D4821)</t>
  </si>
  <si>
    <t>=NL(1,"item","Units Per Parcel","no.",$D4821)</t>
  </si>
  <si>
    <t>=NL(1,"Prod. BOM Equipment","Fixed Prod. Time (Hours)","Production BOM No.",$D4821,"version code",$E4821,"Resource No.",O$9)</t>
  </si>
  <si>
    <t>=1/O4821</t>
  </si>
  <si>
    <t>=IF(NL(1,"Prod. BOM Equipment","Variable Prod. Time (Hours)","Production BOM No.",$D4821,"version code",$E4821,"Resource No.",$O$9)="",1,NL(1,"Prod. BOM Equipment","Variable Prod. Time (Hours)","Production BOM No.",$D4821,"version code",$E4821,"Resource No.",$O$9))</t>
  </si>
  <si>
    <t>=1/Q4821</t>
  </si>
  <si>
    <t>=R4821*N4821</t>
  </si>
  <si>
    <t>=IF(K4822=0,"hide","")</t>
  </si>
  <si>
    <t>=D4821</t>
  </si>
  <si>
    <t>=NL("sum","Production Order","Quantity","Source No.",$D4822,"Equipment Code",$L4822,"due date",F$8)/-12</t>
  </si>
  <si>
    <t>=NL("sum","Production Order","Quantity","Source No.",$D4822,"Equipment Code",$L4822,"due date",G$8)/-12</t>
  </si>
  <si>
    <t>=NL("sum","Production Order","Quantity","Source No.",$D4822,"Equipment Code",$L4822,"due date",H$8)/-12</t>
  </si>
  <si>
    <t>=NL("sum","Production Order","Quantity","Source No.",$D4822,"Equipment Code",$L4822,"due date",I$8)/-12</t>
  </si>
  <si>
    <t>=NL("sum","Production Order","Quantity","Source No.",$D4822,"Equipment Code",$L4822,"due date",J$8)/$J$7</t>
  </si>
  <si>
    <t>=AVERAGE(I4822:J4822)</t>
  </si>
  <si>
    <t>=IF(K4823=0,"hide","")</t>
  </si>
  <si>
    <t>=D4822</t>
  </si>
  <si>
    <t>=NL("sum","Production Order","Quantity","Source No.",$D4823,"Equipment Code",$L4823,"due date",F$8)/-12</t>
  </si>
  <si>
    <t>=NL("sum","Production Order","Quantity","Source No.",$D4823,"Equipment Code",$L4823,"due date",G$8)/-12</t>
  </si>
  <si>
    <t>=NL("sum","Production Order","Quantity","Source No.",$D4823,"Equipment Code",$L4823,"due date",H$8)/-12</t>
  </si>
  <si>
    <t>=NL("sum","Production Order","Quantity","Source No.",$D4823,"Equipment Code",$L4823,"due date",I$8)/-12</t>
  </si>
  <si>
    <t>=NL("sum","Production Order","Quantity","Source No.",$D4823,"Equipment Code",$L4823,"due date",J$8)/$J$7</t>
  </si>
  <si>
    <t>=AVERAGE(I4823:J4823)</t>
  </si>
  <si>
    <t>=IF(K4824=0,"hide","")</t>
  </si>
  <si>
    <t>=D4823</t>
  </si>
  <si>
    <t>=NL("sum","Production Order","Quantity","Source No.",$D4824,"Equipment Code",$L4824,"due date",F$8)/-12</t>
  </si>
  <si>
    <t>=NL("sum","Production Order","Quantity","Source No.",$D4824,"Equipment Code",$L4824,"due date",G$8)/-12</t>
  </si>
  <si>
    <t>=NL("sum","Production Order","Quantity","Source No.",$D4824,"Equipment Code",$L4824,"due date",H$8)/-12</t>
  </si>
  <si>
    <t>=NL("sum","Production Order","Quantity","Source No.",$D4824,"Equipment Code",$L4824,"due date",I$8)/-12</t>
  </si>
  <si>
    <t>=NL("sum","Production Order","Quantity","Source No.",$D4824,"Equipment Code",$L4824,"due date",J$8)/$J$7</t>
  </si>
  <si>
    <t>=AVERAGE(I4824:J4824)</t>
  </si>
  <si>
    <t>=IF(K4825=0,"hide","")</t>
  </si>
  <si>
    <t>=D4824</t>
  </si>
  <si>
    <t>=NL("sum","Production Order","Quantity","Source No.",$D4825,"Equipment Code",$L4825,"due date",F$8)/-12</t>
  </si>
  <si>
    <t>=NL("sum","Production Order","Quantity","Source No.",$D4825,"Equipment Code",$L4825,"due date",G$8)/-12</t>
  </si>
  <si>
    <t>=NL("sum","Production Order","Quantity","Source No.",$D4825,"Equipment Code",$L4825,"due date",H$8)/-12</t>
  </si>
  <si>
    <t>=NL("sum","Production Order","Quantity","Source No.",$D4825,"Equipment Code",$L4825,"due date",I$8)/-12</t>
  </si>
  <si>
    <t>=NL("sum","Production Order","Quantity","Source No.",$D4825,"Equipment Code",$L4825,"due date",J$8)/$J$7</t>
  </si>
  <si>
    <t>=AVERAGE(I4825:J4825)</t>
  </si>
  <si>
    <t>=B4822</t>
  </si>
  <si>
    <t>=B4826</t>
  </si>
  <si>
    <t>=SUM(F4822:F4826)</t>
  </si>
  <si>
    <t>=SUM(G4822:G4826)</t>
  </si>
  <si>
    <t>=SUM(H4822:H4826)</t>
  </si>
  <si>
    <t>=SUM(I4822:I4826)</t>
  </si>
  <si>
    <t>=SUM(J4822:J4826)</t>
  </si>
  <si>
    <t>=IF(K4828=0,"hide","")</t>
  </si>
  <si>
    <t>="85325"</t>
  </si>
  <si>
    <t>=NL("rows","Production BOM Version","Version Code","Production BOM No.",D4828,"status","certified")</t>
  </si>
  <si>
    <t>=NL("sum","Item Ledger Entry","Quantity","Item No.",$D4828,"Entry Type","Sale|Consumption","posting date","01/01/19..12/31/19")/-12</t>
  </si>
  <si>
    <t>=NL("sum","Item Ledger Entry","Quantity","Item No.",$D4828,"Entry Type","Sale|Consumption","posting date","01/01/20..12/31/20")/-12</t>
  </si>
  <si>
    <t>=NL("sum","Item Ledger Entry","Quantity","Item No.",$D4828,"Entry Type","Sale|Consumption","posting date","01/01/21..12/31/21")/-12</t>
  </si>
  <si>
    <t>=NL("sum","Item Ledger Entry","Quantity","Item No.",$D4828,"Entry Type","Sale|Consumption","posting date","01/01/22..12/31/22")/-12</t>
  </si>
  <si>
    <t>=NL("sum","Item Ledger Entry","Quantity","Item No.",$D4828,"Entry Type","Sale|Consumption","posting date","01/01/23..12/31/23")/$J$7</t>
  </si>
  <si>
    <t>=AVERAGE(I4828:J4828)</t>
  </si>
  <si>
    <t>=NL(1,"item",L$9,"no.",D4828)</t>
  </si>
  <si>
    <t>=NL(1,"item",M$9,"no.",$D4828)</t>
  </si>
  <si>
    <t>=NL(1,"item","Units Per Parcel","no.",$D4828)</t>
  </si>
  <si>
    <t>=NL(1,"Prod. BOM Equipment","Fixed Prod. Time (Hours)","Production BOM No.",$D4828,"version code",$E4828,"Resource No.",O$9)</t>
  </si>
  <si>
    <t>=1/O4828</t>
  </si>
  <si>
    <t>=IF(NL(1,"Prod. BOM Equipment","Variable Prod. Time (Hours)","Production BOM No.",$D4828,"version code",$E4828,"Resource No.",$O$9)="",1,NL(1,"Prod. BOM Equipment","Variable Prod. Time (Hours)","Production BOM No.",$D4828,"version code",$E4828,"Resource No.",$O$9))</t>
  </si>
  <si>
    <t>=1/Q4828</t>
  </si>
  <si>
    <t>=R4828*N4828</t>
  </si>
  <si>
    <t>=IF(K4829=0,"hide","")</t>
  </si>
  <si>
    <t>=D4828</t>
  </si>
  <si>
    <t>=NL("sum","Production Order","Quantity","Source No.",$D4829,"Equipment Code",$L4829,"due date",F$8)/-12</t>
  </si>
  <si>
    <t>=NL("sum","Production Order","Quantity","Source No.",$D4829,"Equipment Code",$L4829,"due date",G$8)/-12</t>
  </si>
  <si>
    <t>=NL("sum","Production Order","Quantity","Source No.",$D4829,"Equipment Code",$L4829,"due date",H$8)/-12</t>
  </si>
  <si>
    <t>=NL("sum","Production Order","Quantity","Source No.",$D4829,"Equipment Code",$L4829,"due date",I$8)/-12</t>
  </si>
  <si>
    <t>=NL("sum","Production Order","Quantity","Source No.",$D4829,"Equipment Code",$L4829,"due date",J$8)/$J$7</t>
  </si>
  <si>
    <t>=AVERAGE(I4829:J4829)</t>
  </si>
  <si>
    <t>=IF(K4830=0,"hide","")</t>
  </si>
  <si>
    <t>=D4829</t>
  </si>
  <si>
    <t>=NL("sum","Production Order","Quantity","Source No.",$D4830,"Equipment Code",$L4830,"due date",F$8)/-12</t>
  </si>
  <si>
    <t>=NL("sum","Production Order","Quantity","Source No.",$D4830,"Equipment Code",$L4830,"due date",G$8)/-12</t>
  </si>
  <si>
    <t>=NL("sum","Production Order","Quantity","Source No.",$D4830,"Equipment Code",$L4830,"due date",H$8)/-12</t>
  </si>
  <si>
    <t>=NL("sum","Production Order","Quantity","Source No.",$D4830,"Equipment Code",$L4830,"due date",I$8)/-12</t>
  </si>
  <si>
    <t>=NL("sum","Production Order","Quantity","Source No.",$D4830,"Equipment Code",$L4830,"due date",J$8)/$J$7</t>
  </si>
  <si>
    <t>=AVERAGE(I4830:J4830)</t>
  </si>
  <si>
    <t>=IF(K4831=0,"hide","")</t>
  </si>
  <si>
    <t>=D4830</t>
  </si>
  <si>
    <t>=NL("sum","Production Order","Quantity","Source No.",$D4831,"Equipment Code",$L4831,"due date",F$8)/-12</t>
  </si>
  <si>
    <t>=NL("sum","Production Order","Quantity","Source No.",$D4831,"Equipment Code",$L4831,"due date",G$8)/-12</t>
  </si>
  <si>
    <t>=NL("sum","Production Order","Quantity","Source No.",$D4831,"Equipment Code",$L4831,"due date",H$8)/-12</t>
  </si>
  <si>
    <t>=NL("sum","Production Order","Quantity","Source No.",$D4831,"Equipment Code",$L4831,"due date",I$8)/-12</t>
  </si>
  <si>
    <t>=NL("sum","Production Order","Quantity","Source No.",$D4831,"Equipment Code",$L4831,"due date",J$8)/$J$7</t>
  </si>
  <si>
    <t>=AVERAGE(I4831:J4831)</t>
  </si>
  <si>
    <t>=IF(K4832=0,"hide","")</t>
  </si>
  <si>
    <t>=D4831</t>
  </si>
  <si>
    <t>=NL("sum","Production Order","Quantity","Source No.",$D4832,"Equipment Code",$L4832,"due date",F$8)/-12</t>
  </si>
  <si>
    <t>=NL("sum","Production Order","Quantity","Source No.",$D4832,"Equipment Code",$L4832,"due date",G$8)/-12</t>
  </si>
  <si>
    <t>=NL("sum","Production Order","Quantity","Source No.",$D4832,"Equipment Code",$L4832,"due date",H$8)/-12</t>
  </si>
  <si>
    <t>=NL("sum","Production Order","Quantity","Source No.",$D4832,"Equipment Code",$L4832,"due date",I$8)/-12</t>
  </si>
  <si>
    <t>=NL("sum","Production Order","Quantity","Source No.",$D4832,"Equipment Code",$L4832,"due date",J$8)/$J$7</t>
  </si>
  <si>
    <t>=AVERAGE(I4832:J4832)</t>
  </si>
  <si>
    <t>=B4829</t>
  </si>
  <si>
    <t>=B4833</t>
  </si>
  <si>
    <t>=SUM(F4829:F4833)</t>
  </si>
  <si>
    <t>=SUM(G4829:G4833)</t>
  </si>
  <si>
    <t>=SUM(H4829:H4833)</t>
  </si>
  <si>
    <t>=SUM(I4829:I4833)</t>
  </si>
  <si>
    <t>=SUM(J4829:J4833)</t>
  </si>
  <si>
    <t>=IF(K4835=0,"hide","")</t>
  </si>
  <si>
    <t>="85329"</t>
  </si>
  <si>
    <t>=NL("rows","Production BOM Version","Version Code","Production BOM No.",D4835,"status","certified")</t>
  </si>
  <si>
    <t>=NL("sum","Item Ledger Entry","Quantity","Item No.",$D4835,"Entry Type","Sale|Consumption","posting date","01/01/19..12/31/19")/-12</t>
  </si>
  <si>
    <t>=NL("sum","Item Ledger Entry","Quantity","Item No.",$D4835,"Entry Type","Sale|Consumption","posting date","01/01/20..12/31/20")/-12</t>
  </si>
  <si>
    <t>=NL("sum","Item Ledger Entry","Quantity","Item No.",$D4835,"Entry Type","Sale|Consumption","posting date","01/01/21..12/31/21")/-12</t>
  </si>
  <si>
    <t>=NL("sum","Item Ledger Entry","Quantity","Item No.",$D4835,"Entry Type","Sale|Consumption","posting date","01/01/22..12/31/22")/-12</t>
  </si>
  <si>
    <t>=NL("sum","Item Ledger Entry","Quantity","Item No.",$D4835,"Entry Type","Sale|Consumption","posting date","01/01/23..12/31/23")/$J$7</t>
  </si>
  <si>
    <t>=AVERAGE(I4835:J4835)</t>
  </si>
  <si>
    <t>=NL(1,"item",L$9,"no.",D4835)</t>
  </si>
  <si>
    <t>=NL(1,"item",M$9,"no.",$D4835)</t>
  </si>
  <si>
    <t>=NL(1,"item","Units Per Parcel","no.",$D4835)</t>
  </si>
  <si>
    <t>=NL(1,"Prod. BOM Equipment","Fixed Prod. Time (Hours)","Production BOM No.",$D4835,"version code",$E4835,"Resource No.",O$9)</t>
  </si>
  <si>
    <t>=1/O4835</t>
  </si>
  <si>
    <t>=IF(NL(1,"Prod. BOM Equipment","Variable Prod. Time (Hours)","Production BOM No.",$D4835,"version code",$E4835,"Resource No.",$O$9)="",1,NL(1,"Prod. BOM Equipment","Variable Prod. Time (Hours)","Production BOM No.",$D4835,"version code",$E4835,"Resource No.",$O$9))</t>
  </si>
  <si>
    <t>=1/Q4835</t>
  </si>
  <si>
    <t>=R4835*N4835</t>
  </si>
  <si>
    <t>=IF(K4836=0,"hide","")</t>
  </si>
  <si>
    <t>=D4835</t>
  </si>
  <si>
    <t>=NL("sum","Production Order","Quantity","Source No.",$D4836,"Equipment Code",$L4836,"due date",F$8)/-12</t>
  </si>
  <si>
    <t>=NL("sum","Production Order","Quantity","Source No.",$D4836,"Equipment Code",$L4836,"due date",G$8)/-12</t>
  </si>
  <si>
    <t>=NL("sum","Production Order","Quantity","Source No.",$D4836,"Equipment Code",$L4836,"due date",H$8)/-12</t>
  </si>
  <si>
    <t>=NL("sum","Production Order","Quantity","Source No.",$D4836,"Equipment Code",$L4836,"due date",I$8)/-12</t>
  </si>
  <si>
    <t>=NL("sum","Production Order","Quantity","Source No.",$D4836,"Equipment Code",$L4836,"due date",J$8)/$J$7</t>
  </si>
  <si>
    <t>=AVERAGE(I4836:J4836)</t>
  </si>
  <si>
    <t>=IF(K4837=0,"hide","")</t>
  </si>
  <si>
    <t>=D4836</t>
  </si>
  <si>
    <t>=NL("sum","Production Order","Quantity","Source No.",$D4837,"Equipment Code",$L4837,"due date",F$8)/-12</t>
  </si>
  <si>
    <t>=NL("sum","Production Order","Quantity","Source No.",$D4837,"Equipment Code",$L4837,"due date",G$8)/-12</t>
  </si>
  <si>
    <t>=NL("sum","Production Order","Quantity","Source No.",$D4837,"Equipment Code",$L4837,"due date",H$8)/-12</t>
  </si>
  <si>
    <t>=NL("sum","Production Order","Quantity","Source No.",$D4837,"Equipment Code",$L4837,"due date",I$8)/-12</t>
  </si>
  <si>
    <t>=NL("sum","Production Order","Quantity","Source No.",$D4837,"Equipment Code",$L4837,"due date",J$8)/$J$7</t>
  </si>
  <si>
    <t>=AVERAGE(I4837:J4837)</t>
  </si>
  <si>
    <t>=IF(K4838=0,"hide","")</t>
  </si>
  <si>
    <t>=D4837</t>
  </si>
  <si>
    <t>=NL("sum","Production Order","Quantity","Source No.",$D4838,"Equipment Code",$L4838,"due date",F$8)/-12</t>
  </si>
  <si>
    <t>=NL("sum","Production Order","Quantity","Source No.",$D4838,"Equipment Code",$L4838,"due date",G$8)/-12</t>
  </si>
  <si>
    <t>=NL("sum","Production Order","Quantity","Source No.",$D4838,"Equipment Code",$L4838,"due date",H$8)/-12</t>
  </si>
  <si>
    <t>=NL("sum","Production Order","Quantity","Source No.",$D4838,"Equipment Code",$L4838,"due date",I$8)/-12</t>
  </si>
  <si>
    <t>=NL("sum","Production Order","Quantity","Source No.",$D4838,"Equipment Code",$L4838,"due date",J$8)/$J$7</t>
  </si>
  <si>
    <t>=AVERAGE(I4838:J4838)</t>
  </si>
  <si>
    <t>=IF(K4839=0,"hide","")</t>
  </si>
  <si>
    <t>=D4838</t>
  </si>
  <si>
    <t>=NL("sum","Production Order","Quantity","Source No.",$D4839,"Equipment Code",$L4839,"due date",F$8)/-12</t>
  </si>
  <si>
    <t>=NL("sum","Production Order","Quantity","Source No.",$D4839,"Equipment Code",$L4839,"due date",G$8)/-12</t>
  </si>
  <si>
    <t>=NL("sum","Production Order","Quantity","Source No.",$D4839,"Equipment Code",$L4839,"due date",H$8)/-12</t>
  </si>
  <si>
    <t>=NL("sum","Production Order","Quantity","Source No.",$D4839,"Equipment Code",$L4839,"due date",I$8)/-12</t>
  </si>
  <si>
    <t>=NL("sum","Production Order","Quantity","Source No.",$D4839,"Equipment Code",$L4839,"due date",J$8)/$J$7</t>
  </si>
  <si>
    <t>=AVERAGE(I4839:J4839)</t>
  </si>
  <si>
    <t>=B4836</t>
  </si>
  <si>
    <t>=B4840</t>
  </si>
  <si>
    <t>=SUM(F4836:F4840)</t>
  </si>
  <si>
    <t>=SUM(G4836:G4840)</t>
  </si>
  <si>
    <t>=SUM(H4836:H4840)</t>
  </si>
  <si>
    <t>=SUM(I4836:I4840)</t>
  </si>
  <si>
    <t>=SUM(J4836:J4840)</t>
  </si>
  <si>
    <t>=IF(K4842=0,"hide","")</t>
  </si>
  <si>
    <t>="85336"</t>
  </si>
  <si>
    <t>=NL("rows","Production BOM Version","Version Code","Production BOM No.",D4842,"status","certified")</t>
  </si>
  <si>
    <t>=NL("sum","Item Ledger Entry","Quantity","Item No.",$D4842,"Entry Type","Sale|Consumption","posting date","01/01/19..12/31/19")/-12</t>
  </si>
  <si>
    <t>=NL("sum","Item Ledger Entry","Quantity","Item No.",$D4842,"Entry Type","Sale|Consumption","posting date","01/01/20..12/31/20")/-12</t>
  </si>
  <si>
    <t>=NL("sum","Item Ledger Entry","Quantity","Item No.",$D4842,"Entry Type","Sale|Consumption","posting date","01/01/21..12/31/21")/-12</t>
  </si>
  <si>
    <t>=NL("sum","Item Ledger Entry","Quantity","Item No.",$D4842,"Entry Type","Sale|Consumption","posting date","01/01/22..12/31/22")/-12</t>
  </si>
  <si>
    <t>=NL("sum","Item Ledger Entry","Quantity","Item No.",$D4842,"Entry Type","Sale|Consumption","posting date","01/01/23..12/31/23")/$J$7</t>
  </si>
  <si>
    <t>=AVERAGE(I4842:J4842)</t>
  </si>
  <si>
    <t>=NL(1,"item",L$9,"no.",D4842)</t>
  </si>
  <si>
    <t>=NL(1,"item",M$9,"no.",$D4842)</t>
  </si>
  <si>
    <t>=NL(1,"item","Units Per Parcel","no.",$D4842)</t>
  </si>
  <si>
    <t>=NL(1,"Prod. BOM Equipment","Fixed Prod. Time (Hours)","Production BOM No.",$D4842,"version code",$E4842,"Resource No.",O$9)</t>
  </si>
  <si>
    <t>=1/O4842</t>
  </si>
  <si>
    <t>=IF(NL(1,"Prod. BOM Equipment","Variable Prod. Time (Hours)","Production BOM No.",$D4842,"version code",$E4842,"Resource No.",$O$9)="",1,NL(1,"Prod. BOM Equipment","Variable Prod. Time (Hours)","Production BOM No.",$D4842,"version code",$E4842,"Resource No.",$O$9))</t>
  </si>
  <si>
    <t>=1/Q4842</t>
  </si>
  <si>
    <t>=R4842*N4842</t>
  </si>
  <si>
    <t>=IF(K4843=0,"hide","")</t>
  </si>
  <si>
    <t>=D4842</t>
  </si>
  <si>
    <t>=NL("sum","Production Order","Quantity","Source No.",$D4843,"Equipment Code",$L4843,"due date",F$8)/-12</t>
  </si>
  <si>
    <t>=NL("sum","Production Order","Quantity","Source No.",$D4843,"Equipment Code",$L4843,"due date",G$8)/-12</t>
  </si>
  <si>
    <t>=NL("sum","Production Order","Quantity","Source No.",$D4843,"Equipment Code",$L4843,"due date",H$8)/-12</t>
  </si>
  <si>
    <t>=NL("sum","Production Order","Quantity","Source No.",$D4843,"Equipment Code",$L4843,"due date",I$8)/-12</t>
  </si>
  <si>
    <t>=NL("sum","Production Order","Quantity","Source No.",$D4843,"Equipment Code",$L4843,"due date",J$8)/$J$7</t>
  </si>
  <si>
    <t>=AVERAGE(I4843:J4843)</t>
  </si>
  <si>
    <t>=IF(K4844=0,"hide","")</t>
  </si>
  <si>
    <t>=D4843</t>
  </si>
  <si>
    <t>=NL("sum","Production Order","Quantity","Source No.",$D4844,"Equipment Code",$L4844,"due date",F$8)/-12</t>
  </si>
  <si>
    <t>=NL("sum","Production Order","Quantity","Source No.",$D4844,"Equipment Code",$L4844,"due date",G$8)/-12</t>
  </si>
  <si>
    <t>=NL("sum","Production Order","Quantity","Source No.",$D4844,"Equipment Code",$L4844,"due date",H$8)/-12</t>
  </si>
  <si>
    <t>=NL("sum","Production Order","Quantity","Source No.",$D4844,"Equipment Code",$L4844,"due date",I$8)/-12</t>
  </si>
  <si>
    <t>=NL("sum","Production Order","Quantity","Source No.",$D4844,"Equipment Code",$L4844,"due date",J$8)/$J$7</t>
  </si>
  <si>
    <t>=AVERAGE(I4844:J4844)</t>
  </si>
  <si>
    <t>=IF(K4845=0,"hide","")</t>
  </si>
  <si>
    <t>=D4844</t>
  </si>
  <si>
    <t>=NL("sum","Production Order","Quantity","Source No.",$D4845,"Equipment Code",$L4845,"due date",F$8)/-12</t>
  </si>
  <si>
    <t>=NL("sum","Production Order","Quantity","Source No.",$D4845,"Equipment Code",$L4845,"due date",G$8)/-12</t>
  </si>
  <si>
    <t>=NL("sum","Production Order","Quantity","Source No.",$D4845,"Equipment Code",$L4845,"due date",H$8)/-12</t>
  </si>
  <si>
    <t>=NL("sum","Production Order","Quantity","Source No.",$D4845,"Equipment Code",$L4845,"due date",I$8)/-12</t>
  </si>
  <si>
    <t>=NL("sum","Production Order","Quantity","Source No.",$D4845,"Equipment Code",$L4845,"due date",J$8)/$J$7</t>
  </si>
  <si>
    <t>=AVERAGE(I4845:J4845)</t>
  </si>
  <si>
    <t>=IF(K4846=0,"hide","")</t>
  </si>
  <si>
    <t>=D4845</t>
  </si>
  <si>
    <t>=NL("sum","Production Order","Quantity","Source No.",$D4846,"Equipment Code",$L4846,"due date",F$8)/-12</t>
  </si>
  <si>
    <t>=NL("sum","Production Order","Quantity","Source No.",$D4846,"Equipment Code",$L4846,"due date",G$8)/-12</t>
  </si>
  <si>
    <t>=NL("sum","Production Order","Quantity","Source No.",$D4846,"Equipment Code",$L4846,"due date",H$8)/-12</t>
  </si>
  <si>
    <t>=NL("sum","Production Order","Quantity","Source No.",$D4846,"Equipment Code",$L4846,"due date",I$8)/-12</t>
  </si>
  <si>
    <t>=NL("sum","Production Order","Quantity","Source No.",$D4846,"Equipment Code",$L4846,"due date",J$8)/$J$7</t>
  </si>
  <si>
    <t>=AVERAGE(I4846:J4846)</t>
  </si>
  <si>
    <t>=B4843</t>
  </si>
  <si>
    <t>=B4847</t>
  </si>
  <si>
    <t>=SUM(F4843:F4847)</t>
  </si>
  <si>
    <t>=SUM(G4843:G4847)</t>
  </si>
  <si>
    <t>=SUM(H4843:H4847)</t>
  </si>
  <si>
    <t>=SUM(I4843:I4847)</t>
  </si>
  <si>
    <t>=SUM(J4843:J4847)</t>
  </si>
  <si>
    <t>=IF(K4849=0,"hide","")</t>
  </si>
  <si>
    <t>="85348"</t>
  </si>
  <si>
    <t>=NL("rows","Production BOM Version","Version Code","Production BOM No.",D4849,"status","certified")</t>
  </si>
  <si>
    <t>=NL("sum","Item Ledger Entry","Quantity","Item No.",$D4849,"Entry Type","Sale|Consumption","posting date","01/01/19..12/31/19")/-12</t>
  </si>
  <si>
    <t>=NL("sum","Item Ledger Entry","Quantity","Item No.",$D4849,"Entry Type","Sale|Consumption","posting date","01/01/20..12/31/20")/-12</t>
  </si>
  <si>
    <t>=NL("sum","Item Ledger Entry","Quantity","Item No.",$D4849,"Entry Type","Sale|Consumption","posting date","01/01/21..12/31/21")/-12</t>
  </si>
  <si>
    <t>=NL("sum","Item Ledger Entry","Quantity","Item No.",$D4849,"Entry Type","Sale|Consumption","posting date","01/01/22..12/31/22")/-12</t>
  </si>
  <si>
    <t>=NL("sum","Item Ledger Entry","Quantity","Item No.",$D4849,"Entry Type","Sale|Consumption","posting date","01/01/23..12/31/23")/$J$7</t>
  </si>
  <si>
    <t>=AVERAGE(I4849:J4849)</t>
  </si>
  <si>
    <t>=NL(1,"item",L$9,"no.",D4849)</t>
  </si>
  <si>
    <t>=NL(1,"item",M$9,"no.",$D4849)</t>
  </si>
  <si>
    <t>=NL(1,"item","Units Per Parcel","no.",$D4849)</t>
  </si>
  <si>
    <t>=NL(1,"Prod. BOM Equipment","Fixed Prod. Time (Hours)","Production BOM No.",$D4849,"version code",$E4849,"Resource No.",O$9)</t>
  </si>
  <si>
    <t>=1/O4849</t>
  </si>
  <si>
    <t>=IF(NL(1,"Prod. BOM Equipment","Variable Prod. Time (Hours)","Production BOM No.",$D4849,"version code",$E4849,"Resource No.",$O$9)="",1,NL(1,"Prod. BOM Equipment","Variable Prod. Time (Hours)","Production BOM No.",$D4849,"version code",$E4849,"Resource No.",$O$9))</t>
  </si>
  <si>
    <t>=1/Q4849</t>
  </si>
  <si>
    <t>=R4849*N4849</t>
  </si>
  <si>
    <t>=IF(K4850=0,"hide","")</t>
  </si>
  <si>
    <t>=D4849</t>
  </si>
  <si>
    <t>=NL("sum","Production Order","Quantity","Source No.",$D4850,"Equipment Code",$L4850,"due date",F$8)/-12</t>
  </si>
  <si>
    <t>=NL("sum","Production Order","Quantity","Source No.",$D4850,"Equipment Code",$L4850,"due date",G$8)/-12</t>
  </si>
  <si>
    <t>=NL("sum","Production Order","Quantity","Source No.",$D4850,"Equipment Code",$L4850,"due date",H$8)/-12</t>
  </si>
  <si>
    <t>=NL("sum","Production Order","Quantity","Source No.",$D4850,"Equipment Code",$L4850,"due date",I$8)/-12</t>
  </si>
  <si>
    <t>=NL("sum","Production Order","Quantity","Source No.",$D4850,"Equipment Code",$L4850,"due date",J$8)/$J$7</t>
  </si>
  <si>
    <t>=AVERAGE(I4850:J4850)</t>
  </si>
  <si>
    <t>=IF(K4851=0,"hide","")</t>
  </si>
  <si>
    <t>=D4850</t>
  </si>
  <si>
    <t>=NL("sum","Production Order","Quantity","Source No.",$D4851,"Equipment Code",$L4851,"due date",F$8)/-12</t>
  </si>
  <si>
    <t>=NL("sum","Production Order","Quantity","Source No.",$D4851,"Equipment Code",$L4851,"due date",G$8)/-12</t>
  </si>
  <si>
    <t>=NL("sum","Production Order","Quantity","Source No.",$D4851,"Equipment Code",$L4851,"due date",H$8)/-12</t>
  </si>
  <si>
    <t>=NL("sum","Production Order","Quantity","Source No.",$D4851,"Equipment Code",$L4851,"due date",I$8)/-12</t>
  </si>
  <si>
    <t>=NL("sum","Production Order","Quantity","Source No.",$D4851,"Equipment Code",$L4851,"due date",J$8)/$J$7</t>
  </si>
  <si>
    <t>=AVERAGE(I4851:J4851)</t>
  </si>
  <si>
    <t>=IF(K4852=0,"hide","")</t>
  </si>
  <si>
    <t>=D4851</t>
  </si>
  <si>
    <t>=NL("sum","Production Order","Quantity","Source No.",$D4852,"Equipment Code",$L4852,"due date",F$8)/-12</t>
  </si>
  <si>
    <t>=NL("sum","Production Order","Quantity","Source No.",$D4852,"Equipment Code",$L4852,"due date",G$8)/-12</t>
  </si>
  <si>
    <t>=NL("sum","Production Order","Quantity","Source No.",$D4852,"Equipment Code",$L4852,"due date",H$8)/-12</t>
  </si>
  <si>
    <t>=NL("sum","Production Order","Quantity","Source No.",$D4852,"Equipment Code",$L4852,"due date",I$8)/-12</t>
  </si>
  <si>
    <t>=NL("sum","Production Order","Quantity","Source No.",$D4852,"Equipment Code",$L4852,"due date",J$8)/$J$7</t>
  </si>
  <si>
    <t>=AVERAGE(I4852:J4852)</t>
  </si>
  <si>
    <t>=IF(K4853=0,"hide","")</t>
  </si>
  <si>
    <t>=D4852</t>
  </si>
  <si>
    <t>=NL("sum","Production Order","Quantity","Source No.",$D4853,"Equipment Code",$L4853,"due date",F$8)/-12</t>
  </si>
  <si>
    <t>=NL("sum","Production Order","Quantity","Source No.",$D4853,"Equipment Code",$L4853,"due date",G$8)/-12</t>
  </si>
  <si>
    <t>=NL("sum","Production Order","Quantity","Source No.",$D4853,"Equipment Code",$L4853,"due date",H$8)/-12</t>
  </si>
  <si>
    <t>=NL("sum","Production Order","Quantity","Source No.",$D4853,"Equipment Code",$L4853,"due date",I$8)/-12</t>
  </si>
  <si>
    <t>=NL("sum","Production Order","Quantity","Source No.",$D4853,"Equipment Code",$L4853,"due date",J$8)/$J$7</t>
  </si>
  <si>
    <t>=AVERAGE(I4853:J4853)</t>
  </si>
  <si>
    <t>=B4850</t>
  </si>
  <si>
    <t>=B4854</t>
  </si>
  <si>
    <t>=SUM(F4850:F4854)</t>
  </si>
  <si>
    <t>=SUM(G4850:G4854)</t>
  </si>
  <si>
    <t>=SUM(H4850:H4854)</t>
  </si>
  <si>
    <t>=SUM(I4850:I4854)</t>
  </si>
  <si>
    <t>=SUM(J4850:J4854)</t>
  </si>
  <si>
    <t>=IF(K4856=0,"hide","")</t>
  </si>
  <si>
    <t>="85359"</t>
  </si>
  <si>
    <t>=NL("rows","Production BOM Version","Version Code","Production BOM No.",D4856,"status","certified")</t>
  </si>
  <si>
    <t>=NL("sum","Item Ledger Entry","Quantity","Item No.",$D4856,"Entry Type","Sale|Consumption","posting date","01/01/19..12/31/19")/-12</t>
  </si>
  <si>
    <t>=NL("sum","Item Ledger Entry","Quantity","Item No.",$D4856,"Entry Type","Sale|Consumption","posting date","01/01/20..12/31/20")/-12</t>
  </si>
  <si>
    <t>=NL("sum","Item Ledger Entry","Quantity","Item No.",$D4856,"Entry Type","Sale|Consumption","posting date","01/01/21..12/31/21")/-12</t>
  </si>
  <si>
    <t>=NL("sum","Item Ledger Entry","Quantity","Item No.",$D4856,"Entry Type","Sale|Consumption","posting date","01/01/22..12/31/22")/-12</t>
  </si>
  <si>
    <t>=NL("sum","Item Ledger Entry","Quantity","Item No.",$D4856,"Entry Type","Sale|Consumption","posting date","01/01/23..12/31/23")/$J$7</t>
  </si>
  <si>
    <t>=AVERAGE(I4856:J4856)</t>
  </si>
  <si>
    <t>=NL(1,"item",L$9,"no.",D4856)</t>
  </si>
  <si>
    <t>=NL(1,"item",M$9,"no.",$D4856)</t>
  </si>
  <si>
    <t>=NL(1,"item","Units Per Parcel","no.",$D4856)</t>
  </si>
  <si>
    <t>=NL(1,"Prod. BOM Equipment","Fixed Prod. Time (Hours)","Production BOM No.",$D4856,"version code",$E4856,"Resource No.",O$9)</t>
  </si>
  <si>
    <t>=1/O4856</t>
  </si>
  <si>
    <t>=IF(NL(1,"Prod. BOM Equipment","Variable Prod. Time (Hours)","Production BOM No.",$D4856,"version code",$E4856,"Resource No.",$O$9)="",1,NL(1,"Prod. BOM Equipment","Variable Prod. Time (Hours)","Production BOM No.",$D4856,"version code",$E4856,"Resource No.",$O$9))</t>
  </si>
  <si>
    <t>=1/Q4856</t>
  </si>
  <si>
    <t>=R4856*N4856</t>
  </si>
  <si>
    <t>=IF(K4857=0,"hide","")</t>
  </si>
  <si>
    <t>=D4856</t>
  </si>
  <si>
    <t>=NL("sum","Production Order","Quantity","Source No.",$D4857,"Equipment Code",$L4857,"due date",F$8)/-12</t>
  </si>
  <si>
    <t>=NL("sum","Production Order","Quantity","Source No.",$D4857,"Equipment Code",$L4857,"due date",G$8)/-12</t>
  </si>
  <si>
    <t>=NL("sum","Production Order","Quantity","Source No.",$D4857,"Equipment Code",$L4857,"due date",H$8)/-12</t>
  </si>
  <si>
    <t>=NL("sum","Production Order","Quantity","Source No.",$D4857,"Equipment Code",$L4857,"due date",I$8)/-12</t>
  </si>
  <si>
    <t>=NL("sum","Production Order","Quantity","Source No.",$D4857,"Equipment Code",$L4857,"due date",J$8)/$J$7</t>
  </si>
  <si>
    <t>=AVERAGE(I4857:J4857)</t>
  </si>
  <si>
    <t>=IF(K4858=0,"hide","")</t>
  </si>
  <si>
    <t>=D4857</t>
  </si>
  <si>
    <t>=NL("sum","Production Order","Quantity","Source No.",$D4858,"Equipment Code",$L4858,"due date",F$8)/-12</t>
  </si>
  <si>
    <t>=NL("sum","Production Order","Quantity","Source No.",$D4858,"Equipment Code",$L4858,"due date",G$8)/-12</t>
  </si>
  <si>
    <t>=NL("sum","Production Order","Quantity","Source No.",$D4858,"Equipment Code",$L4858,"due date",H$8)/-12</t>
  </si>
  <si>
    <t>=NL("sum","Production Order","Quantity","Source No.",$D4858,"Equipment Code",$L4858,"due date",I$8)/-12</t>
  </si>
  <si>
    <t>=NL("sum","Production Order","Quantity","Source No.",$D4858,"Equipment Code",$L4858,"due date",J$8)/$J$7</t>
  </si>
  <si>
    <t>=AVERAGE(I4858:J4858)</t>
  </si>
  <si>
    <t>=IF(K4859=0,"hide","")</t>
  </si>
  <si>
    <t>=D4858</t>
  </si>
  <si>
    <t>=NL("sum","Production Order","Quantity","Source No.",$D4859,"Equipment Code",$L4859,"due date",F$8)/-12</t>
  </si>
  <si>
    <t>=NL("sum","Production Order","Quantity","Source No.",$D4859,"Equipment Code",$L4859,"due date",G$8)/-12</t>
  </si>
  <si>
    <t>=NL("sum","Production Order","Quantity","Source No.",$D4859,"Equipment Code",$L4859,"due date",H$8)/-12</t>
  </si>
  <si>
    <t>=NL("sum","Production Order","Quantity","Source No.",$D4859,"Equipment Code",$L4859,"due date",I$8)/-12</t>
  </si>
  <si>
    <t>=NL("sum","Production Order","Quantity","Source No.",$D4859,"Equipment Code",$L4859,"due date",J$8)/$J$7</t>
  </si>
  <si>
    <t>=AVERAGE(I4859:J4859)</t>
  </si>
  <si>
    <t>=IF(K4860=0,"hide","")</t>
  </si>
  <si>
    <t>=D4859</t>
  </si>
  <si>
    <t>=NL("sum","Production Order","Quantity","Source No.",$D4860,"Equipment Code",$L4860,"due date",F$8)/-12</t>
  </si>
  <si>
    <t>=NL("sum","Production Order","Quantity","Source No.",$D4860,"Equipment Code",$L4860,"due date",G$8)/-12</t>
  </si>
  <si>
    <t>=NL("sum","Production Order","Quantity","Source No.",$D4860,"Equipment Code",$L4860,"due date",H$8)/-12</t>
  </si>
  <si>
    <t>=NL("sum","Production Order","Quantity","Source No.",$D4860,"Equipment Code",$L4860,"due date",I$8)/-12</t>
  </si>
  <si>
    <t>=NL("sum","Production Order","Quantity","Source No.",$D4860,"Equipment Code",$L4860,"due date",J$8)/$J$7</t>
  </si>
  <si>
    <t>=AVERAGE(I4860:J4860)</t>
  </si>
  <si>
    <t>=B4857</t>
  </si>
  <si>
    <t>=B4861</t>
  </si>
  <si>
    <t>=SUM(F4857:F4861)</t>
  </si>
  <si>
    <t>=SUM(G4857:G4861)</t>
  </si>
  <si>
    <t>=SUM(H4857:H4861)</t>
  </si>
  <si>
    <t>=SUM(I4857:I4861)</t>
  </si>
  <si>
    <t>=SUM(J4857:J4861)</t>
  </si>
  <si>
    <t>=IF(K4863=0,"hide","")</t>
  </si>
  <si>
    <t>="85360"</t>
  </si>
  <si>
    <t>=NL("rows","Production BOM Version","Version Code","Production BOM No.",D4863,"status","certified")</t>
  </si>
  <si>
    <t>=NL("sum","Item Ledger Entry","Quantity","Item No.",$D4863,"Entry Type","Sale|Consumption","posting date","01/01/19..12/31/19")/-12</t>
  </si>
  <si>
    <t>=NL("sum","Item Ledger Entry","Quantity","Item No.",$D4863,"Entry Type","Sale|Consumption","posting date","01/01/20..12/31/20")/-12</t>
  </si>
  <si>
    <t>=NL("sum","Item Ledger Entry","Quantity","Item No.",$D4863,"Entry Type","Sale|Consumption","posting date","01/01/21..12/31/21")/-12</t>
  </si>
  <si>
    <t>=NL("sum","Item Ledger Entry","Quantity","Item No.",$D4863,"Entry Type","Sale|Consumption","posting date","01/01/22..12/31/22")/-12</t>
  </si>
  <si>
    <t>=NL("sum","Item Ledger Entry","Quantity","Item No.",$D4863,"Entry Type","Sale|Consumption","posting date","01/01/23..12/31/23")/$J$7</t>
  </si>
  <si>
    <t>=AVERAGE(I4863:J4863)</t>
  </si>
  <si>
    <t>=NL(1,"item",L$9,"no.",D4863)</t>
  </si>
  <si>
    <t>=NL(1,"item",M$9,"no.",$D4863)</t>
  </si>
  <si>
    <t>=NL(1,"item","Units Per Parcel","no.",$D4863)</t>
  </si>
  <si>
    <t>=NL(1,"Prod. BOM Equipment","Fixed Prod. Time (Hours)","Production BOM No.",$D4863,"version code",$E4863,"Resource No.",O$9)</t>
  </si>
  <si>
    <t>=1/O4863</t>
  </si>
  <si>
    <t>=IF(NL(1,"Prod. BOM Equipment","Variable Prod. Time (Hours)","Production BOM No.",$D4863,"version code",$E4863,"Resource No.",$O$9)="",1,NL(1,"Prod. BOM Equipment","Variable Prod. Time (Hours)","Production BOM No.",$D4863,"version code",$E4863,"Resource No.",$O$9))</t>
  </si>
  <si>
    <t>=1/Q4863</t>
  </si>
  <si>
    <t>=R4863*N4863</t>
  </si>
  <si>
    <t>=IF(K4864=0,"hide","")</t>
  </si>
  <si>
    <t>=D4863</t>
  </si>
  <si>
    <t>=NL("sum","Production Order","Quantity","Source No.",$D4864,"Equipment Code",$L4864,"due date",F$8)/-12</t>
  </si>
  <si>
    <t>=NL("sum","Production Order","Quantity","Source No.",$D4864,"Equipment Code",$L4864,"due date",G$8)/-12</t>
  </si>
  <si>
    <t>=NL("sum","Production Order","Quantity","Source No.",$D4864,"Equipment Code",$L4864,"due date",H$8)/-12</t>
  </si>
  <si>
    <t>=NL("sum","Production Order","Quantity","Source No.",$D4864,"Equipment Code",$L4864,"due date",I$8)/-12</t>
  </si>
  <si>
    <t>=NL("sum","Production Order","Quantity","Source No.",$D4864,"Equipment Code",$L4864,"due date",J$8)/$J$7</t>
  </si>
  <si>
    <t>=AVERAGE(I4864:J4864)</t>
  </si>
  <si>
    <t>=IF(K4865=0,"hide","")</t>
  </si>
  <si>
    <t>=D4864</t>
  </si>
  <si>
    <t>=NL("sum","Production Order","Quantity","Source No.",$D4865,"Equipment Code",$L4865,"due date",F$8)/-12</t>
  </si>
  <si>
    <t>=NL("sum","Production Order","Quantity","Source No.",$D4865,"Equipment Code",$L4865,"due date",G$8)/-12</t>
  </si>
  <si>
    <t>=NL("sum","Production Order","Quantity","Source No.",$D4865,"Equipment Code",$L4865,"due date",H$8)/-12</t>
  </si>
  <si>
    <t>=NL("sum","Production Order","Quantity","Source No.",$D4865,"Equipment Code",$L4865,"due date",I$8)/-12</t>
  </si>
  <si>
    <t>=NL("sum","Production Order","Quantity","Source No.",$D4865,"Equipment Code",$L4865,"due date",J$8)/$J$7</t>
  </si>
  <si>
    <t>=AVERAGE(I4865:J4865)</t>
  </si>
  <si>
    <t>=IF(K4866=0,"hide","")</t>
  </si>
  <si>
    <t>=D4865</t>
  </si>
  <si>
    <t>=NL("sum","Production Order","Quantity","Source No.",$D4866,"Equipment Code",$L4866,"due date",F$8)/-12</t>
  </si>
  <si>
    <t>=NL("sum","Production Order","Quantity","Source No.",$D4866,"Equipment Code",$L4866,"due date",G$8)/-12</t>
  </si>
  <si>
    <t>=NL("sum","Production Order","Quantity","Source No.",$D4866,"Equipment Code",$L4866,"due date",H$8)/-12</t>
  </si>
  <si>
    <t>=NL("sum","Production Order","Quantity","Source No.",$D4866,"Equipment Code",$L4866,"due date",I$8)/-12</t>
  </si>
  <si>
    <t>=NL("sum","Production Order","Quantity","Source No.",$D4866,"Equipment Code",$L4866,"due date",J$8)/$J$7</t>
  </si>
  <si>
    <t>=AVERAGE(I4866:J4866)</t>
  </si>
  <si>
    <t>=IF(K4867=0,"hide","")</t>
  </si>
  <si>
    <t>=D4866</t>
  </si>
  <si>
    <t>=NL("sum","Production Order","Quantity","Source No.",$D4867,"Equipment Code",$L4867,"due date",F$8)/-12</t>
  </si>
  <si>
    <t>=NL("sum","Production Order","Quantity","Source No.",$D4867,"Equipment Code",$L4867,"due date",G$8)/-12</t>
  </si>
  <si>
    <t>=NL("sum","Production Order","Quantity","Source No.",$D4867,"Equipment Code",$L4867,"due date",H$8)/-12</t>
  </si>
  <si>
    <t>=NL("sum","Production Order","Quantity","Source No.",$D4867,"Equipment Code",$L4867,"due date",I$8)/-12</t>
  </si>
  <si>
    <t>=NL("sum","Production Order","Quantity","Source No.",$D4867,"Equipment Code",$L4867,"due date",J$8)/$J$7</t>
  </si>
  <si>
    <t>=AVERAGE(I4867:J4867)</t>
  </si>
  <si>
    <t>=B4864</t>
  </si>
  <si>
    <t>=B4868</t>
  </si>
  <si>
    <t>=SUM(F4864:F4868)</t>
  </si>
  <si>
    <t>=SUM(G4864:G4868)</t>
  </si>
  <si>
    <t>=SUM(H4864:H4868)</t>
  </si>
  <si>
    <t>=SUM(I4864:I4868)</t>
  </si>
  <si>
    <t>=SUM(J4864:J4868)</t>
  </si>
  <si>
    <t>=IF(K4870=0,"hide","")</t>
  </si>
  <si>
    <t>="85385"</t>
  </si>
  <si>
    <t>=NL("rows","Production BOM Version","Version Code","Production BOM No.",D4870,"status","certified")</t>
  </si>
  <si>
    <t>=NL("sum","Item Ledger Entry","Quantity","Item No.",$D4870,"Entry Type","Sale|Consumption","posting date","01/01/19..12/31/19")/-12</t>
  </si>
  <si>
    <t>=NL("sum","Item Ledger Entry","Quantity","Item No.",$D4870,"Entry Type","Sale|Consumption","posting date","01/01/20..12/31/20")/-12</t>
  </si>
  <si>
    <t>=NL("sum","Item Ledger Entry","Quantity","Item No.",$D4870,"Entry Type","Sale|Consumption","posting date","01/01/21..12/31/21")/-12</t>
  </si>
  <si>
    <t>=NL("sum","Item Ledger Entry","Quantity","Item No.",$D4870,"Entry Type","Sale|Consumption","posting date","01/01/22..12/31/22")/-12</t>
  </si>
  <si>
    <t>=NL("sum","Item Ledger Entry","Quantity","Item No.",$D4870,"Entry Type","Sale|Consumption","posting date","01/01/23..12/31/23")/$J$7</t>
  </si>
  <si>
    <t>=AVERAGE(I4870:J4870)</t>
  </si>
  <si>
    <t>=NL(1,"item",L$9,"no.",D4870)</t>
  </si>
  <si>
    <t>=NL(1,"item",M$9,"no.",$D4870)</t>
  </si>
  <si>
    <t>=NL(1,"item","Units Per Parcel","no.",$D4870)</t>
  </si>
  <si>
    <t>=NL(1,"Prod. BOM Equipment","Fixed Prod. Time (Hours)","Production BOM No.",$D4870,"version code",$E4870,"Resource No.",O$9)</t>
  </si>
  <si>
    <t>=1/O4870</t>
  </si>
  <si>
    <t>=IF(NL(1,"Prod. BOM Equipment","Variable Prod. Time (Hours)","Production BOM No.",$D4870,"version code",$E4870,"Resource No.",$O$9)="",1,NL(1,"Prod. BOM Equipment","Variable Prod. Time (Hours)","Production BOM No.",$D4870,"version code",$E4870,"Resource No.",$O$9))</t>
  </si>
  <si>
    <t>=1/Q4870</t>
  </si>
  <si>
    <t>=R4870*N4870</t>
  </si>
  <si>
    <t>=IF(K4871=0,"hide","")</t>
  </si>
  <si>
    <t>=D4870</t>
  </si>
  <si>
    <t>=NL("sum","Production Order","Quantity","Source No.",$D4871,"Equipment Code",$L4871,"due date",F$8)/-12</t>
  </si>
  <si>
    <t>=NL("sum","Production Order","Quantity","Source No.",$D4871,"Equipment Code",$L4871,"due date",G$8)/-12</t>
  </si>
  <si>
    <t>=NL("sum","Production Order","Quantity","Source No.",$D4871,"Equipment Code",$L4871,"due date",H$8)/-12</t>
  </si>
  <si>
    <t>=NL("sum","Production Order","Quantity","Source No.",$D4871,"Equipment Code",$L4871,"due date",I$8)/-12</t>
  </si>
  <si>
    <t>=NL("sum","Production Order","Quantity","Source No.",$D4871,"Equipment Code",$L4871,"due date",J$8)/$J$7</t>
  </si>
  <si>
    <t>=AVERAGE(I4871:J4871)</t>
  </si>
  <si>
    <t>=IF(K4872=0,"hide","")</t>
  </si>
  <si>
    <t>=D4871</t>
  </si>
  <si>
    <t>=NL("sum","Production Order","Quantity","Source No.",$D4872,"Equipment Code",$L4872,"due date",F$8)/-12</t>
  </si>
  <si>
    <t>=NL("sum","Production Order","Quantity","Source No.",$D4872,"Equipment Code",$L4872,"due date",G$8)/-12</t>
  </si>
  <si>
    <t>=NL("sum","Production Order","Quantity","Source No.",$D4872,"Equipment Code",$L4872,"due date",H$8)/-12</t>
  </si>
  <si>
    <t>=NL("sum","Production Order","Quantity","Source No.",$D4872,"Equipment Code",$L4872,"due date",I$8)/-12</t>
  </si>
  <si>
    <t>=NL("sum","Production Order","Quantity","Source No.",$D4872,"Equipment Code",$L4872,"due date",J$8)/$J$7</t>
  </si>
  <si>
    <t>=AVERAGE(I4872:J4872)</t>
  </si>
  <si>
    <t>=IF(K4873=0,"hide","")</t>
  </si>
  <si>
    <t>=D4872</t>
  </si>
  <si>
    <t>=NL("sum","Production Order","Quantity","Source No.",$D4873,"Equipment Code",$L4873,"due date",F$8)/-12</t>
  </si>
  <si>
    <t>=NL("sum","Production Order","Quantity","Source No.",$D4873,"Equipment Code",$L4873,"due date",G$8)/-12</t>
  </si>
  <si>
    <t>=NL("sum","Production Order","Quantity","Source No.",$D4873,"Equipment Code",$L4873,"due date",H$8)/-12</t>
  </si>
  <si>
    <t>=NL("sum","Production Order","Quantity","Source No.",$D4873,"Equipment Code",$L4873,"due date",I$8)/-12</t>
  </si>
  <si>
    <t>=NL("sum","Production Order","Quantity","Source No.",$D4873,"Equipment Code",$L4873,"due date",J$8)/$J$7</t>
  </si>
  <si>
    <t>=AVERAGE(I4873:J4873)</t>
  </si>
  <si>
    <t>=IF(K4874=0,"hide","")</t>
  </si>
  <si>
    <t>=D4873</t>
  </si>
  <si>
    <t>=NL("sum","Production Order","Quantity","Source No.",$D4874,"Equipment Code",$L4874,"due date",F$8)/-12</t>
  </si>
  <si>
    <t>=NL("sum","Production Order","Quantity","Source No.",$D4874,"Equipment Code",$L4874,"due date",G$8)/-12</t>
  </si>
  <si>
    <t>=NL("sum","Production Order","Quantity","Source No.",$D4874,"Equipment Code",$L4874,"due date",H$8)/-12</t>
  </si>
  <si>
    <t>=NL("sum","Production Order","Quantity","Source No.",$D4874,"Equipment Code",$L4874,"due date",I$8)/-12</t>
  </si>
  <si>
    <t>=NL("sum","Production Order","Quantity","Source No.",$D4874,"Equipment Code",$L4874,"due date",J$8)/$J$7</t>
  </si>
  <si>
    <t>=AVERAGE(I4874:J4874)</t>
  </si>
  <si>
    <t>=B4871</t>
  </si>
  <si>
    <t>=B4875</t>
  </si>
  <si>
    <t>=SUM(F4871:F4875)</t>
  </si>
  <si>
    <t>=SUM(G4871:G4875)</t>
  </si>
  <si>
    <t>=SUM(H4871:H4875)</t>
  </si>
  <si>
    <t>=SUM(I4871:I4875)</t>
  </si>
  <si>
    <t>=SUM(J4871:J4875)</t>
  </si>
  <si>
    <t>=IF(K4877=0,"hide","")</t>
  </si>
  <si>
    <t>="85388"</t>
  </si>
  <si>
    <t>=NL("rows","Production BOM Version","Version Code","Production BOM No.",D4877,"status","certified")</t>
  </si>
  <si>
    <t>=NL("sum","Item Ledger Entry","Quantity","Item No.",$D4877,"Entry Type","Sale|Consumption","posting date","01/01/19..12/31/19")/-12</t>
  </si>
  <si>
    <t>=NL("sum","Item Ledger Entry","Quantity","Item No.",$D4877,"Entry Type","Sale|Consumption","posting date","01/01/20..12/31/20")/-12</t>
  </si>
  <si>
    <t>=NL("sum","Item Ledger Entry","Quantity","Item No.",$D4877,"Entry Type","Sale|Consumption","posting date","01/01/21..12/31/21")/-12</t>
  </si>
  <si>
    <t>=NL("sum","Item Ledger Entry","Quantity","Item No.",$D4877,"Entry Type","Sale|Consumption","posting date","01/01/22..12/31/22")/-12</t>
  </si>
  <si>
    <t>=NL("sum","Item Ledger Entry","Quantity","Item No.",$D4877,"Entry Type","Sale|Consumption","posting date","01/01/23..12/31/23")/$J$7</t>
  </si>
  <si>
    <t>=AVERAGE(I4877:J4877)</t>
  </si>
  <si>
    <t>=NL(1,"item",L$9,"no.",D4877)</t>
  </si>
  <si>
    <t>=NL(1,"item",M$9,"no.",$D4877)</t>
  </si>
  <si>
    <t>=NL(1,"item","Units Per Parcel","no.",$D4877)</t>
  </si>
  <si>
    <t>=NL(1,"Prod. BOM Equipment","Fixed Prod. Time (Hours)","Production BOM No.",$D4877,"version code",$E4877,"Resource No.",O$9)</t>
  </si>
  <si>
    <t>=1/O4877</t>
  </si>
  <si>
    <t>=IF(NL(1,"Prod. BOM Equipment","Variable Prod. Time (Hours)","Production BOM No.",$D4877,"version code",$E4877,"Resource No.",$O$9)="",1,NL(1,"Prod. BOM Equipment","Variable Prod. Time (Hours)","Production BOM No.",$D4877,"version code",$E4877,"Resource No.",$O$9))</t>
  </si>
  <si>
    <t>=1/Q4877</t>
  </si>
  <si>
    <t>=R4877*N4877</t>
  </si>
  <si>
    <t>=IF(K4878=0,"hide","")</t>
  </si>
  <si>
    <t>=D4877</t>
  </si>
  <si>
    <t>=NL("sum","Production Order","Quantity","Source No.",$D4878,"Equipment Code",$L4878,"due date",F$8)/-12</t>
  </si>
  <si>
    <t>=NL("sum","Production Order","Quantity","Source No.",$D4878,"Equipment Code",$L4878,"due date",G$8)/-12</t>
  </si>
  <si>
    <t>=NL("sum","Production Order","Quantity","Source No.",$D4878,"Equipment Code",$L4878,"due date",H$8)/-12</t>
  </si>
  <si>
    <t>=NL("sum","Production Order","Quantity","Source No.",$D4878,"Equipment Code",$L4878,"due date",I$8)/-12</t>
  </si>
  <si>
    <t>=NL("sum","Production Order","Quantity","Source No.",$D4878,"Equipment Code",$L4878,"due date",J$8)/$J$7</t>
  </si>
  <si>
    <t>=AVERAGE(I4878:J4878)</t>
  </si>
  <si>
    <t>=IF(K4879=0,"hide","")</t>
  </si>
  <si>
    <t>=D4878</t>
  </si>
  <si>
    <t>=NL("sum","Production Order","Quantity","Source No.",$D4879,"Equipment Code",$L4879,"due date",F$8)/-12</t>
  </si>
  <si>
    <t>=NL("sum","Production Order","Quantity","Source No.",$D4879,"Equipment Code",$L4879,"due date",G$8)/-12</t>
  </si>
  <si>
    <t>=NL("sum","Production Order","Quantity","Source No.",$D4879,"Equipment Code",$L4879,"due date",H$8)/-12</t>
  </si>
  <si>
    <t>=NL("sum","Production Order","Quantity","Source No.",$D4879,"Equipment Code",$L4879,"due date",I$8)/-12</t>
  </si>
  <si>
    <t>=NL("sum","Production Order","Quantity","Source No.",$D4879,"Equipment Code",$L4879,"due date",J$8)/$J$7</t>
  </si>
  <si>
    <t>=AVERAGE(I4879:J4879)</t>
  </si>
  <si>
    <t>=IF(K4880=0,"hide","")</t>
  </si>
  <si>
    <t>=D4879</t>
  </si>
  <si>
    <t>=NL("sum","Production Order","Quantity","Source No.",$D4880,"Equipment Code",$L4880,"due date",F$8)/-12</t>
  </si>
  <si>
    <t>=NL("sum","Production Order","Quantity","Source No.",$D4880,"Equipment Code",$L4880,"due date",G$8)/-12</t>
  </si>
  <si>
    <t>=NL("sum","Production Order","Quantity","Source No.",$D4880,"Equipment Code",$L4880,"due date",H$8)/-12</t>
  </si>
  <si>
    <t>=NL("sum","Production Order","Quantity","Source No.",$D4880,"Equipment Code",$L4880,"due date",I$8)/-12</t>
  </si>
  <si>
    <t>=NL("sum","Production Order","Quantity","Source No.",$D4880,"Equipment Code",$L4880,"due date",J$8)/$J$7</t>
  </si>
  <si>
    <t>=AVERAGE(I4880:J4880)</t>
  </si>
  <si>
    <t>=IF(K4881=0,"hide","")</t>
  </si>
  <si>
    <t>=D4880</t>
  </si>
  <si>
    <t>=NL("sum","Production Order","Quantity","Source No.",$D4881,"Equipment Code",$L4881,"due date",F$8)/-12</t>
  </si>
  <si>
    <t>=NL("sum","Production Order","Quantity","Source No.",$D4881,"Equipment Code",$L4881,"due date",G$8)/-12</t>
  </si>
  <si>
    <t>=NL("sum","Production Order","Quantity","Source No.",$D4881,"Equipment Code",$L4881,"due date",H$8)/-12</t>
  </si>
  <si>
    <t>=NL("sum","Production Order","Quantity","Source No.",$D4881,"Equipment Code",$L4881,"due date",I$8)/-12</t>
  </si>
  <si>
    <t>=NL("sum","Production Order","Quantity","Source No.",$D4881,"Equipment Code",$L4881,"due date",J$8)/$J$7</t>
  </si>
  <si>
    <t>=AVERAGE(I4881:J4881)</t>
  </si>
  <si>
    <t>=B4878</t>
  </si>
  <si>
    <t>=B4882</t>
  </si>
  <si>
    <t>=SUM(F4878:F4882)</t>
  </si>
  <si>
    <t>=SUM(G4878:G4882)</t>
  </si>
  <si>
    <t>=SUM(H4878:H4882)</t>
  </si>
  <si>
    <t>=SUM(I4878:I4882)</t>
  </si>
  <si>
    <t>=SUM(J4878:J4882)</t>
  </si>
  <si>
    <t>=IF(K4884=0,"hide","")</t>
  </si>
  <si>
    <t>="85395"</t>
  </si>
  <si>
    <t>=NL("rows","Production BOM Version","Version Code","Production BOM No.",D4884,"status","certified")</t>
  </si>
  <si>
    <t>=NL("sum","Item Ledger Entry","Quantity","Item No.",$D4884,"Entry Type","Sale|Consumption","posting date","01/01/19..12/31/19")/-12</t>
  </si>
  <si>
    <t>=NL("sum","Item Ledger Entry","Quantity","Item No.",$D4884,"Entry Type","Sale|Consumption","posting date","01/01/20..12/31/20")/-12</t>
  </si>
  <si>
    <t>=NL("sum","Item Ledger Entry","Quantity","Item No.",$D4884,"Entry Type","Sale|Consumption","posting date","01/01/21..12/31/21")/-12</t>
  </si>
  <si>
    <t>=NL("sum","Item Ledger Entry","Quantity","Item No.",$D4884,"Entry Type","Sale|Consumption","posting date","01/01/22..12/31/22")/-12</t>
  </si>
  <si>
    <t>=NL("sum","Item Ledger Entry","Quantity","Item No.",$D4884,"Entry Type","Sale|Consumption","posting date","01/01/23..12/31/23")/$J$7</t>
  </si>
  <si>
    <t>=AVERAGE(I4884:J4884)</t>
  </si>
  <si>
    <t>=NL(1,"item",L$9,"no.",D4884)</t>
  </si>
  <si>
    <t>=NL(1,"item",M$9,"no.",$D4884)</t>
  </si>
  <si>
    <t>=NL(1,"item","Units Per Parcel","no.",$D4884)</t>
  </si>
  <si>
    <t>=NL(1,"Prod. BOM Equipment","Fixed Prod. Time (Hours)","Production BOM No.",$D4884,"version code",$E4884,"Resource No.",O$9)</t>
  </si>
  <si>
    <t>=1/O4884</t>
  </si>
  <si>
    <t>=IF(NL(1,"Prod. BOM Equipment","Variable Prod. Time (Hours)","Production BOM No.",$D4884,"version code",$E4884,"Resource No.",$O$9)="",1,NL(1,"Prod. BOM Equipment","Variable Prod. Time (Hours)","Production BOM No.",$D4884,"version code",$E4884,"Resource No.",$O$9))</t>
  </si>
  <si>
    <t>=1/Q4884</t>
  </si>
  <si>
    <t>=R4884*N4884</t>
  </si>
  <si>
    <t>=IF(K4885=0,"hide","")</t>
  </si>
  <si>
    <t>=D4884</t>
  </si>
  <si>
    <t>=NL("sum","Production Order","Quantity","Source No.",$D4885,"Equipment Code",$L4885,"due date",F$8)/-12</t>
  </si>
  <si>
    <t>=NL("sum","Production Order","Quantity","Source No.",$D4885,"Equipment Code",$L4885,"due date",G$8)/-12</t>
  </si>
  <si>
    <t>=NL("sum","Production Order","Quantity","Source No.",$D4885,"Equipment Code",$L4885,"due date",H$8)/-12</t>
  </si>
  <si>
    <t>=NL("sum","Production Order","Quantity","Source No.",$D4885,"Equipment Code",$L4885,"due date",I$8)/-12</t>
  </si>
  <si>
    <t>=NL("sum","Production Order","Quantity","Source No.",$D4885,"Equipment Code",$L4885,"due date",J$8)/$J$7</t>
  </si>
  <si>
    <t>=AVERAGE(I4885:J4885)</t>
  </si>
  <si>
    <t>=IF(K4886=0,"hide","")</t>
  </si>
  <si>
    <t>=D4885</t>
  </si>
  <si>
    <t>=NL("sum","Production Order","Quantity","Source No.",$D4886,"Equipment Code",$L4886,"due date",F$8)/-12</t>
  </si>
  <si>
    <t>=NL("sum","Production Order","Quantity","Source No.",$D4886,"Equipment Code",$L4886,"due date",G$8)/-12</t>
  </si>
  <si>
    <t>=NL("sum","Production Order","Quantity","Source No.",$D4886,"Equipment Code",$L4886,"due date",H$8)/-12</t>
  </si>
  <si>
    <t>=NL("sum","Production Order","Quantity","Source No.",$D4886,"Equipment Code",$L4886,"due date",I$8)/-12</t>
  </si>
  <si>
    <t>=NL("sum","Production Order","Quantity","Source No.",$D4886,"Equipment Code",$L4886,"due date",J$8)/$J$7</t>
  </si>
  <si>
    <t>=AVERAGE(I4886:J4886)</t>
  </si>
  <si>
    <t>=IF(K4887=0,"hide","")</t>
  </si>
  <si>
    <t>=D4886</t>
  </si>
  <si>
    <t>=NL("sum","Production Order","Quantity","Source No.",$D4887,"Equipment Code",$L4887,"due date",F$8)/-12</t>
  </si>
  <si>
    <t>=NL("sum","Production Order","Quantity","Source No.",$D4887,"Equipment Code",$L4887,"due date",G$8)/-12</t>
  </si>
  <si>
    <t>=NL("sum","Production Order","Quantity","Source No.",$D4887,"Equipment Code",$L4887,"due date",H$8)/-12</t>
  </si>
  <si>
    <t>=NL("sum","Production Order","Quantity","Source No.",$D4887,"Equipment Code",$L4887,"due date",I$8)/-12</t>
  </si>
  <si>
    <t>=NL("sum","Production Order","Quantity","Source No.",$D4887,"Equipment Code",$L4887,"due date",J$8)/$J$7</t>
  </si>
  <si>
    <t>=AVERAGE(I4887:J4887)</t>
  </si>
  <si>
    <t>=IF(K4888=0,"hide","")</t>
  </si>
  <si>
    <t>=D4887</t>
  </si>
  <si>
    <t>=NL("sum","Production Order","Quantity","Source No.",$D4888,"Equipment Code",$L4888,"due date",F$8)/-12</t>
  </si>
  <si>
    <t>=NL("sum","Production Order","Quantity","Source No.",$D4888,"Equipment Code",$L4888,"due date",G$8)/-12</t>
  </si>
  <si>
    <t>=NL("sum","Production Order","Quantity","Source No.",$D4888,"Equipment Code",$L4888,"due date",H$8)/-12</t>
  </si>
  <si>
    <t>=NL("sum","Production Order","Quantity","Source No.",$D4888,"Equipment Code",$L4888,"due date",I$8)/-12</t>
  </si>
  <si>
    <t>=NL("sum","Production Order","Quantity","Source No.",$D4888,"Equipment Code",$L4888,"due date",J$8)/$J$7</t>
  </si>
  <si>
    <t>=AVERAGE(I4888:J4888)</t>
  </si>
  <si>
    <t>=B4885</t>
  </si>
  <si>
    <t>=B4889</t>
  </si>
  <si>
    <t>=SUM(F4885:F4889)</t>
  </si>
  <si>
    <t>=SUM(G4885:G4889)</t>
  </si>
  <si>
    <t>=SUM(H4885:H4889)</t>
  </si>
  <si>
    <t>=SUM(I4885:I4889)</t>
  </si>
  <si>
    <t>=SUM(J4885:J4889)</t>
  </si>
  <si>
    <t>=IF(K4891=0,"hide","")</t>
  </si>
  <si>
    <t>="86136"</t>
  </si>
  <si>
    <t>=NL("rows","Production BOM Version","Version Code","Production BOM No.",D4891,"status","certified")</t>
  </si>
  <si>
    <t>=NL("sum","Item Ledger Entry","Quantity","Item No.",$D4891,"Entry Type","Sale|Consumption","posting date","01/01/19..12/31/19")/-12</t>
  </si>
  <si>
    <t>=NL("sum","Item Ledger Entry","Quantity","Item No.",$D4891,"Entry Type","Sale|Consumption","posting date","01/01/20..12/31/20")/-12</t>
  </si>
  <si>
    <t>=NL("sum","Item Ledger Entry","Quantity","Item No.",$D4891,"Entry Type","Sale|Consumption","posting date","01/01/21..12/31/21")/-12</t>
  </si>
  <si>
    <t>=NL("sum","Item Ledger Entry","Quantity","Item No.",$D4891,"Entry Type","Sale|Consumption","posting date","01/01/22..12/31/22")/-12</t>
  </si>
  <si>
    <t>=NL("sum","Item Ledger Entry","Quantity","Item No.",$D4891,"Entry Type","Sale|Consumption","posting date","01/01/23..12/31/23")/$J$7</t>
  </si>
  <si>
    <t>=AVERAGE(I4891:J4891)</t>
  </si>
  <si>
    <t>=NL(1,"item",L$9,"no.",D4891)</t>
  </si>
  <si>
    <t>=NL(1,"item",M$9,"no.",$D4891)</t>
  </si>
  <si>
    <t>=NL(1,"item","Units Per Parcel","no.",$D4891)</t>
  </si>
  <si>
    <t>=NL(1,"Prod. BOM Equipment","Fixed Prod. Time (Hours)","Production BOM No.",$D4891,"version code",$E4891,"Resource No.",O$9)</t>
  </si>
  <si>
    <t>=1/O4891</t>
  </si>
  <si>
    <t>=IF(NL(1,"Prod. BOM Equipment","Variable Prod. Time (Hours)","Production BOM No.",$D4891,"version code",$E4891,"Resource No.",$O$9)="",1,NL(1,"Prod. BOM Equipment","Variable Prod. Time (Hours)","Production BOM No.",$D4891,"version code",$E4891,"Resource No.",$O$9))</t>
  </si>
  <si>
    <t>=1/Q4891</t>
  </si>
  <si>
    <t>=R4891*N4891</t>
  </si>
  <si>
    <t>=IF(K4892=0,"hide","")</t>
  </si>
  <si>
    <t>=D4891</t>
  </si>
  <si>
    <t>=NL("sum","Production Order","Quantity","Source No.",$D4892,"Equipment Code",$L4892,"due date",F$8)/-12</t>
  </si>
  <si>
    <t>=NL("sum","Production Order","Quantity","Source No.",$D4892,"Equipment Code",$L4892,"due date",G$8)/-12</t>
  </si>
  <si>
    <t>=NL("sum","Production Order","Quantity","Source No.",$D4892,"Equipment Code",$L4892,"due date",H$8)/-12</t>
  </si>
  <si>
    <t>=NL("sum","Production Order","Quantity","Source No.",$D4892,"Equipment Code",$L4892,"due date",I$8)/-12</t>
  </si>
  <si>
    <t>=NL("sum","Production Order","Quantity","Source No.",$D4892,"Equipment Code",$L4892,"due date",J$8)/$J$7</t>
  </si>
  <si>
    <t>=AVERAGE(I4892:J4892)</t>
  </si>
  <si>
    <t>=IF(K4893=0,"hide","")</t>
  </si>
  <si>
    <t>=D4892</t>
  </si>
  <si>
    <t>=NL("sum","Production Order","Quantity","Source No.",$D4893,"Equipment Code",$L4893,"due date",F$8)/-12</t>
  </si>
  <si>
    <t>=NL("sum","Production Order","Quantity","Source No.",$D4893,"Equipment Code",$L4893,"due date",G$8)/-12</t>
  </si>
  <si>
    <t>=NL("sum","Production Order","Quantity","Source No.",$D4893,"Equipment Code",$L4893,"due date",H$8)/-12</t>
  </si>
  <si>
    <t>=NL("sum","Production Order","Quantity","Source No.",$D4893,"Equipment Code",$L4893,"due date",I$8)/-12</t>
  </si>
  <si>
    <t>=NL("sum","Production Order","Quantity","Source No.",$D4893,"Equipment Code",$L4893,"due date",J$8)/$J$7</t>
  </si>
  <si>
    <t>=AVERAGE(I4893:J4893)</t>
  </si>
  <si>
    <t>=IF(K4894=0,"hide","")</t>
  </si>
  <si>
    <t>=D4893</t>
  </si>
  <si>
    <t>=NL("sum","Production Order","Quantity","Source No.",$D4894,"Equipment Code",$L4894,"due date",F$8)/-12</t>
  </si>
  <si>
    <t>=NL("sum","Production Order","Quantity","Source No.",$D4894,"Equipment Code",$L4894,"due date",G$8)/-12</t>
  </si>
  <si>
    <t>=NL("sum","Production Order","Quantity","Source No.",$D4894,"Equipment Code",$L4894,"due date",H$8)/-12</t>
  </si>
  <si>
    <t>=NL("sum","Production Order","Quantity","Source No.",$D4894,"Equipment Code",$L4894,"due date",I$8)/-12</t>
  </si>
  <si>
    <t>=NL("sum","Production Order","Quantity","Source No.",$D4894,"Equipment Code",$L4894,"due date",J$8)/$J$7</t>
  </si>
  <si>
    <t>=AVERAGE(I4894:J4894)</t>
  </si>
  <si>
    <t>=IF(K4895=0,"hide","")</t>
  </si>
  <si>
    <t>=D4894</t>
  </si>
  <si>
    <t>=NL("sum","Production Order","Quantity","Source No.",$D4895,"Equipment Code",$L4895,"due date",F$8)/-12</t>
  </si>
  <si>
    <t>=NL("sum","Production Order","Quantity","Source No.",$D4895,"Equipment Code",$L4895,"due date",G$8)/-12</t>
  </si>
  <si>
    <t>=NL("sum","Production Order","Quantity","Source No.",$D4895,"Equipment Code",$L4895,"due date",H$8)/-12</t>
  </si>
  <si>
    <t>=NL("sum","Production Order","Quantity","Source No.",$D4895,"Equipment Code",$L4895,"due date",I$8)/-12</t>
  </si>
  <si>
    <t>=NL("sum","Production Order","Quantity","Source No.",$D4895,"Equipment Code",$L4895,"due date",J$8)/$J$7</t>
  </si>
  <si>
    <t>=AVERAGE(I4895:J4895)</t>
  </si>
  <si>
    <t>=B4892</t>
  </si>
  <si>
    <t>=B4896</t>
  </si>
  <si>
    <t>=SUM(F4892:F4896)</t>
  </si>
  <si>
    <t>=SUM(G4892:G4896)</t>
  </si>
  <si>
    <t>=SUM(H4892:H4896)</t>
  </si>
  <si>
    <t>=SUM(I4892:I4896)</t>
  </si>
  <si>
    <t>=SUM(J4892:J4896)</t>
  </si>
  <si>
    <t>=IF(K4898=0,"hide","")</t>
  </si>
  <si>
    <t>="86601"</t>
  </si>
  <si>
    <t>=NL("rows","Production BOM Version","Version Code","Production BOM No.",D4898,"status","certified")</t>
  </si>
  <si>
    <t>=NL("sum","Item Ledger Entry","Quantity","Item No.",$D4898,"Entry Type","Sale|Consumption","posting date","01/01/19..12/31/19")/-12</t>
  </si>
  <si>
    <t>=NL("sum","Item Ledger Entry","Quantity","Item No.",$D4898,"Entry Type","Sale|Consumption","posting date","01/01/20..12/31/20")/-12</t>
  </si>
  <si>
    <t>=NL("sum","Item Ledger Entry","Quantity","Item No.",$D4898,"Entry Type","Sale|Consumption","posting date","01/01/21..12/31/21")/-12</t>
  </si>
  <si>
    <t>=NL("sum","Item Ledger Entry","Quantity","Item No.",$D4898,"Entry Type","Sale|Consumption","posting date","01/01/22..12/31/22")/-12</t>
  </si>
  <si>
    <t>=NL("sum","Item Ledger Entry","Quantity","Item No.",$D4898,"Entry Type","Sale|Consumption","posting date","01/01/23..12/31/23")/$J$7</t>
  </si>
  <si>
    <t>=AVERAGE(I4898:J4898)</t>
  </si>
  <si>
    <t>=NL(1,"item",L$9,"no.",D4898)</t>
  </si>
  <si>
    <t>=NL(1,"item",M$9,"no.",$D4898)</t>
  </si>
  <si>
    <t>=NL(1,"item","Units Per Parcel","no.",$D4898)</t>
  </si>
  <si>
    <t>=NL(1,"Prod. BOM Equipment","Fixed Prod. Time (Hours)","Production BOM No.",$D4898,"version code",$E4898,"Resource No.",O$9)</t>
  </si>
  <si>
    <t>=1/O4898</t>
  </si>
  <si>
    <t>=IF(NL(1,"Prod. BOM Equipment","Variable Prod. Time (Hours)","Production BOM No.",$D4898,"version code",$E4898,"Resource No.",$O$9)="",1,NL(1,"Prod. BOM Equipment","Variable Prod. Time (Hours)","Production BOM No.",$D4898,"version code",$E4898,"Resource No.",$O$9))</t>
  </si>
  <si>
    <t>=1/Q4898</t>
  </si>
  <si>
    <t>=R4898*N4898</t>
  </si>
  <si>
    <t>=IF(K4899=0,"hide","")</t>
  </si>
  <si>
    <t>=D4898</t>
  </si>
  <si>
    <t>=NL("sum","Production Order","Quantity","Source No.",$D4899,"Equipment Code",$L4899,"due date",F$8)/-12</t>
  </si>
  <si>
    <t>=NL("sum","Production Order","Quantity","Source No.",$D4899,"Equipment Code",$L4899,"due date",G$8)/-12</t>
  </si>
  <si>
    <t>=NL("sum","Production Order","Quantity","Source No.",$D4899,"Equipment Code",$L4899,"due date",H$8)/-12</t>
  </si>
  <si>
    <t>=NL("sum","Production Order","Quantity","Source No.",$D4899,"Equipment Code",$L4899,"due date",I$8)/-12</t>
  </si>
  <si>
    <t>=NL("sum","Production Order","Quantity","Source No.",$D4899,"Equipment Code",$L4899,"due date",J$8)/$J$7</t>
  </si>
  <si>
    <t>=AVERAGE(I4899:J4899)</t>
  </si>
  <si>
    <t>=IF(K4900=0,"hide","")</t>
  </si>
  <si>
    <t>=D4899</t>
  </si>
  <si>
    <t>=NL("sum","Production Order","Quantity","Source No.",$D4900,"Equipment Code",$L4900,"due date",F$8)/-12</t>
  </si>
  <si>
    <t>=NL("sum","Production Order","Quantity","Source No.",$D4900,"Equipment Code",$L4900,"due date",G$8)/-12</t>
  </si>
  <si>
    <t>=NL("sum","Production Order","Quantity","Source No.",$D4900,"Equipment Code",$L4900,"due date",H$8)/-12</t>
  </si>
  <si>
    <t>=NL("sum","Production Order","Quantity","Source No.",$D4900,"Equipment Code",$L4900,"due date",I$8)/-12</t>
  </si>
  <si>
    <t>=NL("sum","Production Order","Quantity","Source No.",$D4900,"Equipment Code",$L4900,"due date",J$8)/$J$7</t>
  </si>
  <si>
    <t>=AVERAGE(I4900:J4900)</t>
  </si>
  <si>
    <t>=IF(K4901=0,"hide","")</t>
  </si>
  <si>
    <t>=D4900</t>
  </si>
  <si>
    <t>=NL("sum","Production Order","Quantity","Source No.",$D4901,"Equipment Code",$L4901,"due date",F$8)/-12</t>
  </si>
  <si>
    <t>=NL("sum","Production Order","Quantity","Source No.",$D4901,"Equipment Code",$L4901,"due date",G$8)/-12</t>
  </si>
  <si>
    <t>=NL("sum","Production Order","Quantity","Source No.",$D4901,"Equipment Code",$L4901,"due date",H$8)/-12</t>
  </si>
  <si>
    <t>=NL("sum","Production Order","Quantity","Source No.",$D4901,"Equipment Code",$L4901,"due date",I$8)/-12</t>
  </si>
  <si>
    <t>=NL("sum","Production Order","Quantity","Source No.",$D4901,"Equipment Code",$L4901,"due date",J$8)/$J$7</t>
  </si>
  <si>
    <t>=AVERAGE(I4901:J4901)</t>
  </si>
  <si>
    <t>=IF(K4902=0,"hide","")</t>
  </si>
  <si>
    <t>=D4901</t>
  </si>
  <si>
    <t>=NL("sum","Production Order","Quantity","Source No.",$D4902,"Equipment Code",$L4902,"due date",F$8)/-12</t>
  </si>
  <si>
    <t>=NL("sum","Production Order","Quantity","Source No.",$D4902,"Equipment Code",$L4902,"due date",G$8)/-12</t>
  </si>
  <si>
    <t>=NL("sum","Production Order","Quantity","Source No.",$D4902,"Equipment Code",$L4902,"due date",H$8)/-12</t>
  </si>
  <si>
    <t>=NL("sum","Production Order","Quantity","Source No.",$D4902,"Equipment Code",$L4902,"due date",I$8)/-12</t>
  </si>
  <si>
    <t>=NL("sum","Production Order","Quantity","Source No.",$D4902,"Equipment Code",$L4902,"due date",J$8)/$J$7</t>
  </si>
  <si>
    <t>=AVERAGE(I4902:J4902)</t>
  </si>
  <si>
    <t>=B4899</t>
  </si>
  <si>
    <t>=B4903</t>
  </si>
  <si>
    <t>=SUM(F4899:F4903)</t>
  </si>
  <si>
    <t>=SUM(G4899:G4903)</t>
  </si>
  <si>
    <t>=SUM(H4899:H4903)</t>
  </si>
  <si>
    <t>=SUM(I4899:I4903)</t>
  </si>
  <si>
    <t>=SUM(J4899:J4903)</t>
  </si>
  <si>
    <t>=IF(K4905=0,"hide","")</t>
  </si>
  <si>
    <t>="86616"</t>
  </si>
  <si>
    <t>=NL("rows","Production BOM Version","Version Code","Production BOM No.",D4905,"status","certified")</t>
  </si>
  <si>
    <t>=NL("sum","Item Ledger Entry","Quantity","Item No.",$D4905,"Entry Type","Sale|Consumption","posting date","01/01/19..12/31/19")/-12</t>
  </si>
  <si>
    <t>=NL("sum","Item Ledger Entry","Quantity","Item No.",$D4905,"Entry Type","Sale|Consumption","posting date","01/01/20..12/31/20")/-12</t>
  </si>
  <si>
    <t>=NL("sum","Item Ledger Entry","Quantity","Item No.",$D4905,"Entry Type","Sale|Consumption","posting date","01/01/21..12/31/21")/-12</t>
  </si>
  <si>
    <t>=NL("sum","Item Ledger Entry","Quantity","Item No.",$D4905,"Entry Type","Sale|Consumption","posting date","01/01/22..12/31/22")/-12</t>
  </si>
  <si>
    <t>=NL("sum","Item Ledger Entry","Quantity","Item No.",$D4905,"Entry Type","Sale|Consumption","posting date","01/01/23..12/31/23")/$J$7</t>
  </si>
  <si>
    <t>=AVERAGE(I4905:J4905)</t>
  </si>
  <si>
    <t>=NL(1,"item",L$9,"no.",D4905)</t>
  </si>
  <si>
    <t>=NL(1,"item",M$9,"no.",$D4905)</t>
  </si>
  <si>
    <t>=NL(1,"item","Units Per Parcel","no.",$D4905)</t>
  </si>
  <si>
    <t>=NL(1,"Prod. BOM Equipment","Fixed Prod. Time (Hours)","Production BOM No.",$D4905,"version code",$E4905,"Resource No.",O$9)</t>
  </si>
  <si>
    <t>=1/O4905</t>
  </si>
  <si>
    <t>=IF(NL(1,"Prod. BOM Equipment","Variable Prod. Time (Hours)","Production BOM No.",$D4905,"version code",$E4905,"Resource No.",$O$9)="",1,NL(1,"Prod. BOM Equipment","Variable Prod. Time (Hours)","Production BOM No.",$D4905,"version code",$E4905,"Resource No.",$O$9))</t>
  </si>
  <si>
    <t>=1/Q4905</t>
  </si>
  <si>
    <t>=R4905*N4905</t>
  </si>
  <si>
    <t>=IF(K4906=0,"hide","")</t>
  </si>
  <si>
    <t>=D4905</t>
  </si>
  <si>
    <t>=NL("sum","Production Order","Quantity","Source No.",$D4906,"Equipment Code",$L4906,"due date",F$8)/-12</t>
  </si>
  <si>
    <t>=NL("sum","Production Order","Quantity","Source No.",$D4906,"Equipment Code",$L4906,"due date",G$8)/-12</t>
  </si>
  <si>
    <t>=NL("sum","Production Order","Quantity","Source No.",$D4906,"Equipment Code",$L4906,"due date",H$8)/-12</t>
  </si>
  <si>
    <t>=NL("sum","Production Order","Quantity","Source No.",$D4906,"Equipment Code",$L4906,"due date",I$8)/-12</t>
  </si>
  <si>
    <t>=NL("sum","Production Order","Quantity","Source No.",$D4906,"Equipment Code",$L4906,"due date",J$8)/$J$7</t>
  </si>
  <si>
    <t>=AVERAGE(I4906:J4906)</t>
  </si>
  <si>
    <t>=IF(K4907=0,"hide","")</t>
  </si>
  <si>
    <t>=D4906</t>
  </si>
  <si>
    <t>=NL("sum","Production Order","Quantity","Source No.",$D4907,"Equipment Code",$L4907,"due date",F$8)/-12</t>
  </si>
  <si>
    <t>=NL("sum","Production Order","Quantity","Source No.",$D4907,"Equipment Code",$L4907,"due date",G$8)/-12</t>
  </si>
  <si>
    <t>=NL("sum","Production Order","Quantity","Source No.",$D4907,"Equipment Code",$L4907,"due date",H$8)/-12</t>
  </si>
  <si>
    <t>=NL("sum","Production Order","Quantity","Source No.",$D4907,"Equipment Code",$L4907,"due date",I$8)/-12</t>
  </si>
  <si>
    <t>=NL("sum","Production Order","Quantity","Source No.",$D4907,"Equipment Code",$L4907,"due date",J$8)/$J$7</t>
  </si>
  <si>
    <t>=AVERAGE(I4907:J4907)</t>
  </si>
  <si>
    <t>=IF(K4908=0,"hide","")</t>
  </si>
  <si>
    <t>=D4907</t>
  </si>
  <si>
    <t>=NL("sum","Production Order","Quantity","Source No.",$D4908,"Equipment Code",$L4908,"due date",F$8)/-12</t>
  </si>
  <si>
    <t>=NL("sum","Production Order","Quantity","Source No.",$D4908,"Equipment Code",$L4908,"due date",G$8)/-12</t>
  </si>
  <si>
    <t>=NL("sum","Production Order","Quantity","Source No.",$D4908,"Equipment Code",$L4908,"due date",H$8)/-12</t>
  </si>
  <si>
    <t>=NL("sum","Production Order","Quantity","Source No.",$D4908,"Equipment Code",$L4908,"due date",I$8)/-12</t>
  </si>
  <si>
    <t>=NL("sum","Production Order","Quantity","Source No.",$D4908,"Equipment Code",$L4908,"due date",J$8)/$J$7</t>
  </si>
  <si>
    <t>=AVERAGE(I4908:J4908)</t>
  </si>
  <si>
    <t>=IF(K4909=0,"hide","")</t>
  </si>
  <si>
    <t>=D4908</t>
  </si>
  <si>
    <t>=NL("sum","Production Order","Quantity","Source No.",$D4909,"Equipment Code",$L4909,"due date",F$8)/-12</t>
  </si>
  <si>
    <t>=NL("sum","Production Order","Quantity","Source No.",$D4909,"Equipment Code",$L4909,"due date",G$8)/-12</t>
  </si>
  <si>
    <t>=NL("sum","Production Order","Quantity","Source No.",$D4909,"Equipment Code",$L4909,"due date",H$8)/-12</t>
  </si>
  <si>
    <t>=NL("sum","Production Order","Quantity","Source No.",$D4909,"Equipment Code",$L4909,"due date",I$8)/-12</t>
  </si>
  <si>
    <t>=NL("sum","Production Order","Quantity","Source No.",$D4909,"Equipment Code",$L4909,"due date",J$8)/$J$7</t>
  </si>
  <si>
    <t>=AVERAGE(I4909:J4909)</t>
  </si>
  <si>
    <t>=B4906</t>
  </si>
  <si>
    <t>=B4910</t>
  </si>
  <si>
    <t>=SUM(F4906:F4910)</t>
  </si>
  <si>
    <t>=SUM(G4906:G4910)</t>
  </si>
  <si>
    <t>=SUM(H4906:H4910)</t>
  </si>
  <si>
    <t>=SUM(I4906:I4910)</t>
  </si>
  <si>
    <t>=SUM(J4906:J4910)</t>
  </si>
  <si>
    <t>=IF(K4912=0,"hide","")</t>
  </si>
  <si>
    <t>="86660"</t>
  </si>
  <si>
    <t>=NL("rows","Production BOM Version","Version Code","Production BOM No.",D4912,"status","certified")</t>
  </si>
  <si>
    <t>=NL("sum","Item Ledger Entry","Quantity","Item No.",$D4912,"Entry Type","Sale|Consumption","posting date","01/01/19..12/31/19")/-12</t>
  </si>
  <si>
    <t>=NL("sum","Item Ledger Entry","Quantity","Item No.",$D4912,"Entry Type","Sale|Consumption","posting date","01/01/20..12/31/20")/-12</t>
  </si>
  <si>
    <t>=NL("sum","Item Ledger Entry","Quantity","Item No.",$D4912,"Entry Type","Sale|Consumption","posting date","01/01/21..12/31/21")/-12</t>
  </si>
  <si>
    <t>=NL("sum","Item Ledger Entry","Quantity","Item No.",$D4912,"Entry Type","Sale|Consumption","posting date","01/01/22..12/31/22")/-12</t>
  </si>
  <si>
    <t>=NL("sum","Item Ledger Entry","Quantity","Item No.",$D4912,"Entry Type","Sale|Consumption","posting date","01/01/23..12/31/23")/$J$7</t>
  </si>
  <si>
    <t>=AVERAGE(I4912:J4912)</t>
  </si>
  <si>
    <t>=NL(1,"item",L$9,"no.",D4912)</t>
  </si>
  <si>
    <t>=NL(1,"item",M$9,"no.",$D4912)</t>
  </si>
  <si>
    <t>=NL(1,"item","Units Per Parcel","no.",$D4912)</t>
  </si>
  <si>
    <t>=NL(1,"Prod. BOM Equipment","Fixed Prod. Time (Hours)","Production BOM No.",$D4912,"version code",$E4912,"Resource No.",O$9)</t>
  </si>
  <si>
    <t>=1/O4912</t>
  </si>
  <si>
    <t>=IF(NL(1,"Prod. BOM Equipment","Variable Prod. Time (Hours)","Production BOM No.",$D4912,"version code",$E4912,"Resource No.",$O$9)="",1,NL(1,"Prod. BOM Equipment","Variable Prod. Time (Hours)","Production BOM No.",$D4912,"version code",$E4912,"Resource No.",$O$9))</t>
  </si>
  <si>
    <t>=1/Q4912</t>
  </si>
  <si>
    <t>=R4912*N4912</t>
  </si>
  <si>
    <t>=IF(K4913=0,"hide","")</t>
  </si>
  <si>
    <t>=D4912</t>
  </si>
  <si>
    <t>=NL("sum","Production Order","Quantity","Source No.",$D4913,"Equipment Code",$L4913,"due date",F$8)/-12</t>
  </si>
  <si>
    <t>=NL("sum","Production Order","Quantity","Source No.",$D4913,"Equipment Code",$L4913,"due date",G$8)/-12</t>
  </si>
  <si>
    <t>=NL("sum","Production Order","Quantity","Source No.",$D4913,"Equipment Code",$L4913,"due date",H$8)/-12</t>
  </si>
  <si>
    <t>=NL("sum","Production Order","Quantity","Source No.",$D4913,"Equipment Code",$L4913,"due date",I$8)/-12</t>
  </si>
  <si>
    <t>=NL("sum","Production Order","Quantity","Source No.",$D4913,"Equipment Code",$L4913,"due date",J$8)/$J$7</t>
  </si>
  <si>
    <t>=AVERAGE(I4913:J4913)</t>
  </si>
  <si>
    <t>=IF(K4914=0,"hide","")</t>
  </si>
  <si>
    <t>=D4913</t>
  </si>
  <si>
    <t>=NL("sum","Production Order","Quantity","Source No.",$D4914,"Equipment Code",$L4914,"due date",F$8)/-12</t>
  </si>
  <si>
    <t>=NL("sum","Production Order","Quantity","Source No.",$D4914,"Equipment Code",$L4914,"due date",G$8)/-12</t>
  </si>
  <si>
    <t>=NL("sum","Production Order","Quantity","Source No.",$D4914,"Equipment Code",$L4914,"due date",H$8)/-12</t>
  </si>
  <si>
    <t>=NL("sum","Production Order","Quantity","Source No.",$D4914,"Equipment Code",$L4914,"due date",I$8)/-12</t>
  </si>
  <si>
    <t>=NL("sum","Production Order","Quantity","Source No.",$D4914,"Equipment Code",$L4914,"due date",J$8)/$J$7</t>
  </si>
  <si>
    <t>=AVERAGE(I4914:J4914)</t>
  </si>
  <si>
    <t>=IF(K4915=0,"hide","")</t>
  </si>
  <si>
    <t>=D4914</t>
  </si>
  <si>
    <t>=NL("sum","Production Order","Quantity","Source No.",$D4915,"Equipment Code",$L4915,"due date",F$8)/-12</t>
  </si>
  <si>
    <t>=NL("sum","Production Order","Quantity","Source No.",$D4915,"Equipment Code",$L4915,"due date",G$8)/-12</t>
  </si>
  <si>
    <t>=NL("sum","Production Order","Quantity","Source No.",$D4915,"Equipment Code",$L4915,"due date",H$8)/-12</t>
  </si>
  <si>
    <t>=NL("sum","Production Order","Quantity","Source No.",$D4915,"Equipment Code",$L4915,"due date",I$8)/-12</t>
  </si>
  <si>
    <t>=NL("sum","Production Order","Quantity","Source No.",$D4915,"Equipment Code",$L4915,"due date",J$8)/$J$7</t>
  </si>
  <si>
    <t>=AVERAGE(I4915:J4915)</t>
  </si>
  <si>
    <t>=IF(K4916=0,"hide","")</t>
  </si>
  <si>
    <t>=D4915</t>
  </si>
  <si>
    <t>=NL("sum","Production Order","Quantity","Source No.",$D4916,"Equipment Code",$L4916,"due date",F$8)/-12</t>
  </si>
  <si>
    <t>=NL("sum","Production Order","Quantity","Source No.",$D4916,"Equipment Code",$L4916,"due date",G$8)/-12</t>
  </si>
  <si>
    <t>=NL("sum","Production Order","Quantity","Source No.",$D4916,"Equipment Code",$L4916,"due date",H$8)/-12</t>
  </si>
  <si>
    <t>=NL("sum","Production Order","Quantity","Source No.",$D4916,"Equipment Code",$L4916,"due date",I$8)/-12</t>
  </si>
  <si>
    <t>=NL("sum","Production Order","Quantity","Source No.",$D4916,"Equipment Code",$L4916,"due date",J$8)/$J$7</t>
  </si>
  <si>
    <t>=AVERAGE(I4916:J4916)</t>
  </si>
  <si>
    <t>=B4913</t>
  </si>
  <si>
    <t>=B4917</t>
  </si>
  <si>
    <t>=SUM(F4913:F4917)</t>
  </si>
  <si>
    <t>=SUM(G4913:G4917)</t>
  </si>
  <si>
    <t>=SUM(H4913:H4917)</t>
  </si>
  <si>
    <t>=SUM(I4913:I4917)</t>
  </si>
  <si>
    <t>=SUM(J4913:J4917)</t>
  </si>
  <si>
    <t>=IF(K4919=0,"hide","")</t>
  </si>
  <si>
    <t>="86695"</t>
  </si>
  <si>
    <t>=NL("rows","Production BOM Version","Version Code","Production BOM No.",D4919,"status","certified")</t>
  </si>
  <si>
    <t>=NL("sum","Item Ledger Entry","Quantity","Item No.",$D4919,"Entry Type","Sale|Consumption","posting date","01/01/19..12/31/19")/-12</t>
  </si>
  <si>
    <t>=NL("sum","Item Ledger Entry","Quantity","Item No.",$D4919,"Entry Type","Sale|Consumption","posting date","01/01/20..12/31/20")/-12</t>
  </si>
  <si>
    <t>=NL("sum","Item Ledger Entry","Quantity","Item No.",$D4919,"Entry Type","Sale|Consumption","posting date","01/01/21..12/31/21")/-12</t>
  </si>
  <si>
    <t>=NL("sum","Item Ledger Entry","Quantity","Item No.",$D4919,"Entry Type","Sale|Consumption","posting date","01/01/22..12/31/22")/-12</t>
  </si>
  <si>
    <t>=NL("sum","Item Ledger Entry","Quantity","Item No.",$D4919,"Entry Type","Sale|Consumption","posting date","01/01/23..12/31/23")/$J$7</t>
  </si>
  <si>
    <t>=AVERAGE(I4919:J4919)</t>
  </si>
  <si>
    <t>=NL(1,"item",L$9,"no.",D4919)</t>
  </si>
  <si>
    <t>=NL(1,"item",M$9,"no.",$D4919)</t>
  </si>
  <si>
    <t>=NL(1,"item","Units Per Parcel","no.",$D4919)</t>
  </si>
  <si>
    <t>=NL(1,"Prod. BOM Equipment","Fixed Prod. Time (Hours)","Production BOM No.",$D4919,"version code",$E4919,"Resource No.",O$9)</t>
  </si>
  <si>
    <t>=1/O4919</t>
  </si>
  <si>
    <t>=IF(NL(1,"Prod. BOM Equipment","Variable Prod. Time (Hours)","Production BOM No.",$D4919,"version code",$E4919,"Resource No.",$O$9)="",1,NL(1,"Prod. BOM Equipment","Variable Prod. Time (Hours)","Production BOM No.",$D4919,"version code",$E4919,"Resource No.",$O$9))</t>
  </si>
  <si>
    <t>=1/Q4919</t>
  </si>
  <si>
    <t>=R4919*N4919</t>
  </si>
  <si>
    <t>=IF(K4920=0,"hide","")</t>
  </si>
  <si>
    <t>=D4919</t>
  </si>
  <si>
    <t>=NL("sum","Production Order","Quantity","Source No.",$D4920,"Equipment Code",$L4920,"due date",F$8)/-12</t>
  </si>
  <si>
    <t>=NL("sum","Production Order","Quantity","Source No.",$D4920,"Equipment Code",$L4920,"due date",G$8)/-12</t>
  </si>
  <si>
    <t>=NL("sum","Production Order","Quantity","Source No.",$D4920,"Equipment Code",$L4920,"due date",H$8)/-12</t>
  </si>
  <si>
    <t>=NL("sum","Production Order","Quantity","Source No.",$D4920,"Equipment Code",$L4920,"due date",I$8)/-12</t>
  </si>
  <si>
    <t>=NL("sum","Production Order","Quantity","Source No.",$D4920,"Equipment Code",$L4920,"due date",J$8)/$J$7</t>
  </si>
  <si>
    <t>=AVERAGE(I4920:J4920)</t>
  </si>
  <si>
    <t>=IF(K4921=0,"hide","")</t>
  </si>
  <si>
    <t>=D4920</t>
  </si>
  <si>
    <t>=NL("sum","Production Order","Quantity","Source No.",$D4921,"Equipment Code",$L4921,"due date",F$8)/-12</t>
  </si>
  <si>
    <t>=NL("sum","Production Order","Quantity","Source No.",$D4921,"Equipment Code",$L4921,"due date",G$8)/-12</t>
  </si>
  <si>
    <t>=NL("sum","Production Order","Quantity","Source No.",$D4921,"Equipment Code",$L4921,"due date",H$8)/-12</t>
  </si>
  <si>
    <t>=NL("sum","Production Order","Quantity","Source No.",$D4921,"Equipment Code",$L4921,"due date",I$8)/-12</t>
  </si>
  <si>
    <t>=NL("sum","Production Order","Quantity","Source No.",$D4921,"Equipment Code",$L4921,"due date",J$8)/$J$7</t>
  </si>
  <si>
    <t>=AVERAGE(I4921:J4921)</t>
  </si>
  <si>
    <t>=IF(K4922=0,"hide","")</t>
  </si>
  <si>
    <t>=D4921</t>
  </si>
  <si>
    <t>=NL("sum","Production Order","Quantity","Source No.",$D4922,"Equipment Code",$L4922,"due date",F$8)/-12</t>
  </si>
  <si>
    <t>=NL("sum","Production Order","Quantity","Source No.",$D4922,"Equipment Code",$L4922,"due date",G$8)/-12</t>
  </si>
  <si>
    <t>=NL("sum","Production Order","Quantity","Source No.",$D4922,"Equipment Code",$L4922,"due date",H$8)/-12</t>
  </si>
  <si>
    <t>=NL("sum","Production Order","Quantity","Source No.",$D4922,"Equipment Code",$L4922,"due date",I$8)/-12</t>
  </si>
  <si>
    <t>=NL("sum","Production Order","Quantity","Source No.",$D4922,"Equipment Code",$L4922,"due date",J$8)/$J$7</t>
  </si>
  <si>
    <t>=AVERAGE(I4922:J4922)</t>
  </si>
  <si>
    <t>=IF(K4923=0,"hide","")</t>
  </si>
  <si>
    <t>=D4922</t>
  </si>
  <si>
    <t>=NL("sum","Production Order","Quantity","Source No.",$D4923,"Equipment Code",$L4923,"due date",F$8)/-12</t>
  </si>
  <si>
    <t>=NL("sum","Production Order","Quantity","Source No.",$D4923,"Equipment Code",$L4923,"due date",G$8)/-12</t>
  </si>
  <si>
    <t>=NL("sum","Production Order","Quantity","Source No.",$D4923,"Equipment Code",$L4923,"due date",H$8)/-12</t>
  </si>
  <si>
    <t>=NL("sum","Production Order","Quantity","Source No.",$D4923,"Equipment Code",$L4923,"due date",I$8)/-12</t>
  </si>
  <si>
    <t>=NL("sum","Production Order","Quantity","Source No.",$D4923,"Equipment Code",$L4923,"due date",J$8)/$J$7</t>
  </si>
  <si>
    <t>=AVERAGE(I4923:J4923)</t>
  </si>
  <si>
    <t>=B4920</t>
  </si>
  <si>
    <t>=B4924</t>
  </si>
  <si>
    <t>=SUM(F4920:F4924)</t>
  </si>
  <si>
    <t>=SUM(G4920:G4924)</t>
  </si>
  <si>
    <t>=SUM(H4920:H4924)</t>
  </si>
  <si>
    <t>=SUM(I4920:I4924)</t>
  </si>
  <si>
    <t>=SUM(J4920:J4924)</t>
  </si>
  <si>
    <t>=IF(K4926=0,"hide","")</t>
  </si>
  <si>
    <t>=NL("rows","Production BOM Version","Version Code","Production BOM No.",D4926,"status","certified")</t>
  </si>
  <si>
    <t>=NL("sum","Item Ledger Entry","Quantity","Item No.",$D4926,"Entry Type","Sale|Consumption","posting date","01/01/19..12/31/19")/-12</t>
  </si>
  <si>
    <t>=NL("sum","Item Ledger Entry","Quantity","Item No.",$D4926,"Entry Type","Sale|Consumption","posting date","01/01/20..12/31/20")/-12</t>
  </si>
  <si>
    <t>=NL("sum","Item Ledger Entry","Quantity","Item No.",$D4926,"Entry Type","Sale|Consumption","posting date","01/01/21..12/31/21")/-12</t>
  </si>
  <si>
    <t>=NL("sum","Item Ledger Entry","Quantity","Item No.",$D4926,"Entry Type","Sale|Consumption","posting date","01/01/22..12/31/22")/-12</t>
  </si>
  <si>
    <t>=NL("sum","Item Ledger Entry","Quantity","Item No.",$D4926,"Entry Type","Sale|Consumption","posting date","01/01/23..12/31/23")/$J$7</t>
  </si>
  <si>
    <t>=AVERAGE(I4926:J4926)</t>
  </si>
  <si>
    <t>=NL(1,"item",L$9,"no.",D4926)</t>
  </si>
  <si>
    <t>=NL(1,"item",M$9,"no.",$D4926)</t>
  </si>
  <si>
    <t>=NL(1,"item","Units Per Parcel","no.",$D4926)</t>
  </si>
  <si>
    <t>=NL(1,"Prod. BOM Equipment","Fixed Prod. Time (Hours)","Production BOM No.",$D4926,"version code",$E4926,"Resource No.",O$9)</t>
  </si>
  <si>
    <t>=1/O4926</t>
  </si>
  <si>
    <t>=IF(NL(1,"Prod. BOM Equipment","Variable Prod. Time (Hours)","Production BOM No.",$D4926,"version code",$E4926,"Resource No.",$O$9)="",1,NL(1,"Prod. BOM Equipment","Variable Prod. Time (Hours)","Production BOM No.",$D4926,"version code",$E4926,"Resource No.",$O$9))</t>
  </si>
  <si>
    <t>=1/Q4926</t>
  </si>
  <si>
    <t>=R4926*N4926</t>
  </si>
  <si>
    <t>=IF(K4927=0,"hide","")</t>
  </si>
  <si>
    <t>=D4926</t>
  </si>
  <si>
    <t>=NL("sum","Production Order","Quantity","Source No.",$D4927,"Equipment Code",$L4927,"due date",F$8)/-12</t>
  </si>
  <si>
    <t>=NL("sum","Production Order","Quantity","Source No.",$D4927,"Equipment Code",$L4927,"due date",G$8)/-12</t>
  </si>
  <si>
    <t>=NL("sum","Production Order","Quantity","Source No.",$D4927,"Equipment Code",$L4927,"due date",H$8)/-12</t>
  </si>
  <si>
    <t>=NL("sum","Production Order","Quantity","Source No.",$D4927,"Equipment Code",$L4927,"due date",I$8)/-12</t>
  </si>
  <si>
    <t>=NL("sum","Production Order","Quantity","Source No.",$D4927,"Equipment Code",$L4927,"due date",J$8)/$J$7</t>
  </si>
  <si>
    <t>=AVERAGE(I4927:J4927)</t>
  </si>
  <si>
    <t>=IF(K4928=0,"hide","")</t>
  </si>
  <si>
    <t>=D4927</t>
  </si>
  <si>
    <t>=NL("sum","Production Order","Quantity","Source No.",$D4928,"Equipment Code",$L4928,"due date",F$8)/-12</t>
  </si>
  <si>
    <t>=NL("sum","Production Order","Quantity","Source No.",$D4928,"Equipment Code",$L4928,"due date",G$8)/-12</t>
  </si>
  <si>
    <t>=NL("sum","Production Order","Quantity","Source No.",$D4928,"Equipment Code",$L4928,"due date",H$8)/-12</t>
  </si>
  <si>
    <t>=NL("sum","Production Order","Quantity","Source No.",$D4928,"Equipment Code",$L4928,"due date",I$8)/-12</t>
  </si>
  <si>
    <t>=NL("sum","Production Order","Quantity","Source No.",$D4928,"Equipment Code",$L4928,"due date",J$8)/$J$7</t>
  </si>
  <si>
    <t>=AVERAGE(I4928:J4928)</t>
  </si>
  <si>
    <t>=IF(K4929=0,"hide","")</t>
  </si>
  <si>
    <t>=D4928</t>
  </si>
  <si>
    <t>=NL("sum","Production Order","Quantity","Source No.",$D4929,"Equipment Code",$L4929,"due date",F$8)/-12</t>
  </si>
  <si>
    <t>=NL("sum","Production Order","Quantity","Source No.",$D4929,"Equipment Code",$L4929,"due date",G$8)/-12</t>
  </si>
  <si>
    <t>=NL("sum","Production Order","Quantity","Source No.",$D4929,"Equipment Code",$L4929,"due date",H$8)/-12</t>
  </si>
  <si>
    <t>=NL("sum","Production Order","Quantity","Source No.",$D4929,"Equipment Code",$L4929,"due date",I$8)/-12</t>
  </si>
  <si>
    <t>=NL("sum","Production Order","Quantity","Source No.",$D4929,"Equipment Code",$L4929,"due date",J$8)/$J$7</t>
  </si>
  <si>
    <t>=AVERAGE(I4929:J4929)</t>
  </si>
  <si>
    <t>=IF(K4930=0,"hide","")</t>
  </si>
  <si>
    <t>=D4929</t>
  </si>
  <si>
    <t>=NL("sum","Production Order","Quantity","Source No.",$D4930,"Equipment Code",$L4930,"due date",F$8)/-12</t>
  </si>
  <si>
    <t>=NL("sum","Production Order","Quantity","Source No.",$D4930,"Equipment Code",$L4930,"due date",G$8)/-12</t>
  </si>
  <si>
    <t>=NL("sum","Production Order","Quantity","Source No.",$D4930,"Equipment Code",$L4930,"due date",H$8)/-12</t>
  </si>
  <si>
    <t>=NL("sum","Production Order","Quantity","Source No.",$D4930,"Equipment Code",$L4930,"due date",I$8)/-12</t>
  </si>
  <si>
    <t>=NL("sum","Production Order","Quantity","Source No.",$D4930,"Equipment Code",$L4930,"due date",J$8)/$J$7</t>
  </si>
  <si>
    <t>=AVERAGE(I4930:J4930)</t>
  </si>
  <si>
    <t>=B4927</t>
  </si>
  <si>
    <t>=B4931</t>
  </si>
  <si>
    <t>=SUM(F4927:F4931)</t>
  </si>
  <si>
    <t>=SUM(G4927:G4931)</t>
  </si>
  <si>
    <t>=SUM(H4927:H4931)</t>
  </si>
  <si>
    <t>=SUM(I4927:I4931)</t>
  </si>
  <si>
    <t>=SUM(J4927:J4931)</t>
  </si>
  <si>
    <t>=IF(K4933=0,"hide","")</t>
  </si>
  <si>
    <t>=NL("rows","Production BOM Version","Version Code","Production BOM No.",D4933,"status","certified")</t>
  </si>
  <si>
    <t>=NL("sum","Item Ledger Entry","Quantity","Item No.",$D4933,"Entry Type","Sale|Consumption","posting date","01/01/19..12/31/19")/-12</t>
  </si>
  <si>
    <t>=NL("sum","Item Ledger Entry","Quantity","Item No.",$D4933,"Entry Type","Sale|Consumption","posting date","01/01/20..12/31/20")/-12</t>
  </si>
  <si>
    <t>=NL("sum","Item Ledger Entry","Quantity","Item No.",$D4933,"Entry Type","Sale|Consumption","posting date","01/01/21..12/31/21")/-12</t>
  </si>
  <si>
    <t>=NL("sum","Item Ledger Entry","Quantity","Item No.",$D4933,"Entry Type","Sale|Consumption","posting date","01/01/22..12/31/22")/-12</t>
  </si>
  <si>
    <t>=NL("sum","Item Ledger Entry","Quantity","Item No.",$D4933,"Entry Type","Sale|Consumption","posting date","01/01/23..12/31/23")/$J$7</t>
  </si>
  <si>
    <t>=AVERAGE(I4933:J4933)</t>
  </si>
  <si>
    <t>=NL(1,"item",L$9,"no.",D4933)</t>
  </si>
  <si>
    <t>=NL(1,"item",M$9,"no.",$D4933)</t>
  </si>
  <si>
    <t>=NL(1,"item","Units Per Parcel","no.",$D4933)</t>
  </si>
  <si>
    <t>=NL(1,"Prod. BOM Equipment","Fixed Prod. Time (Hours)","Production BOM No.",$D4933,"version code",$E4933,"Resource No.",O$9)</t>
  </si>
  <si>
    <t>=1/O4933</t>
  </si>
  <si>
    <t>=IF(NL(1,"Prod. BOM Equipment","Variable Prod. Time (Hours)","Production BOM No.",$D4933,"version code",$E4933,"Resource No.",$O$9)="",1,NL(1,"Prod. BOM Equipment","Variable Prod. Time (Hours)","Production BOM No.",$D4933,"version code",$E4933,"Resource No.",$O$9))</t>
  </si>
  <si>
    <t>=1/Q4933</t>
  </si>
  <si>
    <t>=R4933*N4933</t>
  </si>
  <si>
    <t>=IF(K4934=0,"hide","")</t>
  </si>
  <si>
    <t>=D4933</t>
  </si>
  <si>
    <t>=NL("sum","Production Order","Quantity","Source No.",$D4934,"Equipment Code",$L4934,"due date",F$8)/-12</t>
  </si>
  <si>
    <t>=NL("sum","Production Order","Quantity","Source No.",$D4934,"Equipment Code",$L4934,"due date",G$8)/-12</t>
  </si>
  <si>
    <t>=NL("sum","Production Order","Quantity","Source No.",$D4934,"Equipment Code",$L4934,"due date",H$8)/-12</t>
  </si>
  <si>
    <t>=NL("sum","Production Order","Quantity","Source No.",$D4934,"Equipment Code",$L4934,"due date",I$8)/-12</t>
  </si>
  <si>
    <t>=NL("sum","Production Order","Quantity","Source No.",$D4934,"Equipment Code",$L4934,"due date",J$8)/$J$7</t>
  </si>
  <si>
    <t>=AVERAGE(I4934:J4934)</t>
  </si>
  <si>
    <t>=IF(K4935=0,"hide","")</t>
  </si>
  <si>
    <t>=D4934</t>
  </si>
  <si>
    <t>=NL("sum","Production Order","Quantity","Source No.",$D4935,"Equipment Code",$L4935,"due date",F$8)/-12</t>
  </si>
  <si>
    <t>=NL("sum","Production Order","Quantity","Source No.",$D4935,"Equipment Code",$L4935,"due date",G$8)/-12</t>
  </si>
  <si>
    <t>=NL("sum","Production Order","Quantity","Source No.",$D4935,"Equipment Code",$L4935,"due date",H$8)/-12</t>
  </si>
  <si>
    <t>=NL("sum","Production Order","Quantity","Source No.",$D4935,"Equipment Code",$L4935,"due date",I$8)/-12</t>
  </si>
  <si>
    <t>=NL("sum","Production Order","Quantity","Source No.",$D4935,"Equipment Code",$L4935,"due date",J$8)/$J$7</t>
  </si>
  <si>
    <t>=AVERAGE(I4935:J4935)</t>
  </si>
  <si>
    <t>=IF(K4936=0,"hide","")</t>
  </si>
  <si>
    <t>=D4935</t>
  </si>
  <si>
    <t>=NL("sum","Production Order","Quantity","Source No.",$D4936,"Equipment Code",$L4936,"due date",F$8)/-12</t>
  </si>
  <si>
    <t>=NL("sum","Production Order","Quantity","Source No.",$D4936,"Equipment Code",$L4936,"due date",G$8)/-12</t>
  </si>
  <si>
    <t>=NL("sum","Production Order","Quantity","Source No.",$D4936,"Equipment Code",$L4936,"due date",H$8)/-12</t>
  </si>
  <si>
    <t>=NL("sum","Production Order","Quantity","Source No.",$D4936,"Equipment Code",$L4936,"due date",I$8)/-12</t>
  </si>
  <si>
    <t>=NL("sum","Production Order","Quantity","Source No.",$D4936,"Equipment Code",$L4936,"due date",J$8)/$J$7</t>
  </si>
  <si>
    <t>=AVERAGE(I4936:J4936)</t>
  </si>
  <si>
    <t>=IF(K4937=0,"hide","")</t>
  </si>
  <si>
    <t>=D4936</t>
  </si>
  <si>
    <t>=NL("sum","Production Order","Quantity","Source No.",$D4937,"Equipment Code",$L4937,"due date",F$8)/-12</t>
  </si>
  <si>
    <t>=NL("sum","Production Order","Quantity","Source No.",$D4937,"Equipment Code",$L4937,"due date",G$8)/-12</t>
  </si>
  <si>
    <t>=NL("sum","Production Order","Quantity","Source No.",$D4937,"Equipment Code",$L4937,"due date",H$8)/-12</t>
  </si>
  <si>
    <t>=NL("sum","Production Order","Quantity","Source No.",$D4937,"Equipment Code",$L4937,"due date",I$8)/-12</t>
  </si>
  <si>
    <t>=NL("sum","Production Order","Quantity","Source No.",$D4937,"Equipment Code",$L4937,"due date",J$8)/$J$7</t>
  </si>
  <si>
    <t>=AVERAGE(I4937:J4937)</t>
  </si>
  <si>
    <t>=B4934</t>
  </si>
  <si>
    <t>=B4938</t>
  </si>
  <si>
    <t>=SUM(F4934:F4938)</t>
  </si>
  <si>
    <t>=SUM(G4934:G4938)</t>
  </si>
  <si>
    <t>=SUM(H4934:H4938)</t>
  </si>
  <si>
    <t>=SUM(I4934:I4938)</t>
  </si>
  <si>
    <t>=SUM(J4934:J4938)</t>
  </si>
  <si>
    <t>=IF(K4940=0,"hide","")</t>
  </si>
  <si>
    <t>=NL("rows","Production BOM Version","Version Code","Production BOM No.",D4940,"status","certified")</t>
  </si>
  <si>
    <t>=NL("sum","Item Ledger Entry","Quantity","Item No.",$D4940,"Entry Type","Sale|Consumption","posting date","01/01/19..12/31/19")/-12</t>
  </si>
  <si>
    <t>=NL("sum","Item Ledger Entry","Quantity","Item No.",$D4940,"Entry Type","Sale|Consumption","posting date","01/01/20..12/31/20")/-12</t>
  </si>
  <si>
    <t>=NL("sum","Item Ledger Entry","Quantity","Item No.",$D4940,"Entry Type","Sale|Consumption","posting date","01/01/21..12/31/21")/-12</t>
  </si>
  <si>
    <t>=NL("sum","Item Ledger Entry","Quantity","Item No.",$D4940,"Entry Type","Sale|Consumption","posting date","01/01/22..12/31/22")/-12</t>
  </si>
  <si>
    <t>=NL("sum","Item Ledger Entry","Quantity","Item No.",$D4940,"Entry Type","Sale|Consumption","posting date","01/01/23..12/31/23")/$J$7</t>
  </si>
  <si>
    <t>=AVERAGE(I4940:J4940)</t>
  </si>
  <si>
    <t>=NL(1,"item",L$9,"no.",D4940)</t>
  </si>
  <si>
    <t>=NL(1,"item",M$9,"no.",$D4940)</t>
  </si>
  <si>
    <t>=NL(1,"item","Units Per Parcel","no.",$D4940)</t>
  </si>
  <si>
    <t>=NL(1,"Prod. BOM Equipment","Fixed Prod. Time (Hours)","Production BOM No.",$D4940,"version code",$E4940,"Resource No.",O$9)</t>
  </si>
  <si>
    <t>=1/O4940</t>
  </si>
  <si>
    <t>=IF(NL(1,"Prod. BOM Equipment","Variable Prod. Time (Hours)","Production BOM No.",$D4940,"version code",$E4940,"Resource No.",$O$9)="",1,NL(1,"Prod. BOM Equipment","Variable Prod. Time (Hours)","Production BOM No.",$D4940,"version code",$E4940,"Resource No.",$O$9))</t>
  </si>
  <si>
    <t>=1/Q4940</t>
  </si>
  <si>
    <t>=R4940*N4940</t>
  </si>
  <si>
    <t>=IF(K4941=0,"hide","")</t>
  </si>
  <si>
    <t>=D4940</t>
  </si>
  <si>
    <t>=NL("sum","Production Order","Quantity","Source No.",$D4941,"Equipment Code",$L4941,"due date",F$8)/-12</t>
  </si>
  <si>
    <t>=NL("sum","Production Order","Quantity","Source No.",$D4941,"Equipment Code",$L4941,"due date",G$8)/-12</t>
  </si>
  <si>
    <t>=NL("sum","Production Order","Quantity","Source No.",$D4941,"Equipment Code",$L4941,"due date",H$8)/-12</t>
  </si>
  <si>
    <t>=NL("sum","Production Order","Quantity","Source No.",$D4941,"Equipment Code",$L4941,"due date",I$8)/-12</t>
  </si>
  <si>
    <t>=NL("sum","Production Order","Quantity","Source No.",$D4941,"Equipment Code",$L4941,"due date",J$8)/$J$7</t>
  </si>
  <si>
    <t>=AVERAGE(I4941:J4941)</t>
  </si>
  <si>
    <t>=IF(K4942=0,"hide","")</t>
  </si>
  <si>
    <t>=D4941</t>
  </si>
  <si>
    <t>=NL("sum","Production Order","Quantity","Source No.",$D4942,"Equipment Code",$L4942,"due date",F$8)/-12</t>
  </si>
  <si>
    <t>=NL("sum","Production Order","Quantity","Source No.",$D4942,"Equipment Code",$L4942,"due date",G$8)/-12</t>
  </si>
  <si>
    <t>=NL("sum","Production Order","Quantity","Source No.",$D4942,"Equipment Code",$L4942,"due date",H$8)/-12</t>
  </si>
  <si>
    <t>=NL("sum","Production Order","Quantity","Source No.",$D4942,"Equipment Code",$L4942,"due date",I$8)/-12</t>
  </si>
  <si>
    <t>=NL("sum","Production Order","Quantity","Source No.",$D4942,"Equipment Code",$L4942,"due date",J$8)/$J$7</t>
  </si>
  <si>
    <t>=AVERAGE(I4942:J4942)</t>
  </si>
  <si>
    <t>=IF(K4943=0,"hide","")</t>
  </si>
  <si>
    <t>=D4942</t>
  </si>
  <si>
    <t>=NL("sum","Production Order","Quantity","Source No.",$D4943,"Equipment Code",$L4943,"due date",F$8)/-12</t>
  </si>
  <si>
    <t>=NL("sum","Production Order","Quantity","Source No.",$D4943,"Equipment Code",$L4943,"due date",G$8)/-12</t>
  </si>
  <si>
    <t>=NL("sum","Production Order","Quantity","Source No.",$D4943,"Equipment Code",$L4943,"due date",H$8)/-12</t>
  </si>
  <si>
    <t>=NL("sum","Production Order","Quantity","Source No.",$D4943,"Equipment Code",$L4943,"due date",I$8)/-12</t>
  </si>
  <si>
    <t>=NL("sum","Production Order","Quantity","Source No.",$D4943,"Equipment Code",$L4943,"due date",J$8)/$J$7</t>
  </si>
  <si>
    <t>=AVERAGE(I4943:J4943)</t>
  </si>
  <si>
    <t>=IF(K4944=0,"hide","")</t>
  </si>
  <si>
    <t>=D4943</t>
  </si>
  <si>
    <t>=NL("sum","Production Order","Quantity","Source No.",$D4944,"Equipment Code",$L4944,"due date",F$8)/-12</t>
  </si>
  <si>
    <t>=NL("sum","Production Order","Quantity","Source No.",$D4944,"Equipment Code",$L4944,"due date",G$8)/-12</t>
  </si>
  <si>
    <t>=NL("sum","Production Order","Quantity","Source No.",$D4944,"Equipment Code",$L4944,"due date",H$8)/-12</t>
  </si>
  <si>
    <t>=NL("sum","Production Order","Quantity","Source No.",$D4944,"Equipment Code",$L4944,"due date",I$8)/-12</t>
  </si>
  <si>
    <t>=NL("sum","Production Order","Quantity","Source No.",$D4944,"Equipment Code",$L4944,"due date",J$8)/$J$7</t>
  </si>
  <si>
    <t>=AVERAGE(I4944:J4944)</t>
  </si>
  <si>
    <t>=B4941</t>
  </si>
  <si>
    <t>=B4945</t>
  </si>
  <si>
    <t>=SUM(F4941:F4945)</t>
  </si>
  <si>
    <t>=SUM(G4941:G4945)</t>
  </si>
  <si>
    <t>=SUM(H4941:H4945)</t>
  </si>
  <si>
    <t>=SUM(I4941:I4945)</t>
  </si>
  <si>
    <t>=SUM(J4941:J4945)</t>
  </si>
  <si>
    <t>=IF(K4947=0,"hide","")</t>
  </si>
  <si>
    <t>=NL("rows","Production BOM Version","Version Code","Production BOM No.",D4947,"status","certified")</t>
  </si>
  <si>
    <t>=NL("sum","Item Ledger Entry","Quantity","Item No.",$D4947,"Entry Type","Sale|Consumption","posting date","01/01/19..12/31/19")/-12</t>
  </si>
  <si>
    <t>=NL("sum","Item Ledger Entry","Quantity","Item No.",$D4947,"Entry Type","Sale|Consumption","posting date","01/01/20..12/31/20")/-12</t>
  </si>
  <si>
    <t>=NL("sum","Item Ledger Entry","Quantity","Item No.",$D4947,"Entry Type","Sale|Consumption","posting date","01/01/21..12/31/21")/-12</t>
  </si>
  <si>
    <t>=NL("sum","Item Ledger Entry","Quantity","Item No.",$D4947,"Entry Type","Sale|Consumption","posting date","01/01/22..12/31/22")/-12</t>
  </si>
  <si>
    <t>=NL("sum","Item Ledger Entry","Quantity","Item No.",$D4947,"Entry Type","Sale|Consumption","posting date","01/01/23..12/31/23")/$J$7</t>
  </si>
  <si>
    <t>=AVERAGE(I4947:J4947)</t>
  </si>
  <si>
    <t>=NL(1,"item",L$9,"no.",D4947)</t>
  </si>
  <si>
    <t>=NL(1,"item",M$9,"no.",$D4947)</t>
  </si>
  <si>
    <t>=NL(1,"item","Units Per Parcel","no.",$D4947)</t>
  </si>
  <si>
    <t>=NL(1,"Prod. BOM Equipment","Fixed Prod. Time (Hours)","Production BOM No.",$D4947,"version code",$E4947,"Resource No.",O$9)</t>
  </si>
  <si>
    <t>=1/O4947</t>
  </si>
  <si>
    <t>=IF(NL(1,"Prod. BOM Equipment","Variable Prod. Time (Hours)","Production BOM No.",$D4947,"version code",$E4947,"Resource No.",$O$9)="",1,NL(1,"Prod. BOM Equipment","Variable Prod. Time (Hours)","Production BOM No.",$D4947,"version code",$E4947,"Resource No.",$O$9))</t>
  </si>
  <si>
    <t>=1/Q4947</t>
  </si>
  <si>
    <t>=R4947*N4947</t>
  </si>
  <si>
    <t>=IF(K4948=0,"hide","")</t>
  </si>
  <si>
    <t>=D4947</t>
  </si>
  <si>
    <t>=NL("sum","Production Order","Quantity","Source No.",$D4948,"Equipment Code",$L4948,"due date",F$8)/-12</t>
  </si>
  <si>
    <t>=NL("sum","Production Order","Quantity","Source No.",$D4948,"Equipment Code",$L4948,"due date",G$8)/-12</t>
  </si>
  <si>
    <t>=NL("sum","Production Order","Quantity","Source No.",$D4948,"Equipment Code",$L4948,"due date",H$8)/-12</t>
  </si>
  <si>
    <t>=NL("sum","Production Order","Quantity","Source No.",$D4948,"Equipment Code",$L4948,"due date",I$8)/-12</t>
  </si>
  <si>
    <t>=NL("sum","Production Order","Quantity","Source No.",$D4948,"Equipment Code",$L4948,"due date",J$8)/$J$7</t>
  </si>
  <si>
    <t>=AVERAGE(I4948:J4948)</t>
  </si>
  <si>
    <t>=IF(K4949=0,"hide","")</t>
  </si>
  <si>
    <t>=D4948</t>
  </si>
  <si>
    <t>=NL("sum","Production Order","Quantity","Source No.",$D4949,"Equipment Code",$L4949,"due date",F$8)/-12</t>
  </si>
  <si>
    <t>=NL("sum","Production Order","Quantity","Source No.",$D4949,"Equipment Code",$L4949,"due date",G$8)/-12</t>
  </si>
  <si>
    <t>=NL("sum","Production Order","Quantity","Source No.",$D4949,"Equipment Code",$L4949,"due date",H$8)/-12</t>
  </si>
  <si>
    <t>=NL("sum","Production Order","Quantity","Source No.",$D4949,"Equipment Code",$L4949,"due date",I$8)/-12</t>
  </si>
  <si>
    <t>=NL("sum","Production Order","Quantity","Source No.",$D4949,"Equipment Code",$L4949,"due date",J$8)/$J$7</t>
  </si>
  <si>
    <t>=AVERAGE(I4949:J4949)</t>
  </si>
  <si>
    <t>=IF(K4950=0,"hide","")</t>
  </si>
  <si>
    <t>=D4949</t>
  </si>
  <si>
    <t>=NL("sum","Production Order","Quantity","Source No.",$D4950,"Equipment Code",$L4950,"due date",F$8)/-12</t>
  </si>
  <si>
    <t>=NL("sum","Production Order","Quantity","Source No.",$D4950,"Equipment Code",$L4950,"due date",G$8)/-12</t>
  </si>
  <si>
    <t>=NL("sum","Production Order","Quantity","Source No.",$D4950,"Equipment Code",$L4950,"due date",H$8)/-12</t>
  </si>
  <si>
    <t>=NL("sum","Production Order","Quantity","Source No.",$D4950,"Equipment Code",$L4950,"due date",I$8)/-12</t>
  </si>
  <si>
    <t>=NL("sum","Production Order","Quantity","Source No.",$D4950,"Equipment Code",$L4950,"due date",J$8)/$J$7</t>
  </si>
  <si>
    <t>=AVERAGE(I4950:J4950)</t>
  </si>
  <si>
    <t>=IF(K4951=0,"hide","")</t>
  </si>
  <si>
    <t>=D4950</t>
  </si>
  <si>
    <t>=NL("sum","Production Order","Quantity","Source No.",$D4951,"Equipment Code",$L4951,"due date",F$8)/-12</t>
  </si>
  <si>
    <t>=NL("sum","Production Order","Quantity","Source No.",$D4951,"Equipment Code",$L4951,"due date",G$8)/-12</t>
  </si>
  <si>
    <t>=NL("sum","Production Order","Quantity","Source No.",$D4951,"Equipment Code",$L4951,"due date",H$8)/-12</t>
  </si>
  <si>
    <t>=NL("sum","Production Order","Quantity","Source No.",$D4951,"Equipment Code",$L4951,"due date",I$8)/-12</t>
  </si>
  <si>
    <t>=NL("sum","Production Order","Quantity","Source No.",$D4951,"Equipment Code",$L4951,"due date",J$8)/$J$7</t>
  </si>
  <si>
    <t>=AVERAGE(I4951:J4951)</t>
  </si>
  <si>
    <t>=B4948</t>
  </si>
  <si>
    <t>=B4952</t>
  </si>
  <si>
    <t>=SUM(F4948:F4952)</t>
  </si>
  <si>
    <t>=SUM(G4948:G4952)</t>
  </si>
  <si>
    <t>=SUM(H4948:H4952)</t>
  </si>
  <si>
    <t>=SUM(I4948:I4952)</t>
  </si>
  <si>
    <t>=SUM(J4948:J4952)</t>
  </si>
  <si>
    <t>=IF(K4954=0,"hide","")</t>
  </si>
  <si>
    <t>=NL("rows","Production BOM Version","Version Code","Production BOM No.",D4954,"status","certified")</t>
  </si>
  <si>
    <t>=NL("sum","Item Ledger Entry","Quantity","Item No.",$D4954,"Entry Type","Sale|Consumption","posting date","01/01/19..12/31/19")/-12</t>
  </si>
  <si>
    <t>=NL("sum","Item Ledger Entry","Quantity","Item No.",$D4954,"Entry Type","Sale|Consumption","posting date","01/01/20..12/31/20")/-12</t>
  </si>
  <si>
    <t>=NL("sum","Item Ledger Entry","Quantity","Item No.",$D4954,"Entry Type","Sale|Consumption","posting date","01/01/21..12/31/21")/-12</t>
  </si>
  <si>
    <t>=NL("sum","Item Ledger Entry","Quantity","Item No.",$D4954,"Entry Type","Sale|Consumption","posting date","01/01/22..12/31/22")/-12</t>
  </si>
  <si>
    <t>=NL("sum","Item Ledger Entry","Quantity","Item No.",$D4954,"Entry Type","Sale|Consumption","posting date","01/01/23..12/31/23")/$J$7</t>
  </si>
  <si>
    <t>=AVERAGE(I4954:J4954)</t>
  </si>
  <si>
    <t>=NL(1,"item",L$9,"no.",D4954)</t>
  </si>
  <si>
    <t>=NL(1,"item",M$9,"no.",$D4954)</t>
  </si>
  <si>
    <t>=NL(1,"item","Units Per Parcel","no.",$D4954)</t>
  </si>
  <si>
    <t>=NL(1,"Prod. BOM Equipment","Fixed Prod. Time (Hours)","Production BOM No.",$D4954,"version code",$E4954,"Resource No.",O$9)</t>
  </si>
  <si>
    <t>=1/O4954</t>
  </si>
  <si>
    <t>=IF(NL(1,"Prod. BOM Equipment","Variable Prod. Time (Hours)","Production BOM No.",$D4954,"version code",$E4954,"Resource No.",$O$9)="",1,NL(1,"Prod. BOM Equipment","Variable Prod. Time (Hours)","Production BOM No.",$D4954,"version code",$E4954,"Resource No.",$O$9))</t>
  </si>
  <si>
    <t>=1/Q4954</t>
  </si>
  <si>
    <t>=R4954*N4954</t>
  </si>
  <si>
    <t>=IF(K4955=0,"hide","")</t>
  </si>
  <si>
    <t>=D4954</t>
  </si>
  <si>
    <t>=NL("sum","Production Order","Quantity","Source No.",$D4955,"Equipment Code",$L4955,"due date",F$8)/-12</t>
  </si>
  <si>
    <t>=NL("sum","Production Order","Quantity","Source No.",$D4955,"Equipment Code",$L4955,"due date",G$8)/-12</t>
  </si>
  <si>
    <t>=NL("sum","Production Order","Quantity","Source No.",$D4955,"Equipment Code",$L4955,"due date",H$8)/-12</t>
  </si>
  <si>
    <t>=NL("sum","Production Order","Quantity","Source No.",$D4955,"Equipment Code",$L4955,"due date",I$8)/-12</t>
  </si>
  <si>
    <t>=NL("sum","Production Order","Quantity","Source No.",$D4955,"Equipment Code",$L4955,"due date",J$8)/$J$7</t>
  </si>
  <si>
    <t>=AVERAGE(I4955:J4955)</t>
  </si>
  <si>
    <t>=IF(K4956=0,"hide","")</t>
  </si>
  <si>
    <t>=D4955</t>
  </si>
  <si>
    <t>=NL("sum","Production Order","Quantity","Source No.",$D4956,"Equipment Code",$L4956,"due date",F$8)/-12</t>
  </si>
  <si>
    <t>=NL("sum","Production Order","Quantity","Source No.",$D4956,"Equipment Code",$L4956,"due date",G$8)/-12</t>
  </si>
  <si>
    <t>=NL("sum","Production Order","Quantity","Source No.",$D4956,"Equipment Code",$L4956,"due date",H$8)/-12</t>
  </si>
  <si>
    <t>=NL("sum","Production Order","Quantity","Source No.",$D4956,"Equipment Code",$L4956,"due date",I$8)/-12</t>
  </si>
  <si>
    <t>=NL("sum","Production Order","Quantity","Source No.",$D4956,"Equipment Code",$L4956,"due date",J$8)/$J$7</t>
  </si>
  <si>
    <t>=AVERAGE(I4956:J4956)</t>
  </si>
  <si>
    <t>=IF(K4957=0,"hide","")</t>
  </si>
  <si>
    <t>=D4956</t>
  </si>
  <si>
    <t>=NL("sum","Production Order","Quantity","Source No.",$D4957,"Equipment Code",$L4957,"due date",F$8)/-12</t>
  </si>
  <si>
    <t>=NL("sum","Production Order","Quantity","Source No.",$D4957,"Equipment Code",$L4957,"due date",G$8)/-12</t>
  </si>
  <si>
    <t>=NL("sum","Production Order","Quantity","Source No.",$D4957,"Equipment Code",$L4957,"due date",H$8)/-12</t>
  </si>
  <si>
    <t>=NL("sum","Production Order","Quantity","Source No.",$D4957,"Equipment Code",$L4957,"due date",I$8)/-12</t>
  </si>
  <si>
    <t>=NL("sum","Production Order","Quantity","Source No.",$D4957,"Equipment Code",$L4957,"due date",J$8)/$J$7</t>
  </si>
  <si>
    <t>=AVERAGE(I4957:J4957)</t>
  </si>
  <si>
    <t>=IF(K4958=0,"hide","")</t>
  </si>
  <si>
    <t>=D4957</t>
  </si>
  <si>
    <t>=NL("sum","Production Order","Quantity","Source No.",$D4958,"Equipment Code",$L4958,"due date",F$8)/-12</t>
  </si>
  <si>
    <t>=NL("sum","Production Order","Quantity","Source No.",$D4958,"Equipment Code",$L4958,"due date",G$8)/-12</t>
  </si>
  <si>
    <t>=NL("sum","Production Order","Quantity","Source No.",$D4958,"Equipment Code",$L4958,"due date",H$8)/-12</t>
  </si>
  <si>
    <t>=NL("sum","Production Order","Quantity","Source No.",$D4958,"Equipment Code",$L4958,"due date",I$8)/-12</t>
  </si>
  <si>
    <t>=NL("sum","Production Order","Quantity","Source No.",$D4958,"Equipment Code",$L4958,"due date",J$8)/$J$7</t>
  </si>
  <si>
    <t>=AVERAGE(I4958:J4958)</t>
  </si>
  <si>
    <t>=B4955</t>
  </si>
  <si>
    <t>=B4959</t>
  </si>
  <si>
    <t>=SUM(F4955:F4959)</t>
  </si>
  <si>
    <t>=SUM(G4955:G4959)</t>
  </si>
  <si>
    <t>=SUM(H4955:H4959)</t>
  </si>
  <si>
    <t>=SUM(I4955:I4959)</t>
  </si>
  <si>
    <t>=SUM(J4955:J4959)</t>
  </si>
  <si>
    <t>=IF(K4961=0,"hide","")</t>
  </si>
  <si>
    <t>=NL("rows","Production BOM Version","Version Code","Production BOM No.",D4961,"status","certified")</t>
  </si>
  <si>
    <t>=NL("sum","Item Ledger Entry","Quantity","Item No.",$D4961,"Entry Type","Sale|Consumption","posting date","01/01/19..12/31/19")/-12</t>
  </si>
  <si>
    <t>=NL("sum","Item Ledger Entry","Quantity","Item No.",$D4961,"Entry Type","Sale|Consumption","posting date","01/01/20..12/31/20")/-12</t>
  </si>
  <si>
    <t>=NL("sum","Item Ledger Entry","Quantity","Item No.",$D4961,"Entry Type","Sale|Consumption","posting date","01/01/21..12/31/21")/-12</t>
  </si>
  <si>
    <t>=NL("sum","Item Ledger Entry","Quantity","Item No.",$D4961,"Entry Type","Sale|Consumption","posting date","01/01/22..12/31/22")/-12</t>
  </si>
  <si>
    <t>=NL("sum","Item Ledger Entry","Quantity","Item No.",$D4961,"Entry Type","Sale|Consumption","posting date","01/01/23..12/31/23")/$J$7</t>
  </si>
  <si>
    <t>=AVERAGE(I4961:J4961)</t>
  </si>
  <si>
    <t>=NL(1,"item",L$9,"no.",D4961)</t>
  </si>
  <si>
    <t>=NL(1,"item",M$9,"no.",$D4961)</t>
  </si>
  <si>
    <t>=NL(1,"item","Units Per Parcel","no.",$D4961)</t>
  </si>
  <si>
    <t>=NL(1,"Prod. BOM Equipment","Fixed Prod. Time (Hours)","Production BOM No.",$D4961,"version code",$E4961,"Resource No.",O$9)</t>
  </si>
  <si>
    <t>=1/O4961</t>
  </si>
  <si>
    <t>=IF(NL(1,"Prod. BOM Equipment","Variable Prod. Time (Hours)","Production BOM No.",$D4961,"version code",$E4961,"Resource No.",$O$9)="",1,NL(1,"Prod. BOM Equipment","Variable Prod. Time (Hours)","Production BOM No.",$D4961,"version code",$E4961,"Resource No.",$O$9))</t>
  </si>
  <si>
    <t>=1/Q4961</t>
  </si>
  <si>
    <t>=R4961*N4961</t>
  </si>
  <si>
    <t>=IF(K4962=0,"hide","")</t>
  </si>
  <si>
    <t>=D4961</t>
  </si>
  <si>
    <t>=NL("sum","Production Order","Quantity","Source No.",$D4962,"Equipment Code",$L4962,"due date",F$8)/-12</t>
  </si>
  <si>
    <t>=NL("sum","Production Order","Quantity","Source No.",$D4962,"Equipment Code",$L4962,"due date",G$8)/-12</t>
  </si>
  <si>
    <t>=NL("sum","Production Order","Quantity","Source No.",$D4962,"Equipment Code",$L4962,"due date",H$8)/-12</t>
  </si>
  <si>
    <t>=NL("sum","Production Order","Quantity","Source No.",$D4962,"Equipment Code",$L4962,"due date",I$8)/-12</t>
  </si>
  <si>
    <t>=NL("sum","Production Order","Quantity","Source No.",$D4962,"Equipment Code",$L4962,"due date",J$8)/$J$7</t>
  </si>
  <si>
    <t>=AVERAGE(I4962:J4962)</t>
  </si>
  <si>
    <t>=IF(K4963=0,"hide","")</t>
  </si>
  <si>
    <t>=D4962</t>
  </si>
  <si>
    <t>=NL("sum","Production Order","Quantity","Source No.",$D4963,"Equipment Code",$L4963,"due date",F$8)/-12</t>
  </si>
  <si>
    <t>=NL("sum","Production Order","Quantity","Source No.",$D4963,"Equipment Code",$L4963,"due date",G$8)/-12</t>
  </si>
  <si>
    <t>=NL("sum","Production Order","Quantity","Source No.",$D4963,"Equipment Code",$L4963,"due date",H$8)/-12</t>
  </si>
  <si>
    <t>=NL("sum","Production Order","Quantity","Source No.",$D4963,"Equipment Code",$L4963,"due date",I$8)/-12</t>
  </si>
  <si>
    <t>=NL("sum","Production Order","Quantity","Source No.",$D4963,"Equipment Code",$L4963,"due date",J$8)/$J$7</t>
  </si>
  <si>
    <t>=AVERAGE(I4963:J4963)</t>
  </si>
  <si>
    <t>=IF(K4964=0,"hide","")</t>
  </si>
  <si>
    <t>=D4963</t>
  </si>
  <si>
    <t>=NL("sum","Production Order","Quantity","Source No.",$D4964,"Equipment Code",$L4964,"due date",F$8)/-12</t>
  </si>
  <si>
    <t>=NL("sum","Production Order","Quantity","Source No.",$D4964,"Equipment Code",$L4964,"due date",G$8)/-12</t>
  </si>
  <si>
    <t>=NL("sum","Production Order","Quantity","Source No.",$D4964,"Equipment Code",$L4964,"due date",H$8)/-12</t>
  </si>
  <si>
    <t>=NL("sum","Production Order","Quantity","Source No.",$D4964,"Equipment Code",$L4964,"due date",I$8)/-12</t>
  </si>
  <si>
    <t>=NL("sum","Production Order","Quantity","Source No.",$D4964,"Equipment Code",$L4964,"due date",J$8)/$J$7</t>
  </si>
  <si>
    <t>=AVERAGE(I4964:J4964)</t>
  </si>
  <si>
    <t>=IF(K4965=0,"hide","")</t>
  </si>
  <si>
    <t>=D4964</t>
  </si>
  <si>
    <t>=NL("sum","Production Order","Quantity","Source No.",$D4965,"Equipment Code",$L4965,"due date",F$8)/-12</t>
  </si>
  <si>
    <t>=NL("sum","Production Order","Quantity","Source No.",$D4965,"Equipment Code",$L4965,"due date",G$8)/-12</t>
  </si>
  <si>
    <t>=NL("sum","Production Order","Quantity","Source No.",$D4965,"Equipment Code",$L4965,"due date",H$8)/-12</t>
  </si>
  <si>
    <t>=NL("sum","Production Order","Quantity","Source No.",$D4965,"Equipment Code",$L4965,"due date",I$8)/-12</t>
  </si>
  <si>
    <t>=NL("sum","Production Order","Quantity","Source No.",$D4965,"Equipment Code",$L4965,"due date",J$8)/$J$7</t>
  </si>
  <si>
    <t>=AVERAGE(I4965:J4965)</t>
  </si>
  <si>
    <t>=B4962</t>
  </si>
  <si>
    <t>=B4966</t>
  </si>
  <si>
    <t>=SUM(F4962:F4966)</t>
  </si>
  <si>
    <t>=SUM(G4962:G4966)</t>
  </si>
  <si>
    <t>=SUM(H4962:H4966)</t>
  </si>
  <si>
    <t>=SUM(I4962:I4966)</t>
  </si>
  <si>
    <t>=SUM(J4962:J4966)</t>
  </si>
  <si>
    <t>=IF(K4968=0,"hide","")</t>
  </si>
  <si>
    <t>="88116"</t>
  </si>
  <si>
    <t>=NL("rows","Production BOM Version","Version Code","Production BOM No.",D4968,"status","certified")</t>
  </si>
  <si>
    <t>=NL("sum","Item Ledger Entry","Quantity","Item No.",$D4968,"Entry Type","Sale|Consumption","posting date","01/01/19..12/31/19")/-12</t>
  </si>
  <si>
    <t>=NL("sum","Item Ledger Entry","Quantity","Item No.",$D4968,"Entry Type","Sale|Consumption","posting date","01/01/20..12/31/20")/-12</t>
  </si>
  <si>
    <t>=NL("sum","Item Ledger Entry","Quantity","Item No.",$D4968,"Entry Type","Sale|Consumption","posting date","01/01/21..12/31/21")/-12</t>
  </si>
  <si>
    <t>=NL("sum","Item Ledger Entry","Quantity","Item No.",$D4968,"Entry Type","Sale|Consumption","posting date","01/01/22..12/31/22")/-12</t>
  </si>
  <si>
    <t>=NL("sum","Item Ledger Entry","Quantity","Item No.",$D4968,"Entry Type","Sale|Consumption","posting date","01/01/23..12/31/23")/$J$7</t>
  </si>
  <si>
    <t>=AVERAGE(I4968:J4968)</t>
  </si>
  <si>
    <t>=NL(1,"item",L$9,"no.",D4968)</t>
  </si>
  <si>
    <t>=NL(1,"item",M$9,"no.",$D4968)</t>
  </si>
  <si>
    <t>=NL(1,"item","Units Per Parcel","no.",$D4968)</t>
  </si>
  <si>
    <t>=NL(1,"Prod. BOM Equipment","Fixed Prod. Time (Hours)","Production BOM No.",$D4968,"version code",$E4968,"Resource No.",O$9)</t>
  </si>
  <si>
    <t>=1/O4968</t>
  </si>
  <si>
    <t>=IF(NL(1,"Prod. BOM Equipment","Variable Prod. Time (Hours)","Production BOM No.",$D4968,"version code",$E4968,"Resource No.",$O$9)="",1,NL(1,"Prod. BOM Equipment","Variable Prod. Time (Hours)","Production BOM No.",$D4968,"version code",$E4968,"Resource No.",$O$9))</t>
  </si>
  <si>
    <t>=1/Q4968</t>
  </si>
  <si>
    <t>=R4968*N4968</t>
  </si>
  <si>
    <t>=IF(K4969=0,"hide","")</t>
  </si>
  <si>
    <t>=D4968</t>
  </si>
  <si>
    <t>=NL("sum","Production Order","Quantity","Source No.",$D4969,"Equipment Code",$L4969,"due date",F$8)/-12</t>
  </si>
  <si>
    <t>=NL("sum","Production Order","Quantity","Source No.",$D4969,"Equipment Code",$L4969,"due date",G$8)/-12</t>
  </si>
  <si>
    <t>=NL("sum","Production Order","Quantity","Source No.",$D4969,"Equipment Code",$L4969,"due date",H$8)/-12</t>
  </si>
  <si>
    <t>=NL("sum","Production Order","Quantity","Source No.",$D4969,"Equipment Code",$L4969,"due date",I$8)/-12</t>
  </si>
  <si>
    <t>=NL("sum","Production Order","Quantity","Source No.",$D4969,"Equipment Code",$L4969,"due date",J$8)/$J$7</t>
  </si>
  <si>
    <t>=AVERAGE(I4969:J4969)</t>
  </si>
  <si>
    <t>=IF(K4970=0,"hide","")</t>
  </si>
  <si>
    <t>=D4969</t>
  </si>
  <si>
    <t>=NL("sum","Production Order","Quantity","Source No.",$D4970,"Equipment Code",$L4970,"due date",F$8)/-12</t>
  </si>
  <si>
    <t>=NL("sum","Production Order","Quantity","Source No.",$D4970,"Equipment Code",$L4970,"due date",G$8)/-12</t>
  </si>
  <si>
    <t>=NL("sum","Production Order","Quantity","Source No.",$D4970,"Equipment Code",$L4970,"due date",H$8)/-12</t>
  </si>
  <si>
    <t>=NL("sum","Production Order","Quantity","Source No.",$D4970,"Equipment Code",$L4970,"due date",I$8)/-12</t>
  </si>
  <si>
    <t>=NL("sum","Production Order","Quantity","Source No.",$D4970,"Equipment Code",$L4970,"due date",J$8)/$J$7</t>
  </si>
  <si>
    <t>=AVERAGE(I4970:J4970)</t>
  </si>
  <si>
    <t>=IF(K4971=0,"hide","")</t>
  </si>
  <si>
    <t>=D4970</t>
  </si>
  <si>
    <t>=NL("sum","Production Order","Quantity","Source No.",$D4971,"Equipment Code",$L4971,"due date",F$8)/-12</t>
  </si>
  <si>
    <t>=NL("sum","Production Order","Quantity","Source No.",$D4971,"Equipment Code",$L4971,"due date",G$8)/-12</t>
  </si>
  <si>
    <t>=NL("sum","Production Order","Quantity","Source No.",$D4971,"Equipment Code",$L4971,"due date",H$8)/-12</t>
  </si>
  <si>
    <t>=NL("sum","Production Order","Quantity","Source No.",$D4971,"Equipment Code",$L4971,"due date",I$8)/-12</t>
  </si>
  <si>
    <t>=NL("sum","Production Order","Quantity","Source No.",$D4971,"Equipment Code",$L4971,"due date",J$8)/$J$7</t>
  </si>
  <si>
    <t>=AVERAGE(I4971:J4971)</t>
  </si>
  <si>
    <t>=IF(K4972=0,"hide","")</t>
  </si>
  <si>
    <t>=D4971</t>
  </si>
  <si>
    <t>=NL("sum","Production Order","Quantity","Source No.",$D4972,"Equipment Code",$L4972,"due date",F$8)/-12</t>
  </si>
  <si>
    <t>=NL("sum","Production Order","Quantity","Source No.",$D4972,"Equipment Code",$L4972,"due date",G$8)/-12</t>
  </si>
  <si>
    <t>=NL("sum","Production Order","Quantity","Source No.",$D4972,"Equipment Code",$L4972,"due date",H$8)/-12</t>
  </si>
  <si>
    <t>=NL("sum","Production Order","Quantity","Source No.",$D4972,"Equipment Code",$L4972,"due date",I$8)/-12</t>
  </si>
  <si>
    <t>=NL("sum","Production Order","Quantity","Source No.",$D4972,"Equipment Code",$L4972,"due date",J$8)/$J$7</t>
  </si>
  <si>
    <t>=AVERAGE(I4972:J4972)</t>
  </si>
  <si>
    <t>=B4969</t>
  </si>
  <si>
    <t>=B4973</t>
  </si>
  <si>
    <t>=SUM(F4969:F4973)</t>
  </si>
  <si>
    <t>=SUM(G4969:G4973)</t>
  </si>
  <si>
    <t>=SUM(H4969:H4973)</t>
  </si>
  <si>
    <t>=SUM(I4969:I4973)</t>
  </si>
  <si>
    <t>=SUM(J4969:J4973)</t>
  </si>
  <si>
    <t>=IF(K4975=0,"hide","")</t>
  </si>
  <si>
    <t>="88129"</t>
  </si>
  <si>
    <t>=NL("rows","Production BOM Version","Version Code","Production BOM No.",D4975,"status","certified")</t>
  </si>
  <si>
    <t>=NL("sum","Item Ledger Entry","Quantity","Item No.",$D4975,"Entry Type","Sale|Consumption","posting date","01/01/19..12/31/19")/-12</t>
  </si>
  <si>
    <t>=NL("sum","Item Ledger Entry","Quantity","Item No.",$D4975,"Entry Type","Sale|Consumption","posting date","01/01/20..12/31/20")/-12</t>
  </si>
  <si>
    <t>=NL("sum","Item Ledger Entry","Quantity","Item No.",$D4975,"Entry Type","Sale|Consumption","posting date","01/01/21..12/31/21")/-12</t>
  </si>
  <si>
    <t>=NL("sum","Item Ledger Entry","Quantity","Item No.",$D4975,"Entry Type","Sale|Consumption","posting date","01/01/22..12/31/22")/-12</t>
  </si>
  <si>
    <t>=NL("sum","Item Ledger Entry","Quantity","Item No.",$D4975,"Entry Type","Sale|Consumption","posting date","01/01/23..12/31/23")/$J$7</t>
  </si>
  <si>
    <t>=AVERAGE(I4975:J4975)</t>
  </si>
  <si>
    <t>=NL(1,"item",L$9,"no.",D4975)</t>
  </si>
  <si>
    <t>=NL(1,"item",M$9,"no.",$D4975)</t>
  </si>
  <si>
    <t>=NL(1,"item","Units Per Parcel","no.",$D4975)</t>
  </si>
  <si>
    <t>=NL(1,"Prod. BOM Equipment","Fixed Prod. Time (Hours)","Production BOM No.",$D4975,"version code",$E4975,"Resource No.",O$9)</t>
  </si>
  <si>
    <t>=1/O4975</t>
  </si>
  <si>
    <t>=IF(NL(1,"Prod. BOM Equipment","Variable Prod. Time (Hours)","Production BOM No.",$D4975,"version code",$E4975,"Resource No.",$O$9)="",1,NL(1,"Prod. BOM Equipment","Variable Prod. Time (Hours)","Production BOM No.",$D4975,"version code",$E4975,"Resource No.",$O$9))</t>
  </si>
  <si>
    <t>=1/Q4975</t>
  </si>
  <si>
    <t>=R4975*N4975</t>
  </si>
  <si>
    <t>=IF(K4976=0,"hide","")</t>
  </si>
  <si>
    <t>=D4975</t>
  </si>
  <si>
    <t>=NL("sum","Production Order","Quantity","Source No.",$D4976,"Equipment Code",$L4976,"due date",F$8)/-12</t>
  </si>
  <si>
    <t>=NL("sum","Production Order","Quantity","Source No.",$D4976,"Equipment Code",$L4976,"due date",G$8)/-12</t>
  </si>
  <si>
    <t>=NL("sum","Production Order","Quantity","Source No.",$D4976,"Equipment Code",$L4976,"due date",H$8)/-12</t>
  </si>
  <si>
    <t>=NL("sum","Production Order","Quantity","Source No.",$D4976,"Equipment Code",$L4976,"due date",I$8)/-12</t>
  </si>
  <si>
    <t>=NL("sum","Production Order","Quantity","Source No.",$D4976,"Equipment Code",$L4976,"due date",J$8)/$J$7</t>
  </si>
  <si>
    <t>=AVERAGE(I4976:J4976)</t>
  </si>
  <si>
    <t>=IF(K4977=0,"hide","")</t>
  </si>
  <si>
    <t>=D4976</t>
  </si>
  <si>
    <t>=NL("sum","Production Order","Quantity","Source No.",$D4977,"Equipment Code",$L4977,"due date",F$8)/-12</t>
  </si>
  <si>
    <t>=NL("sum","Production Order","Quantity","Source No.",$D4977,"Equipment Code",$L4977,"due date",G$8)/-12</t>
  </si>
  <si>
    <t>=NL("sum","Production Order","Quantity","Source No.",$D4977,"Equipment Code",$L4977,"due date",H$8)/-12</t>
  </si>
  <si>
    <t>=NL("sum","Production Order","Quantity","Source No.",$D4977,"Equipment Code",$L4977,"due date",I$8)/-12</t>
  </si>
  <si>
    <t>=NL("sum","Production Order","Quantity","Source No.",$D4977,"Equipment Code",$L4977,"due date",J$8)/$J$7</t>
  </si>
  <si>
    <t>=AVERAGE(I4977:J4977)</t>
  </si>
  <si>
    <t>=IF(K4978=0,"hide","")</t>
  </si>
  <si>
    <t>=D4977</t>
  </si>
  <si>
    <t>=NL("sum","Production Order","Quantity","Source No.",$D4978,"Equipment Code",$L4978,"due date",F$8)/-12</t>
  </si>
  <si>
    <t>=NL("sum","Production Order","Quantity","Source No.",$D4978,"Equipment Code",$L4978,"due date",G$8)/-12</t>
  </si>
  <si>
    <t>=NL("sum","Production Order","Quantity","Source No.",$D4978,"Equipment Code",$L4978,"due date",H$8)/-12</t>
  </si>
  <si>
    <t>=NL("sum","Production Order","Quantity","Source No.",$D4978,"Equipment Code",$L4978,"due date",I$8)/-12</t>
  </si>
  <si>
    <t>=NL("sum","Production Order","Quantity","Source No.",$D4978,"Equipment Code",$L4978,"due date",J$8)/$J$7</t>
  </si>
  <si>
    <t>=AVERAGE(I4978:J4978)</t>
  </si>
  <si>
    <t>=IF(K4979=0,"hide","")</t>
  </si>
  <si>
    <t>=D4978</t>
  </si>
  <si>
    <t>=NL("sum","Production Order","Quantity","Source No.",$D4979,"Equipment Code",$L4979,"due date",F$8)/-12</t>
  </si>
  <si>
    <t>=NL("sum","Production Order","Quantity","Source No.",$D4979,"Equipment Code",$L4979,"due date",G$8)/-12</t>
  </si>
  <si>
    <t>=NL("sum","Production Order","Quantity","Source No.",$D4979,"Equipment Code",$L4979,"due date",H$8)/-12</t>
  </si>
  <si>
    <t>=NL("sum","Production Order","Quantity","Source No.",$D4979,"Equipment Code",$L4979,"due date",I$8)/-12</t>
  </si>
  <si>
    <t>=NL("sum","Production Order","Quantity","Source No.",$D4979,"Equipment Code",$L4979,"due date",J$8)/$J$7</t>
  </si>
  <si>
    <t>=AVERAGE(I4979:J4979)</t>
  </si>
  <si>
    <t>=B4976</t>
  </si>
  <si>
    <t>=B4980</t>
  </si>
  <si>
    <t>=SUM(F4976:F4980)</t>
  </si>
  <si>
    <t>=SUM(G4976:G4980)</t>
  </si>
  <si>
    <t>=SUM(H4976:H4980)</t>
  </si>
  <si>
    <t>=SUM(I4976:I4980)</t>
  </si>
  <si>
    <t>=SUM(J4976:J4980)</t>
  </si>
  <si>
    <t>=IF(K4982=0,"hide","")</t>
  </si>
  <si>
    <t>="88174"</t>
  </si>
  <si>
    <t>=NL("rows","Production BOM Version","Version Code","Production BOM No.",D4982,"status","certified")</t>
  </si>
  <si>
    <t>=NL("sum","Item Ledger Entry","Quantity","Item No.",$D4982,"Entry Type","Sale|Consumption","posting date","01/01/19..12/31/19")/-12</t>
  </si>
  <si>
    <t>=NL("sum","Item Ledger Entry","Quantity","Item No.",$D4982,"Entry Type","Sale|Consumption","posting date","01/01/20..12/31/20")/-12</t>
  </si>
  <si>
    <t>=NL("sum","Item Ledger Entry","Quantity","Item No.",$D4982,"Entry Type","Sale|Consumption","posting date","01/01/21..12/31/21")/-12</t>
  </si>
  <si>
    <t>=NL("sum","Item Ledger Entry","Quantity","Item No.",$D4982,"Entry Type","Sale|Consumption","posting date","01/01/22..12/31/22")/-12</t>
  </si>
  <si>
    <t>=NL("sum","Item Ledger Entry","Quantity","Item No.",$D4982,"Entry Type","Sale|Consumption","posting date","01/01/23..12/31/23")/$J$7</t>
  </si>
  <si>
    <t>=AVERAGE(I4982:J4982)</t>
  </si>
  <si>
    <t>=NL(1,"item",L$9,"no.",D4982)</t>
  </si>
  <si>
    <t>=NL(1,"item",M$9,"no.",$D4982)</t>
  </si>
  <si>
    <t>=NL(1,"item","Units Per Parcel","no.",$D4982)</t>
  </si>
  <si>
    <t>=NL(1,"Prod. BOM Equipment","Fixed Prod. Time (Hours)","Production BOM No.",$D4982,"version code",$E4982,"Resource No.",O$9)</t>
  </si>
  <si>
    <t>=1/O4982</t>
  </si>
  <si>
    <t>=IF(NL(1,"Prod. BOM Equipment","Variable Prod. Time (Hours)","Production BOM No.",$D4982,"version code",$E4982,"Resource No.",$O$9)="",1,NL(1,"Prod. BOM Equipment","Variable Prod. Time (Hours)","Production BOM No.",$D4982,"version code",$E4982,"Resource No.",$O$9))</t>
  </si>
  <si>
    <t>=1/Q4982</t>
  </si>
  <si>
    <t>=R4982*N4982</t>
  </si>
  <si>
    <t>=IF(K4983=0,"hide","")</t>
  </si>
  <si>
    <t>=D4982</t>
  </si>
  <si>
    <t>=NL("sum","Production Order","Quantity","Source No.",$D4983,"Equipment Code",$L4983,"due date",F$8)/-12</t>
  </si>
  <si>
    <t>=NL("sum","Production Order","Quantity","Source No.",$D4983,"Equipment Code",$L4983,"due date",G$8)/-12</t>
  </si>
  <si>
    <t>=NL("sum","Production Order","Quantity","Source No.",$D4983,"Equipment Code",$L4983,"due date",H$8)/-12</t>
  </si>
  <si>
    <t>=NL("sum","Production Order","Quantity","Source No.",$D4983,"Equipment Code",$L4983,"due date",I$8)/-12</t>
  </si>
  <si>
    <t>=NL("sum","Production Order","Quantity","Source No.",$D4983,"Equipment Code",$L4983,"due date",J$8)/$J$7</t>
  </si>
  <si>
    <t>=AVERAGE(I4983:J4983)</t>
  </si>
  <si>
    <t>=IF(K4984=0,"hide","")</t>
  </si>
  <si>
    <t>=D4983</t>
  </si>
  <si>
    <t>=NL("sum","Production Order","Quantity","Source No.",$D4984,"Equipment Code",$L4984,"due date",F$8)/-12</t>
  </si>
  <si>
    <t>=NL("sum","Production Order","Quantity","Source No.",$D4984,"Equipment Code",$L4984,"due date",G$8)/-12</t>
  </si>
  <si>
    <t>=NL("sum","Production Order","Quantity","Source No.",$D4984,"Equipment Code",$L4984,"due date",H$8)/-12</t>
  </si>
  <si>
    <t>=NL("sum","Production Order","Quantity","Source No.",$D4984,"Equipment Code",$L4984,"due date",I$8)/-12</t>
  </si>
  <si>
    <t>=NL("sum","Production Order","Quantity","Source No.",$D4984,"Equipment Code",$L4984,"due date",J$8)/$J$7</t>
  </si>
  <si>
    <t>=AVERAGE(I4984:J4984)</t>
  </si>
  <si>
    <t>=IF(K4985=0,"hide","")</t>
  </si>
  <si>
    <t>=D4984</t>
  </si>
  <si>
    <t>=NL("sum","Production Order","Quantity","Source No.",$D4985,"Equipment Code",$L4985,"due date",F$8)/-12</t>
  </si>
  <si>
    <t>=NL("sum","Production Order","Quantity","Source No.",$D4985,"Equipment Code",$L4985,"due date",G$8)/-12</t>
  </si>
  <si>
    <t>=NL("sum","Production Order","Quantity","Source No.",$D4985,"Equipment Code",$L4985,"due date",H$8)/-12</t>
  </si>
  <si>
    <t>=NL("sum","Production Order","Quantity","Source No.",$D4985,"Equipment Code",$L4985,"due date",I$8)/-12</t>
  </si>
  <si>
    <t>=NL("sum","Production Order","Quantity","Source No.",$D4985,"Equipment Code",$L4985,"due date",J$8)/$J$7</t>
  </si>
  <si>
    <t>=AVERAGE(I4985:J4985)</t>
  </si>
  <si>
    <t>=IF(K4986=0,"hide","")</t>
  </si>
  <si>
    <t>=D4985</t>
  </si>
  <si>
    <t>=NL("sum","Production Order","Quantity","Source No.",$D4986,"Equipment Code",$L4986,"due date",F$8)/-12</t>
  </si>
  <si>
    <t>=NL("sum","Production Order","Quantity","Source No.",$D4986,"Equipment Code",$L4986,"due date",G$8)/-12</t>
  </si>
  <si>
    <t>=NL("sum","Production Order","Quantity","Source No.",$D4986,"Equipment Code",$L4986,"due date",H$8)/-12</t>
  </si>
  <si>
    <t>=NL("sum","Production Order","Quantity","Source No.",$D4986,"Equipment Code",$L4986,"due date",I$8)/-12</t>
  </si>
  <si>
    <t>=NL("sum","Production Order","Quantity","Source No.",$D4986,"Equipment Code",$L4986,"due date",J$8)/$J$7</t>
  </si>
  <si>
    <t>=AVERAGE(I4986:J4986)</t>
  </si>
  <si>
    <t>=B4983</t>
  </si>
  <si>
    <t>=B4987</t>
  </si>
  <si>
    <t>=SUM(F4983:F4987)</t>
  </si>
  <si>
    <t>=SUM(G4983:G4987)</t>
  </si>
  <si>
    <t>=SUM(H4983:H4987)</t>
  </si>
  <si>
    <t>=SUM(I4983:I4987)</t>
  </si>
  <si>
    <t>=SUM(J4983:J4987)</t>
  </si>
  <si>
    <t>=IF(K4989=0,"hide","")</t>
  </si>
  <si>
    <t>="88195"</t>
  </si>
  <si>
    <t>=NL("rows","Production BOM Version","Version Code","Production BOM No.",D4989,"status","certified")</t>
  </si>
  <si>
    <t>=NL("sum","Item Ledger Entry","Quantity","Item No.",$D4989,"Entry Type","Sale|Consumption","posting date","01/01/19..12/31/19")/-12</t>
  </si>
  <si>
    <t>=NL("sum","Item Ledger Entry","Quantity","Item No.",$D4989,"Entry Type","Sale|Consumption","posting date","01/01/20..12/31/20")/-12</t>
  </si>
  <si>
    <t>=NL("sum","Item Ledger Entry","Quantity","Item No.",$D4989,"Entry Type","Sale|Consumption","posting date","01/01/21..12/31/21")/-12</t>
  </si>
  <si>
    <t>=NL("sum","Item Ledger Entry","Quantity","Item No.",$D4989,"Entry Type","Sale|Consumption","posting date","01/01/22..12/31/22")/-12</t>
  </si>
  <si>
    <t>=NL("sum","Item Ledger Entry","Quantity","Item No.",$D4989,"Entry Type","Sale|Consumption","posting date","01/01/23..12/31/23")/$J$7</t>
  </si>
  <si>
    <t>=AVERAGE(I4989:J4989)</t>
  </si>
  <si>
    <t>=NL(1,"item",L$9,"no.",D4989)</t>
  </si>
  <si>
    <t>=NL(1,"item",M$9,"no.",$D4989)</t>
  </si>
  <si>
    <t>=NL(1,"item","Units Per Parcel","no.",$D4989)</t>
  </si>
  <si>
    <t>=NL(1,"Prod. BOM Equipment","Fixed Prod. Time (Hours)","Production BOM No.",$D4989,"version code",$E4989,"Resource No.",O$9)</t>
  </si>
  <si>
    <t>=1/O4989</t>
  </si>
  <si>
    <t>=IF(NL(1,"Prod. BOM Equipment","Variable Prod. Time (Hours)","Production BOM No.",$D4989,"version code",$E4989,"Resource No.",$O$9)="",1,NL(1,"Prod. BOM Equipment","Variable Prod. Time (Hours)","Production BOM No.",$D4989,"version code",$E4989,"Resource No.",$O$9))</t>
  </si>
  <si>
    <t>=1/Q4989</t>
  </si>
  <si>
    <t>=R4989*N4989</t>
  </si>
  <si>
    <t>=IF(K4990=0,"hide","")</t>
  </si>
  <si>
    <t>=D4989</t>
  </si>
  <si>
    <t>=NL("sum","Production Order","Quantity","Source No.",$D4990,"Equipment Code",$L4990,"due date",F$8)/-12</t>
  </si>
  <si>
    <t>=NL("sum","Production Order","Quantity","Source No.",$D4990,"Equipment Code",$L4990,"due date",G$8)/-12</t>
  </si>
  <si>
    <t>=NL("sum","Production Order","Quantity","Source No.",$D4990,"Equipment Code",$L4990,"due date",H$8)/-12</t>
  </si>
  <si>
    <t>=NL("sum","Production Order","Quantity","Source No.",$D4990,"Equipment Code",$L4990,"due date",I$8)/-12</t>
  </si>
  <si>
    <t>=NL("sum","Production Order","Quantity","Source No.",$D4990,"Equipment Code",$L4990,"due date",J$8)/$J$7</t>
  </si>
  <si>
    <t>=AVERAGE(I4990:J4990)</t>
  </si>
  <si>
    <t>=IF(K4991=0,"hide","")</t>
  </si>
  <si>
    <t>=D4990</t>
  </si>
  <si>
    <t>=NL("sum","Production Order","Quantity","Source No.",$D4991,"Equipment Code",$L4991,"due date",F$8)/-12</t>
  </si>
  <si>
    <t>=NL("sum","Production Order","Quantity","Source No.",$D4991,"Equipment Code",$L4991,"due date",G$8)/-12</t>
  </si>
  <si>
    <t>=NL("sum","Production Order","Quantity","Source No.",$D4991,"Equipment Code",$L4991,"due date",H$8)/-12</t>
  </si>
  <si>
    <t>=NL("sum","Production Order","Quantity","Source No.",$D4991,"Equipment Code",$L4991,"due date",I$8)/-12</t>
  </si>
  <si>
    <t>=NL("sum","Production Order","Quantity","Source No.",$D4991,"Equipment Code",$L4991,"due date",J$8)/$J$7</t>
  </si>
  <si>
    <t>=AVERAGE(I4991:J4991)</t>
  </si>
  <si>
    <t>=IF(K4992=0,"hide","")</t>
  </si>
  <si>
    <t>=D4991</t>
  </si>
  <si>
    <t>=NL("sum","Production Order","Quantity","Source No.",$D4992,"Equipment Code",$L4992,"due date",F$8)/-12</t>
  </si>
  <si>
    <t>=NL("sum","Production Order","Quantity","Source No.",$D4992,"Equipment Code",$L4992,"due date",G$8)/-12</t>
  </si>
  <si>
    <t>=NL("sum","Production Order","Quantity","Source No.",$D4992,"Equipment Code",$L4992,"due date",H$8)/-12</t>
  </si>
  <si>
    <t>=NL("sum","Production Order","Quantity","Source No.",$D4992,"Equipment Code",$L4992,"due date",I$8)/-12</t>
  </si>
  <si>
    <t>=NL("sum","Production Order","Quantity","Source No.",$D4992,"Equipment Code",$L4992,"due date",J$8)/$J$7</t>
  </si>
  <si>
    <t>=AVERAGE(I4992:J4992)</t>
  </si>
  <si>
    <t>=IF(K4993=0,"hide","")</t>
  </si>
  <si>
    <t>=D4992</t>
  </si>
  <si>
    <t>=NL("sum","Production Order","Quantity","Source No.",$D4993,"Equipment Code",$L4993,"due date",F$8)/-12</t>
  </si>
  <si>
    <t>=NL("sum","Production Order","Quantity","Source No.",$D4993,"Equipment Code",$L4993,"due date",G$8)/-12</t>
  </si>
  <si>
    <t>=NL("sum","Production Order","Quantity","Source No.",$D4993,"Equipment Code",$L4993,"due date",H$8)/-12</t>
  </si>
  <si>
    <t>=NL("sum","Production Order","Quantity","Source No.",$D4993,"Equipment Code",$L4993,"due date",I$8)/-12</t>
  </si>
  <si>
    <t>=NL("sum","Production Order","Quantity","Source No.",$D4993,"Equipment Code",$L4993,"due date",J$8)/$J$7</t>
  </si>
  <si>
    <t>=AVERAGE(I4993:J4993)</t>
  </si>
  <si>
    <t>=B4990</t>
  </si>
  <si>
    <t>=B4994</t>
  </si>
  <si>
    <t>=SUM(F4990:F4994)</t>
  </si>
  <si>
    <t>=SUM(G4990:G4994)</t>
  </si>
  <si>
    <t>=SUM(H4990:H4994)</t>
  </si>
  <si>
    <t>=SUM(I4990:I4994)</t>
  </si>
  <si>
    <t>=SUM(J4990:J4994)</t>
  </si>
  <si>
    <t>=IF(K4996=0,"hide","")</t>
  </si>
  <si>
    <t>="90020"</t>
  </si>
  <si>
    <t>=NL("rows","Production BOM Version","Version Code","Production BOM No.",D4996,"status","certified")</t>
  </si>
  <si>
    <t>=NL("sum","Item Ledger Entry","Quantity","Item No.",$D4996,"Entry Type","Sale|Consumption","posting date","01/01/19..12/31/19")/-12</t>
  </si>
  <si>
    <t>=NL("sum","Item Ledger Entry","Quantity","Item No.",$D4996,"Entry Type","Sale|Consumption","posting date","01/01/20..12/31/20")/-12</t>
  </si>
  <si>
    <t>=NL("sum","Item Ledger Entry","Quantity","Item No.",$D4996,"Entry Type","Sale|Consumption","posting date","01/01/21..12/31/21")/-12</t>
  </si>
  <si>
    <t>=NL("sum","Item Ledger Entry","Quantity","Item No.",$D4996,"Entry Type","Sale|Consumption","posting date","01/01/22..12/31/22")/-12</t>
  </si>
  <si>
    <t>=NL("sum","Item Ledger Entry","Quantity","Item No.",$D4996,"Entry Type","Sale|Consumption","posting date","01/01/23..12/31/23")/$J$7</t>
  </si>
  <si>
    <t>=AVERAGE(I4996:J4996)</t>
  </si>
  <si>
    <t>=NL(1,"item",L$9,"no.",D4996)</t>
  </si>
  <si>
    <t>=NL(1,"item",M$9,"no.",$D4996)</t>
  </si>
  <si>
    <t>=NL(1,"item","Units Per Parcel","no.",$D4996)</t>
  </si>
  <si>
    <t>=NL(1,"Prod. BOM Equipment","Fixed Prod. Time (Hours)","Production BOM No.",$D4996,"version code",$E4996,"Resource No.",O$9)</t>
  </si>
  <si>
    <t>=1/O4996</t>
  </si>
  <si>
    <t>=IF(NL(1,"Prod. BOM Equipment","Variable Prod. Time (Hours)","Production BOM No.",$D4996,"version code",$E4996,"Resource No.",$O$9)="",1,NL(1,"Prod. BOM Equipment","Variable Prod. Time (Hours)","Production BOM No.",$D4996,"version code",$E4996,"Resource No.",$O$9))</t>
  </si>
  <si>
    <t>=1/Q4996</t>
  </si>
  <si>
    <t>=R4996*N4996</t>
  </si>
  <si>
    <t>=IF(K4997=0,"hide","")</t>
  </si>
  <si>
    <t>=D4996</t>
  </si>
  <si>
    <t>=NL("sum","Production Order","Quantity","Source No.",$D4997,"Equipment Code",$L4997,"due date",F$8)/-12</t>
  </si>
  <si>
    <t>=NL("sum","Production Order","Quantity","Source No.",$D4997,"Equipment Code",$L4997,"due date",G$8)/-12</t>
  </si>
  <si>
    <t>=NL("sum","Production Order","Quantity","Source No.",$D4997,"Equipment Code",$L4997,"due date",H$8)/-12</t>
  </si>
  <si>
    <t>=NL("sum","Production Order","Quantity","Source No.",$D4997,"Equipment Code",$L4997,"due date",I$8)/-12</t>
  </si>
  <si>
    <t>=NL("sum","Production Order","Quantity","Source No.",$D4997,"Equipment Code",$L4997,"due date",J$8)/$J$7</t>
  </si>
  <si>
    <t>=AVERAGE(I4997:J4997)</t>
  </si>
  <si>
    <t>=IF(K4998=0,"hide","")</t>
  </si>
  <si>
    <t>=D4997</t>
  </si>
  <si>
    <t>=NL("sum","Production Order","Quantity","Source No.",$D4998,"Equipment Code",$L4998,"due date",F$8)/-12</t>
  </si>
  <si>
    <t>=NL("sum","Production Order","Quantity","Source No.",$D4998,"Equipment Code",$L4998,"due date",G$8)/-12</t>
  </si>
  <si>
    <t>=NL("sum","Production Order","Quantity","Source No.",$D4998,"Equipment Code",$L4998,"due date",H$8)/-12</t>
  </si>
  <si>
    <t>=NL("sum","Production Order","Quantity","Source No.",$D4998,"Equipment Code",$L4998,"due date",I$8)/-12</t>
  </si>
  <si>
    <t>=NL("sum","Production Order","Quantity","Source No.",$D4998,"Equipment Code",$L4998,"due date",J$8)/$J$7</t>
  </si>
  <si>
    <t>=AVERAGE(I4998:J4998)</t>
  </si>
  <si>
    <t>=IF(K4999=0,"hide","")</t>
  </si>
  <si>
    <t>=D4998</t>
  </si>
  <si>
    <t>=NL("sum","Production Order","Quantity","Source No.",$D4999,"Equipment Code",$L4999,"due date",F$8)/-12</t>
  </si>
  <si>
    <t>=NL("sum","Production Order","Quantity","Source No.",$D4999,"Equipment Code",$L4999,"due date",G$8)/-12</t>
  </si>
  <si>
    <t>=NL("sum","Production Order","Quantity","Source No.",$D4999,"Equipment Code",$L4999,"due date",H$8)/-12</t>
  </si>
  <si>
    <t>=NL("sum","Production Order","Quantity","Source No.",$D4999,"Equipment Code",$L4999,"due date",I$8)/-12</t>
  </si>
  <si>
    <t>=NL("sum","Production Order","Quantity","Source No.",$D4999,"Equipment Code",$L4999,"due date",J$8)/$J$7</t>
  </si>
  <si>
    <t>=AVERAGE(I4999:J4999)</t>
  </si>
  <si>
    <t>=IF(K5000=0,"hide","")</t>
  </si>
  <si>
    <t>=D4999</t>
  </si>
  <si>
    <t>=NL("sum","Production Order","Quantity","Source No.",$D5000,"Equipment Code",$L5000,"due date",F$8)/-12</t>
  </si>
  <si>
    <t>=NL("sum","Production Order","Quantity","Source No.",$D5000,"Equipment Code",$L5000,"due date",G$8)/-12</t>
  </si>
  <si>
    <t>=NL("sum","Production Order","Quantity","Source No.",$D5000,"Equipment Code",$L5000,"due date",H$8)/-12</t>
  </si>
  <si>
    <t>=NL("sum","Production Order","Quantity","Source No.",$D5000,"Equipment Code",$L5000,"due date",I$8)/-12</t>
  </si>
  <si>
    <t>=NL("sum","Production Order","Quantity","Source No.",$D5000,"Equipment Code",$L5000,"due date",J$8)/$J$7</t>
  </si>
  <si>
    <t>=AVERAGE(I5000:J5000)</t>
  </si>
  <si>
    <t>=B4997</t>
  </si>
  <si>
    <t>=B5001</t>
  </si>
  <si>
    <t>=SUM(F4997:F5001)</t>
  </si>
  <si>
    <t>=SUM(G4997:G5001)</t>
  </si>
  <si>
    <t>=SUM(H4997:H5001)</t>
  </si>
  <si>
    <t>=SUM(I4997:I5001)</t>
  </si>
  <si>
    <t>=SUM(J4997:J5001)</t>
  </si>
  <si>
    <t>=IF(K5003=0,"hide","")</t>
  </si>
  <si>
    <t>="90021"</t>
  </si>
  <si>
    <t>=NL("rows","Production BOM Version","Version Code","Production BOM No.",D5003,"status","certified")</t>
  </si>
  <si>
    <t>=NL("sum","Item Ledger Entry","Quantity","Item No.",$D5003,"Entry Type","Sale|Consumption","posting date","01/01/19..12/31/19")/-12</t>
  </si>
  <si>
    <t>=NL("sum","Item Ledger Entry","Quantity","Item No.",$D5003,"Entry Type","Sale|Consumption","posting date","01/01/20..12/31/20")/-12</t>
  </si>
  <si>
    <t>=NL("sum","Item Ledger Entry","Quantity","Item No.",$D5003,"Entry Type","Sale|Consumption","posting date","01/01/21..12/31/21")/-12</t>
  </si>
  <si>
    <t>=NL("sum","Item Ledger Entry","Quantity","Item No.",$D5003,"Entry Type","Sale|Consumption","posting date","01/01/22..12/31/22")/-12</t>
  </si>
  <si>
    <t>=NL("sum","Item Ledger Entry","Quantity","Item No.",$D5003,"Entry Type","Sale|Consumption","posting date","01/01/23..12/31/23")/$J$7</t>
  </si>
  <si>
    <t>=AVERAGE(I5003:J5003)</t>
  </si>
  <si>
    <t>=NL(1,"item",L$9,"no.",D5003)</t>
  </si>
  <si>
    <t>=NL(1,"item",M$9,"no.",$D5003)</t>
  </si>
  <si>
    <t>=NL(1,"item","Units Per Parcel","no.",$D5003)</t>
  </si>
  <si>
    <t>=NL(1,"Prod. BOM Equipment","Fixed Prod. Time (Hours)","Production BOM No.",$D5003,"version code",$E5003,"Resource No.",O$9)</t>
  </si>
  <si>
    <t>=1/O5003</t>
  </si>
  <si>
    <t>=IF(NL(1,"Prod. BOM Equipment","Variable Prod. Time (Hours)","Production BOM No.",$D5003,"version code",$E5003,"Resource No.",$O$9)="",1,NL(1,"Prod. BOM Equipment","Variable Prod. Time (Hours)","Production BOM No.",$D5003,"version code",$E5003,"Resource No.",$O$9))</t>
  </si>
  <si>
    <t>=1/Q5003</t>
  </si>
  <si>
    <t>=R5003*N5003</t>
  </si>
  <si>
    <t>=IF(K5004=0,"hide","")</t>
  </si>
  <si>
    <t>=D5003</t>
  </si>
  <si>
    <t>=NL("sum","Production Order","Quantity","Source No.",$D5004,"Equipment Code",$L5004,"due date",F$8)/-12</t>
  </si>
  <si>
    <t>=NL("sum","Production Order","Quantity","Source No.",$D5004,"Equipment Code",$L5004,"due date",G$8)/-12</t>
  </si>
  <si>
    <t>=NL("sum","Production Order","Quantity","Source No.",$D5004,"Equipment Code",$L5004,"due date",H$8)/-12</t>
  </si>
  <si>
    <t>=NL("sum","Production Order","Quantity","Source No.",$D5004,"Equipment Code",$L5004,"due date",I$8)/-12</t>
  </si>
  <si>
    <t>=NL("sum","Production Order","Quantity","Source No.",$D5004,"Equipment Code",$L5004,"due date",J$8)/$J$7</t>
  </si>
  <si>
    <t>=AVERAGE(I5004:J5004)</t>
  </si>
  <si>
    <t>=IF(K5005=0,"hide","")</t>
  </si>
  <si>
    <t>=D5004</t>
  </si>
  <si>
    <t>=NL("sum","Production Order","Quantity","Source No.",$D5005,"Equipment Code",$L5005,"due date",F$8)/-12</t>
  </si>
  <si>
    <t>=NL("sum","Production Order","Quantity","Source No.",$D5005,"Equipment Code",$L5005,"due date",G$8)/-12</t>
  </si>
  <si>
    <t>=NL("sum","Production Order","Quantity","Source No.",$D5005,"Equipment Code",$L5005,"due date",H$8)/-12</t>
  </si>
  <si>
    <t>=NL("sum","Production Order","Quantity","Source No.",$D5005,"Equipment Code",$L5005,"due date",I$8)/-12</t>
  </si>
  <si>
    <t>=NL("sum","Production Order","Quantity","Source No.",$D5005,"Equipment Code",$L5005,"due date",J$8)/$J$7</t>
  </si>
  <si>
    <t>=AVERAGE(I5005:J5005)</t>
  </si>
  <si>
    <t>=IF(K5006=0,"hide","")</t>
  </si>
  <si>
    <t>=D5005</t>
  </si>
  <si>
    <t>=NL("sum","Production Order","Quantity","Source No.",$D5006,"Equipment Code",$L5006,"due date",F$8)/-12</t>
  </si>
  <si>
    <t>=NL("sum","Production Order","Quantity","Source No.",$D5006,"Equipment Code",$L5006,"due date",G$8)/-12</t>
  </si>
  <si>
    <t>=NL("sum","Production Order","Quantity","Source No.",$D5006,"Equipment Code",$L5006,"due date",H$8)/-12</t>
  </si>
  <si>
    <t>=NL("sum","Production Order","Quantity","Source No.",$D5006,"Equipment Code",$L5006,"due date",I$8)/-12</t>
  </si>
  <si>
    <t>=NL("sum","Production Order","Quantity","Source No.",$D5006,"Equipment Code",$L5006,"due date",J$8)/$J$7</t>
  </si>
  <si>
    <t>=AVERAGE(I5006:J5006)</t>
  </si>
  <si>
    <t>=IF(K5007=0,"hide","")</t>
  </si>
  <si>
    <t>=D5006</t>
  </si>
  <si>
    <t>=NL("sum","Production Order","Quantity","Source No.",$D5007,"Equipment Code",$L5007,"due date",F$8)/-12</t>
  </si>
  <si>
    <t>=NL("sum","Production Order","Quantity","Source No.",$D5007,"Equipment Code",$L5007,"due date",G$8)/-12</t>
  </si>
  <si>
    <t>=NL("sum","Production Order","Quantity","Source No.",$D5007,"Equipment Code",$L5007,"due date",H$8)/-12</t>
  </si>
  <si>
    <t>=NL("sum","Production Order","Quantity","Source No.",$D5007,"Equipment Code",$L5007,"due date",I$8)/-12</t>
  </si>
  <si>
    <t>=NL("sum","Production Order","Quantity","Source No.",$D5007,"Equipment Code",$L5007,"due date",J$8)/$J$7</t>
  </si>
  <si>
    <t>=AVERAGE(I5007:J5007)</t>
  </si>
  <si>
    <t>=B5004</t>
  </si>
  <si>
    <t>=B5008</t>
  </si>
  <si>
    <t>=SUM(F5004:F5008)</t>
  </si>
  <si>
    <t>=SUM(G5004:G5008)</t>
  </si>
  <si>
    <t>=SUM(H5004:H5008)</t>
  </si>
  <si>
    <t>=SUM(I5004:I5008)</t>
  </si>
  <si>
    <t>=SUM(J5004:J5008)</t>
  </si>
  <si>
    <t>=IF(K5010=0,"hide","")</t>
  </si>
  <si>
    <t>="90022"</t>
  </si>
  <si>
    <t>=NL("rows","Production BOM Version","Version Code","Production BOM No.",D5010,"status","certified")</t>
  </si>
  <si>
    <t>=NL("sum","Item Ledger Entry","Quantity","Item No.",$D5010,"Entry Type","Sale|Consumption","posting date","01/01/19..12/31/19")/-12</t>
  </si>
  <si>
    <t>=NL("sum","Item Ledger Entry","Quantity","Item No.",$D5010,"Entry Type","Sale|Consumption","posting date","01/01/20..12/31/20")/-12</t>
  </si>
  <si>
    <t>=NL("sum","Item Ledger Entry","Quantity","Item No.",$D5010,"Entry Type","Sale|Consumption","posting date","01/01/21..12/31/21")/-12</t>
  </si>
  <si>
    <t>=NL("sum","Item Ledger Entry","Quantity","Item No.",$D5010,"Entry Type","Sale|Consumption","posting date","01/01/22..12/31/22")/-12</t>
  </si>
  <si>
    <t>=NL("sum","Item Ledger Entry","Quantity","Item No.",$D5010,"Entry Type","Sale|Consumption","posting date","01/01/23..12/31/23")/$J$7</t>
  </si>
  <si>
    <t>=AVERAGE(I5010:J5010)</t>
  </si>
  <si>
    <t>=NL(1,"item",L$9,"no.",D5010)</t>
  </si>
  <si>
    <t>=NL(1,"item",M$9,"no.",$D5010)</t>
  </si>
  <si>
    <t>=NL(1,"item","Units Per Parcel","no.",$D5010)</t>
  </si>
  <si>
    <t>=NL(1,"Prod. BOM Equipment","Fixed Prod. Time (Hours)","Production BOM No.",$D5010,"version code",$E5010,"Resource No.",O$9)</t>
  </si>
  <si>
    <t>=1/O5010</t>
  </si>
  <si>
    <t>=IF(NL(1,"Prod. BOM Equipment","Variable Prod. Time (Hours)","Production BOM No.",$D5010,"version code",$E5010,"Resource No.",$O$9)="",1,NL(1,"Prod. BOM Equipment","Variable Prod. Time (Hours)","Production BOM No.",$D5010,"version code",$E5010,"Resource No.",$O$9))</t>
  </si>
  <si>
    <t>=1/Q5010</t>
  </si>
  <si>
    <t>=R5010*N5010</t>
  </si>
  <si>
    <t>=IF(K5011=0,"hide","")</t>
  </si>
  <si>
    <t>=D5010</t>
  </si>
  <si>
    <t>=NL("sum","Production Order","Quantity","Source No.",$D5011,"Equipment Code",$L5011,"due date",F$8)/-12</t>
  </si>
  <si>
    <t>=NL("sum","Production Order","Quantity","Source No.",$D5011,"Equipment Code",$L5011,"due date",G$8)/-12</t>
  </si>
  <si>
    <t>=NL("sum","Production Order","Quantity","Source No.",$D5011,"Equipment Code",$L5011,"due date",H$8)/-12</t>
  </si>
  <si>
    <t>=NL("sum","Production Order","Quantity","Source No.",$D5011,"Equipment Code",$L5011,"due date",I$8)/-12</t>
  </si>
  <si>
    <t>=NL("sum","Production Order","Quantity","Source No.",$D5011,"Equipment Code",$L5011,"due date",J$8)/$J$7</t>
  </si>
  <si>
    <t>=AVERAGE(I5011:J5011)</t>
  </si>
  <si>
    <t>=IF(K5012=0,"hide","")</t>
  </si>
  <si>
    <t>=D5011</t>
  </si>
  <si>
    <t>=NL("sum","Production Order","Quantity","Source No.",$D5012,"Equipment Code",$L5012,"due date",F$8)/-12</t>
  </si>
  <si>
    <t>=NL("sum","Production Order","Quantity","Source No.",$D5012,"Equipment Code",$L5012,"due date",G$8)/-12</t>
  </si>
  <si>
    <t>=NL("sum","Production Order","Quantity","Source No.",$D5012,"Equipment Code",$L5012,"due date",H$8)/-12</t>
  </si>
  <si>
    <t>=NL("sum","Production Order","Quantity","Source No.",$D5012,"Equipment Code",$L5012,"due date",I$8)/-12</t>
  </si>
  <si>
    <t>=NL("sum","Production Order","Quantity","Source No.",$D5012,"Equipment Code",$L5012,"due date",J$8)/$J$7</t>
  </si>
  <si>
    <t>=AVERAGE(I5012:J5012)</t>
  </si>
  <si>
    <t>=IF(K5013=0,"hide","")</t>
  </si>
  <si>
    <t>=D5012</t>
  </si>
  <si>
    <t>=NL("sum","Production Order","Quantity","Source No.",$D5013,"Equipment Code",$L5013,"due date",F$8)/-12</t>
  </si>
  <si>
    <t>=NL("sum","Production Order","Quantity","Source No.",$D5013,"Equipment Code",$L5013,"due date",G$8)/-12</t>
  </si>
  <si>
    <t>=NL("sum","Production Order","Quantity","Source No.",$D5013,"Equipment Code",$L5013,"due date",H$8)/-12</t>
  </si>
  <si>
    <t>=NL("sum","Production Order","Quantity","Source No.",$D5013,"Equipment Code",$L5013,"due date",I$8)/-12</t>
  </si>
  <si>
    <t>=NL("sum","Production Order","Quantity","Source No.",$D5013,"Equipment Code",$L5013,"due date",J$8)/$J$7</t>
  </si>
  <si>
    <t>=AVERAGE(I5013:J5013)</t>
  </si>
  <si>
    <t>=IF(K5014=0,"hide","")</t>
  </si>
  <si>
    <t>=D5013</t>
  </si>
  <si>
    <t>=NL("sum","Production Order","Quantity","Source No.",$D5014,"Equipment Code",$L5014,"due date",F$8)/-12</t>
  </si>
  <si>
    <t>=NL("sum","Production Order","Quantity","Source No.",$D5014,"Equipment Code",$L5014,"due date",G$8)/-12</t>
  </si>
  <si>
    <t>=NL("sum","Production Order","Quantity","Source No.",$D5014,"Equipment Code",$L5014,"due date",H$8)/-12</t>
  </si>
  <si>
    <t>=NL("sum","Production Order","Quantity","Source No.",$D5014,"Equipment Code",$L5014,"due date",I$8)/-12</t>
  </si>
  <si>
    <t>=NL("sum","Production Order","Quantity","Source No.",$D5014,"Equipment Code",$L5014,"due date",J$8)/$J$7</t>
  </si>
  <si>
    <t>=AVERAGE(I5014:J5014)</t>
  </si>
  <si>
    <t>=B5011</t>
  </si>
  <si>
    <t>=B5015</t>
  </si>
  <si>
    <t>=SUM(F5011:F5015)</t>
  </si>
  <si>
    <t>=SUM(G5011:G5015)</t>
  </si>
  <si>
    <t>=SUM(H5011:H5015)</t>
  </si>
  <si>
    <t>=SUM(I5011:I5015)</t>
  </si>
  <si>
    <t>=SUM(J5011:J5015)</t>
  </si>
  <si>
    <t>=IF(K5017=0,"hide","")</t>
  </si>
  <si>
    <t>="90429"</t>
  </si>
  <si>
    <t>=NL("rows","Production BOM Version","Version Code","Production BOM No.",D5017,"status","certified")</t>
  </si>
  <si>
    <t>=NL("sum","Item Ledger Entry","Quantity","Item No.",$D5017,"Entry Type","Sale|Consumption","posting date","01/01/19..12/31/19")/-12</t>
  </si>
  <si>
    <t>=NL("sum","Item Ledger Entry","Quantity","Item No.",$D5017,"Entry Type","Sale|Consumption","posting date","01/01/20..12/31/20")/-12</t>
  </si>
  <si>
    <t>=NL("sum","Item Ledger Entry","Quantity","Item No.",$D5017,"Entry Type","Sale|Consumption","posting date","01/01/21..12/31/21")/-12</t>
  </si>
  <si>
    <t>=NL("sum","Item Ledger Entry","Quantity","Item No.",$D5017,"Entry Type","Sale|Consumption","posting date","01/01/22..12/31/22")/-12</t>
  </si>
  <si>
    <t>=NL("sum","Item Ledger Entry","Quantity","Item No.",$D5017,"Entry Type","Sale|Consumption","posting date","01/01/23..12/31/23")/$J$7</t>
  </si>
  <si>
    <t>=AVERAGE(I5017:J5017)</t>
  </si>
  <si>
    <t>=NL(1,"item",L$9,"no.",D5017)</t>
  </si>
  <si>
    <t>=NL(1,"item",M$9,"no.",$D5017)</t>
  </si>
  <si>
    <t>=NL(1,"item","Units Per Parcel","no.",$D5017)</t>
  </si>
  <si>
    <t>=NL(1,"Prod. BOM Equipment","Fixed Prod. Time (Hours)","Production BOM No.",$D5017,"version code",$E5017,"Resource No.",O$9)</t>
  </si>
  <si>
    <t>=1/O5017</t>
  </si>
  <si>
    <t>=IF(NL(1,"Prod. BOM Equipment","Variable Prod. Time (Hours)","Production BOM No.",$D5017,"version code",$E5017,"Resource No.",$O$9)="",1,NL(1,"Prod. BOM Equipment","Variable Prod. Time (Hours)","Production BOM No.",$D5017,"version code",$E5017,"Resource No.",$O$9))</t>
  </si>
  <si>
    <t>=1/Q5017</t>
  </si>
  <si>
    <t>=R5017*N5017</t>
  </si>
  <si>
    <t>=IF(K5018=0,"hide","")</t>
  </si>
  <si>
    <t>=D5017</t>
  </si>
  <si>
    <t>=NL("sum","Production Order","Quantity","Source No.",$D5018,"Equipment Code",$L5018,"due date",F$8)/-12</t>
  </si>
  <si>
    <t>=NL("sum","Production Order","Quantity","Source No.",$D5018,"Equipment Code",$L5018,"due date",G$8)/-12</t>
  </si>
  <si>
    <t>=NL("sum","Production Order","Quantity","Source No.",$D5018,"Equipment Code",$L5018,"due date",H$8)/-12</t>
  </si>
  <si>
    <t>=NL("sum","Production Order","Quantity","Source No.",$D5018,"Equipment Code",$L5018,"due date",I$8)/-12</t>
  </si>
  <si>
    <t>=NL("sum","Production Order","Quantity","Source No.",$D5018,"Equipment Code",$L5018,"due date",J$8)/$J$7</t>
  </si>
  <si>
    <t>=AVERAGE(I5018:J5018)</t>
  </si>
  <si>
    <t>=IF(K5019=0,"hide","")</t>
  </si>
  <si>
    <t>=D5018</t>
  </si>
  <si>
    <t>=NL("sum","Production Order","Quantity","Source No.",$D5019,"Equipment Code",$L5019,"due date",F$8)/-12</t>
  </si>
  <si>
    <t>=NL("sum","Production Order","Quantity","Source No.",$D5019,"Equipment Code",$L5019,"due date",G$8)/-12</t>
  </si>
  <si>
    <t>=NL("sum","Production Order","Quantity","Source No.",$D5019,"Equipment Code",$L5019,"due date",H$8)/-12</t>
  </si>
  <si>
    <t>=NL("sum","Production Order","Quantity","Source No.",$D5019,"Equipment Code",$L5019,"due date",I$8)/-12</t>
  </si>
  <si>
    <t>=NL("sum","Production Order","Quantity","Source No.",$D5019,"Equipment Code",$L5019,"due date",J$8)/$J$7</t>
  </si>
  <si>
    <t>=AVERAGE(I5019:J5019)</t>
  </si>
  <si>
    <t>=IF(K5020=0,"hide","")</t>
  </si>
  <si>
    <t>=D5019</t>
  </si>
  <si>
    <t>=NL("sum","Production Order","Quantity","Source No.",$D5020,"Equipment Code",$L5020,"due date",F$8)/-12</t>
  </si>
  <si>
    <t>=NL("sum","Production Order","Quantity","Source No.",$D5020,"Equipment Code",$L5020,"due date",G$8)/-12</t>
  </si>
  <si>
    <t>=NL("sum","Production Order","Quantity","Source No.",$D5020,"Equipment Code",$L5020,"due date",H$8)/-12</t>
  </si>
  <si>
    <t>=NL("sum","Production Order","Quantity","Source No.",$D5020,"Equipment Code",$L5020,"due date",I$8)/-12</t>
  </si>
  <si>
    <t>=NL("sum","Production Order","Quantity","Source No.",$D5020,"Equipment Code",$L5020,"due date",J$8)/$J$7</t>
  </si>
  <si>
    <t>=AVERAGE(I5020:J5020)</t>
  </si>
  <si>
    <t>=IF(K5021=0,"hide","")</t>
  </si>
  <si>
    <t>=D5020</t>
  </si>
  <si>
    <t>=NL("sum","Production Order","Quantity","Source No.",$D5021,"Equipment Code",$L5021,"due date",F$8)/-12</t>
  </si>
  <si>
    <t>=NL("sum","Production Order","Quantity","Source No.",$D5021,"Equipment Code",$L5021,"due date",G$8)/-12</t>
  </si>
  <si>
    <t>=NL("sum","Production Order","Quantity","Source No.",$D5021,"Equipment Code",$L5021,"due date",H$8)/-12</t>
  </si>
  <si>
    <t>=NL("sum","Production Order","Quantity","Source No.",$D5021,"Equipment Code",$L5021,"due date",I$8)/-12</t>
  </si>
  <si>
    <t>=NL("sum","Production Order","Quantity","Source No.",$D5021,"Equipment Code",$L5021,"due date",J$8)/$J$7</t>
  </si>
  <si>
    <t>=AVERAGE(I5021:J5021)</t>
  </si>
  <si>
    <t>=B5018</t>
  </si>
  <si>
    <t>=B5022</t>
  </si>
  <si>
    <t>=SUM(F5018:F5022)</t>
  </si>
  <si>
    <t>=SUM(G5018:G5022)</t>
  </si>
  <si>
    <t>=SUM(H5018:H5022)</t>
  </si>
  <si>
    <t>=SUM(I5018:I5022)</t>
  </si>
  <si>
    <t>=SUM(J5018:J5022)</t>
  </si>
  <si>
    <t>=IF(K5024=0,"hide","")</t>
  </si>
  <si>
    <t>="90430"</t>
  </si>
  <si>
    <t>=NL("rows","Production BOM Version","Version Code","Production BOM No.",D5024,"status","certified")</t>
  </si>
  <si>
    <t>=NL("sum","Item Ledger Entry","Quantity","Item No.",$D5024,"Entry Type","Sale|Consumption","posting date","01/01/19..12/31/19")/-12</t>
  </si>
  <si>
    <t>=NL("sum","Item Ledger Entry","Quantity","Item No.",$D5024,"Entry Type","Sale|Consumption","posting date","01/01/20..12/31/20")/-12</t>
  </si>
  <si>
    <t>=NL("sum","Item Ledger Entry","Quantity","Item No.",$D5024,"Entry Type","Sale|Consumption","posting date","01/01/21..12/31/21")/-12</t>
  </si>
  <si>
    <t>=NL("sum","Item Ledger Entry","Quantity","Item No.",$D5024,"Entry Type","Sale|Consumption","posting date","01/01/22..12/31/22")/-12</t>
  </si>
  <si>
    <t>=NL("sum","Item Ledger Entry","Quantity","Item No.",$D5024,"Entry Type","Sale|Consumption","posting date","01/01/23..12/31/23")/$J$7</t>
  </si>
  <si>
    <t>=AVERAGE(I5024:J5024)</t>
  </si>
  <si>
    <t>=NL(1,"item",L$9,"no.",D5024)</t>
  </si>
  <si>
    <t>=NL(1,"item",M$9,"no.",$D5024)</t>
  </si>
  <si>
    <t>=NL(1,"item","Units Per Parcel","no.",$D5024)</t>
  </si>
  <si>
    <t>=NL(1,"Prod. BOM Equipment","Fixed Prod. Time (Hours)","Production BOM No.",$D5024,"version code",$E5024,"Resource No.",O$9)</t>
  </si>
  <si>
    <t>=1/O5024</t>
  </si>
  <si>
    <t>=IF(NL(1,"Prod. BOM Equipment","Variable Prod. Time (Hours)","Production BOM No.",$D5024,"version code",$E5024,"Resource No.",$O$9)="",1,NL(1,"Prod. BOM Equipment","Variable Prod. Time (Hours)","Production BOM No.",$D5024,"version code",$E5024,"Resource No.",$O$9))</t>
  </si>
  <si>
    <t>=1/Q5024</t>
  </si>
  <si>
    <t>=R5024*N5024</t>
  </si>
  <si>
    <t>=IF(K5025=0,"hide","")</t>
  </si>
  <si>
    <t>=D5024</t>
  </si>
  <si>
    <t>=NL("sum","Production Order","Quantity","Source No.",$D5025,"Equipment Code",$L5025,"due date",F$8)/-12</t>
  </si>
  <si>
    <t>=NL("sum","Production Order","Quantity","Source No.",$D5025,"Equipment Code",$L5025,"due date",G$8)/-12</t>
  </si>
  <si>
    <t>=NL("sum","Production Order","Quantity","Source No.",$D5025,"Equipment Code",$L5025,"due date",H$8)/-12</t>
  </si>
  <si>
    <t>=NL("sum","Production Order","Quantity","Source No.",$D5025,"Equipment Code",$L5025,"due date",I$8)/-12</t>
  </si>
  <si>
    <t>=NL("sum","Production Order","Quantity","Source No.",$D5025,"Equipment Code",$L5025,"due date",J$8)/$J$7</t>
  </si>
  <si>
    <t>=AVERAGE(I5025:J5025)</t>
  </si>
  <si>
    <t>=IF(K5026=0,"hide","")</t>
  </si>
  <si>
    <t>=D5025</t>
  </si>
  <si>
    <t>=NL("sum","Production Order","Quantity","Source No.",$D5026,"Equipment Code",$L5026,"due date",F$8)/-12</t>
  </si>
  <si>
    <t>=NL("sum","Production Order","Quantity","Source No.",$D5026,"Equipment Code",$L5026,"due date",G$8)/-12</t>
  </si>
  <si>
    <t>=NL("sum","Production Order","Quantity","Source No.",$D5026,"Equipment Code",$L5026,"due date",H$8)/-12</t>
  </si>
  <si>
    <t>=NL("sum","Production Order","Quantity","Source No.",$D5026,"Equipment Code",$L5026,"due date",I$8)/-12</t>
  </si>
  <si>
    <t>=NL("sum","Production Order","Quantity","Source No.",$D5026,"Equipment Code",$L5026,"due date",J$8)/$J$7</t>
  </si>
  <si>
    <t>=AVERAGE(I5026:J5026)</t>
  </si>
  <si>
    <t>=IF(K5027=0,"hide","")</t>
  </si>
  <si>
    <t>=D5026</t>
  </si>
  <si>
    <t>=NL("sum","Production Order","Quantity","Source No.",$D5027,"Equipment Code",$L5027,"due date",F$8)/-12</t>
  </si>
  <si>
    <t>=NL("sum","Production Order","Quantity","Source No.",$D5027,"Equipment Code",$L5027,"due date",G$8)/-12</t>
  </si>
  <si>
    <t>=NL("sum","Production Order","Quantity","Source No.",$D5027,"Equipment Code",$L5027,"due date",H$8)/-12</t>
  </si>
  <si>
    <t>=NL("sum","Production Order","Quantity","Source No.",$D5027,"Equipment Code",$L5027,"due date",I$8)/-12</t>
  </si>
  <si>
    <t>=NL("sum","Production Order","Quantity","Source No.",$D5027,"Equipment Code",$L5027,"due date",J$8)/$J$7</t>
  </si>
  <si>
    <t>=AVERAGE(I5027:J5027)</t>
  </si>
  <si>
    <t>=IF(K5028=0,"hide","")</t>
  </si>
  <si>
    <t>=D5027</t>
  </si>
  <si>
    <t>=NL("sum","Production Order","Quantity","Source No.",$D5028,"Equipment Code",$L5028,"due date",F$8)/-12</t>
  </si>
  <si>
    <t>=NL("sum","Production Order","Quantity","Source No.",$D5028,"Equipment Code",$L5028,"due date",G$8)/-12</t>
  </si>
  <si>
    <t>=NL("sum","Production Order","Quantity","Source No.",$D5028,"Equipment Code",$L5028,"due date",H$8)/-12</t>
  </si>
  <si>
    <t>=NL("sum","Production Order","Quantity","Source No.",$D5028,"Equipment Code",$L5028,"due date",I$8)/-12</t>
  </si>
  <si>
    <t>=NL("sum","Production Order","Quantity","Source No.",$D5028,"Equipment Code",$L5028,"due date",J$8)/$J$7</t>
  </si>
  <si>
    <t>=AVERAGE(I5028:J5028)</t>
  </si>
  <si>
    <t>=B5025</t>
  </si>
  <si>
    <t>=B5029</t>
  </si>
  <si>
    <t>=SUM(F5025:F5029)</t>
  </si>
  <si>
    <t>=SUM(G5025:G5029)</t>
  </si>
  <si>
    <t>=SUM(H5025:H5029)</t>
  </si>
  <si>
    <t>=SUM(I5025:I5029)</t>
  </si>
  <si>
    <t>=SUM(J5025:J5029)</t>
  </si>
  <si>
    <t>=IF(K5031=0,"hide","")</t>
  </si>
  <si>
    <t>="90448"</t>
  </si>
  <si>
    <t>=NL("rows","Production BOM Version","Version Code","Production BOM No.",D5031,"status","certified")</t>
  </si>
  <si>
    <t>=NL("sum","Item Ledger Entry","Quantity","Item No.",$D5031,"Entry Type","Sale|Consumption","posting date","01/01/19..12/31/19")/-12</t>
  </si>
  <si>
    <t>=NL("sum","Item Ledger Entry","Quantity","Item No.",$D5031,"Entry Type","Sale|Consumption","posting date","01/01/20..12/31/20")/-12</t>
  </si>
  <si>
    <t>=NL("sum","Item Ledger Entry","Quantity","Item No.",$D5031,"Entry Type","Sale|Consumption","posting date","01/01/21..12/31/21")/-12</t>
  </si>
  <si>
    <t>=NL("sum","Item Ledger Entry","Quantity","Item No.",$D5031,"Entry Type","Sale|Consumption","posting date","01/01/22..12/31/22")/-12</t>
  </si>
  <si>
    <t>=NL("sum","Item Ledger Entry","Quantity","Item No.",$D5031,"Entry Type","Sale|Consumption","posting date","01/01/23..12/31/23")/$J$7</t>
  </si>
  <si>
    <t>=AVERAGE(I5031:J5031)</t>
  </si>
  <si>
    <t>=NL(1,"item",L$9,"no.",D5031)</t>
  </si>
  <si>
    <t>=NL(1,"item",M$9,"no.",$D5031)</t>
  </si>
  <si>
    <t>=NL(1,"item","Units Per Parcel","no.",$D5031)</t>
  </si>
  <si>
    <t>=NL(1,"Prod. BOM Equipment","Fixed Prod. Time (Hours)","Production BOM No.",$D5031,"version code",$E5031,"Resource No.",O$9)</t>
  </si>
  <si>
    <t>=1/O5031</t>
  </si>
  <si>
    <t>=IF(NL(1,"Prod. BOM Equipment","Variable Prod. Time (Hours)","Production BOM No.",$D5031,"version code",$E5031,"Resource No.",$O$9)="",1,NL(1,"Prod. BOM Equipment","Variable Prod. Time (Hours)","Production BOM No.",$D5031,"version code",$E5031,"Resource No.",$O$9))</t>
  </si>
  <si>
    <t>=1/Q5031</t>
  </si>
  <si>
    <t>=R5031*N5031</t>
  </si>
  <si>
    <t>=IF(K5032=0,"hide","")</t>
  </si>
  <si>
    <t>=D5031</t>
  </si>
  <si>
    <t>=NL("sum","Production Order","Quantity","Source No.",$D5032,"Equipment Code",$L5032,"due date",F$8)/-12</t>
  </si>
  <si>
    <t>=NL("sum","Production Order","Quantity","Source No.",$D5032,"Equipment Code",$L5032,"due date",G$8)/-12</t>
  </si>
  <si>
    <t>=NL("sum","Production Order","Quantity","Source No.",$D5032,"Equipment Code",$L5032,"due date",H$8)/-12</t>
  </si>
  <si>
    <t>=NL("sum","Production Order","Quantity","Source No.",$D5032,"Equipment Code",$L5032,"due date",I$8)/-12</t>
  </si>
  <si>
    <t>=NL("sum","Production Order","Quantity","Source No.",$D5032,"Equipment Code",$L5032,"due date",J$8)/$J$7</t>
  </si>
  <si>
    <t>=AVERAGE(I5032:J5032)</t>
  </si>
  <si>
    <t>=IF(K5033=0,"hide","")</t>
  </si>
  <si>
    <t>=D5032</t>
  </si>
  <si>
    <t>=NL("sum","Production Order","Quantity","Source No.",$D5033,"Equipment Code",$L5033,"due date",F$8)/-12</t>
  </si>
  <si>
    <t>=NL("sum","Production Order","Quantity","Source No.",$D5033,"Equipment Code",$L5033,"due date",G$8)/-12</t>
  </si>
  <si>
    <t>=NL("sum","Production Order","Quantity","Source No.",$D5033,"Equipment Code",$L5033,"due date",H$8)/-12</t>
  </si>
  <si>
    <t>=NL("sum","Production Order","Quantity","Source No.",$D5033,"Equipment Code",$L5033,"due date",I$8)/-12</t>
  </si>
  <si>
    <t>=NL("sum","Production Order","Quantity","Source No.",$D5033,"Equipment Code",$L5033,"due date",J$8)/$J$7</t>
  </si>
  <si>
    <t>=AVERAGE(I5033:J5033)</t>
  </si>
  <si>
    <t>=IF(K5034=0,"hide","")</t>
  </si>
  <si>
    <t>=D5033</t>
  </si>
  <si>
    <t>=NL("sum","Production Order","Quantity","Source No.",$D5034,"Equipment Code",$L5034,"due date",F$8)/-12</t>
  </si>
  <si>
    <t>=NL("sum","Production Order","Quantity","Source No.",$D5034,"Equipment Code",$L5034,"due date",G$8)/-12</t>
  </si>
  <si>
    <t>=NL("sum","Production Order","Quantity","Source No.",$D5034,"Equipment Code",$L5034,"due date",H$8)/-12</t>
  </si>
  <si>
    <t>=NL("sum","Production Order","Quantity","Source No.",$D5034,"Equipment Code",$L5034,"due date",I$8)/-12</t>
  </si>
  <si>
    <t>=NL("sum","Production Order","Quantity","Source No.",$D5034,"Equipment Code",$L5034,"due date",J$8)/$J$7</t>
  </si>
  <si>
    <t>=AVERAGE(I5034:J5034)</t>
  </si>
  <si>
    <t>=IF(K5035=0,"hide","")</t>
  </si>
  <si>
    <t>=D5034</t>
  </si>
  <si>
    <t>=NL("sum","Production Order","Quantity","Source No.",$D5035,"Equipment Code",$L5035,"due date",F$8)/-12</t>
  </si>
  <si>
    <t>=NL("sum","Production Order","Quantity","Source No.",$D5035,"Equipment Code",$L5035,"due date",G$8)/-12</t>
  </si>
  <si>
    <t>=NL("sum","Production Order","Quantity","Source No.",$D5035,"Equipment Code",$L5035,"due date",H$8)/-12</t>
  </si>
  <si>
    <t>=NL("sum","Production Order","Quantity","Source No.",$D5035,"Equipment Code",$L5035,"due date",I$8)/-12</t>
  </si>
  <si>
    <t>=NL("sum","Production Order","Quantity","Source No.",$D5035,"Equipment Code",$L5035,"due date",J$8)/$J$7</t>
  </si>
  <si>
    <t>=AVERAGE(I5035:J5035)</t>
  </si>
  <si>
    <t>=B5032</t>
  </si>
  <si>
    <t>=B5036</t>
  </si>
  <si>
    <t>=SUM(F5032:F5036)</t>
  </si>
  <si>
    <t>=SUM(G5032:G5036)</t>
  </si>
  <si>
    <t>=SUM(H5032:H5036)</t>
  </si>
  <si>
    <t>=SUM(I5032:I5036)</t>
  </si>
  <si>
    <t>=SUM(J5032:J5036)</t>
  </si>
  <si>
    <t>=IF(K5038=0,"hide","")</t>
  </si>
  <si>
    <t>="91129"</t>
  </si>
  <si>
    <t>=NL("rows","Production BOM Version","Version Code","Production BOM No.",D5038,"status","certified")</t>
  </si>
  <si>
    <t>=NL("sum","Item Ledger Entry","Quantity","Item No.",$D5038,"Entry Type","Sale|Consumption","posting date","01/01/19..12/31/19")/-12</t>
  </si>
  <si>
    <t>=NL("sum","Item Ledger Entry","Quantity","Item No.",$D5038,"Entry Type","Sale|Consumption","posting date","01/01/20..12/31/20")/-12</t>
  </si>
  <si>
    <t>=NL("sum","Item Ledger Entry","Quantity","Item No.",$D5038,"Entry Type","Sale|Consumption","posting date","01/01/21..12/31/21")/-12</t>
  </si>
  <si>
    <t>=NL("sum","Item Ledger Entry","Quantity","Item No.",$D5038,"Entry Type","Sale|Consumption","posting date","01/01/22..12/31/22")/-12</t>
  </si>
  <si>
    <t>=NL("sum","Item Ledger Entry","Quantity","Item No.",$D5038,"Entry Type","Sale|Consumption","posting date","01/01/23..12/31/23")/$J$7</t>
  </si>
  <si>
    <t>=AVERAGE(I5038:J5038)</t>
  </si>
  <si>
    <t>=NL(1,"item",L$9,"no.",D5038)</t>
  </si>
  <si>
    <t>=NL(1,"item",M$9,"no.",$D5038)</t>
  </si>
  <si>
    <t>=NL(1,"item","Units Per Parcel","no.",$D5038)</t>
  </si>
  <si>
    <t>=NL(1,"Prod. BOM Equipment","Fixed Prod. Time (Hours)","Production BOM No.",$D5038,"version code",$E5038,"Resource No.",O$9)</t>
  </si>
  <si>
    <t>=1/O5038</t>
  </si>
  <si>
    <t>=IF(NL(1,"Prod. BOM Equipment","Variable Prod. Time (Hours)","Production BOM No.",$D5038,"version code",$E5038,"Resource No.",$O$9)="",1,NL(1,"Prod. BOM Equipment","Variable Prod. Time (Hours)","Production BOM No.",$D5038,"version code",$E5038,"Resource No.",$O$9))</t>
  </si>
  <si>
    <t>=1/Q5038</t>
  </si>
  <si>
    <t>=R5038*N5038</t>
  </si>
  <si>
    <t>=IF(K5039=0,"hide","")</t>
  </si>
  <si>
    <t>=D5038</t>
  </si>
  <si>
    <t>=NL("sum","Production Order","Quantity","Source No.",$D5039,"Equipment Code",$L5039,"due date",F$8)/-12</t>
  </si>
  <si>
    <t>=NL("sum","Production Order","Quantity","Source No.",$D5039,"Equipment Code",$L5039,"due date",G$8)/-12</t>
  </si>
  <si>
    <t>=NL("sum","Production Order","Quantity","Source No.",$D5039,"Equipment Code",$L5039,"due date",H$8)/-12</t>
  </si>
  <si>
    <t>=NL("sum","Production Order","Quantity","Source No.",$D5039,"Equipment Code",$L5039,"due date",I$8)/-12</t>
  </si>
  <si>
    <t>=NL("sum","Production Order","Quantity","Source No.",$D5039,"Equipment Code",$L5039,"due date",J$8)/$J$7</t>
  </si>
  <si>
    <t>=AVERAGE(I5039:J5039)</t>
  </si>
  <si>
    <t>=IF(K5040=0,"hide","")</t>
  </si>
  <si>
    <t>=D5039</t>
  </si>
  <si>
    <t>=NL("sum","Production Order","Quantity","Source No.",$D5040,"Equipment Code",$L5040,"due date",F$8)/-12</t>
  </si>
  <si>
    <t>=NL("sum","Production Order","Quantity","Source No.",$D5040,"Equipment Code",$L5040,"due date",G$8)/-12</t>
  </si>
  <si>
    <t>=NL("sum","Production Order","Quantity","Source No.",$D5040,"Equipment Code",$L5040,"due date",H$8)/-12</t>
  </si>
  <si>
    <t>=NL("sum","Production Order","Quantity","Source No.",$D5040,"Equipment Code",$L5040,"due date",I$8)/-12</t>
  </si>
  <si>
    <t>=NL("sum","Production Order","Quantity","Source No.",$D5040,"Equipment Code",$L5040,"due date",J$8)/$J$7</t>
  </si>
  <si>
    <t>=AVERAGE(I5040:J5040)</t>
  </si>
  <si>
    <t>=IF(K5041=0,"hide","")</t>
  </si>
  <si>
    <t>=D5040</t>
  </si>
  <si>
    <t>=NL("sum","Production Order","Quantity","Source No.",$D5041,"Equipment Code",$L5041,"due date",F$8)/-12</t>
  </si>
  <si>
    <t>=NL("sum","Production Order","Quantity","Source No.",$D5041,"Equipment Code",$L5041,"due date",G$8)/-12</t>
  </si>
  <si>
    <t>=NL("sum","Production Order","Quantity","Source No.",$D5041,"Equipment Code",$L5041,"due date",H$8)/-12</t>
  </si>
  <si>
    <t>=NL("sum","Production Order","Quantity","Source No.",$D5041,"Equipment Code",$L5041,"due date",I$8)/-12</t>
  </si>
  <si>
    <t>=NL("sum","Production Order","Quantity","Source No.",$D5041,"Equipment Code",$L5041,"due date",J$8)/$J$7</t>
  </si>
  <si>
    <t>=AVERAGE(I5041:J5041)</t>
  </si>
  <si>
    <t>=IF(K5042=0,"hide","")</t>
  </si>
  <si>
    <t>=D5041</t>
  </si>
  <si>
    <t>=NL("sum","Production Order","Quantity","Source No.",$D5042,"Equipment Code",$L5042,"due date",F$8)/-12</t>
  </si>
  <si>
    <t>=NL("sum","Production Order","Quantity","Source No.",$D5042,"Equipment Code",$L5042,"due date",G$8)/-12</t>
  </si>
  <si>
    <t>=NL("sum","Production Order","Quantity","Source No.",$D5042,"Equipment Code",$L5042,"due date",H$8)/-12</t>
  </si>
  <si>
    <t>=NL("sum","Production Order","Quantity","Source No.",$D5042,"Equipment Code",$L5042,"due date",I$8)/-12</t>
  </si>
  <si>
    <t>=NL("sum","Production Order","Quantity","Source No.",$D5042,"Equipment Code",$L5042,"due date",J$8)/$J$7</t>
  </si>
  <si>
    <t>=AVERAGE(I5042:J5042)</t>
  </si>
  <si>
    <t>=B5039</t>
  </si>
  <si>
    <t>=B5043</t>
  </si>
  <si>
    <t>=SUM(F5039:F5043)</t>
  </si>
  <si>
    <t>=SUM(G5039:G5043)</t>
  </si>
  <si>
    <t>=SUM(H5039:H5043)</t>
  </si>
  <si>
    <t>=SUM(I5039:I5043)</t>
  </si>
  <si>
    <t>=SUM(J5039:J5043)</t>
  </si>
  <si>
    <t>=IF(K5045=0,"hide","")</t>
  </si>
  <si>
    <t>="92134"</t>
  </si>
  <si>
    <t>=NL("rows","Production BOM Version","Version Code","Production BOM No.",D5045,"status","certified")</t>
  </si>
  <si>
    <t>=NL("sum","Item Ledger Entry","Quantity","Item No.",$D5045,"Entry Type","Sale|Consumption","posting date","01/01/19..12/31/19")/-12</t>
  </si>
  <si>
    <t>=NL("sum","Item Ledger Entry","Quantity","Item No.",$D5045,"Entry Type","Sale|Consumption","posting date","01/01/20..12/31/20")/-12</t>
  </si>
  <si>
    <t>=NL("sum","Item Ledger Entry","Quantity","Item No.",$D5045,"Entry Type","Sale|Consumption","posting date","01/01/21..12/31/21")/-12</t>
  </si>
  <si>
    <t>=NL("sum","Item Ledger Entry","Quantity","Item No.",$D5045,"Entry Type","Sale|Consumption","posting date","01/01/22..12/31/22")/-12</t>
  </si>
  <si>
    <t>=NL("sum","Item Ledger Entry","Quantity","Item No.",$D5045,"Entry Type","Sale|Consumption","posting date","01/01/23..12/31/23")/$J$7</t>
  </si>
  <si>
    <t>=AVERAGE(I5045:J5045)</t>
  </si>
  <si>
    <t>=NL(1,"item",L$9,"no.",D5045)</t>
  </si>
  <si>
    <t>=NL(1,"item",M$9,"no.",$D5045)</t>
  </si>
  <si>
    <t>=NL(1,"item","Units Per Parcel","no.",$D5045)</t>
  </si>
  <si>
    <t>=NL(1,"Prod. BOM Equipment","Fixed Prod. Time (Hours)","Production BOM No.",$D5045,"version code",$E5045,"Resource No.",O$9)</t>
  </si>
  <si>
    <t>=1/O5045</t>
  </si>
  <si>
    <t>=IF(NL(1,"Prod. BOM Equipment","Variable Prod. Time (Hours)","Production BOM No.",$D5045,"version code",$E5045,"Resource No.",$O$9)="",1,NL(1,"Prod. BOM Equipment","Variable Prod. Time (Hours)","Production BOM No.",$D5045,"version code",$E5045,"Resource No.",$O$9))</t>
  </si>
  <si>
    <t>=1/Q5045</t>
  </si>
  <si>
    <t>=R5045*N5045</t>
  </si>
  <si>
    <t>=IF(K5046=0,"hide","")</t>
  </si>
  <si>
    <t>=D5045</t>
  </si>
  <si>
    <t>=NL("sum","Production Order","Quantity","Source No.",$D5046,"Equipment Code",$L5046,"due date",F$8)/-12</t>
  </si>
  <si>
    <t>=NL("sum","Production Order","Quantity","Source No.",$D5046,"Equipment Code",$L5046,"due date",G$8)/-12</t>
  </si>
  <si>
    <t>=NL("sum","Production Order","Quantity","Source No.",$D5046,"Equipment Code",$L5046,"due date",H$8)/-12</t>
  </si>
  <si>
    <t>=NL("sum","Production Order","Quantity","Source No.",$D5046,"Equipment Code",$L5046,"due date",I$8)/-12</t>
  </si>
  <si>
    <t>=NL("sum","Production Order","Quantity","Source No.",$D5046,"Equipment Code",$L5046,"due date",J$8)/$J$7</t>
  </si>
  <si>
    <t>=AVERAGE(I5046:J5046)</t>
  </si>
  <si>
    <t>=IF(K5047=0,"hide","")</t>
  </si>
  <si>
    <t>=D5046</t>
  </si>
  <si>
    <t>=NL("sum","Production Order","Quantity","Source No.",$D5047,"Equipment Code",$L5047,"due date",F$8)/-12</t>
  </si>
  <si>
    <t>=NL("sum","Production Order","Quantity","Source No.",$D5047,"Equipment Code",$L5047,"due date",G$8)/-12</t>
  </si>
  <si>
    <t>=NL("sum","Production Order","Quantity","Source No.",$D5047,"Equipment Code",$L5047,"due date",H$8)/-12</t>
  </si>
  <si>
    <t>=NL("sum","Production Order","Quantity","Source No.",$D5047,"Equipment Code",$L5047,"due date",I$8)/-12</t>
  </si>
  <si>
    <t>=NL("sum","Production Order","Quantity","Source No.",$D5047,"Equipment Code",$L5047,"due date",J$8)/$J$7</t>
  </si>
  <si>
    <t>=AVERAGE(I5047:J5047)</t>
  </si>
  <si>
    <t>=IF(K5048=0,"hide","")</t>
  </si>
  <si>
    <t>=D5047</t>
  </si>
  <si>
    <t>=NL("sum","Production Order","Quantity","Source No.",$D5048,"Equipment Code",$L5048,"due date",F$8)/-12</t>
  </si>
  <si>
    <t>=NL("sum","Production Order","Quantity","Source No.",$D5048,"Equipment Code",$L5048,"due date",G$8)/-12</t>
  </si>
  <si>
    <t>=NL("sum","Production Order","Quantity","Source No.",$D5048,"Equipment Code",$L5048,"due date",H$8)/-12</t>
  </si>
  <si>
    <t>=NL("sum","Production Order","Quantity","Source No.",$D5048,"Equipment Code",$L5048,"due date",I$8)/-12</t>
  </si>
  <si>
    <t>=NL("sum","Production Order","Quantity","Source No.",$D5048,"Equipment Code",$L5048,"due date",J$8)/$J$7</t>
  </si>
  <si>
    <t>=AVERAGE(I5048:J5048)</t>
  </si>
  <si>
    <t>=IF(K5049=0,"hide","")</t>
  </si>
  <si>
    <t>=D5048</t>
  </si>
  <si>
    <t>=NL("sum","Production Order","Quantity","Source No.",$D5049,"Equipment Code",$L5049,"due date",F$8)/-12</t>
  </si>
  <si>
    <t>=NL("sum","Production Order","Quantity","Source No.",$D5049,"Equipment Code",$L5049,"due date",G$8)/-12</t>
  </si>
  <si>
    <t>=NL("sum","Production Order","Quantity","Source No.",$D5049,"Equipment Code",$L5049,"due date",H$8)/-12</t>
  </si>
  <si>
    <t>=NL("sum","Production Order","Quantity","Source No.",$D5049,"Equipment Code",$L5049,"due date",I$8)/-12</t>
  </si>
  <si>
    <t>=NL("sum","Production Order","Quantity","Source No.",$D5049,"Equipment Code",$L5049,"due date",J$8)/$J$7</t>
  </si>
  <si>
    <t>=AVERAGE(I5049:J5049)</t>
  </si>
  <si>
    <t>=B5046</t>
  </si>
  <si>
    <t>=B5050</t>
  </si>
  <si>
    <t>=SUM(F5046:F5050)</t>
  </si>
  <si>
    <t>=SUM(G5046:G5050)</t>
  </si>
  <si>
    <t>=SUM(H5046:H5050)</t>
  </si>
  <si>
    <t>=SUM(I5046:I5050)</t>
  </si>
  <si>
    <t>=SUM(J5046:J5050)</t>
  </si>
  <si>
    <t>=IF(K5052=0,"hide","")</t>
  </si>
  <si>
    <t>="92154"</t>
  </si>
  <si>
    <t>=NL("rows","Production BOM Version","Version Code","Production BOM No.",D5052,"status","certified")</t>
  </si>
  <si>
    <t>=NL("sum","Item Ledger Entry","Quantity","Item No.",$D5052,"Entry Type","Sale|Consumption","posting date","01/01/19..12/31/19")/-12</t>
  </si>
  <si>
    <t>=NL("sum","Item Ledger Entry","Quantity","Item No.",$D5052,"Entry Type","Sale|Consumption","posting date","01/01/20..12/31/20")/-12</t>
  </si>
  <si>
    <t>=NL("sum","Item Ledger Entry","Quantity","Item No.",$D5052,"Entry Type","Sale|Consumption","posting date","01/01/21..12/31/21")/-12</t>
  </si>
  <si>
    <t>=NL("sum","Item Ledger Entry","Quantity","Item No.",$D5052,"Entry Type","Sale|Consumption","posting date","01/01/22..12/31/22")/-12</t>
  </si>
  <si>
    <t>=NL("sum","Item Ledger Entry","Quantity","Item No.",$D5052,"Entry Type","Sale|Consumption","posting date","01/01/23..12/31/23")/$J$7</t>
  </si>
  <si>
    <t>=AVERAGE(I5052:J5052)</t>
  </si>
  <si>
    <t>=NL(1,"item",L$9,"no.",D5052)</t>
  </si>
  <si>
    <t>=NL(1,"item",M$9,"no.",$D5052)</t>
  </si>
  <si>
    <t>=NL(1,"item","Units Per Parcel","no.",$D5052)</t>
  </si>
  <si>
    <t>=NL(1,"Prod. BOM Equipment","Fixed Prod. Time (Hours)","Production BOM No.",$D5052,"version code",$E5052,"Resource No.",O$9)</t>
  </si>
  <si>
    <t>=1/O5052</t>
  </si>
  <si>
    <t>=IF(NL(1,"Prod. BOM Equipment","Variable Prod. Time (Hours)","Production BOM No.",$D5052,"version code",$E5052,"Resource No.",$O$9)="",1,NL(1,"Prod. BOM Equipment","Variable Prod. Time (Hours)","Production BOM No.",$D5052,"version code",$E5052,"Resource No.",$O$9))</t>
  </si>
  <si>
    <t>=1/Q5052</t>
  </si>
  <si>
    <t>=R5052*N5052</t>
  </si>
  <si>
    <t>=IF(K5053=0,"hide","")</t>
  </si>
  <si>
    <t>=D5052</t>
  </si>
  <si>
    <t>=NL("sum","Production Order","Quantity","Source No.",$D5053,"Equipment Code",$L5053,"due date",F$8)/-12</t>
  </si>
  <si>
    <t>=NL("sum","Production Order","Quantity","Source No.",$D5053,"Equipment Code",$L5053,"due date",G$8)/-12</t>
  </si>
  <si>
    <t>=NL("sum","Production Order","Quantity","Source No.",$D5053,"Equipment Code",$L5053,"due date",H$8)/-12</t>
  </si>
  <si>
    <t>=NL("sum","Production Order","Quantity","Source No.",$D5053,"Equipment Code",$L5053,"due date",I$8)/-12</t>
  </si>
  <si>
    <t>=NL("sum","Production Order","Quantity","Source No.",$D5053,"Equipment Code",$L5053,"due date",J$8)/$J$7</t>
  </si>
  <si>
    <t>=AVERAGE(I5053:J5053)</t>
  </si>
  <si>
    <t>=IF(K5054=0,"hide","")</t>
  </si>
  <si>
    <t>=D5053</t>
  </si>
  <si>
    <t>=NL("sum","Production Order","Quantity","Source No.",$D5054,"Equipment Code",$L5054,"due date",F$8)/-12</t>
  </si>
  <si>
    <t>=NL("sum","Production Order","Quantity","Source No.",$D5054,"Equipment Code",$L5054,"due date",G$8)/-12</t>
  </si>
  <si>
    <t>=NL("sum","Production Order","Quantity","Source No.",$D5054,"Equipment Code",$L5054,"due date",H$8)/-12</t>
  </si>
  <si>
    <t>=NL("sum","Production Order","Quantity","Source No.",$D5054,"Equipment Code",$L5054,"due date",I$8)/-12</t>
  </si>
  <si>
    <t>=NL("sum","Production Order","Quantity","Source No.",$D5054,"Equipment Code",$L5054,"due date",J$8)/$J$7</t>
  </si>
  <si>
    <t>=AVERAGE(I5054:J5054)</t>
  </si>
  <si>
    <t>=IF(K5055=0,"hide","")</t>
  </si>
  <si>
    <t>=D5054</t>
  </si>
  <si>
    <t>=NL("sum","Production Order","Quantity","Source No.",$D5055,"Equipment Code",$L5055,"due date",F$8)/-12</t>
  </si>
  <si>
    <t>=NL("sum","Production Order","Quantity","Source No.",$D5055,"Equipment Code",$L5055,"due date",G$8)/-12</t>
  </si>
  <si>
    <t>=NL("sum","Production Order","Quantity","Source No.",$D5055,"Equipment Code",$L5055,"due date",H$8)/-12</t>
  </si>
  <si>
    <t>=NL("sum","Production Order","Quantity","Source No.",$D5055,"Equipment Code",$L5055,"due date",I$8)/-12</t>
  </si>
  <si>
    <t>=NL("sum","Production Order","Quantity","Source No.",$D5055,"Equipment Code",$L5055,"due date",J$8)/$J$7</t>
  </si>
  <si>
    <t>=AVERAGE(I5055:J5055)</t>
  </si>
  <si>
    <t>=IF(K5056=0,"hide","")</t>
  </si>
  <si>
    <t>=D5055</t>
  </si>
  <si>
    <t>=NL("sum","Production Order","Quantity","Source No.",$D5056,"Equipment Code",$L5056,"due date",F$8)/-12</t>
  </si>
  <si>
    <t>=NL("sum","Production Order","Quantity","Source No.",$D5056,"Equipment Code",$L5056,"due date",G$8)/-12</t>
  </si>
  <si>
    <t>=NL("sum","Production Order","Quantity","Source No.",$D5056,"Equipment Code",$L5056,"due date",H$8)/-12</t>
  </si>
  <si>
    <t>=NL("sum","Production Order","Quantity","Source No.",$D5056,"Equipment Code",$L5056,"due date",I$8)/-12</t>
  </si>
  <si>
    <t>=NL("sum","Production Order","Quantity","Source No.",$D5056,"Equipment Code",$L5056,"due date",J$8)/$J$7</t>
  </si>
  <si>
    <t>=AVERAGE(I5056:J5056)</t>
  </si>
  <si>
    <t>=B5053</t>
  </si>
  <si>
    <t>=B5057</t>
  </si>
  <si>
    <t>=SUM(F5053:F5057)</t>
  </si>
  <si>
    <t>=SUM(G5053:G5057)</t>
  </si>
  <si>
    <t>=SUM(H5053:H5057)</t>
  </si>
  <si>
    <t>=SUM(I5053:I5057)</t>
  </si>
  <si>
    <t>=SUM(J5053:J5057)</t>
  </si>
  <si>
    <t>=IF(K5059=0,"hide","")</t>
  </si>
  <si>
    <t>="92164"</t>
  </si>
  <si>
    <t>=NL("rows","Production BOM Version","Version Code","Production BOM No.",D5059,"status","certified")</t>
  </si>
  <si>
    <t>=NL("sum","Item Ledger Entry","Quantity","Item No.",$D5059,"Entry Type","Sale|Consumption","posting date","01/01/19..12/31/19")/-12</t>
  </si>
  <si>
    <t>=NL("sum","Item Ledger Entry","Quantity","Item No.",$D5059,"Entry Type","Sale|Consumption","posting date","01/01/20..12/31/20")/-12</t>
  </si>
  <si>
    <t>=NL("sum","Item Ledger Entry","Quantity","Item No.",$D5059,"Entry Type","Sale|Consumption","posting date","01/01/21..12/31/21")/-12</t>
  </si>
  <si>
    <t>=NL("sum","Item Ledger Entry","Quantity","Item No.",$D5059,"Entry Type","Sale|Consumption","posting date","01/01/22..12/31/22")/-12</t>
  </si>
  <si>
    <t>=NL("sum","Item Ledger Entry","Quantity","Item No.",$D5059,"Entry Type","Sale|Consumption","posting date","01/01/23..12/31/23")/$J$7</t>
  </si>
  <si>
    <t>=AVERAGE(I5059:J5059)</t>
  </si>
  <si>
    <t>=NL(1,"item",L$9,"no.",D5059)</t>
  </si>
  <si>
    <t>=NL(1,"item",M$9,"no.",$D5059)</t>
  </si>
  <si>
    <t>=NL(1,"item","Units Per Parcel","no.",$D5059)</t>
  </si>
  <si>
    <t>=NL(1,"Prod. BOM Equipment","Fixed Prod. Time (Hours)","Production BOM No.",$D5059,"version code",$E5059,"Resource No.",O$9)</t>
  </si>
  <si>
    <t>=1/O5059</t>
  </si>
  <si>
    <t>=IF(NL(1,"Prod. BOM Equipment","Variable Prod. Time (Hours)","Production BOM No.",$D5059,"version code",$E5059,"Resource No.",$O$9)="",1,NL(1,"Prod. BOM Equipment","Variable Prod. Time (Hours)","Production BOM No.",$D5059,"version code",$E5059,"Resource No.",$O$9))</t>
  </si>
  <si>
    <t>=1/Q5059</t>
  </si>
  <si>
    <t>=R5059*N5059</t>
  </si>
  <si>
    <t>=IF(K5060=0,"hide","")</t>
  </si>
  <si>
    <t>=D5059</t>
  </si>
  <si>
    <t>=NL("sum","Production Order","Quantity","Source No.",$D5060,"Equipment Code",$L5060,"due date",F$8)/-12</t>
  </si>
  <si>
    <t>=NL("sum","Production Order","Quantity","Source No.",$D5060,"Equipment Code",$L5060,"due date",G$8)/-12</t>
  </si>
  <si>
    <t>=NL("sum","Production Order","Quantity","Source No.",$D5060,"Equipment Code",$L5060,"due date",H$8)/-12</t>
  </si>
  <si>
    <t>=NL("sum","Production Order","Quantity","Source No.",$D5060,"Equipment Code",$L5060,"due date",I$8)/-12</t>
  </si>
  <si>
    <t>=NL("sum","Production Order","Quantity","Source No.",$D5060,"Equipment Code",$L5060,"due date",J$8)/$J$7</t>
  </si>
  <si>
    <t>=AVERAGE(I5060:J5060)</t>
  </si>
  <si>
    <t>=IF(K5061=0,"hide","")</t>
  </si>
  <si>
    <t>=D5060</t>
  </si>
  <si>
    <t>=NL("sum","Production Order","Quantity","Source No.",$D5061,"Equipment Code",$L5061,"due date",F$8)/-12</t>
  </si>
  <si>
    <t>=NL("sum","Production Order","Quantity","Source No.",$D5061,"Equipment Code",$L5061,"due date",G$8)/-12</t>
  </si>
  <si>
    <t>=NL("sum","Production Order","Quantity","Source No.",$D5061,"Equipment Code",$L5061,"due date",H$8)/-12</t>
  </si>
  <si>
    <t>=NL("sum","Production Order","Quantity","Source No.",$D5061,"Equipment Code",$L5061,"due date",I$8)/-12</t>
  </si>
  <si>
    <t>=NL("sum","Production Order","Quantity","Source No.",$D5061,"Equipment Code",$L5061,"due date",J$8)/$J$7</t>
  </si>
  <si>
    <t>=AVERAGE(I5061:J5061)</t>
  </si>
  <si>
    <t>=IF(K5062=0,"hide","")</t>
  </si>
  <si>
    <t>=D5061</t>
  </si>
  <si>
    <t>=NL("sum","Production Order","Quantity","Source No.",$D5062,"Equipment Code",$L5062,"due date",F$8)/-12</t>
  </si>
  <si>
    <t>=NL("sum","Production Order","Quantity","Source No.",$D5062,"Equipment Code",$L5062,"due date",G$8)/-12</t>
  </si>
  <si>
    <t>=NL("sum","Production Order","Quantity","Source No.",$D5062,"Equipment Code",$L5062,"due date",H$8)/-12</t>
  </si>
  <si>
    <t>=NL("sum","Production Order","Quantity","Source No.",$D5062,"Equipment Code",$L5062,"due date",I$8)/-12</t>
  </si>
  <si>
    <t>=NL("sum","Production Order","Quantity","Source No.",$D5062,"Equipment Code",$L5062,"due date",J$8)/$J$7</t>
  </si>
  <si>
    <t>=AVERAGE(I5062:J5062)</t>
  </si>
  <si>
    <t>=IF(K5063=0,"hide","")</t>
  </si>
  <si>
    <t>=D5062</t>
  </si>
  <si>
    <t>=NL("sum","Production Order","Quantity","Source No.",$D5063,"Equipment Code",$L5063,"due date",F$8)/-12</t>
  </si>
  <si>
    <t>=NL("sum","Production Order","Quantity","Source No.",$D5063,"Equipment Code",$L5063,"due date",G$8)/-12</t>
  </si>
  <si>
    <t>=NL("sum","Production Order","Quantity","Source No.",$D5063,"Equipment Code",$L5063,"due date",H$8)/-12</t>
  </si>
  <si>
    <t>=NL("sum","Production Order","Quantity","Source No.",$D5063,"Equipment Code",$L5063,"due date",I$8)/-12</t>
  </si>
  <si>
    <t>=NL("sum","Production Order","Quantity","Source No.",$D5063,"Equipment Code",$L5063,"due date",J$8)/$J$7</t>
  </si>
  <si>
    <t>=AVERAGE(I5063:J5063)</t>
  </si>
  <si>
    <t>=B5060</t>
  </si>
  <si>
    <t>=B5064</t>
  </si>
  <si>
    <t>=SUM(F5060:F5064)</t>
  </si>
  <si>
    <t>=SUM(G5060:G5064)</t>
  </si>
  <si>
    <t>=SUM(H5060:H5064)</t>
  </si>
  <si>
    <t>=SUM(I5060:I5064)</t>
  </si>
  <si>
    <t>=SUM(J5060:J5064)</t>
  </si>
  <si>
    <t>=IF(K5066=0,"hide","")</t>
  </si>
  <si>
    <t>="92813"</t>
  </si>
  <si>
    <t>=NL("rows","Production BOM Version","Version Code","Production BOM No.",D5066,"status","certified")</t>
  </si>
  <si>
    <t>=NL("sum","Item Ledger Entry","Quantity","Item No.",$D5066,"Entry Type","Sale|Consumption","posting date","01/01/19..12/31/19")/-12</t>
  </si>
  <si>
    <t>=NL("sum","Item Ledger Entry","Quantity","Item No.",$D5066,"Entry Type","Sale|Consumption","posting date","01/01/20..12/31/20")/-12</t>
  </si>
  <si>
    <t>=NL("sum","Item Ledger Entry","Quantity","Item No.",$D5066,"Entry Type","Sale|Consumption","posting date","01/01/21..12/31/21")/-12</t>
  </si>
  <si>
    <t>=NL("sum","Item Ledger Entry","Quantity","Item No.",$D5066,"Entry Type","Sale|Consumption","posting date","01/01/22..12/31/22")/-12</t>
  </si>
  <si>
    <t>=NL("sum","Item Ledger Entry","Quantity","Item No.",$D5066,"Entry Type","Sale|Consumption","posting date","01/01/23..12/31/23")/$J$7</t>
  </si>
  <si>
    <t>=AVERAGE(I5066:J5066)</t>
  </si>
  <si>
    <t>=NL(1,"item",L$9,"no.",D5066)</t>
  </si>
  <si>
    <t>=NL(1,"item",M$9,"no.",$D5066)</t>
  </si>
  <si>
    <t>=NL(1,"item","Units Per Parcel","no.",$D5066)</t>
  </si>
  <si>
    <t>=NL(1,"Prod. BOM Equipment","Fixed Prod. Time (Hours)","Production BOM No.",$D5066,"version code",$E5066,"Resource No.",O$9)</t>
  </si>
  <si>
    <t>=1/O5066</t>
  </si>
  <si>
    <t>=IF(NL(1,"Prod. BOM Equipment","Variable Prod. Time (Hours)","Production BOM No.",$D5066,"version code",$E5066,"Resource No.",$O$9)="",1,NL(1,"Prod. BOM Equipment","Variable Prod. Time (Hours)","Production BOM No.",$D5066,"version code",$E5066,"Resource No.",$O$9))</t>
  </si>
  <si>
    <t>=1/Q5066</t>
  </si>
  <si>
    <t>=R5066*N5066</t>
  </si>
  <si>
    <t>=IF(K5067=0,"hide","")</t>
  </si>
  <si>
    <t>=D5066</t>
  </si>
  <si>
    <t>=NL("sum","Production Order","Quantity","Source No.",$D5067,"Equipment Code",$L5067,"due date",F$8)/-12</t>
  </si>
  <si>
    <t>=NL("sum","Production Order","Quantity","Source No.",$D5067,"Equipment Code",$L5067,"due date",G$8)/-12</t>
  </si>
  <si>
    <t>=NL("sum","Production Order","Quantity","Source No.",$D5067,"Equipment Code",$L5067,"due date",H$8)/-12</t>
  </si>
  <si>
    <t>=NL("sum","Production Order","Quantity","Source No.",$D5067,"Equipment Code",$L5067,"due date",I$8)/-12</t>
  </si>
  <si>
    <t>=NL("sum","Production Order","Quantity","Source No.",$D5067,"Equipment Code",$L5067,"due date",J$8)/$J$7</t>
  </si>
  <si>
    <t>=AVERAGE(I5067:J5067)</t>
  </si>
  <si>
    <t>=IF(K5068=0,"hide","")</t>
  </si>
  <si>
    <t>=D5067</t>
  </si>
  <si>
    <t>=NL("sum","Production Order","Quantity","Source No.",$D5068,"Equipment Code",$L5068,"due date",F$8)/-12</t>
  </si>
  <si>
    <t>=NL("sum","Production Order","Quantity","Source No.",$D5068,"Equipment Code",$L5068,"due date",G$8)/-12</t>
  </si>
  <si>
    <t>=NL("sum","Production Order","Quantity","Source No.",$D5068,"Equipment Code",$L5068,"due date",H$8)/-12</t>
  </si>
  <si>
    <t>=NL("sum","Production Order","Quantity","Source No.",$D5068,"Equipment Code",$L5068,"due date",I$8)/-12</t>
  </si>
  <si>
    <t>=NL("sum","Production Order","Quantity","Source No.",$D5068,"Equipment Code",$L5068,"due date",J$8)/$J$7</t>
  </si>
  <si>
    <t>=AVERAGE(I5068:J5068)</t>
  </si>
  <si>
    <t>=IF(K5069=0,"hide","")</t>
  </si>
  <si>
    <t>=D5068</t>
  </si>
  <si>
    <t>=NL("sum","Production Order","Quantity","Source No.",$D5069,"Equipment Code",$L5069,"due date",F$8)/-12</t>
  </si>
  <si>
    <t>=NL("sum","Production Order","Quantity","Source No.",$D5069,"Equipment Code",$L5069,"due date",G$8)/-12</t>
  </si>
  <si>
    <t>=NL("sum","Production Order","Quantity","Source No.",$D5069,"Equipment Code",$L5069,"due date",H$8)/-12</t>
  </si>
  <si>
    <t>=NL("sum","Production Order","Quantity","Source No.",$D5069,"Equipment Code",$L5069,"due date",I$8)/-12</t>
  </si>
  <si>
    <t>=NL("sum","Production Order","Quantity","Source No.",$D5069,"Equipment Code",$L5069,"due date",J$8)/$J$7</t>
  </si>
  <si>
    <t>=AVERAGE(I5069:J5069)</t>
  </si>
  <si>
    <t>=IF(K5070=0,"hide","")</t>
  </si>
  <si>
    <t>=D5069</t>
  </si>
  <si>
    <t>=NL("sum","Production Order","Quantity","Source No.",$D5070,"Equipment Code",$L5070,"due date",F$8)/-12</t>
  </si>
  <si>
    <t>=NL("sum","Production Order","Quantity","Source No.",$D5070,"Equipment Code",$L5070,"due date",G$8)/-12</t>
  </si>
  <si>
    <t>=NL("sum","Production Order","Quantity","Source No.",$D5070,"Equipment Code",$L5070,"due date",H$8)/-12</t>
  </si>
  <si>
    <t>=NL("sum","Production Order","Quantity","Source No.",$D5070,"Equipment Code",$L5070,"due date",I$8)/-12</t>
  </si>
  <si>
    <t>=NL("sum","Production Order","Quantity","Source No.",$D5070,"Equipment Code",$L5070,"due date",J$8)/$J$7</t>
  </si>
  <si>
    <t>=AVERAGE(I5070:J5070)</t>
  </si>
  <si>
    <t>=B5067</t>
  </si>
  <si>
    <t>=B5071</t>
  </si>
  <si>
    <t>=SUM(F5067:F5071)</t>
  </si>
  <si>
    <t>=SUM(G5067:G5071)</t>
  </si>
  <si>
    <t>=SUM(H5067:H5071)</t>
  </si>
  <si>
    <t>=SUM(I5067:I5071)</t>
  </si>
  <si>
    <t>=SUM(J5067:J5071)</t>
  </si>
  <si>
    <t>=IF(K5073=0,"hide","")</t>
  </si>
  <si>
    <t>="92830"</t>
  </si>
  <si>
    <t>=NL("rows","Production BOM Version","Version Code","Production BOM No.",D5073,"status","certified")</t>
  </si>
  <si>
    <t>=NL("sum","Item Ledger Entry","Quantity","Item No.",$D5073,"Entry Type","Sale|Consumption","posting date","01/01/19..12/31/19")/-12</t>
  </si>
  <si>
    <t>=NL("sum","Item Ledger Entry","Quantity","Item No.",$D5073,"Entry Type","Sale|Consumption","posting date","01/01/20..12/31/20")/-12</t>
  </si>
  <si>
    <t>=NL("sum","Item Ledger Entry","Quantity","Item No.",$D5073,"Entry Type","Sale|Consumption","posting date","01/01/21..12/31/21")/-12</t>
  </si>
  <si>
    <t>=NL("sum","Item Ledger Entry","Quantity","Item No.",$D5073,"Entry Type","Sale|Consumption","posting date","01/01/22..12/31/22")/-12</t>
  </si>
  <si>
    <t>=NL("sum","Item Ledger Entry","Quantity","Item No.",$D5073,"Entry Type","Sale|Consumption","posting date","01/01/23..12/31/23")/$J$7</t>
  </si>
  <si>
    <t>=AVERAGE(I5073:J5073)</t>
  </si>
  <si>
    <t>=NL(1,"item",L$9,"no.",D5073)</t>
  </si>
  <si>
    <t>=NL(1,"item",M$9,"no.",$D5073)</t>
  </si>
  <si>
    <t>=NL(1,"item","Units Per Parcel","no.",$D5073)</t>
  </si>
  <si>
    <t>=NL(1,"Prod. BOM Equipment","Fixed Prod. Time (Hours)","Production BOM No.",$D5073,"version code",$E5073,"Resource No.",O$9)</t>
  </si>
  <si>
    <t>=1/O5073</t>
  </si>
  <si>
    <t>=IF(NL(1,"Prod. BOM Equipment","Variable Prod. Time (Hours)","Production BOM No.",$D5073,"version code",$E5073,"Resource No.",$O$9)="",1,NL(1,"Prod. BOM Equipment","Variable Prod. Time (Hours)","Production BOM No.",$D5073,"version code",$E5073,"Resource No.",$O$9))</t>
  </si>
  <si>
    <t>=1/Q5073</t>
  </si>
  <si>
    <t>=R5073*N5073</t>
  </si>
  <si>
    <t>=IF(K5074=0,"hide","")</t>
  </si>
  <si>
    <t>=D5073</t>
  </si>
  <si>
    <t>=NL("sum","Production Order","Quantity","Source No.",$D5074,"Equipment Code",$L5074,"due date",F$8)/-12</t>
  </si>
  <si>
    <t>=NL("sum","Production Order","Quantity","Source No.",$D5074,"Equipment Code",$L5074,"due date",G$8)/-12</t>
  </si>
  <si>
    <t>=NL("sum","Production Order","Quantity","Source No.",$D5074,"Equipment Code",$L5074,"due date",H$8)/-12</t>
  </si>
  <si>
    <t>=NL("sum","Production Order","Quantity","Source No.",$D5074,"Equipment Code",$L5074,"due date",I$8)/-12</t>
  </si>
  <si>
    <t>=NL("sum","Production Order","Quantity","Source No.",$D5074,"Equipment Code",$L5074,"due date",J$8)/$J$7</t>
  </si>
  <si>
    <t>=AVERAGE(I5074:J5074)</t>
  </si>
  <si>
    <t>=IF(K5075=0,"hide","")</t>
  </si>
  <si>
    <t>=D5074</t>
  </si>
  <si>
    <t>=NL("sum","Production Order","Quantity","Source No.",$D5075,"Equipment Code",$L5075,"due date",F$8)/-12</t>
  </si>
  <si>
    <t>=NL("sum","Production Order","Quantity","Source No.",$D5075,"Equipment Code",$L5075,"due date",G$8)/-12</t>
  </si>
  <si>
    <t>=NL("sum","Production Order","Quantity","Source No.",$D5075,"Equipment Code",$L5075,"due date",H$8)/-12</t>
  </si>
  <si>
    <t>=NL("sum","Production Order","Quantity","Source No.",$D5075,"Equipment Code",$L5075,"due date",I$8)/-12</t>
  </si>
  <si>
    <t>=NL("sum","Production Order","Quantity","Source No.",$D5075,"Equipment Code",$L5075,"due date",J$8)/$J$7</t>
  </si>
  <si>
    <t>=AVERAGE(I5075:J5075)</t>
  </si>
  <si>
    <t>=IF(K5076=0,"hide","")</t>
  </si>
  <si>
    <t>=D5075</t>
  </si>
  <si>
    <t>=NL("sum","Production Order","Quantity","Source No.",$D5076,"Equipment Code",$L5076,"due date",F$8)/-12</t>
  </si>
  <si>
    <t>=NL("sum","Production Order","Quantity","Source No.",$D5076,"Equipment Code",$L5076,"due date",G$8)/-12</t>
  </si>
  <si>
    <t>=NL("sum","Production Order","Quantity","Source No.",$D5076,"Equipment Code",$L5076,"due date",H$8)/-12</t>
  </si>
  <si>
    <t>=NL("sum","Production Order","Quantity","Source No.",$D5076,"Equipment Code",$L5076,"due date",I$8)/-12</t>
  </si>
  <si>
    <t>=NL("sum","Production Order","Quantity","Source No.",$D5076,"Equipment Code",$L5076,"due date",J$8)/$J$7</t>
  </si>
  <si>
    <t>=AVERAGE(I5076:J5076)</t>
  </si>
  <si>
    <t>=IF(K5077=0,"hide","")</t>
  </si>
  <si>
    <t>=D5076</t>
  </si>
  <si>
    <t>=NL("sum","Production Order","Quantity","Source No.",$D5077,"Equipment Code",$L5077,"due date",F$8)/-12</t>
  </si>
  <si>
    <t>=NL("sum","Production Order","Quantity","Source No.",$D5077,"Equipment Code",$L5077,"due date",G$8)/-12</t>
  </si>
  <si>
    <t>=NL("sum","Production Order","Quantity","Source No.",$D5077,"Equipment Code",$L5077,"due date",H$8)/-12</t>
  </si>
  <si>
    <t>=NL("sum","Production Order","Quantity","Source No.",$D5077,"Equipment Code",$L5077,"due date",I$8)/-12</t>
  </si>
  <si>
    <t>=NL("sum","Production Order","Quantity","Source No.",$D5077,"Equipment Code",$L5077,"due date",J$8)/$J$7</t>
  </si>
  <si>
    <t>=AVERAGE(I5077:J5077)</t>
  </si>
  <si>
    <t>=B5074</t>
  </si>
  <si>
    <t>=B5078</t>
  </si>
  <si>
    <t>=SUM(F5074:F5078)</t>
  </si>
  <si>
    <t>=SUM(G5074:G5078)</t>
  </si>
  <si>
    <t>=SUM(H5074:H5078)</t>
  </si>
  <si>
    <t>=SUM(I5074:I5078)</t>
  </si>
  <si>
    <t>=SUM(J5074:J5078)</t>
  </si>
  <si>
    <t>=IF(K5080=0,"hide","")</t>
  </si>
  <si>
    <t>="92858"</t>
  </si>
  <si>
    <t>=NL("rows","Production BOM Version","Version Code","Production BOM No.",D5080,"status","certified")</t>
  </si>
  <si>
    <t>=NL("sum","Item Ledger Entry","Quantity","Item No.",$D5080,"Entry Type","Sale|Consumption","posting date","01/01/19..12/31/19")/-12</t>
  </si>
  <si>
    <t>=NL("sum","Item Ledger Entry","Quantity","Item No.",$D5080,"Entry Type","Sale|Consumption","posting date","01/01/20..12/31/20")/-12</t>
  </si>
  <si>
    <t>=NL("sum","Item Ledger Entry","Quantity","Item No.",$D5080,"Entry Type","Sale|Consumption","posting date","01/01/21..12/31/21")/-12</t>
  </si>
  <si>
    <t>=NL("sum","Item Ledger Entry","Quantity","Item No.",$D5080,"Entry Type","Sale|Consumption","posting date","01/01/22..12/31/22")/-12</t>
  </si>
  <si>
    <t>=NL("sum","Item Ledger Entry","Quantity","Item No.",$D5080,"Entry Type","Sale|Consumption","posting date","01/01/23..12/31/23")/$J$7</t>
  </si>
  <si>
    <t>=AVERAGE(I5080:J5080)</t>
  </si>
  <si>
    <t>=NL(1,"item",L$9,"no.",D5080)</t>
  </si>
  <si>
    <t>=NL(1,"item",M$9,"no.",$D5080)</t>
  </si>
  <si>
    <t>=NL(1,"item","Units Per Parcel","no.",$D5080)</t>
  </si>
  <si>
    <t>=NL(1,"Prod. BOM Equipment","Fixed Prod. Time (Hours)","Production BOM No.",$D5080,"version code",$E5080,"Resource No.",O$9)</t>
  </si>
  <si>
    <t>=1/O5080</t>
  </si>
  <si>
    <t>=IF(NL(1,"Prod. BOM Equipment","Variable Prod. Time (Hours)","Production BOM No.",$D5080,"version code",$E5080,"Resource No.",$O$9)="",1,NL(1,"Prod. BOM Equipment","Variable Prod. Time (Hours)","Production BOM No.",$D5080,"version code",$E5080,"Resource No.",$O$9))</t>
  </si>
  <si>
    <t>=1/Q5080</t>
  </si>
  <si>
    <t>=R5080*N5080</t>
  </si>
  <si>
    <t>=IF(K5081=0,"hide","")</t>
  </si>
  <si>
    <t>=D5080</t>
  </si>
  <si>
    <t>=NL("sum","Production Order","Quantity","Source No.",$D5081,"Equipment Code",$L5081,"due date",F$8)/-12</t>
  </si>
  <si>
    <t>=NL("sum","Production Order","Quantity","Source No.",$D5081,"Equipment Code",$L5081,"due date",G$8)/-12</t>
  </si>
  <si>
    <t>=NL("sum","Production Order","Quantity","Source No.",$D5081,"Equipment Code",$L5081,"due date",H$8)/-12</t>
  </si>
  <si>
    <t>=NL("sum","Production Order","Quantity","Source No.",$D5081,"Equipment Code",$L5081,"due date",I$8)/-12</t>
  </si>
  <si>
    <t>=NL("sum","Production Order","Quantity","Source No.",$D5081,"Equipment Code",$L5081,"due date",J$8)/$J$7</t>
  </si>
  <si>
    <t>=AVERAGE(I5081:J5081)</t>
  </si>
  <si>
    <t>=IF(K5082=0,"hide","")</t>
  </si>
  <si>
    <t>=D5081</t>
  </si>
  <si>
    <t>=NL("sum","Production Order","Quantity","Source No.",$D5082,"Equipment Code",$L5082,"due date",F$8)/-12</t>
  </si>
  <si>
    <t>=NL("sum","Production Order","Quantity","Source No.",$D5082,"Equipment Code",$L5082,"due date",G$8)/-12</t>
  </si>
  <si>
    <t>=NL("sum","Production Order","Quantity","Source No.",$D5082,"Equipment Code",$L5082,"due date",H$8)/-12</t>
  </si>
  <si>
    <t>=NL("sum","Production Order","Quantity","Source No.",$D5082,"Equipment Code",$L5082,"due date",I$8)/-12</t>
  </si>
  <si>
    <t>=NL("sum","Production Order","Quantity","Source No.",$D5082,"Equipment Code",$L5082,"due date",J$8)/$J$7</t>
  </si>
  <si>
    <t>=AVERAGE(I5082:J5082)</t>
  </si>
  <si>
    <t>=IF(K5083=0,"hide","")</t>
  </si>
  <si>
    <t>=D5082</t>
  </si>
  <si>
    <t>=NL("sum","Production Order","Quantity","Source No.",$D5083,"Equipment Code",$L5083,"due date",F$8)/-12</t>
  </si>
  <si>
    <t>=NL("sum","Production Order","Quantity","Source No.",$D5083,"Equipment Code",$L5083,"due date",G$8)/-12</t>
  </si>
  <si>
    <t>=NL("sum","Production Order","Quantity","Source No.",$D5083,"Equipment Code",$L5083,"due date",H$8)/-12</t>
  </si>
  <si>
    <t>=NL("sum","Production Order","Quantity","Source No.",$D5083,"Equipment Code",$L5083,"due date",I$8)/-12</t>
  </si>
  <si>
    <t>=NL("sum","Production Order","Quantity","Source No.",$D5083,"Equipment Code",$L5083,"due date",J$8)/$J$7</t>
  </si>
  <si>
    <t>=AVERAGE(I5083:J5083)</t>
  </si>
  <si>
    <t>=IF(K5084=0,"hide","")</t>
  </si>
  <si>
    <t>=D5083</t>
  </si>
  <si>
    <t>=NL("sum","Production Order","Quantity","Source No.",$D5084,"Equipment Code",$L5084,"due date",F$8)/-12</t>
  </si>
  <si>
    <t>=NL("sum","Production Order","Quantity","Source No.",$D5084,"Equipment Code",$L5084,"due date",G$8)/-12</t>
  </si>
  <si>
    <t>=NL("sum","Production Order","Quantity","Source No.",$D5084,"Equipment Code",$L5084,"due date",H$8)/-12</t>
  </si>
  <si>
    <t>=NL("sum","Production Order","Quantity","Source No.",$D5084,"Equipment Code",$L5084,"due date",I$8)/-12</t>
  </si>
  <si>
    <t>=NL("sum","Production Order","Quantity","Source No.",$D5084,"Equipment Code",$L5084,"due date",J$8)/$J$7</t>
  </si>
  <si>
    <t>=AVERAGE(I5084:J5084)</t>
  </si>
  <si>
    <t>=B5081</t>
  </si>
  <si>
    <t>=B5085</t>
  </si>
  <si>
    <t>=SUM(F5081:F5085)</t>
  </si>
  <si>
    <t>=SUM(G5081:G5085)</t>
  </si>
  <si>
    <t>=SUM(H5081:H5085)</t>
  </si>
  <si>
    <t>=SUM(I5081:I5085)</t>
  </si>
  <si>
    <t>=SUM(J5081:J5085)</t>
  </si>
  <si>
    <t>=IF(K5087=0,"hide","")</t>
  </si>
  <si>
    <t>="93116"</t>
  </si>
  <si>
    <t>=NL("rows","Production BOM Version","Version Code","Production BOM No.",D5087,"status","certified")</t>
  </si>
  <si>
    <t>=NL("sum","Item Ledger Entry","Quantity","Item No.",$D5087,"Entry Type","Sale|Consumption","posting date","01/01/19..12/31/19")/-12</t>
  </si>
  <si>
    <t>=NL("sum","Item Ledger Entry","Quantity","Item No.",$D5087,"Entry Type","Sale|Consumption","posting date","01/01/20..12/31/20")/-12</t>
  </si>
  <si>
    <t>=NL("sum","Item Ledger Entry","Quantity","Item No.",$D5087,"Entry Type","Sale|Consumption","posting date","01/01/21..12/31/21")/-12</t>
  </si>
  <si>
    <t>=NL("sum","Item Ledger Entry","Quantity","Item No.",$D5087,"Entry Type","Sale|Consumption","posting date","01/01/22..12/31/22")/-12</t>
  </si>
  <si>
    <t>=NL("sum","Item Ledger Entry","Quantity","Item No.",$D5087,"Entry Type","Sale|Consumption","posting date","01/01/23..12/31/23")/$J$7</t>
  </si>
  <si>
    <t>=AVERAGE(I5087:J5087)</t>
  </si>
  <si>
    <t>=NL(1,"item",L$9,"no.",D5087)</t>
  </si>
  <si>
    <t>=NL(1,"item",M$9,"no.",$D5087)</t>
  </si>
  <si>
    <t>=NL(1,"item","Units Per Parcel","no.",$D5087)</t>
  </si>
  <si>
    <t>=NL(1,"Prod. BOM Equipment","Fixed Prod. Time (Hours)","Production BOM No.",$D5087,"version code",$E5087,"Resource No.",O$9)</t>
  </si>
  <si>
    <t>=1/O5087</t>
  </si>
  <si>
    <t>=IF(NL(1,"Prod. BOM Equipment","Variable Prod. Time (Hours)","Production BOM No.",$D5087,"version code",$E5087,"Resource No.",$O$9)="",1,NL(1,"Prod. BOM Equipment","Variable Prod. Time (Hours)","Production BOM No.",$D5087,"version code",$E5087,"Resource No.",$O$9))</t>
  </si>
  <si>
    <t>=1/Q5087</t>
  </si>
  <si>
    <t>=R5087*N5087</t>
  </si>
  <si>
    <t>=IF(K5088=0,"hide","")</t>
  </si>
  <si>
    <t>=D5087</t>
  </si>
  <si>
    <t>=NL("sum","Production Order","Quantity","Source No.",$D5088,"Equipment Code",$L5088,"due date",F$8)/-12</t>
  </si>
  <si>
    <t>=NL("sum","Production Order","Quantity","Source No.",$D5088,"Equipment Code",$L5088,"due date",G$8)/-12</t>
  </si>
  <si>
    <t>=NL("sum","Production Order","Quantity","Source No.",$D5088,"Equipment Code",$L5088,"due date",H$8)/-12</t>
  </si>
  <si>
    <t>=NL("sum","Production Order","Quantity","Source No.",$D5088,"Equipment Code",$L5088,"due date",I$8)/-12</t>
  </si>
  <si>
    <t>=NL("sum","Production Order","Quantity","Source No.",$D5088,"Equipment Code",$L5088,"due date",J$8)/$J$7</t>
  </si>
  <si>
    <t>=AVERAGE(I5088:J5088)</t>
  </si>
  <si>
    <t>=IF(K5089=0,"hide","")</t>
  </si>
  <si>
    <t>=D5088</t>
  </si>
  <si>
    <t>=NL("sum","Production Order","Quantity","Source No.",$D5089,"Equipment Code",$L5089,"due date",F$8)/-12</t>
  </si>
  <si>
    <t>=NL("sum","Production Order","Quantity","Source No.",$D5089,"Equipment Code",$L5089,"due date",G$8)/-12</t>
  </si>
  <si>
    <t>=NL("sum","Production Order","Quantity","Source No.",$D5089,"Equipment Code",$L5089,"due date",H$8)/-12</t>
  </si>
  <si>
    <t>=NL("sum","Production Order","Quantity","Source No.",$D5089,"Equipment Code",$L5089,"due date",I$8)/-12</t>
  </si>
  <si>
    <t>=NL("sum","Production Order","Quantity","Source No.",$D5089,"Equipment Code",$L5089,"due date",J$8)/$J$7</t>
  </si>
  <si>
    <t>=AVERAGE(I5089:J5089)</t>
  </si>
  <si>
    <t>=IF(K5090=0,"hide","")</t>
  </si>
  <si>
    <t>=D5089</t>
  </si>
  <si>
    <t>=NL("sum","Production Order","Quantity","Source No.",$D5090,"Equipment Code",$L5090,"due date",F$8)/-12</t>
  </si>
  <si>
    <t>=NL("sum","Production Order","Quantity","Source No.",$D5090,"Equipment Code",$L5090,"due date",G$8)/-12</t>
  </si>
  <si>
    <t>=NL("sum","Production Order","Quantity","Source No.",$D5090,"Equipment Code",$L5090,"due date",H$8)/-12</t>
  </si>
  <si>
    <t>=NL("sum","Production Order","Quantity","Source No.",$D5090,"Equipment Code",$L5090,"due date",I$8)/-12</t>
  </si>
  <si>
    <t>=NL("sum","Production Order","Quantity","Source No.",$D5090,"Equipment Code",$L5090,"due date",J$8)/$J$7</t>
  </si>
  <si>
    <t>=AVERAGE(I5090:J5090)</t>
  </si>
  <si>
    <t>=IF(K5091=0,"hide","")</t>
  </si>
  <si>
    <t>=D5090</t>
  </si>
  <si>
    <t>=NL("sum","Production Order","Quantity","Source No.",$D5091,"Equipment Code",$L5091,"due date",F$8)/-12</t>
  </si>
  <si>
    <t>=NL("sum","Production Order","Quantity","Source No.",$D5091,"Equipment Code",$L5091,"due date",G$8)/-12</t>
  </si>
  <si>
    <t>=NL("sum","Production Order","Quantity","Source No.",$D5091,"Equipment Code",$L5091,"due date",H$8)/-12</t>
  </si>
  <si>
    <t>=NL("sum","Production Order","Quantity","Source No.",$D5091,"Equipment Code",$L5091,"due date",I$8)/-12</t>
  </si>
  <si>
    <t>=NL("sum","Production Order","Quantity","Source No.",$D5091,"Equipment Code",$L5091,"due date",J$8)/$J$7</t>
  </si>
  <si>
    <t>=AVERAGE(I5091:J5091)</t>
  </si>
  <si>
    <t>=B5088</t>
  </si>
  <si>
    <t>=B5092</t>
  </si>
  <si>
    <t>=SUM(F5088:F5092)</t>
  </si>
  <si>
    <t>=SUM(G5088:G5092)</t>
  </si>
  <si>
    <t>=SUM(H5088:H5092)</t>
  </si>
  <si>
    <t>=SUM(I5088:I5092)</t>
  </si>
  <si>
    <t>=SUM(J5088:J5092)</t>
  </si>
  <si>
    <t>=IF(K5094=0,"hide","")</t>
  </si>
  <si>
    <t>="94595"</t>
  </si>
  <si>
    <t>=NL("rows","Production BOM Version","Version Code","Production BOM No.",D5094,"status","certified")</t>
  </si>
  <si>
    <t>=NL("sum","Item Ledger Entry","Quantity","Item No.",$D5094,"Entry Type","Sale|Consumption","posting date","01/01/19..12/31/19")/-12</t>
  </si>
  <si>
    <t>=NL("sum","Item Ledger Entry","Quantity","Item No.",$D5094,"Entry Type","Sale|Consumption","posting date","01/01/20..12/31/20")/-12</t>
  </si>
  <si>
    <t>=NL("sum","Item Ledger Entry","Quantity","Item No.",$D5094,"Entry Type","Sale|Consumption","posting date","01/01/21..12/31/21")/-12</t>
  </si>
  <si>
    <t>=NL("sum","Item Ledger Entry","Quantity","Item No.",$D5094,"Entry Type","Sale|Consumption","posting date","01/01/22..12/31/22")/-12</t>
  </si>
  <si>
    <t>=NL("sum","Item Ledger Entry","Quantity","Item No.",$D5094,"Entry Type","Sale|Consumption","posting date","01/01/23..12/31/23")/$J$7</t>
  </si>
  <si>
    <t>=AVERAGE(I5094:J5094)</t>
  </si>
  <si>
    <t>=NL(1,"item",L$9,"no.",D5094)</t>
  </si>
  <si>
    <t>=NL(1,"item",M$9,"no.",$D5094)</t>
  </si>
  <si>
    <t>=NL(1,"item","Units Per Parcel","no.",$D5094)</t>
  </si>
  <si>
    <t>=NL(1,"Prod. BOM Equipment","Fixed Prod. Time (Hours)","Production BOM No.",$D5094,"version code",$E5094,"Resource No.",O$9)</t>
  </si>
  <si>
    <t>=1/O5094</t>
  </si>
  <si>
    <t>=IF(NL(1,"Prod. BOM Equipment","Variable Prod. Time (Hours)","Production BOM No.",$D5094,"version code",$E5094,"Resource No.",$O$9)="",1,NL(1,"Prod. BOM Equipment","Variable Prod. Time (Hours)","Production BOM No.",$D5094,"version code",$E5094,"Resource No.",$O$9))</t>
  </si>
  <si>
    <t>=1/Q5094</t>
  </si>
  <si>
    <t>=R5094*N5094</t>
  </si>
  <si>
    <t>=IF(K5095=0,"hide","")</t>
  </si>
  <si>
    <t>=D5094</t>
  </si>
  <si>
    <t>=NL("sum","Production Order","Quantity","Source No.",$D5095,"Equipment Code",$L5095,"due date",F$8)/-12</t>
  </si>
  <si>
    <t>=NL("sum","Production Order","Quantity","Source No.",$D5095,"Equipment Code",$L5095,"due date",G$8)/-12</t>
  </si>
  <si>
    <t>=NL("sum","Production Order","Quantity","Source No.",$D5095,"Equipment Code",$L5095,"due date",H$8)/-12</t>
  </si>
  <si>
    <t>=NL("sum","Production Order","Quantity","Source No.",$D5095,"Equipment Code",$L5095,"due date",I$8)/-12</t>
  </si>
  <si>
    <t>=NL("sum","Production Order","Quantity","Source No.",$D5095,"Equipment Code",$L5095,"due date",J$8)/$J$7</t>
  </si>
  <si>
    <t>=AVERAGE(I5095:J5095)</t>
  </si>
  <si>
    <t>=IF(K5096=0,"hide","")</t>
  </si>
  <si>
    <t>=D5095</t>
  </si>
  <si>
    <t>=NL("sum","Production Order","Quantity","Source No.",$D5096,"Equipment Code",$L5096,"due date",F$8)/-12</t>
  </si>
  <si>
    <t>=NL("sum","Production Order","Quantity","Source No.",$D5096,"Equipment Code",$L5096,"due date",G$8)/-12</t>
  </si>
  <si>
    <t>=NL("sum","Production Order","Quantity","Source No.",$D5096,"Equipment Code",$L5096,"due date",H$8)/-12</t>
  </si>
  <si>
    <t>=NL("sum","Production Order","Quantity","Source No.",$D5096,"Equipment Code",$L5096,"due date",I$8)/-12</t>
  </si>
  <si>
    <t>=NL("sum","Production Order","Quantity","Source No.",$D5096,"Equipment Code",$L5096,"due date",J$8)/$J$7</t>
  </si>
  <si>
    <t>=AVERAGE(I5096:J5096)</t>
  </si>
  <si>
    <t>=IF(K5097=0,"hide","")</t>
  </si>
  <si>
    <t>=D5096</t>
  </si>
  <si>
    <t>=NL("sum","Production Order","Quantity","Source No.",$D5097,"Equipment Code",$L5097,"due date",F$8)/-12</t>
  </si>
  <si>
    <t>=NL("sum","Production Order","Quantity","Source No.",$D5097,"Equipment Code",$L5097,"due date",G$8)/-12</t>
  </si>
  <si>
    <t>=NL("sum","Production Order","Quantity","Source No.",$D5097,"Equipment Code",$L5097,"due date",H$8)/-12</t>
  </si>
  <si>
    <t>=NL("sum","Production Order","Quantity","Source No.",$D5097,"Equipment Code",$L5097,"due date",I$8)/-12</t>
  </si>
  <si>
    <t>=NL("sum","Production Order","Quantity","Source No.",$D5097,"Equipment Code",$L5097,"due date",J$8)/$J$7</t>
  </si>
  <si>
    <t>=AVERAGE(I5097:J5097)</t>
  </si>
  <si>
    <t>=IF(K5098=0,"hide","")</t>
  </si>
  <si>
    <t>=D5097</t>
  </si>
  <si>
    <t>=NL("sum","Production Order","Quantity","Source No.",$D5098,"Equipment Code",$L5098,"due date",F$8)/-12</t>
  </si>
  <si>
    <t>=NL("sum","Production Order","Quantity","Source No.",$D5098,"Equipment Code",$L5098,"due date",G$8)/-12</t>
  </si>
  <si>
    <t>=NL("sum","Production Order","Quantity","Source No.",$D5098,"Equipment Code",$L5098,"due date",H$8)/-12</t>
  </si>
  <si>
    <t>=NL("sum","Production Order","Quantity","Source No.",$D5098,"Equipment Code",$L5098,"due date",I$8)/-12</t>
  </si>
  <si>
    <t>=NL("sum","Production Order","Quantity","Source No.",$D5098,"Equipment Code",$L5098,"due date",J$8)/$J$7</t>
  </si>
  <si>
    <t>=AVERAGE(I5098:J5098)</t>
  </si>
  <si>
    <t>=B5095</t>
  </si>
  <si>
    <t>=B5099</t>
  </si>
  <si>
    <t>=SUM(F5095:F5099)</t>
  </si>
  <si>
    <t>=SUM(G5095:G5099)</t>
  </si>
  <si>
    <t>=SUM(H5095:H5099)</t>
  </si>
  <si>
    <t>=SUM(I5095:I5099)</t>
  </si>
  <si>
    <t>=SUM(J5095:J5099)</t>
  </si>
  <si>
    <t>=IF(K5101=0,"hide","")</t>
  </si>
  <si>
    <t>="94601"</t>
  </si>
  <si>
    <t>=NL("rows","Production BOM Version","Version Code","Production BOM No.",D5101,"status","certified")</t>
  </si>
  <si>
    <t>=NL("sum","Item Ledger Entry","Quantity","Item No.",$D5101,"Entry Type","Sale|Consumption","posting date","01/01/19..12/31/19")/-12</t>
  </si>
  <si>
    <t>=NL("sum","Item Ledger Entry","Quantity","Item No.",$D5101,"Entry Type","Sale|Consumption","posting date","01/01/20..12/31/20")/-12</t>
  </si>
  <si>
    <t>=NL("sum","Item Ledger Entry","Quantity","Item No.",$D5101,"Entry Type","Sale|Consumption","posting date","01/01/21..12/31/21")/-12</t>
  </si>
  <si>
    <t>=NL("sum","Item Ledger Entry","Quantity","Item No.",$D5101,"Entry Type","Sale|Consumption","posting date","01/01/22..12/31/22")/-12</t>
  </si>
  <si>
    <t>=NL("sum","Item Ledger Entry","Quantity","Item No.",$D5101,"Entry Type","Sale|Consumption","posting date","01/01/23..12/31/23")/$J$7</t>
  </si>
  <si>
    <t>=AVERAGE(I5101:J5101)</t>
  </si>
  <si>
    <t>=NL(1,"item",L$9,"no.",D5101)</t>
  </si>
  <si>
    <t>=NL(1,"item",M$9,"no.",$D5101)</t>
  </si>
  <si>
    <t>=NL(1,"item","Units Per Parcel","no.",$D5101)</t>
  </si>
  <si>
    <t>=NL(1,"Prod. BOM Equipment","Fixed Prod. Time (Hours)","Production BOM No.",$D5101,"version code",$E5101,"Resource No.",O$9)</t>
  </si>
  <si>
    <t>=1/O5101</t>
  </si>
  <si>
    <t>=IF(NL(1,"Prod. BOM Equipment","Variable Prod. Time (Hours)","Production BOM No.",$D5101,"version code",$E5101,"Resource No.",$O$9)="",1,NL(1,"Prod. BOM Equipment","Variable Prod. Time (Hours)","Production BOM No.",$D5101,"version code",$E5101,"Resource No.",$O$9))</t>
  </si>
  <si>
    <t>=1/Q5101</t>
  </si>
  <si>
    <t>=R5101*N5101</t>
  </si>
  <si>
    <t>=IF(K5102=0,"hide","")</t>
  </si>
  <si>
    <t>=D5101</t>
  </si>
  <si>
    <t>=NL("sum","Production Order","Quantity","Source No.",$D5102,"Equipment Code",$L5102,"due date",F$8)/-12</t>
  </si>
  <si>
    <t>=NL("sum","Production Order","Quantity","Source No.",$D5102,"Equipment Code",$L5102,"due date",G$8)/-12</t>
  </si>
  <si>
    <t>=NL("sum","Production Order","Quantity","Source No.",$D5102,"Equipment Code",$L5102,"due date",H$8)/-12</t>
  </si>
  <si>
    <t>=NL("sum","Production Order","Quantity","Source No.",$D5102,"Equipment Code",$L5102,"due date",I$8)/-12</t>
  </si>
  <si>
    <t>=NL("sum","Production Order","Quantity","Source No.",$D5102,"Equipment Code",$L5102,"due date",J$8)/$J$7</t>
  </si>
  <si>
    <t>=AVERAGE(I5102:J5102)</t>
  </si>
  <si>
    <t>=IF(K5103=0,"hide","")</t>
  </si>
  <si>
    <t>=D5102</t>
  </si>
  <si>
    <t>=NL("sum","Production Order","Quantity","Source No.",$D5103,"Equipment Code",$L5103,"due date",F$8)/-12</t>
  </si>
  <si>
    <t>=NL("sum","Production Order","Quantity","Source No.",$D5103,"Equipment Code",$L5103,"due date",G$8)/-12</t>
  </si>
  <si>
    <t>=NL("sum","Production Order","Quantity","Source No.",$D5103,"Equipment Code",$L5103,"due date",H$8)/-12</t>
  </si>
  <si>
    <t>=NL("sum","Production Order","Quantity","Source No.",$D5103,"Equipment Code",$L5103,"due date",I$8)/-12</t>
  </si>
  <si>
    <t>=NL("sum","Production Order","Quantity","Source No.",$D5103,"Equipment Code",$L5103,"due date",J$8)/$J$7</t>
  </si>
  <si>
    <t>=AVERAGE(I5103:J5103)</t>
  </si>
  <si>
    <t>=IF(K5104=0,"hide","")</t>
  </si>
  <si>
    <t>=D5103</t>
  </si>
  <si>
    <t>=NL("sum","Production Order","Quantity","Source No.",$D5104,"Equipment Code",$L5104,"due date",F$8)/-12</t>
  </si>
  <si>
    <t>=NL("sum","Production Order","Quantity","Source No.",$D5104,"Equipment Code",$L5104,"due date",G$8)/-12</t>
  </si>
  <si>
    <t>=NL("sum","Production Order","Quantity","Source No.",$D5104,"Equipment Code",$L5104,"due date",H$8)/-12</t>
  </si>
  <si>
    <t>=NL("sum","Production Order","Quantity","Source No.",$D5104,"Equipment Code",$L5104,"due date",I$8)/-12</t>
  </si>
  <si>
    <t>=NL("sum","Production Order","Quantity","Source No.",$D5104,"Equipment Code",$L5104,"due date",J$8)/$J$7</t>
  </si>
  <si>
    <t>=AVERAGE(I5104:J5104)</t>
  </si>
  <si>
    <t>=IF(K5105=0,"hide","")</t>
  </si>
  <si>
    <t>=D5104</t>
  </si>
  <si>
    <t>=NL("sum","Production Order","Quantity","Source No.",$D5105,"Equipment Code",$L5105,"due date",F$8)/-12</t>
  </si>
  <si>
    <t>=NL("sum","Production Order","Quantity","Source No.",$D5105,"Equipment Code",$L5105,"due date",G$8)/-12</t>
  </si>
  <si>
    <t>=NL("sum","Production Order","Quantity","Source No.",$D5105,"Equipment Code",$L5105,"due date",H$8)/-12</t>
  </si>
  <si>
    <t>=NL("sum","Production Order","Quantity","Source No.",$D5105,"Equipment Code",$L5105,"due date",I$8)/-12</t>
  </si>
  <si>
    <t>=NL("sum","Production Order","Quantity","Source No.",$D5105,"Equipment Code",$L5105,"due date",J$8)/$J$7</t>
  </si>
  <si>
    <t>=AVERAGE(I5105:J5105)</t>
  </si>
  <si>
    <t>=B5102</t>
  </si>
  <si>
    <t>=B5106</t>
  </si>
  <si>
    <t>=SUM(F5102:F5106)</t>
  </si>
  <si>
    <t>=SUM(G5102:G5106)</t>
  </si>
  <si>
    <t>=SUM(H5102:H5106)</t>
  </si>
  <si>
    <t>=SUM(I5102:I5106)</t>
  </si>
  <si>
    <t>=SUM(J5102:J5106)</t>
  </si>
  <si>
    <t>=IF(K5108=0,"hide","")</t>
  </si>
  <si>
    <t>="94616"</t>
  </si>
  <si>
    <t>=NL("rows","Production BOM Version","Version Code","Production BOM No.",D5108,"status","certified")</t>
  </si>
  <si>
    <t>=NL("sum","Item Ledger Entry","Quantity","Item No.",$D5108,"Entry Type","Sale|Consumption","posting date","01/01/19..12/31/19")/-12</t>
  </si>
  <si>
    <t>=NL("sum","Item Ledger Entry","Quantity","Item No.",$D5108,"Entry Type","Sale|Consumption","posting date","01/01/20..12/31/20")/-12</t>
  </si>
  <si>
    <t>=NL("sum","Item Ledger Entry","Quantity","Item No.",$D5108,"Entry Type","Sale|Consumption","posting date","01/01/21..12/31/21")/-12</t>
  </si>
  <si>
    <t>=NL("sum","Item Ledger Entry","Quantity","Item No.",$D5108,"Entry Type","Sale|Consumption","posting date","01/01/22..12/31/22")/-12</t>
  </si>
  <si>
    <t>=NL("sum","Item Ledger Entry","Quantity","Item No.",$D5108,"Entry Type","Sale|Consumption","posting date","01/01/23..12/31/23")/$J$7</t>
  </si>
  <si>
    <t>=AVERAGE(I5108:J5108)</t>
  </si>
  <si>
    <t>=NL(1,"item",L$9,"no.",D5108)</t>
  </si>
  <si>
    <t>=NL(1,"item",M$9,"no.",$D5108)</t>
  </si>
  <si>
    <t>=NL(1,"item","Units Per Parcel","no.",$D5108)</t>
  </si>
  <si>
    <t>=NL(1,"Prod. BOM Equipment","Fixed Prod. Time (Hours)","Production BOM No.",$D5108,"version code",$E5108,"Resource No.",O$9)</t>
  </si>
  <si>
    <t>=1/O5108</t>
  </si>
  <si>
    <t>=IF(NL(1,"Prod. BOM Equipment","Variable Prod. Time (Hours)","Production BOM No.",$D5108,"version code",$E5108,"Resource No.",$O$9)="",1,NL(1,"Prod. BOM Equipment","Variable Prod. Time (Hours)","Production BOM No.",$D5108,"version code",$E5108,"Resource No.",$O$9))</t>
  </si>
  <si>
    <t>=1/Q5108</t>
  </si>
  <si>
    <t>=R5108*N5108</t>
  </si>
  <si>
    <t>=IF(K5109=0,"hide","")</t>
  </si>
  <si>
    <t>=D5108</t>
  </si>
  <si>
    <t>=NL("sum","Production Order","Quantity","Source No.",$D5109,"Equipment Code",$L5109,"due date",F$8)/-12</t>
  </si>
  <si>
    <t>=NL("sum","Production Order","Quantity","Source No.",$D5109,"Equipment Code",$L5109,"due date",G$8)/-12</t>
  </si>
  <si>
    <t>=NL("sum","Production Order","Quantity","Source No.",$D5109,"Equipment Code",$L5109,"due date",H$8)/-12</t>
  </si>
  <si>
    <t>=NL("sum","Production Order","Quantity","Source No.",$D5109,"Equipment Code",$L5109,"due date",I$8)/-12</t>
  </si>
  <si>
    <t>=NL("sum","Production Order","Quantity","Source No.",$D5109,"Equipment Code",$L5109,"due date",J$8)/$J$7</t>
  </si>
  <si>
    <t>=AVERAGE(I5109:J5109)</t>
  </si>
  <si>
    <t>=IF(K5110=0,"hide","")</t>
  </si>
  <si>
    <t>=D5109</t>
  </si>
  <si>
    <t>=NL("sum","Production Order","Quantity","Source No.",$D5110,"Equipment Code",$L5110,"due date",F$8)/-12</t>
  </si>
  <si>
    <t>=NL("sum","Production Order","Quantity","Source No.",$D5110,"Equipment Code",$L5110,"due date",G$8)/-12</t>
  </si>
  <si>
    <t>=NL("sum","Production Order","Quantity","Source No.",$D5110,"Equipment Code",$L5110,"due date",H$8)/-12</t>
  </si>
  <si>
    <t>=NL("sum","Production Order","Quantity","Source No.",$D5110,"Equipment Code",$L5110,"due date",I$8)/-12</t>
  </si>
  <si>
    <t>=NL("sum","Production Order","Quantity","Source No.",$D5110,"Equipment Code",$L5110,"due date",J$8)/$J$7</t>
  </si>
  <si>
    <t>=AVERAGE(I5110:J5110)</t>
  </si>
  <si>
    <t>=IF(K5111=0,"hide","")</t>
  </si>
  <si>
    <t>=D5110</t>
  </si>
  <si>
    <t>=NL("sum","Production Order","Quantity","Source No.",$D5111,"Equipment Code",$L5111,"due date",F$8)/-12</t>
  </si>
  <si>
    <t>=NL("sum","Production Order","Quantity","Source No.",$D5111,"Equipment Code",$L5111,"due date",G$8)/-12</t>
  </si>
  <si>
    <t>=NL("sum","Production Order","Quantity","Source No.",$D5111,"Equipment Code",$L5111,"due date",H$8)/-12</t>
  </si>
  <si>
    <t>=NL("sum","Production Order","Quantity","Source No.",$D5111,"Equipment Code",$L5111,"due date",I$8)/-12</t>
  </si>
  <si>
    <t>=NL("sum","Production Order","Quantity","Source No.",$D5111,"Equipment Code",$L5111,"due date",J$8)/$J$7</t>
  </si>
  <si>
    <t>=AVERAGE(I5111:J5111)</t>
  </si>
  <si>
    <t>=IF(K5112=0,"hide","")</t>
  </si>
  <si>
    <t>=D5111</t>
  </si>
  <si>
    <t>=NL("sum","Production Order","Quantity","Source No.",$D5112,"Equipment Code",$L5112,"due date",F$8)/-12</t>
  </si>
  <si>
    <t>=NL("sum","Production Order","Quantity","Source No.",$D5112,"Equipment Code",$L5112,"due date",G$8)/-12</t>
  </si>
  <si>
    <t>=NL("sum","Production Order","Quantity","Source No.",$D5112,"Equipment Code",$L5112,"due date",H$8)/-12</t>
  </si>
  <si>
    <t>=NL("sum","Production Order","Quantity","Source No.",$D5112,"Equipment Code",$L5112,"due date",I$8)/-12</t>
  </si>
  <si>
    <t>=NL("sum","Production Order","Quantity","Source No.",$D5112,"Equipment Code",$L5112,"due date",J$8)/$J$7</t>
  </si>
  <si>
    <t>=AVERAGE(I5112:J5112)</t>
  </si>
  <si>
    <t>=B5109</t>
  </si>
  <si>
    <t>=B5113</t>
  </si>
  <si>
    <t>=SUM(F5109:F5113)</t>
  </si>
  <si>
    <t>=SUM(G5109:G5113)</t>
  </si>
  <si>
    <t>=SUM(H5109:H5113)</t>
  </si>
  <si>
    <t>=SUM(I5109:I5113)</t>
  </si>
  <si>
    <t>=SUM(J5109:J5113)</t>
  </si>
  <si>
    <t>=IF(K5115=0,"hide","")</t>
  </si>
  <si>
    <t>="94632"</t>
  </si>
  <si>
    <t>=NL("rows","Production BOM Version","Version Code","Production BOM No.",D5115,"status","certified")</t>
  </si>
  <si>
    <t>=NL("sum","Item Ledger Entry","Quantity","Item No.",$D5115,"Entry Type","Sale|Consumption","posting date","01/01/19..12/31/19")/-12</t>
  </si>
  <si>
    <t>=NL("sum","Item Ledger Entry","Quantity","Item No.",$D5115,"Entry Type","Sale|Consumption","posting date","01/01/20..12/31/20")/-12</t>
  </si>
  <si>
    <t>=NL("sum","Item Ledger Entry","Quantity","Item No.",$D5115,"Entry Type","Sale|Consumption","posting date","01/01/21..12/31/21")/-12</t>
  </si>
  <si>
    <t>=NL("sum","Item Ledger Entry","Quantity","Item No.",$D5115,"Entry Type","Sale|Consumption","posting date","01/01/22..12/31/22")/-12</t>
  </si>
  <si>
    <t>=NL("sum","Item Ledger Entry","Quantity","Item No.",$D5115,"Entry Type","Sale|Consumption","posting date","01/01/23..12/31/23")/$J$7</t>
  </si>
  <si>
    <t>=AVERAGE(I5115:J5115)</t>
  </si>
  <si>
    <t>=NL(1,"item",L$9,"no.",D5115)</t>
  </si>
  <si>
    <t>=NL(1,"item",M$9,"no.",$D5115)</t>
  </si>
  <si>
    <t>=NL(1,"item","Units Per Parcel","no.",$D5115)</t>
  </si>
  <si>
    <t>=NL(1,"Prod. BOM Equipment","Fixed Prod. Time (Hours)","Production BOM No.",$D5115,"version code",$E5115,"Resource No.",O$9)</t>
  </si>
  <si>
    <t>=1/O5115</t>
  </si>
  <si>
    <t>=IF(NL(1,"Prod. BOM Equipment","Variable Prod. Time (Hours)","Production BOM No.",$D5115,"version code",$E5115,"Resource No.",$O$9)="",1,NL(1,"Prod. BOM Equipment","Variable Prod. Time (Hours)","Production BOM No.",$D5115,"version code",$E5115,"Resource No.",$O$9))</t>
  </si>
  <si>
    <t>=1/Q5115</t>
  </si>
  <si>
    <t>=R5115*N5115</t>
  </si>
  <si>
    <t>=IF(K5116=0,"hide","")</t>
  </si>
  <si>
    <t>=D5115</t>
  </si>
  <si>
    <t>=NL("sum","Production Order","Quantity","Source No.",$D5116,"Equipment Code",$L5116,"due date",F$8)/-12</t>
  </si>
  <si>
    <t>=NL("sum","Production Order","Quantity","Source No.",$D5116,"Equipment Code",$L5116,"due date",G$8)/-12</t>
  </si>
  <si>
    <t>=NL("sum","Production Order","Quantity","Source No.",$D5116,"Equipment Code",$L5116,"due date",H$8)/-12</t>
  </si>
  <si>
    <t>=NL("sum","Production Order","Quantity","Source No.",$D5116,"Equipment Code",$L5116,"due date",I$8)/-12</t>
  </si>
  <si>
    <t>=NL("sum","Production Order","Quantity","Source No.",$D5116,"Equipment Code",$L5116,"due date",J$8)/$J$7</t>
  </si>
  <si>
    <t>=AVERAGE(I5116:J5116)</t>
  </si>
  <si>
    <t>=IF(K5117=0,"hide","")</t>
  </si>
  <si>
    <t>=D5116</t>
  </si>
  <si>
    <t>=NL("sum","Production Order","Quantity","Source No.",$D5117,"Equipment Code",$L5117,"due date",F$8)/-12</t>
  </si>
  <si>
    <t>=NL("sum","Production Order","Quantity","Source No.",$D5117,"Equipment Code",$L5117,"due date",G$8)/-12</t>
  </si>
  <si>
    <t>=NL("sum","Production Order","Quantity","Source No.",$D5117,"Equipment Code",$L5117,"due date",H$8)/-12</t>
  </si>
  <si>
    <t>=NL("sum","Production Order","Quantity","Source No.",$D5117,"Equipment Code",$L5117,"due date",I$8)/-12</t>
  </si>
  <si>
    <t>=NL("sum","Production Order","Quantity","Source No.",$D5117,"Equipment Code",$L5117,"due date",J$8)/$J$7</t>
  </si>
  <si>
    <t>=AVERAGE(I5117:J5117)</t>
  </si>
  <si>
    <t>=IF(K5118=0,"hide","")</t>
  </si>
  <si>
    <t>=D5117</t>
  </si>
  <si>
    <t>=NL("sum","Production Order","Quantity","Source No.",$D5118,"Equipment Code",$L5118,"due date",F$8)/-12</t>
  </si>
  <si>
    <t>=NL("sum","Production Order","Quantity","Source No.",$D5118,"Equipment Code",$L5118,"due date",G$8)/-12</t>
  </si>
  <si>
    <t>=NL("sum","Production Order","Quantity","Source No.",$D5118,"Equipment Code",$L5118,"due date",H$8)/-12</t>
  </si>
  <si>
    <t>=NL("sum","Production Order","Quantity","Source No.",$D5118,"Equipment Code",$L5118,"due date",I$8)/-12</t>
  </si>
  <si>
    <t>=NL("sum","Production Order","Quantity","Source No.",$D5118,"Equipment Code",$L5118,"due date",J$8)/$J$7</t>
  </si>
  <si>
    <t>=AVERAGE(I5118:J5118)</t>
  </si>
  <si>
    <t>=IF(K5119=0,"hide","")</t>
  </si>
  <si>
    <t>=D5118</t>
  </si>
  <si>
    <t>=NL("sum","Production Order","Quantity","Source No.",$D5119,"Equipment Code",$L5119,"due date",F$8)/-12</t>
  </si>
  <si>
    <t>=NL("sum","Production Order","Quantity","Source No.",$D5119,"Equipment Code",$L5119,"due date",G$8)/-12</t>
  </si>
  <si>
    <t>=NL("sum","Production Order","Quantity","Source No.",$D5119,"Equipment Code",$L5119,"due date",H$8)/-12</t>
  </si>
  <si>
    <t>=NL("sum","Production Order","Quantity","Source No.",$D5119,"Equipment Code",$L5119,"due date",I$8)/-12</t>
  </si>
  <si>
    <t>=NL("sum","Production Order","Quantity","Source No.",$D5119,"Equipment Code",$L5119,"due date",J$8)/$J$7</t>
  </si>
  <si>
    <t>=AVERAGE(I5119:J5119)</t>
  </si>
  <si>
    <t>=B5116</t>
  </si>
  <si>
    <t>=B5120</t>
  </si>
  <si>
    <t>=SUM(F5116:F5120)</t>
  </si>
  <si>
    <t>=SUM(G5116:G5120)</t>
  </si>
  <si>
    <t>=SUM(H5116:H5120)</t>
  </si>
  <si>
    <t>=SUM(I5116:I5120)</t>
  </si>
  <si>
    <t>=SUM(J5116:J5120)</t>
  </si>
  <si>
    <t>=IF(K5122=0,"hide","")</t>
  </si>
  <si>
    <t>="94660"</t>
  </si>
  <si>
    <t>=NL("rows","Production BOM Version","Version Code","Production BOM No.",D5122,"status","certified")</t>
  </si>
  <si>
    <t>=NL("sum","Item Ledger Entry","Quantity","Item No.",$D5122,"Entry Type","Sale|Consumption","posting date","01/01/19..12/31/19")/-12</t>
  </si>
  <si>
    <t>=NL("sum","Item Ledger Entry","Quantity","Item No.",$D5122,"Entry Type","Sale|Consumption","posting date","01/01/20..12/31/20")/-12</t>
  </si>
  <si>
    <t>=NL("sum","Item Ledger Entry","Quantity","Item No.",$D5122,"Entry Type","Sale|Consumption","posting date","01/01/21..12/31/21")/-12</t>
  </si>
  <si>
    <t>=NL("sum","Item Ledger Entry","Quantity","Item No.",$D5122,"Entry Type","Sale|Consumption","posting date","01/01/22..12/31/22")/-12</t>
  </si>
  <si>
    <t>=NL("sum","Item Ledger Entry","Quantity","Item No.",$D5122,"Entry Type","Sale|Consumption","posting date","01/01/23..12/31/23")/$J$7</t>
  </si>
  <si>
    <t>=AVERAGE(I5122:J5122)</t>
  </si>
  <si>
    <t>=NL(1,"item",L$9,"no.",D5122)</t>
  </si>
  <si>
    <t>=NL(1,"item",M$9,"no.",$D5122)</t>
  </si>
  <si>
    <t>=NL(1,"item","Units Per Parcel","no.",$D5122)</t>
  </si>
  <si>
    <t>=NL(1,"Prod. BOM Equipment","Fixed Prod. Time (Hours)","Production BOM No.",$D5122,"version code",$E5122,"Resource No.",O$9)</t>
  </si>
  <si>
    <t>=1/O5122</t>
  </si>
  <si>
    <t>=IF(NL(1,"Prod. BOM Equipment","Variable Prod. Time (Hours)","Production BOM No.",$D5122,"version code",$E5122,"Resource No.",$O$9)="",1,NL(1,"Prod. BOM Equipment","Variable Prod. Time (Hours)","Production BOM No.",$D5122,"version code",$E5122,"Resource No.",$O$9))</t>
  </si>
  <si>
    <t>=1/Q5122</t>
  </si>
  <si>
    <t>=R5122*N5122</t>
  </si>
  <si>
    <t>=IF(K5123=0,"hide","")</t>
  </si>
  <si>
    <t>=D5122</t>
  </si>
  <si>
    <t>=NL("sum","Production Order","Quantity","Source No.",$D5123,"Equipment Code",$L5123,"due date",F$8)/-12</t>
  </si>
  <si>
    <t>=NL("sum","Production Order","Quantity","Source No.",$D5123,"Equipment Code",$L5123,"due date",G$8)/-12</t>
  </si>
  <si>
    <t>=NL("sum","Production Order","Quantity","Source No.",$D5123,"Equipment Code",$L5123,"due date",H$8)/-12</t>
  </si>
  <si>
    <t>=NL("sum","Production Order","Quantity","Source No.",$D5123,"Equipment Code",$L5123,"due date",I$8)/-12</t>
  </si>
  <si>
    <t>=NL("sum","Production Order","Quantity","Source No.",$D5123,"Equipment Code",$L5123,"due date",J$8)/$J$7</t>
  </si>
  <si>
    <t>=AVERAGE(I5123:J5123)</t>
  </si>
  <si>
    <t>=IF(K5124=0,"hide","")</t>
  </si>
  <si>
    <t>=D5123</t>
  </si>
  <si>
    <t>=NL("sum","Production Order","Quantity","Source No.",$D5124,"Equipment Code",$L5124,"due date",F$8)/-12</t>
  </si>
  <si>
    <t>=NL("sum","Production Order","Quantity","Source No.",$D5124,"Equipment Code",$L5124,"due date",G$8)/-12</t>
  </si>
  <si>
    <t>=NL("sum","Production Order","Quantity","Source No.",$D5124,"Equipment Code",$L5124,"due date",H$8)/-12</t>
  </si>
  <si>
    <t>=NL("sum","Production Order","Quantity","Source No.",$D5124,"Equipment Code",$L5124,"due date",I$8)/-12</t>
  </si>
  <si>
    <t>=NL("sum","Production Order","Quantity","Source No.",$D5124,"Equipment Code",$L5124,"due date",J$8)/$J$7</t>
  </si>
  <si>
    <t>=AVERAGE(I5124:J5124)</t>
  </si>
  <si>
    <t>=IF(K5125=0,"hide","")</t>
  </si>
  <si>
    <t>=D5124</t>
  </si>
  <si>
    <t>=NL("sum","Production Order","Quantity","Source No.",$D5125,"Equipment Code",$L5125,"due date",F$8)/-12</t>
  </si>
  <si>
    <t>=NL("sum","Production Order","Quantity","Source No.",$D5125,"Equipment Code",$L5125,"due date",G$8)/-12</t>
  </si>
  <si>
    <t>=NL("sum","Production Order","Quantity","Source No.",$D5125,"Equipment Code",$L5125,"due date",H$8)/-12</t>
  </si>
  <si>
    <t>=NL("sum","Production Order","Quantity","Source No.",$D5125,"Equipment Code",$L5125,"due date",I$8)/-12</t>
  </si>
  <si>
    <t>=NL("sum","Production Order","Quantity","Source No.",$D5125,"Equipment Code",$L5125,"due date",J$8)/$J$7</t>
  </si>
  <si>
    <t>=AVERAGE(I5125:J5125)</t>
  </si>
  <si>
    <t>=IF(K5126=0,"hide","")</t>
  </si>
  <si>
    <t>=D5125</t>
  </si>
  <si>
    <t>=NL("sum","Production Order","Quantity","Source No.",$D5126,"Equipment Code",$L5126,"due date",F$8)/-12</t>
  </si>
  <si>
    <t>=NL("sum","Production Order","Quantity","Source No.",$D5126,"Equipment Code",$L5126,"due date",G$8)/-12</t>
  </si>
  <si>
    <t>=NL("sum","Production Order","Quantity","Source No.",$D5126,"Equipment Code",$L5126,"due date",H$8)/-12</t>
  </si>
  <si>
    <t>=NL("sum","Production Order","Quantity","Source No.",$D5126,"Equipment Code",$L5126,"due date",I$8)/-12</t>
  </si>
  <si>
    <t>=NL("sum","Production Order","Quantity","Source No.",$D5126,"Equipment Code",$L5126,"due date",J$8)/$J$7</t>
  </si>
  <si>
    <t>=AVERAGE(I5126:J5126)</t>
  </si>
  <si>
    <t>=B5123</t>
  </si>
  <si>
    <t>=B5127</t>
  </si>
  <si>
    <t>=SUM(F5123:F5127)</t>
  </si>
  <si>
    <t>=SUM(G5123:G5127)</t>
  </si>
  <si>
    <t>=SUM(H5123:H5127)</t>
  </si>
  <si>
    <t>=SUM(I5123:I5127)</t>
  </si>
  <si>
    <t>=SUM(J5123:J5127)</t>
  </si>
  <si>
    <t>=IF(K5129=0,"hide","")</t>
  </si>
  <si>
    <t>="94695"</t>
  </si>
  <si>
    <t>=NL("rows","Production BOM Version","Version Code","Production BOM No.",D5129,"status","certified")</t>
  </si>
  <si>
    <t>=NL("sum","Item Ledger Entry","Quantity","Item No.",$D5129,"Entry Type","Sale|Consumption","posting date","01/01/19..12/31/19")/-12</t>
  </si>
  <si>
    <t>=NL("sum","Item Ledger Entry","Quantity","Item No.",$D5129,"Entry Type","Sale|Consumption","posting date","01/01/20..12/31/20")/-12</t>
  </si>
  <si>
    <t>=NL("sum","Item Ledger Entry","Quantity","Item No.",$D5129,"Entry Type","Sale|Consumption","posting date","01/01/21..12/31/21")/-12</t>
  </si>
  <si>
    <t>=NL("sum","Item Ledger Entry","Quantity","Item No.",$D5129,"Entry Type","Sale|Consumption","posting date","01/01/22..12/31/22")/-12</t>
  </si>
  <si>
    <t>=NL("sum","Item Ledger Entry","Quantity","Item No.",$D5129,"Entry Type","Sale|Consumption","posting date","01/01/23..12/31/23")/$J$7</t>
  </si>
  <si>
    <t>=AVERAGE(I5129:J5129)</t>
  </si>
  <si>
    <t>=NL(1,"item",L$9,"no.",D5129)</t>
  </si>
  <si>
    <t>=NL(1,"item",M$9,"no.",$D5129)</t>
  </si>
  <si>
    <t>=NL(1,"item","Units Per Parcel","no.",$D5129)</t>
  </si>
  <si>
    <t>=NL(1,"Prod. BOM Equipment","Fixed Prod. Time (Hours)","Production BOM No.",$D5129,"version code",$E5129,"Resource No.",O$9)</t>
  </si>
  <si>
    <t>=1/O5129</t>
  </si>
  <si>
    <t>=IF(NL(1,"Prod. BOM Equipment","Variable Prod. Time (Hours)","Production BOM No.",$D5129,"version code",$E5129,"Resource No.",$O$9)="",1,NL(1,"Prod. BOM Equipment","Variable Prod. Time (Hours)","Production BOM No.",$D5129,"version code",$E5129,"Resource No.",$O$9))</t>
  </si>
  <si>
    <t>=1/Q5129</t>
  </si>
  <si>
    <t>=R5129*N5129</t>
  </si>
  <si>
    <t>=IF(K5130=0,"hide","")</t>
  </si>
  <si>
    <t>=D5129</t>
  </si>
  <si>
    <t>=NL("sum","Production Order","Quantity","Source No.",$D5130,"Equipment Code",$L5130,"due date",F$8)/-12</t>
  </si>
  <si>
    <t>=NL("sum","Production Order","Quantity","Source No.",$D5130,"Equipment Code",$L5130,"due date",G$8)/-12</t>
  </si>
  <si>
    <t>=NL("sum","Production Order","Quantity","Source No.",$D5130,"Equipment Code",$L5130,"due date",H$8)/-12</t>
  </si>
  <si>
    <t>=NL("sum","Production Order","Quantity","Source No.",$D5130,"Equipment Code",$L5130,"due date",I$8)/-12</t>
  </si>
  <si>
    <t>=NL("sum","Production Order","Quantity","Source No.",$D5130,"Equipment Code",$L5130,"due date",J$8)/$J$7</t>
  </si>
  <si>
    <t>=AVERAGE(I5130:J5130)</t>
  </si>
  <si>
    <t>=IF(K5131=0,"hide","")</t>
  </si>
  <si>
    <t>=D5130</t>
  </si>
  <si>
    <t>=NL("sum","Production Order","Quantity","Source No.",$D5131,"Equipment Code",$L5131,"due date",F$8)/-12</t>
  </si>
  <si>
    <t>=NL("sum","Production Order","Quantity","Source No.",$D5131,"Equipment Code",$L5131,"due date",G$8)/-12</t>
  </si>
  <si>
    <t>=NL("sum","Production Order","Quantity","Source No.",$D5131,"Equipment Code",$L5131,"due date",H$8)/-12</t>
  </si>
  <si>
    <t>=NL("sum","Production Order","Quantity","Source No.",$D5131,"Equipment Code",$L5131,"due date",I$8)/-12</t>
  </si>
  <si>
    <t>=NL("sum","Production Order","Quantity","Source No.",$D5131,"Equipment Code",$L5131,"due date",J$8)/$J$7</t>
  </si>
  <si>
    <t>=AVERAGE(I5131:J5131)</t>
  </si>
  <si>
    <t>=IF(K5132=0,"hide","")</t>
  </si>
  <si>
    <t>=D5131</t>
  </si>
  <si>
    <t>=NL("sum","Production Order","Quantity","Source No.",$D5132,"Equipment Code",$L5132,"due date",F$8)/-12</t>
  </si>
  <si>
    <t>=NL("sum","Production Order","Quantity","Source No.",$D5132,"Equipment Code",$L5132,"due date",G$8)/-12</t>
  </si>
  <si>
    <t>=NL("sum","Production Order","Quantity","Source No.",$D5132,"Equipment Code",$L5132,"due date",H$8)/-12</t>
  </si>
  <si>
    <t>=NL("sum","Production Order","Quantity","Source No.",$D5132,"Equipment Code",$L5132,"due date",I$8)/-12</t>
  </si>
  <si>
    <t>=NL("sum","Production Order","Quantity","Source No.",$D5132,"Equipment Code",$L5132,"due date",J$8)/$J$7</t>
  </si>
  <si>
    <t>=AVERAGE(I5132:J5132)</t>
  </si>
  <si>
    <t>=IF(K5133=0,"hide","")</t>
  </si>
  <si>
    <t>=D5132</t>
  </si>
  <si>
    <t>=NL("sum","Production Order","Quantity","Source No.",$D5133,"Equipment Code",$L5133,"due date",F$8)/-12</t>
  </si>
  <si>
    <t>=NL("sum","Production Order","Quantity","Source No.",$D5133,"Equipment Code",$L5133,"due date",G$8)/-12</t>
  </si>
  <si>
    <t>=NL("sum","Production Order","Quantity","Source No.",$D5133,"Equipment Code",$L5133,"due date",H$8)/-12</t>
  </si>
  <si>
    <t>=NL("sum","Production Order","Quantity","Source No.",$D5133,"Equipment Code",$L5133,"due date",I$8)/-12</t>
  </si>
  <si>
    <t>=NL("sum","Production Order","Quantity","Source No.",$D5133,"Equipment Code",$L5133,"due date",J$8)/$J$7</t>
  </si>
  <si>
    <t>=AVERAGE(I5133:J5133)</t>
  </si>
  <si>
    <t>=B5130</t>
  </si>
  <si>
    <t>=B5134</t>
  </si>
  <si>
    <t>=SUM(F5130:F5134)</t>
  </si>
  <si>
    <t>=SUM(G5130:G5134)</t>
  </si>
  <si>
    <t>=SUM(H5130:H5134)</t>
  </si>
  <si>
    <t>=SUM(I5130:I5134)</t>
  </si>
  <si>
    <t>=SUM(J5130:J5134)</t>
  </si>
  <si>
    <t>=IF(K5136=0,"hide","")</t>
  </si>
  <si>
    <t>="95405"</t>
  </si>
  <si>
    <t>=NL("rows","Production BOM Version","Version Code","Production BOM No.",D5136,"status","certified")</t>
  </si>
  <si>
    <t>=NL("sum","Item Ledger Entry","Quantity","Item No.",$D5136,"Entry Type","Sale|Consumption","posting date","01/01/19..12/31/19")/-12</t>
  </si>
  <si>
    <t>=NL("sum","Item Ledger Entry","Quantity","Item No.",$D5136,"Entry Type","Sale|Consumption","posting date","01/01/20..12/31/20")/-12</t>
  </si>
  <si>
    <t>=NL("sum","Item Ledger Entry","Quantity","Item No.",$D5136,"Entry Type","Sale|Consumption","posting date","01/01/21..12/31/21")/-12</t>
  </si>
  <si>
    <t>=NL("sum","Item Ledger Entry","Quantity","Item No.",$D5136,"Entry Type","Sale|Consumption","posting date","01/01/22..12/31/22")/-12</t>
  </si>
  <si>
    <t>=NL("sum","Item Ledger Entry","Quantity","Item No.",$D5136,"Entry Type","Sale|Consumption","posting date","01/01/23..12/31/23")/$J$7</t>
  </si>
  <si>
    <t>=AVERAGE(I5136:J5136)</t>
  </si>
  <si>
    <t>=NL(1,"item",L$9,"no.",D5136)</t>
  </si>
  <si>
    <t>=NL(1,"item",M$9,"no.",$D5136)</t>
  </si>
  <si>
    <t>=NL(1,"item","Units Per Parcel","no.",$D5136)</t>
  </si>
  <si>
    <t>=NL(1,"Prod. BOM Equipment","Fixed Prod. Time (Hours)","Production BOM No.",$D5136,"version code",$E5136,"Resource No.",O$9)</t>
  </si>
  <si>
    <t>=1/O5136</t>
  </si>
  <si>
    <t>=IF(NL(1,"Prod. BOM Equipment","Variable Prod. Time (Hours)","Production BOM No.",$D5136,"version code",$E5136,"Resource No.",$O$9)="",1,NL(1,"Prod. BOM Equipment","Variable Prod. Time (Hours)","Production BOM No.",$D5136,"version code",$E5136,"Resource No.",$O$9))</t>
  </si>
  <si>
    <t>=1/Q5136</t>
  </si>
  <si>
    <t>=R5136*N5136</t>
  </si>
  <si>
    <t>=IF(K5137=0,"hide","")</t>
  </si>
  <si>
    <t>=D5136</t>
  </si>
  <si>
    <t>=NL("sum","Production Order","Quantity","Source No.",$D5137,"Equipment Code",$L5137,"due date",F$8)/-12</t>
  </si>
  <si>
    <t>=NL("sum","Production Order","Quantity","Source No.",$D5137,"Equipment Code",$L5137,"due date",G$8)/-12</t>
  </si>
  <si>
    <t>=NL("sum","Production Order","Quantity","Source No.",$D5137,"Equipment Code",$L5137,"due date",H$8)/-12</t>
  </si>
  <si>
    <t>=NL("sum","Production Order","Quantity","Source No.",$D5137,"Equipment Code",$L5137,"due date",I$8)/-12</t>
  </si>
  <si>
    <t>=NL("sum","Production Order","Quantity","Source No.",$D5137,"Equipment Code",$L5137,"due date",J$8)/$J$7</t>
  </si>
  <si>
    <t>=AVERAGE(I5137:J5137)</t>
  </si>
  <si>
    <t>=IF(K5138=0,"hide","")</t>
  </si>
  <si>
    <t>=D5137</t>
  </si>
  <si>
    <t>=NL("sum","Production Order","Quantity","Source No.",$D5138,"Equipment Code",$L5138,"due date",F$8)/-12</t>
  </si>
  <si>
    <t>=NL("sum","Production Order","Quantity","Source No.",$D5138,"Equipment Code",$L5138,"due date",G$8)/-12</t>
  </si>
  <si>
    <t>=NL("sum","Production Order","Quantity","Source No.",$D5138,"Equipment Code",$L5138,"due date",H$8)/-12</t>
  </si>
  <si>
    <t>=NL("sum","Production Order","Quantity","Source No.",$D5138,"Equipment Code",$L5138,"due date",I$8)/-12</t>
  </si>
  <si>
    <t>=NL("sum","Production Order","Quantity","Source No.",$D5138,"Equipment Code",$L5138,"due date",J$8)/$J$7</t>
  </si>
  <si>
    <t>=AVERAGE(I5138:J5138)</t>
  </si>
  <si>
    <t>=IF(K5139=0,"hide","")</t>
  </si>
  <si>
    <t>=D5138</t>
  </si>
  <si>
    <t>=NL("sum","Production Order","Quantity","Source No.",$D5139,"Equipment Code",$L5139,"due date",F$8)/-12</t>
  </si>
  <si>
    <t>=NL("sum","Production Order","Quantity","Source No.",$D5139,"Equipment Code",$L5139,"due date",G$8)/-12</t>
  </si>
  <si>
    <t>=NL("sum","Production Order","Quantity","Source No.",$D5139,"Equipment Code",$L5139,"due date",H$8)/-12</t>
  </si>
  <si>
    <t>=NL("sum","Production Order","Quantity","Source No.",$D5139,"Equipment Code",$L5139,"due date",I$8)/-12</t>
  </si>
  <si>
    <t>=NL("sum","Production Order","Quantity","Source No.",$D5139,"Equipment Code",$L5139,"due date",J$8)/$J$7</t>
  </si>
  <si>
    <t>=AVERAGE(I5139:J5139)</t>
  </si>
  <si>
    <t>=IF(K5140=0,"hide","")</t>
  </si>
  <si>
    <t>=D5139</t>
  </si>
  <si>
    <t>=NL("sum","Production Order","Quantity","Source No.",$D5140,"Equipment Code",$L5140,"due date",F$8)/-12</t>
  </si>
  <si>
    <t>=NL("sum","Production Order","Quantity","Source No.",$D5140,"Equipment Code",$L5140,"due date",G$8)/-12</t>
  </si>
  <si>
    <t>=NL("sum","Production Order","Quantity","Source No.",$D5140,"Equipment Code",$L5140,"due date",H$8)/-12</t>
  </si>
  <si>
    <t>=NL("sum","Production Order","Quantity","Source No.",$D5140,"Equipment Code",$L5140,"due date",I$8)/-12</t>
  </si>
  <si>
    <t>=NL("sum","Production Order","Quantity","Source No.",$D5140,"Equipment Code",$L5140,"due date",J$8)/$J$7</t>
  </si>
  <si>
    <t>=AVERAGE(I5140:J5140)</t>
  </si>
  <si>
    <t>=B5137</t>
  </si>
  <si>
    <t>=B5141</t>
  </si>
  <si>
    <t>=SUM(F5137:F5141)</t>
  </si>
  <si>
    <t>=SUM(G5137:G5141)</t>
  </si>
  <si>
    <t>=SUM(H5137:H5141)</t>
  </si>
  <si>
    <t>=SUM(I5137:I5141)</t>
  </si>
  <si>
    <t>=SUM(J5137:J5141)</t>
  </si>
  <si>
    <t>=IF(K5143=0,"hide","")</t>
  </si>
  <si>
    <t>="96101"</t>
  </si>
  <si>
    <t>=NL("rows","Production BOM Version","Version Code","Production BOM No.",D5143,"status","certified")</t>
  </si>
  <si>
    <t>=NL("sum","Item Ledger Entry","Quantity","Item No.",$D5143,"Entry Type","Sale|Consumption","posting date","01/01/19..12/31/19")/-12</t>
  </si>
  <si>
    <t>=NL("sum","Item Ledger Entry","Quantity","Item No.",$D5143,"Entry Type","Sale|Consumption","posting date","01/01/20..12/31/20")/-12</t>
  </si>
  <si>
    <t>=NL("sum","Item Ledger Entry","Quantity","Item No.",$D5143,"Entry Type","Sale|Consumption","posting date","01/01/21..12/31/21")/-12</t>
  </si>
  <si>
    <t>=NL("sum","Item Ledger Entry","Quantity","Item No.",$D5143,"Entry Type","Sale|Consumption","posting date","01/01/22..12/31/22")/-12</t>
  </si>
  <si>
    <t>=NL("sum","Item Ledger Entry","Quantity","Item No.",$D5143,"Entry Type","Sale|Consumption","posting date","01/01/23..12/31/23")/$J$7</t>
  </si>
  <si>
    <t>=AVERAGE(I5143:J5143)</t>
  </si>
  <si>
    <t>=NL(1,"item",L$9,"no.",D5143)</t>
  </si>
  <si>
    <t>=NL(1,"item",M$9,"no.",$D5143)</t>
  </si>
  <si>
    <t>=NL(1,"item","Units Per Parcel","no.",$D5143)</t>
  </si>
  <si>
    <t>=NL(1,"Prod. BOM Equipment","Fixed Prod. Time (Hours)","Production BOM No.",$D5143,"version code",$E5143,"Resource No.",O$9)</t>
  </si>
  <si>
    <t>=1/O5143</t>
  </si>
  <si>
    <t>=IF(NL(1,"Prod. BOM Equipment","Variable Prod. Time (Hours)","Production BOM No.",$D5143,"version code",$E5143,"Resource No.",$O$9)="",1,NL(1,"Prod. BOM Equipment","Variable Prod. Time (Hours)","Production BOM No.",$D5143,"version code",$E5143,"Resource No.",$O$9))</t>
  </si>
  <si>
    <t>=1/Q5143</t>
  </si>
  <si>
    <t>=R5143*N5143</t>
  </si>
  <si>
    <t>=IF(K5144=0,"hide","")</t>
  </si>
  <si>
    <t>=D5143</t>
  </si>
  <si>
    <t>=NL("sum","Production Order","Quantity","Source No.",$D5144,"Equipment Code",$L5144,"due date",F$8)/-12</t>
  </si>
  <si>
    <t>=NL("sum","Production Order","Quantity","Source No.",$D5144,"Equipment Code",$L5144,"due date",G$8)/-12</t>
  </si>
  <si>
    <t>=NL("sum","Production Order","Quantity","Source No.",$D5144,"Equipment Code",$L5144,"due date",H$8)/-12</t>
  </si>
  <si>
    <t>=NL("sum","Production Order","Quantity","Source No.",$D5144,"Equipment Code",$L5144,"due date",I$8)/-12</t>
  </si>
  <si>
    <t>=NL("sum","Production Order","Quantity","Source No.",$D5144,"Equipment Code",$L5144,"due date",J$8)/$J$7</t>
  </si>
  <si>
    <t>=AVERAGE(I5144:J5144)</t>
  </si>
  <si>
    <t>=IF(K5145=0,"hide","")</t>
  </si>
  <si>
    <t>=D5144</t>
  </si>
  <si>
    <t>=NL("sum","Production Order","Quantity","Source No.",$D5145,"Equipment Code",$L5145,"due date",F$8)/-12</t>
  </si>
  <si>
    <t>=NL("sum","Production Order","Quantity","Source No.",$D5145,"Equipment Code",$L5145,"due date",G$8)/-12</t>
  </si>
  <si>
    <t>=NL("sum","Production Order","Quantity","Source No.",$D5145,"Equipment Code",$L5145,"due date",H$8)/-12</t>
  </si>
  <si>
    <t>=NL("sum","Production Order","Quantity","Source No.",$D5145,"Equipment Code",$L5145,"due date",I$8)/-12</t>
  </si>
  <si>
    <t>=NL("sum","Production Order","Quantity","Source No.",$D5145,"Equipment Code",$L5145,"due date",J$8)/$J$7</t>
  </si>
  <si>
    <t>=AVERAGE(I5145:J5145)</t>
  </si>
  <si>
    <t>=IF(K5146=0,"hide","")</t>
  </si>
  <si>
    <t>=D5145</t>
  </si>
  <si>
    <t>=NL("sum","Production Order","Quantity","Source No.",$D5146,"Equipment Code",$L5146,"due date",F$8)/-12</t>
  </si>
  <si>
    <t>=NL("sum","Production Order","Quantity","Source No.",$D5146,"Equipment Code",$L5146,"due date",G$8)/-12</t>
  </si>
  <si>
    <t>=NL("sum","Production Order","Quantity","Source No.",$D5146,"Equipment Code",$L5146,"due date",H$8)/-12</t>
  </si>
  <si>
    <t>=NL("sum","Production Order","Quantity","Source No.",$D5146,"Equipment Code",$L5146,"due date",I$8)/-12</t>
  </si>
  <si>
    <t>=NL("sum","Production Order","Quantity","Source No.",$D5146,"Equipment Code",$L5146,"due date",J$8)/$J$7</t>
  </si>
  <si>
    <t>=AVERAGE(I5146:J5146)</t>
  </si>
  <si>
    <t>=IF(K5147=0,"hide","")</t>
  </si>
  <si>
    <t>=D5146</t>
  </si>
  <si>
    <t>=NL("sum","Production Order","Quantity","Source No.",$D5147,"Equipment Code",$L5147,"due date",F$8)/-12</t>
  </si>
  <si>
    <t>=NL("sum","Production Order","Quantity","Source No.",$D5147,"Equipment Code",$L5147,"due date",G$8)/-12</t>
  </si>
  <si>
    <t>=NL("sum","Production Order","Quantity","Source No.",$D5147,"Equipment Code",$L5147,"due date",H$8)/-12</t>
  </si>
  <si>
    <t>=NL("sum","Production Order","Quantity","Source No.",$D5147,"Equipment Code",$L5147,"due date",I$8)/-12</t>
  </si>
  <si>
    <t>=NL("sum","Production Order","Quantity","Source No.",$D5147,"Equipment Code",$L5147,"due date",J$8)/$J$7</t>
  </si>
  <si>
    <t>=AVERAGE(I5147:J5147)</t>
  </si>
  <si>
    <t>=B5144</t>
  </si>
  <si>
    <t>=B5148</t>
  </si>
  <si>
    <t>=SUM(F5144:F5148)</t>
  </si>
  <si>
    <t>=SUM(G5144:G5148)</t>
  </si>
  <si>
    <t>=SUM(H5144:H5148)</t>
  </si>
  <si>
    <t>=SUM(I5144:I5148)</t>
  </si>
  <si>
    <t>=SUM(J5144:J5148)</t>
  </si>
  <si>
    <t>=IF(K5150=0,"hide","")</t>
  </si>
  <si>
    <t>="96106"</t>
  </si>
  <si>
    <t>=NL("rows","Production BOM Version","Version Code","Production BOM No.",D5150,"status","certified")</t>
  </si>
  <si>
    <t>=NL("sum","Item Ledger Entry","Quantity","Item No.",$D5150,"Entry Type","Sale|Consumption","posting date","01/01/19..12/31/19")/-12</t>
  </si>
  <si>
    <t>=NL("sum","Item Ledger Entry","Quantity","Item No.",$D5150,"Entry Type","Sale|Consumption","posting date","01/01/20..12/31/20")/-12</t>
  </si>
  <si>
    <t>=NL("sum","Item Ledger Entry","Quantity","Item No.",$D5150,"Entry Type","Sale|Consumption","posting date","01/01/21..12/31/21")/-12</t>
  </si>
  <si>
    <t>=NL("sum","Item Ledger Entry","Quantity","Item No.",$D5150,"Entry Type","Sale|Consumption","posting date","01/01/22..12/31/22")/-12</t>
  </si>
  <si>
    <t>=NL("sum","Item Ledger Entry","Quantity","Item No.",$D5150,"Entry Type","Sale|Consumption","posting date","01/01/23..12/31/23")/$J$7</t>
  </si>
  <si>
    <t>=AVERAGE(I5150:J5150)</t>
  </si>
  <si>
    <t>=NL(1,"item",L$9,"no.",D5150)</t>
  </si>
  <si>
    <t>=NL(1,"item",M$9,"no.",$D5150)</t>
  </si>
  <si>
    <t>=NL(1,"item","Units Per Parcel","no.",$D5150)</t>
  </si>
  <si>
    <t>=NL(1,"Prod. BOM Equipment","Fixed Prod. Time (Hours)","Production BOM No.",$D5150,"version code",$E5150,"Resource No.",O$9)</t>
  </si>
  <si>
    <t>=1/O5150</t>
  </si>
  <si>
    <t>=IF(NL(1,"Prod. BOM Equipment","Variable Prod. Time (Hours)","Production BOM No.",$D5150,"version code",$E5150,"Resource No.",$O$9)="",1,NL(1,"Prod. BOM Equipment","Variable Prod. Time (Hours)","Production BOM No.",$D5150,"version code",$E5150,"Resource No.",$O$9))</t>
  </si>
  <si>
    <t>=1/Q5150</t>
  </si>
  <si>
    <t>=R5150*N5150</t>
  </si>
  <si>
    <t>=IF(K5151=0,"hide","")</t>
  </si>
  <si>
    <t>=D5150</t>
  </si>
  <si>
    <t>=NL("sum","Production Order","Quantity","Source No.",$D5151,"Equipment Code",$L5151,"due date",F$8)/-12</t>
  </si>
  <si>
    <t>=NL("sum","Production Order","Quantity","Source No.",$D5151,"Equipment Code",$L5151,"due date",G$8)/-12</t>
  </si>
  <si>
    <t>=NL("sum","Production Order","Quantity","Source No.",$D5151,"Equipment Code",$L5151,"due date",H$8)/-12</t>
  </si>
  <si>
    <t>=NL("sum","Production Order","Quantity","Source No.",$D5151,"Equipment Code",$L5151,"due date",I$8)/-12</t>
  </si>
  <si>
    <t>=NL("sum","Production Order","Quantity","Source No.",$D5151,"Equipment Code",$L5151,"due date",J$8)/$J$7</t>
  </si>
  <si>
    <t>=AVERAGE(I5151:J5151)</t>
  </si>
  <si>
    <t>=IF(K5152=0,"hide","")</t>
  </si>
  <si>
    <t>=D5151</t>
  </si>
  <si>
    <t>=NL("sum","Production Order","Quantity","Source No.",$D5152,"Equipment Code",$L5152,"due date",F$8)/-12</t>
  </si>
  <si>
    <t>=NL("sum","Production Order","Quantity","Source No.",$D5152,"Equipment Code",$L5152,"due date",G$8)/-12</t>
  </si>
  <si>
    <t>=NL("sum","Production Order","Quantity","Source No.",$D5152,"Equipment Code",$L5152,"due date",H$8)/-12</t>
  </si>
  <si>
    <t>=NL("sum","Production Order","Quantity","Source No.",$D5152,"Equipment Code",$L5152,"due date",I$8)/-12</t>
  </si>
  <si>
    <t>=NL("sum","Production Order","Quantity","Source No.",$D5152,"Equipment Code",$L5152,"due date",J$8)/$J$7</t>
  </si>
  <si>
    <t>=AVERAGE(I5152:J5152)</t>
  </si>
  <si>
    <t>=IF(K5153=0,"hide","")</t>
  </si>
  <si>
    <t>=D5152</t>
  </si>
  <si>
    <t>=NL("sum","Production Order","Quantity","Source No.",$D5153,"Equipment Code",$L5153,"due date",F$8)/-12</t>
  </si>
  <si>
    <t>=NL("sum","Production Order","Quantity","Source No.",$D5153,"Equipment Code",$L5153,"due date",G$8)/-12</t>
  </si>
  <si>
    <t>=NL("sum","Production Order","Quantity","Source No.",$D5153,"Equipment Code",$L5153,"due date",H$8)/-12</t>
  </si>
  <si>
    <t>=NL("sum","Production Order","Quantity","Source No.",$D5153,"Equipment Code",$L5153,"due date",I$8)/-12</t>
  </si>
  <si>
    <t>=NL("sum","Production Order","Quantity","Source No.",$D5153,"Equipment Code",$L5153,"due date",J$8)/$J$7</t>
  </si>
  <si>
    <t>=AVERAGE(I5153:J5153)</t>
  </si>
  <si>
    <t>=IF(K5154=0,"hide","")</t>
  </si>
  <si>
    <t>=D5153</t>
  </si>
  <si>
    <t>=NL("sum","Production Order","Quantity","Source No.",$D5154,"Equipment Code",$L5154,"due date",F$8)/-12</t>
  </si>
  <si>
    <t>=NL("sum","Production Order","Quantity","Source No.",$D5154,"Equipment Code",$L5154,"due date",G$8)/-12</t>
  </si>
  <si>
    <t>=NL("sum","Production Order","Quantity","Source No.",$D5154,"Equipment Code",$L5154,"due date",H$8)/-12</t>
  </si>
  <si>
    <t>=NL("sum","Production Order","Quantity","Source No.",$D5154,"Equipment Code",$L5154,"due date",I$8)/-12</t>
  </si>
  <si>
    <t>=NL("sum","Production Order","Quantity","Source No.",$D5154,"Equipment Code",$L5154,"due date",J$8)/$J$7</t>
  </si>
  <si>
    <t>=AVERAGE(I5154:J5154)</t>
  </si>
  <si>
    <t>=B5151</t>
  </si>
  <si>
    <t>=B5155</t>
  </si>
  <si>
    <t>=SUM(F5151:F5155)</t>
  </si>
  <si>
    <t>=SUM(G5151:G5155)</t>
  </si>
  <si>
    <t>=SUM(H5151:H5155)</t>
  </si>
  <si>
    <t>=SUM(I5151:I5155)</t>
  </si>
  <si>
    <t>=SUM(J5151:J5155)</t>
  </si>
  <si>
    <t>=IF(K5157=0,"hide","")</t>
  </si>
  <si>
    <t>="96110"</t>
  </si>
  <si>
    <t>=NL("rows","Production BOM Version","Version Code","Production BOM No.",D5157,"status","certified")</t>
  </si>
  <si>
    <t>=NL("sum","Item Ledger Entry","Quantity","Item No.",$D5157,"Entry Type","Sale|Consumption","posting date","01/01/19..12/31/19")/-12</t>
  </si>
  <si>
    <t>=NL("sum","Item Ledger Entry","Quantity","Item No.",$D5157,"Entry Type","Sale|Consumption","posting date","01/01/20..12/31/20")/-12</t>
  </si>
  <si>
    <t>=NL("sum","Item Ledger Entry","Quantity","Item No.",$D5157,"Entry Type","Sale|Consumption","posting date","01/01/21..12/31/21")/-12</t>
  </si>
  <si>
    <t>=NL("sum","Item Ledger Entry","Quantity","Item No.",$D5157,"Entry Type","Sale|Consumption","posting date","01/01/22..12/31/22")/-12</t>
  </si>
  <si>
    <t>=NL("sum","Item Ledger Entry","Quantity","Item No.",$D5157,"Entry Type","Sale|Consumption","posting date","01/01/23..12/31/23")/$J$7</t>
  </si>
  <si>
    <t>=AVERAGE(I5157:J5157)</t>
  </si>
  <si>
    <t>=NL(1,"item",L$9,"no.",D5157)</t>
  </si>
  <si>
    <t>=NL(1,"item",M$9,"no.",$D5157)</t>
  </si>
  <si>
    <t>=NL(1,"item","Units Per Parcel","no.",$D5157)</t>
  </si>
  <si>
    <t>=NL(1,"Prod. BOM Equipment","Fixed Prod. Time (Hours)","Production BOM No.",$D5157,"version code",$E5157,"Resource No.",O$9)</t>
  </si>
  <si>
    <t>=1/O5157</t>
  </si>
  <si>
    <t>=IF(NL(1,"Prod. BOM Equipment","Variable Prod. Time (Hours)","Production BOM No.",$D5157,"version code",$E5157,"Resource No.",$O$9)="",1,NL(1,"Prod. BOM Equipment","Variable Prod. Time (Hours)","Production BOM No.",$D5157,"version code",$E5157,"Resource No.",$O$9))</t>
  </si>
  <si>
    <t>=1/Q5157</t>
  </si>
  <si>
    <t>=R5157*N5157</t>
  </si>
  <si>
    <t>=IF(K5158=0,"hide","")</t>
  </si>
  <si>
    <t>=D5157</t>
  </si>
  <si>
    <t>=NL("sum","Production Order","Quantity","Source No.",$D5158,"Equipment Code",$L5158,"due date",F$8)/-12</t>
  </si>
  <si>
    <t>=NL("sum","Production Order","Quantity","Source No.",$D5158,"Equipment Code",$L5158,"due date",G$8)/-12</t>
  </si>
  <si>
    <t>=NL("sum","Production Order","Quantity","Source No.",$D5158,"Equipment Code",$L5158,"due date",H$8)/-12</t>
  </si>
  <si>
    <t>=NL("sum","Production Order","Quantity","Source No.",$D5158,"Equipment Code",$L5158,"due date",I$8)/-12</t>
  </si>
  <si>
    <t>=NL("sum","Production Order","Quantity","Source No.",$D5158,"Equipment Code",$L5158,"due date",J$8)/$J$7</t>
  </si>
  <si>
    <t>=AVERAGE(I5158:J5158)</t>
  </si>
  <si>
    <t>=IF(K5159=0,"hide","")</t>
  </si>
  <si>
    <t>=D5158</t>
  </si>
  <si>
    <t>=NL("sum","Production Order","Quantity","Source No.",$D5159,"Equipment Code",$L5159,"due date",F$8)/-12</t>
  </si>
  <si>
    <t>=NL("sum","Production Order","Quantity","Source No.",$D5159,"Equipment Code",$L5159,"due date",G$8)/-12</t>
  </si>
  <si>
    <t>=NL("sum","Production Order","Quantity","Source No.",$D5159,"Equipment Code",$L5159,"due date",H$8)/-12</t>
  </si>
  <si>
    <t>=NL("sum","Production Order","Quantity","Source No.",$D5159,"Equipment Code",$L5159,"due date",I$8)/-12</t>
  </si>
  <si>
    <t>=NL("sum","Production Order","Quantity","Source No.",$D5159,"Equipment Code",$L5159,"due date",J$8)/$J$7</t>
  </si>
  <si>
    <t>=AVERAGE(I5159:J5159)</t>
  </si>
  <si>
    <t>=IF(K5160=0,"hide","")</t>
  </si>
  <si>
    <t>=D5159</t>
  </si>
  <si>
    <t>=NL("sum","Production Order","Quantity","Source No.",$D5160,"Equipment Code",$L5160,"due date",F$8)/-12</t>
  </si>
  <si>
    <t>=NL("sum","Production Order","Quantity","Source No.",$D5160,"Equipment Code",$L5160,"due date",G$8)/-12</t>
  </si>
  <si>
    <t>=NL("sum","Production Order","Quantity","Source No.",$D5160,"Equipment Code",$L5160,"due date",H$8)/-12</t>
  </si>
  <si>
    <t>=NL("sum","Production Order","Quantity","Source No.",$D5160,"Equipment Code",$L5160,"due date",I$8)/-12</t>
  </si>
  <si>
    <t>=NL("sum","Production Order","Quantity","Source No.",$D5160,"Equipment Code",$L5160,"due date",J$8)/$J$7</t>
  </si>
  <si>
    <t>=AVERAGE(I5160:J5160)</t>
  </si>
  <si>
    <t>=IF(K5161=0,"hide","")</t>
  </si>
  <si>
    <t>=D5160</t>
  </si>
  <si>
    <t>=NL("sum","Production Order","Quantity","Source No.",$D5161,"Equipment Code",$L5161,"due date",F$8)/-12</t>
  </si>
  <si>
    <t>=NL("sum","Production Order","Quantity","Source No.",$D5161,"Equipment Code",$L5161,"due date",G$8)/-12</t>
  </si>
  <si>
    <t>=NL("sum","Production Order","Quantity","Source No.",$D5161,"Equipment Code",$L5161,"due date",H$8)/-12</t>
  </si>
  <si>
    <t>=NL("sum","Production Order","Quantity","Source No.",$D5161,"Equipment Code",$L5161,"due date",I$8)/-12</t>
  </si>
  <si>
    <t>=NL("sum","Production Order","Quantity","Source No.",$D5161,"Equipment Code",$L5161,"due date",J$8)/$J$7</t>
  </si>
  <si>
    <t>=AVERAGE(I5161:J5161)</t>
  </si>
  <si>
    <t>=B5158</t>
  </si>
  <si>
    <t>=B5162</t>
  </si>
  <si>
    <t>=SUM(F5158:F5162)</t>
  </si>
  <si>
    <t>=SUM(G5158:G5162)</t>
  </si>
  <si>
    <t>=SUM(H5158:H5162)</t>
  </si>
  <si>
    <t>=SUM(I5158:I5162)</t>
  </si>
  <si>
    <t>=SUM(J5158:J5162)</t>
  </si>
  <si>
    <t>=IF(K5164=0,"hide","")</t>
  </si>
  <si>
    <t>="96205"</t>
  </si>
  <si>
    <t>=NL("rows","Production BOM Version","Version Code","Production BOM No.",D5164,"status","certified")</t>
  </si>
  <si>
    <t>=NL("sum","Item Ledger Entry","Quantity","Item No.",$D5164,"Entry Type","Sale|Consumption","posting date","01/01/19..12/31/19")/-12</t>
  </si>
  <si>
    <t>=NL("sum","Item Ledger Entry","Quantity","Item No.",$D5164,"Entry Type","Sale|Consumption","posting date","01/01/20..12/31/20")/-12</t>
  </si>
  <si>
    <t>=NL("sum","Item Ledger Entry","Quantity","Item No.",$D5164,"Entry Type","Sale|Consumption","posting date","01/01/21..12/31/21")/-12</t>
  </si>
  <si>
    <t>=NL("sum","Item Ledger Entry","Quantity","Item No.",$D5164,"Entry Type","Sale|Consumption","posting date","01/01/22..12/31/22")/-12</t>
  </si>
  <si>
    <t>=NL("sum","Item Ledger Entry","Quantity","Item No.",$D5164,"Entry Type","Sale|Consumption","posting date","01/01/23..12/31/23")/$J$7</t>
  </si>
  <si>
    <t>=AVERAGE(I5164:J5164)</t>
  </si>
  <si>
    <t>=NL(1,"item",L$9,"no.",D5164)</t>
  </si>
  <si>
    <t>=NL(1,"item",M$9,"no.",$D5164)</t>
  </si>
  <si>
    <t>=NL(1,"item","Units Per Parcel","no.",$D5164)</t>
  </si>
  <si>
    <t>=NL(1,"Prod. BOM Equipment","Fixed Prod. Time (Hours)","Production BOM No.",$D5164,"version code",$E5164,"Resource No.",O$9)</t>
  </si>
  <si>
    <t>=1/O5164</t>
  </si>
  <si>
    <t>=IF(NL(1,"Prod. BOM Equipment","Variable Prod. Time (Hours)","Production BOM No.",$D5164,"version code",$E5164,"Resource No.",$O$9)="",1,NL(1,"Prod. BOM Equipment","Variable Prod. Time (Hours)","Production BOM No.",$D5164,"version code",$E5164,"Resource No.",$O$9))</t>
  </si>
  <si>
    <t>=1/Q5164</t>
  </si>
  <si>
    <t>=R5164*N5164</t>
  </si>
  <si>
    <t>=IF(K5165=0,"hide","")</t>
  </si>
  <si>
    <t>=D5164</t>
  </si>
  <si>
    <t>=NL("sum","Production Order","Quantity","Source No.",$D5165,"Equipment Code",$L5165,"due date",F$8)/-12</t>
  </si>
  <si>
    <t>=NL("sum","Production Order","Quantity","Source No.",$D5165,"Equipment Code",$L5165,"due date",G$8)/-12</t>
  </si>
  <si>
    <t>=NL("sum","Production Order","Quantity","Source No.",$D5165,"Equipment Code",$L5165,"due date",H$8)/-12</t>
  </si>
  <si>
    <t>=NL("sum","Production Order","Quantity","Source No.",$D5165,"Equipment Code",$L5165,"due date",I$8)/-12</t>
  </si>
  <si>
    <t>=NL("sum","Production Order","Quantity","Source No.",$D5165,"Equipment Code",$L5165,"due date",J$8)/$J$7</t>
  </si>
  <si>
    <t>=AVERAGE(I5165:J5165)</t>
  </si>
  <si>
    <t>=IF(K5166=0,"hide","")</t>
  </si>
  <si>
    <t>=D5165</t>
  </si>
  <si>
    <t>=NL("sum","Production Order","Quantity","Source No.",$D5166,"Equipment Code",$L5166,"due date",F$8)/-12</t>
  </si>
  <si>
    <t>=NL("sum","Production Order","Quantity","Source No.",$D5166,"Equipment Code",$L5166,"due date",G$8)/-12</t>
  </si>
  <si>
    <t>=NL("sum","Production Order","Quantity","Source No.",$D5166,"Equipment Code",$L5166,"due date",H$8)/-12</t>
  </si>
  <si>
    <t>=NL("sum","Production Order","Quantity","Source No.",$D5166,"Equipment Code",$L5166,"due date",I$8)/-12</t>
  </si>
  <si>
    <t>=NL("sum","Production Order","Quantity","Source No.",$D5166,"Equipment Code",$L5166,"due date",J$8)/$J$7</t>
  </si>
  <si>
    <t>=AVERAGE(I5166:J5166)</t>
  </si>
  <si>
    <t>=IF(K5167=0,"hide","")</t>
  </si>
  <si>
    <t>=D5166</t>
  </si>
  <si>
    <t>=NL("sum","Production Order","Quantity","Source No.",$D5167,"Equipment Code",$L5167,"due date",F$8)/-12</t>
  </si>
  <si>
    <t>=NL("sum","Production Order","Quantity","Source No.",$D5167,"Equipment Code",$L5167,"due date",G$8)/-12</t>
  </si>
  <si>
    <t>=NL("sum","Production Order","Quantity","Source No.",$D5167,"Equipment Code",$L5167,"due date",H$8)/-12</t>
  </si>
  <si>
    <t>=NL("sum","Production Order","Quantity","Source No.",$D5167,"Equipment Code",$L5167,"due date",I$8)/-12</t>
  </si>
  <si>
    <t>=NL("sum","Production Order","Quantity","Source No.",$D5167,"Equipment Code",$L5167,"due date",J$8)/$J$7</t>
  </si>
  <si>
    <t>=AVERAGE(I5167:J5167)</t>
  </si>
  <si>
    <t>=IF(K5168=0,"hide","")</t>
  </si>
  <si>
    <t>=D5167</t>
  </si>
  <si>
    <t>=NL("sum","Production Order","Quantity","Source No.",$D5168,"Equipment Code",$L5168,"due date",F$8)/-12</t>
  </si>
  <si>
    <t>=NL("sum","Production Order","Quantity","Source No.",$D5168,"Equipment Code",$L5168,"due date",G$8)/-12</t>
  </si>
  <si>
    <t>=NL("sum","Production Order","Quantity","Source No.",$D5168,"Equipment Code",$L5168,"due date",H$8)/-12</t>
  </si>
  <si>
    <t>=NL("sum","Production Order","Quantity","Source No.",$D5168,"Equipment Code",$L5168,"due date",I$8)/-12</t>
  </si>
  <si>
    <t>=NL("sum","Production Order","Quantity","Source No.",$D5168,"Equipment Code",$L5168,"due date",J$8)/$J$7</t>
  </si>
  <si>
    <t>=AVERAGE(I5168:J5168)</t>
  </si>
  <si>
    <t>=B5165</t>
  </si>
  <si>
    <t>=B5169</t>
  </si>
  <si>
    <t>=SUM(F5165:F5169)</t>
  </si>
  <si>
    <t>=SUM(G5165:G5169)</t>
  </si>
  <si>
    <t>=SUM(H5165:H5169)</t>
  </si>
  <si>
    <t>=SUM(I5165:I5169)</t>
  </si>
  <si>
    <t>=SUM(J5165:J5169)</t>
  </si>
  <si>
    <t>=IF(K5171=0,"hide","")</t>
  </si>
  <si>
    <t>="96209"</t>
  </si>
  <si>
    <t>=NL("rows","Production BOM Version","Version Code","Production BOM No.",D5171,"status","certified")</t>
  </si>
  <si>
    <t>=NL("sum","Item Ledger Entry","Quantity","Item No.",$D5171,"Entry Type","Sale|Consumption","posting date","01/01/19..12/31/19")/-12</t>
  </si>
  <si>
    <t>=NL("sum","Item Ledger Entry","Quantity","Item No.",$D5171,"Entry Type","Sale|Consumption","posting date","01/01/20..12/31/20")/-12</t>
  </si>
  <si>
    <t>=NL("sum","Item Ledger Entry","Quantity","Item No.",$D5171,"Entry Type","Sale|Consumption","posting date","01/01/21..12/31/21")/-12</t>
  </si>
  <si>
    <t>=NL("sum","Item Ledger Entry","Quantity","Item No.",$D5171,"Entry Type","Sale|Consumption","posting date","01/01/22..12/31/22")/-12</t>
  </si>
  <si>
    <t>=NL("sum","Item Ledger Entry","Quantity","Item No.",$D5171,"Entry Type","Sale|Consumption","posting date","01/01/23..12/31/23")/$J$7</t>
  </si>
  <si>
    <t>=AVERAGE(I5171:J5171)</t>
  </si>
  <si>
    <t>=NL(1,"item",L$9,"no.",D5171)</t>
  </si>
  <si>
    <t>=NL(1,"item",M$9,"no.",$D5171)</t>
  </si>
  <si>
    <t>=NL(1,"item","Units Per Parcel","no.",$D5171)</t>
  </si>
  <si>
    <t>=NL(1,"Prod. BOM Equipment","Fixed Prod. Time (Hours)","Production BOM No.",$D5171,"version code",$E5171,"Resource No.",O$9)</t>
  </si>
  <si>
    <t>=1/O5171</t>
  </si>
  <si>
    <t>=IF(NL(1,"Prod. BOM Equipment","Variable Prod. Time (Hours)","Production BOM No.",$D5171,"version code",$E5171,"Resource No.",$O$9)="",1,NL(1,"Prod. BOM Equipment","Variable Prod. Time (Hours)","Production BOM No.",$D5171,"version code",$E5171,"Resource No.",$O$9))</t>
  </si>
  <si>
    <t>=1/Q5171</t>
  </si>
  <si>
    <t>=R5171*N5171</t>
  </si>
  <si>
    <t>=IF(K5172=0,"hide","")</t>
  </si>
  <si>
    <t>=D5171</t>
  </si>
  <si>
    <t>=NL("sum","Production Order","Quantity","Source No.",$D5172,"Equipment Code",$L5172,"due date",F$8)/-12</t>
  </si>
  <si>
    <t>=NL("sum","Production Order","Quantity","Source No.",$D5172,"Equipment Code",$L5172,"due date",G$8)/-12</t>
  </si>
  <si>
    <t>=NL("sum","Production Order","Quantity","Source No.",$D5172,"Equipment Code",$L5172,"due date",H$8)/-12</t>
  </si>
  <si>
    <t>=NL("sum","Production Order","Quantity","Source No.",$D5172,"Equipment Code",$L5172,"due date",I$8)/-12</t>
  </si>
  <si>
    <t>=NL("sum","Production Order","Quantity","Source No.",$D5172,"Equipment Code",$L5172,"due date",J$8)/$J$7</t>
  </si>
  <si>
    <t>=AVERAGE(I5172:J5172)</t>
  </si>
  <si>
    <t>=IF(K5173=0,"hide","")</t>
  </si>
  <si>
    <t>=D5172</t>
  </si>
  <si>
    <t>=NL("sum","Production Order","Quantity","Source No.",$D5173,"Equipment Code",$L5173,"due date",F$8)/-12</t>
  </si>
  <si>
    <t>=NL("sum","Production Order","Quantity","Source No.",$D5173,"Equipment Code",$L5173,"due date",G$8)/-12</t>
  </si>
  <si>
    <t>=NL("sum","Production Order","Quantity","Source No.",$D5173,"Equipment Code",$L5173,"due date",H$8)/-12</t>
  </si>
  <si>
    <t>=NL("sum","Production Order","Quantity","Source No.",$D5173,"Equipment Code",$L5173,"due date",I$8)/-12</t>
  </si>
  <si>
    <t>=NL("sum","Production Order","Quantity","Source No.",$D5173,"Equipment Code",$L5173,"due date",J$8)/$J$7</t>
  </si>
  <si>
    <t>=AVERAGE(I5173:J5173)</t>
  </si>
  <si>
    <t>=IF(K5174=0,"hide","")</t>
  </si>
  <si>
    <t>=D5173</t>
  </si>
  <si>
    <t>=NL("sum","Production Order","Quantity","Source No.",$D5174,"Equipment Code",$L5174,"due date",F$8)/-12</t>
  </si>
  <si>
    <t>=NL("sum","Production Order","Quantity","Source No.",$D5174,"Equipment Code",$L5174,"due date",G$8)/-12</t>
  </si>
  <si>
    <t>=NL("sum","Production Order","Quantity","Source No.",$D5174,"Equipment Code",$L5174,"due date",H$8)/-12</t>
  </si>
  <si>
    <t>=NL("sum","Production Order","Quantity","Source No.",$D5174,"Equipment Code",$L5174,"due date",I$8)/-12</t>
  </si>
  <si>
    <t>=NL("sum","Production Order","Quantity","Source No.",$D5174,"Equipment Code",$L5174,"due date",J$8)/$J$7</t>
  </si>
  <si>
    <t>=AVERAGE(I5174:J5174)</t>
  </si>
  <si>
    <t>=IF(K5175=0,"hide","")</t>
  </si>
  <si>
    <t>=D5174</t>
  </si>
  <si>
    <t>=NL("sum","Production Order","Quantity","Source No.",$D5175,"Equipment Code",$L5175,"due date",F$8)/-12</t>
  </si>
  <si>
    <t>=NL("sum","Production Order","Quantity","Source No.",$D5175,"Equipment Code",$L5175,"due date",G$8)/-12</t>
  </si>
  <si>
    <t>=NL("sum","Production Order","Quantity","Source No.",$D5175,"Equipment Code",$L5175,"due date",H$8)/-12</t>
  </si>
  <si>
    <t>=NL("sum","Production Order","Quantity","Source No.",$D5175,"Equipment Code",$L5175,"due date",I$8)/-12</t>
  </si>
  <si>
    <t>=NL("sum","Production Order","Quantity","Source No.",$D5175,"Equipment Code",$L5175,"due date",J$8)/$J$7</t>
  </si>
  <si>
    <t>=AVERAGE(I5175:J5175)</t>
  </si>
  <si>
    <t>=B5172</t>
  </si>
  <si>
    <t>=B5176</t>
  </si>
  <si>
    <t>=SUM(F5172:F5176)</t>
  </si>
  <si>
    <t>=SUM(G5172:G5176)</t>
  </si>
  <si>
    <t>=SUM(H5172:H5176)</t>
  </si>
  <si>
    <t>=SUM(I5172:I5176)</t>
  </si>
  <si>
    <t>=SUM(J5172:J5176)</t>
  </si>
  <si>
    <t>=IF(K5178=0,"hide","")</t>
  </si>
  <si>
    <t>="96219"</t>
  </si>
  <si>
    <t>=NL("rows","Production BOM Version","Version Code","Production BOM No.",D5178,"status","certified")</t>
  </si>
  <si>
    <t>=NL("sum","Item Ledger Entry","Quantity","Item No.",$D5178,"Entry Type","Sale|Consumption","posting date","01/01/19..12/31/19")/-12</t>
  </si>
  <si>
    <t>=NL("sum","Item Ledger Entry","Quantity","Item No.",$D5178,"Entry Type","Sale|Consumption","posting date","01/01/20..12/31/20")/-12</t>
  </si>
  <si>
    <t>=NL("sum","Item Ledger Entry","Quantity","Item No.",$D5178,"Entry Type","Sale|Consumption","posting date","01/01/21..12/31/21")/-12</t>
  </si>
  <si>
    <t>=NL("sum","Item Ledger Entry","Quantity","Item No.",$D5178,"Entry Type","Sale|Consumption","posting date","01/01/22..12/31/22")/-12</t>
  </si>
  <si>
    <t>=NL("sum","Item Ledger Entry","Quantity","Item No.",$D5178,"Entry Type","Sale|Consumption","posting date","01/01/23..12/31/23")/$J$7</t>
  </si>
  <si>
    <t>=AVERAGE(I5178:J5178)</t>
  </si>
  <si>
    <t>=NL(1,"item",L$9,"no.",D5178)</t>
  </si>
  <si>
    <t>=NL(1,"item",M$9,"no.",$D5178)</t>
  </si>
  <si>
    <t>=NL(1,"item","Units Per Parcel","no.",$D5178)</t>
  </si>
  <si>
    <t>=NL(1,"Prod. BOM Equipment","Fixed Prod. Time (Hours)","Production BOM No.",$D5178,"version code",$E5178,"Resource No.",O$9)</t>
  </si>
  <si>
    <t>=1/O5178</t>
  </si>
  <si>
    <t>=IF(NL(1,"Prod. BOM Equipment","Variable Prod. Time (Hours)","Production BOM No.",$D5178,"version code",$E5178,"Resource No.",$O$9)="",1,NL(1,"Prod. BOM Equipment","Variable Prod. Time (Hours)","Production BOM No.",$D5178,"version code",$E5178,"Resource No.",$O$9))</t>
  </si>
  <si>
    <t>=1/Q5178</t>
  </si>
  <si>
    <t>=R5178*N5178</t>
  </si>
  <si>
    <t>=IF(K5179=0,"hide","")</t>
  </si>
  <si>
    <t>=D5178</t>
  </si>
  <si>
    <t>=NL("sum","Production Order","Quantity","Source No.",$D5179,"Equipment Code",$L5179,"due date",F$8)/-12</t>
  </si>
  <si>
    <t>=NL("sum","Production Order","Quantity","Source No.",$D5179,"Equipment Code",$L5179,"due date",G$8)/-12</t>
  </si>
  <si>
    <t>=NL("sum","Production Order","Quantity","Source No.",$D5179,"Equipment Code",$L5179,"due date",H$8)/-12</t>
  </si>
  <si>
    <t>=NL("sum","Production Order","Quantity","Source No.",$D5179,"Equipment Code",$L5179,"due date",I$8)/-12</t>
  </si>
  <si>
    <t>=NL("sum","Production Order","Quantity","Source No.",$D5179,"Equipment Code",$L5179,"due date",J$8)/$J$7</t>
  </si>
  <si>
    <t>=AVERAGE(I5179:J5179)</t>
  </si>
  <si>
    <t>=IF(K5180=0,"hide","")</t>
  </si>
  <si>
    <t>=D5179</t>
  </si>
  <si>
    <t>=NL("sum","Production Order","Quantity","Source No.",$D5180,"Equipment Code",$L5180,"due date",F$8)/-12</t>
  </si>
  <si>
    <t>=NL("sum","Production Order","Quantity","Source No.",$D5180,"Equipment Code",$L5180,"due date",G$8)/-12</t>
  </si>
  <si>
    <t>=NL("sum","Production Order","Quantity","Source No.",$D5180,"Equipment Code",$L5180,"due date",H$8)/-12</t>
  </si>
  <si>
    <t>=NL("sum","Production Order","Quantity","Source No.",$D5180,"Equipment Code",$L5180,"due date",I$8)/-12</t>
  </si>
  <si>
    <t>=NL("sum","Production Order","Quantity","Source No.",$D5180,"Equipment Code",$L5180,"due date",J$8)/$J$7</t>
  </si>
  <si>
    <t>=AVERAGE(I5180:J5180)</t>
  </si>
  <si>
    <t>=IF(K5181=0,"hide","")</t>
  </si>
  <si>
    <t>=D5180</t>
  </si>
  <si>
    <t>=NL("sum","Production Order","Quantity","Source No.",$D5181,"Equipment Code",$L5181,"due date",F$8)/-12</t>
  </si>
  <si>
    <t>=NL("sum","Production Order","Quantity","Source No.",$D5181,"Equipment Code",$L5181,"due date",G$8)/-12</t>
  </si>
  <si>
    <t>=NL("sum","Production Order","Quantity","Source No.",$D5181,"Equipment Code",$L5181,"due date",H$8)/-12</t>
  </si>
  <si>
    <t>=NL("sum","Production Order","Quantity","Source No.",$D5181,"Equipment Code",$L5181,"due date",I$8)/-12</t>
  </si>
  <si>
    <t>=NL("sum","Production Order","Quantity","Source No.",$D5181,"Equipment Code",$L5181,"due date",J$8)/$J$7</t>
  </si>
  <si>
    <t>=AVERAGE(I5181:J5181)</t>
  </si>
  <si>
    <t>=IF(K5182=0,"hide","")</t>
  </si>
  <si>
    <t>=D5181</t>
  </si>
  <si>
    <t>=NL("sum","Production Order","Quantity","Source No.",$D5182,"Equipment Code",$L5182,"due date",F$8)/-12</t>
  </si>
  <si>
    <t>=NL("sum","Production Order","Quantity","Source No.",$D5182,"Equipment Code",$L5182,"due date",G$8)/-12</t>
  </si>
  <si>
    <t>=NL("sum","Production Order","Quantity","Source No.",$D5182,"Equipment Code",$L5182,"due date",H$8)/-12</t>
  </si>
  <si>
    <t>=NL("sum","Production Order","Quantity","Source No.",$D5182,"Equipment Code",$L5182,"due date",I$8)/-12</t>
  </si>
  <si>
    <t>=NL("sum","Production Order","Quantity","Source No.",$D5182,"Equipment Code",$L5182,"due date",J$8)/$J$7</t>
  </si>
  <si>
    <t>=AVERAGE(I5182:J5182)</t>
  </si>
  <si>
    <t>=B5179</t>
  </si>
  <si>
    <t>=B5183</t>
  </si>
  <si>
    <t>=SUM(F5179:F5183)</t>
  </si>
  <si>
    <t>=SUM(G5179:G5183)</t>
  </si>
  <si>
    <t>=SUM(H5179:H5183)</t>
  </si>
  <si>
    <t>=SUM(I5179:I5183)</t>
  </si>
  <si>
    <t>=SUM(J5179:J5183)</t>
  </si>
  <si>
    <t>=IF(K5185=0,"hide","")</t>
  </si>
  <si>
    <t>=NL("rows","Production BOM Version","Version Code","Production BOM No.",D5185,"status","certified")</t>
  </si>
  <si>
    <t>=NL("sum","Item Ledger Entry","Quantity","Item No.",$D5185,"Entry Type","Sale|Consumption","posting date","01/01/19..12/31/19")/-12</t>
  </si>
  <si>
    <t>=NL("sum","Item Ledger Entry","Quantity","Item No.",$D5185,"Entry Type","Sale|Consumption","posting date","01/01/20..12/31/20")/-12</t>
  </si>
  <si>
    <t>=NL("sum","Item Ledger Entry","Quantity","Item No.",$D5185,"Entry Type","Sale|Consumption","posting date","01/01/21..12/31/21")/-12</t>
  </si>
  <si>
    <t>=NL("sum","Item Ledger Entry","Quantity","Item No.",$D5185,"Entry Type","Sale|Consumption","posting date","01/01/22..12/31/22")/-12</t>
  </si>
  <si>
    <t>=NL("sum","Item Ledger Entry","Quantity","Item No.",$D5185,"Entry Type","Sale|Consumption","posting date","01/01/23..12/31/23")/$J$7</t>
  </si>
  <si>
    <t>=AVERAGE(I5185:J5185)</t>
  </si>
  <si>
    <t>=NL(1,"item",L$9,"no.",D5185)</t>
  </si>
  <si>
    <t>=NL(1,"item",M$9,"no.",$D5185)</t>
  </si>
  <si>
    <t>=NL(1,"item","Units Per Parcel","no.",$D5185)</t>
  </si>
  <si>
    <t>=NL(1,"Prod. BOM Equipment","Fixed Prod. Time (Hours)","Production BOM No.",$D5185,"version code",$E5185,"Resource No.",O$9)</t>
  </si>
  <si>
    <t>=1/O5185</t>
  </si>
  <si>
    <t>=IF(NL(1,"Prod. BOM Equipment","Variable Prod. Time (Hours)","Production BOM No.",$D5185,"version code",$E5185,"Resource No.",$O$9)="",1,NL(1,"Prod. BOM Equipment","Variable Prod. Time (Hours)","Production BOM No.",$D5185,"version code",$E5185,"Resource No.",$O$9))</t>
  </si>
  <si>
    <t>=1/Q5185</t>
  </si>
  <si>
    <t>=R5185*N5185</t>
  </si>
  <si>
    <t>=IF(K5186=0,"hide","")</t>
  </si>
  <si>
    <t>=D5185</t>
  </si>
  <si>
    <t>=NL("sum","Production Order","Quantity","Source No.",$D5186,"Equipment Code",$L5186,"due date",F$8)/-12</t>
  </si>
  <si>
    <t>=NL("sum","Production Order","Quantity","Source No.",$D5186,"Equipment Code",$L5186,"due date",G$8)/-12</t>
  </si>
  <si>
    <t>=NL("sum","Production Order","Quantity","Source No.",$D5186,"Equipment Code",$L5186,"due date",H$8)/-12</t>
  </si>
  <si>
    <t>=NL("sum","Production Order","Quantity","Source No.",$D5186,"Equipment Code",$L5186,"due date",I$8)/-12</t>
  </si>
  <si>
    <t>=NL("sum","Production Order","Quantity","Source No.",$D5186,"Equipment Code",$L5186,"due date",J$8)/$J$7</t>
  </si>
  <si>
    <t>=AVERAGE(I5186:J5186)</t>
  </si>
  <si>
    <t>=IF(K5187=0,"hide","")</t>
  </si>
  <si>
    <t>=D5186</t>
  </si>
  <si>
    <t>=NL("sum","Production Order","Quantity","Source No.",$D5187,"Equipment Code",$L5187,"due date",F$8)/-12</t>
  </si>
  <si>
    <t>=NL("sum","Production Order","Quantity","Source No.",$D5187,"Equipment Code",$L5187,"due date",G$8)/-12</t>
  </si>
  <si>
    <t>=NL("sum","Production Order","Quantity","Source No.",$D5187,"Equipment Code",$L5187,"due date",H$8)/-12</t>
  </si>
  <si>
    <t>=NL("sum","Production Order","Quantity","Source No.",$D5187,"Equipment Code",$L5187,"due date",I$8)/-12</t>
  </si>
  <si>
    <t>=NL("sum","Production Order","Quantity","Source No.",$D5187,"Equipment Code",$L5187,"due date",J$8)/$J$7</t>
  </si>
  <si>
    <t>=AVERAGE(I5187:J5187)</t>
  </si>
  <si>
    <t>=IF(K5188=0,"hide","")</t>
  </si>
  <si>
    <t>=D5187</t>
  </si>
  <si>
    <t>=NL("sum","Production Order","Quantity","Source No.",$D5188,"Equipment Code",$L5188,"due date",F$8)/-12</t>
  </si>
  <si>
    <t>=NL("sum","Production Order","Quantity","Source No.",$D5188,"Equipment Code",$L5188,"due date",G$8)/-12</t>
  </si>
  <si>
    <t>=NL("sum","Production Order","Quantity","Source No.",$D5188,"Equipment Code",$L5188,"due date",H$8)/-12</t>
  </si>
  <si>
    <t>=NL("sum","Production Order","Quantity","Source No.",$D5188,"Equipment Code",$L5188,"due date",I$8)/-12</t>
  </si>
  <si>
    <t>=NL("sum","Production Order","Quantity","Source No.",$D5188,"Equipment Code",$L5188,"due date",J$8)/$J$7</t>
  </si>
  <si>
    <t>=AVERAGE(I5188:J5188)</t>
  </si>
  <si>
    <t>=IF(K5189=0,"hide","")</t>
  </si>
  <si>
    <t>=D5188</t>
  </si>
  <si>
    <t>=NL("sum","Production Order","Quantity","Source No.",$D5189,"Equipment Code",$L5189,"due date",F$8)/-12</t>
  </si>
  <si>
    <t>=NL("sum","Production Order","Quantity","Source No.",$D5189,"Equipment Code",$L5189,"due date",G$8)/-12</t>
  </si>
  <si>
    <t>=NL("sum","Production Order","Quantity","Source No.",$D5189,"Equipment Code",$L5189,"due date",H$8)/-12</t>
  </si>
  <si>
    <t>=NL("sum","Production Order","Quantity","Source No.",$D5189,"Equipment Code",$L5189,"due date",I$8)/-12</t>
  </si>
  <si>
    <t>=NL("sum","Production Order","Quantity","Source No.",$D5189,"Equipment Code",$L5189,"due date",J$8)/$J$7</t>
  </si>
  <si>
    <t>=AVERAGE(I5189:J5189)</t>
  </si>
  <si>
    <t>=B5186</t>
  </si>
  <si>
    <t>=B5190</t>
  </si>
  <si>
    <t>=SUM(F5186:F5190)</t>
  </si>
  <si>
    <t>=SUM(G5186:G5190)</t>
  </si>
  <si>
    <t>=SUM(H5186:H5190)</t>
  </si>
  <si>
    <t>=SUM(I5186:I5190)</t>
  </si>
  <si>
    <t>=SUM(J5186:J5190)</t>
  </si>
  <si>
    <t>=IF(K5192=0,"hide","")</t>
  </si>
  <si>
    <t>="96625"</t>
  </si>
  <si>
    <t>=NL("rows","Production BOM Version","Version Code","Production BOM No.",D5192,"status","certified")</t>
  </si>
  <si>
    <t>=NL("sum","Item Ledger Entry","Quantity","Item No.",$D5192,"Entry Type","Sale|Consumption","posting date","01/01/19..12/31/19")/-12</t>
  </si>
  <si>
    <t>=NL("sum","Item Ledger Entry","Quantity","Item No.",$D5192,"Entry Type","Sale|Consumption","posting date","01/01/20..12/31/20")/-12</t>
  </si>
  <si>
    <t>=NL("sum","Item Ledger Entry","Quantity","Item No.",$D5192,"Entry Type","Sale|Consumption","posting date","01/01/21..12/31/21")/-12</t>
  </si>
  <si>
    <t>=NL("sum","Item Ledger Entry","Quantity","Item No.",$D5192,"Entry Type","Sale|Consumption","posting date","01/01/22..12/31/22")/-12</t>
  </si>
  <si>
    <t>=NL("sum","Item Ledger Entry","Quantity","Item No.",$D5192,"Entry Type","Sale|Consumption","posting date","01/01/23..12/31/23")/$J$7</t>
  </si>
  <si>
    <t>=AVERAGE(I5192:J5192)</t>
  </si>
  <si>
    <t>=NL(1,"item",L$9,"no.",D5192)</t>
  </si>
  <si>
    <t>=NL(1,"item",M$9,"no.",$D5192)</t>
  </si>
  <si>
    <t>=NL(1,"item","Units Per Parcel","no.",$D5192)</t>
  </si>
  <si>
    <t>=NL(1,"Prod. BOM Equipment","Fixed Prod. Time (Hours)","Production BOM No.",$D5192,"version code",$E5192,"Resource No.",O$9)</t>
  </si>
  <si>
    <t>=1/O5192</t>
  </si>
  <si>
    <t>=IF(NL(1,"Prod. BOM Equipment","Variable Prod. Time (Hours)","Production BOM No.",$D5192,"version code",$E5192,"Resource No.",$O$9)="",1,NL(1,"Prod. BOM Equipment","Variable Prod. Time (Hours)","Production BOM No.",$D5192,"version code",$E5192,"Resource No.",$O$9))</t>
  </si>
  <si>
    <t>=1/Q5192</t>
  </si>
  <si>
    <t>=R5192*N5192</t>
  </si>
  <si>
    <t>=IF(K5193=0,"hide","")</t>
  </si>
  <si>
    <t>=AVERAGE(I5193:J5193)</t>
  </si>
  <si>
    <t>=IF(K5194=0,"hide","")</t>
  </si>
  <si>
    <t>=D5192</t>
  </si>
  <si>
    <t>=NL("sum","Production Order","Quantity","Source No.",$D5194,"Equipment Code",$L5194,"due date",F$8)/-12</t>
  </si>
  <si>
    <t>=NL("sum","Production Order","Quantity","Source No.",$D5194,"Equipment Code",$L5194,"due date",G$8)/-12</t>
  </si>
  <si>
    <t>=NL("sum","Production Order","Quantity","Source No.",$D5194,"Equipment Code",$L5194,"due date",H$8)/-12</t>
  </si>
  <si>
    <t>=NL("sum","Production Order","Quantity","Source No.",$D5194,"Equipment Code",$L5194,"due date",I$8)/-12</t>
  </si>
  <si>
    <t>=NL("sum","Production Order","Quantity","Source No.",$D5194,"Equipment Code",$L5194,"due date",J$8)/$J$7</t>
  </si>
  <si>
    <t>=AVERAGE(I5194:J5194)</t>
  </si>
  <si>
    <t>=IF(K5195=0,"hide","")</t>
  </si>
  <si>
    <t>=D5193</t>
  </si>
  <si>
    <t>=NL("sum","Production Order","Quantity","Source No.",$D5195,"Equipment Code",$L5195,"due date",F$8)/-12</t>
  </si>
  <si>
    <t>=NL("sum","Production Order","Quantity","Source No.",$D5195,"Equipment Code",$L5195,"due date",G$8)/-12</t>
  </si>
  <si>
    <t>=NL("sum","Production Order","Quantity","Source No.",$D5195,"Equipment Code",$L5195,"due date",H$8)/-12</t>
  </si>
  <si>
    <t>=NL("sum","Production Order","Quantity","Source No.",$D5195,"Equipment Code",$L5195,"due date",I$8)/-12</t>
  </si>
  <si>
    <t>=NL("sum","Production Order","Quantity","Source No.",$D5195,"Equipment Code",$L5195,"due date",J$8)/$J$7</t>
  </si>
  <si>
    <t>=AVERAGE(I5195:J5195)</t>
  </si>
  <si>
    <t>=IF(K5196=0,"hide","")</t>
  </si>
  <si>
    <t>=D5194</t>
  </si>
  <si>
    <t>=NL("sum","Production Order","Quantity","Source No.",$D5196,"Equipment Code",$L5196,"due date",F$8)/-12</t>
  </si>
  <si>
    <t>=NL("sum","Production Order","Quantity","Source No.",$D5196,"Equipment Code",$L5196,"due date",G$8)/-12</t>
  </si>
  <si>
    <t>=NL("sum","Production Order","Quantity","Source No.",$D5196,"Equipment Code",$L5196,"due date",H$8)/-12</t>
  </si>
  <si>
    <t>=NL("sum","Production Order","Quantity","Source No.",$D5196,"Equipment Code",$L5196,"due date",I$8)/-12</t>
  </si>
  <si>
    <t>=NL("sum","Production Order","Quantity","Source No.",$D5196,"Equipment Code",$L5196,"due date",J$8)/$J$7</t>
  </si>
  <si>
    <t>=AVERAGE(I5196:J5196)</t>
  </si>
  <si>
    <t>=D5195</t>
  </si>
  <si>
    <t>=IF(K5200=0,"hide","")</t>
  </si>
  <si>
    <t>=AVERAGE(I5200:J5200)</t>
  </si>
  <si>
    <t>=IF(K5201=0,"hide","")</t>
  </si>
  <si>
    <t>=D5200</t>
  </si>
  <si>
    <t>=NL("sum","Production Order","Quantity","Source No.",$D5201,"Equipment Code",$L5201,"due date",F$8)/-12</t>
  </si>
  <si>
    <t>=NL("sum","Production Order","Quantity","Source No.",$D5201,"Equipment Code",$L5201,"due date",G$8)/-12</t>
  </si>
  <si>
    <t>=NL("sum","Production Order","Quantity","Source No.",$D5201,"Equipment Code",$L5201,"due date",H$8)/-12</t>
  </si>
  <si>
    <t>=NL("sum","Production Order","Quantity","Source No.",$D5201,"Equipment Code",$L5201,"due date",I$8)/-12</t>
  </si>
  <si>
    <t>=NL("sum","Production Order","Quantity","Source No.",$D5201,"Equipment Code",$L5201,"due date",J$8)/$J$7</t>
  </si>
  <si>
    <t>=AVERAGE(I5201:J5201)</t>
  </si>
  <si>
    <t>=IF(K5202=0,"hide","")</t>
  </si>
  <si>
    <t>=D5201</t>
  </si>
  <si>
    <t>=NL("sum","Production Order","Quantity","Source No.",$D5202,"Equipment Code",$L5202,"due date",F$8)/-12</t>
  </si>
  <si>
    <t>=NL("sum","Production Order","Quantity","Source No.",$D5202,"Equipment Code",$L5202,"due date",G$8)/-12</t>
  </si>
  <si>
    <t>=NL("sum","Production Order","Quantity","Source No.",$D5202,"Equipment Code",$L5202,"due date",H$8)/-12</t>
  </si>
  <si>
    <t>=NL("sum","Production Order","Quantity","Source No.",$D5202,"Equipment Code",$L5202,"due date",I$8)/-12</t>
  </si>
  <si>
    <t>=NL("sum","Production Order","Quantity","Source No.",$D5202,"Equipment Code",$L5202,"due date",J$8)/$J$7</t>
  </si>
  <si>
    <t>=AVERAGE(I5202:J5202)</t>
  </si>
  <si>
    <t>=IF(K5203=0,"hide","")</t>
  </si>
  <si>
    <t>=D5202</t>
  </si>
  <si>
    <t>=NL("sum","Production Order","Quantity","Source No.",$D5203,"Equipment Code",$L5203,"due date",F$8)/-12</t>
  </si>
  <si>
    <t>=NL("sum","Production Order","Quantity","Source No.",$D5203,"Equipment Code",$L5203,"due date",G$8)/-12</t>
  </si>
  <si>
    <t>=NL("sum","Production Order","Quantity","Source No.",$D5203,"Equipment Code",$L5203,"due date",H$8)/-12</t>
  </si>
  <si>
    <t>=NL("sum","Production Order","Quantity","Source No.",$D5203,"Equipment Code",$L5203,"due date",I$8)/-12</t>
  </si>
  <si>
    <t>=NL("sum","Production Order","Quantity","Source No.",$D5203,"Equipment Code",$L5203,"due date",J$8)/$J$7</t>
  </si>
  <si>
    <t>=AVERAGE(I5203:J5203)</t>
  </si>
  <si>
    <t>=IF(K5207=0,"hide","")</t>
  </si>
  <si>
    <t>="97116"</t>
  </si>
  <si>
    <t>=AVERAGE(I5207:J5207)</t>
  </si>
  <si>
    <t>=IF(K5208=0,"hide","")</t>
  </si>
  <si>
    <t>=D5207</t>
  </si>
  <si>
    <t>=NL("sum","Production Order","Quantity","Source No.",$D5208,"Equipment Code",$L5208,"due date",F$8)/-12</t>
  </si>
  <si>
    <t>=NL("sum","Production Order","Quantity","Source No.",$D5208,"Equipment Code",$L5208,"due date",G$8)/-12</t>
  </si>
  <si>
    <t>=NL("sum","Production Order","Quantity","Source No.",$D5208,"Equipment Code",$L5208,"due date",H$8)/-12</t>
  </si>
  <si>
    <t>=NL("sum","Production Order","Quantity","Source No.",$D5208,"Equipment Code",$L5208,"due date",I$8)/-12</t>
  </si>
  <si>
    <t>=NL("sum","Production Order","Quantity","Source No.",$D5208,"Equipment Code",$L5208,"due date",J$8)/$J$7</t>
  </si>
  <si>
    <t>=AVERAGE(I5208:J5208)</t>
  </si>
  <si>
    <t>=IF(K5209=0,"hide","")</t>
  </si>
  <si>
    <t>=D5208</t>
  </si>
  <si>
    <t>=NL("sum","Production Order","Quantity","Source No.",$D5209,"Equipment Code",$L5209,"due date",F$8)/-12</t>
  </si>
  <si>
    <t>=NL("sum","Production Order","Quantity","Source No.",$D5209,"Equipment Code",$L5209,"due date",G$8)/-12</t>
  </si>
  <si>
    <t>=NL("sum","Production Order","Quantity","Source No.",$D5209,"Equipment Code",$L5209,"due date",H$8)/-12</t>
  </si>
  <si>
    <t>=NL("sum","Production Order","Quantity","Source No.",$D5209,"Equipment Code",$L5209,"due date",I$8)/-12</t>
  </si>
  <si>
    <t>=NL("sum","Production Order","Quantity","Source No.",$D5209,"Equipment Code",$L5209,"due date",J$8)/$J$7</t>
  </si>
  <si>
    <t>=AVERAGE(I5209:J5209)</t>
  </si>
  <si>
    <t>=IF(K5210=0,"hide","")</t>
  </si>
  <si>
    <t>=D5209</t>
  </si>
  <si>
    <t>=NL("sum","Production Order","Quantity","Source No.",$D5210,"Equipment Code",$L5210,"due date",F$8)/-12</t>
  </si>
  <si>
    <t>=NL("sum","Production Order","Quantity","Source No.",$D5210,"Equipment Code",$L5210,"due date",G$8)/-12</t>
  </si>
  <si>
    <t>=NL("sum","Production Order","Quantity","Source No.",$D5210,"Equipment Code",$L5210,"due date",H$8)/-12</t>
  </si>
  <si>
    <t>=NL("sum","Production Order","Quantity","Source No.",$D5210,"Equipment Code",$L5210,"due date",I$8)/-12</t>
  </si>
  <si>
    <t>=NL("sum","Production Order","Quantity","Source No.",$D5210,"Equipment Code",$L5210,"due date",J$8)/$J$7</t>
  </si>
  <si>
    <t>=AVERAGE(I5210:J5210)</t>
  </si>
  <si>
    <t>=IF(K5214=0,"hide","")</t>
  </si>
  <si>
    <t>="97129"</t>
  </si>
  <si>
    <t>=NL("sum","Item Ledger Entry","Quantity","Item No.",$D5214,"Entry Type","Sale|Consumption","posting date","01/01/19..12/31/19")/-12</t>
  </si>
  <si>
    <t>=NL("sum","Item Ledger Entry","Quantity","Item No.",$D5214,"Entry Type","Sale|Consumption","posting date","01/01/20..12/31/20")/-12</t>
  </si>
  <si>
    <t>=NL("sum","Item Ledger Entry","Quantity","Item No.",$D5214,"Entry Type","Sale|Consumption","posting date","01/01/21..12/31/21")/-12</t>
  </si>
  <si>
    <t>=NL("sum","Item Ledger Entry","Quantity","Item No.",$D5214,"Entry Type","Sale|Consumption","posting date","01/01/22..12/31/22")/-12</t>
  </si>
  <si>
    <t>=NL("sum","Item Ledger Entry","Quantity","Item No.",$D5214,"Entry Type","Sale|Consumption","posting date","01/01/23..12/31/23")/$J$7</t>
  </si>
  <si>
    <t>=AVERAGE(I5214:J5214)</t>
  </si>
  <si>
    <t>=NL(1,"item",L$9,"no.",D5214)</t>
  </si>
  <si>
    <t>=NL(1,"item",M$9,"no.",$D5214)</t>
  </si>
  <si>
    <t>=NL(1,"item","Units Per Parcel","no.",$D5214)</t>
  </si>
  <si>
    <t>=NL(1,"Prod. BOM Equipment","Fixed Prod. Time (Hours)","Production BOM No.",$D5214,"version code",$E5214,"Resource No.",O$9)</t>
  </si>
  <si>
    <t>=1/O5214</t>
  </si>
  <si>
    <t>=IF(NL(1,"Prod. BOM Equipment","Variable Prod. Time (Hours)","Production BOM No.",$D5214,"version code",$E5214,"Resource No.",$O$9)="",1,NL(1,"Prod. BOM Equipment","Variable Prod. Time (Hours)","Production BOM No.",$D5214,"version code",$E5214,"Resource No.",$O$9))</t>
  </si>
  <si>
    <t>=1/Q5214</t>
  </si>
  <si>
    <t>=R5214*N5214</t>
  </si>
  <si>
    <t>=IF(K5215=0,"hide","")</t>
  </si>
  <si>
    <t>=D5214</t>
  </si>
  <si>
    <t>=NL("sum","Production Order","Quantity","Source No.",$D5215,"Equipment Code",$L5215,"due date",F$8)/-12</t>
  </si>
  <si>
    <t>=NL("sum","Production Order","Quantity","Source No.",$D5215,"Equipment Code",$L5215,"due date",G$8)/-12</t>
  </si>
  <si>
    <t>=NL("sum","Production Order","Quantity","Source No.",$D5215,"Equipment Code",$L5215,"due date",H$8)/-12</t>
  </si>
  <si>
    <t>=NL("sum","Production Order","Quantity","Source No.",$D5215,"Equipment Code",$L5215,"due date",I$8)/-12</t>
  </si>
  <si>
    <t>=NL("sum","Production Order","Quantity","Source No.",$D5215,"Equipment Code",$L5215,"due date",J$8)/$J$7</t>
  </si>
  <si>
    <t>=AVERAGE(I5215:J5215)</t>
  </si>
  <si>
    <t>=IF(K5216=0,"hide","")</t>
  </si>
  <si>
    <t>=D5215</t>
  </si>
  <si>
    <t>=NL("sum","Production Order","Quantity","Source No.",$D5216,"Equipment Code",$L5216,"due date",F$8)/-12</t>
  </si>
  <si>
    <t>=NL("sum","Production Order","Quantity","Source No.",$D5216,"Equipment Code",$L5216,"due date",G$8)/-12</t>
  </si>
  <si>
    <t>=NL("sum","Production Order","Quantity","Source No.",$D5216,"Equipment Code",$L5216,"due date",H$8)/-12</t>
  </si>
  <si>
    <t>=NL("sum","Production Order","Quantity","Source No.",$D5216,"Equipment Code",$L5216,"due date",I$8)/-12</t>
  </si>
  <si>
    <t>=NL("sum","Production Order","Quantity","Source No.",$D5216,"Equipment Code",$L5216,"due date",J$8)/$J$7</t>
  </si>
  <si>
    <t>=AVERAGE(I5216:J5216)</t>
  </si>
  <si>
    <t>=IF(K5217=0,"hide","")</t>
  </si>
  <si>
    <t>=D5216</t>
  </si>
  <si>
    <t>=NL("sum","Production Order","Quantity","Source No.",$D5217,"Equipment Code",$L5217,"due date",F$8)/-12</t>
  </si>
  <si>
    <t>=NL("sum","Production Order","Quantity","Source No.",$D5217,"Equipment Code",$L5217,"due date",G$8)/-12</t>
  </si>
  <si>
    <t>=NL("sum","Production Order","Quantity","Source No.",$D5217,"Equipment Code",$L5217,"due date",H$8)/-12</t>
  </si>
  <si>
    <t>=NL("sum","Production Order","Quantity","Source No.",$D5217,"Equipment Code",$L5217,"due date",I$8)/-12</t>
  </si>
  <si>
    <t>=NL("sum","Production Order","Quantity","Source No.",$D5217,"Equipment Code",$L5217,"due date",J$8)/$J$7</t>
  </si>
  <si>
    <t>=AVERAGE(I5217:J5217)</t>
  </si>
  <si>
    <t>=IF(K5218=0,"hide","")</t>
  </si>
  <si>
    <t>=NL("sum","Production Order","Quantity","Source No.",$D5218,"Equipment Code",$L5218,"due date",F$8)/-12</t>
  </si>
  <si>
    <t>=NL("sum","Production Order","Quantity","Source No.",$D5218,"Equipment Code",$L5218,"due date",G$8)/-12</t>
  </si>
  <si>
    <t>=NL("sum","Production Order","Quantity","Source No.",$D5218,"Equipment Code",$L5218,"due date",H$8)/-12</t>
  </si>
  <si>
    <t>=NL("sum","Production Order","Quantity","Source No.",$D5218,"Equipment Code",$L5218,"due date",I$8)/-12</t>
  </si>
  <si>
    <t>=NL("sum","Production Order","Quantity","Source No.",$D5218,"Equipment Code",$L5218,"due date",J$8)/$J$7</t>
  </si>
  <si>
    <t>=AVERAGE(I5218:J5218)</t>
  </si>
  <si>
    <t>=B5215</t>
  </si>
  <si>
    <t>=B5219</t>
  </si>
  <si>
    <t>=SUM(F5215:F5219)</t>
  </si>
  <si>
    <t>=SUM(G5215:G5219)</t>
  </si>
  <si>
    <t>=SUM(H5215:H5219)</t>
  </si>
  <si>
    <t>=SUM(I5215:I5219)</t>
  </si>
  <si>
    <t>=SUM(J5215:J5219)</t>
  </si>
  <si>
    <t>=IF(K5221=0,"hide","")</t>
  </si>
  <si>
    <t>="97132"</t>
  </si>
  <si>
    <t>=NL("rows","Production BOM Version","Version Code","Production BOM No.",D5221,"status","certified")</t>
  </si>
  <si>
    <t>=NL("sum","Item Ledger Entry","Quantity","Item No.",$D5221,"Entry Type","Sale|Consumption","posting date","01/01/19..12/31/19")/-12</t>
  </si>
  <si>
    <t>=NL("sum","Item Ledger Entry","Quantity","Item No.",$D5221,"Entry Type","Sale|Consumption","posting date","01/01/20..12/31/20")/-12</t>
  </si>
  <si>
    <t>=NL("sum","Item Ledger Entry","Quantity","Item No.",$D5221,"Entry Type","Sale|Consumption","posting date","01/01/21..12/31/21")/-12</t>
  </si>
  <si>
    <t>=NL("sum","Item Ledger Entry","Quantity","Item No.",$D5221,"Entry Type","Sale|Consumption","posting date","01/01/22..12/31/22")/-12</t>
  </si>
  <si>
    <t>=NL("sum","Item Ledger Entry","Quantity","Item No.",$D5221,"Entry Type","Sale|Consumption","posting date","01/01/23..12/31/23")/$J$7</t>
  </si>
  <si>
    <t>=AVERAGE(I5221:J5221)</t>
  </si>
  <si>
    <t>=NL(1,"item",L$9,"no.",D5221)</t>
  </si>
  <si>
    <t>=NL(1,"item",M$9,"no.",$D5221)</t>
  </si>
  <si>
    <t>=NL(1,"item","Units Per Parcel","no.",$D5221)</t>
  </si>
  <si>
    <t>=NL(1,"Prod. BOM Equipment","Fixed Prod. Time (Hours)","Production BOM No.",$D5221,"version code",$E5221,"Resource No.",O$9)</t>
  </si>
  <si>
    <t>=1/O5221</t>
  </si>
  <si>
    <t>=IF(NL(1,"Prod. BOM Equipment","Variable Prod. Time (Hours)","Production BOM No.",$D5221,"version code",$E5221,"Resource No.",$O$9)="",1,NL(1,"Prod. BOM Equipment","Variable Prod. Time (Hours)","Production BOM No.",$D5221,"version code",$E5221,"Resource No.",$O$9))</t>
  </si>
  <si>
    <t>=1/Q5221</t>
  </si>
  <si>
    <t>=R5221*N5221</t>
  </si>
  <si>
    <t>=IF(K5222=0,"hide","")</t>
  </si>
  <si>
    <t>=D5221</t>
  </si>
  <si>
    <t>=NL("sum","Production Order","Quantity","Source No.",$D5222,"Equipment Code",$L5222,"due date",F$8)/-12</t>
  </si>
  <si>
    <t>=NL("sum","Production Order","Quantity","Source No.",$D5222,"Equipment Code",$L5222,"due date",G$8)/-12</t>
  </si>
  <si>
    <t>=NL("sum","Production Order","Quantity","Source No.",$D5222,"Equipment Code",$L5222,"due date",H$8)/-12</t>
  </si>
  <si>
    <t>=NL("sum","Production Order","Quantity","Source No.",$D5222,"Equipment Code",$L5222,"due date",I$8)/-12</t>
  </si>
  <si>
    <t>=NL("sum","Production Order","Quantity","Source No.",$D5222,"Equipment Code",$L5222,"due date",J$8)/$J$7</t>
  </si>
  <si>
    <t>=AVERAGE(I5222:J5222)</t>
  </si>
  <si>
    <t>=IF(K5223=0,"hide","")</t>
  </si>
  <si>
    <t>=D5222</t>
  </si>
  <si>
    <t>=NL("sum","Production Order","Quantity","Source No.",$D5223,"Equipment Code",$L5223,"due date",F$8)/-12</t>
  </si>
  <si>
    <t>=NL("sum","Production Order","Quantity","Source No.",$D5223,"Equipment Code",$L5223,"due date",G$8)/-12</t>
  </si>
  <si>
    <t>=NL("sum","Production Order","Quantity","Source No.",$D5223,"Equipment Code",$L5223,"due date",H$8)/-12</t>
  </si>
  <si>
    <t>=NL("sum","Production Order","Quantity","Source No.",$D5223,"Equipment Code",$L5223,"due date",I$8)/-12</t>
  </si>
  <si>
    <t>=NL("sum","Production Order","Quantity","Source No.",$D5223,"Equipment Code",$L5223,"due date",J$8)/$J$7</t>
  </si>
  <si>
    <t>=AVERAGE(I5223:J5223)</t>
  </si>
  <si>
    <t>=IF(K5224=0,"hide","")</t>
  </si>
  <si>
    <t>=D5223</t>
  </si>
  <si>
    <t>=NL("sum","Production Order","Quantity","Source No.",$D5224,"Equipment Code",$L5224,"due date",F$8)/-12</t>
  </si>
  <si>
    <t>=NL("sum","Production Order","Quantity","Source No.",$D5224,"Equipment Code",$L5224,"due date",G$8)/-12</t>
  </si>
  <si>
    <t>=NL("sum","Production Order","Quantity","Source No.",$D5224,"Equipment Code",$L5224,"due date",H$8)/-12</t>
  </si>
  <si>
    <t>=NL("sum","Production Order","Quantity","Source No.",$D5224,"Equipment Code",$L5224,"due date",I$8)/-12</t>
  </si>
  <si>
    <t>=NL("sum","Production Order","Quantity","Source No.",$D5224,"Equipment Code",$L5224,"due date",J$8)/$J$7</t>
  </si>
  <si>
    <t>=AVERAGE(I5224:J5224)</t>
  </si>
  <si>
    <t>=IF(K5225=0,"hide","")</t>
  </si>
  <si>
    <t>=D5224</t>
  </si>
  <si>
    <t>=NL("sum","Production Order","Quantity","Source No.",$D5225,"Equipment Code",$L5225,"due date",F$8)/-12</t>
  </si>
  <si>
    <t>=NL("sum","Production Order","Quantity","Source No.",$D5225,"Equipment Code",$L5225,"due date",G$8)/-12</t>
  </si>
  <si>
    <t>=NL("sum","Production Order","Quantity","Source No.",$D5225,"Equipment Code",$L5225,"due date",H$8)/-12</t>
  </si>
  <si>
    <t>=NL("sum","Production Order","Quantity","Source No.",$D5225,"Equipment Code",$L5225,"due date",I$8)/-12</t>
  </si>
  <si>
    <t>=NL("sum","Production Order","Quantity","Source No.",$D5225,"Equipment Code",$L5225,"due date",J$8)/$J$7</t>
  </si>
  <si>
    <t>=AVERAGE(I5225:J5225)</t>
  </si>
  <si>
    <t>=B5222</t>
  </si>
  <si>
    <t>=B5226</t>
  </si>
  <si>
    <t>=SUM(F5222:F5226)</t>
  </si>
  <si>
    <t>=SUM(G5222:G5226)</t>
  </si>
  <si>
    <t>=SUM(H5222:H5226)</t>
  </si>
  <si>
    <t>=SUM(I5222:I5226)</t>
  </si>
  <si>
    <t>=SUM(J5222:J5226)</t>
  </si>
  <si>
    <t>=IF(K5228=0,"hide","")</t>
  </si>
  <si>
    <t>="97144"</t>
  </si>
  <si>
    <t>=NL("rows","Production BOM Version","Version Code","Production BOM No.",D5228,"status","certified")</t>
  </si>
  <si>
    <t>=NL("sum","Item Ledger Entry","Quantity","Item No.",$D5228,"Entry Type","Sale|Consumption","posting date","01/01/19..12/31/19")/-12</t>
  </si>
  <si>
    <t>=NL("sum","Item Ledger Entry","Quantity","Item No.",$D5228,"Entry Type","Sale|Consumption","posting date","01/01/20..12/31/20")/-12</t>
  </si>
  <si>
    <t>=NL("sum","Item Ledger Entry","Quantity","Item No.",$D5228,"Entry Type","Sale|Consumption","posting date","01/01/21..12/31/21")/-12</t>
  </si>
  <si>
    <t>=NL("sum","Item Ledger Entry","Quantity","Item No.",$D5228,"Entry Type","Sale|Consumption","posting date","01/01/22..12/31/22")/-12</t>
  </si>
  <si>
    <t>=NL("sum","Item Ledger Entry","Quantity","Item No.",$D5228,"Entry Type","Sale|Consumption","posting date","01/01/23..12/31/23")/$J$7</t>
  </si>
  <si>
    <t>=AVERAGE(I5228:J5228)</t>
  </si>
  <si>
    <t>=NL(1,"item",L$9,"no.",D5228)</t>
  </si>
  <si>
    <t>=NL(1,"item",M$9,"no.",$D5228)</t>
  </si>
  <si>
    <t>=NL(1,"item","Units Per Parcel","no.",$D5228)</t>
  </si>
  <si>
    <t>=NL(1,"Prod. BOM Equipment","Fixed Prod. Time (Hours)","Production BOM No.",$D5228,"version code",$E5228,"Resource No.",O$9)</t>
  </si>
  <si>
    <t>=1/O5228</t>
  </si>
  <si>
    <t>=IF(NL(1,"Prod. BOM Equipment","Variable Prod. Time (Hours)","Production BOM No.",$D5228,"version code",$E5228,"Resource No.",$O$9)="",1,NL(1,"Prod. BOM Equipment","Variable Prod. Time (Hours)","Production BOM No.",$D5228,"version code",$E5228,"Resource No.",$O$9))</t>
  </si>
  <si>
    <t>=1/Q5228</t>
  </si>
  <si>
    <t>=R5228*N5228</t>
  </si>
  <si>
    <t>=IF(K5229=0,"hide","")</t>
  </si>
  <si>
    <t>=D5228</t>
  </si>
  <si>
    <t>=NL("sum","Production Order","Quantity","Source No.",$D5229,"Equipment Code",$L5229,"due date",F$8)/-12</t>
  </si>
  <si>
    <t>=NL("sum","Production Order","Quantity","Source No.",$D5229,"Equipment Code",$L5229,"due date",G$8)/-12</t>
  </si>
  <si>
    <t>=NL("sum","Production Order","Quantity","Source No.",$D5229,"Equipment Code",$L5229,"due date",H$8)/-12</t>
  </si>
  <si>
    <t>=NL("sum","Production Order","Quantity","Source No.",$D5229,"Equipment Code",$L5229,"due date",I$8)/-12</t>
  </si>
  <si>
    <t>=NL("sum","Production Order","Quantity","Source No.",$D5229,"Equipment Code",$L5229,"due date",J$8)/$J$7</t>
  </si>
  <si>
    <t>=AVERAGE(I5229:J5229)</t>
  </si>
  <si>
    <t>=IF(K5230=0,"hide","")</t>
  </si>
  <si>
    <t>=D5229</t>
  </si>
  <si>
    <t>=NL("sum","Production Order","Quantity","Source No.",$D5230,"Equipment Code",$L5230,"due date",F$8)/-12</t>
  </si>
  <si>
    <t>=NL("sum","Production Order","Quantity","Source No.",$D5230,"Equipment Code",$L5230,"due date",G$8)/-12</t>
  </si>
  <si>
    <t>=NL("sum","Production Order","Quantity","Source No.",$D5230,"Equipment Code",$L5230,"due date",H$8)/-12</t>
  </si>
  <si>
    <t>=NL("sum","Production Order","Quantity","Source No.",$D5230,"Equipment Code",$L5230,"due date",I$8)/-12</t>
  </si>
  <si>
    <t>=NL("sum","Production Order","Quantity","Source No.",$D5230,"Equipment Code",$L5230,"due date",J$8)/$J$7</t>
  </si>
  <si>
    <t>=AVERAGE(I5230:J5230)</t>
  </si>
  <si>
    <t>=IF(K5231=0,"hide","")</t>
  </si>
  <si>
    <t>=D5230</t>
  </si>
  <si>
    <t>=NL("sum","Production Order","Quantity","Source No.",$D5231,"Equipment Code",$L5231,"due date",F$8)/-12</t>
  </si>
  <si>
    <t>=NL("sum","Production Order","Quantity","Source No.",$D5231,"Equipment Code",$L5231,"due date",G$8)/-12</t>
  </si>
  <si>
    <t>=NL("sum","Production Order","Quantity","Source No.",$D5231,"Equipment Code",$L5231,"due date",H$8)/-12</t>
  </si>
  <si>
    <t>=NL("sum","Production Order","Quantity","Source No.",$D5231,"Equipment Code",$L5231,"due date",I$8)/-12</t>
  </si>
  <si>
    <t>=NL("sum","Production Order","Quantity","Source No.",$D5231,"Equipment Code",$L5231,"due date",J$8)/$J$7</t>
  </si>
  <si>
    <t>=AVERAGE(I5231:J5231)</t>
  </si>
  <si>
    <t>=IF(K5232=0,"hide","")</t>
  </si>
  <si>
    <t>=D5231</t>
  </si>
  <si>
    <t>=NL("sum","Production Order","Quantity","Source No.",$D5232,"Equipment Code",$L5232,"due date",F$8)/-12</t>
  </si>
  <si>
    <t>=NL("sum","Production Order","Quantity","Source No.",$D5232,"Equipment Code",$L5232,"due date",G$8)/-12</t>
  </si>
  <si>
    <t>=NL("sum","Production Order","Quantity","Source No.",$D5232,"Equipment Code",$L5232,"due date",H$8)/-12</t>
  </si>
  <si>
    <t>=NL("sum","Production Order","Quantity","Source No.",$D5232,"Equipment Code",$L5232,"due date",I$8)/-12</t>
  </si>
  <si>
    <t>=NL("sum","Production Order","Quantity","Source No.",$D5232,"Equipment Code",$L5232,"due date",J$8)/$J$7</t>
  </si>
  <si>
    <t>=AVERAGE(I5232:J5232)</t>
  </si>
  <si>
    <t>=B5229</t>
  </si>
  <si>
    <t>=B5233</t>
  </si>
  <si>
    <t>=SUM(F5229:F5233)</t>
  </si>
  <si>
    <t>=SUM(G5229:G5233)</t>
  </si>
  <si>
    <t>=SUM(H5229:H5233)</t>
  </si>
  <si>
    <t>=SUM(I5229:I5233)</t>
  </si>
  <si>
    <t>=SUM(J5229:J5233)</t>
  </si>
  <si>
    <t>=IF(K5235=0,"hide","")</t>
  </si>
  <si>
    <t>="97195"</t>
  </si>
  <si>
    <t>=NL("rows","Production BOM Version","Version Code","Production BOM No.",D5235,"status","certified")</t>
  </si>
  <si>
    <t>=NL("sum","Item Ledger Entry","Quantity","Item No.",$D5235,"Entry Type","Sale|Consumption","posting date","01/01/19..12/31/19")/-12</t>
  </si>
  <si>
    <t>=NL("sum","Item Ledger Entry","Quantity","Item No.",$D5235,"Entry Type","Sale|Consumption","posting date","01/01/20..12/31/20")/-12</t>
  </si>
  <si>
    <t>=NL("sum","Item Ledger Entry","Quantity","Item No.",$D5235,"Entry Type","Sale|Consumption","posting date","01/01/21..12/31/21")/-12</t>
  </si>
  <si>
    <t>=NL("sum","Item Ledger Entry","Quantity","Item No.",$D5235,"Entry Type","Sale|Consumption","posting date","01/01/22..12/31/22")/-12</t>
  </si>
  <si>
    <t>=NL("sum","Item Ledger Entry","Quantity","Item No.",$D5235,"Entry Type","Sale|Consumption","posting date","01/01/23..12/31/23")/$J$7</t>
  </si>
  <si>
    <t>=AVERAGE(I5235:J5235)</t>
  </si>
  <si>
    <t>=NL(1,"item",L$9,"no.",D5235)</t>
  </si>
  <si>
    <t>=NL(1,"item",M$9,"no.",$D5235)</t>
  </si>
  <si>
    <t>=NL(1,"item","Units Per Parcel","no.",$D5235)</t>
  </si>
  <si>
    <t>=NL(1,"Prod. BOM Equipment","Fixed Prod. Time (Hours)","Production BOM No.",$D5235,"version code",$E5235,"Resource No.",O$9)</t>
  </si>
  <si>
    <t>=1/O5235</t>
  </si>
  <si>
    <t>=IF(NL(1,"Prod. BOM Equipment","Variable Prod. Time (Hours)","Production BOM No.",$D5235,"version code",$E5235,"Resource No.",$O$9)="",1,NL(1,"Prod. BOM Equipment","Variable Prod. Time (Hours)","Production BOM No.",$D5235,"version code",$E5235,"Resource No.",$O$9))</t>
  </si>
  <si>
    <t>=1/Q5235</t>
  </si>
  <si>
    <t>=R5235*N5235</t>
  </si>
  <si>
    <t>=IF(K5236=0,"hide","")</t>
  </si>
  <si>
    <t>=D5235</t>
  </si>
  <si>
    <t>=NL("sum","Production Order","Quantity","Source No.",$D5236,"Equipment Code",$L5236,"due date",F$8)/-12</t>
  </si>
  <si>
    <t>=NL("sum","Production Order","Quantity","Source No.",$D5236,"Equipment Code",$L5236,"due date",G$8)/-12</t>
  </si>
  <si>
    <t>=NL("sum","Production Order","Quantity","Source No.",$D5236,"Equipment Code",$L5236,"due date",H$8)/-12</t>
  </si>
  <si>
    <t>=NL("sum","Production Order","Quantity","Source No.",$D5236,"Equipment Code",$L5236,"due date",I$8)/-12</t>
  </si>
  <si>
    <t>=NL("sum","Production Order","Quantity","Source No.",$D5236,"Equipment Code",$L5236,"due date",J$8)/$J$7</t>
  </si>
  <si>
    <t>=AVERAGE(I5236:J5236)</t>
  </si>
  <si>
    <t>=IF(K5237=0,"hide","")</t>
  </si>
  <si>
    <t>=D5236</t>
  </si>
  <si>
    <t>=NL("sum","Production Order","Quantity","Source No.",$D5237,"Equipment Code",$L5237,"due date",F$8)/-12</t>
  </si>
  <si>
    <t>=NL("sum","Production Order","Quantity","Source No.",$D5237,"Equipment Code",$L5237,"due date",G$8)/-12</t>
  </si>
  <si>
    <t>=NL("sum","Production Order","Quantity","Source No.",$D5237,"Equipment Code",$L5237,"due date",H$8)/-12</t>
  </si>
  <si>
    <t>=NL("sum","Production Order","Quantity","Source No.",$D5237,"Equipment Code",$L5237,"due date",I$8)/-12</t>
  </si>
  <si>
    <t>=NL("sum","Production Order","Quantity","Source No.",$D5237,"Equipment Code",$L5237,"due date",J$8)/$J$7</t>
  </si>
  <si>
    <t>=AVERAGE(I5237:J5237)</t>
  </si>
  <si>
    <t>=IF(K5238=0,"hide","")</t>
  </si>
  <si>
    <t>=D5237</t>
  </si>
  <si>
    <t>=NL("sum","Production Order","Quantity","Source No.",$D5238,"Equipment Code",$L5238,"due date",F$8)/-12</t>
  </si>
  <si>
    <t>=NL("sum","Production Order","Quantity","Source No.",$D5238,"Equipment Code",$L5238,"due date",G$8)/-12</t>
  </si>
  <si>
    <t>=NL("sum","Production Order","Quantity","Source No.",$D5238,"Equipment Code",$L5238,"due date",H$8)/-12</t>
  </si>
  <si>
    <t>=NL("sum","Production Order","Quantity","Source No.",$D5238,"Equipment Code",$L5238,"due date",I$8)/-12</t>
  </si>
  <si>
    <t>=NL("sum","Production Order","Quantity","Source No.",$D5238,"Equipment Code",$L5238,"due date",J$8)/$J$7</t>
  </si>
  <si>
    <t>=AVERAGE(I5238:J5238)</t>
  </si>
  <si>
    <t>=IF(K5239=0,"hide","")</t>
  </si>
  <si>
    <t>=D5238</t>
  </si>
  <si>
    <t>=NL("sum","Production Order","Quantity","Source No.",$D5239,"Equipment Code",$L5239,"due date",F$8)/-12</t>
  </si>
  <si>
    <t>=NL("sum","Production Order","Quantity","Source No.",$D5239,"Equipment Code",$L5239,"due date",G$8)/-12</t>
  </si>
  <si>
    <t>=NL("sum","Production Order","Quantity","Source No.",$D5239,"Equipment Code",$L5239,"due date",H$8)/-12</t>
  </si>
  <si>
    <t>=NL("sum","Production Order","Quantity","Source No.",$D5239,"Equipment Code",$L5239,"due date",I$8)/-12</t>
  </si>
  <si>
    <t>=NL("sum","Production Order","Quantity","Source No.",$D5239,"Equipment Code",$L5239,"due date",J$8)/$J$7</t>
  </si>
  <si>
    <t>=AVERAGE(I5239:J5239)</t>
  </si>
  <si>
    <t>=B5236</t>
  </si>
  <si>
    <t>=B5240</t>
  </si>
  <si>
    <t>=SUM(F5236:F5240)</t>
  </si>
  <si>
    <t>=SUM(G5236:G5240)</t>
  </si>
  <si>
    <t>=SUM(H5236:H5240)</t>
  </si>
  <si>
    <t>=SUM(I5236:I5240)</t>
  </si>
  <si>
    <t>=SUM(J5236:J5240)</t>
  </si>
  <si>
    <t>=IF(K5242=0,"hide","")</t>
  </si>
  <si>
    <t>="97295"</t>
  </si>
  <si>
    <t>=NL("rows","Production BOM Version","Version Code","Production BOM No.",D5242,"status","certified")</t>
  </si>
  <si>
    <t>=NL("sum","Item Ledger Entry","Quantity","Item No.",$D5242,"Entry Type","Sale|Consumption","posting date","01/01/19..12/31/19")/-12</t>
  </si>
  <si>
    <t>=NL("sum","Item Ledger Entry","Quantity","Item No.",$D5242,"Entry Type","Sale|Consumption","posting date","01/01/20..12/31/20")/-12</t>
  </si>
  <si>
    <t>=NL("sum","Item Ledger Entry","Quantity","Item No.",$D5242,"Entry Type","Sale|Consumption","posting date","01/01/21..12/31/21")/-12</t>
  </si>
  <si>
    <t>=NL("sum","Item Ledger Entry","Quantity","Item No.",$D5242,"Entry Type","Sale|Consumption","posting date","01/01/22..12/31/22")/-12</t>
  </si>
  <si>
    <t>=NL("sum","Item Ledger Entry","Quantity","Item No.",$D5242,"Entry Type","Sale|Consumption","posting date","01/01/23..12/31/23")/$J$7</t>
  </si>
  <si>
    <t>=AVERAGE(I5242:J5242)</t>
  </si>
  <si>
    <t>=NL(1,"item",L$9,"no.",D5242)</t>
  </si>
  <si>
    <t>=NL(1,"item",M$9,"no.",$D5242)</t>
  </si>
  <si>
    <t>=NL(1,"item","Units Per Parcel","no.",$D5242)</t>
  </si>
  <si>
    <t>=NL(1,"Prod. BOM Equipment","Fixed Prod. Time (Hours)","Production BOM No.",$D5242,"version code",$E5242,"Resource No.",O$9)</t>
  </si>
  <si>
    <t>=1/O5242</t>
  </si>
  <si>
    <t>=IF(NL(1,"Prod. BOM Equipment","Variable Prod. Time (Hours)","Production BOM No.",$D5242,"version code",$E5242,"Resource No.",$O$9)="",1,NL(1,"Prod. BOM Equipment","Variable Prod. Time (Hours)","Production BOM No.",$D5242,"version code",$E5242,"Resource No.",$O$9))</t>
  </si>
  <si>
    <t>=1/Q5242</t>
  </si>
  <si>
    <t>=R5242*N5242</t>
  </si>
  <si>
    <t>=IF(K5243=0,"hide","")</t>
  </si>
  <si>
    <t>=D5242</t>
  </si>
  <si>
    <t>=NL("sum","Production Order","Quantity","Source No.",$D5243,"Equipment Code",$L5243,"due date",F$8)/-12</t>
  </si>
  <si>
    <t>=NL("sum","Production Order","Quantity","Source No.",$D5243,"Equipment Code",$L5243,"due date",G$8)/-12</t>
  </si>
  <si>
    <t>=NL("sum","Production Order","Quantity","Source No.",$D5243,"Equipment Code",$L5243,"due date",H$8)/-12</t>
  </si>
  <si>
    <t>=NL("sum","Production Order","Quantity","Source No.",$D5243,"Equipment Code",$L5243,"due date",I$8)/-12</t>
  </si>
  <si>
    <t>=NL("sum","Production Order","Quantity","Source No.",$D5243,"Equipment Code",$L5243,"due date",J$8)/$J$7</t>
  </si>
  <si>
    <t>=AVERAGE(I5243:J5243)</t>
  </si>
  <si>
    <t>=IF(K5244=0,"hide","")</t>
  </si>
  <si>
    <t>=D5243</t>
  </si>
  <si>
    <t>=NL("sum","Production Order","Quantity","Source No.",$D5244,"Equipment Code",$L5244,"due date",F$8)/-12</t>
  </si>
  <si>
    <t>=NL("sum","Production Order","Quantity","Source No.",$D5244,"Equipment Code",$L5244,"due date",G$8)/-12</t>
  </si>
  <si>
    <t>=NL("sum","Production Order","Quantity","Source No.",$D5244,"Equipment Code",$L5244,"due date",H$8)/-12</t>
  </si>
  <si>
    <t>=NL("sum","Production Order","Quantity","Source No.",$D5244,"Equipment Code",$L5244,"due date",I$8)/-12</t>
  </si>
  <si>
    <t>=NL("sum","Production Order","Quantity","Source No.",$D5244,"Equipment Code",$L5244,"due date",J$8)/$J$7</t>
  </si>
  <si>
    <t>=AVERAGE(I5244:J5244)</t>
  </si>
  <si>
    <t>=IF(K5245=0,"hide","")</t>
  </si>
  <si>
    <t>=D5244</t>
  </si>
  <si>
    <t>=NL("sum","Production Order","Quantity","Source No.",$D5245,"Equipment Code",$L5245,"due date",F$8)/-12</t>
  </si>
  <si>
    <t>=NL("sum","Production Order","Quantity","Source No.",$D5245,"Equipment Code",$L5245,"due date",G$8)/-12</t>
  </si>
  <si>
    <t>=NL("sum","Production Order","Quantity","Source No.",$D5245,"Equipment Code",$L5245,"due date",H$8)/-12</t>
  </si>
  <si>
    <t>=NL("sum","Production Order","Quantity","Source No.",$D5245,"Equipment Code",$L5245,"due date",I$8)/-12</t>
  </si>
  <si>
    <t>=NL("sum","Production Order","Quantity","Source No.",$D5245,"Equipment Code",$L5245,"due date",J$8)/$J$7</t>
  </si>
  <si>
    <t>=AVERAGE(I5245:J5245)</t>
  </si>
  <si>
    <t>=IF(K5246=0,"hide","")</t>
  </si>
  <si>
    <t>=D5245</t>
  </si>
  <si>
    <t>=NL("sum","Production Order","Quantity","Source No.",$D5246,"Equipment Code",$L5246,"due date",F$8)/-12</t>
  </si>
  <si>
    <t>=NL("sum","Production Order","Quantity","Source No.",$D5246,"Equipment Code",$L5246,"due date",G$8)/-12</t>
  </si>
  <si>
    <t>=NL("sum","Production Order","Quantity","Source No.",$D5246,"Equipment Code",$L5246,"due date",H$8)/-12</t>
  </si>
  <si>
    <t>=NL("sum","Production Order","Quantity","Source No.",$D5246,"Equipment Code",$L5246,"due date",I$8)/-12</t>
  </si>
  <si>
    <t>=NL("sum","Production Order","Quantity","Source No.",$D5246,"Equipment Code",$L5246,"due date",J$8)/$J$7</t>
  </si>
  <si>
    <t>=AVERAGE(I5246:J5246)</t>
  </si>
  <si>
    <t>=B5243</t>
  </si>
  <si>
    <t>=B5247</t>
  </si>
  <si>
    <t>=SUM(F5243:F5247)</t>
  </si>
  <si>
    <t>=SUM(G5243:G5247)</t>
  </si>
  <si>
    <t>=SUM(H5243:H5247)</t>
  </si>
  <si>
    <t>=SUM(I5243:I5247)</t>
  </si>
  <si>
    <t>=SUM(J5243:J5247)</t>
  </si>
  <si>
    <t>=IF(K5249=0,"hide","")</t>
  </si>
  <si>
    <t>="97616"</t>
  </si>
  <si>
    <t>=NL("rows","Production BOM Version","Version Code","Production BOM No.",D5249,"status","certified")</t>
  </si>
  <si>
    <t>=NL("sum","Item Ledger Entry","Quantity","Item No.",$D5249,"Entry Type","Sale|Consumption","posting date","01/01/19..12/31/19")/-12</t>
  </si>
  <si>
    <t>=NL("sum","Item Ledger Entry","Quantity","Item No.",$D5249,"Entry Type","Sale|Consumption","posting date","01/01/20..12/31/20")/-12</t>
  </si>
  <si>
    <t>=NL("sum","Item Ledger Entry","Quantity","Item No.",$D5249,"Entry Type","Sale|Consumption","posting date","01/01/21..12/31/21")/-12</t>
  </si>
  <si>
    <t>=NL("sum","Item Ledger Entry","Quantity","Item No.",$D5249,"Entry Type","Sale|Consumption","posting date","01/01/22..12/31/22")/-12</t>
  </si>
  <si>
    <t>=NL("sum","Item Ledger Entry","Quantity","Item No.",$D5249,"Entry Type","Sale|Consumption","posting date","01/01/23..12/31/23")/$J$7</t>
  </si>
  <si>
    <t>=AVERAGE(I5249:J5249)</t>
  </si>
  <si>
    <t>=NL(1,"item",L$9,"no.",D5249)</t>
  </si>
  <si>
    <t>=NL(1,"item",M$9,"no.",$D5249)</t>
  </si>
  <si>
    <t>=NL(1,"item","Units Per Parcel","no.",$D5249)</t>
  </si>
  <si>
    <t>=NL(1,"Prod. BOM Equipment","Fixed Prod. Time (Hours)","Production BOM No.",$D5249,"version code",$E5249,"Resource No.",O$9)</t>
  </si>
  <si>
    <t>=1/O5249</t>
  </si>
  <si>
    <t>=IF(NL(1,"Prod. BOM Equipment","Variable Prod. Time (Hours)","Production BOM No.",$D5249,"version code",$E5249,"Resource No.",$O$9)="",1,NL(1,"Prod. BOM Equipment","Variable Prod. Time (Hours)","Production BOM No.",$D5249,"version code",$E5249,"Resource No.",$O$9))</t>
  </si>
  <si>
    <t>=1/Q5249</t>
  </si>
  <si>
    <t>=R5249*N5249</t>
  </si>
  <si>
    <t>=IF(K5250=0,"hide","")</t>
  </si>
  <si>
    <t>=D5249</t>
  </si>
  <si>
    <t>=NL("sum","Production Order","Quantity","Source No.",$D5250,"Equipment Code",$L5250,"due date",F$8)/-12</t>
  </si>
  <si>
    <t>=NL("sum","Production Order","Quantity","Source No.",$D5250,"Equipment Code",$L5250,"due date",G$8)/-12</t>
  </si>
  <si>
    <t>=NL("sum","Production Order","Quantity","Source No.",$D5250,"Equipment Code",$L5250,"due date",H$8)/-12</t>
  </si>
  <si>
    <t>=NL("sum","Production Order","Quantity","Source No.",$D5250,"Equipment Code",$L5250,"due date",I$8)/-12</t>
  </si>
  <si>
    <t>=NL("sum","Production Order","Quantity","Source No.",$D5250,"Equipment Code",$L5250,"due date",J$8)/$J$7</t>
  </si>
  <si>
    <t>=AVERAGE(I5250:J5250)</t>
  </si>
  <si>
    <t>=IF(K5251=0,"hide","")</t>
  </si>
  <si>
    <t>=D5250</t>
  </si>
  <si>
    <t>=NL("sum","Production Order","Quantity","Source No.",$D5251,"Equipment Code",$L5251,"due date",F$8)/-12</t>
  </si>
  <si>
    <t>=NL("sum","Production Order","Quantity","Source No.",$D5251,"Equipment Code",$L5251,"due date",G$8)/-12</t>
  </si>
  <si>
    <t>=NL("sum","Production Order","Quantity","Source No.",$D5251,"Equipment Code",$L5251,"due date",H$8)/-12</t>
  </si>
  <si>
    <t>=NL("sum","Production Order","Quantity","Source No.",$D5251,"Equipment Code",$L5251,"due date",I$8)/-12</t>
  </si>
  <si>
    <t>=NL("sum","Production Order","Quantity","Source No.",$D5251,"Equipment Code",$L5251,"due date",J$8)/$J$7</t>
  </si>
  <si>
    <t>=AVERAGE(I5251:J5251)</t>
  </si>
  <si>
    <t>=IF(K5252=0,"hide","")</t>
  </si>
  <si>
    <t>=D5251</t>
  </si>
  <si>
    <t>=NL("sum","Production Order","Quantity","Source No.",$D5252,"Equipment Code",$L5252,"due date",F$8)/-12</t>
  </si>
  <si>
    <t>=NL("sum","Production Order","Quantity","Source No.",$D5252,"Equipment Code",$L5252,"due date",G$8)/-12</t>
  </si>
  <si>
    <t>=NL("sum","Production Order","Quantity","Source No.",$D5252,"Equipment Code",$L5252,"due date",H$8)/-12</t>
  </si>
  <si>
    <t>=NL("sum","Production Order","Quantity","Source No.",$D5252,"Equipment Code",$L5252,"due date",I$8)/-12</t>
  </si>
  <si>
    <t>=NL("sum","Production Order","Quantity","Source No.",$D5252,"Equipment Code",$L5252,"due date",J$8)/$J$7</t>
  </si>
  <si>
    <t>=AVERAGE(I5252:J5252)</t>
  </si>
  <si>
    <t>=IF(K5253=0,"hide","")</t>
  </si>
  <si>
    <t>=D5252</t>
  </si>
  <si>
    <t>=NL("sum","Production Order","Quantity","Source No.",$D5253,"Equipment Code",$L5253,"due date",F$8)/-12</t>
  </si>
  <si>
    <t>=NL("sum","Production Order","Quantity","Source No.",$D5253,"Equipment Code",$L5253,"due date",G$8)/-12</t>
  </si>
  <si>
    <t>=NL("sum","Production Order","Quantity","Source No.",$D5253,"Equipment Code",$L5253,"due date",H$8)/-12</t>
  </si>
  <si>
    <t>=NL("sum","Production Order","Quantity","Source No.",$D5253,"Equipment Code",$L5253,"due date",I$8)/-12</t>
  </si>
  <si>
    <t>=NL("sum","Production Order","Quantity","Source No.",$D5253,"Equipment Code",$L5253,"due date",J$8)/$J$7</t>
  </si>
  <si>
    <t>=AVERAGE(I5253:J5253)</t>
  </si>
  <si>
    <t>=B5250</t>
  </si>
  <si>
    <t>=B5254</t>
  </si>
  <si>
    <t>=SUM(F5250:F5254)</t>
  </si>
  <si>
    <t>=SUM(G5250:G5254)</t>
  </si>
  <si>
    <t>=SUM(H5250:H5254)</t>
  </si>
  <si>
    <t>=SUM(I5250:I5254)</t>
  </si>
  <si>
    <t>=SUM(J5250:J5254)</t>
  </si>
  <si>
    <t>=IF(K5256=0,"hide","")</t>
  </si>
  <si>
    <t>="97629"</t>
  </si>
  <si>
    <t>=NL("rows","Production BOM Version","Version Code","Production BOM No.",D5256,"status","certified")</t>
  </si>
  <si>
    <t>=NL("sum","Item Ledger Entry","Quantity","Item No.",$D5256,"Entry Type","Sale|Consumption","posting date","01/01/19..12/31/19")/-12</t>
  </si>
  <si>
    <t>=NL("sum","Item Ledger Entry","Quantity","Item No.",$D5256,"Entry Type","Sale|Consumption","posting date","01/01/20..12/31/20")/-12</t>
  </si>
  <si>
    <t>=NL("sum","Item Ledger Entry","Quantity","Item No.",$D5256,"Entry Type","Sale|Consumption","posting date","01/01/21..12/31/21")/-12</t>
  </si>
  <si>
    <t>=NL("sum","Item Ledger Entry","Quantity","Item No.",$D5256,"Entry Type","Sale|Consumption","posting date","01/01/22..12/31/22")/-12</t>
  </si>
  <si>
    <t>=NL("sum","Item Ledger Entry","Quantity","Item No.",$D5256,"Entry Type","Sale|Consumption","posting date","01/01/23..12/31/23")/$J$7</t>
  </si>
  <si>
    <t>=AVERAGE(I5256:J5256)</t>
  </si>
  <si>
    <t>=NL(1,"item",L$9,"no.",D5256)</t>
  </si>
  <si>
    <t>=NL(1,"item",M$9,"no.",$D5256)</t>
  </si>
  <si>
    <t>=NL(1,"item","Units Per Parcel","no.",$D5256)</t>
  </si>
  <si>
    <t>=NL(1,"Prod. BOM Equipment","Fixed Prod. Time (Hours)","Production BOM No.",$D5256,"version code",$E5256,"Resource No.",O$9)</t>
  </si>
  <si>
    <t>=1/O5256</t>
  </si>
  <si>
    <t>=IF(NL(1,"Prod. BOM Equipment","Variable Prod. Time (Hours)","Production BOM No.",$D5256,"version code",$E5256,"Resource No.",$O$9)="",1,NL(1,"Prod. BOM Equipment","Variable Prod. Time (Hours)","Production BOM No.",$D5256,"version code",$E5256,"Resource No.",$O$9))</t>
  </si>
  <si>
    <t>=1/Q5256</t>
  </si>
  <si>
    <t>=R5256*N5256</t>
  </si>
  <si>
    <t>=IF(K5257=0,"hide","")</t>
  </si>
  <si>
    <t>=D5256</t>
  </si>
  <si>
    <t>=NL("sum","Production Order","Quantity","Source No.",$D5257,"Equipment Code",$L5257,"due date",F$8)/-12</t>
  </si>
  <si>
    <t>=NL("sum","Production Order","Quantity","Source No.",$D5257,"Equipment Code",$L5257,"due date",G$8)/-12</t>
  </si>
  <si>
    <t>=NL("sum","Production Order","Quantity","Source No.",$D5257,"Equipment Code",$L5257,"due date",H$8)/-12</t>
  </si>
  <si>
    <t>=NL("sum","Production Order","Quantity","Source No.",$D5257,"Equipment Code",$L5257,"due date",I$8)/-12</t>
  </si>
  <si>
    <t>=NL("sum","Production Order","Quantity","Source No.",$D5257,"Equipment Code",$L5257,"due date",J$8)/$J$7</t>
  </si>
  <si>
    <t>=AVERAGE(I5257:J5257)</t>
  </si>
  <si>
    <t>=IF(K5258=0,"hide","")</t>
  </si>
  <si>
    <t>=D5257</t>
  </si>
  <si>
    <t>=NL("sum","Production Order","Quantity","Source No.",$D5258,"Equipment Code",$L5258,"due date",F$8)/-12</t>
  </si>
  <si>
    <t>=NL("sum","Production Order","Quantity","Source No.",$D5258,"Equipment Code",$L5258,"due date",G$8)/-12</t>
  </si>
  <si>
    <t>=NL("sum","Production Order","Quantity","Source No.",$D5258,"Equipment Code",$L5258,"due date",H$8)/-12</t>
  </si>
  <si>
    <t>=NL("sum","Production Order","Quantity","Source No.",$D5258,"Equipment Code",$L5258,"due date",I$8)/-12</t>
  </si>
  <si>
    <t>=NL("sum","Production Order","Quantity","Source No.",$D5258,"Equipment Code",$L5258,"due date",J$8)/$J$7</t>
  </si>
  <si>
    <t>=AVERAGE(I5258:J5258)</t>
  </si>
  <si>
    <t>=IF(K5259=0,"hide","")</t>
  </si>
  <si>
    <t>=D5258</t>
  </si>
  <si>
    <t>=NL("sum","Production Order","Quantity","Source No.",$D5259,"Equipment Code",$L5259,"due date",F$8)/-12</t>
  </si>
  <si>
    <t>=NL("sum","Production Order","Quantity","Source No.",$D5259,"Equipment Code",$L5259,"due date",G$8)/-12</t>
  </si>
  <si>
    <t>=NL("sum","Production Order","Quantity","Source No.",$D5259,"Equipment Code",$L5259,"due date",H$8)/-12</t>
  </si>
  <si>
    <t>=NL("sum","Production Order","Quantity","Source No.",$D5259,"Equipment Code",$L5259,"due date",I$8)/-12</t>
  </si>
  <si>
    <t>=NL("sum","Production Order","Quantity","Source No.",$D5259,"Equipment Code",$L5259,"due date",J$8)/$J$7</t>
  </si>
  <si>
    <t>=AVERAGE(I5259:J5259)</t>
  </si>
  <si>
    <t>=IF(K5260=0,"hide","")</t>
  </si>
  <si>
    <t>=D5259</t>
  </si>
  <si>
    <t>=NL("sum","Production Order","Quantity","Source No.",$D5260,"Equipment Code",$L5260,"due date",F$8)/-12</t>
  </si>
  <si>
    <t>=NL("sum","Production Order","Quantity","Source No.",$D5260,"Equipment Code",$L5260,"due date",G$8)/-12</t>
  </si>
  <si>
    <t>=NL("sum","Production Order","Quantity","Source No.",$D5260,"Equipment Code",$L5260,"due date",H$8)/-12</t>
  </si>
  <si>
    <t>=NL("sum","Production Order","Quantity","Source No.",$D5260,"Equipment Code",$L5260,"due date",I$8)/-12</t>
  </si>
  <si>
    <t>=NL("sum","Production Order","Quantity","Source No.",$D5260,"Equipment Code",$L5260,"due date",J$8)/$J$7</t>
  </si>
  <si>
    <t>=AVERAGE(I5260:J5260)</t>
  </si>
  <si>
    <t>=B5257</t>
  </si>
  <si>
    <t>=B5261</t>
  </si>
  <si>
    <t>=SUM(F5257:F5261)</t>
  </si>
  <si>
    <t>=SUM(G5257:G5261)</t>
  </si>
  <si>
    <t>=SUM(H5257:H5261)</t>
  </si>
  <si>
    <t>=SUM(I5257:I5261)</t>
  </si>
  <si>
    <t>=SUM(J5257:J5261)</t>
  </si>
  <si>
    <t>=IF(K5263=0,"hide","")</t>
  </si>
  <si>
    <t>="98110"</t>
  </si>
  <si>
    <t>=NL("rows","Production BOM Version","Version Code","Production BOM No.",D5263,"status","certified")</t>
  </si>
  <si>
    <t>=NL("sum","Item Ledger Entry","Quantity","Item No.",$D5263,"Entry Type","Sale|Consumption","posting date","01/01/19..12/31/19")/-12</t>
  </si>
  <si>
    <t>=NL("sum","Item Ledger Entry","Quantity","Item No.",$D5263,"Entry Type","Sale|Consumption","posting date","01/01/20..12/31/20")/-12</t>
  </si>
  <si>
    <t>=NL("sum","Item Ledger Entry","Quantity","Item No.",$D5263,"Entry Type","Sale|Consumption","posting date","01/01/21..12/31/21")/-12</t>
  </si>
  <si>
    <t>=NL("sum","Item Ledger Entry","Quantity","Item No.",$D5263,"Entry Type","Sale|Consumption","posting date","01/01/22..12/31/22")/-12</t>
  </si>
  <si>
    <t>=NL("sum","Item Ledger Entry","Quantity","Item No.",$D5263,"Entry Type","Sale|Consumption","posting date","01/01/23..12/31/23")/$J$7</t>
  </si>
  <si>
    <t>=AVERAGE(I5263:J5263)</t>
  </si>
  <si>
    <t>=NL(1,"item",L$9,"no.",D5263)</t>
  </si>
  <si>
    <t>=NL(1,"item",M$9,"no.",$D5263)</t>
  </si>
  <si>
    <t>=NL(1,"item","Units Per Parcel","no.",$D5263)</t>
  </si>
  <si>
    <t>=NL(1,"Prod. BOM Equipment","Fixed Prod. Time (Hours)","Production BOM No.",$D5263,"version code",$E5263,"Resource No.",O$9)</t>
  </si>
  <si>
    <t>=1/O5263</t>
  </si>
  <si>
    <t>=IF(NL(1,"Prod. BOM Equipment","Variable Prod. Time (Hours)","Production BOM No.",$D5263,"version code",$E5263,"Resource No.",$O$9)="",1,NL(1,"Prod. BOM Equipment","Variable Prod. Time (Hours)","Production BOM No.",$D5263,"version code",$E5263,"Resource No.",$O$9))</t>
  </si>
  <si>
    <t>=1/Q5263</t>
  </si>
  <si>
    <t>=R5263*N5263</t>
  </si>
  <si>
    <t>=IF(K5264=0,"hide","")</t>
  </si>
  <si>
    <t>=D5263</t>
  </si>
  <si>
    <t>=NL("sum","Production Order","Quantity","Source No.",$D5264,"Equipment Code",$L5264,"due date",F$8)/-12</t>
  </si>
  <si>
    <t>=NL("sum","Production Order","Quantity","Source No.",$D5264,"Equipment Code",$L5264,"due date",G$8)/-12</t>
  </si>
  <si>
    <t>=NL("sum","Production Order","Quantity","Source No.",$D5264,"Equipment Code",$L5264,"due date",H$8)/-12</t>
  </si>
  <si>
    <t>=NL("sum","Production Order","Quantity","Source No.",$D5264,"Equipment Code",$L5264,"due date",I$8)/-12</t>
  </si>
  <si>
    <t>=NL("sum","Production Order","Quantity","Source No.",$D5264,"Equipment Code",$L5264,"due date",J$8)/$J$7</t>
  </si>
  <si>
    <t>=AVERAGE(I5264:J5264)</t>
  </si>
  <si>
    <t>=IF(K5265=0,"hide","")</t>
  </si>
  <si>
    <t>=D5264</t>
  </si>
  <si>
    <t>=NL("sum","Production Order","Quantity","Source No.",$D5265,"Equipment Code",$L5265,"due date",F$8)/-12</t>
  </si>
  <si>
    <t>=NL("sum","Production Order","Quantity","Source No.",$D5265,"Equipment Code",$L5265,"due date",G$8)/-12</t>
  </si>
  <si>
    <t>=NL("sum","Production Order","Quantity","Source No.",$D5265,"Equipment Code",$L5265,"due date",H$8)/-12</t>
  </si>
  <si>
    <t>=NL("sum","Production Order","Quantity","Source No.",$D5265,"Equipment Code",$L5265,"due date",I$8)/-12</t>
  </si>
  <si>
    <t>=NL("sum","Production Order","Quantity","Source No.",$D5265,"Equipment Code",$L5265,"due date",J$8)/$J$7</t>
  </si>
  <si>
    <t>=AVERAGE(I5265:J5265)</t>
  </si>
  <si>
    <t>=IF(K5266=0,"hide","")</t>
  </si>
  <si>
    <t>=D5265</t>
  </si>
  <si>
    <t>=NL("sum","Production Order","Quantity","Source No.",$D5266,"Equipment Code",$L5266,"due date",F$8)/-12</t>
  </si>
  <si>
    <t>=NL("sum","Production Order","Quantity","Source No.",$D5266,"Equipment Code",$L5266,"due date",G$8)/-12</t>
  </si>
  <si>
    <t>=NL("sum","Production Order","Quantity","Source No.",$D5266,"Equipment Code",$L5266,"due date",H$8)/-12</t>
  </si>
  <si>
    <t>=NL("sum","Production Order","Quantity","Source No.",$D5266,"Equipment Code",$L5266,"due date",I$8)/-12</t>
  </si>
  <si>
    <t>=NL("sum","Production Order","Quantity","Source No.",$D5266,"Equipment Code",$L5266,"due date",J$8)/$J$7</t>
  </si>
  <si>
    <t>=AVERAGE(I5266:J5266)</t>
  </si>
  <si>
    <t>=IF(K5267=0,"hide","")</t>
  </si>
  <si>
    <t>=D5266</t>
  </si>
  <si>
    <t>=NL("sum","Production Order","Quantity","Source No.",$D5267,"Equipment Code",$L5267,"due date",F$8)/-12</t>
  </si>
  <si>
    <t>=NL("sum","Production Order","Quantity","Source No.",$D5267,"Equipment Code",$L5267,"due date",G$8)/-12</t>
  </si>
  <si>
    <t>=NL("sum","Production Order","Quantity","Source No.",$D5267,"Equipment Code",$L5267,"due date",H$8)/-12</t>
  </si>
  <si>
    <t>=NL("sum","Production Order","Quantity","Source No.",$D5267,"Equipment Code",$L5267,"due date",I$8)/-12</t>
  </si>
  <si>
    <t>=NL("sum","Production Order","Quantity","Source No.",$D5267,"Equipment Code",$L5267,"due date",J$8)/$J$7</t>
  </si>
  <si>
    <t>=AVERAGE(I5267:J5267)</t>
  </si>
  <si>
    <t>=B5264</t>
  </si>
  <si>
    <t>=B5268</t>
  </si>
  <si>
    <t>=SUM(F5264:F5268)</t>
  </si>
  <si>
    <t>=SUM(G5264:G5268)</t>
  </si>
  <si>
    <t>=SUM(H5264:H5268)</t>
  </si>
  <si>
    <t>=SUM(I5264:I5268)</t>
  </si>
  <si>
    <t>=SUM(J5264:J5268)</t>
  </si>
  <si>
    <t>=IF(K5270=0,"hide","")</t>
  </si>
  <si>
    <t>="98116"</t>
  </si>
  <si>
    <t>=NL("rows","Production BOM Version","Version Code","Production BOM No.",D5270,"status","certified")</t>
  </si>
  <si>
    <t>=NL("sum","Item Ledger Entry","Quantity","Item No.",$D5270,"Entry Type","Sale|Consumption","posting date","01/01/19..12/31/19")/-12</t>
  </si>
  <si>
    <t>=NL("sum","Item Ledger Entry","Quantity","Item No.",$D5270,"Entry Type","Sale|Consumption","posting date","01/01/20..12/31/20")/-12</t>
  </si>
  <si>
    <t>=NL("sum","Item Ledger Entry","Quantity","Item No.",$D5270,"Entry Type","Sale|Consumption","posting date","01/01/21..12/31/21")/-12</t>
  </si>
  <si>
    <t>=NL("sum","Item Ledger Entry","Quantity","Item No.",$D5270,"Entry Type","Sale|Consumption","posting date","01/01/22..12/31/22")/-12</t>
  </si>
  <si>
    <t>=NL("sum","Item Ledger Entry","Quantity","Item No.",$D5270,"Entry Type","Sale|Consumption","posting date","01/01/23..12/31/23")/$J$7</t>
  </si>
  <si>
    <t>=AVERAGE(I5270:J5270)</t>
  </si>
  <si>
    <t>=NL(1,"item",L$9,"no.",D5270)</t>
  </si>
  <si>
    <t>=NL(1,"item",M$9,"no.",$D5270)</t>
  </si>
  <si>
    <t>=NL(1,"item","Units Per Parcel","no.",$D5270)</t>
  </si>
  <si>
    <t>=NL(1,"Prod. BOM Equipment","Fixed Prod. Time (Hours)","Production BOM No.",$D5270,"version code",$E5270,"Resource No.",O$9)</t>
  </si>
  <si>
    <t>=1/O5270</t>
  </si>
  <si>
    <t>=IF(NL(1,"Prod. BOM Equipment","Variable Prod. Time (Hours)","Production BOM No.",$D5270,"version code",$E5270,"Resource No.",$O$9)="",1,NL(1,"Prod. BOM Equipment","Variable Prod. Time (Hours)","Production BOM No.",$D5270,"version code",$E5270,"Resource No.",$O$9))</t>
  </si>
  <si>
    <t>=1/Q5270</t>
  </si>
  <si>
    <t>=R5270*N5270</t>
  </si>
  <si>
    <t>=IF(K5271=0,"hide","")</t>
  </si>
  <si>
    <t>=D5270</t>
  </si>
  <si>
    <t>=NL("sum","Production Order","Quantity","Source No.",$D5271,"Equipment Code",$L5271,"due date",F$8)/-12</t>
  </si>
  <si>
    <t>=NL("sum","Production Order","Quantity","Source No.",$D5271,"Equipment Code",$L5271,"due date",G$8)/-12</t>
  </si>
  <si>
    <t>=NL("sum","Production Order","Quantity","Source No.",$D5271,"Equipment Code",$L5271,"due date",H$8)/-12</t>
  </si>
  <si>
    <t>=NL("sum","Production Order","Quantity","Source No.",$D5271,"Equipment Code",$L5271,"due date",I$8)/-12</t>
  </si>
  <si>
    <t>=NL("sum","Production Order","Quantity","Source No.",$D5271,"Equipment Code",$L5271,"due date",J$8)/$J$7</t>
  </si>
  <si>
    <t>=AVERAGE(I5271:J5271)</t>
  </si>
  <si>
    <t>=IF(K5272=0,"hide","")</t>
  </si>
  <si>
    <t>=D5271</t>
  </si>
  <si>
    <t>=NL("sum","Production Order","Quantity","Source No.",$D5272,"Equipment Code",$L5272,"due date",F$8)/-12</t>
  </si>
  <si>
    <t>=NL("sum","Production Order","Quantity","Source No.",$D5272,"Equipment Code",$L5272,"due date",G$8)/-12</t>
  </si>
  <si>
    <t>=NL("sum","Production Order","Quantity","Source No.",$D5272,"Equipment Code",$L5272,"due date",H$8)/-12</t>
  </si>
  <si>
    <t>=NL("sum","Production Order","Quantity","Source No.",$D5272,"Equipment Code",$L5272,"due date",I$8)/-12</t>
  </si>
  <si>
    <t>=NL("sum","Production Order","Quantity","Source No.",$D5272,"Equipment Code",$L5272,"due date",J$8)/$J$7</t>
  </si>
  <si>
    <t>=AVERAGE(I5272:J5272)</t>
  </si>
  <si>
    <t>=IF(K5273=0,"hide","")</t>
  </si>
  <si>
    <t>=D5272</t>
  </si>
  <si>
    <t>=NL("sum","Production Order","Quantity","Source No.",$D5273,"Equipment Code",$L5273,"due date",F$8)/-12</t>
  </si>
  <si>
    <t>=NL("sum","Production Order","Quantity","Source No.",$D5273,"Equipment Code",$L5273,"due date",G$8)/-12</t>
  </si>
  <si>
    <t>=NL("sum","Production Order","Quantity","Source No.",$D5273,"Equipment Code",$L5273,"due date",H$8)/-12</t>
  </si>
  <si>
    <t>=NL("sum","Production Order","Quantity","Source No.",$D5273,"Equipment Code",$L5273,"due date",I$8)/-12</t>
  </si>
  <si>
    <t>=NL("sum","Production Order","Quantity","Source No.",$D5273,"Equipment Code",$L5273,"due date",J$8)/$J$7</t>
  </si>
  <si>
    <t>=AVERAGE(I5273:J5273)</t>
  </si>
  <si>
    <t>=IF(K5274=0,"hide","")</t>
  </si>
  <si>
    <t>=D5273</t>
  </si>
  <si>
    <t>=NL("sum","Production Order","Quantity","Source No.",$D5274,"Equipment Code",$L5274,"due date",F$8)/-12</t>
  </si>
  <si>
    <t>=NL("sum","Production Order","Quantity","Source No.",$D5274,"Equipment Code",$L5274,"due date",G$8)/-12</t>
  </si>
  <si>
    <t>=NL("sum","Production Order","Quantity","Source No.",$D5274,"Equipment Code",$L5274,"due date",H$8)/-12</t>
  </si>
  <si>
    <t>=NL("sum","Production Order","Quantity","Source No.",$D5274,"Equipment Code",$L5274,"due date",I$8)/-12</t>
  </si>
  <si>
    <t>=NL("sum","Production Order","Quantity","Source No.",$D5274,"Equipment Code",$L5274,"due date",J$8)/$J$7</t>
  </si>
  <si>
    <t>=AVERAGE(I5274:J5274)</t>
  </si>
  <si>
    <t>=B5271</t>
  </si>
  <si>
    <t>=B5275</t>
  </si>
  <si>
    <t>=SUM(F5271:F5275)</t>
  </si>
  <si>
    <t>=SUM(G5271:G5275)</t>
  </si>
  <si>
    <t>=SUM(H5271:H5275)</t>
  </si>
  <si>
    <t>=SUM(I5271:I5275)</t>
  </si>
  <si>
    <t>=SUM(J5271:J5275)</t>
  </si>
  <si>
    <t>=IF(K5277=0,"hide","")</t>
  </si>
  <si>
    <t>="98126"</t>
  </si>
  <si>
    <t>=NL("rows","Production BOM Version","Version Code","Production BOM No.",D5277,"status","certified")</t>
  </si>
  <si>
    <t>=NL("sum","Item Ledger Entry","Quantity","Item No.",$D5277,"Entry Type","Sale|Consumption","posting date","01/01/19..12/31/19")/-12</t>
  </si>
  <si>
    <t>=NL("sum","Item Ledger Entry","Quantity","Item No.",$D5277,"Entry Type","Sale|Consumption","posting date","01/01/20..12/31/20")/-12</t>
  </si>
  <si>
    <t>=NL("sum","Item Ledger Entry","Quantity","Item No.",$D5277,"Entry Type","Sale|Consumption","posting date","01/01/21..12/31/21")/-12</t>
  </si>
  <si>
    <t>=NL("sum","Item Ledger Entry","Quantity","Item No.",$D5277,"Entry Type","Sale|Consumption","posting date","01/01/22..12/31/22")/-12</t>
  </si>
  <si>
    <t>=NL("sum","Item Ledger Entry","Quantity","Item No.",$D5277,"Entry Type","Sale|Consumption","posting date","01/01/23..12/31/23")/$J$7</t>
  </si>
  <si>
    <t>=AVERAGE(I5277:J5277)</t>
  </si>
  <si>
    <t>=NL(1,"item",L$9,"no.",D5277)</t>
  </si>
  <si>
    <t>=NL(1,"item",M$9,"no.",$D5277)</t>
  </si>
  <si>
    <t>=NL(1,"item","Units Per Parcel","no.",$D5277)</t>
  </si>
  <si>
    <t>=NL(1,"Prod. BOM Equipment","Fixed Prod. Time (Hours)","Production BOM No.",$D5277,"version code",$E5277,"Resource No.",O$9)</t>
  </si>
  <si>
    <t>=1/O5277</t>
  </si>
  <si>
    <t>=IF(NL(1,"Prod. BOM Equipment","Variable Prod. Time (Hours)","Production BOM No.",$D5277,"version code",$E5277,"Resource No.",$O$9)="",1,NL(1,"Prod. BOM Equipment","Variable Prod. Time (Hours)","Production BOM No.",$D5277,"version code",$E5277,"Resource No.",$O$9))</t>
  </si>
  <si>
    <t>=1/Q5277</t>
  </si>
  <si>
    <t>=R5277*N5277</t>
  </si>
  <si>
    <t>=IF(K5278=0,"hide","")</t>
  </si>
  <si>
    <t>=D5277</t>
  </si>
  <si>
    <t>=NL("sum","Production Order","Quantity","Source No.",$D5278,"Equipment Code",$L5278,"due date",F$8)/-12</t>
  </si>
  <si>
    <t>=NL("sum","Production Order","Quantity","Source No.",$D5278,"Equipment Code",$L5278,"due date",G$8)/-12</t>
  </si>
  <si>
    <t>=NL("sum","Production Order","Quantity","Source No.",$D5278,"Equipment Code",$L5278,"due date",H$8)/-12</t>
  </si>
  <si>
    <t>=NL("sum","Production Order","Quantity","Source No.",$D5278,"Equipment Code",$L5278,"due date",I$8)/-12</t>
  </si>
  <si>
    <t>=NL("sum","Production Order","Quantity","Source No.",$D5278,"Equipment Code",$L5278,"due date",J$8)/$J$7</t>
  </si>
  <si>
    <t>=AVERAGE(I5278:J5278)</t>
  </si>
  <si>
    <t>=IF(K5279=0,"hide","")</t>
  </si>
  <si>
    <t>=D5278</t>
  </si>
  <si>
    <t>=NL("sum","Production Order","Quantity","Source No.",$D5279,"Equipment Code",$L5279,"due date",F$8)/-12</t>
  </si>
  <si>
    <t>=NL("sum","Production Order","Quantity","Source No.",$D5279,"Equipment Code",$L5279,"due date",G$8)/-12</t>
  </si>
  <si>
    <t>=NL("sum","Production Order","Quantity","Source No.",$D5279,"Equipment Code",$L5279,"due date",H$8)/-12</t>
  </si>
  <si>
    <t>=NL("sum","Production Order","Quantity","Source No.",$D5279,"Equipment Code",$L5279,"due date",I$8)/-12</t>
  </si>
  <si>
    <t>=NL("sum","Production Order","Quantity","Source No.",$D5279,"Equipment Code",$L5279,"due date",J$8)/$J$7</t>
  </si>
  <si>
    <t>=AVERAGE(I5279:J5279)</t>
  </si>
  <si>
    <t>=IF(K5280=0,"hide","")</t>
  </si>
  <si>
    <t>=D5279</t>
  </si>
  <si>
    <t>=NL("sum","Production Order","Quantity","Source No.",$D5280,"Equipment Code",$L5280,"due date",F$8)/-12</t>
  </si>
  <si>
    <t>=NL("sum","Production Order","Quantity","Source No.",$D5280,"Equipment Code",$L5280,"due date",G$8)/-12</t>
  </si>
  <si>
    <t>=NL("sum","Production Order","Quantity","Source No.",$D5280,"Equipment Code",$L5280,"due date",H$8)/-12</t>
  </si>
  <si>
    <t>=NL("sum","Production Order","Quantity","Source No.",$D5280,"Equipment Code",$L5280,"due date",I$8)/-12</t>
  </si>
  <si>
    <t>=NL("sum","Production Order","Quantity","Source No.",$D5280,"Equipment Code",$L5280,"due date",J$8)/$J$7</t>
  </si>
  <si>
    <t>=AVERAGE(I5280:J5280)</t>
  </si>
  <si>
    <t>=IF(K5281=0,"hide","")</t>
  </si>
  <si>
    <t>=D5280</t>
  </si>
  <si>
    <t>=NL("sum","Production Order","Quantity","Source No.",$D5281,"Equipment Code",$L5281,"due date",F$8)/-12</t>
  </si>
  <si>
    <t>=NL("sum","Production Order","Quantity","Source No.",$D5281,"Equipment Code",$L5281,"due date",G$8)/-12</t>
  </si>
  <si>
    <t>=NL("sum","Production Order","Quantity","Source No.",$D5281,"Equipment Code",$L5281,"due date",H$8)/-12</t>
  </si>
  <si>
    <t>=NL("sum","Production Order","Quantity","Source No.",$D5281,"Equipment Code",$L5281,"due date",I$8)/-12</t>
  </si>
  <si>
    <t>=NL("sum","Production Order","Quantity","Source No.",$D5281,"Equipment Code",$L5281,"due date",J$8)/$J$7</t>
  </si>
  <si>
    <t>=AVERAGE(I5281:J5281)</t>
  </si>
  <si>
    <t>=B5278</t>
  </si>
  <si>
    <t>=B5282</t>
  </si>
  <si>
    <t>=SUM(F5278:F5282)</t>
  </si>
  <si>
    <t>=SUM(G5278:G5282)</t>
  </si>
  <si>
    <t>=SUM(H5278:H5282)</t>
  </si>
  <si>
    <t>=SUM(I5278:I5282)</t>
  </si>
  <si>
    <t>=SUM(J5278:J5282)</t>
  </si>
  <si>
    <t>=IF(K5284=0,"hide","")</t>
  </si>
  <si>
    <t>="98129"</t>
  </si>
  <si>
    <t>=NL("rows","Production BOM Version","Version Code","Production BOM No.",D5284,"status","certified")</t>
  </si>
  <si>
    <t>=NL("sum","Item Ledger Entry","Quantity","Item No.",$D5284,"Entry Type","Sale|Consumption","posting date","01/01/19..12/31/19")/-12</t>
  </si>
  <si>
    <t>=NL("sum","Item Ledger Entry","Quantity","Item No.",$D5284,"Entry Type","Sale|Consumption","posting date","01/01/20..12/31/20")/-12</t>
  </si>
  <si>
    <t>=NL("sum","Item Ledger Entry","Quantity","Item No.",$D5284,"Entry Type","Sale|Consumption","posting date","01/01/21..12/31/21")/-12</t>
  </si>
  <si>
    <t>=NL("sum","Item Ledger Entry","Quantity","Item No.",$D5284,"Entry Type","Sale|Consumption","posting date","01/01/22..12/31/22")/-12</t>
  </si>
  <si>
    <t>=NL("sum","Item Ledger Entry","Quantity","Item No.",$D5284,"Entry Type","Sale|Consumption","posting date","01/01/23..12/31/23")/$J$7</t>
  </si>
  <si>
    <t>=AVERAGE(I5284:J5284)</t>
  </si>
  <si>
    <t>=NL(1,"item",L$9,"no.",D5284)</t>
  </si>
  <si>
    <t>=NL(1,"item",M$9,"no.",$D5284)</t>
  </si>
  <si>
    <t>=NL(1,"item","Units Per Parcel","no.",$D5284)</t>
  </si>
  <si>
    <t>=NL(1,"Prod. BOM Equipment","Fixed Prod. Time (Hours)","Production BOM No.",$D5284,"version code",$E5284,"Resource No.",O$9)</t>
  </si>
  <si>
    <t>=1/O5284</t>
  </si>
  <si>
    <t>=IF(NL(1,"Prod. BOM Equipment","Variable Prod. Time (Hours)","Production BOM No.",$D5284,"version code",$E5284,"Resource No.",$O$9)="",1,NL(1,"Prod. BOM Equipment","Variable Prod. Time (Hours)","Production BOM No.",$D5284,"version code",$E5284,"Resource No.",$O$9))</t>
  </si>
  <si>
    <t>=1/Q5284</t>
  </si>
  <si>
    <t>=R5284*N5284</t>
  </si>
  <si>
    <t>=IF(K5285=0,"hide","")</t>
  </si>
  <si>
    <t>=D5284</t>
  </si>
  <si>
    <t>=NL("sum","Production Order","Quantity","Source No.",$D5285,"Equipment Code",$L5285,"due date",F$8)/-12</t>
  </si>
  <si>
    <t>=NL("sum","Production Order","Quantity","Source No.",$D5285,"Equipment Code",$L5285,"due date",G$8)/-12</t>
  </si>
  <si>
    <t>=NL("sum","Production Order","Quantity","Source No.",$D5285,"Equipment Code",$L5285,"due date",H$8)/-12</t>
  </si>
  <si>
    <t>=NL("sum","Production Order","Quantity","Source No.",$D5285,"Equipment Code",$L5285,"due date",I$8)/-12</t>
  </si>
  <si>
    <t>=NL("sum","Production Order","Quantity","Source No.",$D5285,"Equipment Code",$L5285,"due date",J$8)/$J$7</t>
  </si>
  <si>
    <t>=AVERAGE(I5285:J5285)</t>
  </si>
  <si>
    <t>=IF(K5286=0,"hide","")</t>
  </si>
  <si>
    <t>=D5285</t>
  </si>
  <si>
    <t>=NL("sum","Production Order","Quantity","Source No.",$D5286,"Equipment Code",$L5286,"due date",F$8)/-12</t>
  </si>
  <si>
    <t>=NL("sum","Production Order","Quantity","Source No.",$D5286,"Equipment Code",$L5286,"due date",G$8)/-12</t>
  </si>
  <si>
    <t>=NL("sum","Production Order","Quantity","Source No.",$D5286,"Equipment Code",$L5286,"due date",H$8)/-12</t>
  </si>
  <si>
    <t>=NL("sum","Production Order","Quantity","Source No.",$D5286,"Equipment Code",$L5286,"due date",I$8)/-12</t>
  </si>
  <si>
    <t>=NL("sum","Production Order","Quantity","Source No.",$D5286,"Equipment Code",$L5286,"due date",J$8)/$J$7</t>
  </si>
  <si>
    <t>=AVERAGE(I5286:J5286)</t>
  </si>
  <si>
    <t>=IF(K5287=0,"hide","")</t>
  </si>
  <si>
    <t>=D5286</t>
  </si>
  <si>
    <t>=NL("sum","Production Order","Quantity","Source No.",$D5287,"Equipment Code",$L5287,"due date",F$8)/-12</t>
  </si>
  <si>
    <t>=NL("sum","Production Order","Quantity","Source No.",$D5287,"Equipment Code",$L5287,"due date",G$8)/-12</t>
  </si>
  <si>
    <t>=NL("sum","Production Order","Quantity","Source No.",$D5287,"Equipment Code",$L5287,"due date",H$8)/-12</t>
  </si>
  <si>
    <t>=NL("sum","Production Order","Quantity","Source No.",$D5287,"Equipment Code",$L5287,"due date",I$8)/-12</t>
  </si>
  <si>
    <t>=NL("sum","Production Order","Quantity","Source No.",$D5287,"Equipment Code",$L5287,"due date",J$8)/$J$7</t>
  </si>
  <si>
    <t>=AVERAGE(I5287:J5287)</t>
  </si>
  <si>
    <t>=IF(K5288=0,"hide","")</t>
  </si>
  <si>
    <t>=D5287</t>
  </si>
  <si>
    <t>=NL("sum","Production Order","Quantity","Source No.",$D5288,"Equipment Code",$L5288,"due date",F$8)/-12</t>
  </si>
  <si>
    <t>=NL("sum","Production Order","Quantity","Source No.",$D5288,"Equipment Code",$L5288,"due date",G$8)/-12</t>
  </si>
  <si>
    <t>=NL("sum","Production Order","Quantity","Source No.",$D5288,"Equipment Code",$L5288,"due date",H$8)/-12</t>
  </si>
  <si>
    <t>=NL("sum","Production Order","Quantity","Source No.",$D5288,"Equipment Code",$L5288,"due date",I$8)/-12</t>
  </si>
  <si>
    <t>=NL("sum","Production Order","Quantity","Source No.",$D5288,"Equipment Code",$L5288,"due date",J$8)/$J$7</t>
  </si>
  <si>
    <t>=AVERAGE(I5288:J5288)</t>
  </si>
  <si>
    <t>=B5285</t>
  </si>
  <si>
    <t>=B5289</t>
  </si>
  <si>
    <t>=SUM(F5285:F5289)</t>
  </si>
  <si>
    <t>=SUM(G5285:G5289)</t>
  </si>
  <si>
    <t>=SUM(H5285:H5289)</t>
  </si>
  <si>
    <t>=SUM(I5285:I5289)</t>
  </si>
  <si>
    <t>=SUM(J5285:J5289)</t>
  </si>
  <si>
    <t>=IF(K5291=0,"hide","")</t>
  </si>
  <si>
    <t>="98132"</t>
  </si>
  <si>
    <t>=NL("rows","Production BOM Version","Version Code","Production BOM No.",D5291,"status","certified")</t>
  </si>
  <si>
    <t>=NL("sum","Item Ledger Entry","Quantity","Item No.",$D5291,"Entry Type","Sale|Consumption","posting date","01/01/19..12/31/19")/-12</t>
  </si>
  <si>
    <t>=NL("sum","Item Ledger Entry","Quantity","Item No.",$D5291,"Entry Type","Sale|Consumption","posting date","01/01/20..12/31/20")/-12</t>
  </si>
  <si>
    <t>=NL("sum","Item Ledger Entry","Quantity","Item No.",$D5291,"Entry Type","Sale|Consumption","posting date","01/01/21..12/31/21")/-12</t>
  </si>
  <si>
    <t>=NL("sum","Item Ledger Entry","Quantity","Item No.",$D5291,"Entry Type","Sale|Consumption","posting date","01/01/22..12/31/22")/-12</t>
  </si>
  <si>
    <t>=NL("sum","Item Ledger Entry","Quantity","Item No.",$D5291,"Entry Type","Sale|Consumption","posting date","01/01/23..12/31/23")/$J$7</t>
  </si>
  <si>
    <t>=AVERAGE(I5291:J5291)</t>
  </si>
  <si>
    <t>=NL(1,"item",L$9,"no.",D5291)</t>
  </si>
  <si>
    <t>=NL(1,"item",M$9,"no.",$D5291)</t>
  </si>
  <si>
    <t>=NL(1,"item","Units Per Parcel","no.",$D5291)</t>
  </si>
  <si>
    <t>=NL(1,"Prod. BOM Equipment","Fixed Prod. Time (Hours)","Production BOM No.",$D5291,"version code",$E5291,"Resource No.",O$9)</t>
  </si>
  <si>
    <t>=1/O5291</t>
  </si>
  <si>
    <t>=IF(NL(1,"Prod. BOM Equipment","Variable Prod. Time (Hours)","Production BOM No.",$D5291,"version code",$E5291,"Resource No.",$O$9)="",1,NL(1,"Prod. BOM Equipment","Variable Prod. Time (Hours)","Production BOM No.",$D5291,"version code",$E5291,"Resource No.",$O$9))</t>
  </si>
  <si>
    <t>=1/Q5291</t>
  </si>
  <si>
    <t>=R5291*N5291</t>
  </si>
  <si>
    <t>=IF(K5292=0,"hide","")</t>
  </si>
  <si>
    <t>=D5291</t>
  </si>
  <si>
    <t>=NL("sum","Production Order","Quantity","Source No.",$D5292,"Equipment Code",$L5292,"due date",F$8)/-12</t>
  </si>
  <si>
    <t>=NL("sum","Production Order","Quantity","Source No.",$D5292,"Equipment Code",$L5292,"due date",G$8)/-12</t>
  </si>
  <si>
    <t>=NL("sum","Production Order","Quantity","Source No.",$D5292,"Equipment Code",$L5292,"due date",H$8)/-12</t>
  </si>
  <si>
    <t>=NL("sum","Production Order","Quantity","Source No.",$D5292,"Equipment Code",$L5292,"due date",I$8)/-12</t>
  </si>
  <si>
    <t>=NL("sum","Production Order","Quantity","Source No.",$D5292,"Equipment Code",$L5292,"due date",J$8)/$J$7</t>
  </si>
  <si>
    <t>=AVERAGE(I5292:J5292)</t>
  </si>
  <si>
    <t>=IF(K5293=0,"hide","")</t>
  </si>
  <si>
    <t>=D5292</t>
  </si>
  <si>
    <t>=NL("sum","Production Order","Quantity","Source No.",$D5293,"Equipment Code",$L5293,"due date",F$8)/-12</t>
  </si>
  <si>
    <t>=NL("sum","Production Order","Quantity","Source No.",$D5293,"Equipment Code",$L5293,"due date",G$8)/-12</t>
  </si>
  <si>
    <t>=NL("sum","Production Order","Quantity","Source No.",$D5293,"Equipment Code",$L5293,"due date",H$8)/-12</t>
  </si>
  <si>
    <t>=NL("sum","Production Order","Quantity","Source No.",$D5293,"Equipment Code",$L5293,"due date",I$8)/-12</t>
  </si>
  <si>
    <t>=NL("sum","Production Order","Quantity","Source No.",$D5293,"Equipment Code",$L5293,"due date",J$8)/$J$7</t>
  </si>
  <si>
    <t>=AVERAGE(I5293:J5293)</t>
  </si>
  <si>
    <t>=IF(K5294=0,"hide","")</t>
  </si>
  <si>
    <t>=D5293</t>
  </si>
  <si>
    <t>=NL("sum","Production Order","Quantity","Source No.",$D5294,"Equipment Code",$L5294,"due date",F$8)/-12</t>
  </si>
  <si>
    <t>=NL("sum","Production Order","Quantity","Source No.",$D5294,"Equipment Code",$L5294,"due date",G$8)/-12</t>
  </si>
  <si>
    <t>=NL("sum","Production Order","Quantity","Source No.",$D5294,"Equipment Code",$L5294,"due date",H$8)/-12</t>
  </si>
  <si>
    <t>=NL("sum","Production Order","Quantity","Source No.",$D5294,"Equipment Code",$L5294,"due date",I$8)/-12</t>
  </si>
  <si>
    <t>=NL("sum","Production Order","Quantity","Source No.",$D5294,"Equipment Code",$L5294,"due date",J$8)/$J$7</t>
  </si>
  <si>
    <t>=AVERAGE(I5294:J5294)</t>
  </si>
  <si>
    <t>=IF(K5295=0,"hide","")</t>
  </si>
  <si>
    <t>=D5294</t>
  </si>
  <si>
    <t>=NL("sum","Production Order","Quantity","Source No.",$D5295,"Equipment Code",$L5295,"due date",F$8)/-12</t>
  </si>
  <si>
    <t>=NL("sum","Production Order","Quantity","Source No.",$D5295,"Equipment Code",$L5295,"due date",G$8)/-12</t>
  </si>
  <si>
    <t>=NL("sum","Production Order","Quantity","Source No.",$D5295,"Equipment Code",$L5295,"due date",H$8)/-12</t>
  </si>
  <si>
    <t>=NL("sum","Production Order","Quantity","Source No.",$D5295,"Equipment Code",$L5295,"due date",I$8)/-12</t>
  </si>
  <si>
    <t>=NL("sum","Production Order","Quantity","Source No.",$D5295,"Equipment Code",$L5295,"due date",J$8)/$J$7</t>
  </si>
  <si>
    <t>=AVERAGE(I5295:J5295)</t>
  </si>
  <si>
    <t>=B5292</t>
  </si>
  <si>
    <t>=B5296</t>
  </si>
  <si>
    <t>=SUM(F5292:F5296)</t>
  </si>
  <si>
    <t>=SUM(G5292:G5296)</t>
  </si>
  <si>
    <t>=SUM(H5292:H5296)</t>
  </si>
  <si>
    <t>=SUM(I5292:I5296)</t>
  </si>
  <si>
    <t>=SUM(J5292:J5296)</t>
  </si>
  <si>
    <t>=IF(K5298=0,"hide","")</t>
  </si>
  <si>
    <t>="98137"</t>
  </si>
  <si>
    <t>=NL("rows","Production BOM Version","Version Code","Production BOM No.",D5298,"status","certified")</t>
  </si>
  <si>
    <t>=NL("sum","Item Ledger Entry","Quantity","Item No.",$D5298,"Entry Type","Sale|Consumption","posting date","01/01/19..12/31/19")/-12</t>
  </si>
  <si>
    <t>=NL("sum","Item Ledger Entry","Quantity","Item No.",$D5298,"Entry Type","Sale|Consumption","posting date","01/01/20..12/31/20")/-12</t>
  </si>
  <si>
    <t>=NL("sum","Item Ledger Entry","Quantity","Item No.",$D5298,"Entry Type","Sale|Consumption","posting date","01/01/21..12/31/21")/-12</t>
  </si>
  <si>
    <t>=NL("sum","Item Ledger Entry","Quantity","Item No.",$D5298,"Entry Type","Sale|Consumption","posting date","01/01/22..12/31/22")/-12</t>
  </si>
  <si>
    <t>=NL("sum","Item Ledger Entry","Quantity","Item No.",$D5298,"Entry Type","Sale|Consumption","posting date","01/01/23..12/31/23")/$J$7</t>
  </si>
  <si>
    <t>=AVERAGE(I5298:J5298)</t>
  </si>
  <si>
    <t>=NL(1,"item",L$9,"no.",D5298)</t>
  </si>
  <si>
    <t>=NL(1,"item",M$9,"no.",$D5298)</t>
  </si>
  <si>
    <t>=NL(1,"item","Units Per Parcel","no.",$D5298)</t>
  </si>
  <si>
    <t>=NL(1,"Prod. BOM Equipment","Fixed Prod. Time (Hours)","Production BOM No.",$D5298,"version code",$E5298,"Resource No.",O$9)</t>
  </si>
  <si>
    <t>=1/O5298</t>
  </si>
  <si>
    <t>=IF(NL(1,"Prod. BOM Equipment","Variable Prod. Time (Hours)","Production BOM No.",$D5298,"version code",$E5298,"Resource No.",$O$9)="",1,NL(1,"Prod. BOM Equipment","Variable Prod. Time (Hours)","Production BOM No.",$D5298,"version code",$E5298,"Resource No.",$O$9))</t>
  </si>
  <si>
    <t>=1/Q5298</t>
  </si>
  <si>
    <t>=R5298*N5298</t>
  </si>
  <si>
    <t>=IF(K5299=0,"hide","")</t>
  </si>
  <si>
    <t>=D5298</t>
  </si>
  <si>
    <t>=NL("sum","Production Order","Quantity","Source No.",$D5299,"Equipment Code",$L5299,"due date",F$8)/-12</t>
  </si>
  <si>
    <t>=NL("sum","Production Order","Quantity","Source No.",$D5299,"Equipment Code",$L5299,"due date",G$8)/-12</t>
  </si>
  <si>
    <t>=NL("sum","Production Order","Quantity","Source No.",$D5299,"Equipment Code",$L5299,"due date",H$8)/-12</t>
  </si>
  <si>
    <t>=NL("sum","Production Order","Quantity","Source No.",$D5299,"Equipment Code",$L5299,"due date",I$8)/-12</t>
  </si>
  <si>
    <t>=NL("sum","Production Order","Quantity","Source No.",$D5299,"Equipment Code",$L5299,"due date",J$8)/$J$7</t>
  </si>
  <si>
    <t>=AVERAGE(I5299:J5299)</t>
  </si>
  <si>
    <t>=IF(K5300=0,"hide","")</t>
  </si>
  <si>
    <t>=D5299</t>
  </si>
  <si>
    <t>=NL("sum","Production Order","Quantity","Source No.",$D5300,"Equipment Code",$L5300,"due date",F$8)/-12</t>
  </si>
  <si>
    <t>=NL("sum","Production Order","Quantity","Source No.",$D5300,"Equipment Code",$L5300,"due date",G$8)/-12</t>
  </si>
  <si>
    <t>=NL("sum","Production Order","Quantity","Source No.",$D5300,"Equipment Code",$L5300,"due date",H$8)/-12</t>
  </si>
  <si>
    <t>=NL("sum","Production Order","Quantity","Source No.",$D5300,"Equipment Code",$L5300,"due date",I$8)/-12</t>
  </si>
  <si>
    <t>=NL("sum","Production Order","Quantity","Source No.",$D5300,"Equipment Code",$L5300,"due date",J$8)/$J$7</t>
  </si>
  <si>
    <t>=AVERAGE(I5300:J5300)</t>
  </si>
  <si>
    <t>=IF(K5301=0,"hide","")</t>
  </si>
  <si>
    <t>=D5300</t>
  </si>
  <si>
    <t>=NL("sum","Production Order","Quantity","Source No.",$D5301,"Equipment Code",$L5301,"due date",F$8)/-12</t>
  </si>
  <si>
    <t>=NL("sum","Production Order","Quantity","Source No.",$D5301,"Equipment Code",$L5301,"due date",G$8)/-12</t>
  </si>
  <si>
    <t>=NL("sum","Production Order","Quantity","Source No.",$D5301,"Equipment Code",$L5301,"due date",H$8)/-12</t>
  </si>
  <si>
    <t>=NL("sum","Production Order","Quantity","Source No.",$D5301,"Equipment Code",$L5301,"due date",I$8)/-12</t>
  </si>
  <si>
    <t>=NL("sum","Production Order","Quantity","Source No.",$D5301,"Equipment Code",$L5301,"due date",J$8)/$J$7</t>
  </si>
  <si>
    <t>=AVERAGE(I5301:J5301)</t>
  </si>
  <si>
    <t>=IF(K5302=0,"hide","")</t>
  </si>
  <si>
    <t>=D5301</t>
  </si>
  <si>
    <t>=NL("sum","Production Order","Quantity","Source No.",$D5302,"Equipment Code",$L5302,"due date",F$8)/-12</t>
  </si>
  <si>
    <t>=NL("sum","Production Order","Quantity","Source No.",$D5302,"Equipment Code",$L5302,"due date",G$8)/-12</t>
  </si>
  <si>
    <t>=NL("sum","Production Order","Quantity","Source No.",$D5302,"Equipment Code",$L5302,"due date",H$8)/-12</t>
  </si>
  <si>
    <t>=NL("sum","Production Order","Quantity","Source No.",$D5302,"Equipment Code",$L5302,"due date",I$8)/-12</t>
  </si>
  <si>
    <t>=NL("sum","Production Order","Quantity","Source No.",$D5302,"Equipment Code",$L5302,"due date",J$8)/$J$7</t>
  </si>
  <si>
    <t>=AVERAGE(I5302:J5302)</t>
  </si>
  <si>
    <t>=B5299</t>
  </si>
  <si>
    <t>=B5303</t>
  </si>
  <si>
    <t>=SUM(F5299:F5303)</t>
  </si>
  <si>
    <t>=SUM(G5299:G5303)</t>
  </si>
  <si>
    <t>=SUM(H5299:H5303)</t>
  </si>
  <si>
    <t>=SUM(I5299:I5303)</t>
  </si>
  <si>
    <t>=SUM(J5299:J5303)</t>
  </si>
  <si>
    <t>=IF(K5305=0,"hide","")</t>
  </si>
  <si>
    <t>="98144"</t>
  </si>
  <si>
    <t>=NL("rows","Production BOM Version","Version Code","Production BOM No.",D5305,"status","certified")</t>
  </si>
  <si>
    <t>=NL("sum","Item Ledger Entry","Quantity","Item No.",$D5305,"Entry Type","Sale|Consumption","posting date","01/01/19..12/31/19")/-12</t>
  </si>
  <si>
    <t>=NL("sum","Item Ledger Entry","Quantity","Item No.",$D5305,"Entry Type","Sale|Consumption","posting date","01/01/20..12/31/20")/-12</t>
  </si>
  <si>
    <t>=NL("sum","Item Ledger Entry","Quantity","Item No.",$D5305,"Entry Type","Sale|Consumption","posting date","01/01/21..12/31/21")/-12</t>
  </si>
  <si>
    <t>=NL("sum","Item Ledger Entry","Quantity","Item No.",$D5305,"Entry Type","Sale|Consumption","posting date","01/01/22..12/31/22")/-12</t>
  </si>
  <si>
    <t>=NL("sum","Item Ledger Entry","Quantity","Item No.",$D5305,"Entry Type","Sale|Consumption","posting date","01/01/23..12/31/23")/$J$7</t>
  </si>
  <si>
    <t>=AVERAGE(I5305:J5305)</t>
  </si>
  <si>
    <t>=NL(1,"item",L$9,"no.",D5305)</t>
  </si>
  <si>
    <t>=NL(1,"item",M$9,"no.",$D5305)</t>
  </si>
  <si>
    <t>=NL(1,"item","Units Per Parcel","no.",$D5305)</t>
  </si>
  <si>
    <t>=NL(1,"Prod. BOM Equipment","Fixed Prod. Time (Hours)","Production BOM No.",$D5305,"version code",$E5305,"Resource No.",O$9)</t>
  </si>
  <si>
    <t>=1/O5305</t>
  </si>
  <si>
    <t>=IF(NL(1,"Prod. BOM Equipment","Variable Prod. Time (Hours)","Production BOM No.",$D5305,"version code",$E5305,"Resource No.",$O$9)="",1,NL(1,"Prod. BOM Equipment","Variable Prod. Time (Hours)","Production BOM No.",$D5305,"version code",$E5305,"Resource No.",$O$9))</t>
  </si>
  <si>
    <t>=1/Q5305</t>
  </si>
  <si>
    <t>=R5305*N5305</t>
  </si>
  <si>
    <t>=IF(K5306=0,"hide","")</t>
  </si>
  <si>
    <t>=D5305</t>
  </si>
  <si>
    <t>=NL("sum","Production Order","Quantity","Source No.",$D5306,"Equipment Code",$L5306,"due date",F$8)/-12</t>
  </si>
  <si>
    <t>=NL("sum","Production Order","Quantity","Source No.",$D5306,"Equipment Code",$L5306,"due date",G$8)/-12</t>
  </si>
  <si>
    <t>=NL("sum","Production Order","Quantity","Source No.",$D5306,"Equipment Code",$L5306,"due date",H$8)/-12</t>
  </si>
  <si>
    <t>=NL("sum","Production Order","Quantity","Source No.",$D5306,"Equipment Code",$L5306,"due date",I$8)/-12</t>
  </si>
  <si>
    <t>=NL("sum","Production Order","Quantity","Source No.",$D5306,"Equipment Code",$L5306,"due date",J$8)/$J$7</t>
  </si>
  <si>
    <t>=AVERAGE(I5306:J5306)</t>
  </si>
  <si>
    <t>=IF(K5307=0,"hide","")</t>
  </si>
  <si>
    <t>=D5306</t>
  </si>
  <si>
    <t>=NL("sum","Production Order","Quantity","Source No.",$D5307,"Equipment Code",$L5307,"due date",F$8)/-12</t>
  </si>
  <si>
    <t>=NL("sum","Production Order","Quantity","Source No.",$D5307,"Equipment Code",$L5307,"due date",G$8)/-12</t>
  </si>
  <si>
    <t>=NL("sum","Production Order","Quantity","Source No.",$D5307,"Equipment Code",$L5307,"due date",H$8)/-12</t>
  </si>
  <si>
    <t>=NL("sum","Production Order","Quantity","Source No.",$D5307,"Equipment Code",$L5307,"due date",I$8)/-12</t>
  </si>
  <si>
    <t>=NL("sum","Production Order","Quantity","Source No.",$D5307,"Equipment Code",$L5307,"due date",J$8)/$J$7</t>
  </si>
  <si>
    <t>=AVERAGE(I5307:J5307)</t>
  </si>
  <si>
    <t>=IF(K5308=0,"hide","")</t>
  </si>
  <si>
    <t>=D5307</t>
  </si>
  <si>
    <t>=NL("sum","Production Order","Quantity","Source No.",$D5308,"Equipment Code",$L5308,"due date",F$8)/-12</t>
  </si>
  <si>
    <t>=NL("sum","Production Order","Quantity","Source No.",$D5308,"Equipment Code",$L5308,"due date",G$8)/-12</t>
  </si>
  <si>
    <t>=NL("sum","Production Order","Quantity","Source No.",$D5308,"Equipment Code",$L5308,"due date",H$8)/-12</t>
  </si>
  <si>
    <t>=NL("sum","Production Order","Quantity","Source No.",$D5308,"Equipment Code",$L5308,"due date",I$8)/-12</t>
  </si>
  <si>
    <t>=NL("sum","Production Order","Quantity","Source No.",$D5308,"Equipment Code",$L5308,"due date",J$8)/$J$7</t>
  </si>
  <si>
    <t>=AVERAGE(I5308:J5308)</t>
  </si>
  <si>
    <t>=IF(K5309=0,"hide","")</t>
  </si>
  <si>
    <t>=D5308</t>
  </si>
  <si>
    <t>=NL("sum","Production Order","Quantity","Source No.",$D5309,"Equipment Code",$L5309,"due date",F$8)/-12</t>
  </si>
  <si>
    <t>=NL("sum","Production Order","Quantity","Source No.",$D5309,"Equipment Code",$L5309,"due date",G$8)/-12</t>
  </si>
  <si>
    <t>=NL("sum","Production Order","Quantity","Source No.",$D5309,"Equipment Code",$L5309,"due date",H$8)/-12</t>
  </si>
  <si>
    <t>=NL("sum","Production Order","Quantity","Source No.",$D5309,"Equipment Code",$L5309,"due date",I$8)/-12</t>
  </si>
  <si>
    <t>=NL("sum","Production Order","Quantity","Source No.",$D5309,"Equipment Code",$L5309,"due date",J$8)/$J$7</t>
  </si>
  <si>
    <t>=AVERAGE(I5309:J5309)</t>
  </si>
  <si>
    <t>=B5306</t>
  </si>
  <si>
    <t>=B5310</t>
  </si>
  <si>
    <t>=SUM(F5306:F5310)</t>
  </si>
  <si>
    <t>=SUM(G5306:G5310)</t>
  </si>
  <si>
    <t>=SUM(H5306:H5310)</t>
  </si>
  <si>
    <t>=SUM(I5306:I5310)</t>
  </si>
  <si>
    <t>=SUM(J5306:J5310)</t>
  </si>
  <si>
    <t>=IF(K5312=0,"hide","")</t>
  </si>
  <si>
    <t>="98160"</t>
  </si>
  <si>
    <t>=NL("rows","Production BOM Version","Version Code","Production BOM No.",D5312,"status","certified")</t>
  </si>
  <si>
    <t>=NL("sum","Item Ledger Entry","Quantity","Item No.",$D5312,"Entry Type","Sale|Consumption","posting date","01/01/19..12/31/19")/-12</t>
  </si>
  <si>
    <t>=NL("sum","Item Ledger Entry","Quantity","Item No.",$D5312,"Entry Type","Sale|Consumption","posting date","01/01/20..12/31/20")/-12</t>
  </si>
  <si>
    <t>=NL("sum","Item Ledger Entry","Quantity","Item No.",$D5312,"Entry Type","Sale|Consumption","posting date","01/01/21..12/31/21")/-12</t>
  </si>
  <si>
    <t>=NL("sum","Item Ledger Entry","Quantity","Item No.",$D5312,"Entry Type","Sale|Consumption","posting date","01/01/22..12/31/22")/-12</t>
  </si>
  <si>
    <t>=NL("sum","Item Ledger Entry","Quantity","Item No.",$D5312,"Entry Type","Sale|Consumption","posting date","01/01/23..12/31/23")/$J$7</t>
  </si>
  <si>
    <t>=AVERAGE(I5312:J5312)</t>
  </si>
  <si>
    <t>=NL(1,"item",L$9,"no.",D5312)</t>
  </si>
  <si>
    <t>=NL(1,"item",M$9,"no.",$D5312)</t>
  </si>
  <si>
    <t>=NL(1,"item","Units Per Parcel","no.",$D5312)</t>
  </si>
  <si>
    <t>=NL(1,"Prod. BOM Equipment","Fixed Prod. Time (Hours)","Production BOM No.",$D5312,"version code",$E5312,"Resource No.",O$9)</t>
  </si>
  <si>
    <t>=1/O5312</t>
  </si>
  <si>
    <t>=IF(NL(1,"Prod. BOM Equipment","Variable Prod. Time (Hours)","Production BOM No.",$D5312,"version code",$E5312,"Resource No.",$O$9)="",1,NL(1,"Prod. BOM Equipment","Variable Prod. Time (Hours)","Production BOM No.",$D5312,"version code",$E5312,"Resource No.",$O$9))</t>
  </si>
  <si>
    <t>=1/Q5312</t>
  </si>
  <si>
    <t>=R5312*N5312</t>
  </si>
  <si>
    <t>=IF(K5313=0,"hide","")</t>
  </si>
  <si>
    <t>=D5312</t>
  </si>
  <si>
    <t>=NL("sum","Production Order","Quantity","Source No.",$D5313,"Equipment Code",$L5313,"due date",F$8)/-12</t>
  </si>
  <si>
    <t>=NL("sum","Production Order","Quantity","Source No.",$D5313,"Equipment Code",$L5313,"due date",G$8)/-12</t>
  </si>
  <si>
    <t>=NL("sum","Production Order","Quantity","Source No.",$D5313,"Equipment Code",$L5313,"due date",H$8)/-12</t>
  </si>
  <si>
    <t>=NL("sum","Production Order","Quantity","Source No.",$D5313,"Equipment Code",$L5313,"due date",I$8)/-12</t>
  </si>
  <si>
    <t>=NL("sum","Production Order","Quantity","Source No.",$D5313,"Equipment Code",$L5313,"due date",J$8)/$J$7</t>
  </si>
  <si>
    <t>=AVERAGE(I5313:J5313)</t>
  </si>
  <si>
    <t>=IF(K5314=0,"hide","")</t>
  </si>
  <si>
    <t>=D5313</t>
  </si>
  <si>
    <t>=NL("sum","Production Order","Quantity","Source No.",$D5314,"Equipment Code",$L5314,"due date",F$8)/-12</t>
  </si>
  <si>
    <t>=NL("sum","Production Order","Quantity","Source No.",$D5314,"Equipment Code",$L5314,"due date",G$8)/-12</t>
  </si>
  <si>
    <t>=NL("sum","Production Order","Quantity","Source No.",$D5314,"Equipment Code",$L5314,"due date",H$8)/-12</t>
  </si>
  <si>
    <t>=NL("sum","Production Order","Quantity","Source No.",$D5314,"Equipment Code",$L5314,"due date",I$8)/-12</t>
  </si>
  <si>
    <t>=NL("sum","Production Order","Quantity","Source No.",$D5314,"Equipment Code",$L5314,"due date",J$8)/$J$7</t>
  </si>
  <si>
    <t>=AVERAGE(I5314:J5314)</t>
  </si>
  <si>
    <t>=IF(K5315=0,"hide","")</t>
  </si>
  <si>
    <t>=D5314</t>
  </si>
  <si>
    <t>=NL("sum","Production Order","Quantity","Source No.",$D5315,"Equipment Code",$L5315,"due date",F$8)/-12</t>
  </si>
  <si>
    <t>=NL("sum","Production Order","Quantity","Source No.",$D5315,"Equipment Code",$L5315,"due date",G$8)/-12</t>
  </si>
  <si>
    <t>=NL("sum","Production Order","Quantity","Source No.",$D5315,"Equipment Code",$L5315,"due date",H$8)/-12</t>
  </si>
  <si>
    <t>=NL("sum","Production Order","Quantity","Source No.",$D5315,"Equipment Code",$L5315,"due date",I$8)/-12</t>
  </si>
  <si>
    <t>=NL("sum","Production Order","Quantity","Source No.",$D5315,"Equipment Code",$L5315,"due date",J$8)/$J$7</t>
  </si>
  <si>
    <t>=AVERAGE(I5315:J5315)</t>
  </si>
  <si>
    <t>=IF(K5316=0,"hide","")</t>
  </si>
  <si>
    <t>=D5315</t>
  </si>
  <si>
    <t>=NL("sum","Production Order","Quantity","Source No.",$D5316,"Equipment Code",$L5316,"due date",F$8)/-12</t>
  </si>
  <si>
    <t>=NL("sum","Production Order","Quantity","Source No.",$D5316,"Equipment Code",$L5316,"due date",G$8)/-12</t>
  </si>
  <si>
    <t>=NL("sum","Production Order","Quantity","Source No.",$D5316,"Equipment Code",$L5316,"due date",H$8)/-12</t>
  </si>
  <si>
    <t>=NL("sum","Production Order","Quantity","Source No.",$D5316,"Equipment Code",$L5316,"due date",I$8)/-12</t>
  </si>
  <si>
    <t>=NL("sum","Production Order","Quantity","Source No.",$D5316,"Equipment Code",$L5316,"due date",J$8)/$J$7</t>
  </si>
  <si>
    <t>=AVERAGE(I5316:J5316)</t>
  </si>
  <si>
    <t>=B5313</t>
  </si>
  <si>
    <t>=B5317</t>
  </si>
  <si>
    <t>=SUM(F5313:F5317)</t>
  </si>
  <si>
    <t>=SUM(G5313:G5317)</t>
  </si>
  <si>
    <t>=SUM(H5313:H5317)</t>
  </si>
  <si>
    <t>=SUM(I5313:I5317)</t>
  </si>
  <si>
    <t>=SUM(J5313:J5317)</t>
  </si>
  <si>
    <t>=IF(K5319=0,"hide","")</t>
  </si>
  <si>
    <t>="98172"</t>
  </si>
  <si>
    <t>=NL("rows","Production BOM Version","Version Code","Production BOM No.",D5319,"status","certified")</t>
  </si>
  <si>
    <t>=NL("sum","Item Ledger Entry","Quantity","Item No.",$D5319,"Entry Type","Sale|Consumption","posting date","01/01/19..12/31/19")/-12</t>
  </si>
  <si>
    <t>=NL("sum","Item Ledger Entry","Quantity","Item No.",$D5319,"Entry Type","Sale|Consumption","posting date","01/01/20..12/31/20")/-12</t>
  </si>
  <si>
    <t>=NL("sum","Item Ledger Entry","Quantity","Item No.",$D5319,"Entry Type","Sale|Consumption","posting date","01/01/21..12/31/21")/-12</t>
  </si>
  <si>
    <t>=NL("sum","Item Ledger Entry","Quantity","Item No.",$D5319,"Entry Type","Sale|Consumption","posting date","01/01/22..12/31/22")/-12</t>
  </si>
  <si>
    <t>=NL("sum","Item Ledger Entry","Quantity","Item No.",$D5319,"Entry Type","Sale|Consumption","posting date","01/01/23..12/31/23")/$J$7</t>
  </si>
  <si>
    <t>=AVERAGE(I5319:J5319)</t>
  </si>
  <si>
    <t>=NL(1,"item",L$9,"no.",D5319)</t>
  </si>
  <si>
    <t>=NL(1,"item",M$9,"no.",$D5319)</t>
  </si>
  <si>
    <t>=NL(1,"item","Units Per Parcel","no.",$D5319)</t>
  </si>
  <si>
    <t>=NL(1,"Prod. BOM Equipment","Fixed Prod. Time (Hours)","Production BOM No.",$D5319,"version code",$E5319,"Resource No.",O$9)</t>
  </si>
  <si>
    <t>=1/O5319</t>
  </si>
  <si>
    <t>=IF(NL(1,"Prod. BOM Equipment","Variable Prod. Time (Hours)","Production BOM No.",$D5319,"version code",$E5319,"Resource No.",$O$9)="",1,NL(1,"Prod. BOM Equipment","Variable Prod. Time (Hours)","Production BOM No.",$D5319,"version code",$E5319,"Resource No.",$O$9))</t>
  </si>
  <si>
    <t>=1/Q5319</t>
  </si>
  <si>
    <t>=R5319*N5319</t>
  </si>
  <si>
    <t>=IF(K5320=0,"hide","")</t>
  </si>
  <si>
    <t>=D5319</t>
  </si>
  <si>
    <t>=NL("sum","Production Order","Quantity","Source No.",$D5320,"Equipment Code",$L5320,"due date",F$8)/-12</t>
  </si>
  <si>
    <t>=NL("sum","Production Order","Quantity","Source No.",$D5320,"Equipment Code",$L5320,"due date",G$8)/-12</t>
  </si>
  <si>
    <t>=NL("sum","Production Order","Quantity","Source No.",$D5320,"Equipment Code",$L5320,"due date",H$8)/-12</t>
  </si>
  <si>
    <t>=NL("sum","Production Order","Quantity","Source No.",$D5320,"Equipment Code",$L5320,"due date",I$8)/-12</t>
  </si>
  <si>
    <t>=NL("sum","Production Order","Quantity","Source No.",$D5320,"Equipment Code",$L5320,"due date",J$8)/$J$7</t>
  </si>
  <si>
    <t>=AVERAGE(I5320:J5320)</t>
  </si>
  <si>
    <t>=IF(K5321=0,"hide","")</t>
  </si>
  <si>
    <t>=D5320</t>
  </si>
  <si>
    <t>=NL("sum","Production Order","Quantity","Source No.",$D5321,"Equipment Code",$L5321,"due date",F$8)/-12</t>
  </si>
  <si>
    <t>=NL("sum","Production Order","Quantity","Source No.",$D5321,"Equipment Code",$L5321,"due date",G$8)/-12</t>
  </si>
  <si>
    <t>=NL("sum","Production Order","Quantity","Source No.",$D5321,"Equipment Code",$L5321,"due date",H$8)/-12</t>
  </si>
  <si>
    <t>=NL("sum","Production Order","Quantity","Source No.",$D5321,"Equipment Code",$L5321,"due date",I$8)/-12</t>
  </si>
  <si>
    <t>=NL("sum","Production Order","Quantity","Source No.",$D5321,"Equipment Code",$L5321,"due date",J$8)/$J$7</t>
  </si>
  <si>
    <t>=AVERAGE(I5321:J5321)</t>
  </si>
  <si>
    <t>=IF(K5322=0,"hide","")</t>
  </si>
  <si>
    <t>=D5321</t>
  </si>
  <si>
    <t>=NL("sum","Production Order","Quantity","Source No.",$D5322,"Equipment Code",$L5322,"due date",F$8)/-12</t>
  </si>
  <si>
    <t>=NL("sum","Production Order","Quantity","Source No.",$D5322,"Equipment Code",$L5322,"due date",G$8)/-12</t>
  </si>
  <si>
    <t>=NL("sum","Production Order","Quantity","Source No.",$D5322,"Equipment Code",$L5322,"due date",H$8)/-12</t>
  </si>
  <si>
    <t>=NL("sum","Production Order","Quantity","Source No.",$D5322,"Equipment Code",$L5322,"due date",I$8)/-12</t>
  </si>
  <si>
    <t>=NL("sum","Production Order","Quantity","Source No.",$D5322,"Equipment Code",$L5322,"due date",J$8)/$J$7</t>
  </si>
  <si>
    <t>=AVERAGE(I5322:J5322)</t>
  </si>
  <si>
    <t>=IF(K5323=0,"hide","")</t>
  </si>
  <si>
    <t>=D5322</t>
  </si>
  <si>
    <t>=NL("sum","Production Order","Quantity","Source No.",$D5323,"Equipment Code",$L5323,"due date",F$8)/-12</t>
  </si>
  <si>
    <t>=NL("sum","Production Order","Quantity","Source No.",$D5323,"Equipment Code",$L5323,"due date",G$8)/-12</t>
  </si>
  <si>
    <t>=NL("sum","Production Order","Quantity","Source No.",$D5323,"Equipment Code",$L5323,"due date",H$8)/-12</t>
  </si>
  <si>
    <t>=NL("sum","Production Order","Quantity","Source No.",$D5323,"Equipment Code",$L5323,"due date",I$8)/-12</t>
  </si>
  <si>
    <t>=NL("sum","Production Order","Quantity","Source No.",$D5323,"Equipment Code",$L5323,"due date",J$8)/$J$7</t>
  </si>
  <si>
    <t>=AVERAGE(I5323:J5323)</t>
  </si>
  <si>
    <t>=B5320</t>
  </si>
  <si>
    <t>=B5324</t>
  </si>
  <si>
    <t>=SUM(F5320:F5324)</t>
  </si>
  <si>
    <t>=SUM(G5320:G5324)</t>
  </si>
  <si>
    <t>=SUM(H5320:H5324)</t>
  </si>
  <si>
    <t>=SUM(I5320:I5324)</t>
  </si>
  <si>
    <t>=SUM(J5320:J5324)</t>
  </si>
  <si>
    <t>=IF(K5326=0,"hide","")</t>
  </si>
  <si>
    <t>="98188"</t>
  </si>
  <si>
    <t>=NL("rows","Production BOM Version","Version Code","Production BOM No.",D5326,"status","certified")</t>
  </si>
  <si>
    <t>=NL("sum","Item Ledger Entry","Quantity","Item No.",$D5326,"Entry Type","Sale|Consumption","posting date","01/01/19..12/31/19")/-12</t>
  </si>
  <si>
    <t>=NL("sum","Item Ledger Entry","Quantity","Item No.",$D5326,"Entry Type","Sale|Consumption","posting date","01/01/20..12/31/20")/-12</t>
  </si>
  <si>
    <t>=NL("sum","Item Ledger Entry","Quantity","Item No.",$D5326,"Entry Type","Sale|Consumption","posting date","01/01/21..12/31/21")/-12</t>
  </si>
  <si>
    <t>=NL("sum","Item Ledger Entry","Quantity","Item No.",$D5326,"Entry Type","Sale|Consumption","posting date","01/01/22..12/31/22")/-12</t>
  </si>
  <si>
    <t>=NL("sum","Item Ledger Entry","Quantity","Item No.",$D5326,"Entry Type","Sale|Consumption","posting date","01/01/23..12/31/23")/$J$7</t>
  </si>
  <si>
    <t>=AVERAGE(I5326:J5326)</t>
  </si>
  <si>
    <t>=NL(1,"item",L$9,"no.",D5326)</t>
  </si>
  <si>
    <t>=NL(1,"item",M$9,"no.",$D5326)</t>
  </si>
  <si>
    <t>=NL(1,"item","Units Per Parcel","no.",$D5326)</t>
  </si>
  <si>
    <t>=NL(1,"Prod. BOM Equipment","Fixed Prod. Time (Hours)","Production BOM No.",$D5326,"version code",$E5326,"Resource No.",O$9)</t>
  </si>
  <si>
    <t>=1/O5326</t>
  </si>
  <si>
    <t>=IF(NL(1,"Prod. BOM Equipment","Variable Prod. Time (Hours)","Production BOM No.",$D5326,"version code",$E5326,"Resource No.",$O$9)="",1,NL(1,"Prod. BOM Equipment","Variable Prod. Time (Hours)","Production BOM No.",$D5326,"version code",$E5326,"Resource No.",$O$9))</t>
  </si>
  <si>
    <t>=1/Q5326</t>
  </si>
  <si>
    <t>=R5326*N5326</t>
  </si>
  <si>
    <t>=IF(K5327=0,"hide","")</t>
  </si>
  <si>
    <t>=D5326</t>
  </si>
  <si>
    <t>=NL("sum","Production Order","Quantity","Source No.",$D5327,"Equipment Code",$L5327,"due date",F$8)/-12</t>
  </si>
  <si>
    <t>=NL("sum","Production Order","Quantity","Source No.",$D5327,"Equipment Code",$L5327,"due date",G$8)/-12</t>
  </si>
  <si>
    <t>=NL("sum","Production Order","Quantity","Source No.",$D5327,"Equipment Code",$L5327,"due date",H$8)/-12</t>
  </si>
  <si>
    <t>=NL("sum","Production Order","Quantity","Source No.",$D5327,"Equipment Code",$L5327,"due date",I$8)/-12</t>
  </si>
  <si>
    <t>=NL("sum","Production Order","Quantity","Source No.",$D5327,"Equipment Code",$L5327,"due date",J$8)/$J$7</t>
  </si>
  <si>
    <t>=AVERAGE(I5327:J5327)</t>
  </si>
  <si>
    <t>=IF(K5328=0,"hide","")</t>
  </si>
  <si>
    <t>=D5327</t>
  </si>
  <si>
    <t>=NL("sum","Production Order","Quantity","Source No.",$D5328,"Equipment Code",$L5328,"due date",F$8)/-12</t>
  </si>
  <si>
    <t>=NL("sum","Production Order","Quantity","Source No.",$D5328,"Equipment Code",$L5328,"due date",G$8)/-12</t>
  </si>
  <si>
    <t>=NL("sum","Production Order","Quantity","Source No.",$D5328,"Equipment Code",$L5328,"due date",H$8)/-12</t>
  </si>
  <si>
    <t>=NL("sum","Production Order","Quantity","Source No.",$D5328,"Equipment Code",$L5328,"due date",I$8)/-12</t>
  </si>
  <si>
    <t>=NL("sum","Production Order","Quantity","Source No.",$D5328,"Equipment Code",$L5328,"due date",J$8)/$J$7</t>
  </si>
  <si>
    <t>=AVERAGE(I5328:J5328)</t>
  </si>
  <si>
    <t>=IF(K5329=0,"hide","")</t>
  </si>
  <si>
    <t>=D5328</t>
  </si>
  <si>
    <t>=NL("sum","Production Order","Quantity","Source No.",$D5329,"Equipment Code",$L5329,"due date",F$8)/-12</t>
  </si>
  <si>
    <t>=NL("sum","Production Order","Quantity","Source No.",$D5329,"Equipment Code",$L5329,"due date",G$8)/-12</t>
  </si>
  <si>
    <t>=NL("sum","Production Order","Quantity","Source No.",$D5329,"Equipment Code",$L5329,"due date",H$8)/-12</t>
  </si>
  <si>
    <t>=NL("sum","Production Order","Quantity","Source No.",$D5329,"Equipment Code",$L5329,"due date",I$8)/-12</t>
  </si>
  <si>
    <t>=NL("sum","Production Order","Quantity","Source No.",$D5329,"Equipment Code",$L5329,"due date",J$8)/$J$7</t>
  </si>
  <si>
    <t>=AVERAGE(I5329:J5329)</t>
  </si>
  <si>
    <t>=IF(K5330=0,"hide","")</t>
  </si>
  <si>
    <t>=D5329</t>
  </si>
  <si>
    <t>=NL("sum","Production Order","Quantity","Source No.",$D5330,"Equipment Code",$L5330,"due date",F$8)/-12</t>
  </si>
  <si>
    <t>=NL("sum","Production Order","Quantity","Source No.",$D5330,"Equipment Code",$L5330,"due date",G$8)/-12</t>
  </si>
  <si>
    <t>=NL("sum","Production Order","Quantity","Source No.",$D5330,"Equipment Code",$L5330,"due date",H$8)/-12</t>
  </si>
  <si>
    <t>=NL("sum","Production Order","Quantity","Source No.",$D5330,"Equipment Code",$L5330,"due date",I$8)/-12</t>
  </si>
  <si>
    <t>=NL("sum","Production Order","Quantity","Source No.",$D5330,"Equipment Code",$L5330,"due date",J$8)/$J$7</t>
  </si>
  <si>
    <t>=AVERAGE(I5330:J5330)</t>
  </si>
  <si>
    <t>=B5327</t>
  </si>
  <si>
    <t>=B5331</t>
  </si>
  <si>
    <t>=SUM(F5327:F5331)</t>
  </si>
  <si>
    <t>=SUM(G5327:G5331)</t>
  </si>
  <si>
    <t>=SUM(H5327:H5331)</t>
  </si>
  <si>
    <t>=SUM(I5327:I5331)</t>
  </si>
  <si>
    <t>=SUM(J5327:J5331)</t>
  </si>
  <si>
    <t>=IF(K5333=0,"hide","")</t>
  </si>
  <si>
    <t>="98192"</t>
  </si>
  <si>
    <t>=NL("rows","Production BOM Version","Version Code","Production BOM No.",D5333,"status","certified")</t>
  </si>
  <si>
    <t>=NL("sum","Item Ledger Entry","Quantity","Item No.",$D5333,"Entry Type","Sale|Consumption","posting date","01/01/19..12/31/19")/-12</t>
  </si>
  <si>
    <t>=NL("sum","Item Ledger Entry","Quantity","Item No.",$D5333,"Entry Type","Sale|Consumption","posting date","01/01/20..12/31/20")/-12</t>
  </si>
  <si>
    <t>=NL("sum","Item Ledger Entry","Quantity","Item No.",$D5333,"Entry Type","Sale|Consumption","posting date","01/01/21..12/31/21")/-12</t>
  </si>
  <si>
    <t>=NL("sum","Item Ledger Entry","Quantity","Item No.",$D5333,"Entry Type","Sale|Consumption","posting date","01/01/22..12/31/22")/-12</t>
  </si>
  <si>
    <t>=NL("sum","Item Ledger Entry","Quantity","Item No.",$D5333,"Entry Type","Sale|Consumption","posting date","01/01/23..12/31/23")/$J$7</t>
  </si>
  <si>
    <t>=AVERAGE(I5333:J5333)</t>
  </si>
  <si>
    <t>=NL(1,"item",L$9,"no.",D5333)</t>
  </si>
  <si>
    <t>=NL(1,"item",M$9,"no.",$D5333)</t>
  </si>
  <si>
    <t>=NL(1,"item","Units Per Parcel","no.",$D5333)</t>
  </si>
  <si>
    <t>=NL(1,"Prod. BOM Equipment","Fixed Prod. Time (Hours)","Production BOM No.",$D5333,"version code",$E5333,"Resource No.",O$9)</t>
  </si>
  <si>
    <t>=1/O5333</t>
  </si>
  <si>
    <t>=IF(NL(1,"Prod. BOM Equipment","Variable Prod. Time (Hours)","Production BOM No.",$D5333,"version code",$E5333,"Resource No.",$O$9)="",1,NL(1,"Prod. BOM Equipment","Variable Prod. Time (Hours)","Production BOM No.",$D5333,"version code",$E5333,"Resource No.",$O$9))</t>
  </si>
  <si>
    <t>=1/Q5333</t>
  </si>
  <si>
    <t>=R5333*N5333</t>
  </si>
  <si>
    <t>=IF(K5334=0,"hide","")</t>
  </si>
  <si>
    <t>=D5333</t>
  </si>
  <si>
    <t>=NL("sum","Production Order","Quantity","Source No.",$D5334,"Equipment Code",$L5334,"due date",F$8)/-12</t>
  </si>
  <si>
    <t>=NL("sum","Production Order","Quantity","Source No.",$D5334,"Equipment Code",$L5334,"due date",G$8)/-12</t>
  </si>
  <si>
    <t>=NL("sum","Production Order","Quantity","Source No.",$D5334,"Equipment Code",$L5334,"due date",H$8)/-12</t>
  </si>
  <si>
    <t>=NL("sum","Production Order","Quantity","Source No.",$D5334,"Equipment Code",$L5334,"due date",I$8)/-12</t>
  </si>
  <si>
    <t>=NL("sum","Production Order","Quantity","Source No.",$D5334,"Equipment Code",$L5334,"due date",J$8)/$J$7</t>
  </si>
  <si>
    <t>=AVERAGE(I5334:J5334)</t>
  </si>
  <si>
    <t>=IF(K5335=0,"hide","")</t>
  </si>
  <si>
    <t>=D5334</t>
  </si>
  <si>
    <t>=NL("sum","Production Order","Quantity","Source No.",$D5335,"Equipment Code",$L5335,"due date",F$8)/-12</t>
  </si>
  <si>
    <t>=NL("sum","Production Order","Quantity","Source No.",$D5335,"Equipment Code",$L5335,"due date",G$8)/-12</t>
  </si>
  <si>
    <t>=NL("sum","Production Order","Quantity","Source No.",$D5335,"Equipment Code",$L5335,"due date",H$8)/-12</t>
  </si>
  <si>
    <t>=NL("sum","Production Order","Quantity","Source No.",$D5335,"Equipment Code",$L5335,"due date",I$8)/-12</t>
  </si>
  <si>
    <t>=NL("sum","Production Order","Quantity","Source No.",$D5335,"Equipment Code",$L5335,"due date",J$8)/$J$7</t>
  </si>
  <si>
    <t>=AVERAGE(I5335:J5335)</t>
  </si>
  <si>
    <t>=IF(K5336=0,"hide","")</t>
  </si>
  <si>
    <t>=D5335</t>
  </si>
  <si>
    <t>=NL("sum","Production Order","Quantity","Source No.",$D5336,"Equipment Code",$L5336,"due date",F$8)/-12</t>
  </si>
  <si>
    <t>=NL("sum","Production Order","Quantity","Source No.",$D5336,"Equipment Code",$L5336,"due date",G$8)/-12</t>
  </si>
  <si>
    <t>=NL("sum","Production Order","Quantity","Source No.",$D5336,"Equipment Code",$L5336,"due date",H$8)/-12</t>
  </si>
  <si>
    <t>=NL("sum","Production Order","Quantity","Source No.",$D5336,"Equipment Code",$L5336,"due date",I$8)/-12</t>
  </si>
  <si>
    <t>=NL("sum","Production Order","Quantity","Source No.",$D5336,"Equipment Code",$L5336,"due date",J$8)/$J$7</t>
  </si>
  <si>
    <t>=AVERAGE(I5336:J5336)</t>
  </si>
  <si>
    <t>=IF(K5337=0,"hide","")</t>
  </si>
  <si>
    <t>=D5336</t>
  </si>
  <si>
    <t>=NL("sum","Production Order","Quantity","Source No.",$D5337,"Equipment Code",$L5337,"due date",F$8)/-12</t>
  </si>
  <si>
    <t>=NL("sum","Production Order","Quantity","Source No.",$D5337,"Equipment Code",$L5337,"due date",G$8)/-12</t>
  </si>
  <si>
    <t>=NL("sum","Production Order","Quantity","Source No.",$D5337,"Equipment Code",$L5337,"due date",H$8)/-12</t>
  </si>
  <si>
    <t>=NL("sum","Production Order","Quantity","Source No.",$D5337,"Equipment Code",$L5337,"due date",I$8)/-12</t>
  </si>
  <si>
    <t>=NL("sum","Production Order","Quantity","Source No.",$D5337,"Equipment Code",$L5337,"due date",J$8)/$J$7</t>
  </si>
  <si>
    <t>=AVERAGE(I5337:J5337)</t>
  </si>
  <si>
    <t>=B5334</t>
  </si>
  <si>
    <t>=B5338</t>
  </si>
  <si>
    <t>=SUM(F5334:F5338)</t>
  </si>
  <si>
    <t>=SUM(G5334:G5338)</t>
  </si>
  <si>
    <t>=SUM(H5334:H5338)</t>
  </si>
  <si>
    <t>=SUM(I5334:I5338)</t>
  </si>
  <si>
    <t>=SUM(J5334:J5338)</t>
  </si>
  <si>
    <t>=IF(K5340=0,"hide","")</t>
  </si>
  <si>
    <t>="98195"</t>
  </si>
  <si>
    <t>=NL("rows","Production BOM Version","Version Code","Production BOM No.",D5340,"status","certified")</t>
  </si>
  <si>
    <t>=NL("sum","Item Ledger Entry","Quantity","Item No.",$D5340,"Entry Type","Sale|Consumption","posting date","01/01/19..12/31/19")/-12</t>
  </si>
  <si>
    <t>=NL("sum","Item Ledger Entry","Quantity","Item No.",$D5340,"Entry Type","Sale|Consumption","posting date","01/01/20..12/31/20")/-12</t>
  </si>
  <si>
    <t>=NL("sum","Item Ledger Entry","Quantity","Item No.",$D5340,"Entry Type","Sale|Consumption","posting date","01/01/21..12/31/21")/-12</t>
  </si>
  <si>
    <t>=NL("sum","Item Ledger Entry","Quantity","Item No.",$D5340,"Entry Type","Sale|Consumption","posting date","01/01/22..12/31/22")/-12</t>
  </si>
  <si>
    <t>=NL("sum","Item Ledger Entry","Quantity","Item No.",$D5340,"Entry Type","Sale|Consumption","posting date","01/01/23..12/31/23")/$J$7</t>
  </si>
  <si>
    <t>=AVERAGE(I5340:J5340)</t>
  </si>
  <si>
    <t>=NL(1,"item",L$9,"no.",D5340)</t>
  </si>
  <si>
    <t>=NL(1,"item",M$9,"no.",$D5340)</t>
  </si>
  <si>
    <t>=NL(1,"item","Units Per Parcel","no.",$D5340)</t>
  </si>
  <si>
    <t>=NL(1,"Prod. BOM Equipment","Fixed Prod. Time (Hours)","Production BOM No.",$D5340,"version code",$E5340,"Resource No.",O$9)</t>
  </si>
  <si>
    <t>=1/O5340</t>
  </si>
  <si>
    <t>=IF(NL(1,"Prod. BOM Equipment","Variable Prod. Time (Hours)","Production BOM No.",$D5340,"version code",$E5340,"Resource No.",$O$9)="",1,NL(1,"Prod. BOM Equipment","Variable Prod. Time (Hours)","Production BOM No.",$D5340,"version code",$E5340,"Resource No.",$O$9))</t>
  </si>
  <si>
    <t>=1/Q5340</t>
  </si>
  <si>
    <t>=R5340*N5340</t>
  </si>
  <si>
    <t>=IF(K5341=0,"hide","")</t>
  </si>
  <si>
    <t>=D5340</t>
  </si>
  <si>
    <t>=NL("sum","Production Order","Quantity","Source No.",$D5341,"Equipment Code",$L5341,"due date",F$8)/-12</t>
  </si>
  <si>
    <t>=NL("sum","Production Order","Quantity","Source No.",$D5341,"Equipment Code",$L5341,"due date",G$8)/-12</t>
  </si>
  <si>
    <t>=NL("sum","Production Order","Quantity","Source No.",$D5341,"Equipment Code",$L5341,"due date",H$8)/-12</t>
  </si>
  <si>
    <t>=NL("sum","Production Order","Quantity","Source No.",$D5341,"Equipment Code",$L5341,"due date",I$8)/-12</t>
  </si>
  <si>
    <t>=NL("sum","Production Order","Quantity","Source No.",$D5341,"Equipment Code",$L5341,"due date",J$8)/$J$7</t>
  </si>
  <si>
    <t>=AVERAGE(I5341:J5341)</t>
  </si>
  <si>
    <t>=IF(K5342=0,"hide","")</t>
  </si>
  <si>
    <t>=D5341</t>
  </si>
  <si>
    <t>=NL("sum","Production Order","Quantity","Source No.",$D5342,"Equipment Code",$L5342,"due date",F$8)/-12</t>
  </si>
  <si>
    <t>=NL("sum","Production Order","Quantity","Source No.",$D5342,"Equipment Code",$L5342,"due date",G$8)/-12</t>
  </si>
  <si>
    <t>=NL("sum","Production Order","Quantity","Source No.",$D5342,"Equipment Code",$L5342,"due date",H$8)/-12</t>
  </si>
  <si>
    <t>=NL("sum","Production Order","Quantity","Source No.",$D5342,"Equipment Code",$L5342,"due date",I$8)/-12</t>
  </si>
  <si>
    <t>=NL("sum","Production Order","Quantity","Source No.",$D5342,"Equipment Code",$L5342,"due date",J$8)/$J$7</t>
  </si>
  <si>
    <t>=AVERAGE(I5342:J5342)</t>
  </si>
  <si>
    <t>=IF(K5343=0,"hide","")</t>
  </si>
  <si>
    <t>=D5342</t>
  </si>
  <si>
    <t>=NL("sum","Production Order","Quantity","Source No.",$D5343,"Equipment Code",$L5343,"due date",F$8)/-12</t>
  </si>
  <si>
    <t>=NL("sum","Production Order","Quantity","Source No.",$D5343,"Equipment Code",$L5343,"due date",G$8)/-12</t>
  </si>
  <si>
    <t>=NL("sum","Production Order","Quantity","Source No.",$D5343,"Equipment Code",$L5343,"due date",H$8)/-12</t>
  </si>
  <si>
    <t>=NL("sum","Production Order","Quantity","Source No.",$D5343,"Equipment Code",$L5343,"due date",I$8)/-12</t>
  </si>
  <si>
    <t>=NL("sum","Production Order","Quantity","Source No.",$D5343,"Equipment Code",$L5343,"due date",J$8)/$J$7</t>
  </si>
  <si>
    <t>=AVERAGE(I5343:J5343)</t>
  </si>
  <si>
    <t>=IF(K5344=0,"hide","")</t>
  </si>
  <si>
    <t>=D5343</t>
  </si>
  <si>
    <t>=NL("sum","Production Order","Quantity","Source No.",$D5344,"Equipment Code",$L5344,"due date",F$8)/-12</t>
  </si>
  <si>
    <t>=NL("sum","Production Order","Quantity","Source No.",$D5344,"Equipment Code",$L5344,"due date",G$8)/-12</t>
  </si>
  <si>
    <t>=NL("sum","Production Order","Quantity","Source No.",$D5344,"Equipment Code",$L5344,"due date",H$8)/-12</t>
  </si>
  <si>
    <t>=NL("sum","Production Order","Quantity","Source No.",$D5344,"Equipment Code",$L5344,"due date",I$8)/-12</t>
  </si>
  <si>
    <t>=NL("sum","Production Order","Quantity","Source No.",$D5344,"Equipment Code",$L5344,"due date",J$8)/$J$7</t>
  </si>
  <si>
    <t>=AVERAGE(I5344:J5344)</t>
  </si>
  <si>
    <t>=B5341</t>
  </si>
  <si>
    <t>=B5345</t>
  </si>
  <si>
    <t>=SUM(F5341:F5345)</t>
  </si>
  <si>
    <t>=SUM(G5341:G5345)</t>
  </si>
  <si>
    <t>=SUM(H5341:H5345)</t>
  </si>
  <si>
    <t>=SUM(I5341:I5345)</t>
  </si>
  <si>
    <t>=SUM(J5341:J5345)</t>
  </si>
  <si>
    <t>=IF(K5347=0,"hide","")</t>
  </si>
  <si>
    <t>="99100"</t>
  </si>
  <si>
    <t>=NL("rows","Production BOM Version","Version Code","Production BOM No.",D5347,"status","certified")</t>
  </si>
  <si>
    <t>=NL("sum","Item Ledger Entry","Quantity","Item No.",$D5347,"Entry Type","Sale|Consumption","posting date","01/01/19..12/31/19")/-12</t>
  </si>
  <si>
    <t>=NL("sum","Item Ledger Entry","Quantity","Item No.",$D5347,"Entry Type","Sale|Consumption","posting date","01/01/20..12/31/20")/-12</t>
  </si>
  <si>
    <t>=NL("sum","Item Ledger Entry","Quantity","Item No.",$D5347,"Entry Type","Sale|Consumption","posting date","01/01/21..12/31/21")/-12</t>
  </si>
  <si>
    <t>=NL("sum","Item Ledger Entry","Quantity","Item No.",$D5347,"Entry Type","Sale|Consumption","posting date","01/01/22..12/31/22")/-12</t>
  </si>
  <si>
    <t>=NL("sum","Item Ledger Entry","Quantity","Item No.",$D5347,"Entry Type","Sale|Consumption","posting date","01/01/23..12/31/23")/$J$7</t>
  </si>
  <si>
    <t>=AVERAGE(I5347:J5347)</t>
  </si>
  <si>
    <t>=NL(1,"item",L$9,"no.",D5347)</t>
  </si>
  <si>
    <t>=NL(1,"item",M$9,"no.",$D5347)</t>
  </si>
  <si>
    <t>=NL(1,"item","Units Per Parcel","no.",$D5347)</t>
  </si>
  <si>
    <t>=NL(1,"Prod. BOM Equipment","Fixed Prod. Time (Hours)","Production BOM No.",$D5347,"version code",$E5347,"Resource No.",O$9)</t>
  </si>
  <si>
    <t>=1/O5347</t>
  </si>
  <si>
    <t>=IF(NL(1,"Prod. BOM Equipment","Variable Prod. Time (Hours)","Production BOM No.",$D5347,"version code",$E5347,"Resource No.",$O$9)="",1,NL(1,"Prod. BOM Equipment","Variable Prod. Time (Hours)","Production BOM No.",$D5347,"version code",$E5347,"Resource No.",$O$9))</t>
  </si>
  <si>
    <t>=1/Q5347</t>
  </si>
  <si>
    <t>=R5347*N5347</t>
  </si>
  <si>
    <t>=IF(K5348=0,"hide","")</t>
  </si>
  <si>
    <t>=D5347</t>
  </si>
  <si>
    <t>=NL("sum","Production Order","Quantity","Source No.",$D5348,"Equipment Code",$L5348,"due date",F$8)/-12</t>
  </si>
  <si>
    <t>=NL("sum","Production Order","Quantity","Source No.",$D5348,"Equipment Code",$L5348,"due date",G$8)/-12</t>
  </si>
  <si>
    <t>=NL("sum","Production Order","Quantity","Source No.",$D5348,"Equipment Code",$L5348,"due date",H$8)/-12</t>
  </si>
  <si>
    <t>=NL("sum","Production Order","Quantity","Source No.",$D5348,"Equipment Code",$L5348,"due date",I$8)/-12</t>
  </si>
  <si>
    <t>=NL("sum","Production Order","Quantity","Source No.",$D5348,"Equipment Code",$L5348,"due date",J$8)/$J$7</t>
  </si>
  <si>
    <t>=AVERAGE(I5348:J5348)</t>
  </si>
  <si>
    <t>=IF(K5349=0,"hide","")</t>
  </si>
  <si>
    <t>=D5348</t>
  </si>
  <si>
    <t>=NL("sum","Production Order","Quantity","Source No.",$D5349,"Equipment Code",$L5349,"due date",F$8)/-12</t>
  </si>
  <si>
    <t>=NL("sum","Production Order","Quantity","Source No.",$D5349,"Equipment Code",$L5349,"due date",G$8)/-12</t>
  </si>
  <si>
    <t>=NL("sum","Production Order","Quantity","Source No.",$D5349,"Equipment Code",$L5349,"due date",H$8)/-12</t>
  </si>
  <si>
    <t>=NL("sum","Production Order","Quantity","Source No.",$D5349,"Equipment Code",$L5349,"due date",I$8)/-12</t>
  </si>
  <si>
    <t>=NL("sum","Production Order","Quantity","Source No.",$D5349,"Equipment Code",$L5349,"due date",J$8)/$J$7</t>
  </si>
  <si>
    <t>=AVERAGE(I5349:J5349)</t>
  </si>
  <si>
    <t>=IF(K5350=0,"hide","")</t>
  </si>
  <si>
    <t>=D5349</t>
  </si>
  <si>
    <t>=NL("sum","Production Order","Quantity","Source No.",$D5350,"Equipment Code",$L5350,"due date",F$8)/-12</t>
  </si>
  <si>
    <t>=NL("sum","Production Order","Quantity","Source No.",$D5350,"Equipment Code",$L5350,"due date",G$8)/-12</t>
  </si>
  <si>
    <t>=NL("sum","Production Order","Quantity","Source No.",$D5350,"Equipment Code",$L5350,"due date",H$8)/-12</t>
  </si>
  <si>
    <t>=NL("sum","Production Order","Quantity","Source No.",$D5350,"Equipment Code",$L5350,"due date",I$8)/-12</t>
  </si>
  <si>
    <t>=NL("sum","Production Order","Quantity","Source No.",$D5350,"Equipment Code",$L5350,"due date",J$8)/$J$7</t>
  </si>
  <si>
    <t>=AVERAGE(I5350:J5350)</t>
  </si>
  <si>
    <t>=IF(K5351=0,"hide","")</t>
  </si>
  <si>
    <t>=D5350</t>
  </si>
  <si>
    <t>=NL("sum","Production Order","Quantity","Source No.",$D5351,"Equipment Code",$L5351,"due date",F$8)/-12</t>
  </si>
  <si>
    <t>=NL("sum","Production Order","Quantity","Source No.",$D5351,"Equipment Code",$L5351,"due date",G$8)/-12</t>
  </si>
  <si>
    <t>=NL("sum","Production Order","Quantity","Source No.",$D5351,"Equipment Code",$L5351,"due date",H$8)/-12</t>
  </si>
  <si>
    <t>=NL("sum","Production Order","Quantity","Source No.",$D5351,"Equipment Code",$L5351,"due date",I$8)/-12</t>
  </si>
  <si>
    <t>=NL("sum","Production Order","Quantity","Source No.",$D5351,"Equipment Code",$L5351,"due date",J$8)/$J$7</t>
  </si>
  <si>
    <t>=AVERAGE(I5351:J5351)</t>
  </si>
  <si>
    <t>=B5348</t>
  </si>
  <si>
    <t>=B5352</t>
  </si>
  <si>
    <t>=SUM(F5348:F5352)</t>
  </si>
  <si>
    <t>=SUM(G5348:G5352)</t>
  </si>
  <si>
    <t>=SUM(H5348:H5352)</t>
  </si>
  <si>
    <t>=SUM(I5348:I5352)</t>
  </si>
  <si>
    <t>=SUM(J5348:J5352)</t>
  </si>
  <si>
    <t>=IF(K5354=0,"hide","")</t>
  </si>
  <si>
    <t>="99101"</t>
  </si>
  <si>
    <t>=NL("rows","Production BOM Version","Version Code","Production BOM No.",D5354,"status","certified")</t>
  </si>
  <si>
    <t>=NL("sum","Item Ledger Entry","Quantity","Item No.",$D5354,"Entry Type","Sale|Consumption","posting date","01/01/19..12/31/19")/-12</t>
  </si>
  <si>
    <t>=NL("sum","Item Ledger Entry","Quantity","Item No.",$D5354,"Entry Type","Sale|Consumption","posting date","01/01/20..12/31/20")/-12</t>
  </si>
  <si>
    <t>=NL("sum","Item Ledger Entry","Quantity","Item No.",$D5354,"Entry Type","Sale|Consumption","posting date","01/01/21..12/31/21")/-12</t>
  </si>
  <si>
    <t>=NL("sum","Item Ledger Entry","Quantity","Item No.",$D5354,"Entry Type","Sale|Consumption","posting date","01/01/22..12/31/22")/-12</t>
  </si>
  <si>
    <t>=NL("sum","Item Ledger Entry","Quantity","Item No.",$D5354,"Entry Type","Sale|Consumption","posting date","01/01/23..12/31/23")/$J$7</t>
  </si>
  <si>
    <t>=AVERAGE(I5354:J5354)</t>
  </si>
  <si>
    <t>=NL(1,"item",L$9,"no.",D5354)</t>
  </si>
  <si>
    <t>=NL(1,"item",M$9,"no.",$D5354)</t>
  </si>
  <si>
    <t>=NL(1,"item","Units Per Parcel","no.",$D5354)</t>
  </si>
  <si>
    <t>=NL(1,"Prod. BOM Equipment","Fixed Prod. Time (Hours)","Production BOM No.",$D5354,"version code",$E5354,"Resource No.",O$9)</t>
  </si>
  <si>
    <t>=1/O5354</t>
  </si>
  <si>
    <t>=IF(NL(1,"Prod. BOM Equipment","Variable Prod. Time (Hours)","Production BOM No.",$D5354,"version code",$E5354,"Resource No.",$O$9)="",1,NL(1,"Prod. BOM Equipment","Variable Prod. Time (Hours)","Production BOM No.",$D5354,"version code",$E5354,"Resource No.",$O$9))</t>
  </si>
  <si>
    <t>=1/Q5354</t>
  </si>
  <si>
    <t>=R5354*N5354</t>
  </si>
  <si>
    <t>=IF(K5355=0,"hide","")</t>
  </si>
  <si>
    <t>=D5354</t>
  </si>
  <si>
    <t>=NL("sum","Production Order","Quantity","Source No.",$D5355,"Equipment Code",$L5355,"due date",F$8)/-12</t>
  </si>
  <si>
    <t>=NL("sum","Production Order","Quantity","Source No.",$D5355,"Equipment Code",$L5355,"due date",G$8)/-12</t>
  </si>
  <si>
    <t>=NL("sum","Production Order","Quantity","Source No.",$D5355,"Equipment Code",$L5355,"due date",H$8)/-12</t>
  </si>
  <si>
    <t>=NL("sum","Production Order","Quantity","Source No.",$D5355,"Equipment Code",$L5355,"due date",I$8)/-12</t>
  </si>
  <si>
    <t>=NL("sum","Production Order","Quantity","Source No.",$D5355,"Equipment Code",$L5355,"due date",J$8)/$J$7</t>
  </si>
  <si>
    <t>=AVERAGE(I5355:J5355)</t>
  </si>
  <si>
    <t>=IF(K5356=0,"hide","")</t>
  </si>
  <si>
    <t>=D5355</t>
  </si>
  <si>
    <t>=NL("sum","Production Order","Quantity","Source No.",$D5356,"Equipment Code",$L5356,"due date",F$8)/-12</t>
  </si>
  <si>
    <t>=NL("sum","Production Order","Quantity","Source No.",$D5356,"Equipment Code",$L5356,"due date",G$8)/-12</t>
  </si>
  <si>
    <t>=NL("sum","Production Order","Quantity","Source No.",$D5356,"Equipment Code",$L5356,"due date",H$8)/-12</t>
  </si>
  <si>
    <t>=NL("sum","Production Order","Quantity","Source No.",$D5356,"Equipment Code",$L5356,"due date",I$8)/-12</t>
  </si>
  <si>
    <t>=NL("sum","Production Order","Quantity","Source No.",$D5356,"Equipment Code",$L5356,"due date",J$8)/$J$7</t>
  </si>
  <si>
    <t>=AVERAGE(I5356:J5356)</t>
  </si>
  <si>
    <t>=IF(K5357=0,"hide","")</t>
  </si>
  <si>
    <t>=D5356</t>
  </si>
  <si>
    <t>=NL("sum","Production Order","Quantity","Source No.",$D5357,"Equipment Code",$L5357,"due date",F$8)/-12</t>
  </si>
  <si>
    <t>=NL("sum","Production Order","Quantity","Source No.",$D5357,"Equipment Code",$L5357,"due date",G$8)/-12</t>
  </si>
  <si>
    <t>=NL("sum","Production Order","Quantity","Source No.",$D5357,"Equipment Code",$L5357,"due date",H$8)/-12</t>
  </si>
  <si>
    <t>=NL("sum","Production Order","Quantity","Source No.",$D5357,"Equipment Code",$L5357,"due date",I$8)/-12</t>
  </si>
  <si>
    <t>=NL("sum","Production Order","Quantity","Source No.",$D5357,"Equipment Code",$L5357,"due date",J$8)/$J$7</t>
  </si>
  <si>
    <t>=AVERAGE(I5357:J5357)</t>
  </si>
  <si>
    <t>=IF(K5358=0,"hide","")</t>
  </si>
  <si>
    <t>=D5357</t>
  </si>
  <si>
    <t>=NL("sum","Production Order","Quantity","Source No.",$D5358,"Equipment Code",$L5358,"due date",F$8)/-12</t>
  </si>
  <si>
    <t>=NL("sum","Production Order","Quantity","Source No.",$D5358,"Equipment Code",$L5358,"due date",G$8)/-12</t>
  </si>
  <si>
    <t>=NL("sum","Production Order","Quantity","Source No.",$D5358,"Equipment Code",$L5358,"due date",H$8)/-12</t>
  </si>
  <si>
    <t>=NL("sum","Production Order","Quantity","Source No.",$D5358,"Equipment Code",$L5358,"due date",I$8)/-12</t>
  </si>
  <si>
    <t>=NL("sum","Production Order","Quantity","Source No.",$D5358,"Equipment Code",$L5358,"due date",J$8)/$J$7</t>
  </si>
  <si>
    <t>=AVERAGE(I5358:J5358)</t>
  </si>
  <si>
    <t>=B5355</t>
  </si>
  <si>
    <t>=B5359</t>
  </si>
  <si>
    <t>=SUM(F5355:F5359)</t>
  </si>
  <si>
    <t>=SUM(G5355:G5359)</t>
  </si>
  <si>
    <t>=SUM(H5355:H5359)</t>
  </si>
  <si>
    <t>=SUM(I5355:I5359)</t>
  </si>
  <si>
    <t>=SUM(J5355:J5359)</t>
  </si>
  <si>
    <t>=IF(K5361=0,"hide","")</t>
  </si>
  <si>
    <t>="99116"</t>
  </si>
  <si>
    <t>=NL("rows","Production BOM Version","Version Code","Production BOM No.",D5361,"status","certified")</t>
  </si>
  <si>
    <t>=NL("sum","Item Ledger Entry","Quantity","Item No.",$D5361,"Entry Type","Sale|Consumption","posting date","01/01/19..12/31/19")/-12</t>
  </si>
  <si>
    <t>=NL("sum","Item Ledger Entry","Quantity","Item No.",$D5361,"Entry Type","Sale|Consumption","posting date","01/01/20..12/31/20")/-12</t>
  </si>
  <si>
    <t>=NL("sum","Item Ledger Entry","Quantity","Item No.",$D5361,"Entry Type","Sale|Consumption","posting date","01/01/21..12/31/21")/-12</t>
  </si>
  <si>
    <t>=NL("sum","Item Ledger Entry","Quantity","Item No.",$D5361,"Entry Type","Sale|Consumption","posting date","01/01/22..12/31/22")/-12</t>
  </si>
  <si>
    <t>=NL("sum","Item Ledger Entry","Quantity","Item No.",$D5361,"Entry Type","Sale|Consumption","posting date","01/01/23..12/31/23")/$J$7</t>
  </si>
  <si>
    <t>=AVERAGE(I5361:J5361)</t>
  </si>
  <si>
    <t>=NL(1,"item",L$9,"no.",D5361)</t>
  </si>
  <si>
    <t>=NL(1,"item",M$9,"no.",$D5361)</t>
  </si>
  <si>
    <t>=NL(1,"item","Units Per Parcel","no.",$D5361)</t>
  </si>
  <si>
    <t>=NL(1,"Prod. BOM Equipment","Fixed Prod. Time (Hours)","Production BOM No.",$D5361,"version code",$E5361,"Resource No.",O$9)</t>
  </si>
  <si>
    <t>=1/O5361</t>
  </si>
  <si>
    <t>=IF(NL(1,"Prod. BOM Equipment","Variable Prod. Time (Hours)","Production BOM No.",$D5361,"version code",$E5361,"Resource No.",$O$9)="",1,NL(1,"Prod. BOM Equipment","Variable Prod. Time (Hours)","Production BOM No.",$D5361,"version code",$E5361,"Resource No.",$O$9))</t>
  </si>
  <si>
    <t>=1/Q5361</t>
  </si>
  <si>
    <t>=R5361*N5361</t>
  </si>
  <si>
    <t>=IF(K5362=0,"hide","")</t>
  </si>
  <si>
    <t>=D5361</t>
  </si>
  <si>
    <t>=NL("sum","Production Order","Quantity","Source No.",$D5362,"Equipment Code",$L5362,"due date",F$8)/-12</t>
  </si>
  <si>
    <t>=NL("sum","Production Order","Quantity","Source No.",$D5362,"Equipment Code",$L5362,"due date",G$8)/-12</t>
  </si>
  <si>
    <t>=NL("sum","Production Order","Quantity","Source No.",$D5362,"Equipment Code",$L5362,"due date",H$8)/-12</t>
  </si>
  <si>
    <t>=NL("sum","Production Order","Quantity","Source No.",$D5362,"Equipment Code",$L5362,"due date",I$8)/-12</t>
  </si>
  <si>
    <t>=NL("sum","Production Order","Quantity","Source No.",$D5362,"Equipment Code",$L5362,"due date",J$8)/$J$7</t>
  </si>
  <si>
    <t>=AVERAGE(I5362:J5362)</t>
  </si>
  <si>
    <t>=IF(K5363=0,"hide","")</t>
  </si>
  <si>
    <t>=D5362</t>
  </si>
  <si>
    <t>=NL("sum","Production Order","Quantity","Source No.",$D5363,"Equipment Code",$L5363,"due date",F$8)/-12</t>
  </si>
  <si>
    <t>=NL("sum","Production Order","Quantity","Source No.",$D5363,"Equipment Code",$L5363,"due date",G$8)/-12</t>
  </si>
  <si>
    <t>=NL("sum","Production Order","Quantity","Source No.",$D5363,"Equipment Code",$L5363,"due date",H$8)/-12</t>
  </si>
  <si>
    <t>=NL("sum","Production Order","Quantity","Source No.",$D5363,"Equipment Code",$L5363,"due date",I$8)/-12</t>
  </si>
  <si>
    <t>=NL("sum","Production Order","Quantity","Source No.",$D5363,"Equipment Code",$L5363,"due date",J$8)/$J$7</t>
  </si>
  <si>
    <t>=AVERAGE(I5363:J5363)</t>
  </si>
  <si>
    <t>=IF(K5364=0,"hide","")</t>
  </si>
  <si>
    <t>=D5363</t>
  </si>
  <si>
    <t>=NL("sum","Production Order","Quantity","Source No.",$D5364,"Equipment Code",$L5364,"due date",F$8)/-12</t>
  </si>
  <si>
    <t>=NL("sum","Production Order","Quantity","Source No.",$D5364,"Equipment Code",$L5364,"due date",G$8)/-12</t>
  </si>
  <si>
    <t>=NL("sum","Production Order","Quantity","Source No.",$D5364,"Equipment Code",$L5364,"due date",H$8)/-12</t>
  </si>
  <si>
    <t>=NL("sum","Production Order","Quantity","Source No.",$D5364,"Equipment Code",$L5364,"due date",I$8)/-12</t>
  </si>
  <si>
    <t>=NL("sum","Production Order","Quantity","Source No.",$D5364,"Equipment Code",$L5364,"due date",J$8)/$J$7</t>
  </si>
  <si>
    <t>=AVERAGE(I5364:J5364)</t>
  </si>
  <si>
    <t>=IF(K5365=0,"hide","")</t>
  </si>
  <si>
    <t>=D5364</t>
  </si>
  <si>
    <t>=NL("sum","Production Order","Quantity","Source No.",$D5365,"Equipment Code",$L5365,"due date",F$8)/-12</t>
  </si>
  <si>
    <t>=NL("sum","Production Order","Quantity","Source No.",$D5365,"Equipment Code",$L5365,"due date",G$8)/-12</t>
  </si>
  <si>
    <t>=NL("sum","Production Order","Quantity","Source No.",$D5365,"Equipment Code",$L5365,"due date",H$8)/-12</t>
  </si>
  <si>
    <t>=NL("sum","Production Order","Quantity","Source No.",$D5365,"Equipment Code",$L5365,"due date",I$8)/-12</t>
  </si>
  <si>
    <t>=NL("sum","Production Order","Quantity","Source No.",$D5365,"Equipment Code",$L5365,"due date",J$8)/$J$7</t>
  </si>
  <si>
    <t>=AVERAGE(I5365:J5365)</t>
  </si>
  <si>
    <t>=B5362</t>
  </si>
  <si>
    <t>=B5366</t>
  </si>
  <si>
    <t>=SUM(F5362:F5366)</t>
  </si>
  <si>
    <t>=SUM(G5362:G5366)</t>
  </si>
  <si>
    <t>=SUM(H5362:H5366)</t>
  </si>
  <si>
    <t>=SUM(I5362:I5366)</t>
  </si>
  <si>
    <t>=SUM(J5362:J5366)</t>
  </si>
  <si>
    <t>=IF(K5368=0,"hide","")</t>
  </si>
  <si>
    <t>="99129"</t>
  </si>
  <si>
    <t>=NL("rows","Production BOM Version","Version Code","Production BOM No.",D5368,"status","certified")</t>
  </si>
  <si>
    <t>=NL("sum","Item Ledger Entry","Quantity","Item No.",$D5368,"Entry Type","Sale|Consumption","posting date","01/01/19..12/31/19")/-12</t>
  </si>
  <si>
    <t>=NL("sum","Item Ledger Entry","Quantity","Item No.",$D5368,"Entry Type","Sale|Consumption","posting date","01/01/20..12/31/20")/-12</t>
  </si>
  <si>
    <t>=NL("sum","Item Ledger Entry","Quantity","Item No.",$D5368,"Entry Type","Sale|Consumption","posting date","01/01/21..12/31/21")/-12</t>
  </si>
  <si>
    <t>=NL("sum","Item Ledger Entry","Quantity","Item No.",$D5368,"Entry Type","Sale|Consumption","posting date","01/01/22..12/31/22")/-12</t>
  </si>
  <si>
    <t>=NL("sum","Item Ledger Entry","Quantity","Item No.",$D5368,"Entry Type","Sale|Consumption","posting date","01/01/23..12/31/23")/$J$7</t>
  </si>
  <si>
    <t>=AVERAGE(I5368:J5368)</t>
  </si>
  <si>
    <t>=NL(1,"item",L$9,"no.",D5368)</t>
  </si>
  <si>
    <t>=NL(1,"item",M$9,"no.",$D5368)</t>
  </si>
  <si>
    <t>=NL(1,"item","Units Per Parcel","no.",$D5368)</t>
  </si>
  <si>
    <t>=NL(1,"Prod. BOM Equipment","Fixed Prod. Time (Hours)","Production BOM No.",$D5368,"version code",$E5368,"Resource No.",O$9)</t>
  </si>
  <si>
    <t>=1/O5368</t>
  </si>
  <si>
    <t>=IF(NL(1,"Prod. BOM Equipment","Variable Prod. Time (Hours)","Production BOM No.",$D5368,"version code",$E5368,"Resource No.",$O$9)="",1,NL(1,"Prod. BOM Equipment","Variable Prod. Time (Hours)","Production BOM No.",$D5368,"version code",$E5368,"Resource No.",$O$9))</t>
  </si>
  <si>
    <t>=1/Q5368</t>
  </si>
  <si>
    <t>=R5368*N5368</t>
  </si>
  <si>
    <t>=IF(K5369=0,"hide","")</t>
  </si>
  <si>
    <t>=D5368</t>
  </si>
  <si>
    <t>=NL("sum","Production Order","Quantity","Source No.",$D5369,"Equipment Code",$L5369,"due date",F$8)/-12</t>
  </si>
  <si>
    <t>=NL("sum","Production Order","Quantity","Source No.",$D5369,"Equipment Code",$L5369,"due date",G$8)/-12</t>
  </si>
  <si>
    <t>=NL("sum","Production Order","Quantity","Source No.",$D5369,"Equipment Code",$L5369,"due date",H$8)/-12</t>
  </si>
  <si>
    <t>=NL("sum","Production Order","Quantity","Source No.",$D5369,"Equipment Code",$L5369,"due date",I$8)/-12</t>
  </si>
  <si>
    <t>=NL("sum","Production Order","Quantity","Source No.",$D5369,"Equipment Code",$L5369,"due date",J$8)/$J$7</t>
  </si>
  <si>
    <t>=AVERAGE(I5369:J5369)</t>
  </si>
  <si>
    <t>=IF(K5370=0,"hide","")</t>
  </si>
  <si>
    <t>=D5369</t>
  </si>
  <si>
    <t>=NL("sum","Production Order","Quantity","Source No.",$D5370,"Equipment Code",$L5370,"due date",F$8)/-12</t>
  </si>
  <si>
    <t>=NL("sum","Production Order","Quantity","Source No.",$D5370,"Equipment Code",$L5370,"due date",G$8)/-12</t>
  </si>
  <si>
    <t>=NL("sum","Production Order","Quantity","Source No.",$D5370,"Equipment Code",$L5370,"due date",H$8)/-12</t>
  </si>
  <si>
    <t>=NL("sum","Production Order","Quantity","Source No.",$D5370,"Equipment Code",$L5370,"due date",I$8)/-12</t>
  </si>
  <si>
    <t>=NL("sum","Production Order","Quantity","Source No.",$D5370,"Equipment Code",$L5370,"due date",J$8)/$J$7</t>
  </si>
  <si>
    <t>=AVERAGE(I5370:J5370)</t>
  </si>
  <si>
    <t>=IF(K5371=0,"hide","")</t>
  </si>
  <si>
    <t>=D5370</t>
  </si>
  <si>
    <t>=NL("sum","Production Order","Quantity","Source No.",$D5371,"Equipment Code",$L5371,"due date",F$8)/-12</t>
  </si>
  <si>
    <t>=NL("sum","Production Order","Quantity","Source No.",$D5371,"Equipment Code",$L5371,"due date",G$8)/-12</t>
  </si>
  <si>
    <t>=NL("sum","Production Order","Quantity","Source No.",$D5371,"Equipment Code",$L5371,"due date",H$8)/-12</t>
  </si>
  <si>
    <t>=NL("sum","Production Order","Quantity","Source No.",$D5371,"Equipment Code",$L5371,"due date",I$8)/-12</t>
  </si>
  <si>
    <t>=NL("sum","Production Order","Quantity","Source No.",$D5371,"Equipment Code",$L5371,"due date",J$8)/$J$7</t>
  </si>
  <si>
    <t>=AVERAGE(I5371:J5371)</t>
  </si>
  <si>
    <t>=IF(K5372=0,"hide","")</t>
  </si>
  <si>
    <t>=D5371</t>
  </si>
  <si>
    <t>=NL("sum","Production Order","Quantity","Source No.",$D5372,"Equipment Code",$L5372,"due date",F$8)/-12</t>
  </si>
  <si>
    <t>=NL("sum","Production Order","Quantity","Source No.",$D5372,"Equipment Code",$L5372,"due date",G$8)/-12</t>
  </si>
  <si>
    <t>=NL("sum","Production Order","Quantity","Source No.",$D5372,"Equipment Code",$L5372,"due date",H$8)/-12</t>
  </si>
  <si>
    <t>=NL("sum","Production Order","Quantity","Source No.",$D5372,"Equipment Code",$L5372,"due date",I$8)/-12</t>
  </si>
  <si>
    <t>=NL("sum","Production Order","Quantity","Source No.",$D5372,"Equipment Code",$L5372,"due date",J$8)/$J$7</t>
  </si>
  <si>
    <t>=AVERAGE(I5372:J5372)</t>
  </si>
  <si>
    <t>=B5369</t>
  </si>
  <si>
    <t>=B5373</t>
  </si>
  <si>
    <t>=SUM(F5369:F5373)</t>
  </si>
  <si>
    <t>=SUM(G5369:G5373)</t>
  </si>
  <si>
    <t>=SUM(H5369:H5373)</t>
  </si>
  <si>
    <t>=SUM(I5369:I5373)</t>
  </si>
  <si>
    <t>=SUM(J5369:J5373)</t>
  </si>
  <si>
    <t>=IF(K5375=0,"hide","")</t>
  </si>
  <si>
    <t>="99132"</t>
  </si>
  <si>
    <t>=NL("rows","Production BOM Version","Version Code","Production BOM No.",D5375,"status","certified")</t>
  </si>
  <si>
    <t>=NL("sum","Item Ledger Entry","Quantity","Item No.",$D5375,"Entry Type","Sale|Consumption","posting date","01/01/19..12/31/19")/-12</t>
  </si>
  <si>
    <t>=NL("sum","Item Ledger Entry","Quantity","Item No.",$D5375,"Entry Type","Sale|Consumption","posting date","01/01/20..12/31/20")/-12</t>
  </si>
  <si>
    <t>=NL("sum","Item Ledger Entry","Quantity","Item No.",$D5375,"Entry Type","Sale|Consumption","posting date","01/01/21..12/31/21")/-12</t>
  </si>
  <si>
    <t>=NL("sum","Item Ledger Entry","Quantity","Item No.",$D5375,"Entry Type","Sale|Consumption","posting date","01/01/22..12/31/22")/-12</t>
  </si>
  <si>
    <t>=NL("sum","Item Ledger Entry","Quantity","Item No.",$D5375,"Entry Type","Sale|Consumption","posting date","01/01/23..12/31/23")/$J$7</t>
  </si>
  <si>
    <t>=AVERAGE(I5375:J5375)</t>
  </si>
  <si>
    <t>=NL(1,"item",L$9,"no.",D5375)</t>
  </si>
  <si>
    <t>=NL(1,"item",M$9,"no.",$D5375)</t>
  </si>
  <si>
    <t>=NL(1,"item","Units Per Parcel","no.",$D5375)</t>
  </si>
  <si>
    <t>=NL(1,"Prod. BOM Equipment","Fixed Prod. Time (Hours)","Production BOM No.",$D5375,"version code",$E5375,"Resource No.",O$9)</t>
  </si>
  <si>
    <t>=1/O5375</t>
  </si>
  <si>
    <t>=IF(NL(1,"Prod. BOM Equipment","Variable Prod. Time (Hours)","Production BOM No.",$D5375,"version code",$E5375,"Resource No.",$O$9)="",1,NL(1,"Prod. BOM Equipment","Variable Prod. Time (Hours)","Production BOM No.",$D5375,"version code",$E5375,"Resource No.",$O$9))</t>
  </si>
  <si>
    <t>=1/Q5375</t>
  </si>
  <si>
    <t>=R5375*N5375</t>
  </si>
  <si>
    <t>=IF(K5376=0,"hide","")</t>
  </si>
  <si>
    <t>=D5375</t>
  </si>
  <si>
    <t>=NL("sum","Production Order","Quantity","Source No.",$D5376,"Equipment Code",$L5376,"due date",F$8)/-12</t>
  </si>
  <si>
    <t>=NL("sum","Production Order","Quantity","Source No.",$D5376,"Equipment Code",$L5376,"due date",G$8)/-12</t>
  </si>
  <si>
    <t>=NL("sum","Production Order","Quantity","Source No.",$D5376,"Equipment Code",$L5376,"due date",H$8)/-12</t>
  </si>
  <si>
    <t>=NL("sum","Production Order","Quantity","Source No.",$D5376,"Equipment Code",$L5376,"due date",I$8)/-12</t>
  </si>
  <si>
    <t>=NL("sum","Production Order","Quantity","Source No.",$D5376,"Equipment Code",$L5376,"due date",J$8)/$J$7</t>
  </si>
  <si>
    <t>=AVERAGE(I5376:J5376)</t>
  </si>
  <si>
    <t>=IF(K5377=0,"hide","")</t>
  </si>
  <si>
    <t>=D5376</t>
  </si>
  <si>
    <t>=NL("sum","Production Order","Quantity","Source No.",$D5377,"Equipment Code",$L5377,"due date",F$8)/-12</t>
  </si>
  <si>
    <t>=NL("sum","Production Order","Quantity","Source No.",$D5377,"Equipment Code",$L5377,"due date",G$8)/-12</t>
  </si>
  <si>
    <t>=NL("sum","Production Order","Quantity","Source No.",$D5377,"Equipment Code",$L5377,"due date",H$8)/-12</t>
  </si>
  <si>
    <t>=NL("sum","Production Order","Quantity","Source No.",$D5377,"Equipment Code",$L5377,"due date",I$8)/-12</t>
  </si>
  <si>
    <t>=NL("sum","Production Order","Quantity","Source No.",$D5377,"Equipment Code",$L5377,"due date",J$8)/$J$7</t>
  </si>
  <si>
    <t>=AVERAGE(I5377:J5377)</t>
  </si>
  <si>
    <t>=IF(K5378=0,"hide","")</t>
  </si>
  <si>
    <t>=D5377</t>
  </si>
  <si>
    <t>=NL("sum","Production Order","Quantity","Source No.",$D5378,"Equipment Code",$L5378,"due date",F$8)/-12</t>
  </si>
  <si>
    <t>=NL("sum","Production Order","Quantity","Source No.",$D5378,"Equipment Code",$L5378,"due date",G$8)/-12</t>
  </si>
  <si>
    <t>=NL("sum","Production Order","Quantity","Source No.",$D5378,"Equipment Code",$L5378,"due date",H$8)/-12</t>
  </si>
  <si>
    <t>=NL("sum","Production Order","Quantity","Source No.",$D5378,"Equipment Code",$L5378,"due date",I$8)/-12</t>
  </si>
  <si>
    <t>=NL("sum","Production Order","Quantity","Source No.",$D5378,"Equipment Code",$L5378,"due date",J$8)/$J$7</t>
  </si>
  <si>
    <t>=AVERAGE(I5378:J5378)</t>
  </si>
  <si>
    <t>=IF(K5379=0,"hide","")</t>
  </si>
  <si>
    <t>=D5378</t>
  </si>
  <si>
    <t>=NL("sum","Production Order","Quantity","Source No.",$D5379,"Equipment Code",$L5379,"due date",F$8)/-12</t>
  </si>
  <si>
    <t>=NL("sum","Production Order","Quantity","Source No.",$D5379,"Equipment Code",$L5379,"due date",G$8)/-12</t>
  </si>
  <si>
    <t>=NL("sum","Production Order","Quantity","Source No.",$D5379,"Equipment Code",$L5379,"due date",H$8)/-12</t>
  </si>
  <si>
    <t>=NL("sum","Production Order","Quantity","Source No.",$D5379,"Equipment Code",$L5379,"due date",I$8)/-12</t>
  </si>
  <si>
    <t>=NL("sum","Production Order","Quantity","Source No.",$D5379,"Equipment Code",$L5379,"due date",J$8)/$J$7</t>
  </si>
  <si>
    <t>=AVERAGE(I5379:J5379)</t>
  </si>
  <si>
    <t>=B5376</t>
  </si>
  <si>
    <t>=B5380</t>
  </si>
  <si>
    <t>=SUM(F5376:F5380)</t>
  </si>
  <si>
    <t>=SUM(G5376:G5380)</t>
  </si>
  <si>
    <t>=SUM(H5376:H5380)</t>
  </si>
  <si>
    <t>=SUM(I5376:I5380)</t>
  </si>
  <si>
    <t>=SUM(J5376:J5380)</t>
  </si>
  <si>
    <t>=IF(K5382=0,"hide","")</t>
  </si>
  <si>
    <t>="99192"</t>
  </si>
  <si>
    <t>=NL("rows","Production BOM Version","Version Code","Production BOM No.",D5382,"status","certified")</t>
  </si>
  <si>
    <t>=NL("sum","Item Ledger Entry","Quantity","Item No.",$D5382,"Entry Type","Sale|Consumption","posting date","01/01/19..12/31/19")/-12</t>
  </si>
  <si>
    <t>=NL("sum","Item Ledger Entry","Quantity","Item No.",$D5382,"Entry Type","Sale|Consumption","posting date","01/01/20..12/31/20")/-12</t>
  </si>
  <si>
    <t>=NL("sum","Item Ledger Entry","Quantity","Item No.",$D5382,"Entry Type","Sale|Consumption","posting date","01/01/21..12/31/21")/-12</t>
  </si>
  <si>
    <t>=NL("sum","Item Ledger Entry","Quantity","Item No.",$D5382,"Entry Type","Sale|Consumption","posting date","01/01/22..12/31/22")/-12</t>
  </si>
  <si>
    <t>=NL("sum","Item Ledger Entry","Quantity","Item No.",$D5382,"Entry Type","Sale|Consumption","posting date","01/01/23..12/31/23")/$J$7</t>
  </si>
  <si>
    <t>=AVERAGE(I5382:J5382)</t>
  </si>
  <si>
    <t>=NL(1,"item",L$9,"no.",D5382)</t>
  </si>
  <si>
    <t>=NL(1,"item",M$9,"no.",$D5382)</t>
  </si>
  <si>
    <t>=NL(1,"item","Units Per Parcel","no.",$D5382)</t>
  </si>
  <si>
    <t>=NL(1,"Prod. BOM Equipment","Fixed Prod. Time (Hours)","Production BOM No.",$D5382,"version code",$E5382,"Resource No.",O$9)</t>
  </si>
  <si>
    <t>=1/O5382</t>
  </si>
  <si>
    <t>=IF(NL(1,"Prod. BOM Equipment","Variable Prod. Time (Hours)","Production BOM No.",$D5382,"version code",$E5382,"Resource No.",$O$9)="",1,NL(1,"Prod. BOM Equipment","Variable Prod. Time (Hours)","Production BOM No.",$D5382,"version code",$E5382,"Resource No.",$O$9))</t>
  </si>
  <si>
    <t>=1/Q5382</t>
  </si>
  <si>
    <t>=R5382*N5382</t>
  </si>
  <si>
    <t>=IF(K5383=0,"hide","")</t>
  </si>
  <si>
    <t>=D5382</t>
  </si>
  <si>
    <t>=NL("sum","Production Order","Quantity","Source No.",$D5383,"Equipment Code",$L5383,"due date",F$8)/-12</t>
  </si>
  <si>
    <t>=NL("sum","Production Order","Quantity","Source No.",$D5383,"Equipment Code",$L5383,"due date",G$8)/-12</t>
  </si>
  <si>
    <t>=NL("sum","Production Order","Quantity","Source No.",$D5383,"Equipment Code",$L5383,"due date",H$8)/-12</t>
  </si>
  <si>
    <t>=NL("sum","Production Order","Quantity","Source No.",$D5383,"Equipment Code",$L5383,"due date",I$8)/-12</t>
  </si>
  <si>
    <t>=NL("sum","Production Order","Quantity","Source No.",$D5383,"Equipment Code",$L5383,"due date",J$8)/$J$7</t>
  </si>
  <si>
    <t>=AVERAGE(I5383:J5383)</t>
  </si>
  <si>
    <t>=IF(K5384=0,"hide","")</t>
  </si>
  <si>
    <t>=D5383</t>
  </si>
  <si>
    <t>=NL("sum","Production Order","Quantity","Source No.",$D5384,"Equipment Code",$L5384,"due date",F$8)/-12</t>
  </si>
  <si>
    <t>=NL("sum","Production Order","Quantity","Source No.",$D5384,"Equipment Code",$L5384,"due date",G$8)/-12</t>
  </si>
  <si>
    <t>=NL("sum","Production Order","Quantity","Source No.",$D5384,"Equipment Code",$L5384,"due date",H$8)/-12</t>
  </si>
  <si>
    <t>=NL("sum","Production Order","Quantity","Source No.",$D5384,"Equipment Code",$L5384,"due date",I$8)/-12</t>
  </si>
  <si>
    <t>=NL("sum","Production Order","Quantity","Source No.",$D5384,"Equipment Code",$L5384,"due date",J$8)/$J$7</t>
  </si>
  <si>
    <t>=AVERAGE(I5384:J5384)</t>
  </si>
  <si>
    <t>=IF(K5385=0,"hide","")</t>
  </si>
  <si>
    <t>=D5384</t>
  </si>
  <si>
    <t>=NL("sum","Production Order","Quantity","Source No.",$D5385,"Equipment Code",$L5385,"due date",F$8)/-12</t>
  </si>
  <si>
    <t>=NL("sum","Production Order","Quantity","Source No.",$D5385,"Equipment Code",$L5385,"due date",G$8)/-12</t>
  </si>
  <si>
    <t>=NL("sum","Production Order","Quantity","Source No.",$D5385,"Equipment Code",$L5385,"due date",H$8)/-12</t>
  </si>
  <si>
    <t>=NL("sum","Production Order","Quantity","Source No.",$D5385,"Equipment Code",$L5385,"due date",I$8)/-12</t>
  </si>
  <si>
    <t>=NL("sum","Production Order","Quantity","Source No.",$D5385,"Equipment Code",$L5385,"due date",J$8)/$J$7</t>
  </si>
  <si>
    <t>=AVERAGE(I5385:J5385)</t>
  </si>
  <si>
    <t>=IF(K5386=0,"hide","")</t>
  </si>
  <si>
    <t>=D5385</t>
  </si>
  <si>
    <t>=NL("sum","Production Order","Quantity","Source No.",$D5386,"Equipment Code",$L5386,"due date",F$8)/-12</t>
  </si>
  <si>
    <t>=NL("sum","Production Order","Quantity","Source No.",$D5386,"Equipment Code",$L5386,"due date",G$8)/-12</t>
  </si>
  <si>
    <t>=NL("sum","Production Order","Quantity","Source No.",$D5386,"Equipment Code",$L5386,"due date",H$8)/-12</t>
  </si>
  <si>
    <t>=NL("sum","Production Order","Quantity","Source No.",$D5386,"Equipment Code",$L5386,"due date",I$8)/-12</t>
  </si>
  <si>
    <t>=NL("sum","Production Order","Quantity","Source No.",$D5386,"Equipment Code",$L5386,"due date",J$8)/$J$7</t>
  </si>
  <si>
    <t>=AVERAGE(I5386:J5386)</t>
  </si>
  <si>
    <t>=B5383</t>
  </si>
  <si>
    <t>=B5387</t>
  </si>
  <si>
    <t>=SUM(F5383:F5387)</t>
  </si>
  <si>
    <t>=SUM(G5383:G5387)</t>
  </si>
  <si>
    <t>=SUM(H5383:H5387)</t>
  </si>
  <si>
    <t>=SUM(I5383:I5387)</t>
  </si>
  <si>
    <t>=SUM(J5383:J5387)</t>
  </si>
  <si>
    <t>=IF(K5389=0,"hide","")</t>
  </si>
  <si>
    <t>="99195"</t>
  </si>
  <si>
    <t>=NL("rows","Production BOM Version","Version Code","Production BOM No.",D5389,"status","certified")</t>
  </si>
  <si>
    <t>=NL("sum","Item Ledger Entry","Quantity","Item No.",$D5389,"Entry Type","Sale|Consumption","posting date","01/01/19..12/31/19")/-12</t>
  </si>
  <si>
    <t>=NL("sum","Item Ledger Entry","Quantity","Item No.",$D5389,"Entry Type","Sale|Consumption","posting date","01/01/20..12/31/20")/-12</t>
  </si>
  <si>
    <t>=NL("sum","Item Ledger Entry","Quantity","Item No.",$D5389,"Entry Type","Sale|Consumption","posting date","01/01/21..12/31/21")/-12</t>
  </si>
  <si>
    <t>=NL("sum","Item Ledger Entry","Quantity","Item No.",$D5389,"Entry Type","Sale|Consumption","posting date","01/01/22..12/31/22")/-12</t>
  </si>
  <si>
    <t>=NL("sum","Item Ledger Entry","Quantity","Item No.",$D5389,"Entry Type","Sale|Consumption","posting date","01/01/23..12/31/23")/$J$7</t>
  </si>
  <si>
    <t>=AVERAGE(I5389:J5389)</t>
  </si>
  <si>
    <t>=NL(1,"item",L$9,"no.",D5389)</t>
  </si>
  <si>
    <t>=NL(1,"item",M$9,"no.",$D5389)</t>
  </si>
  <si>
    <t>=NL(1,"item","Units Per Parcel","no.",$D5389)</t>
  </si>
  <si>
    <t>=NL(1,"Prod. BOM Equipment","Fixed Prod. Time (Hours)","Production BOM No.",$D5389,"version code",$E5389,"Resource No.",O$9)</t>
  </si>
  <si>
    <t>=1/O5389</t>
  </si>
  <si>
    <t>=IF(NL(1,"Prod. BOM Equipment","Variable Prod. Time (Hours)","Production BOM No.",$D5389,"version code",$E5389,"Resource No.",$O$9)="",1,NL(1,"Prod. BOM Equipment","Variable Prod. Time (Hours)","Production BOM No.",$D5389,"version code",$E5389,"Resource No.",$O$9))</t>
  </si>
  <si>
    <t>=1/Q5389</t>
  </si>
  <si>
    <t>=R5389*N5389</t>
  </si>
  <si>
    <t>=IF(K5390=0,"hide","")</t>
  </si>
  <si>
    <t>=D5389</t>
  </si>
  <si>
    <t>=NL("sum","Production Order","Quantity","Source No.",$D5390,"Equipment Code",$L5390,"due date",F$8)/-12</t>
  </si>
  <si>
    <t>=NL("sum","Production Order","Quantity","Source No.",$D5390,"Equipment Code",$L5390,"due date",G$8)/-12</t>
  </si>
  <si>
    <t>=NL("sum","Production Order","Quantity","Source No.",$D5390,"Equipment Code",$L5390,"due date",H$8)/-12</t>
  </si>
  <si>
    <t>=NL("sum","Production Order","Quantity","Source No.",$D5390,"Equipment Code",$L5390,"due date",I$8)/-12</t>
  </si>
  <si>
    <t>=NL("sum","Production Order","Quantity","Source No.",$D5390,"Equipment Code",$L5390,"due date",J$8)/$J$7</t>
  </si>
  <si>
    <t>=AVERAGE(I5390:J5390)</t>
  </si>
  <si>
    <t>=IF(K5391=0,"hide","")</t>
  </si>
  <si>
    <t>=D5390</t>
  </si>
  <si>
    <t>=NL("sum","Production Order","Quantity","Source No.",$D5391,"Equipment Code",$L5391,"due date",F$8)/-12</t>
  </si>
  <si>
    <t>=NL("sum","Production Order","Quantity","Source No.",$D5391,"Equipment Code",$L5391,"due date",G$8)/-12</t>
  </si>
  <si>
    <t>=NL("sum","Production Order","Quantity","Source No.",$D5391,"Equipment Code",$L5391,"due date",H$8)/-12</t>
  </si>
  <si>
    <t>=NL("sum","Production Order","Quantity","Source No.",$D5391,"Equipment Code",$L5391,"due date",I$8)/-12</t>
  </si>
  <si>
    <t>=NL("sum","Production Order","Quantity","Source No.",$D5391,"Equipment Code",$L5391,"due date",J$8)/$J$7</t>
  </si>
  <si>
    <t>=AVERAGE(I5391:J5391)</t>
  </si>
  <si>
    <t>=IF(K5392=0,"hide","")</t>
  </si>
  <si>
    <t>=D5391</t>
  </si>
  <si>
    <t>=NL("sum","Production Order","Quantity","Source No.",$D5392,"Equipment Code",$L5392,"due date",F$8)/-12</t>
  </si>
  <si>
    <t>=NL("sum","Production Order","Quantity","Source No.",$D5392,"Equipment Code",$L5392,"due date",G$8)/-12</t>
  </si>
  <si>
    <t>=NL("sum","Production Order","Quantity","Source No.",$D5392,"Equipment Code",$L5392,"due date",H$8)/-12</t>
  </si>
  <si>
    <t>=NL("sum","Production Order","Quantity","Source No.",$D5392,"Equipment Code",$L5392,"due date",I$8)/-12</t>
  </si>
  <si>
    <t>=NL("sum","Production Order","Quantity","Source No.",$D5392,"Equipment Code",$L5392,"due date",J$8)/$J$7</t>
  </si>
  <si>
    <t>=AVERAGE(I5392:J5392)</t>
  </si>
  <si>
    <t>=IF(K5393=0,"hide","")</t>
  </si>
  <si>
    <t>=D5392</t>
  </si>
  <si>
    <t>=NL("sum","Production Order","Quantity","Source No.",$D5393,"Equipment Code",$L5393,"due date",F$8)/-12</t>
  </si>
  <si>
    <t>=NL("sum","Production Order","Quantity","Source No.",$D5393,"Equipment Code",$L5393,"due date",G$8)/-12</t>
  </si>
  <si>
    <t>=NL("sum","Production Order","Quantity","Source No.",$D5393,"Equipment Code",$L5393,"due date",H$8)/-12</t>
  </si>
  <si>
    <t>=NL("sum","Production Order","Quantity","Source No.",$D5393,"Equipment Code",$L5393,"due date",I$8)/-12</t>
  </si>
  <si>
    <t>=NL("sum","Production Order","Quantity","Source No.",$D5393,"Equipment Code",$L5393,"due date",J$8)/$J$7</t>
  </si>
  <si>
    <t>=AVERAGE(I5393:J5393)</t>
  </si>
  <si>
    <t>=B5390</t>
  </si>
  <si>
    <t>=B5394</t>
  </si>
  <si>
    <t>=SUM(F5390:F5394)</t>
  </si>
  <si>
    <t>=SUM(G5390:G5394)</t>
  </si>
  <si>
    <t>=SUM(H5390:H5394)</t>
  </si>
  <si>
    <t>=SUM(I5390:I5394)</t>
  </si>
  <si>
    <t>=SUM(J5390:J5394)</t>
  </si>
  <si>
    <t>=IF(K5396=0,"hide","")</t>
  </si>
  <si>
    <t>="BC MINI MINIS"</t>
  </si>
  <si>
    <t>=NL("rows","Production BOM Version","Version Code","Production BOM No.",D5396,"status","certified")</t>
  </si>
  <si>
    <t>=NL("sum","Item Ledger Entry","Quantity","Item No.",$D5396,"Entry Type","Sale|Consumption","posting date","01/01/19..12/31/19")/-12</t>
  </si>
  <si>
    <t>=NL("sum","Item Ledger Entry","Quantity","Item No.",$D5396,"Entry Type","Sale|Consumption","posting date","01/01/20..12/31/20")/-12</t>
  </si>
  <si>
    <t>=NL("sum","Item Ledger Entry","Quantity","Item No.",$D5396,"Entry Type","Sale|Consumption","posting date","01/01/21..12/31/21")/-12</t>
  </si>
  <si>
    <t>=NL("sum","Item Ledger Entry","Quantity","Item No.",$D5396,"Entry Type","Sale|Consumption","posting date","01/01/22..12/31/22")/-12</t>
  </si>
  <si>
    <t>=NL("sum","Item Ledger Entry","Quantity","Item No.",$D5396,"Entry Type","Sale|Consumption","posting date","01/01/23..12/31/23")/$J$7</t>
  </si>
  <si>
    <t>=AVERAGE(I5396:J5396)</t>
  </si>
  <si>
    <t>=NL(1,"item",L$9,"no.",D5396)</t>
  </si>
  <si>
    <t>=NL(1,"item",M$9,"no.",$D5396)</t>
  </si>
  <si>
    <t>=NL(1,"item","Units Per Parcel","no.",$D5396)</t>
  </si>
  <si>
    <t>=NL(1,"Prod. BOM Equipment","Fixed Prod. Time (Hours)","Production BOM No.",$D5396,"version code",$E5396,"Resource No.",O$9)</t>
  </si>
  <si>
    <t>=1/O5396</t>
  </si>
  <si>
    <t>=IF(NL(1,"Prod. BOM Equipment","Variable Prod. Time (Hours)","Production BOM No.",$D5396,"version code",$E5396,"Resource No.",$O$9)="",1,NL(1,"Prod. BOM Equipment","Variable Prod. Time (Hours)","Production BOM No.",$D5396,"version code",$E5396,"Resource No.",$O$9))</t>
  </si>
  <si>
    <t>=1/Q5396</t>
  </si>
  <si>
    <t>=R5396*N5396</t>
  </si>
  <si>
    <t>=IF(K5397=0,"hide","")</t>
  </si>
  <si>
    <t>=D5396</t>
  </si>
  <si>
    <t>=NL("sum","Production Order","Quantity","Source No.",$D5397,"Equipment Code",$L5397,"due date",F$8)/-12</t>
  </si>
  <si>
    <t>=NL("sum","Production Order","Quantity","Source No.",$D5397,"Equipment Code",$L5397,"due date",G$8)/-12</t>
  </si>
  <si>
    <t>=NL("sum","Production Order","Quantity","Source No.",$D5397,"Equipment Code",$L5397,"due date",H$8)/-12</t>
  </si>
  <si>
    <t>=NL("sum","Production Order","Quantity","Source No.",$D5397,"Equipment Code",$L5397,"due date",I$8)/-12</t>
  </si>
  <si>
    <t>=NL("sum","Production Order","Quantity","Source No.",$D5397,"Equipment Code",$L5397,"due date",J$8)/$J$7</t>
  </si>
  <si>
    <t>=AVERAGE(I5397:J5397)</t>
  </si>
  <si>
    <t>=IF(K5398=0,"hide","")</t>
  </si>
  <si>
    <t>=D5397</t>
  </si>
  <si>
    <t>=NL("sum","Production Order","Quantity","Source No.",$D5398,"Equipment Code",$L5398,"due date",F$8)/-12</t>
  </si>
  <si>
    <t>=NL("sum","Production Order","Quantity","Source No.",$D5398,"Equipment Code",$L5398,"due date",G$8)/-12</t>
  </si>
  <si>
    <t>=NL("sum","Production Order","Quantity","Source No.",$D5398,"Equipment Code",$L5398,"due date",H$8)/-12</t>
  </si>
  <si>
    <t>=NL("sum","Production Order","Quantity","Source No.",$D5398,"Equipment Code",$L5398,"due date",I$8)/-12</t>
  </si>
  <si>
    <t>=NL("sum","Production Order","Quantity","Source No.",$D5398,"Equipment Code",$L5398,"due date",J$8)/$J$7</t>
  </si>
  <si>
    <t>=AVERAGE(I5398:J5398)</t>
  </si>
  <si>
    <t>=IF(K5399=0,"hide","")</t>
  </si>
  <si>
    <t>=D5398</t>
  </si>
  <si>
    <t>=NL("sum","Production Order","Quantity","Source No.",$D5399,"Equipment Code",$L5399,"due date",F$8)/-12</t>
  </si>
  <si>
    <t>=NL("sum","Production Order","Quantity","Source No.",$D5399,"Equipment Code",$L5399,"due date",G$8)/-12</t>
  </si>
  <si>
    <t>=NL("sum","Production Order","Quantity","Source No.",$D5399,"Equipment Code",$L5399,"due date",H$8)/-12</t>
  </si>
  <si>
    <t>=NL("sum","Production Order","Quantity","Source No.",$D5399,"Equipment Code",$L5399,"due date",I$8)/-12</t>
  </si>
  <si>
    <t>=NL("sum","Production Order","Quantity","Source No.",$D5399,"Equipment Code",$L5399,"due date",J$8)/$J$7</t>
  </si>
  <si>
    <t>=AVERAGE(I5399:J5399)</t>
  </si>
  <si>
    <t>=IF(K5400=0,"hide","")</t>
  </si>
  <si>
    <t>=D5399</t>
  </si>
  <si>
    <t>=NL("sum","Production Order","Quantity","Source No.",$D5400,"Equipment Code",$L5400,"due date",F$8)/-12</t>
  </si>
  <si>
    <t>=NL("sum","Production Order","Quantity","Source No.",$D5400,"Equipment Code",$L5400,"due date",G$8)/-12</t>
  </si>
  <si>
    <t>=NL("sum","Production Order","Quantity","Source No.",$D5400,"Equipment Code",$L5400,"due date",H$8)/-12</t>
  </si>
  <si>
    <t>=NL("sum","Production Order","Quantity","Source No.",$D5400,"Equipment Code",$L5400,"due date",I$8)/-12</t>
  </si>
  <si>
    <t>=NL("sum","Production Order","Quantity","Source No.",$D5400,"Equipment Code",$L5400,"due date",J$8)/$J$7</t>
  </si>
  <si>
    <t>=AVERAGE(I5400:J5400)</t>
  </si>
  <si>
    <t>=B5397</t>
  </si>
  <si>
    <t>=B5401</t>
  </si>
  <si>
    <t>=SUM(F5397:F5401)</t>
  </si>
  <si>
    <t>=SUM(G5397:G5401)</t>
  </si>
  <si>
    <t>=SUM(H5397:H5401)</t>
  </si>
  <si>
    <t>=SUM(I5397:I5401)</t>
  </si>
  <si>
    <t>=SUM(J5397:J5401)</t>
  </si>
  <si>
    <t>=IF(K5403=0,"hide","")</t>
  </si>
  <si>
    <t>="BCR272"</t>
  </si>
  <si>
    <t>=NL("rows","Production BOM Version","Version Code","Production BOM No.",D5403,"status","certified")</t>
  </si>
  <si>
    <t>=NL("sum","Item Ledger Entry","Quantity","Item No.",$D5403,"Entry Type","Sale|Consumption","posting date","01/01/19..12/31/19")/-12</t>
  </si>
  <si>
    <t>=NL("sum","Item Ledger Entry","Quantity","Item No.",$D5403,"Entry Type","Sale|Consumption","posting date","01/01/20..12/31/20")/-12</t>
  </si>
  <si>
    <t>=NL("sum","Item Ledger Entry","Quantity","Item No.",$D5403,"Entry Type","Sale|Consumption","posting date","01/01/21..12/31/21")/-12</t>
  </si>
  <si>
    <t>=NL("sum","Item Ledger Entry","Quantity","Item No.",$D5403,"Entry Type","Sale|Consumption","posting date","01/01/22..12/31/22")/-12</t>
  </si>
  <si>
    <t>=NL("sum","Item Ledger Entry","Quantity","Item No.",$D5403,"Entry Type","Sale|Consumption","posting date","01/01/23..12/31/23")/$J$7</t>
  </si>
  <si>
    <t>=AVERAGE(I5403:J5403)</t>
  </si>
  <si>
    <t>=NL(1,"item",L$9,"no.",D5403)</t>
  </si>
  <si>
    <t>=NL(1,"item",M$9,"no.",$D5403)</t>
  </si>
  <si>
    <t>=NL(1,"item","Units Per Parcel","no.",$D5403)</t>
  </si>
  <si>
    <t>=NL(1,"Prod. BOM Equipment","Fixed Prod. Time (Hours)","Production BOM No.",$D5403,"version code",$E5403,"Resource No.",O$9)</t>
  </si>
  <si>
    <t>=1/O5403</t>
  </si>
  <si>
    <t>=IF(NL(1,"Prod. BOM Equipment","Variable Prod. Time (Hours)","Production BOM No.",$D5403,"version code",$E5403,"Resource No.",$O$9)="",1,NL(1,"Prod. BOM Equipment","Variable Prod. Time (Hours)","Production BOM No.",$D5403,"version code",$E5403,"Resource No.",$O$9))</t>
  </si>
  <si>
    <t>=1/Q5403</t>
  </si>
  <si>
    <t>=R5403*N5403</t>
  </si>
  <si>
    <t>=IF(K5404=0,"hide","")</t>
  </si>
  <si>
    <t>=D5403</t>
  </si>
  <si>
    <t>=NL("sum","Production Order","Quantity","Source No.",$D5404,"Equipment Code",$L5404,"due date",F$8)/-12</t>
  </si>
  <si>
    <t>=NL("sum","Production Order","Quantity","Source No.",$D5404,"Equipment Code",$L5404,"due date",G$8)/-12</t>
  </si>
  <si>
    <t>=NL("sum","Production Order","Quantity","Source No.",$D5404,"Equipment Code",$L5404,"due date",H$8)/-12</t>
  </si>
  <si>
    <t>=NL("sum","Production Order","Quantity","Source No.",$D5404,"Equipment Code",$L5404,"due date",I$8)/-12</t>
  </si>
  <si>
    <t>=NL("sum","Production Order","Quantity","Source No.",$D5404,"Equipment Code",$L5404,"due date",J$8)/$J$7</t>
  </si>
  <si>
    <t>=AVERAGE(I5404:J5404)</t>
  </si>
  <si>
    <t>=IF(K5405=0,"hide","")</t>
  </si>
  <si>
    <t>=D5404</t>
  </si>
  <si>
    <t>=NL("sum","Production Order","Quantity","Source No.",$D5405,"Equipment Code",$L5405,"due date",F$8)/-12</t>
  </si>
  <si>
    <t>=NL("sum","Production Order","Quantity","Source No.",$D5405,"Equipment Code",$L5405,"due date",G$8)/-12</t>
  </si>
  <si>
    <t>=NL("sum","Production Order","Quantity","Source No.",$D5405,"Equipment Code",$L5405,"due date",H$8)/-12</t>
  </si>
  <si>
    <t>=NL("sum","Production Order","Quantity","Source No.",$D5405,"Equipment Code",$L5405,"due date",I$8)/-12</t>
  </si>
  <si>
    <t>=NL("sum","Production Order","Quantity","Source No.",$D5405,"Equipment Code",$L5405,"due date",J$8)/$J$7</t>
  </si>
  <si>
    <t>=AVERAGE(I5405:J5405)</t>
  </si>
  <si>
    <t>=IF(K5406=0,"hide","")</t>
  </si>
  <si>
    <t>=D5405</t>
  </si>
  <si>
    <t>=NL("sum","Production Order","Quantity","Source No.",$D5406,"Equipment Code",$L5406,"due date",F$8)/-12</t>
  </si>
  <si>
    <t>=NL("sum","Production Order","Quantity","Source No.",$D5406,"Equipment Code",$L5406,"due date",G$8)/-12</t>
  </si>
  <si>
    <t>=NL("sum","Production Order","Quantity","Source No.",$D5406,"Equipment Code",$L5406,"due date",H$8)/-12</t>
  </si>
  <si>
    <t>=NL("sum","Production Order","Quantity","Source No.",$D5406,"Equipment Code",$L5406,"due date",I$8)/-12</t>
  </si>
  <si>
    <t>=NL("sum","Production Order","Quantity","Source No.",$D5406,"Equipment Code",$L5406,"due date",J$8)/$J$7</t>
  </si>
  <si>
    <t>=AVERAGE(I5406:J5406)</t>
  </si>
  <si>
    <t>=IF(K5407=0,"hide","")</t>
  </si>
  <si>
    <t>=D5406</t>
  </si>
  <si>
    <t>=NL("sum","Production Order","Quantity","Source No.",$D5407,"Equipment Code",$L5407,"due date",F$8)/-12</t>
  </si>
  <si>
    <t>=NL("sum","Production Order","Quantity","Source No.",$D5407,"Equipment Code",$L5407,"due date",G$8)/-12</t>
  </si>
  <si>
    <t>=NL("sum","Production Order","Quantity","Source No.",$D5407,"Equipment Code",$L5407,"due date",H$8)/-12</t>
  </si>
  <si>
    <t>=NL("sum","Production Order","Quantity","Source No.",$D5407,"Equipment Code",$L5407,"due date",I$8)/-12</t>
  </si>
  <si>
    <t>=NL("sum","Production Order","Quantity","Source No.",$D5407,"Equipment Code",$L5407,"due date",J$8)/$J$7</t>
  </si>
  <si>
    <t>=AVERAGE(I5407:J5407)</t>
  </si>
  <si>
    <t>=B5404</t>
  </si>
  <si>
    <t>=B5408</t>
  </si>
  <si>
    <t>=SUM(F5404:F5408)</t>
  </si>
  <si>
    <t>=SUM(G5404:G5408)</t>
  </si>
  <si>
    <t>=SUM(H5404:H5408)</t>
  </si>
  <si>
    <t>=SUM(I5404:I5408)</t>
  </si>
  <si>
    <t>=SUM(J5404:J5408)</t>
  </si>
  <si>
    <t>=IF(K5410=0,"hide","")</t>
  </si>
  <si>
    <t>="CBLD196"</t>
  </si>
  <si>
    <t>=NL("rows","Production BOM Version","Version Code","Production BOM No.",D5410,"status","certified")</t>
  </si>
  <si>
    <t>=NL("sum","Item Ledger Entry","Quantity","Item No.",$D5410,"Entry Type","Sale|Consumption","posting date","01/01/19..12/31/19")/-12</t>
  </si>
  <si>
    <t>=NL("sum","Item Ledger Entry","Quantity","Item No.",$D5410,"Entry Type","Sale|Consumption","posting date","01/01/20..12/31/20")/-12</t>
  </si>
  <si>
    <t>=NL("sum","Item Ledger Entry","Quantity","Item No.",$D5410,"Entry Type","Sale|Consumption","posting date","01/01/21..12/31/21")/-12</t>
  </si>
  <si>
    <t>=NL("sum","Item Ledger Entry","Quantity","Item No.",$D5410,"Entry Type","Sale|Consumption","posting date","01/01/22..12/31/22")/-12</t>
  </si>
  <si>
    <t>=NL("sum","Item Ledger Entry","Quantity","Item No.",$D5410,"Entry Type","Sale|Consumption","posting date","01/01/23..12/31/23")/$J$7</t>
  </si>
  <si>
    <t>=AVERAGE(I5410:J5410)</t>
  </si>
  <si>
    <t>=NL(1,"item",L$9,"no.",D5410)</t>
  </si>
  <si>
    <t>=NL(1,"item",M$9,"no.",$D5410)</t>
  </si>
  <si>
    <t>=NL(1,"item","Units Per Parcel","no.",$D5410)</t>
  </si>
  <si>
    <t>=NL(1,"Prod. BOM Equipment","Fixed Prod. Time (Hours)","Production BOM No.",$D5410,"version code",$E5410,"Resource No.",O$9)</t>
  </si>
  <si>
    <t>=1/O5410</t>
  </si>
  <si>
    <t>=IF(NL(1,"Prod. BOM Equipment","Variable Prod. Time (Hours)","Production BOM No.",$D5410,"version code",$E5410,"Resource No.",$O$9)="",1,NL(1,"Prod. BOM Equipment","Variable Prod. Time (Hours)","Production BOM No.",$D5410,"version code",$E5410,"Resource No.",$O$9))</t>
  </si>
  <si>
    <t>=1/Q5410</t>
  </si>
  <si>
    <t>=R5410*N5410</t>
  </si>
  <si>
    <t>=IF(K5411=0,"hide","")</t>
  </si>
  <si>
    <t>=D5410</t>
  </si>
  <si>
    <t>=NL("sum","Production Order","Quantity","Source No.",$D5411,"Equipment Code",$L5411,"due date",F$8)/-12</t>
  </si>
  <si>
    <t>=NL("sum","Production Order","Quantity","Source No.",$D5411,"Equipment Code",$L5411,"due date",G$8)/-12</t>
  </si>
  <si>
    <t>=NL("sum","Production Order","Quantity","Source No.",$D5411,"Equipment Code",$L5411,"due date",H$8)/-12</t>
  </si>
  <si>
    <t>=NL("sum","Production Order","Quantity","Source No.",$D5411,"Equipment Code",$L5411,"due date",I$8)/-12</t>
  </si>
  <si>
    <t>=NL("sum","Production Order","Quantity","Source No.",$D5411,"Equipment Code",$L5411,"due date",J$8)/$J$7</t>
  </si>
  <si>
    <t>=AVERAGE(I5411:J5411)</t>
  </si>
  <si>
    <t>=IF(K5412=0,"hide","")</t>
  </si>
  <si>
    <t>=D5411</t>
  </si>
  <si>
    <t>=NL("sum","Production Order","Quantity","Source No.",$D5412,"Equipment Code",$L5412,"due date",F$8)/-12</t>
  </si>
  <si>
    <t>=NL("sum","Production Order","Quantity","Source No.",$D5412,"Equipment Code",$L5412,"due date",G$8)/-12</t>
  </si>
  <si>
    <t>=NL("sum","Production Order","Quantity","Source No.",$D5412,"Equipment Code",$L5412,"due date",H$8)/-12</t>
  </si>
  <si>
    <t>=NL("sum","Production Order","Quantity","Source No.",$D5412,"Equipment Code",$L5412,"due date",I$8)/-12</t>
  </si>
  <si>
    <t>=NL("sum","Production Order","Quantity","Source No.",$D5412,"Equipment Code",$L5412,"due date",J$8)/$J$7</t>
  </si>
  <si>
    <t>=AVERAGE(I5412:J5412)</t>
  </si>
  <si>
    <t>=IF(K5413=0,"hide","")</t>
  </si>
  <si>
    <t>=D5412</t>
  </si>
  <si>
    <t>=NL("sum","Production Order","Quantity","Source No.",$D5413,"Equipment Code",$L5413,"due date",F$8)/-12</t>
  </si>
  <si>
    <t>=NL("sum","Production Order","Quantity","Source No.",$D5413,"Equipment Code",$L5413,"due date",G$8)/-12</t>
  </si>
  <si>
    <t>=NL("sum","Production Order","Quantity","Source No.",$D5413,"Equipment Code",$L5413,"due date",H$8)/-12</t>
  </si>
  <si>
    <t>=NL("sum","Production Order","Quantity","Source No.",$D5413,"Equipment Code",$L5413,"due date",I$8)/-12</t>
  </si>
  <si>
    <t>=NL("sum","Production Order","Quantity","Source No.",$D5413,"Equipment Code",$L5413,"due date",J$8)/$J$7</t>
  </si>
  <si>
    <t>=AVERAGE(I5413:J5413)</t>
  </si>
  <si>
    <t>=IF(K5414=0,"hide","")</t>
  </si>
  <si>
    <t>=D5413</t>
  </si>
  <si>
    <t>=NL("sum","Production Order","Quantity","Source No.",$D5414,"Equipment Code",$L5414,"due date",F$8)/-12</t>
  </si>
  <si>
    <t>=NL("sum","Production Order","Quantity","Source No.",$D5414,"Equipment Code",$L5414,"due date",G$8)/-12</t>
  </si>
  <si>
    <t>=NL("sum","Production Order","Quantity","Source No.",$D5414,"Equipment Code",$L5414,"due date",H$8)/-12</t>
  </si>
  <si>
    <t>=NL("sum","Production Order","Quantity","Source No.",$D5414,"Equipment Code",$L5414,"due date",I$8)/-12</t>
  </si>
  <si>
    <t>=NL("sum","Production Order","Quantity","Source No.",$D5414,"Equipment Code",$L5414,"due date",J$8)/$J$7</t>
  </si>
  <si>
    <t>=AVERAGE(I5414:J5414)</t>
  </si>
  <si>
    <t>=B5411</t>
  </si>
  <si>
    <t>=B5415</t>
  </si>
  <si>
    <t>=SUM(F5411:F5415)</t>
  </si>
  <si>
    <t>=SUM(G5411:G5415)</t>
  </si>
  <si>
    <t>=SUM(H5411:H5415)</t>
  </si>
  <si>
    <t>=SUM(I5411:I5415)</t>
  </si>
  <si>
    <t>=SUM(J5411:J5415)</t>
  </si>
  <si>
    <t>=IF(K5417=0,"hide","")</t>
  </si>
  <si>
    <t>="CBLD248"</t>
  </si>
  <si>
    <t>=NL("rows","Production BOM Version","Version Code","Production BOM No.",D5417,"status","certified")</t>
  </si>
  <si>
    <t>=NL("sum","Item Ledger Entry","Quantity","Item No.",$D5417,"Entry Type","Sale|Consumption","posting date","01/01/19..12/31/19")/-12</t>
  </si>
  <si>
    <t>=NL("sum","Item Ledger Entry","Quantity","Item No.",$D5417,"Entry Type","Sale|Consumption","posting date","01/01/20..12/31/20")/-12</t>
  </si>
  <si>
    <t>=NL("sum","Item Ledger Entry","Quantity","Item No.",$D5417,"Entry Type","Sale|Consumption","posting date","01/01/21..12/31/21")/-12</t>
  </si>
  <si>
    <t>=NL("sum","Item Ledger Entry","Quantity","Item No.",$D5417,"Entry Type","Sale|Consumption","posting date","01/01/22..12/31/22")/-12</t>
  </si>
  <si>
    <t>=NL("sum","Item Ledger Entry","Quantity","Item No.",$D5417,"Entry Type","Sale|Consumption","posting date","01/01/23..12/31/23")/$J$7</t>
  </si>
  <si>
    <t>=AVERAGE(I5417:J5417)</t>
  </si>
  <si>
    <t>=NL(1,"item",L$9,"no.",D5417)</t>
  </si>
  <si>
    <t>=NL(1,"item",M$9,"no.",$D5417)</t>
  </si>
  <si>
    <t>=NL(1,"item","Units Per Parcel","no.",$D5417)</t>
  </si>
  <si>
    <t>=NL(1,"Prod. BOM Equipment","Fixed Prod. Time (Hours)","Production BOM No.",$D5417,"version code",$E5417,"Resource No.",O$9)</t>
  </si>
  <si>
    <t>=1/O5417</t>
  </si>
  <si>
    <t>=IF(NL(1,"Prod. BOM Equipment","Variable Prod. Time (Hours)","Production BOM No.",$D5417,"version code",$E5417,"Resource No.",$O$9)="",1,NL(1,"Prod. BOM Equipment","Variable Prod. Time (Hours)","Production BOM No.",$D5417,"version code",$E5417,"Resource No.",$O$9))</t>
  </si>
  <si>
    <t>=1/Q5417</t>
  </si>
  <si>
    <t>=R5417*N5417</t>
  </si>
  <si>
    <t>=IF(K5418=0,"hide","")</t>
  </si>
  <si>
    <t>=D5417</t>
  </si>
  <si>
    <t>=NL("sum","Production Order","Quantity","Source No.",$D5418,"Equipment Code",$L5418,"due date",F$8)/-12</t>
  </si>
  <si>
    <t>=NL("sum","Production Order","Quantity","Source No.",$D5418,"Equipment Code",$L5418,"due date",G$8)/-12</t>
  </si>
  <si>
    <t>=NL("sum","Production Order","Quantity","Source No.",$D5418,"Equipment Code",$L5418,"due date",H$8)/-12</t>
  </si>
  <si>
    <t>=NL("sum","Production Order","Quantity","Source No.",$D5418,"Equipment Code",$L5418,"due date",I$8)/-12</t>
  </si>
  <si>
    <t>=NL("sum","Production Order","Quantity","Source No.",$D5418,"Equipment Code",$L5418,"due date",J$8)/$J$7</t>
  </si>
  <si>
    <t>=AVERAGE(I5418:J5418)</t>
  </si>
  <si>
    <t>=IF(K5419=0,"hide","")</t>
  </si>
  <si>
    <t>=D5418</t>
  </si>
  <si>
    <t>=NL("sum","Production Order","Quantity","Source No.",$D5419,"Equipment Code",$L5419,"due date",F$8)/-12</t>
  </si>
  <si>
    <t>=NL("sum","Production Order","Quantity","Source No.",$D5419,"Equipment Code",$L5419,"due date",G$8)/-12</t>
  </si>
  <si>
    <t>=NL("sum","Production Order","Quantity","Source No.",$D5419,"Equipment Code",$L5419,"due date",H$8)/-12</t>
  </si>
  <si>
    <t>=NL("sum","Production Order","Quantity","Source No.",$D5419,"Equipment Code",$L5419,"due date",I$8)/-12</t>
  </si>
  <si>
    <t>=NL("sum","Production Order","Quantity","Source No.",$D5419,"Equipment Code",$L5419,"due date",J$8)/$J$7</t>
  </si>
  <si>
    <t>=AVERAGE(I5419:J5419)</t>
  </si>
  <si>
    <t>=IF(K5420=0,"hide","")</t>
  </si>
  <si>
    <t>=D5419</t>
  </si>
  <si>
    <t>=NL("sum","Production Order","Quantity","Source No.",$D5420,"Equipment Code",$L5420,"due date",F$8)/-12</t>
  </si>
  <si>
    <t>=NL("sum","Production Order","Quantity","Source No.",$D5420,"Equipment Code",$L5420,"due date",G$8)/-12</t>
  </si>
  <si>
    <t>=NL("sum","Production Order","Quantity","Source No.",$D5420,"Equipment Code",$L5420,"due date",H$8)/-12</t>
  </si>
  <si>
    <t>=NL("sum","Production Order","Quantity","Source No.",$D5420,"Equipment Code",$L5420,"due date",I$8)/-12</t>
  </si>
  <si>
    <t>=NL("sum","Production Order","Quantity","Source No.",$D5420,"Equipment Code",$L5420,"due date",J$8)/$J$7</t>
  </si>
  <si>
    <t>=AVERAGE(I5420:J5420)</t>
  </si>
  <si>
    <t>=IF(K5421=0,"hide","")</t>
  </si>
  <si>
    <t>=D5420</t>
  </si>
  <si>
    <t>=NL("sum","Production Order","Quantity","Source No.",$D5421,"Equipment Code",$L5421,"due date",F$8)/-12</t>
  </si>
  <si>
    <t>=NL("sum","Production Order","Quantity","Source No.",$D5421,"Equipment Code",$L5421,"due date",G$8)/-12</t>
  </si>
  <si>
    <t>=NL("sum","Production Order","Quantity","Source No.",$D5421,"Equipment Code",$L5421,"due date",H$8)/-12</t>
  </si>
  <si>
    <t>=NL("sum","Production Order","Quantity","Source No.",$D5421,"Equipment Code",$L5421,"due date",I$8)/-12</t>
  </si>
  <si>
    <t>=NL("sum","Production Order","Quantity","Source No.",$D5421,"Equipment Code",$L5421,"due date",J$8)/$J$7</t>
  </si>
  <si>
    <t>=AVERAGE(I5421:J5421)</t>
  </si>
  <si>
    <t>=B5418</t>
  </si>
  <si>
    <t>=B5422</t>
  </si>
  <si>
    <t>=SUM(F5418:F5422)</t>
  </si>
  <si>
    <t>=SUM(G5418:G5422)</t>
  </si>
  <si>
    <t>=SUM(H5418:H5422)</t>
  </si>
  <si>
    <t>=SUM(I5418:I5422)</t>
  </si>
  <si>
    <t>=SUM(J5418:J5422)</t>
  </si>
  <si>
    <t>=IF(K5424=0,"hide","")</t>
  </si>
  <si>
    <t>="CBLD296"</t>
  </si>
  <si>
    <t>=NL("rows","Production BOM Version","Version Code","Production BOM No.",D5424,"status","certified")</t>
  </si>
  <si>
    <t>=NL("sum","Item Ledger Entry","Quantity","Item No.",$D5424,"Entry Type","Sale|Consumption","posting date","01/01/19..12/31/19")/-12</t>
  </si>
  <si>
    <t>=NL("sum","Item Ledger Entry","Quantity","Item No.",$D5424,"Entry Type","Sale|Consumption","posting date","01/01/20..12/31/20")/-12</t>
  </si>
  <si>
    <t>=NL("sum","Item Ledger Entry","Quantity","Item No.",$D5424,"Entry Type","Sale|Consumption","posting date","01/01/21..12/31/21")/-12</t>
  </si>
  <si>
    <t>=NL("sum","Item Ledger Entry","Quantity","Item No.",$D5424,"Entry Type","Sale|Consumption","posting date","01/01/22..12/31/22")/-12</t>
  </si>
  <si>
    <t>=NL("sum","Item Ledger Entry","Quantity","Item No.",$D5424,"Entry Type","Sale|Consumption","posting date","01/01/23..12/31/23")/$J$7</t>
  </si>
  <si>
    <t>=AVERAGE(I5424:J5424)</t>
  </si>
  <si>
    <t>=NL(1,"item",L$9,"no.",D5424)</t>
  </si>
  <si>
    <t>=NL(1,"item",M$9,"no.",$D5424)</t>
  </si>
  <si>
    <t>=NL(1,"item","Units Per Parcel","no.",$D5424)</t>
  </si>
  <si>
    <t>=NL(1,"Prod. BOM Equipment","Fixed Prod. Time (Hours)","Production BOM No.",$D5424,"version code",$E5424,"Resource No.",O$9)</t>
  </si>
  <si>
    <t>=1/O5424</t>
  </si>
  <si>
    <t>=IF(NL(1,"Prod. BOM Equipment","Variable Prod. Time (Hours)","Production BOM No.",$D5424,"version code",$E5424,"Resource No.",$O$9)="",1,NL(1,"Prod. BOM Equipment","Variable Prod. Time (Hours)","Production BOM No.",$D5424,"version code",$E5424,"Resource No.",$O$9))</t>
  </si>
  <si>
    <t>=1/Q5424</t>
  </si>
  <si>
    <t>=R5424*N5424</t>
  </si>
  <si>
    <t>=IF(K5425=0,"hide","")</t>
  </si>
  <si>
    <t>=D5424</t>
  </si>
  <si>
    <t>=NL("sum","Production Order","Quantity","Source No.",$D5425,"Equipment Code",$L5425,"due date",F$8)/-12</t>
  </si>
  <si>
    <t>=NL("sum","Production Order","Quantity","Source No.",$D5425,"Equipment Code",$L5425,"due date",G$8)/-12</t>
  </si>
  <si>
    <t>=NL("sum","Production Order","Quantity","Source No.",$D5425,"Equipment Code",$L5425,"due date",H$8)/-12</t>
  </si>
  <si>
    <t>=NL("sum","Production Order","Quantity","Source No.",$D5425,"Equipment Code",$L5425,"due date",I$8)/-12</t>
  </si>
  <si>
    <t>=NL("sum","Production Order","Quantity","Source No.",$D5425,"Equipment Code",$L5425,"due date",J$8)/$J$7</t>
  </si>
  <si>
    <t>=AVERAGE(I5425:J5425)</t>
  </si>
  <si>
    <t>=IF(K5426=0,"hide","")</t>
  </si>
  <si>
    <t>=D5425</t>
  </si>
  <si>
    <t>=NL("sum","Production Order","Quantity","Source No.",$D5426,"Equipment Code",$L5426,"due date",F$8)/-12</t>
  </si>
  <si>
    <t>=NL("sum","Production Order","Quantity","Source No.",$D5426,"Equipment Code",$L5426,"due date",G$8)/-12</t>
  </si>
  <si>
    <t>=NL("sum","Production Order","Quantity","Source No.",$D5426,"Equipment Code",$L5426,"due date",H$8)/-12</t>
  </si>
  <si>
    <t>=NL("sum","Production Order","Quantity","Source No.",$D5426,"Equipment Code",$L5426,"due date",I$8)/-12</t>
  </si>
  <si>
    <t>=NL("sum","Production Order","Quantity","Source No.",$D5426,"Equipment Code",$L5426,"due date",J$8)/$J$7</t>
  </si>
  <si>
    <t>=AVERAGE(I5426:J5426)</t>
  </si>
  <si>
    <t>=IF(K5427=0,"hide","")</t>
  </si>
  <si>
    <t>=D5426</t>
  </si>
  <si>
    <t>=NL("sum","Production Order","Quantity","Source No.",$D5427,"Equipment Code",$L5427,"due date",F$8)/-12</t>
  </si>
  <si>
    <t>=NL("sum","Production Order","Quantity","Source No.",$D5427,"Equipment Code",$L5427,"due date",G$8)/-12</t>
  </si>
  <si>
    <t>=NL("sum","Production Order","Quantity","Source No.",$D5427,"Equipment Code",$L5427,"due date",H$8)/-12</t>
  </si>
  <si>
    <t>=NL("sum","Production Order","Quantity","Source No.",$D5427,"Equipment Code",$L5427,"due date",I$8)/-12</t>
  </si>
  <si>
    <t>=NL("sum","Production Order","Quantity","Source No.",$D5427,"Equipment Code",$L5427,"due date",J$8)/$J$7</t>
  </si>
  <si>
    <t>=AVERAGE(I5427:J5427)</t>
  </si>
  <si>
    <t>=IF(K5428=0,"hide","")</t>
  </si>
  <si>
    <t>=D5427</t>
  </si>
  <si>
    <t>=NL("sum","Production Order","Quantity","Source No.",$D5428,"Equipment Code",$L5428,"due date",F$8)/-12</t>
  </si>
  <si>
    <t>=NL("sum","Production Order","Quantity","Source No.",$D5428,"Equipment Code",$L5428,"due date",G$8)/-12</t>
  </si>
  <si>
    <t>=NL("sum","Production Order","Quantity","Source No.",$D5428,"Equipment Code",$L5428,"due date",H$8)/-12</t>
  </si>
  <si>
    <t>=NL("sum","Production Order","Quantity","Source No.",$D5428,"Equipment Code",$L5428,"due date",I$8)/-12</t>
  </si>
  <si>
    <t>=NL("sum","Production Order","Quantity","Source No.",$D5428,"Equipment Code",$L5428,"due date",J$8)/$J$7</t>
  </si>
  <si>
    <t>=AVERAGE(I5428:J5428)</t>
  </si>
  <si>
    <t>=B5425</t>
  </si>
  <si>
    <t>=B5429</t>
  </si>
  <si>
    <t>=SUM(F5425:F5429)</t>
  </si>
  <si>
    <t>=SUM(G5425:G5429)</t>
  </si>
  <si>
    <t>=SUM(H5425:H5429)</t>
  </si>
  <si>
    <t>=SUM(I5425:I5429)</t>
  </si>
  <si>
    <t>=SUM(J5425:J5429)</t>
  </si>
  <si>
    <t>=IF(K5431=0,"hide","")</t>
  </si>
  <si>
    <t>="CHOCOLATE BOWLS"</t>
  </si>
  <si>
    <t>=NL("rows","Production BOM Version","Version Code","Production BOM No.",D5431,"status","certified")</t>
  </si>
  <si>
    <t>=NL("sum","Item Ledger Entry","Quantity","Item No.",$D5431,"Entry Type","Sale|Consumption","posting date","01/01/19..12/31/19")/-12</t>
  </si>
  <si>
    <t>=NL("sum","Item Ledger Entry","Quantity","Item No.",$D5431,"Entry Type","Sale|Consumption","posting date","01/01/20..12/31/20")/-12</t>
  </si>
  <si>
    <t>=NL("sum","Item Ledger Entry","Quantity","Item No.",$D5431,"Entry Type","Sale|Consumption","posting date","01/01/21..12/31/21")/-12</t>
  </si>
  <si>
    <t>=NL("sum","Item Ledger Entry","Quantity","Item No.",$D5431,"Entry Type","Sale|Consumption","posting date","01/01/22..12/31/22")/-12</t>
  </si>
  <si>
    <t>=NL("sum","Item Ledger Entry","Quantity","Item No.",$D5431,"Entry Type","Sale|Consumption","posting date","01/01/23..12/31/23")/$J$7</t>
  </si>
  <si>
    <t>=AVERAGE(I5431:J5431)</t>
  </si>
  <si>
    <t>=NL(1,"item",L$9,"no.",D5431)</t>
  </si>
  <si>
    <t>=NL(1,"item",M$9,"no.",$D5431)</t>
  </si>
  <si>
    <t>=NL(1,"item","Units Per Parcel","no.",$D5431)</t>
  </si>
  <si>
    <t>=NL(1,"Prod. BOM Equipment","Fixed Prod. Time (Hours)","Production BOM No.",$D5431,"version code",$E5431,"Resource No.",O$9)</t>
  </si>
  <si>
    <t>=1/O5431</t>
  </si>
  <si>
    <t>=IF(NL(1,"Prod. BOM Equipment","Variable Prod. Time (Hours)","Production BOM No.",$D5431,"version code",$E5431,"Resource No.",$O$9)="",1,NL(1,"Prod. BOM Equipment","Variable Prod. Time (Hours)","Production BOM No.",$D5431,"version code",$E5431,"Resource No.",$O$9))</t>
  </si>
  <si>
    <t>=1/Q5431</t>
  </si>
  <si>
    <t>=R5431*N5431</t>
  </si>
  <si>
    <t>=IF(K5432=0,"hide","")</t>
  </si>
  <si>
    <t>=D5431</t>
  </si>
  <si>
    <t>=NL("sum","Production Order","Quantity","Source No.",$D5432,"Equipment Code",$L5432,"due date",F$8)/-12</t>
  </si>
  <si>
    <t>=NL("sum","Production Order","Quantity","Source No.",$D5432,"Equipment Code",$L5432,"due date",G$8)/-12</t>
  </si>
  <si>
    <t>=NL("sum","Production Order","Quantity","Source No.",$D5432,"Equipment Code",$L5432,"due date",H$8)/-12</t>
  </si>
  <si>
    <t>=NL("sum","Production Order","Quantity","Source No.",$D5432,"Equipment Code",$L5432,"due date",I$8)/-12</t>
  </si>
  <si>
    <t>=NL("sum","Production Order","Quantity","Source No.",$D5432,"Equipment Code",$L5432,"due date",J$8)/$J$7</t>
  </si>
  <si>
    <t>=AVERAGE(I5432:J5432)</t>
  </si>
  <si>
    <t>=IF(K5433=0,"hide","")</t>
  </si>
  <si>
    <t>=D5432</t>
  </si>
  <si>
    <t>=NL("sum","Production Order","Quantity","Source No.",$D5433,"Equipment Code",$L5433,"due date",F$8)/-12</t>
  </si>
  <si>
    <t>=NL("sum","Production Order","Quantity","Source No.",$D5433,"Equipment Code",$L5433,"due date",G$8)/-12</t>
  </si>
  <si>
    <t>=NL("sum","Production Order","Quantity","Source No.",$D5433,"Equipment Code",$L5433,"due date",H$8)/-12</t>
  </si>
  <si>
    <t>=NL("sum","Production Order","Quantity","Source No.",$D5433,"Equipment Code",$L5433,"due date",I$8)/-12</t>
  </si>
  <si>
    <t>=NL("sum","Production Order","Quantity","Source No.",$D5433,"Equipment Code",$L5433,"due date",J$8)/$J$7</t>
  </si>
  <si>
    <t>=AVERAGE(I5433:J5433)</t>
  </si>
  <si>
    <t>=IF(K5434=0,"hide","")</t>
  </si>
  <si>
    <t>=D5433</t>
  </si>
  <si>
    <t>=NL("sum","Production Order","Quantity","Source No.",$D5434,"Equipment Code",$L5434,"due date",F$8)/-12</t>
  </si>
  <si>
    <t>=NL("sum","Production Order","Quantity","Source No.",$D5434,"Equipment Code",$L5434,"due date",G$8)/-12</t>
  </si>
  <si>
    <t>=NL("sum","Production Order","Quantity","Source No.",$D5434,"Equipment Code",$L5434,"due date",H$8)/-12</t>
  </si>
  <si>
    <t>=NL("sum","Production Order","Quantity","Source No.",$D5434,"Equipment Code",$L5434,"due date",I$8)/-12</t>
  </si>
  <si>
    <t>=NL("sum","Production Order","Quantity","Source No.",$D5434,"Equipment Code",$L5434,"due date",J$8)/$J$7</t>
  </si>
  <si>
    <t>=AVERAGE(I5434:J5434)</t>
  </si>
  <si>
    <t>=IF(K5435=0,"hide","")</t>
  </si>
  <si>
    <t>=D5434</t>
  </si>
  <si>
    <t>=NL("sum","Production Order","Quantity","Source No.",$D5435,"Equipment Code",$L5435,"due date",F$8)/-12</t>
  </si>
  <si>
    <t>=NL("sum","Production Order","Quantity","Source No.",$D5435,"Equipment Code",$L5435,"due date",G$8)/-12</t>
  </si>
  <si>
    <t>=NL("sum","Production Order","Quantity","Source No.",$D5435,"Equipment Code",$L5435,"due date",H$8)/-12</t>
  </si>
  <si>
    <t>=NL("sum","Production Order","Quantity","Source No.",$D5435,"Equipment Code",$L5435,"due date",I$8)/-12</t>
  </si>
  <si>
    <t>=NL("sum","Production Order","Quantity","Source No.",$D5435,"Equipment Code",$L5435,"due date",J$8)/$J$7</t>
  </si>
  <si>
    <t>=AVERAGE(I5435:J5435)</t>
  </si>
  <si>
    <t>=B5432</t>
  </si>
  <si>
    <t>=B5436</t>
  </si>
  <si>
    <t>=SUM(F5432:F5436)</t>
  </si>
  <si>
    <t>=SUM(G5432:G5436)</t>
  </si>
  <si>
    <t>=SUM(H5432:H5436)</t>
  </si>
  <si>
    <t>=SUM(I5432:I5436)</t>
  </si>
  <si>
    <t>=SUM(J5432:J5436)</t>
  </si>
  <si>
    <t>=IF(K5438=0,"hide","")</t>
  </si>
  <si>
    <t>="CHR272"</t>
  </si>
  <si>
    <t>=NL("rows","Production BOM Version","Version Code","Production BOM No.",D5438,"status","certified")</t>
  </si>
  <si>
    <t>=NL("sum","Item Ledger Entry","Quantity","Item No.",$D5438,"Entry Type","Sale|Consumption","posting date","01/01/19..12/31/19")/-12</t>
  </si>
  <si>
    <t>=NL("sum","Item Ledger Entry","Quantity","Item No.",$D5438,"Entry Type","Sale|Consumption","posting date","01/01/20..12/31/20")/-12</t>
  </si>
  <si>
    <t>=NL("sum","Item Ledger Entry","Quantity","Item No.",$D5438,"Entry Type","Sale|Consumption","posting date","01/01/21..12/31/21")/-12</t>
  </si>
  <si>
    <t>=NL("sum","Item Ledger Entry","Quantity","Item No.",$D5438,"Entry Type","Sale|Consumption","posting date","01/01/22..12/31/22")/-12</t>
  </si>
  <si>
    <t>=NL("sum","Item Ledger Entry","Quantity","Item No.",$D5438,"Entry Type","Sale|Consumption","posting date","01/01/23..12/31/23")/$J$7</t>
  </si>
  <si>
    <t>=AVERAGE(I5438:J5438)</t>
  </si>
  <si>
    <t>=NL(1,"item",L$9,"no.",D5438)</t>
  </si>
  <si>
    <t>=NL(1,"item",M$9,"no.",$D5438)</t>
  </si>
  <si>
    <t>=NL(1,"item","Units Per Parcel","no.",$D5438)</t>
  </si>
  <si>
    <t>=NL(1,"Prod. BOM Equipment","Fixed Prod. Time (Hours)","Production BOM No.",$D5438,"version code",$E5438,"Resource No.",O$9)</t>
  </si>
  <si>
    <t>=1/O5438</t>
  </si>
  <si>
    <t>=IF(NL(1,"Prod. BOM Equipment","Variable Prod. Time (Hours)","Production BOM No.",$D5438,"version code",$E5438,"Resource No.",$O$9)="",1,NL(1,"Prod. BOM Equipment","Variable Prod. Time (Hours)","Production BOM No.",$D5438,"version code",$E5438,"Resource No.",$O$9))</t>
  </si>
  <si>
    <t>=1/Q5438</t>
  </si>
  <si>
    <t>=R5438*N5438</t>
  </si>
  <si>
    <t>=IF(K5439=0,"hide","")</t>
  </si>
  <si>
    <t>=D5438</t>
  </si>
  <si>
    <t>=NL("sum","Production Order","Quantity","Source No.",$D5439,"Equipment Code",$L5439,"due date",F$8)/-12</t>
  </si>
  <si>
    <t>=NL("sum","Production Order","Quantity","Source No.",$D5439,"Equipment Code",$L5439,"due date",G$8)/-12</t>
  </si>
  <si>
    <t>=NL("sum","Production Order","Quantity","Source No.",$D5439,"Equipment Code",$L5439,"due date",H$8)/-12</t>
  </si>
  <si>
    <t>=NL("sum","Production Order","Quantity","Source No.",$D5439,"Equipment Code",$L5439,"due date",I$8)/-12</t>
  </si>
  <si>
    <t>=NL("sum","Production Order","Quantity","Source No.",$D5439,"Equipment Code",$L5439,"due date",J$8)/$J$7</t>
  </si>
  <si>
    <t>=AVERAGE(I5439:J5439)</t>
  </si>
  <si>
    <t>=IF(K5440=0,"hide","")</t>
  </si>
  <si>
    <t>=D5439</t>
  </si>
  <si>
    <t>=NL("sum","Production Order","Quantity","Source No.",$D5440,"Equipment Code",$L5440,"due date",F$8)/-12</t>
  </si>
  <si>
    <t>=NL("sum","Production Order","Quantity","Source No.",$D5440,"Equipment Code",$L5440,"due date",G$8)/-12</t>
  </si>
  <si>
    <t>=NL("sum","Production Order","Quantity","Source No.",$D5440,"Equipment Code",$L5440,"due date",H$8)/-12</t>
  </si>
  <si>
    <t>=NL("sum","Production Order","Quantity","Source No.",$D5440,"Equipment Code",$L5440,"due date",I$8)/-12</t>
  </si>
  <si>
    <t>=NL("sum","Production Order","Quantity","Source No.",$D5440,"Equipment Code",$L5440,"due date",J$8)/$J$7</t>
  </si>
  <si>
    <t>=AVERAGE(I5440:J5440)</t>
  </si>
  <si>
    <t>=IF(K5441=0,"hide","")</t>
  </si>
  <si>
    <t>=D5440</t>
  </si>
  <si>
    <t>=NL("sum","Production Order","Quantity","Source No.",$D5441,"Equipment Code",$L5441,"due date",F$8)/-12</t>
  </si>
  <si>
    <t>=NL("sum","Production Order","Quantity","Source No.",$D5441,"Equipment Code",$L5441,"due date",G$8)/-12</t>
  </si>
  <si>
    <t>=NL("sum","Production Order","Quantity","Source No.",$D5441,"Equipment Code",$L5441,"due date",H$8)/-12</t>
  </si>
  <si>
    <t>=NL("sum","Production Order","Quantity","Source No.",$D5441,"Equipment Code",$L5441,"due date",I$8)/-12</t>
  </si>
  <si>
    <t>=NL("sum","Production Order","Quantity","Source No.",$D5441,"Equipment Code",$L5441,"due date",J$8)/$J$7</t>
  </si>
  <si>
    <t>=AVERAGE(I5441:J5441)</t>
  </si>
  <si>
    <t>=IF(K5442=0,"hide","")</t>
  </si>
  <si>
    <t>=D5441</t>
  </si>
  <si>
    <t>=NL("sum","Production Order","Quantity","Source No.",$D5442,"Equipment Code",$L5442,"due date",F$8)/-12</t>
  </si>
  <si>
    <t>=NL("sum","Production Order","Quantity","Source No.",$D5442,"Equipment Code",$L5442,"due date",G$8)/-12</t>
  </si>
  <si>
    <t>=NL("sum","Production Order","Quantity","Source No.",$D5442,"Equipment Code",$L5442,"due date",H$8)/-12</t>
  </si>
  <si>
    <t>=NL("sum","Production Order","Quantity","Source No.",$D5442,"Equipment Code",$L5442,"due date",I$8)/-12</t>
  </si>
  <si>
    <t>=NL("sum","Production Order","Quantity","Source No.",$D5442,"Equipment Code",$L5442,"due date",J$8)/$J$7</t>
  </si>
  <si>
    <t>=AVERAGE(I5442:J5442)</t>
  </si>
  <si>
    <t>=B5439</t>
  </si>
  <si>
    <t>=B5443</t>
  </si>
  <si>
    <t>=SUM(F5439:F5443)</t>
  </si>
  <si>
    <t>=SUM(G5439:G5443)</t>
  </si>
  <si>
    <t>=SUM(H5439:H5443)</t>
  </si>
  <si>
    <t>=SUM(I5439:I5443)</t>
  </si>
  <si>
    <t>=SUM(J5439:J5443)</t>
  </si>
  <si>
    <t>=IF(K5445=0,"hide","")</t>
  </si>
  <si>
    <t>="CRC272"</t>
  </si>
  <si>
    <t>=NL("rows","Production BOM Version","Version Code","Production BOM No.",D5445,"status","certified")</t>
  </si>
  <si>
    <t>=NL("sum","Item Ledger Entry","Quantity","Item No.",$D5445,"Entry Type","Sale|Consumption","posting date","01/01/19..12/31/19")/-12</t>
  </si>
  <si>
    <t>=NL("sum","Item Ledger Entry","Quantity","Item No.",$D5445,"Entry Type","Sale|Consumption","posting date","01/01/20..12/31/20")/-12</t>
  </si>
  <si>
    <t>=NL("sum","Item Ledger Entry","Quantity","Item No.",$D5445,"Entry Type","Sale|Consumption","posting date","01/01/21..12/31/21")/-12</t>
  </si>
  <si>
    <t>=NL("sum","Item Ledger Entry","Quantity","Item No.",$D5445,"Entry Type","Sale|Consumption","posting date","01/01/22..12/31/22")/-12</t>
  </si>
  <si>
    <t>=NL("sum","Item Ledger Entry","Quantity","Item No.",$D5445,"Entry Type","Sale|Consumption","posting date","01/01/23..12/31/23")/$J$7</t>
  </si>
  <si>
    <t>=AVERAGE(I5445:J5445)</t>
  </si>
  <si>
    <t>=NL(1,"item",L$9,"no.",D5445)</t>
  </si>
  <si>
    <t>=NL(1,"item",M$9,"no.",$D5445)</t>
  </si>
  <si>
    <t>=NL(1,"item","Units Per Parcel","no.",$D5445)</t>
  </si>
  <si>
    <t>=NL(1,"Prod. BOM Equipment","Fixed Prod. Time (Hours)","Production BOM No.",$D5445,"version code",$E5445,"Resource No.",O$9)</t>
  </si>
  <si>
    <t>=1/O5445</t>
  </si>
  <si>
    <t>=IF(NL(1,"Prod. BOM Equipment","Variable Prod. Time (Hours)","Production BOM No.",$D5445,"version code",$E5445,"Resource No.",$O$9)="",1,NL(1,"Prod. BOM Equipment","Variable Prod. Time (Hours)","Production BOM No.",$D5445,"version code",$E5445,"Resource No.",$O$9))</t>
  </si>
  <si>
    <t>=1/Q5445</t>
  </si>
  <si>
    <t>=R5445*N5445</t>
  </si>
  <si>
    <t>=IF(K5446=0,"hide","")</t>
  </si>
  <si>
    <t>=D5445</t>
  </si>
  <si>
    <t>=NL("sum","Production Order","Quantity","Source No.",$D5446,"Equipment Code",$L5446,"due date",F$8)/-12</t>
  </si>
  <si>
    <t>=NL("sum","Production Order","Quantity","Source No.",$D5446,"Equipment Code",$L5446,"due date",G$8)/-12</t>
  </si>
  <si>
    <t>=NL("sum","Production Order","Quantity","Source No.",$D5446,"Equipment Code",$L5446,"due date",H$8)/-12</t>
  </si>
  <si>
    <t>=NL("sum","Production Order","Quantity","Source No.",$D5446,"Equipment Code",$L5446,"due date",I$8)/-12</t>
  </si>
  <si>
    <t>=NL("sum","Production Order","Quantity","Source No.",$D5446,"Equipment Code",$L5446,"due date",J$8)/$J$7</t>
  </si>
  <si>
    <t>=AVERAGE(I5446:J5446)</t>
  </si>
  <si>
    <t>=IF(K5447=0,"hide","")</t>
  </si>
  <si>
    <t>=D5446</t>
  </si>
  <si>
    <t>=NL("sum","Production Order","Quantity","Source No.",$D5447,"Equipment Code",$L5447,"due date",F$8)/-12</t>
  </si>
  <si>
    <t>=NL("sum","Production Order","Quantity","Source No.",$D5447,"Equipment Code",$L5447,"due date",G$8)/-12</t>
  </si>
  <si>
    <t>=NL("sum","Production Order","Quantity","Source No.",$D5447,"Equipment Code",$L5447,"due date",H$8)/-12</t>
  </si>
  <si>
    <t>=NL("sum","Production Order","Quantity","Source No.",$D5447,"Equipment Code",$L5447,"due date",I$8)/-12</t>
  </si>
  <si>
    <t>=NL("sum","Production Order","Quantity","Source No.",$D5447,"Equipment Code",$L5447,"due date",J$8)/$J$7</t>
  </si>
  <si>
    <t>=AVERAGE(I5447:J5447)</t>
  </si>
  <si>
    <t>=IF(K5448=0,"hide","")</t>
  </si>
  <si>
    <t>=D5447</t>
  </si>
  <si>
    <t>=NL("sum","Production Order","Quantity","Source No.",$D5448,"Equipment Code",$L5448,"due date",F$8)/-12</t>
  </si>
  <si>
    <t>=NL("sum","Production Order","Quantity","Source No.",$D5448,"Equipment Code",$L5448,"due date",G$8)/-12</t>
  </si>
  <si>
    <t>=NL("sum","Production Order","Quantity","Source No.",$D5448,"Equipment Code",$L5448,"due date",H$8)/-12</t>
  </si>
  <si>
    <t>=NL("sum","Production Order","Quantity","Source No.",$D5448,"Equipment Code",$L5448,"due date",I$8)/-12</t>
  </si>
  <si>
    <t>=NL("sum","Production Order","Quantity","Source No.",$D5448,"Equipment Code",$L5448,"due date",J$8)/$J$7</t>
  </si>
  <si>
    <t>=AVERAGE(I5448:J5448)</t>
  </si>
  <si>
    <t>=IF(K5449=0,"hide","")</t>
  </si>
  <si>
    <t>=D5448</t>
  </si>
  <si>
    <t>=NL("sum","Production Order","Quantity","Source No.",$D5449,"Equipment Code",$L5449,"due date",F$8)/-12</t>
  </si>
  <si>
    <t>=NL("sum","Production Order","Quantity","Source No.",$D5449,"Equipment Code",$L5449,"due date",G$8)/-12</t>
  </si>
  <si>
    <t>=NL("sum","Production Order","Quantity","Source No.",$D5449,"Equipment Code",$L5449,"due date",H$8)/-12</t>
  </si>
  <si>
    <t>=NL("sum","Production Order","Quantity","Source No.",$D5449,"Equipment Code",$L5449,"due date",I$8)/-12</t>
  </si>
  <si>
    <t>=NL("sum","Production Order","Quantity","Source No.",$D5449,"Equipment Code",$L5449,"due date",J$8)/$J$7</t>
  </si>
  <si>
    <t>=AVERAGE(I5449:J5449)</t>
  </si>
  <si>
    <t>=B5446</t>
  </si>
  <si>
    <t>=B5450</t>
  </si>
  <si>
    <t>=SUM(F5446:F5450)</t>
  </si>
  <si>
    <t>=SUM(G5446:G5450)</t>
  </si>
  <si>
    <t>=SUM(H5446:H5450)</t>
  </si>
  <si>
    <t>=SUM(I5446:I5450)</t>
  </si>
  <si>
    <t>=SUM(J5446:J5450)</t>
  </si>
  <si>
    <t>=IF(K5452=0,"hide","")</t>
  </si>
  <si>
    <t>="JCBLD296"</t>
  </si>
  <si>
    <t>=NL("rows","Production BOM Version","Version Code","Production BOM No.",D5452,"status","certified")</t>
  </si>
  <si>
    <t>=NL("sum","Item Ledger Entry","Quantity","Item No.",$D5452,"Entry Type","Sale|Consumption","posting date","01/01/19..12/31/19")/-12</t>
  </si>
  <si>
    <t>=NL("sum","Item Ledger Entry","Quantity","Item No.",$D5452,"Entry Type","Sale|Consumption","posting date","01/01/20..12/31/20")/-12</t>
  </si>
  <si>
    <t>=NL("sum","Item Ledger Entry","Quantity","Item No.",$D5452,"Entry Type","Sale|Consumption","posting date","01/01/21..12/31/21")/-12</t>
  </si>
  <si>
    <t>=NL("sum","Item Ledger Entry","Quantity","Item No.",$D5452,"Entry Type","Sale|Consumption","posting date","01/01/22..12/31/22")/-12</t>
  </si>
  <si>
    <t>=NL("sum","Item Ledger Entry","Quantity","Item No.",$D5452,"Entry Type","Sale|Consumption","posting date","01/01/23..12/31/23")/$J$7</t>
  </si>
  <si>
    <t>=AVERAGE(I5452:J5452)</t>
  </si>
  <si>
    <t>=NL(1,"item",L$9,"no.",D5452)</t>
  </si>
  <si>
    <t>=NL(1,"item",M$9,"no.",$D5452)</t>
  </si>
  <si>
    <t>=NL(1,"item","Units Per Parcel","no.",$D5452)</t>
  </si>
  <si>
    <t>=NL(1,"Prod. BOM Equipment","Fixed Prod. Time (Hours)","Production BOM No.",$D5452,"version code",$E5452,"Resource No.",O$9)</t>
  </si>
  <si>
    <t>=1/O5452</t>
  </si>
  <si>
    <t>=IF(NL(1,"Prod. BOM Equipment","Variable Prod. Time (Hours)","Production BOM No.",$D5452,"version code",$E5452,"Resource No.",$O$9)="",1,NL(1,"Prod. BOM Equipment","Variable Prod. Time (Hours)","Production BOM No.",$D5452,"version code",$E5452,"Resource No.",$O$9))</t>
  </si>
  <si>
    <t>=1/Q5452</t>
  </si>
  <si>
    <t>=R5452*N5452</t>
  </si>
  <si>
    <t>=IF(K5453=0,"hide","")</t>
  </si>
  <si>
    <t>=D5452</t>
  </si>
  <si>
    <t>=NL("sum","Production Order","Quantity","Source No.",$D5453,"Equipment Code",$L5453,"due date",F$8)/-12</t>
  </si>
  <si>
    <t>=NL("sum","Production Order","Quantity","Source No.",$D5453,"Equipment Code",$L5453,"due date",G$8)/-12</t>
  </si>
  <si>
    <t>=NL("sum","Production Order","Quantity","Source No.",$D5453,"Equipment Code",$L5453,"due date",H$8)/-12</t>
  </si>
  <si>
    <t>=NL("sum","Production Order","Quantity","Source No.",$D5453,"Equipment Code",$L5453,"due date",I$8)/-12</t>
  </si>
  <si>
    <t>=NL("sum","Production Order","Quantity","Source No.",$D5453,"Equipment Code",$L5453,"due date",J$8)/$J$7</t>
  </si>
  <si>
    <t>=AVERAGE(I5453:J5453)</t>
  </si>
  <si>
    <t>=IF(K5454=0,"hide","")</t>
  </si>
  <si>
    <t>=D5453</t>
  </si>
  <si>
    <t>=NL("sum","Production Order","Quantity","Source No.",$D5454,"Equipment Code",$L5454,"due date",F$8)/-12</t>
  </si>
  <si>
    <t>=NL("sum","Production Order","Quantity","Source No.",$D5454,"Equipment Code",$L5454,"due date",G$8)/-12</t>
  </si>
  <si>
    <t>=NL("sum","Production Order","Quantity","Source No.",$D5454,"Equipment Code",$L5454,"due date",H$8)/-12</t>
  </si>
  <si>
    <t>=NL("sum","Production Order","Quantity","Source No.",$D5454,"Equipment Code",$L5454,"due date",I$8)/-12</t>
  </si>
  <si>
    <t>=NL("sum","Production Order","Quantity","Source No.",$D5454,"Equipment Code",$L5454,"due date",J$8)/$J$7</t>
  </si>
  <si>
    <t>=AVERAGE(I5454:J5454)</t>
  </si>
  <si>
    <t>=IF(K5455=0,"hide","")</t>
  </si>
  <si>
    <t>=D5454</t>
  </si>
  <si>
    <t>=NL("sum","Production Order","Quantity","Source No.",$D5455,"Equipment Code",$L5455,"due date",F$8)/-12</t>
  </si>
  <si>
    <t>=NL("sum","Production Order","Quantity","Source No.",$D5455,"Equipment Code",$L5455,"due date",G$8)/-12</t>
  </si>
  <si>
    <t>=NL("sum","Production Order","Quantity","Source No.",$D5455,"Equipment Code",$L5455,"due date",H$8)/-12</t>
  </si>
  <si>
    <t>=NL("sum","Production Order","Quantity","Source No.",$D5455,"Equipment Code",$L5455,"due date",I$8)/-12</t>
  </si>
  <si>
    <t>=NL("sum","Production Order","Quantity","Source No.",$D5455,"Equipment Code",$L5455,"due date",J$8)/$J$7</t>
  </si>
  <si>
    <t>=AVERAGE(I5455:J5455)</t>
  </si>
  <si>
    <t>=IF(K5456=0,"hide","")</t>
  </si>
  <si>
    <t>=D5455</t>
  </si>
  <si>
    <t>=NL("sum","Production Order","Quantity","Source No.",$D5456,"Equipment Code",$L5456,"due date",F$8)/-12</t>
  </si>
  <si>
    <t>=NL("sum","Production Order","Quantity","Source No.",$D5456,"Equipment Code",$L5456,"due date",G$8)/-12</t>
  </si>
  <si>
    <t>=NL("sum","Production Order","Quantity","Source No.",$D5456,"Equipment Code",$L5456,"due date",H$8)/-12</t>
  </si>
  <si>
    <t>=NL("sum","Production Order","Quantity","Source No.",$D5456,"Equipment Code",$L5456,"due date",I$8)/-12</t>
  </si>
  <si>
    <t>=NL("sum","Production Order","Quantity","Source No.",$D5456,"Equipment Code",$L5456,"due date",J$8)/$J$7</t>
  </si>
  <si>
    <t>=AVERAGE(I5456:J5456)</t>
  </si>
  <si>
    <t>=B5453</t>
  </si>
  <si>
    <t>=B5457</t>
  </si>
  <si>
    <t>=SUM(F5453:F5457)</t>
  </si>
  <si>
    <t>=SUM(G5453:G5457)</t>
  </si>
  <si>
    <t>=SUM(H5453:H5457)</t>
  </si>
  <si>
    <t>=SUM(I5453:I5457)</t>
  </si>
  <si>
    <t>=SUM(J5453:J5457)</t>
  </si>
  <si>
    <t>=IF(K5459=0,"hide","")</t>
  </si>
  <si>
    <t>="MTAPL260"</t>
  </si>
  <si>
    <t>=NL("rows","Production BOM Version","Version Code","Production BOM No.",D5459,"status","certified")</t>
  </si>
  <si>
    <t>=NL("sum","Item Ledger Entry","Quantity","Item No.",$D5459,"Entry Type","Sale|Consumption","posting date","01/01/19..12/31/19")/-12</t>
  </si>
  <si>
    <t>=NL("sum","Item Ledger Entry","Quantity","Item No.",$D5459,"Entry Type","Sale|Consumption","posting date","01/01/20..12/31/20")/-12</t>
  </si>
  <si>
    <t>=NL("sum","Item Ledger Entry","Quantity","Item No.",$D5459,"Entry Type","Sale|Consumption","posting date","01/01/21..12/31/21")/-12</t>
  </si>
  <si>
    <t>=NL("sum","Item Ledger Entry","Quantity","Item No.",$D5459,"Entry Type","Sale|Consumption","posting date","01/01/22..12/31/22")/-12</t>
  </si>
  <si>
    <t>=NL("sum","Item Ledger Entry","Quantity","Item No.",$D5459,"Entry Type","Sale|Consumption","posting date","01/01/23..12/31/23")/$J$7</t>
  </si>
  <si>
    <t>=AVERAGE(I5459:J5459)</t>
  </si>
  <si>
    <t>=NL(1,"item",L$9,"no.",D5459)</t>
  </si>
  <si>
    <t>=NL(1,"item",M$9,"no.",$D5459)</t>
  </si>
  <si>
    <t>=NL(1,"item","Units Per Parcel","no.",$D5459)</t>
  </si>
  <si>
    <t>=NL(1,"Prod. BOM Equipment","Fixed Prod. Time (Hours)","Production BOM No.",$D5459,"version code",$E5459,"Resource No.",O$9)</t>
  </si>
  <si>
    <t>=1/O5459</t>
  </si>
  <si>
    <t>=IF(NL(1,"Prod. BOM Equipment","Variable Prod. Time (Hours)","Production BOM No.",$D5459,"version code",$E5459,"Resource No.",$O$9)="",1,NL(1,"Prod. BOM Equipment","Variable Prod. Time (Hours)","Production BOM No.",$D5459,"version code",$E5459,"Resource No.",$O$9))</t>
  </si>
  <si>
    <t>=1/Q5459</t>
  </si>
  <si>
    <t>=R5459*N5459</t>
  </si>
  <si>
    <t>=IF(K5460=0,"hide","")</t>
  </si>
  <si>
    <t>=D5459</t>
  </si>
  <si>
    <t>=NL("sum","Production Order","Quantity","Source No.",$D5460,"Equipment Code",$L5460,"due date",F$8)/-12</t>
  </si>
  <si>
    <t>=NL("sum","Production Order","Quantity","Source No.",$D5460,"Equipment Code",$L5460,"due date",G$8)/-12</t>
  </si>
  <si>
    <t>=NL("sum","Production Order","Quantity","Source No.",$D5460,"Equipment Code",$L5460,"due date",H$8)/-12</t>
  </si>
  <si>
    <t>=NL("sum","Production Order","Quantity","Source No.",$D5460,"Equipment Code",$L5460,"due date",I$8)/-12</t>
  </si>
  <si>
    <t>=NL("sum","Production Order","Quantity","Source No.",$D5460,"Equipment Code",$L5460,"due date",J$8)/$J$7</t>
  </si>
  <si>
    <t>=AVERAGE(I5460:J5460)</t>
  </si>
  <si>
    <t>=IF(K5461=0,"hide","")</t>
  </si>
  <si>
    <t>=D5460</t>
  </si>
  <si>
    <t>=NL("sum","Production Order","Quantity","Source No.",$D5461,"Equipment Code",$L5461,"due date",F$8)/-12</t>
  </si>
  <si>
    <t>=NL("sum","Production Order","Quantity","Source No.",$D5461,"Equipment Code",$L5461,"due date",G$8)/-12</t>
  </si>
  <si>
    <t>=NL("sum","Production Order","Quantity","Source No.",$D5461,"Equipment Code",$L5461,"due date",H$8)/-12</t>
  </si>
  <si>
    <t>=NL("sum","Production Order","Quantity","Source No.",$D5461,"Equipment Code",$L5461,"due date",I$8)/-12</t>
  </si>
  <si>
    <t>=NL("sum","Production Order","Quantity","Source No.",$D5461,"Equipment Code",$L5461,"due date",J$8)/$J$7</t>
  </si>
  <si>
    <t>=AVERAGE(I5461:J5461)</t>
  </si>
  <si>
    <t>=IF(K5462=0,"hide","")</t>
  </si>
  <si>
    <t>=D5461</t>
  </si>
  <si>
    <t>=NL("sum","Production Order","Quantity","Source No.",$D5462,"Equipment Code",$L5462,"due date",F$8)/-12</t>
  </si>
  <si>
    <t>=NL("sum","Production Order","Quantity","Source No.",$D5462,"Equipment Code",$L5462,"due date",G$8)/-12</t>
  </si>
  <si>
    <t>=NL("sum","Production Order","Quantity","Source No.",$D5462,"Equipment Code",$L5462,"due date",H$8)/-12</t>
  </si>
  <si>
    <t>=NL("sum","Production Order","Quantity","Source No.",$D5462,"Equipment Code",$L5462,"due date",I$8)/-12</t>
  </si>
  <si>
    <t>=NL("sum","Production Order","Quantity","Source No.",$D5462,"Equipment Code",$L5462,"due date",J$8)/$J$7</t>
  </si>
  <si>
    <t>=AVERAGE(I5462:J5462)</t>
  </si>
  <si>
    <t>=IF(K5463=0,"hide","")</t>
  </si>
  <si>
    <t>=D5462</t>
  </si>
  <si>
    <t>=NL("sum","Production Order","Quantity","Source No.",$D5463,"Equipment Code",$L5463,"due date",F$8)/-12</t>
  </si>
  <si>
    <t>=NL("sum","Production Order","Quantity","Source No.",$D5463,"Equipment Code",$L5463,"due date",G$8)/-12</t>
  </si>
  <si>
    <t>=NL("sum","Production Order","Quantity","Source No.",$D5463,"Equipment Code",$L5463,"due date",H$8)/-12</t>
  </si>
  <si>
    <t>=NL("sum","Production Order","Quantity","Source No.",$D5463,"Equipment Code",$L5463,"due date",I$8)/-12</t>
  </si>
  <si>
    <t>=NL("sum","Production Order","Quantity","Source No.",$D5463,"Equipment Code",$L5463,"due date",J$8)/$J$7</t>
  </si>
  <si>
    <t>=AVERAGE(I5463:J5463)</t>
  </si>
  <si>
    <t>=B5460</t>
  </si>
  <si>
    <t>=B5464</t>
  </si>
  <si>
    <t>=SUM(F5460:F5464)</t>
  </si>
  <si>
    <t>=SUM(G5460:G5464)</t>
  </si>
  <si>
    <t>=SUM(H5460:H5464)</t>
  </si>
  <si>
    <t>=SUM(I5460:I5464)</t>
  </si>
  <si>
    <t>=SUM(J5460:J5464)</t>
  </si>
  <si>
    <t>=IF(K5466=0,"hide","")</t>
  </si>
  <si>
    <t>=NL("rows","Production BOM Version","Version Code","Production BOM No.",D5466,"status","certified")</t>
  </si>
  <si>
    <t>=NL("sum","Item Ledger Entry","Quantity","Item No.",$D5466,"Entry Type","Sale|Consumption","posting date","01/01/19..12/31/19")/-12</t>
  </si>
  <si>
    <t>=NL("sum","Item Ledger Entry","Quantity","Item No.",$D5466,"Entry Type","Sale|Consumption","posting date","01/01/20..12/31/20")/-12</t>
  </si>
  <si>
    <t>=NL("sum","Item Ledger Entry","Quantity","Item No.",$D5466,"Entry Type","Sale|Consumption","posting date","01/01/21..12/31/21")/-12</t>
  </si>
  <si>
    <t>=NL("sum","Item Ledger Entry","Quantity","Item No.",$D5466,"Entry Type","Sale|Consumption","posting date","01/01/22..12/31/22")/-12</t>
  </si>
  <si>
    <t>=NL("sum","Item Ledger Entry","Quantity","Item No.",$D5466,"Entry Type","Sale|Consumption","posting date","01/01/23..12/31/23")/$J$7</t>
  </si>
  <si>
    <t>=AVERAGE(I5466:J5466)</t>
  </si>
  <si>
    <t>=NL(1,"item",L$9,"no.",D5466)</t>
  </si>
  <si>
    <t>=NL(1,"item",M$9,"no.",$D5466)</t>
  </si>
  <si>
    <t>=NL(1,"item","Units Per Parcel","no.",$D5466)</t>
  </si>
  <si>
    <t>=NL(1,"Prod. BOM Equipment","Fixed Prod. Time (Hours)","Production BOM No.",$D5466,"version code",$E5466,"Resource No.",O$9)</t>
  </si>
  <si>
    <t>=1/O5466</t>
  </si>
  <si>
    <t>=IF(NL(1,"Prod. BOM Equipment","Variable Prod. Time (Hours)","Production BOM No.",$D5466,"version code",$E5466,"Resource No.",$O$9)="",1,NL(1,"Prod. BOM Equipment","Variable Prod. Time (Hours)","Production BOM No.",$D5466,"version code",$E5466,"Resource No.",$O$9))</t>
  </si>
  <si>
    <t>=1/Q5466</t>
  </si>
  <si>
    <t>=R5466*N5466</t>
  </si>
  <si>
    <t>=IF(K5467=0,"hide","")</t>
  </si>
  <si>
    <t>=AVERAGE(I5467:J5467)</t>
  </si>
  <si>
    <t>=IF(K5468=0,"hide","")</t>
  </si>
  <si>
    <t>=D5466</t>
  </si>
  <si>
    <t>=NL("sum","Production Order","Quantity","Source No.",$D5468,"Equipment Code",$L5468,"due date",F$8)/-12</t>
  </si>
  <si>
    <t>=NL("sum","Production Order","Quantity","Source No.",$D5468,"Equipment Code",$L5468,"due date",G$8)/-12</t>
  </si>
  <si>
    <t>=NL("sum","Production Order","Quantity","Source No.",$D5468,"Equipment Code",$L5468,"due date",H$8)/-12</t>
  </si>
  <si>
    <t>=NL("sum","Production Order","Quantity","Source No.",$D5468,"Equipment Code",$L5468,"due date",I$8)/-12</t>
  </si>
  <si>
    <t>=NL("sum","Production Order","Quantity","Source No.",$D5468,"Equipment Code",$L5468,"due date",J$8)/$J$7</t>
  </si>
  <si>
    <t>=AVERAGE(I5468:J5468)</t>
  </si>
  <si>
    <t>=IF(K5469=0,"hide","")</t>
  </si>
  <si>
    <t>=D5467</t>
  </si>
  <si>
    <t>=NL("sum","Production Order","Quantity","Source No.",$D5469,"Equipment Code",$L5469,"due date",F$8)/-12</t>
  </si>
  <si>
    <t>=NL("sum","Production Order","Quantity","Source No.",$D5469,"Equipment Code",$L5469,"due date",G$8)/-12</t>
  </si>
  <si>
    <t>=NL("sum","Production Order","Quantity","Source No.",$D5469,"Equipment Code",$L5469,"due date",H$8)/-12</t>
  </si>
  <si>
    <t>=NL("sum","Production Order","Quantity","Source No.",$D5469,"Equipment Code",$L5469,"due date",I$8)/-12</t>
  </si>
  <si>
    <t>=NL("sum","Production Order","Quantity","Source No.",$D5469,"Equipment Code",$L5469,"due date",J$8)/$J$7</t>
  </si>
  <si>
    <t>=AVERAGE(I5469:J5469)</t>
  </si>
  <si>
    <t>=IF(K5470=0,"hide","")</t>
  </si>
  <si>
    <t>=D5468</t>
  </si>
  <si>
    <t>=NL("sum","Production Order","Quantity","Source No.",$D5470,"Equipment Code",$L5470,"due date",F$8)/-12</t>
  </si>
  <si>
    <t>=NL("sum","Production Order","Quantity","Source No.",$D5470,"Equipment Code",$L5470,"due date",G$8)/-12</t>
  </si>
  <si>
    <t>=NL("sum","Production Order","Quantity","Source No.",$D5470,"Equipment Code",$L5470,"due date",H$8)/-12</t>
  </si>
  <si>
    <t>=NL("sum","Production Order","Quantity","Source No.",$D5470,"Equipment Code",$L5470,"due date",I$8)/-12</t>
  </si>
  <si>
    <t>=NL("sum","Production Order","Quantity","Source No.",$D5470,"Equipment Code",$L5470,"due date",J$8)/$J$7</t>
  </si>
  <si>
    <t>=AVERAGE(I5470:J5470)</t>
  </si>
  <si>
    <t>=D5469</t>
  </si>
  <si>
    <t>=IF(K5474=0,"hide","")</t>
  </si>
  <si>
    <t>="PD20-ESF"</t>
  </si>
  <si>
    <t>=NL("sum","Item Ledger Entry","Quantity","Item No.",$D5474,"Entry Type","Sale|Consumption","posting date","01/01/19..12/31/19")/-12</t>
  </si>
  <si>
    <t>=NL("sum","Item Ledger Entry","Quantity","Item No.",$D5474,"Entry Type","Sale|Consumption","posting date","01/01/20..12/31/20")/-12</t>
  </si>
  <si>
    <t>=NL("sum","Item Ledger Entry","Quantity","Item No.",$D5474,"Entry Type","Sale|Consumption","posting date","01/01/21..12/31/21")/-12</t>
  </si>
  <si>
    <t>=NL("sum","Item Ledger Entry","Quantity","Item No.",$D5474,"Entry Type","Sale|Consumption","posting date","01/01/22..12/31/22")/-12</t>
  </si>
  <si>
    <t>=NL("sum","Item Ledger Entry","Quantity","Item No.",$D5474,"Entry Type","Sale|Consumption","posting date","01/01/23..12/31/23")/$J$7</t>
  </si>
  <si>
    <t>=AVERAGE(I5474:J5474)</t>
  </si>
  <si>
    <t>=NL(1,"item",L$9,"no.",D5474)</t>
  </si>
  <si>
    <t>=NL(1,"item",M$9,"no.",$D5474)</t>
  </si>
  <si>
    <t>=NL(1,"item","Units Per Parcel","no.",$D5474)</t>
  </si>
  <si>
    <t>=NL(1,"Prod. BOM Equipment","Fixed Prod. Time (Hours)","Production BOM No.",$D5474,"version code",$E5474,"Resource No.",O$9)</t>
  </si>
  <si>
    <t>=1/O5474</t>
  </si>
  <si>
    <t>=IF(NL(1,"Prod. BOM Equipment","Variable Prod. Time (Hours)","Production BOM No.",$D5474,"version code",$E5474,"Resource No.",$O$9)="",1,NL(1,"Prod. BOM Equipment","Variable Prod. Time (Hours)","Production BOM No.",$D5474,"version code",$E5474,"Resource No.",$O$9))</t>
  </si>
  <si>
    <t>=1/Q5474</t>
  </si>
  <si>
    <t>=R5474*N5474</t>
  </si>
  <si>
    <t>=IF(K5475=0,"hide","")</t>
  </si>
  <si>
    <t>=D5474</t>
  </si>
  <si>
    <t>=NL("sum","Production Order","Quantity","Source No.",$D5475,"Equipment Code",$L5475,"due date",F$8)/-12</t>
  </si>
  <si>
    <t>=NL("sum","Production Order","Quantity","Source No.",$D5475,"Equipment Code",$L5475,"due date",G$8)/-12</t>
  </si>
  <si>
    <t>=NL("sum","Production Order","Quantity","Source No.",$D5475,"Equipment Code",$L5475,"due date",H$8)/-12</t>
  </si>
  <si>
    <t>=NL("sum","Production Order","Quantity","Source No.",$D5475,"Equipment Code",$L5475,"due date",I$8)/-12</t>
  </si>
  <si>
    <t>=NL("sum","Production Order","Quantity","Source No.",$D5475,"Equipment Code",$L5475,"due date",J$8)/$J$7</t>
  </si>
  <si>
    <t>=AVERAGE(I5475:J5475)</t>
  </si>
  <si>
    <t>=IF(K5476=0,"hide","")</t>
  </si>
  <si>
    <t>=D5475</t>
  </si>
  <si>
    <t>=NL("sum","Production Order","Quantity","Source No.",$D5476,"Equipment Code",$L5476,"due date",F$8)/-12</t>
  </si>
  <si>
    <t>=NL("sum","Production Order","Quantity","Source No.",$D5476,"Equipment Code",$L5476,"due date",G$8)/-12</t>
  </si>
  <si>
    <t>=NL("sum","Production Order","Quantity","Source No.",$D5476,"Equipment Code",$L5476,"due date",H$8)/-12</t>
  </si>
  <si>
    <t>=NL("sum","Production Order","Quantity","Source No.",$D5476,"Equipment Code",$L5476,"due date",I$8)/-12</t>
  </si>
  <si>
    <t>=NL("sum","Production Order","Quantity","Source No.",$D5476,"Equipment Code",$L5476,"due date",J$8)/$J$7</t>
  </si>
  <si>
    <t>=AVERAGE(I5476:J5476)</t>
  </si>
  <si>
    <t>=IF(K5477=0,"hide","")</t>
  </si>
  <si>
    <t>=D5476</t>
  </si>
  <si>
    <t>=NL("sum","Production Order","Quantity","Source No.",$D5477,"Equipment Code",$L5477,"due date",F$8)/-12</t>
  </si>
  <si>
    <t>=NL("sum","Production Order","Quantity","Source No.",$D5477,"Equipment Code",$L5477,"due date",G$8)/-12</t>
  </si>
  <si>
    <t>=NL("sum","Production Order","Quantity","Source No.",$D5477,"Equipment Code",$L5477,"due date",H$8)/-12</t>
  </si>
  <si>
    <t>=NL("sum","Production Order","Quantity","Source No.",$D5477,"Equipment Code",$L5477,"due date",I$8)/-12</t>
  </si>
  <si>
    <t>=NL("sum","Production Order","Quantity","Source No.",$D5477,"Equipment Code",$L5477,"due date",J$8)/$J$7</t>
  </si>
  <si>
    <t>=AVERAGE(I5477:J5477)</t>
  </si>
  <si>
    <t>=IF(K5478=0,"hide","")</t>
  </si>
  <si>
    <t>=NL("sum","Production Order","Quantity","Source No.",$D5478,"Equipment Code",$L5478,"due date",F$8)/-12</t>
  </si>
  <si>
    <t>=NL("sum","Production Order","Quantity","Source No.",$D5478,"Equipment Code",$L5478,"due date",G$8)/-12</t>
  </si>
  <si>
    <t>=NL("sum","Production Order","Quantity","Source No.",$D5478,"Equipment Code",$L5478,"due date",H$8)/-12</t>
  </si>
  <si>
    <t>=NL("sum","Production Order","Quantity","Source No.",$D5478,"Equipment Code",$L5478,"due date",I$8)/-12</t>
  </si>
  <si>
    <t>=NL("sum","Production Order","Quantity","Source No.",$D5478,"Equipment Code",$L5478,"due date",J$8)/$J$7</t>
  </si>
  <si>
    <t>=AVERAGE(I5478:J5478)</t>
  </si>
  <si>
    <t>=B5475</t>
  </si>
  <si>
    <t>=B5479</t>
  </si>
  <si>
    <t>=SUM(F5475:F5479)</t>
  </si>
  <si>
    <t>=SUM(G5475:G5479)</t>
  </si>
  <si>
    <t>=SUM(H5475:H5479)</t>
  </si>
  <si>
    <t>=SUM(I5475:I5479)</t>
  </si>
  <si>
    <t>=SUM(J5475:J5479)</t>
  </si>
  <si>
    <t>=IF(K5481=0,"hide","")</t>
  </si>
  <si>
    <t>="PDB-001"</t>
  </si>
  <si>
    <t>=NL("rows","Production BOM Version","Version Code","Production BOM No.",D5481,"status","certified")</t>
  </si>
  <si>
    <t>=NL("sum","Item Ledger Entry","Quantity","Item No.",$D5481,"Entry Type","Sale|Consumption","posting date","01/01/19..12/31/19")/-12</t>
  </si>
  <si>
    <t>=NL("sum","Item Ledger Entry","Quantity","Item No.",$D5481,"Entry Type","Sale|Consumption","posting date","01/01/20..12/31/20")/-12</t>
  </si>
  <si>
    <t>=NL("sum","Item Ledger Entry","Quantity","Item No.",$D5481,"Entry Type","Sale|Consumption","posting date","01/01/21..12/31/21")/-12</t>
  </si>
  <si>
    <t>=NL("sum","Item Ledger Entry","Quantity","Item No.",$D5481,"Entry Type","Sale|Consumption","posting date","01/01/22..12/31/22")/-12</t>
  </si>
  <si>
    <t>=NL("sum","Item Ledger Entry","Quantity","Item No.",$D5481,"Entry Type","Sale|Consumption","posting date","01/01/23..12/31/23")/$J$7</t>
  </si>
  <si>
    <t>=AVERAGE(I5481:J5481)</t>
  </si>
  <si>
    <t>=NL(1,"item",L$9,"no.",D5481)</t>
  </si>
  <si>
    <t>=NL(1,"item",M$9,"no.",$D5481)</t>
  </si>
  <si>
    <t>=NL(1,"item","Units Per Parcel","no.",$D5481)</t>
  </si>
  <si>
    <t>=NL(1,"Prod. BOM Equipment","Fixed Prod. Time (Hours)","Production BOM No.",$D5481,"version code",$E5481,"Resource No.",O$9)</t>
  </si>
  <si>
    <t>=1/O5481</t>
  </si>
  <si>
    <t>=IF(NL(1,"Prod. BOM Equipment","Variable Prod. Time (Hours)","Production BOM No.",$D5481,"version code",$E5481,"Resource No.",$O$9)="",1,NL(1,"Prod. BOM Equipment","Variable Prod. Time (Hours)","Production BOM No.",$D5481,"version code",$E5481,"Resource No.",$O$9))</t>
  </si>
  <si>
    <t>=1/Q5481</t>
  </si>
  <si>
    <t>=R5481*N5481</t>
  </si>
  <si>
    <t>=IF(K5482=0,"hide","")</t>
  </si>
  <si>
    <t>=D5481</t>
  </si>
  <si>
    <t>=NL("sum","Production Order","Quantity","Source No.",$D5482,"Equipment Code",$L5482,"due date",F$8)/-12</t>
  </si>
  <si>
    <t>=NL("sum","Production Order","Quantity","Source No.",$D5482,"Equipment Code",$L5482,"due date",G$8)/-12</t>
  </si>
  <si>
    <t>=NL("sum","Production Order","Quantity","Source No.",$D5482,"Equipment Code",$L5482,"due date",H$8)/-12</t>
  </si>
  <si>
    <t>=NL("sum","Production Order","Quantity","Source No.",$D5482,"Equipment Code",$L5482,"due date",I$8)/-12</t>
  </si>
  <si>
    <t>=NL("sum","Production Order","Quantity","Source No.",$D5482,"Equipment Code",$L5482,"due date",J$8)/$J$7</t>
  </si>
  <si>
    <t>=AVERAGE(I5482:J5482)</t>
  </si>
  <si>
    <t>=IF(K5483=0,"hide","")</t>
  </si>
  <si>
    <t>=D5482</t>
  </si>
  <si>
    <t>=NL("sum","Production Order","Quantity","Source No.",$D5483,"Equipment Code",$L5483,"due date",F$8)/-12</t>
  </si>
  <si>
    <t>=NL("sum","Production Order","Quantity","Source No.",$D5483,"Equipment Code",$L5483,"due date",G$8)/-12</t>
  </si>
  <si>
    <t>=NL("sum","Production Order","Quantity","Source No.",$D5483,"Equipment Code",$L5483,"due date",H$8)/-12</t>
  </si>
  <si>
    <t>=NL("sum","Production Order","Quantity","Source No.",$D5483,"Equipment Code",$L5483,"due date",I$8)/-12</t>
  </si>
  <si>
    <t>=NL("sum","Production Order","Quantity","Source No.",$D5483,"Equipment Code",$L5483,"due date",J$8)/$J$7</t>
  </si>
  <si>
    <t>=AVERAGE(I5483:J5483)</t>
  </si>
  <si>
    <t>=IF(K5484=0,"hide","")</t>
  </si>
  <si>
    <t>=D5483</t>
  </si>
  <si>
    <t>=NL("sum","Production Order","Quantity","Source No.",$D5484,"Equipment Code",$L5484,"due date",F$8)/-12</t>
  </si>
  <si>
    <t>=NL("sum","Production Order","Quantity","Source No.",$D5484,"Equipment Code",$L5484,"due date",G$8)/-12</t>
  </si>
  <si>
    <t>=NL("sum","Production Order","Quantity","Source No.",$D5484,"Equipment Code",$L5484,"due date",H$8)/-12</t>
  </si>
  <si>
    <t>=NL("sum","Production Order","Quantity","Source No.",$D5484,"Equipment Code",$L5484,"due date",I$8)/-12</t>
  </si>
  <si>
    <t>=NL("sum","Production Order","Quantity","Source No.",$D5484,"Equipment Code",$L5484,"due date",J$8)/$J$7</t>
  </si>
  <si>
    <t>=AVERAGE(I5484:J5484)</t>
  </si>
  <si>
    <t>=IF(K5485=0,"hide","")</t>
  </si>
  <si>
    <t>=D5484</t>
  </si>
  <si>
    <t>=NL("sum","Production Order","Quantity","Source No.",$D5485,"Equipment Code",$L5485,"due date",F$8)/-12</t>
  </si>
  <si>
    <t>=NL("sum","Production Order","Quantity","Source No.",$D5485,"Equipment Code",$L5485,"due date",G$8)/-12</t>
  </si>
  <si>
    <t>=NL("sum","Production Order","Quantity","Source No.",$D5485,"Equipment Code",$L5485,"due date",H$8)/-12</t>
  </si>
  <si>
    <t>=NL("sum","Production Order","Quantity","Source No.",$D5485,"Equipment Code",$L5485,"due date",I$8)/-12</t>
  </si>
  <si>
    <t>=NL("sum","Production Order","Quantity","Source No.",$D5485,"Equipment Code",$L5485,"due date",J$8)/$J$7</t>
  </si>
  <si>
    <t>=AVERAGE(I5485:J5485)</t>
  </si>
  <si>
    <t>=B5482</t>
  </si>
  <si>
    <t>=B5486</t>
  </si>
  <si>
    <t>=SUM(F5482:F5486)</t>
  </si>
  <si>
    <t>=SUM(G5482:G5486)</t>
  </si>
  <si>
    <t>=SUM(H5482:H5486)</t>
  </si>
  <si>
    <t>=SUM(I5482:I5486)</t>
  </si>
  <si>
    <t>=SUM(J5482:J5486)</t>
  </si>
  <si>
    <t>=IF(K5488=0,"hide","")</t>
  </si>
  <si>
    <t>="PDB-002"</t>
  </si>
  <si>
    <t>=NL("rows","Production BOM Version","Version Code","Production BOM No.",D5488,"status","certified")</t>
  </si>
  <si>
    <t>=NL("sum","Item Ledger Entry","Quantity","Item No.",$D5488,"Entry Type","Sale|Consumption","posting date","01/01/19..12/31/19")/-12</t>
  </si>
  <si>
    <t>=NL("sum","Item Ledger Entry","Quantity","Item No.",$D5488,"Entry Type","Sale|Consumption","posting date","01/01/20..12/31/20")/-12</t>
  </si>
  <si>
    <t>=NL("sum","Item Ledger Entry","Quantity","Item No.",$D5488,"Entry Type","Sale|Consumption","posting date","01/01/21..12/31/21")/-12</t>
  </si>
  <si>
    <t>=NL("sum","Item Ledger Entry","Quantity","Item No.",$D5488,"Entry Type","Sale|Consumption","posting date","01/01/22..12/31/22")/-12</t>
  </si>
  <si>
    <t>=NL("sum","Item Ledger Entry","Quantity","Item No.",$D5488,"Entry Type","Sale|Consumption","posting date","01/01/23..12/31/23")/$J$7</t>
  </si>
  <si>
    <t>=AVERAGE(I5488:J5488)</t>
  </si>
  <si>
    <t>=NL(1,"item",L$9,"no.",D5488)</t>
  </si>
  <si>
    <t>=NL(1,"item",M$9,"no.",$D5488)</t>
  </si>
  <si>
    <t>=NL(1,"item","Units Per Parcel","no.",$D5488)</t>
  </si>
  <si>
    <t>=NL(1,"Prod. BOM Equipment","Fixed Prod. Time (Hours)","Production BOM No.",$D5488,"version code",$E5488,"Resource No.",O$9)</t>
  </si>
  <si>
    <t>=1/O5488</t>
  </si>
  <si>
    <t>=IF(NL(1,"Prod. BOM Equipment","Variable Prod. Time (Hours)","Production BOM No.",$D5488,"version code",$E5488,"Resource No.",$O$9)="",1,NL(1,"Prod. BOM Equipment","Variable Prod. Time (Hours)","Production BOM No.",$D5488,"version code",$E5488,"Resource No.",$O$9))</t>
  </si>
  <si>
    <t>=1/Q5488</t>
  </si>
  <si>
    <t>=R5488*N5488</t>
  </si>
  <si>
    <t>=IF(K5489=0,"hide","")</t>
  </si>
  <si>
    <t>=D5488</t>
  </si>
  <si>
    <t>=AVERAGE(I5489:J5489)</t>
  </si>
  <si>
    <t>=IF(K5490=0,"hide","")</t>
  </si>
  <si>
    <t>=D5489</t>
  </si>
  <si>
    <t>=NL("sum","Production Order","Quantity","Source No.",$D5490,"Equipment Code",$L5490,"due date",F$8)/-12</t>
  </si>
  <si>
    <t>=NL("sum","Production Order","Quantity","Source No.",$D5490,"Equipment Code",$L5490,"due date",G$8)/-12</t>
  </si>
  <si>
    <t>=NL("sum","Production Order","Quantity","Source No.",$D5490,"Equipment Code",$L5490,"due date",H$8)/-12</t>
  </si>
  <si>
    <t>=NL("sum","Production Order","Quantity","Source No.",$D5490,"Equipment Code",$L5490,"due date",I$8)/-12</t>
  </si>
  <si>
    <t>=NL("sum","Production Order","Quantity","Source No.",$D5490,"Equipment Code",$L5490,"due date",J$8)/$J$7</t>
  </si>
  <si>
    <t>=AVERAGE(I5490:J5490)</t>
  </si>
  <si>
    <t>=IF(K5491=0,"hide","")</t>
  </si>
  <si>
    <t>=D5490</t>
  </si>
  <si>
    <t>=NL("sum","Production Order","Quantity","Source No.",$D5491,"Equipment Code",$L5491,"due date",F$8)/-12</t>
  </si>
  <si>
    <t>=NL("sum","Production Order","Quantity","Source No.",$D5491,"Equipment Code",$L5491,"due date",G$8)/-12</t>
  </si>
  <si>
    <t>=NL("sum","Production Order","Quantity","Source No.",$D5491,"Equipment Code",$L5491,"due date",H$8)/-12</t>
  </si>
  <si>
    <t>=NL("sum","Production Order","Quantity","Source No.",$D5491,"Equipment Code",$L5491,"due date",I$8)/-12</t>
  </si>
  <si>
    <t>=NL("sum","Production Order","Quantity","Source No.",$D5491,"Equipment Code",$L5491,"due date",J$8)/$J$7</t>
  </si>
  <si>
    <t>=AVERAGE(I5491:J5491)</t>
  </si>
  <si>
    <t>=IF(K5492=0,"hide","")</t>
  </si>
  <si>
    <t>=D5491</t>
  </si>
  <si>
    <t>=NL("sum","Production Order","Quantity","Source No.",$D5492,"Equipment Code",$L5492,"due date",F$8)/-12</t>
  </si>
  <si>
    <t>=NL("sum","Production Order","Quantity","Source No.",$D5492,"Equipment Code",$L5492,"due date",G$8)/-12</t>
  </si>
  <si>
    <t>=NL("sum","Production Order","Quantity","Source No.",$D5492,"Equipment Code",$L5492,"due date",H$8)/-12</t>
  </si>
  <si>
    <t>=NL("sum","Production Order","Quantity","Source No.",$D5492,"Equipment Code",$L5492,"due date",I$8)/-12</t>
  </si>
  <si>
    <t>=NL("sum","Production Order","Quantity","Source No.",$D5492,"Equipment Code",$L5492,"due date",J$8)/$J$7</t>
  </si>
  <si>
    <t>=AVERAGE(I5492:J5492)</t>
  </si>
  <si>
    <t>="PDB-004"</t>
  </si>
  <si>
    <t>=IF(K5496=0,"hide","")</t>
  </si>
  <si>
    <t>=AVERAGE(I5496:J5496)</t>
  </si>
  <si>
    <t>=IF(K5497=0,"hide","")</t>
  </si>
  <si>
    <t>=D5496</t>
  </si>
  <si>
    <t>=NL("sum","Production Order","Quantity","Source No.",$D5497,"Equipment Code",$L5497,"due date",F$8)/-12</t>
  </si>
  <si>
    <t>=NL("sum","Production Order","Quantity","Source No.",$D5497,"Equipment Code",$L5497,"due date",G$8)/-12</t>
  </si>
  <si>
    <t>=NL("sum","Production Order","Quantity","Source No.",$D5497,"Equipment Code",$L5497,"due date",H$8)/-12</t>
  </si>
  <si>
    <t>=NL("sum","Production Order","Quantity","Source No.",$D5497,"Equipment Code",$L5497,"due date",I$8)/-12</t>
  </si>
  <si>
    <t>=NL("sum","Production Order","Quantity","Source No.",$D5497,"Equipment Code",$L5497,"due date",J$8)/$J$7</t>
  </si>
  <si>
    <t>=AVERAGE(I5497:J5497)</t>
  </si>
  <si>
    <t>=IF(K5498=0,"hide","")</t>
  </si>
  <si>
    <t>=D5497</t>
  </si>
  <si>
    <t>=NL("sum","Production Order","Quantity","Source No.",$D5498,"Equipment Code",$L5498,"due date",F$8)/-12</t>
  </si>
  <si>
    <t>=NL("sum","Production Order","Quantity","Source No.",$D5498,"Equipment Code",$L5498,"due date",G$8)/-12</t>
  </si>
  <si>
    <t>=NL("sum","Production Order","Quantity","Source No.",$D5498,"Equipment Code",$L5498,"due date",H$8)/-12</t>
  </si>
  <si>
    <t>=NL("sum","Production Order","Quantity","Source No.",$D5498,"Equipment Code",$L5498,"due date",I$8)/-12</t>
  </si>
  <si>
    <t>=NL("sum","Production Order","Quantity","Source No.",$D5498,"Equipment Code",$L5498,"due date",J$8)/$J$7</t>
  </si>
  <si>
    <t>=AVERAGE(I5498:J5498)</t>
  </si>
  <si>
    <t>=IF(K5499=0,"hide","")</t>
  </si>
  <si>
    <t>=D5498</t>
  </si>
  <si>
    <t>=NL("sum","Production Order","Quantity","Source No.",$D5499,"Equipment Code",$L5499,"due date",F$8)/-12</t>
  </si>
  <si>
    <t>=NL("sum","Production Order","Quantity","Source No.",$D5499,"Equipment Code",$L5499,"due date",G$8)/-12</t>
  </si>
  <si>
    <t>=NL("sum","Production Order","Quantity","Source No.",$D5499,"Equipment Code",$L5499,"due date",H$8)/-12</t>
  </si>
  <si>
    <t>=NL("sum","Production Order","Quantity","Source No.",$D5499,"Equipment Code",$L5499,"due date",I$8)/-12</t>
  </si>
  <si>
    <t>=NL("sum","Production Order","Quantity","Source No.",$D5499,"Equipment Code",$L5499,"due date",J$8)/$J$7</t>
  </si>
  <si>
    <t>=AVERAGE(I5499:J5499)</t>
  </si>
  <si>
    <t>="PDB-005"</t>
  </si>
  <si>
    <t>=IF(K5503=0,"hide","")</t>
  </si>
  <si>
    <t>=AVERAGE(I5503:J5503)</t>
  </si>
  <si>
    <t>=IF(K5504=0,"hide","")</t>
  </si>
  <si>
    <t>=D5503</t>
  </si>
  <si>
    <t>=NL("sum","Production Order","Quantity","Source No.",$D5504,"Equipment Code",$L5504,"due date",F$8)/-12</t>
  </si>
  <si>
    <t>=NL("sum","Production Order","Quantity","Source No.",$D5504,"Equipment Code",$L5504,"due date",G$8)/-12</t>
  </si>
  <si>
    <t>=NL("sum","Production Order","Quantity","Source No.",$D5504,"Equipment Code",$L5504,"due date",H$8)/-12</t>
  </si>
  <si>
    <t>=NL("sum","Production Order","Quantity","Source No.",$D5504,"Equipment Code",$L5504,"due date",I$8)/-12</t>
  </si>
  <si>
    <t>=NL("sum","Production Order","Quantity","Source No.",$D5504,"Equipment Code",$L5504,"due date",J$8)/$J$7</t>
  </si>
  <si>
    <t>=AVERAGE(I5504:J5504)</t>
  </si>
  <si>
    <t>=IF(K5505=0,"hide","")</t>
  </si>
  <si>
    <t>=D5504</t>
  </si>
  <si>
    <t>=NL("sum","Production Order","Quantity","Source No.",$D5505,"Equipment Code",$L5505,"due date",F$8)/-12</t>
  </si>
  <si>
    <t>=NL("sum","Production Order","Quantity","Source No.",$D5505,"Equipment Code",$L5505,"due date",G$8)/-12</t>
  </si>
  <si>
    <t>=NL("sum","Production Order","Quantity","Source No.",$D5505,"Equipment Code",$L5505,"due date",H$8)/-12</t>
  </si>
  <si>
    <t>=NL("sum","Production Order","Quantity","Source No.",$D5505,"Equipment Code",$L5505,"due date",I$8)/-12</t>
  </si>
  <si>
    <t>=NL("sum","Production Order","Quantity","Source No.",$D5505,"Equipment Code",$L5505,"due date",J$8)/$J$7</t>
  </si>
  <si>
    <t>=AVERAGE(I5505:J5505)</t>
  </si>
  <si>
    <t>=IF(K5506=0,"hide","")</t>
  </si>
  <si>
    <t>=D5505</t>
  </si>
  <si>
    <t>=NL("sum","Production Order","Quantity","Source No.",$D5506,"Equipment Code",$L5506,"due date",F$8)/-12</t>
  </si>
  <si>
    <t>=NL("sum","Production Order","Quantity","Source No.",$D5506,"Equipment Code",$L5506,"due date",G$8)/-12</t>
  </si>
  <si>
    <t>=NL("sum","Production Order","Quantity","Source No.",$D5506,"Equipment Code",$L5506,"due date",H$8)/-12</t>
  </si>
  <si>
    <t>=NL("sum","Production Order","Quantity","Source No.",$D5506,"Equipment Code",$L5506,"due date",I$8)/-12</t>
  </si>
  <si>
    <t>=NL("sum","Production Order","Quantity","Source No.",$D5506,"Equipment Code",$L5506,"due date",J$8)/$J$7</t>
  </si>
  <si>
    <t>=AVERAGE(I5506:J5506)</t>
  </si>
  <si>
    <t>="PDB-006"</t>
  </si>
  <si>
    <t>=IF(K5510=0,"hide","")</t>
  </si>
  <si>
    <t>=AVERAGE(I5510:J5510)</t>
  </si>
  <si>
    <t>=IF(K5511=0,"hide","")</t>
  </si>
  <si>
    <t>=D5510</t>
  </si>
  <si>
    <t>=NL("sum","Production Order","Quantity","Source No.",$D5511,"Equipment Code",$L5511,"due date",F$8)/-12</t>
  </si>
  <si>
    <t>=NL("sum","Production Order","Quantity","Source No.",$D5511,"Equipment Code",$L5511,"due date",G$8)/-12</t>
  </si>
  <si>
    <t>=NL("sum","Production Order","Quantity","Source No.",$D5511,"Equipment Code",$L5511,"due date",H$8)/-12</t>
  </si>
  <si>
    <t>=NL("sum","Production Order","Quantity","Source No.",$D5511,"Equipment Code",$L5511,"due date",I$8)/-12</t>
  </si>
  <si>
    <t>=NL("sum","Production Order","Quantity","Source No.",$D5511,"Equipment Code",$L5511,"due date",J$8)/$J$7</t>
  </si>
  <si>
    <t>=AVERAGE(I5511:J5511)</t>
  </si>
  <si>
    <t>=IF(K5512=0,"hide","")</t>
  </si>
  <si>
    <t>=D5511</t>
  </si>
  <si>
    <t>=NL("sum","Production Order","Quantity","Source No.",$D5512,"Equipment Code",$L5512,"due date",F$8)/-12</t>
  </si>
  <si>
    <t>=NL("sum","Production Order","Quantity","Source No.",$D5512,"Equipment Code",$L5512,"due date",G$8)/-12</t>
  </si>
  <si>
    <t>=NL("sum","Production Order","Quantity","Source No.",$D5512,"Equipment Code",$L5512,"due date",H$8)/-12</t>
  </si>
  <si>
    <t>=NL("sum","Production Order","Quantity","Source No.",$D5512,"Equipment Code",$L5512,"due date",I$8)/-12</t>
  </si>
  <si>
    <t>=NL("sum","Production Order","Quantity","Source No.",$D5512,"Equipment Code",$L5512,"due date",J$8)/$J$7</t>
  </si>
  <si>
    <t>=AVERAGE(I5512:J5512)</t>
  </si>
  <si>
    <t>=IF(K5513=0,"hide","")</t>
  </si>
  <si>
    <t>=D5512</t>
  </si>
  <si>
    <t>=NL("sum","Production Order","Quantity","Source No.",$D5513,"Equipment Code",$L5513,"due date",F$8)/-12</t>
  </si>
  <si>
    <t>=NL("sum","Production Order","Quantity","Source No.",$D5513,"Equipment Code",$L5513,"due date",G$8)/-12</t>
  </si>
  <si>
    <t>=NL("sum","Production Order","Quantity","Source No.",$D5513,"Equipment Code",$L5513,"due date",H$8)/-12</t>
  </si>
  <si>
    <t>=NL("sum","Production Order","Quantity","Source No.",$D5513,"Equipment Code",$L5513,"due date",I$8)/-12</t>
  </si>
  <si>
    <t>=NL("sum","Production Order","Quantity","Source No.",$D5513,"Equipment Code",$L5513,"due date",J$8)/$J$7</t>
  </si>
  <si>
    <t>=AVERAGE(I5513:J5513)</t>
  </si>
  <si>
    <t>="PD-BOM00016"</t>
  </si>
  <si>
    <t>=IF(K5517=0,"hide","")</t>
  </si>
  <si>
    <t>=AVERAGE(I5517:J5517)</t>
  </si>
  <si>
    <t>=IF(K5518=0,"hide","")</t>
  </si>
  <si>
    <t>=D5517</t>
  </si>
  <si>
    <t>=NL("sum","Production Order","Quantity","Source No.",$D5518,"Equipment Code",$L5518,"due date",F$8)/-12</t>
  </si>
  <si>
    <t>=NL("sum","Production Order","Quantity","Source No.",$D5518,"Equipment Code",$L5518,"due date",G$8)/-12</t>
  </si>
  <si>
    <t>=NL("sum","Production Order","Quantity","Source No.",$D5518,"Equipment Code",$L5518,"due date",H$8)/-12</t>
  </si>
  <si>
    <t>=NL("sum","Production Order","Quantity","Source No.",$D5518,"Equipment Code",$L5518,"due date",I$8)/-12</t>
  </si>
  <si>
    <t>=NL("sum","Production Order","Quantity","Source No.",$D5518,"Equipment Code",$L5518,"due date",J$8)/$J$7</t>
  </si>
  <si>
    <t>=AVERAGE(I5518:J5518)</t>
  </si>
  <si>
    <t>=IF(K5519=0,"hide","")</t>
  </si>
  <si>
    <t>=D5518</t>
  </si>
  <si>
    <t>=NL("sum","Production Order","Quantity","Source No.",$D5519,"Equipment Code",$L5519,"due date",F$8)/-12</t>
  </si>
  <si>
    <t>=NL("sum","Production Order","Quantity","Source No.",$D5519,"Equipment Code",$L5519,"due date",G$8)/-12</t>
  </si>
  <si>
    <t>=NL("sum","Production Order","Quantity","Source No.",$D5519,"Equipment Code",$L5519,"due date",H$8)/-12</t>
  </si>
  <si>
    <t>=NL("sum","Production Order","Quantity","Source No.",$D5519,"Equipment Code",$L5519,"due date",I$8)/-12</t>
  </si>
  <si>
    <t>=NL("sum","Production Order","Quantity","Source No.",$D5519,"Equipment Code",$L5519,"due date",J$8)/$J$7</t>
  </si>
  <si>
    <t>=AVERAGE(I5519:J5519)</t>
  </si>
  <si>
    <t>=IF(K5520=0,"hide","")</t>
  </si>
  <si>
    <t>=D5519</t>
  </si>
  <si>
    <t>=NL("sum","Production Order","Quantity","Source No.",$D5520,"Equipment Code",$L5520,"due date",F$8)/-12</t>
  </si>
  <si>
    <t>=NL("sum","Production Order","Quantity","Source No.",$D5520,"Equipment Code",$L5520,"due date",G$8)/-12</t>
  </si>
  <si>
    <t>=NL("sum","Production Order","Quantity","Source No.",$D5520,"Equipment Code",$L5520,"due date",H$8)/-12</t>
  </si>
  <si>
    <t>=NL("sum","Production Order","Quantity","Source No.",$D5520,"Equipment Code",$L5520,"due date",I$8)/-12</t>
  </si>
  <si>
    <t>=NL("sum","Production Order","Quantity","Source No.",$D5520,"Equipment Code",$L5520,"due date",J$8)/$J$7</t>
  </si>
  <si>
    <t>=AVERAGE(I5520:J5520)</t>
  </si>
  <si>
    <t>="PD-BOM00017"</t>
  </si>
  <si>
    <t>=IF(K5524=0,"hide","")</t>
  </si>
  <si>
    <t>=AVERAGE(I5524:J5524)</t>
  </si>
  <si>
    <t>=IF(K5525=0,"hide","")</t>
  </si>
  <si>
    <t>=D5524</t>
  </si>
  <si>
    <t>=NL("sum","Production Order","Quantity","Source No.",$D5525,"Equipment Code",$L5525,"due date",F$8)/-12</t>
  </si>
  <si>
    <t>=NL("sum","Production Order","Quantity","Source No.",$D5525,"Equipment Code",$L5525,"due date",G$8)/-12</t>
  </si>
  <si>
    <t>=NL("sum","Production Order","Quantity","Source No.",$D5525,"Equipment Code",$L5525,"due date",H$8)/-12</t>
  </si>
  <si>
    <t>=NL("sum","Production Order","Quantity","Source No.",$D5525,"Equipment Code",$L5525,"due date",I$8)/-12</t>
  </si>
  <si>
    <t>=NL("sum","Production Order","Quantity","Source No.",$D5525,"Equipment Code",$L5525,"due date",J$8)/$J$7</t>
  </si>
  <si>
    <t>=AVERAGE(I5525:J5525)</t>
  </si>
  <si>
    <t>=IF(K5526=0,"hide","")</t>
  </si>
  <si>
    <t>=D5525</t>
  </si>
  <si>
    <t>=NL("sum","Production Order","Quantity","Source No.",$D5526,"Equipment Code",$L5526,"due date",F$8)/-12</t>
  </si>
  <si>
    <t>=NL("sum","Production Order","Quantity","Source No.",$D5526,"Equipment Code",$L5526,"due date",G$8)/-12</t>
  </si>
  <si>
    <t>=NL("sum","Production Order","Quantity","Source No.",$D5526,"Equipment Code",$L5526,"due date",H$8)/-12</t>
  </si>
  <si>
    <t>=NL("sum","Production Order","Quantity","Source No.",$D5526,"Equipment Code",$L5526,"due date",I$8)/-12</t>
  </si>
  <si>
    <t>=NL("sum","Production Order","Quantity","Source No.",$D5526,"Equipment Code",$L5526,"due date",J$8)/$J$7</t>
  </si>
  <si>
    <t>=AVERAGE(I5526:J5526)</t>
  </si>
  <si>
    <t>=IF(K5527=0,"hide","")</t>
  </si>
  <si>
    <t>=D5526</t>
  </si>
  <si>
    <t>=NL("sum","Production Order","Quantity","Source No.",$D5527,"Equipment Code",$L5527,"due date",F$8)/-12</t>
  </si>
  <si>
    <t>=NL("sum","Production Order","Quantity","Source No.",$D5527,"Equipment Code",$L5527,"due date",G$8)/-12</t>
  </si>
  <si>
    <t>=NL("sum","Production Order","Quantity","Source No.",$D5527,"Equipment Code",$L5527,"due date",H$8)/-12</t>
  </si>
  <si>
    <t>=NL("sum","Production Order","Quantity","Source No.",$D5527,"Equipment Code",$L5527,"due date",I$8)/-12</t>
  </si>
  <si>
    <t>=NL("sum","Production Order","Quantity","Source No.",$D5527,"Equipment Code",$L5527,"due date",J$8)/$J$7</t>
  </si>
  <si>
    <t>=AVERAGE(I5527:J5527)</t>
  </si>
  <si>
    <t>="PD-BOM00018"</t>
  </si>
  <si>
    <t>=IF(K5531=0,"hide","")</t>
  </si>
  <si>
    <t>=AVERAGE(I5531:J5531)</t>
  </si>
  <si>
    <t>=IF(K5532=0,"hide","")</t>
  </si>
  <si>
    <t>=D5531</t>
  </si>
  <si>
    <t>=NL("sum","Production Order","Quantity","Source No.",$D5532,"Equipment Code",$L5532,"due date",F$8)/-12</t>
  </si>
  <si>
    <t>=NL("sum","Production Order","Quantity","Source No.",$D5532,"Equipment Code",$L5532,"due date",G$8)/-12</t>
  </si>
  <si>
    <t>=NL("sum","Production Order","Quantity","Source No.",$D5532,"Equipment Code",$L5532,"due date",H$8)/-12</t>
  </si>
  <si>
    <t>=NL("sum","Production Order","Quantity","Source No.",$D5532,"Equipment Code",$L5532,"due date",I$8)/-12</t>
  </si>
  <si>
    <t>=NL("sum","Production Order","Quantity","Source No.",$D5532,"Equipment Code",$L5532,"due date",J$8)/$J$7</t>
  </si>
  <si>
    <t>=AVERAGE(I5532:J5532)</t>
  </si>
  <si>
    <t>=IF(K5533=0,"hide","")</t>
  </si>
  <si>
    <t>=D5532</t>
  </si>
  <si>
    <t>=NL("sum","Production Order","Quantity","Source No.",$D5533,"Equipment Code",$L5533,"due date",F$8)/-12</t>
  </si>
  <si>
    <t>=NL("sum","Production Order","Quantity","Source No.",$D5533,"Equipment Code",$L5533,"due date",G$8)/-12</t>
  </si>
  <si>
    <t>=NL("sum","Production Order","Quantity","Source No.",$D5533,"Equipment Code",$L5533,"due date",H$8)/-12</t>
  </si>
  <si>
    <t>=NL("sum","Production Order","Quantity","Source No.",$D5533,"Equipment Code",$L5533,"due date",I$8)/-12</t>
  </si>
  <si>
    <t>=NL("sum","Production Order","Quantity","Source No.",$D5533,"Equipment Code",$L5533,"due date",J$8)/$J$7</t>
  </si>
  <si>
    <t>=AVERAGE(I5533:J5533)</t>
  </si>
  <si>
    <t>=IF(K5534=0,"hide","")</t>
  </si>
  <si>
    <t>=D5533</t>
  </si>
  <si>
    <t>=NL("sum","Production Order","Quantity","Source No.",$D5534,"Equipment Code",$L5534,"due date",F$8)/-12</t>
  </si>
  <si>
    <t>=NL("sum","Production Order","Quantity","Source No.",$D5534,"Equipment Code",$L5534,"due date",G$8)/-12</t>
  </si>
  <si>
    <t>=NL("sum","Production Order","Quantity","Source No.",$D5534,"Equipment Code",$L5534,"due date",H$8)/-12</t>
  </si>
  <si>
    <t>=NL("sum","Production Order","Quantity","Source No.",$D5534,"Equipment Code",$L5534,"due date",I$8)/-12</t>
  </si>
  <si>
    <t>=NL("sum","Production Order","Quantity","Source No.",$D5534,"Equipment Code",$L5534,"due date",J$8)/$J$7</t>
  </si>
  <si>
    <t>=AVERAGE(I5534:J5534)</t>
  </si>
  <si>
    <t>=IF(K5538=0,"hide","")</t>
  </si>
  <si>
    <t>=AVERAGE(I5538:J5538)</t>
  </si>
  <si>
    <t>=IF(K5539=0,"hide","")</t>
  </si>
  <si>
    <t>=D5538</t>
  </si>
  <si>
    <t>=NL("sum","Production Order","Quantity","Source No.",$D5539,"Equipment Code",$L5539,"due date",F$8)/-12</t>
  </si>
  <si>
    <t>=NL("sum","Production Order","Quantity","Source No.",$D5539,"Equipment Code",$L5539,"due date",G$8)/-12</t>
  </si>
  <si>
    <t>=NL("sum","Production Order","Quantity","Source No.",$D5539,"Equipment Code",$L5539,"due date",H$8)/-12</t>
  </si>
  <si>
    <t>=NL("sum","Production Order","Quantity","Source No.",$D5539,"Equipment Code",$L5539,"due date",I$8)/-12</t>
  </si>
  <si>
    <t>=NL("sum","Production Order","Quantity","Source No.",$D5539,"Equipment Code",$L5539,"due date",J$8)/$J$7</t>
  </si>
  <si>
    <t>=AVERAGE(I5539:J5539)</t>
  </si>
  <si>
    <t>=IF(K5540=0,"hide","")</t>
  </si>
  <si>
    <t>=D5539</t>
  </si>
  <si>
    <t>=NL("sum","Production Order","Quantity","Source No.",$D5540,"Equipment Code",$L5540,"due date",F$8)/-12</t>
  </si>
  <si>
    <t>=NL("sum","Production Order","Quantity","Source No.",$D5540,"Equipment Code",$L5540,"due date",G$8)/-12</t>
  </si>
  <si>
    <t>=NL("sum","Production Order","Quantity","Source No.",$D5540,"Equipment Code",$L5540,"due date",H$8)/-12</t>
  </si>
  <si>
    <t>=NL("sum","Production Order","Quantity","Source No.",$D5540,"Equipment Code",$L5540,"due date",I$8)/-12</t>
  </si>
  <si>
    <t>=NL("sum","Production Order","Quantity","Source No.",$D5540,"Equipment Code",$L5540,"due date",J$8)/$J$7</t>
  </si>
  <si>
    <t>=AVERAGE(I5540:J5540)</t>
  </si>
  <si>
    <t>=IF(K5541=0,"hide","")</t>
  </si>
  <si>
    <t>=D5540</t>
  </si>
  <si>
    <t>=NL("sum","Production Order","Quantity","Source No.",$D5541,"Equipment Code",$L5541,"due date",F$8)/-12</t>
  </si>
  <si>
    <t>=NL("sum","Production Order","Quantity","Source No.",$D5541,"Equipment Code",$L5541,"due date",G$8)/-12</t>
  </si>
  <si>
    <t>=NL("sum","Production Order","Quantity","Source No.",$D5541,"Equipment Code",$L5541,"due date",H$8)/-12</t>
  </si>
  <si>
    <t>=NL("sum","Production Order","Quantity","Source No.",$D5541,"Equipment Code",$L5541,"due date",I$8)/-12</t>
  </si>
  <si>
    <t>=NL("sum","Production Order","Quantity","Source No.",$D5541,"Equipment Code",$L5541,"due date",J$8)/$J$7</t>
  </si>
  <si>
    <t>=AVERAGE(I5541:J5541)</t>
  </si>
  <si>
    <t>="PD-BOM00021"</t>
  </si>
  <si>
    <t>=IF(K5545=0,"hide","")</t>
  </si>
  <si>
    <t>=AVERAGE(I5545:J5545)</t>
  </si>
  <si>
    <t>=IF(K5546=0,"hide","")</t>
  </si>
  <si>
    <t>=D5545</t>
  </si>
  <si>
    <t>=NL("sum","Production Order","Quantity","Source No.",$D5546,"Equipment Code",$L5546,"due date",F$8)/-12</t>
  </si>
  <si>
    <t>=NL("sum","Production Order","Quantity","Source No.",$D5546,"Equipment Code",$L5546,"due date",G$8)/-12</t>
  </si>
  <si>
    <t>=NL("sum","Production Order","Quantity","Source No.",$D5546,"Equipment Code",$L5546,"due date",H$8)/-12</t>
  </si>
  <si>
    <t>=NL("sum","Production Order","Quantity","Source No.",$D5546,"Equipment Code",$L5546,"due date",I$8)/-12</t>
  </si>
  <si>
    <t>=NL("sum","Production Order","Quantity","Source No.",$D5546,"Equipment Code",$L5546,"due date",J$8)/$J$7</t>
  </si>
  <si>
    <t>=AVERAGE(I5546:J5546)</t>
  </si>
  <si>
    <t>=IF(K5547=0,"hide","")</t>
  </si>
  <si>
    <t>=D5546</t>
  </si>
  <si>
    <t>=NL("sum","Production Order","Quantity","Source No.",$D5547,"Equipment Code",$L5547,"due date",F$8)/-12</t>
  </si>
  <si>
    <t>=NL("sum","Production Order","Quantity","Source No.",$D5547,"Equipment Code",$L5547,"due date",G$8)/-12</t>
  </si>
  <si>
    <t>=NL("sum","Production Order","Quantity","Source No.",$D5547,"Equipment Code",$L5547,"due date",H$8)/-12</t>
  </si>
  <si>
    <t>=NL("sum","Production Order","Quantity","Source No.",$D5547,"Equipment Code",$L5547,"due date",I$8)/-12</t>
  </si>
  <si>
    <t>=NL("sum","Production Order","Quantity","Source No.",$D5547,"Equipment Code",$L5547,"due date",J$8)/$J$7</t>
  </si>
  <si>
    <t>=AVERAGE(I5547:J5547)</t>
  </si>
  <si>
    <t>=IF(K5548=0,"hide","")</t>
  </si>
  <si>
    <t>=D5547</t>
  </si>
  <si>
    <t>=NL("sum","Production Order","Quantity","Source No.",$D5548,"Equipment Code",$L5548,"due date",F$8)/-12</t>
  </si>
  <si>
    <t>=NL("sum","Production Order","Quantity","Source No.",$D5548,"Equipment Code",$L5548,"due date",G$8)/-12</t>
  </si>
  <si>
    <t>=NL("sum","Production Order","Quantity","Source No.",$D5548,"Equipment Code",$L5548,"due date",H$8)/-12</t>
  </si>
  <si>
    <t>=NL("sum","Production Order","Quantity","Source No.",$D5548,"Equipment Code",$L5548,"due date",I$8)/-12</t>
  </si>
  <si>
    <t>=NL("sum","Production Order","Quantity","Source No.",$D5548,"Equipment Code",$L5548,"due date",J$8)/$J$7</t>
  </si>
  <si>
    <t>=AVERAGE(I5548:J5548)</t>
  </si>
  <si>
    <t>="PD-BOM00022"</t>
  </si>
  <si>
    <t>=IF(K5552=0,"hide","")</t>
  </si>
  <si>
    <t>=AVERAGE(I5552:J5552)</t>
  </si>
  <si>
    <t>=IF(K5553=0,"hide","")</t>
  </si>
  <si>
    <t>=D5552</t>
  </si>
  <si>
    <t>=NL("sum","Production Order","Quantity","Source No.",$D5553,"Equipment Code",$L5553,"due date",F$8)/-12</t>
  </si>
  <si>
    <t>=NL("sum","Production Order","Quantity","Source No.",$D5553,"Equipment Code",$L5553,"due date",G$8)/-12</t>
  </si>
  <si>
    <t>=NL("sum","Production Order","Quantity","Source No.",$D5553,"Equipment Code",$L5553,"due date",H$8)/-12</t>
  </si>
  <si>
    <t>=NL("sum","Production Order","Quantity","Source No.",$D5553,"Equipment Code",$L5553,"due date",I$8)/-12</t>
  </si>
  <si>
    <t>=NL("sum","Production Order","Quantity","Source No.",$D5553,"Equipment Code",$L5553,"due date",J$8)/$J$7</t>
  </si>
  <si>
    <t>=AVERAGE(I5553:J5553)</t>
  </si>
  <si>
    <t>=IF(K5554=0,"hide","")</t>
  </si>
  <si>
    <t>=D5553</t>
  </si>
  <si>
    <t>=NL("sum","Production Order","Quantity","Source No.",$D5554,"Equipment Code",$L5554,"due date",F$8)/-12</t>
  </si>
  <si>
    <t>=NL("sum","Production Order","Quantity","Source No.",$D5554,"Equipment Code",$L5554,"due date",G$8)/-12</t>
  </si>
  <si>
    <t>=NL("sum","Production Order","Quantity","Source No.",$D5554,"Equipment Code",$L5554,"due date",H$8)/-12</t>
  </si>
  <si>
    <t>=NL("sum","Production Order","Quantity","Source No.",$D5554,"Equipment Code",$L5554,"due date",I$8)/-12</t>
  </si>
  <si>
    <t>=NL("sum","Production Order","Quantity","Source No.",$D5554,"Equipment Code",$L5554,"due date",J$8)/$J$7</t>
  </si>
  <si>
    <t>=AVERAGE(I5554:J5554)</t>
  </si>
  <si>
    <t>=IF(K5555=0,"hide","")</t>
  </si>
  <si>
    <t>=D5554</t>
  </si>
  <si>
    <t>=NL("sum","Production Order","Quantity","Source No.",$D5555,"Equipment Code",$L5555,"due date",F$8)/-12</t>
  </si>
  <si>
    <t>=NL("sum","Production Order","Quantity","Source No.",$D5555,"Equipment Code",$L5555,"due date",G$8)/-12</t>
  </si>
  <si>
    <t>=NL("sum","Production Order","Quantity","Source No.",$D5555,"Equipment Code",$L5555,"due date",H$8)/-12</t>
  </si>
  <si>
    <t>=NL("sum","Production Order","Quantity","Source No.",$D5555,"Equipment Code",$L5555,"due date",I$8)/-12</t>
  </si>
  <si>
    <t>=NL("sum","Production Order","Quantity","Source No.",$D5555,"Equipment Code",$L5555,"due date",J$8)/$J$7</t>
  </si>
  <si>
    <t>=AVERAGE(I5555:J5555)</t>
  </si>
  <si>
    <t>="PD-BOM00023"</t>
  </si>
  <si>
    <t>=IF(K5559=0,"hide","")</t>
  </si>
  <si>
    <t>=AVERAGE(I5559:J5559)</t>
  </si>
  <si>
    <t>=IF(K5560=0,"hide","")</t>
  </si>
  <si>
    <t>=D5559</t>
  </si>
  <si>
    <t>=NL("sum","Production Order","Quantity","Source No.",$D5560,"Equipment Code",$L5560,"due date",F$8)/-12</t>
  </si>
  <si>
    <t>=NL("sum","Production Order","Quantity","Source No.",$D5560,"Equipment Code",$L5560,"due date",G$8)/-12</t>
  </si>
  <si>
    <t>=NL("sum","Production Order","Quantity","Source No.",$D5560,"Equipment Code",$L5560,"due date",H$8)/-12</t>
  </si>
  <si>
    <t>=NL("sum","Production Order","Quantity","Source No.",$D5560,"Equipment Code",$L5560,"due date",I$8)/-12</t>
  </si>
  <si>
    <t>=NL("sum","Production Order","Quantity","Source No.",$D5560,"Equipment Code",$L5560,"due date",J$8)/$J$7</t>
  </si>
  <si>
    <t>=AVERAGE(I5560:J5560)</t>
  </si>
  <si>
    <t>=IF(K5561=0,"hide","")</t>
  </si>
  <si>
    <t>=D5560</t>
  </si>
  <si>
    <t>=NL("sum","Production Order","Quantity","Source No.",$D5561,"Equipment Code",$L5561,"due date",F$8)/-12</t>
  </si>
  <si>
    <t>=NL("sum","Production Order","Quantity","Source No.",$D5561,"Equipment Code",$L5561,"due date",G$8)/-12</t>
  </si>
  <si>
    <t>=NL("sum","Production Order","Quantity","Source No.",$D5561,"Equipment Code",$L5561,"due date",H$8)/-12</t>
  </si>
  <si>
    <t>=NL("sum","Production Order","Quantity","Source No.",$D5561,"Equipment Code",$L5561,"due date",I$8)/-12</t>
  </si>
  <si>
    <t>=NL("sum","Production Order","Quantity","Source No.",$D5561,"Equipment Code",$L5561,"due date",J$8)/$J$7</t>
  </si>
  <si>
    <t>=AVERAGE(I5561:J5561)</t>
  </si>
  <si>
    <t>=IF(K5562=0,"hide","")</t>
  </si>
  <si>
    <t>=D5561</t>
  </si>
  <si>
    <t>=NL("sum","Production Order","Quantity","Source No.",$D5562,"Equipment Code",$L5562,"due date",F$8)/-12</t>
  </si>
  <si>
    <t>=NL("sum","Production Order","Quantity","Source No.",$D5562,"Equipment Code",$L5562,"due date",G$8)/-12</t>
  </si>
  <si>
    <t>=NL("sum","Production Order","Quantity","Source No.",$D5562,"Equipment Code",$L5562,"due date",H$8)/-12</t>
  </si>
  <si>
    <t>=NL("sum","Production Order","Quantity","Source No.",$D5562,"Equipment Code",$L5562,"due date",I$8)/-12</t>
  </si>
  <si>
    <t>=NL("sum","Production Order","Quantity","Source No.",$D5562,"Equipment Code",$L5562,"due date",J$8)/$J$7</t>
  </si>
  <si>
    <t>=AVERAGE(I5562:J5562)</t>
  </si>
  <si>
    <t>=IF(K5566=0,"hide","")</t>
  </si>
  <si>
    <t>=AVERAGE(I5566:J5566)</t>
  </si>
  <si>
    <t>=IF(K5567=0,"hide","")</t>
  </si>
  <si>
    <t>=D5566</t>
  </si>
  <si>
    <t>=NL("sum","Production Order","Quantity","Source No.",$D5567,"Equipment Code",$L5567,"due date",F$8)/-12</t>
  </si>
  <si>
    <t>=NL("sum","Production Order","Quantity","Source No.",$D5567,"Equipment Code",$L5567,"due date",G$8)/-12</t>
  </si>
  <si>
    <t>=NL("sum","Production Order","Quantity","Source No.",$D5567,"Equipment Code",$L5567,"due date",H$8)/-12</t>
  </si>
  <si>
    <t>=NL("sum","Production Order","Quantity","Source No.",$D5567,"Equipment Code",$L5567,"due date",I$8)/-12</t>
  </si>
  <si>
    <t>=NL("sum","Production Order","Quantity","Source No.",$D5567,"Equipment Code",$L5567,"due date",J$8)/$J$7</t>
  </si>
  <si>
    <t>=AVERAGE(I5567:J5567)</t>
  </si>
  <si>
    <t>=IF(K5568=0,"hide","")</t>
  </si>
  <si>
    <t>=D5567</t>
  </si>
  <si>
    <t>=NL("sum","Production Order","Quantity","Source No.",$D5568,"Equipment Code",$L5568,"due date",F$8)/-12</t>
  </si>
  <si>
    <t>=NL("sum","Production Order","Quantity","Source No.",$D5568,"Equipment Code",$L5568,"due date",G$8)/-12</t>
  </si>
  <si>
    <t>=NL("sum","Production Order","Quantity","Source No.",$D5568,"Equipment Code",$L5568,"due date",H$8)/-12</t>
  </si>
  <si>
    <t>=NL("sum","Production Order","Quantity","Source No.",$D5568,"Equipment Code",$L5568,"due date",I$8)/-12</t>
  </si>
  <si>
    <t>=NL("sum","Production Order","Quantity","Source No.",$D5568,"Equipment Code",$L5568,"due date",J$8)/$J$7</t>
  </si>
  <si>
    <t>=AVERAGE(I5568:J5568)</t>
  </si>
  <si>
    <t>=IF(K5569=0,"hide","")</t>
  </si>
  <si>
    <t>=D5568</t>
  </si>
  <si>
    <t>=NL("sum","Production Order","Quantity","Source No.",$D5569,"Equipment Code",$L5569,"due date",F$8)/-12</t>
  </si>
  <si>
    <t>=NL("sum","Production Order","Quantity","Source No.",$D5569,"Equipment Code",$L5569,"due date",G$8)/-12</t>
  </si>
  <si>
    <t>=NL("sum","Production Order","Quantity","Source No.",$D5569,"Equipment Code",$L5569,"due date",H$8)/-12</t>
  </si>
  <si>
    <t>=NL("sum","Production Order","Quantity","Source No.",$D5569,"Equipment Code",$L5569,"due date",I$8)/-12</t>
  </si>
  <si>
    <t>=NL("sum","Production Order","Quantity","Source No.",$D5569,"Equipment Code",$L5569,"due date",J$8)/$J$7</t>
  </si>
  <si>
    <t>=AVERAGE(I5569:J5569)</t>
  </si>
  <si>
    <t>="PD-BOM00026"</t>
  </si>
  <si>
    <t>=IF(K5573=0,"hide","")</t>
  </si>
  <si>
    <t>=AVERAGE(I5573:J5573)</t>
  </si>
  <si>
    <t>=IF(K5574=0,"hide","")</t>
  </si>
  <si>
    <t>=D5573</t>
  </si>
  <si>
    <t>=NL("sum","Production Order","Quantity","Source No.",$D5574,"Equipment Code",$L5574,"due date",F$8)/-12</t>
  </si>
  <si>
    <t>=NL("sum","Production Order","Quantity","Source No.",$D5574,"Equipment Code",$L5574,"due date",G$8)/-12</t>
  </si>
  <si>
    <t>=NL("sum","Production Order","Quantity","Source No.",$D5574,"Equipment Code",$L5574,"due date",H$8)/-12</t>
  </si>
  <si>
    <t>=NL("sum","Production Order","Quantity","Source No.",$D5574,"Equipment Code",$L5574,"due date",I$8)/-12</t>
  </si>
  <si>
    <t>=NL("sum","Production Order","Quantity","Source No.",$D5574,"Equipment Code",$L5574,"due date",J$8)/$J$7</t>
  </si>
  <si>
    <t>=AVERAGE(I5574:J5574)</t>
  </si>
  <si>
    <t>=IF(K5575=0,"hide","")</t>
  </si>
  <si>
    <t>=D5574</t>
  </si>
  <si>
    <t>=NL("sum","Production Order","Quantity","Source No.",$D5575,"Equipment Code",$L5575,"due date",F$8)/-12</t>
  </si>
  <si>
    <t>=NL("sum","Production Order","Quantity","Source No.",$D5575,"Equipment Code",$L5575,"due date",G$8)/-12</t>
  </si>
  <si>
    <t>=NL("sum","Production Order","Quantity","Source No.",$D5575,"Equipment Code",$L5575,"due date",H$8)/-12</t>
  </si>
  <si>
    <t>=NL("sum","Production Order","Quantity","Source No.",$D5575,"Equipment Code",$L5575,"due date",I$8)/-12</t>
  </si>
  <si>
    <t>=NL("sum","Production Order","Quantity","Source No.",$D5575,"Equipment Code",$L5575,"due date",J$8)/$J$7</t>
  </si>
  <si>
    <t>=AVERAGE(I5575:J5575)</t>
  </si>
  <si>
    <t>=IF(K5576=0,"hide","")</t>
  </si>
  <si>
    <t>=D5575</t>
  </si>
  <si>
    <t>=NL("sum","Production Order","Quantity","Source No.",$D5576,"Equipment Code",$L5576,"due date",F$8)/-12</t>
  </si>
  <si>
    <t>=NL("sum","Production Order","Quantity","Source No.",$D5576,"Equipment Code",$L5576,"due date",G$8)/-12</t>
  </si>
  <si>
    <t>=NL("sum","Production Order","Quantity","Source No.",$D5576,"Equipment Code",$L5576,"due date",H$8)/-12</t>
  </si>
  <si>
    <t>=NL("sum","Production Order","Quantity","Source No.",$D5576,"Equipment Code",$L5576,"due date",I$8)/-12</t>
  </si>
  <si>
    <t>=NL("sum","Production Order","Quantity","Source No.",$D5576,"Equipment Code",$L5576,"due date",J$8)/$J$7</t>
  </si>
  <si>
    <t>=AVERAGE(I5576:J5576)</t>
  </si>
  <si>
    <t>="PD-BOM00030"</t>
  </si>
  <si>
    <t>=IF(K5580=0,"hide","")</t>
  </si>
  <si>
    <t>=AVERAGE(I5580:J5580)</t>
  </si>
  <si>
    <t>=IF(K5581=0,"hide","")</t>
  </si>
  <si>
    <t>=D5580</t>
  </si>
  <si>
    <t>=NL("sum","Production Order","Quantity","Source No.",$D5581,"Equipment Code",$L5581,"due date",F$8)/-12</t>
  </si>
  <si>
    <t>=NL("sum","Production Order","Quantity","Source No.",$D5581,"Equipment Code",$L5581,"due date",G$8)/-12</t>
  </si>
  <si>
    <t>=NL("sum","Production Order","Quantity","Source No.",$D5581,"Equipment Code",$L5581,"due date",H$8)/-12</t>
  </si>
  <si>
    <t>=NL("sum","Production Order","Quantity","Source No.",$D5581,"Equipment Code",$L5581,"due date",I$8)/-12</t>
  </si>
  <si>
    <t>=NL("sum","Production Order","Quantity","Source No.",$D5581,"Equipment Code",$L5581,"due date",J$8)/$J$7</t>
  </si>
  <si>
    <t>=AVERAGE(I5581:J5581)</t>
  </si>
  <si>
    <t>=IF(K5582=0,"hide","")</t>
  </si>
  <si>
    <t>=D5581</t>
  </si>
  <si>
    <t>=NL("sum","Production Order","Quantity","Source No.",$D5582,"Equipment Code",$L5582,"due date",F$8)/-12</t>
  </si>
  <si>
    <t>=NL("sum","Production Order","Quantity","Source No.",$D5582,"Equipment Code",$L5582,"due date",G$8)/-12</t>
  </si>
  <si>
    <t>=NL("sum","Production Order","Quantity","Source No.",$D5582,"Equipment Code",$L5582,"due date",H$8)/-12</t>
  </si>
  <si>
    <t>=NL("sum","Production Order","Quantity","Source No.",$D5582,"Equipment Code",$L5582,"due date",I$8)/-12</t>
  </si>
  <si>
    <t>=NL("sum","Production Order","Quantity","Source No.",$D5582,"Equipment Code",$L5582,"due date",J$8)/$J$7</t>
  </si>
  <si>
    <t>=AVERAGE(I5582:J5582)</t>
  </si>
  <si>
    <t>=IF(K5583=0,"hide","")</t>
  </si>
  <si>
    <t>=D5582</t>
  </si>
  <si>
    <t>=NL("sum","Production Order","Quantity","Source No.",$D5583,"Equipment Code",$L5583,"due date",F$8)/-12</t>
  </si>
  <si>
    <t>=NL("sum","Production Order","Quantity","Source No.",$D5583,"Equipment Code",$L5583,"due date",G$8)/-12</t>
  </si>
  <si>
    <t>=NL("sum","Production Order","Quantity","Source No.",$D5583,"Equipment Code",$L5583,"due date",H$8)/-12</t>
  </si>
  <si>
    <t>=NL("sum","Production Order","Quantity","Source No.",$D5583,"Equipment Code",$L5583,"due date",I$8)/-12</t>
  </si>
  <si>
    <t>=NL("sum","Production Order","Quantity","Source No.",$D5583,"Equipment Code",$L5583,"due date",J$8)/$J$7</t>
  </si>
  <si>
    <t>=AVERAGE(I5583:J5583)</t>
  </si>
  <si>
    <t>=IF(K5587=0,"hide","")</t>
  </si>
  <si>
    <t>=AVERAGE(I5587:J5587)</t>
  </si>
  <si>
    <t>=IF(K5588=0,"hide","")</t>
  </si>
  <si>
    <t>=D5587</t>
  </si>
  <si>
    <t>=NL("sum","Production Order","Quantity","Source No.",$D5588,"Equipment Code",$L5588,"due date",F$8)/-12</t>
  </si>
  <si>
    <t>=NL("sum","Production Order","Quantity","Source No.",$D5588,"Equipment Code",$L5588,"due date",G$8)/-12</t>
  </si>
  <si>
    <t>=NL("sum","Production Order","Quantity","Source No.",$D5588,"Equipment Code",$L5588,"due date",H$8)/-12</t>
  </si>
  <si>
    <t>=NL("sum","Production Order","Quantity","Source No.",$D5588,"Equipment Code",$L5588,"due date",I$8)/-12</t>
  </si>
  <si>
    <t>=NL("sum","Production Order","Quantity","Source No.",$D5588,"Equipment Code",$L5588,"due date",J$8)/$J$7</t>
  </si>
  <si>
    <t>=AVERAGE(I5588:J5588)</t>
  </si>
  <si>
    <t>=IF(K5589=0,"hide","")</t>
  </si>
  <si>
    <t>=D5588</t>
  </si>
  <si>
    <t>=NL("sum","Production Order","Quantity","Source No.",$D5589,"Equipment Code",$L5589,"due date",F$8)/-12</t>
  </si>
  <si>
    <t>=NL("sum","Production Order","Quantity","Source No.",$D5589,"Equipment Code",$L5589,"due date",G$8)/-12</t>
  </si>
  <si>
    <t>=NL("sum","Production Order","Quantity","Source No.",$D5589,"Equipment Code",$L5589,"due date",H$8)/-12</t>
  </si>
  <si>
    <t>=NL("sum","Production Order","Quantity","Source No.",$D5589,"Equipment Code",$L5589,"due date",I$8)/-12</t>
  </si>
  <si>
    <t>=NL("sum","Production Order","Quantity","Source No.",$D5589,"Equipment Code",$L5589,"due date",J$8)/$J$7</t>
  </si>
  <si>
    <t>=AVERAGE(I5589:J5589)</t>
  </si>
  <si>
    <t>=IF(K5590=0,"hide","")</t>
  </si>
  <si>
    <t>=D5589</t>
  </si>
  <si>
    <t>=NL("sum","Production Order","Quantity","Source No.",$D5590,"Equipment Code",$L5590,"due date",F$8)/-12</t>
  </si>
  <si>
    <t>=NL("sum","Production Order","Quantity","Source No.",$D5590,"Equipment Code",$L5590,"due date",G$8)/-12</t>
  </si>
  <si>
    <t>=NL("sum","Production Order","Quantity","Source No.",$D5590,"Equipment Code",$L5590,"due date",H$8)/-12</t>
  </si>
  <si>
    <t>=NL("sum","Production Order","Quantity","Source No.",$D5590,"Equipment Code",$L5590,"due date",I$8)/-12</t>
  </si>
  <si>
    <t>=NL("sum","Production Order","Quantity","Source No.",$D5590,"Equipment Code",$L5590,"due date",J$8)/$J$7</t>
  </si>
  <si>
    <t>=AVERAGE(I5590:J5590)</t>
  </si>
  <si>
    <t>="TEST PKG BOM"</t>
  </si>
  <si>
    <t>=IF(K5594=0,"hide","")</t>
  </si>
  <si>
    <t>=AVERAGE(I5594:J5594)</t>
  </si>
  <si>
    <t>=IF(K5595=0,"hide","")</t>
  </si>
  <si>
    <t>=D5594</t>
  </si>
  <si>
    <t>=NL("sum","Production Order","Quantity","Source No.",$D5595,"Equipment Code",$L5595,"due date",F$8)/-12</t>
  </si>
  <si>
    <t>=NL("sum","Production Order","Quantity","Source No.",$D5595,"Equipment Code",$L5595,"due date",G$8)/-12</t>
  </si>
  <si>
    <t>=NL("sum","Production Order","Quantity","Source No.",$D5595,"Equipment Code",$L5595,"due date",H$8)/-12</t>
  </si>
  <si>
    <t>=NL("sum","Production Order","Quantity","Source No.",$D5595,"Equipment Code",$L5595,"due date",I$8)/-12</t>
  </si>
  <si>
    <t>=NL("sum","Production Order","Quantity","Source No.",$D5595,"Equipment Code",$L5595,"due date",J$8)/$J$7</t>
  </si>
  <si>
    <t>=AVERAGE(I5595:J5595)</t>
  </si>
  <si>
    <t>=IF(K5596=0,"hide","")</t>
  </si>
  <si>
    <t>=D5595</t>
  </si>
  <si>
    <t>=NL("sum","Production Order","Quantity","Source No.",$D5596,"Equipment Code",$L5596,"due date",F$8)/-12</t>
  </si>
  <si>
    <t>=NL("sum","Production Order","Quantity","Source No.",$D5596,"Equipment Code",$L5596,"due date",G$8)/-12</t>
  </si>
  <si>
    <t>=NL("sum","Production Order","Quantity","Source No.",$D5596,"Equipment Code",$L5596,"due date",H$8)/-12</t>
  </si>
  <si>
    <t>=NL("sum","Production Order","Quantity","Source No.",$D5596,"Equipment Code",$L5596,"due date",I$8)/-12</t>
  </si>
  <si>
    <t>=NL("sum","Production Order","Quantity","Source No.",$D5596,"Equipment Code",$L5596,"due date",J$8)/$J$7</t>
  </si>
  <si>
    <t>=AVERAGE(I5596:J5596)</t>
  </si>
  <si>
    <t>=IF(K5597=0,"hide","")</t>
  </si>
  <si>
    <t>=D5596</t>
  </si>
  <si>
    <t>=NL("sum","Production Order","Quantity","Source No.",$D5597,"Equipment Code",$L5597,"due date",F$8)/-12</t>
  </si>
  <si>
    <t>=NL("sum","Production Order","Quantity","Source No.",$D5597,"Equipment Code",$L5597,"due date",G$8)/-12</t>
  </si>
  <si>
    <t>=NL("sum","Production Order","Quantity","Source No.",$D5597,"Equipment Code",$L5597,"due date",H$8)/-12</t>
  </si>
  <si>
    <t>=NL("sum","Production Order","Quantity","Source No.",$D5597,"Equipment Code",$L5597,"due date",I$8)/-12</t>
  </si>
  <si>
    <t>=NL("sum","Production Order","Quantity","Source No.",$D5597,"Equipment Code",$L5597,"due date",J$8)/$J$7</t>
  </si>
  <si>
    <t>=AVERAGE(I5597:J5597)</t>
  </si>
  <si>
    <t>="WBSBL270"</t>
  </si>
  <si>
    <t>=IF(K5601=0,"hide","")</t>
  </si>
  <si>
    <t>=AVERAGE(I5601:J5601)</t>
  </si>
  <si>
    <t>=IF(K5602=0,"hide","")</t>
  </si>
  <si>
    <t>=D5601</t>
  </si>
  <si>
    <t>=NL("sum","Production Order","Quantity","Source No.",$D5602,"Equipment Code",$L5602,"due date",F$8)/-12</t>
  </si>
  <si>
    <t>=NL("sum","Production Order","Quantity","Source No.",$D5602,"Equipment Code",$L5602,"due date",G$8)/-12</t>
  </si>
  <si>
    <t>=NL("sum","Production Order","Quantity","Source No.",$D5602,"Equipment Code",$L5602,"due date",H$8)/-12</t>
  </si>
  <si>
    <t>=NL("sum","Production Order","Quantity","Source No.",$D5602,"Equipment Code",$L5602,"due date",I$8)/-12</t>
  </si>
  <si>
    <t>=NL("sum","Production Order","Quantity","Source No.",$D5602,"Equipment Code",$L5602,"due date",J$8)/$J$7</t>
  </si>
  <si>
    <t>=AVERAGE(I5602:J5602)</t>
  </si>
  <si>
    <t>=IF(K5603=0,"hide","")</t>
  </si>
  <si>
    <t>=D5602</t>
  </si>
  <si>
    <t>=NL("sum","Production Order","Quantity","Source No.",$D5603,"Equipment Code",$L5603,"due date",F$8)/-12</t>
  </si>
  <si>
    <t>=NL("sum","Production Order","Quantity","Source No.",$D5603,"Equipment Code",$L5603,"due date",G$8)/-12</t>
  </si>
  <si>
    <t>=NL("sum","Production Order","Quantity","Source No.",$D5603,"Equipment Code",$L5603,"due date",H$8)/-12</t>
  </si>
  <si>
    <t>=NL("sum","Production Order","Quantity","Source No.",$D5603,"Equipment Code",$L5603,"due date",I$8)/-12</t>
  </si>
  <si>
    <t>=NL("sum","Production Order","Quantity","Source No.",$D5603,"Equipment Code",$L5603,"due date",J$8)/$J$7</t>
  </si>
  <si>
    <t>=AVERAGE(I5603:J5603)</t>
  </si>
  <si>
    <t>=IF(K5604=0,"hide","")</t>
  </si>
  <si>
    <t>=D5603</t>
  </si>
  <si>
    <t>=NL("sum","Production Order","Quantity","Source No.",$D5604,"Equipment Code",$L5604,"due date",F$8)/-12</t>
  </si>
  <si>
    <t>=NL("sum","Production Order","Quantity","Source No.",$D5604,"Equipment Code",$L5604,"due date",G$8)/-12</t>
  </si>
  <si>
    <t>=NL("sum","Production Order","Quantity","Source No.",$D5604,"Equipment Code",$L5604,"due date",H$8)/-12</t>
  </si>
  <si>
    <t>=NL("sum","Production Order","Quantity","Source No.",$D5604,"Equipment Code",$L5604,"due date",I$8)/-12</t>
  </si>
  <si>
    <t>=NL("sum","Production Order","Quantity","Source No.",$D5604,"Equipment Code",$L5604,"due date",J$8)/$J$7</t>
  </si>
  <si>
    <t>=AVERAGE(I5604:J5604)</t>
  </si>
  <si>
    <t>="WBSBN270"</t>
  </si>
  <si>
    <t>=IF(K5608=0,"hide","")</t>
  </si>
  <si>
    <t>=AVERAGE(I5608:J5608)</t>
  </si>
  <si>
    <t>=IF(K5609=0,"hide","")</t>
  </si>
  <si>
    <t>=D5608</t>
  </si>
  <si>
    <t>=NL("sum","Production Order","Quantity","Source No.",$D5609,"Equipment Code",$L5609,"due date",F$8)/-12</t>
  </si>
  <si>
    <t>=NL("sum","Production Order","Quantity","Source No.",$D5609,"Equipment Code",$L5609,"due date",G$8)/-12</t>
  </si>
  <si>
    <t>=NL("sum","Production Order","Quantity","Source No.",$D5609,"Equipment Code",$L5609,"due date",H$8)/-12</t>
  </si>
  <si>
    <t>=NL("sum","Production Order","Quantity","Source No.",$D5609,"Equipment Code",$L5609,"due date",I$8)/-12</t>
  </si>
  <si>
    <t>=NL("sum","Production Order","Quantity","Source No.",$D5609,"Equipment Code",$L5609,"due date",J$8)/$J$7</t>
  </si>
  <si>
    <t>=AVERAGE(I5609:J5609)</t>
  </si>
  <si>
    <t>=IF(K5610=0,"hide","")</t>
  </si>
  <si>
    <t>=D5609</t>
  </si>
  <si>
    <t>=NL("sum","Production Order","Quantity","Source No.",$D5610,"Equipment Code",$L5610,"due date",F$8)/-12</t>
  </si>
  <si>
    <t>=NL("sum","Production Order","Quantity","Source No.",$D5610,"Equipment Code",$L5610,"due date",G$8)/-12</t>
  </si>
  <si>
    <t>=NL("sum","Production Order","Quantity","Source No.",$D5610,"Equipment Code",$L5610,"due date",H$8)/-12</t>
  </si>
  <si>
    <t>=NL("sum","Production Order","Quantity","Source No.",$D5610,"Equipment Code",$L5610,"due date",I$8)/-12</t>
  </si>
  <si>
    <t>=NL("sum","Production Order","Quantity","Source No.",$D5610,"Equipment Code",$L5610,"due date",J$8)/$J$7</t>
  </si>
  <si>
    <t>=AVERAGE(I5610:J5610)</t>
  </si>
  <si>
    <t>=IF(K5611=0,"hide","")</t>
  </si>
  <si>
    <t>=D5610</t>
  </si>
  <si>
    <t>=NL("sum","Production Order","Quantity","Source No.",$D5611,"Equipment Code",$L5611,"due date",F$8)/-12</t>
  </si>
  <si>
    <t>=NL("sum","Production Order","Quantity","Source No.",$D5611,"Equipment Code",$L5611,"due date",G$8)/-12</t>
  </si>
  <si>
    <t>=NL("sum","Production Order","Quantity","Source No.",$D5611,"Equipment Code",$L5611,"due date",H$8)/-12</t>
  </si>
  <si>
    <t>=NL("sum","Production Order","Quantity","Source No.",$D5611,"Equipment Code",$L5611,"due date",I$8)/-12</t>
  </si>
  <si>
    <t>=NL("sum","Production Order","Quantity","Source No.",$D5611,"Equipment Code",$L5611,"due date",J$8)/$J$7</t>
  </si>
  <si>
    <t>=AVERAGE(I5611:J5611)</t>
  </si>
  <si>
    <t>="WBSCH270"</t>
  </si>
  <si>
    <t>=IF(K5615=0,"hide","")</t>
  </si>
  <si>
    <t>=AVERAGE(I5615:J5615)</t>
  </si>
  <si>
    <t>=IF(K5616=0,"hide","")</t>
  </si>
  <si>
    <t>=D5615</t>
  </si>
  <si>
    <t>=NL("sum","Production Order","Quantity","Source No.",$D5616,"Equipment Code",$L5616,"due date",F$8)/-12</t>
  </si>
  <si>
    <t>=NL("sum","Production Order","Quantity","Source No.",$D5616,"Equipment Code",$L5616,"due date",G$8)/-12</t>
  </si>
  <si>
    <t>=NL("sum","Production Order","Quantity","Source No.",$D5616,"Equipment Code",$L5616,"due date",H$8)/-12</t>
  </si>
  <si>
    <t>=NL("sum","Production Order","Quantity","Source No.",$D5616,"Equipment Code",$L5616,"due date",I$8)/-12</t>
  </si>
  <si>
    <t>=NL("sum","Production Order","Quantity","Source No.",$D5616,"Equipment Code",$L5616,"due date",J$8)/$J$7</t>
  </si>
  <si>
    <t>=AVERAGE(I5616:J5616)</t>
  </si>
  <si>
    <t>=IF(K5617=0,"hide","")</t>
  </si>
  <si>
    <t>=D5616</t>
  </si>
  <si>
    <t>=NL("sum","Production Order","Quantity","Source No.",$D5617,"Equipment Code",$L5617,"due date",F$8)/-12</t>
  </si>
  <si>
    <t>=NL("sum","Production Order","Quantity","Source No.",$D5617,"Equipment Code",$L5617,"due date",G$8)/-12</t>
  </si>
  <si>
    <t>=NL("sum","Production Order","Quantity","Source No.",$D5617,"Equipment Code",$L5617,"due date",H$8)/-12</t>
  </si>
  <si>
    <t>=NL("sum","Production Order","Quantity","Source No.",$D5617,"Equipment Code",$L5617,"due date",I$8)/-12</t>
  </si>
  <si>
    <t>=NL("sum","Production Order","Quantity","Source No.",$D5617,"Equipment Code",$L5617,"due date",J$8)/$J$7</t>
  </si>
  <si>
    <t>=AVERAGE(I5617:J5617)</t>
  </si>
  <si>
    <t>=IF(K5618=0,"hide","")</t>
  </si>
  <si>
    <t>=D5617</t>
  </si>
  <si>
    <t>=NL("sum","Production Order","Quantity","Source No.",$D5618,"Equipment Code",$L5618,"due date",F$8)/-12</t>
  </si>
  <si>
    <t>=NL("sum","Production Order","Quantity","Source No.",$D5618,"Equipment Code",$L5618,"due date",G$8)/-12</t>
  </si>
  <si>
    <t>=NL("sum","Production Order","Quantity","Source No.",$D5618,"Equipment Code",$L5618,"due date",H$8)/-12</t>
  </si>
  <si>
    <t>=NL("sum","Production Order","Quantity","Source No.",$D5618,"Equipment Code",$L5618,"due date",I$8)/-12</t>
  </si>
  <si>
    <t>=NL("sum","Production Order","Quantity","Source No.",$D5618,"Equipment Code",$L5618,"due date",J$8)/$J$7</t>
  </si>
  <si>
    <t>=AVERAGE(I5618:J5618)</t>
  </si>
  <si>
    <t>="WBSPK270"</t>
  </si>
  <si>
    <t>=IF(K5622=0,"hide","")</t>
  </si>
  <si>
    <t>=AVERAGE(I5622:J5622)</t>
  </si>
  <si>
    <t>=IF(K5623=0,"hide","")</t>
  </si>
  <si>
    <t>=D5622</t>
  </si>
  <si>
    <t>=NL("sum","Production Order","Quantity","Source No.",$D5623,"Equipment Code",$L5623,"due date",F$8)/-12</t>
  </si>
  <si>
    <t>=NL("sum","Production Order","Quantity","Source No.",$D5623,"Equipment Code",$L5623,"due date",G$8)/-12</t>
  </si>
  <si>
    <t>=NL("sum","Production Order","Quantity","Source No.",$D5623,"Equipment Code",$L5623,"due date",H$8)/-12</t>
  </si>
  <si>
    <t>=NL("sum","Production Order","Quantity","Source No.",$D5623,"Equipment Code",$L5623,"due date",I$8)/-12</t>
  </si>
  <si>
    <t>=NL("sum","Production Order","Quantity","Source No.",$D5623,"Equipment Code",$L5623,"due date",J$8)/$J$7</t>
  </si>
  <si>
    <t>=AVERAGE(I5623:J5623)</t>
  </si>
  <si>
    <t>=IF(K5624=0,"hide","")</t>
  </si>
  <si>
    <t>=D5623</t>
  </si>
  <si>
    <t>=NL("sum","Production Order","Quantity","Source No.",$D5624,"Equipment Code",$L5624,"due date",F$8)/-12</t>
  </si>
  <si>
    <t>=NL("sum","Production Order","Quantity","Source No.",$D5624,"Equipment Code",$L5624,"due date",G$8)/-12</t>
  </si>
  <si>
    <t>=NL("sum","Production Order","Quantity","Source No.",$D5624,"Equipment Code",$L5624,"due date",H$8)/-12</t>
  </si>
  <si>
    <t>=NL("sum","Production Order","Quantity","Source No.",$D5624,"Equipment Code",$L5624,"due date",I$8)/-12</t>
  </si>
  <si>
    <t>=NL("sum","Production Order","Quantity","Source No.",$D5624,"Equipment Code",$L5624,"due date",J$8)/$J$7</t>
  </si>
  <si>
    <t>=AVERAGE(I5624:J5624)</t>
  </si>
  <si>
    <t>=IF(K5625=0,"hide","")</t>
  </si>
  <si>
    <t>=D5624</t>
  </si>
  <si>
    <t>=NL("sum","Production Order","Quantity","Source No.",$D5625,"Equipment Code",$L5625,"due date",F$8)/-12</t>
  </si>
  <si>
    <t>=NL("sum","Production Order","Quantity","Source No.",$D5625,"Equipment Code",$L5625,"due date",G$8)/-12</t>
  </si>
  <si>
    <t>=NL("sum","Production Order","Quantity","Source No.",$D5625,"Equipment Code",$L5625,"due date",H$8)/-12</t>
  </si>
  <si>
    <t>=NL("sum","Production Order","Quantity","Source No.",$D5625,"Equipment Code",$L5625,"due date",I$8)/-12</t>
  </si>
  <si>
    <t>=NL("sum","Production Order","Quantity","Source No.",$D5625,"Equipment Code",$L5625,"due date",J$8)/$J$7</t>
  </si>
  <si>
    <t>=AVERAGE(I5625:J5625)</t>
  </si>
  <si>
    <t>="WBSZU270"</t>
  </si>
  <si>
    <t>=IF(K5629=0,"hide","")</t>
  </si>
  <si>
    <t>=AVERAGE(I5629:J5629)</t>
  </si>
  <si>
    <t>=IF(K5630=0,"hide","")</t>
  </si>
  <si>
    <t>=D5629</t>
  </si>
  <si>
    <t>=NL("sum","Production Order","Quantity","Source No.",$D5630,"Equipment Code",$L5630,"due date",F$8)/-12</t>
  </si>
  <si>
    <t>=NL("sum","Production Order","Quantity","Source No.",$D5630,"Equipment Code",$L5630,"due date",G$8)/-12</t>
  </si>
  <si>
    <t>=NL("sum","Production Order","Quantity","Source No.",$D5630,"Equipment Code",$L5630,"due date",H$8)/-12</t>
  </si>
  <si>
    <t>=NL("sum","Production Order","Quantity","Source No.",$D5630,"Equipment Code",$L5630,"due date",I$8)/-12</t>
  </si>
  <si>
    <t>=NL("sum","Production Order","Quantity","Source No.",$D5630,"Equipment Code",$L5630,"due date",J$8)/$J$7</t>
  </si>
  <si>
    <t>=AVERAGE(I5630:J5630)</t>
  </si>
  <si>
    <t>=IF(K5631=0,"hide","")</t>
  </si>
  <si>
    <t>=D5630</t>
  </si>
  <si>
    <t>=NL("sum","Production Order","Quantity","Source No.",$D5631,"Equipment Code",$L5631,"due date",F$8)/-12</t>
  </si>
  <si>
    <t>=NL("sum","Production Order","Quantity","Source No.",$D5631,"Equipment Code",$L5631,"due date",G$8)/-12</t>
  </si>
  <si>
    <t>=NL("sum","Production Order","Quantity","Source No.",$D5631,"Equipment Code",$L5631,"due date",H$8)/-12</t>
  </si>
  <si>
    <t>=NL("sum","Production Order","Quantity","Source No.",$D5631,"Equipment Code",$L5631,"due date",I$8)/-12</t>
  </si>
  <si>
    <t>=NL("sum","Production Order","Quantity","Source No.",$D5631,"Equipment Code",$L5631,"due date",J$8)/$J$7</t>
  </si>
  <si>
    <t>=AVERAGE(I5631:J5631)</t>
  </si>
  <si>
    <t>=IF(K5632=0,"hide","")</t>
  </si>
  <si>
    <t>=D5631</t>
  </si>
  <si>
    <t>=NL("sum","Production Order","Quantity","Source No.",$D5632,"Equipment Code",$L5632,"due date",F$8)/-12</t>
  </si>
  <si>
    <t>=NL("sum","Production Order","Quantity","Source No.",$D5632,"Equipment Code",$L5632,"due date",G$8)/-12</t>
  </si>
  <si>
    <t>=NL("sum","Production Order","Quantity","Source No.",$D5632,"Equipment Code",$L5632,"due date",H$8)/-12</t>
  </si>
  <si>
    <t>=NL("sum","Production Order","Quantity","Source No.",$D5632,"Equipment Code",$L5632,"due date",I$8)/-12</t>
  </si>
  <si>
    <t>=NL("sum","Production Order","Quantity","Source No.",$D5632,"Equipment Code",$L5632,"due date",J$8)/$J$7</t>
  </si>
  <si>
    <t>=AVERAGE(I5632:J5632)</t>
  </si>
  <si>
    <t>="WMAPL196"</t>
  </si>
  <si>
    <t>=IF(K5636=0,"hide","")</t>
  </si>
  <si>
    <t>=AVERAGE(I5636:J5636)</t>
  </si>
  <si>
    <t>=IF(K5637=0,"hide","")</t>
  </si>
  <si>
    <t>=D5636</t>
  </si>
  <si>
    <t>=NL("sum","Production Order","Quantity","Source No.",$D5637,"Equipment Code",$L5637,"due date",F$8)/-12</t>
  </si>
  <si>
    <t>=NL("sum","Production Order","Quantity","Source No.",$D5637,"Equipment Code",$L5637,"due date",G$8)/-12</t>
  </si>
  <si>
    <t>=NL("sum","Production Order","Quantity","Source No.",$D5637,"Equipment Code",$L5637,"due date",H$8)/-12</t>
  </si>
  <si>
    <t>=NL("sum","Production Order","Quantity","Source No.",$D5637,"Equipment Code",$L5637,"due date",I$8)/-12</t>
  </si>
  <si>
    <t>=NL("sum","Production Order","Quantity","Source No.",$D5637,"Equipment Code",$L5637,"due date",J$8)/$J$7</t>
  </si>
  <si>
    <t>=AVERAGE(I5637:J5637)</t>
  </si>
  <si>
    <t>=IF(K5638=0,"hide","")</t>
  </si>
  <si>
    <t>=D5637</t>
  </si>
  <si>
    <t>=NL("sum","Production Order","Quantity","Source No.",$D5638,"Equipment Code",$L5638,"due date",F$8)/-12</t>
  </si>
  <si>
    <t>=NL("sum","Production Order","Quantity","Source No.",$D5638,"Equipment Code",$L5638,"due date",G$8)/-12</t>
  </si>
  <si>
    <t>=NL("sum","Production Order","Quantity","Source No.",$D5638,"Equipment Code",$L5638,"due date",H$8)/-12</t>
  </si>
  <si>
    <t>=NL("sum","Production Order","Quantity","Source No.",$D5638,"Equipment Code",$L5638,"due date",I$8)/-12</t>
  </si>
  <si>
    <t>=NL("sum","Production Order","Quantity","Source No.",$D5638,"Equipment Code",$L5638,"due date",J$8)/$J$7</t>
  </si>
  <si>
    <t>=AVERAGE(I5638:J5638)</t>
  </si>
  <si>
    <t>=IF(K5639=0,"hide","")</t>
  </si>
  <si>
    <t>=D5638</t>
  </si>
  <si>
    <t>=NL("sum","Production Order","Quantity","Source No.",$D5639,"Equipment Code",$L5639,"due date",F$8)/-12</t>
  </si>
  <si>
    <t>=NL("sum","Production Order","Quantity","Source No.",$D5639,"Equipment Code",$L5639,"due date",G$8)/-12</t>
  </si>
  <si>
    <t>=NL("sum","Production Order","Quantity","Source No.",$D5639,"Equipment Code",$L5639,"due date",H$8)/-12</t>
  </si>
  <si>
    <t>=NL("sum","Production Order","Quantity","Source No.",$D5639,"Equipment Code",$L5639,"due date",I$8)/-12</t>
  </si>
  <si>
    <t>=NL("sum","Production Order","Quantity","Source No.",$D5639,"Equipment Code",$L5639,"due date",J$8)/$J$7</t>
  </si>
  <si>
    <t>=AVERAGE(I5639:J5639)</t>
  </si>
  <si>
    <t>="WMAPL248"</t>
  </si>
  <si>
    <t>=IF(K5643=0,"hide","")</t>
  </si>
  <si>
    <t>=AVERAGE(I5643:J5643)</t>
  </si>
  <si>
    <t>=IF(K5644=0,"hide","")</t>
  </si>
  <si>
    <t>=D5643</t>
  </si>
  <si>
    <t>=NL("sum","Production Order","Quantity","Source No.",$D5644,"Equipment Code",$L5644,"due date",F$8)/-12</t>
  </si>
  <si>
    <t>=NL("sum","Production Order","Quantity","Source No.",$D5644,"Equipment Code",$L5644,"due date",G$8)/-12</t>
  </si>
  <si>
    <t>=NL("sum","Production Order","Quantity","Source No.",$D5644,"Equipment Code",$L5644,"due date",H$8)/-12</t>
  </si>
  <si>
    <t>=NL("sum","Production Order","Quantity","Source No.",$D5644,"Equipment Code",$L5644,"due date",I$8)/-12</t>
  </si>
  <si>
    <t>=NL("sum","Production Order","Quantity","Source No.",$D5644,"Equipment Code",$L5644,"due date",J$8)/$J$7</t>
  </si>
  <si>
    <t>=AVERAGE(I5644:J5644)</t>
  </si>
  <si>
    <t>=IF(K5645=0,"hide","")</t>
  </si>
  <si>
    <t>=D5644</t>
  </si>
  <si>
    <t>=NL("sum","Production Order","Quantity","Source No.",$D5645,"Equipment Code",$L5645,"due date",F$8)/-12</t>
  </si>
  <si>
    <t>=NL("sum","Production Order","Quantity","Source No.",$D5645,"Equipment Code",$L5645,"due date",G$8)/-12</t>
  </si>
  <si>
    <t>=NL("sum","Production Order","Quantity","Source No.",$D5645,"Equipment Code",$L5645,"due date",H$8)/-12</t>
  </si>
  <si>
    <t>=NL("sum","Production Order","Quantity","Source No.",$D5645,"Equipment Code",$L5645,"due date",I$8)/-12</t>
  </si>
  <si>
    <t>=NL("sum","Production Order","Quantity","Source No.",$D5645,"Equipment Code",$L5645,"due date",J$8)/$J$7</t>
  </si>
  <si>
    <t>=AVERAGE(I5645:J5645)</t>
  </si>
  <si>
    <t>=IF(K5646=0,"hide","")</t>
  </si>
  <si>
    <t>=D5645</t>
  </si>
  <si>
    <t>=NL("sum","Production Order","Quantity","Source No.",$D5646,"Equipment Code",$L5646,"due date",F$8)/-12</t>
  </si>
  <si>
    <t>=NL("sum","Production Order","Quantity","Source No.",$D5646,"Equipment Code",$L5646,"due date",G$8)/-12</t>
  </si>
  <si>
    <t>=NL("sum","Production Order","Quantity","Source No.",$D5646,"Equipment Code",$L5646,"due date",H$8)/-12</t>
  </si>
  <si>
    <t>=NL("sum","Production Order","Quantity","Source No.",$D5646,"Equipment Code",$L5646,"due date",I$8)/-12</t>
  </si>
  <si>
    <t>=NL("sum","Production Order","Quantity","Source No.",$D5646,"Equipment Code",$L5646,"due date",J$8)/$J$7</t>
  </si>
  <si>
    <t>=AVERAGE(I5646:J5646)</t>
  </si>
  <si>
    <t>="WMBAN196"</t>
  </si>
  <si>
    <t>=IF(K5650=0,"hide","")</t>
  </si>
  <si>
    <t>=AVERAGE(I5650:J5650)</t>
  </si>
  <si>
    <t>=IF(K5651=0,"hide","")</t>
  </si>
  <si>
    <t>=D5650</t>
  </si>
  <si>
    <t>=NL("sum","Production Order","Quantity","Source No.",$D5651,"Equipment Code",$L5651,"due date",F$8)/-12</t>
  </si>
  <si>
    <t>=NL("sum","Production Order","Quantity","Source No.",$D5651,"Equipment Code",$L5651,"due date",G$8)/-12</t>
  </si>
  <si>
    <t>=NL("sum","Production Order","Quantity","Source No.",$D5651,"Equipment Code",$L5651,"due date",H$8)/-12</t>
  </si>
  <si>
    <t>=NL("sum","Production Order","Quantity","Source No.",$D5651,"Equipment Code",$L5651,"due date",I$8)/-12</t>
  </si>
  <si>
    <t>=NL("sum","Production Order","Quantity","Source No.",$D5651,"Equipment Code",$L5651,"due date",J$8)/$J$7</t>
  </si>
  <si>
    <t>=AVERAGE(I5651:J5651)</t>
  </si>
  <si>
    <t>=IF(K5652=0,"hide","")</t>
  </si>
  <si>
    <t>=D5651</t>
  </si>
  <si>
    <t>=NL("sum","Production Order","Quantity","Source No.",$D5652,"Equipment Code",$L5652,"due date",F$8)/-12</t>
  </si>
  <si>
    <t>=NL("sum","Production Order","Quantity","Source No.",$D5652,"Equipment Code",$L5652,"due date",G$8)/-12</t>
  </si>
  <si>
    <t>=NL("sum","Production Order","Quantity","Source No.",$D5652,"Equipment Code",$L5652,"due date",H$8)/-12</t>
  </si>
  <si>
    <t>=NL("sum","Production Order","Quantity","Source No.",$D5652,"Equipment Code",$L5652,"due date",I$8)/-12</t>
  </si>
  <si>
    <t>=NL("sum","Production Order","Quantity","Source No.",$D5652,"Equipment Code",$L5652,"due date",J$8)/$J$7</t>
  </si>
  <si>
    <t>=AVERAGE(I5652:J5652)</t>
  </si>
  <si>
    <t>=IF(K5653=0,"hide","")</t>
  </si>
  <si>
    <t>=D5652</t>
  </si>
  <si>
    <t>=NL("sum","Production Order","Quantity","Source No.",$D5653,"Equipment Code",$L5653,"due date",F$8)/-12</t>
  </si>
  <si>
    <t>=NL("sum","Production Order","Quantity","Source No.",$D5653,"Equipment Code",$L5653,"due date",G$8)/-12</t>
  </si>
  <si>
    <t>=NL("sum","Production Order","Quantity","Source No.",$D5653,"Equipment Code",$L5653,"due date",H$8)/-12</t>
  </si>
  <si>
    <t>=NL("sum","Production Order","Quantity","Source No.",$D5653,"Equipment Code",$L5653,"due date",I$8)/-12</t>
  </si>
  <si>
    <t>=NL("sum","Production Order","Quantity","Source No.",$D5653,"Equipment Code",$L5653,"due date",J$8)/$J$7</t>
  </si>
  <si>
    <t>=AVERAGE(I5653:J5653)</t>
  </si>
  <si>
    <t>="WMBAN248"</t>
  </si>
  <si>
    <t>=IF(K5657=0,"hide","")</t>
  </si>
  <si>
    <t>=AVERAGE(I5657:J5657)</t>
  </si>
  <si>
    <t>=IF(K5658=0,"hide","")</t>
  </si>
  <si>
    <t>=D5657</t>
  </si>
  <si>
    <t>=NL("sum","Production Order","Quantity","Source No.",$D5658,"Equipment Code",$L5658,"due date",F$8)/-12</t>
  </si>
  <si>
    <t>=NL("sum","Production Order","Quantity","Source No.",$D5658,"Equipment Code",$L5658,"due date",G$8)/-12</t>
  </si>
  <si>
    <t>=NL("sum","Production Order","Quantity","Source No.",$D5658,"Equipment Code",$L5658,"due date",H$8)/-12</t>
  </si>
  <si>
    <t>=NL("sum","Production Order","Quantity","Source No.",$D5658,"Equipment Code",$L5658,"due date",I$8)/-12</t>
  </si>
  <si>
    <t>=NL("sum","Production Order","Quantity","Source No.",$D5658,"Equipment Code",$L5658,"due date",J$8)/$J$7</t>
  </si>
  <si>
    <t>=AVERAGE(I5658:J5658)</t>
  </si>
  <si>
    <t>=IF(K5659=0,"hide","")</t>
  </si>
  <si>
    <t>=D5658</t>
  </si>
  <si>
    <t>=NL("sum","Production Order","Quantity","Source No.",$D5659,"Equipment Code",$L5659,"due date",F$8)/-12</t>
  </si>
  <si>
    <t>=NL("sum","Production Order","Quantity","Source No.",$D5659,"Equipment Code",$L5659,"due date",G$8)/-12</t>
  </si>
  <si>
    <t>=NL("sum","Production Order","Quantity","Source No.",$D5659,"Equipment Code",$L5659,"due date",H$8)/-12</t>
  </si>
  <si>
    <t>=NL("sum","Production Order","Quantity","Source No.",$D5659,"Equipment Code",$L5659,"due date",I$8)/-12</t>
  </si>
  <si>
    <t>=NL("sum","Production Order","Quantity","Source No.",$D5659,"Equipment Code",$L5659,"due date",J$8)/$J$7</t>
  </si>
  <si>
    <t>=AVERAGE(I5659:J5659)</t>
  </si>
  <si>
    <t>=IF(K5660=0,"hide","")</t>
  </si>
  <si>
    <t>=D5659</t>
  </si>
  <si>
    <t>=NL("sum","Production Order","Quantity","Source No.",$D5660,"Equipment Code",$L5660,"due date",F$8)/-12</t>
  </si>
  <si>
    <t>=NL("sum","Production Order","Quantity","Source No.",$D5660,"Equipment Code",$L5660,"due date",G$8)/-12</t>
  </si>
  <si>
    <t>=NL("sum","Production Order","Quantity","Source No.",$D5660,"Equipment Code",$L5660,"due date",H$8)/-12</t>
  </si>
  <si>
    <t>=NL("sum","Production Order","Quantity","Source No.",$D5660,"Equipment Code",$L5660,"due date",I$8)/-12</t>
  </si>
  <si>
    <t>=NL("sum","Production Order","Quantity","Source No.",$D5660,"Equipment Code",$L5660,"due date",J$8)/$J$7</t>
  </si>
  <si>
    <t>=AVERAGE(I5660:J5660)</t>
  </si>
  <si>
    <t>="WMBLU196"</t>
  </si>
  <si>
    <t>=IF(K5664=0,"hide","")</t>
  </si>
  <si>
    <t>=AVERAGE(I5664:J5664)</t>
  </si>
  <si>
    <t>=IF(K5665=0,"hide","")</t>
  </si>
  <si>
    <t>=D5664</t>
  </si>
  <si>
    <t>=NL("sum","Production Order","Quantity","Source No.",$D5665,"Equipment Code",$L5665,"due date",F$8)/-12</t>
  </si>
  <si>
    <t>=NL("sum","Production Order","Quantity","Source No.",$D5665,"Equipment Code",$L5665,"due date",G$8)/-12</t>
  </si>
  <si>
    <t>=NL("sum","Production Order","Quantity","Source No.",$D5665,"Equipment Code",$L5665,"due date",H$8)/-12</t>
  </si>
  <si>
    <t>=NL("sum","Production Order","Quantity","Source No.",$D5665,"Equipment Code",$L5665,"due date",I$8)/-12</t>
  </si>
  <si>
    <t>=NL("sum","Production Order","Quantity","Source No.",$D5665,"Equipment Code",$L5665,"due date",J$8)/$J$7</t>
  </si>
  <si>
    <t>=AVERAGE(I5665:J5665)</t>
  </si>
  <si>
    <t>=IF(K5666=0,"hide","")</t>
  </si>
  <si>
    <t>=D5665</t>
  </si>
  <si>
    <t>=NL("sum","Production Order","Quantity","Source No.",$D5666,"Equipment Code",$L5666,"due date",F$8)/-12</t>
  </si>
  <si>
    <t>=NL("sum","Production Order","Quantity","Source No.",$D5666,"Equipment Code",$L5666,"due date",G$8)/-12</t>
  </si>
  <si>
    <t>=NL("sum","Production Order","Quantity","Source No.",$D5666,"Equipment Code",$L5666,"due date",H$8)/-12</t>
  </si>
  <si>
    <t>=NL("sum","Production Order","Quantity","Source No.",$D5666,"Equipment Code",$L5666,"due date",I$8)/-12</t>
  </si>
  <si>
    <t>=NL("sum","Production Order","Quantity","Source No.",$D5666,"Equipment Code",$L5666,"due date",J$8)/$J$7</t>
  </si>
  <si>
    <t>=AVERAGE(I5666:J5666)</t>
  </si>
  <si>
    <t>=IF(K5667=0,"hide","")</t>
  </si>
  <si>
    <t>=D5666</t>
  </si>
  <si>
    <t>=NL("sum","Production Order","Quantity","Source No.",$D5667,"Equipment Code",$L5667,"due date",F$8)/-12</t>
  </si>
  <si>
    <t>=NL("sum","Production Order","Quantity","Source No.",$D5667,"Equipment Code",$L5667,"due date",G$8)/-12</t>
  </si>
  <si>
    <t>=NL("sum","Production Order","Quantity","Source No.",$D5667,"Equipment Code",$L5667,"due date",H$8)/-12</t>
  </si>
  <si>
    <t>=NL("sum","Production Order","Quantity","Source No.",$D5667,"Equipment Code",$L5667,"due date",I$8)/-12</t>
  </si>
  <si>
    <t>=NL("sum","Production Order","Quantity","Source No.",$D5667,"Equipment Code",$L5667,"due date",J$8)/$J$7</t>
  </si>
  <si>
    <t>=AVERAGE(I5667:J5667)</t>
  </si>
  <si>
    <t>="WMBLU248"</t>
  </si>
  <si>
    <t>=IF(K5671=0,"hide","")</t>
  </si>
  <si>
    <t>=AVERAGE(I5671:J5671)</t>
  </si>
  <si>
    <t>=IF(K5672=0,"hide","")</t>
  </si>
  <si>
    <t>=D5671</t>
  </si>
  <si>
    <t>=NL("sum","Production Order","Quantity","Source No.",$D5672,"Equipment Code",$L5672,"due date",F$8)/-12</t>
  </si>
  <si>
    <t>=NL("sum","Production Order","Quantity","Source No.",$D5672,"Equipment Code",$L5672,"due date",G$8)/-12</t>
  </si>
  <si>
    <t>=NL("sum","Production Order","Quantity","Source No.",$D5672,"Equipment Code",$L5672,"due date",H$8)/-12</t>
  </si>
  <si>
    <t>=NL("sum","Production Order","Quantity","Source No.",$D5672,"Equipment Code",$L5672,"due date",I$8)/-12</t>
  </si>
  <si>
    <t>=NL("sum","Production Order","Quantity","Source No.",$D5672,"Equipment Code",$L5672,"due date",J$8)/$J$7</t>
  </si>
  <si>
    <t>=AVERAGE(I5672:J5672)</t>
  </si>
  <si>
    <t>=IF(K5673=0,"hide","")</t>
  </si>
  <si>
    <t>=D5672</t>
  </si>
  <si>
    <t>=NL("sum","Production Order","Quantity","Source No.",$D5673,"Equipment Code",$L5673,"due date",F$8)/-12</t>
  </si>
  <si>
    <t>=NL("sum","Production Order","Quantity","Source No.",$D5673,"Equipment Code",$L5673,"due date",G$8)/-12</t>
  </si>
  <si>
    <t>=NL("sum","Production Order","Quantity","Source No.",$D5673,"Equipment Code",$L5673,"due date",H$8)/-12</t>
  </si>
  <si>
    <t>=NL("sum","Production Order","Quantity","Source No.",$D5673,"Equipment Code",$L5673,"due date",I$8)/-12</t>
  </si>
  <si>
    <t>=NL("sum","Production Order","Quantity","Source No.",$D5673,"Equipment Code",$L5673,"due date",J$8)/$J$7</t>
  </si>
  <si>
    <t>=AVERAGE(I5673:J5673)</t>
  </si>
  <si>
    <t>=IF(K5674=0,"hide","")</t>
  </si>
  <si>
    <t>=D5673</t>
  </si>
  <si>
    <t>=NL("sum","Production Order","Quantity","Source No.",$D5674,"Equipment Code",$L5674,"due date",F$8)/-12</t>
  </si>
  <si>
    <t>=NL("sum","Production Order","Quantity","Source No.",$D5674,"Equipment Code",$L5674,"due date",G$8)/-12</t>
  </si>
  <si>
    <t>=NL("sum","Production Order","Quantity","Source No.",$D5674,"Equipment Code",$L5674,"due date",H$8)/-12</t>
  </si>
  <si>
    <t>=NL("sum","Production Order","Quantity","Source No.",$D5674,"Equipment Code",$L5674,"due date",I$8)/-12</t>
  </si>
  <si>
    <t>=NL("sum","Production Order","Quantity","Source No.",$D5674,"Equipment Code",$L5674,"due date",J$8)/$J$7</t>
  </si>
  <si>
    <t>=AVERAGE(I5674:J5674)</t>
  </si>
  <si>
    <t>="WMCHCH196"</t>
  </si>
  <si>
    <t>=IF(K5678=0,"hide","")</t>
  </si>
  <si>
    <t>=AVERAGE(I5678:J5678)</t>
  </si>
  <si>
    <t>=IF(K5679=0,"hide","")</t>
  </si>
  <si>
    <t>=D5678</t>
  </si>
  <si>
    <t>=NL("sum","Production Order","Quantity","Source No.",$D5679,"Equipment Code",$L5679,"due date",F$8)/-12</t>
  </si>
  <si>
    <t>=NL("sum","Production Order","Quantity","Source No.",$D5679,"Equipment Code",$L5679,"due date",G$8)/-12</t>
  </si>
  <si>
    <t>=NL("sum","Production Order","Quantity","Source No.",$D5679,"Equipment Code",$L5679,"due date",H$8)/-12</t>
  </si>
  <si>
    <t>=NL("sum","Production Order","Quantity","Source No.",$D5679,"Equipment Code",$L5679,"due date",I$8)/-12</t>
  </si>
  <si>
    <t>=NL("sum","Production Order","Quantity","Source No.",$D5679,"Equipment Code",$L5679,"due date",J$8)/$J$7</t>
  </si>
  <si>
    <t>=AVERAGE(I5679:J5679)</t>
  </si>
  <si>
    <t>=IF(K5680=0,"hide","")</t>
  </si>
  <si>
    <t>=D5679</t>
  </si>
  <si>
    <t>=NL("sum","Production Order","Quantity","Source No.",$D5680,"Equipment Code",$L5680,"due date",F$8)/-12</t>
  </si>
  <si>
    <t>=NL("sum","Production Order","Quantity","Source No.",$D5680,"Equipment Code",$L5680,"due date",G$8)/-12</t>
  </si>
  <si>
    <t>=NL("sum","Production Order","Quantity","Source No.",$D5680,"Equipment Code",$L5680,"due date",H$8)/-12</t>
  </si>
  <si>
    <t>=NL("sum","Production Order","Quantity","Source No.",$D5680,"Equipment Code",$L5680,"due date",I$8)/-12</t>
  </si>
  <si>
    <t>=NL("sum","Production Order","Quantity","Source No.",$D5680,"Equipment Code",$L5680,"due date",J$8)/$J$7</t>
  </si>
  <si>
    <t>=AVERAGE(I5680:J5680)</t>
  </si>
  <si>
    <t>=IF(K5681=0,"hide","")</t>
  </si>
  <si>
    <t>=D5680</t>
  </si>
  <si>
    <t>=NL("sum","Production Order","Quantity","Source No.",$D5681,"Equipment Code",$L5681,"due date",F$8)/-12</t>
  </si>
  <si>
    <t>=NL("sum","Production Order","Quantity","Source No.",$D5681,"Equipment Code",$L5681,"due date",G$8)/-12</t>
  </si>
  <si>
    <t>=NL("sum","Production Order","Quantity","Source No.",$D5681,"Equipment Code",$L5681,"due date",H$8)/-12</t>
  </si>
  <si>
    <t>=NL("sum","Production Order","Quantity","Source No.",$D5681,"Equipment Code",$L5681,"due date",I$8)/-12</t>
  </si>
  <si>
    <t>=NL("sum","Production Order","Quantity","Source No.",$D5681,"Equipment Code",$L5681,"due date",J$8)/$J$7</t>
  </si>
  <si>
    <t>=AVERAGE(I5681:J5681)</t>
  </si>
  <si>
    <t>=IF(K5685=0,"hide","")</t>
  </si>
  <si>
    <t>=AVERAGE(I5685:J5685)</t>
  </si>
  <si>
    <t>=IF(K5686=0,"hide","")</t>
  </si>
  <si>
    <t>=D5685</t>
  </si>
  <si>
    <t>=NL("sum","Production Order","Quantity","Source No.",$D5686,"Equipment Code",$L5686,"due date",F$8)/-12</t>
  </si>
  <si>
    <t>=NL("sum","Production Order","Quantity","Source No.",$D5686,"Equipment Code",$L5686,"due date",G$8)/-12</t>
  </si>
  <si>
    <t>=NL("sum","Production Order","Quantity","Source No.",$D5686,"Equipment Code",$L5686,"due date",H$8)/-12</t>
  </si>
  <si>
    <t>=NL("sum","Production Order","Quantity","Source No.",$D5686,"Equipment Code",$L5686,"due date",I$8)/-12</t>
  </si>
  <si>
    <t>=NL("sum","Production Order","Quantity","Source No.",$D5686,"Equipment Code",$L5686,"due date",J$8)/$J$7</t>
  </si>
  <si>
    <t>=AVERAGE(I5686:J5686)</t>
  </si>
  <si>
    <t>=IF(K5687=0,"hide","")</t>
  </si>
  <si>
    <t>=D5686</t>
  </si>
  <si>
    <t>=NL("sum","Production Order","Quantity","Source No.",$D5687,"Equipment Code",$L5687,"due date",F$8)/-12</t>
  </si>
  <si>
    <t>=NL("sum","Production Order","Quantity","Source No.",$D5687,"Equipment Code",$L5687,"due date",G$8)/-12</t>
  </si>
  <si>
    <t>=NL("sum","Production Order","Quantity","Source No.",$D5687,"Equipment Code",$L5687,"due date",H$8)/-12</t>
  </si>
  <si>
    <t>=NL("sum","Production Order","Quantity","Source No.",$D5687,"Equipment Code",$L5687,"due date",I$8)/-12</t>
  </si>
  <si>
    <t>=NL("sum","Production Order","Quantity","Source No.",$D5687,"Equipment Code",$L5687,"due date",J$8)/$J$7</t>
  </si>
  <si>
    <t>=AVERAGE(I5687:J5687)</t>
  </si>
  <si>
    <t>=IF(K5688=0,"hide","")</t>
  </si>
  <si>
    <t>=D5687</t>
  </si>
  <si>
    <t>=NL("sum","Production Order","Quantity","Source No.",$D5688,"Equipment Code",$L5688,"due date",F$8)/-12</t>
  </si>
  <si>
    <t>=NL("sum","Production Order","Quantity","Source No.",$D5688,"Equipment Code",$L5688,"due date",G$8)/-12</t>
  </si>
  <si>
    <t>=NL("sum","Production Order","Quantity","Source No.",$D5688,"Equipment Code",$L5688,"due date",H$8)/-12</t>
  </si>
  <si>
    <t>=NL("sum","Production Order","Quantity","Source No.",$D5688,"Equipment Code",$L5688,"due date",I$8)/-12</t>
  </si>
  <si>
    <t>=NL("sum","Production Order","Quantity","Source No.",$D5688,"Equipment Code",$L5688,"due date",J$8)/$J$7</t>
  </si>
  <si>
    <t>=AVERAGE(I5688:J5688)</t>
  </si>
  <si>
    <t>="WMDC196"</t>
  </si>
  <si>
    <t>=IF(K5692=0,"hide","")</t>
  </si>
  <si>
    <t>=AVERAGE(I5692:J5692)</t>
  </si>
  <si>
    <t>=IF(K5693=0,"hide","")</t>
  </si>
  <si>
    <t>=D5692</t>
  </si>
  <si>
    <t>=NL("sum","Production Order","Quantity","Source No.",$D5693,"Equipment Code",$L5693,"due date",F$8)/-12</t>
  </si>
  <si>
    <t>=NL("sum","Production Order","Quantity","Source No.",$D5693,"Equipment Code",$L5693,"due date",G$8)/-12</t>
  </si>
  <si>
    <t>=NL("sum","Production Order","Quantity","Source No.",$D5693,"Equipment Code",$L5693,"due date",H$8)/-12</t>
  </si>
  <si>
    <t>=NL("sum","Production Order","Quantity","Source No.",$D5693,"Equipment Code",$L5693,"due date",I$8)/-12</t>
  </si>
  <si>
    <t>=NL("sum","Production Order","Quantity","Source No.",$D5693,"Equipment Code",$L5693,"due date",J$8)/$J$7</t>
  </si>
  <si>
    <t>=AVERAGE(I5693:J5693)</t>
  </si>
  <si>
    <t>=IF(K5694=0,"hide","")</t>
  </si>
  <si>
    <t>=D5693</t>
  </si>
  <si>
    <t>=NL("sum","Production Order","Quantity","Source No.",$D5694,"Equipment Code",$L5694,"due date",F$8)/-12</t>
  </si>
  <si>
    <t>=NL("sum","Production Order","Quantity","Source No.",$D5694,"Equipment Code",$L5694,"due date",G$8)/-12</t>
  </si>
  <si>
    <t>=NL("sum","Production Order","Quantity","Source No.",$D5694,"Equipment Code",$L5694,"due date",H$8)/-12</t>
  </si>
  <si>
    <t>=NL("sum","Production Order","Quantity","Source No.",$D5694,"Equipment Code",$L5694,"due date",I$8)/-12</t>
  </si>
  <si>
    <t>=NL("sum","Production Order","Quantity","Source No.",$D5694,"Equipment Code",$L5694,"due date",J$8)/$J$7</t>
  </si>
  <si>
    <t>=AVERAGE(I5694:J5694)</t>
  </si>
  <si>
    <t>=IF(K5695=0,"hide","")</t>
  </si>
  <si>
    <t>=D5694</t>
  </si>
  <si>
    <t>=NL("sum","Production Order","Quantity","Source No.",$D5695,"Equipment Code",$L5695,"due date",F$8)/-12</t>
  </si>
  <si>
    <t>=NL("sum","Production Order","Quantity","Source No.",$D5695,"Equipment Code",$L5695,"due date",G$8)/-12</t>
  </si>
  <si>
    <t>=NL("sum","Production Order","Quantity","Source No.",$D5695,"Equipment Code",$L5695,"due date",H$8)/-12</t>
  </si>
  <si>
    <t>=NL("sum","Production Order","Quantity","Source No.",$D5695,"Equipment Code",$L5695,"due date",I$8)/-12</t>
  </si>
  <si>
    <t>=NL("sum","Production Order","Quantity","Source No.",$D5695,"Equipment Code",$L5695,"due date",J$8)/$J$7</t>
  </si>
  <si>
    <t>=AVERAGE(I5695:J5695)</t>
  </si>
  <si>
    <t>=IF(K5699=0,"hide","")</t>
  </si>
  <si>
    <t>=AVERAGE(I5699:J5699)</t>
  </si>
  <si>
    <t>=IF(K5700=0,"hide","")</t>
  </si>
  <si>
    <t>=D5699</t>
  </si>
  <si>
    <t>=NL("sum","Production Order","Quantity","Source No.",$D5700,"Equipment Code",$L5700,"due date",F$8)/-12</t>
  </si>
  <si>
    <t>=NL("sum","Production Order","Quantity","Source No.",$D5700,"Equipment Code",$L5700,"due date",G$8)/-12</t>
  </si>
  <si>
    <t>=NL("sum","Production Order","Quantity","Source No.",$D5700,"Equipment Code",$L5700,"due date",H$8)/-12</t>
  </si>
  <si>
    <t>=NL("sum","Production Order","Quantity","Source No.",$D5700,"Equipment Code",$L5700,"due date",I$8)/-12</t>
  </si>
  <si>
    <t>=NL("sum","Production Order","Quantity","Source No.",$D5700,"Equipment Code",$L5700,"due date",J$8)/$J$7</t>
  </si>
  <si>
    <t>=AVERAGE(I5700:J5700)</t>
  </si>
  <si>
    <t>=IF(K5701=0,"hide","")</t>
  </si>
  <si>
    <t>=D5700</t>
  </si>
  <si>
    <t>=NL("sum","Production Order","Quantity","Source No.",$D5701,"Equipment Code",$L5701,"due date",F$8)/-12</t>
  </si>
  <si>
    <t>=NL("sum","Production Order","Quantity","Source No.",$D5701,"Equipment Code",$L5701,"due date",G$8)/-12</t>
  </si>
  <si>
    <t>=NL("sum","Production Order","Quantity","Source No.",$D5701,"Equipment Code",$L5701,"due date",H$8)/-12</t>
  </si>
  <si>
    <t>=NL("sum","Production Order","Quantity","Source No.",$D5701,"Equipment Code",$L5701,"due date",I$8)/-12</t>
  </si>
  <si>
    <t>=NL("sum","Production Order","Quantity","Source No.",$D5701,"Equipment Code",$L5701,"due date",J$8)/$J$7</t>
  </si>
  <si>
    <t>=AVERAGE(I5701:J5701)</t>
  </si>
  <si>
    <t>=IF(K5702=0,"hide","")</t>
  </si>
  <si>
    <t>=D5701</t>
  </si>
  <si>
    <t>=NL("sum","Production Order","Quantity","Source No.",$D5702,"Equipment Code",$L5702,"due date",F$8)/-12</t>
  </si>
  <si>
    <t>=NL("sum","Production Order","Quantity","Source No.",$D5702,"Equipment Code",$L5702,"due date",G$8)/-12</t>
  </si>
  <si>
    <t>=NL("sum","Production Order","Quantity","Source No.",$D5702,"Equipment Code",$L5702,"due date",H$8)/-12</t>
  </si>
  <si>
    <t>=NL("sum","Production Order","Quantity","Source No.",$D5702,"Equipment Code",$L5702,"due date",I$8)/-12</t>
  </si>
  <si>
    <t>=NL("sum","Production Order","Quantity","Source No.",$D5702,"Equipment Code",$L5702,"due date",J$8)/$J$7</t>
  </si>
  <si>
    <t>=AVERAGE(I5702:J5702)</t>
  </si>
  <si>
    <t>=NL("rows","Production BOM Version","Version Code","Production BOM No.",D188,"status","certified")</t>
  </si>
  <si>
    <t>="12928"</t>
  </si>
  <si>
    <t>=B6-B4</t>
  </si>
  <si>
    <t>=B7/28.3</t>
  </si>
  <si>
    <t>=B8</t>
  </si>
  <si>
    <t>="20020"</t>
  </si>
  <si>
    <t>="20023"</t>
  </si>
  <si>
    <t>=NL("sum","Production Order","Quantity","Source No.",$D2017,"Equipment Code",$L2017,"due date",F$8)/-12</t>
  </si>
  <si>
    <t>=NL("sum","Production Order","Quantity","Source No.",$D2017,"Equipment Code",$L2017,"due date",G$8)/-12</t>
  </si>
  <si>
    <t>=NL("sum","Production Order","Quantity","Source No.",$D2017,"Equipment Code",$L2017,"due date",H$8)/-12</t>
  </si>
  <si>
    <t>=NL("sum","Production Order","Quantity","Source No.",$D2017,"Equipment Code",$L2017,"due date",I$8)/-12</t>
  </si>
  <si>
    <t>=NL("sum","Production Order","Quantity","Source No.",$D2017,"Equipment Code",$L2017,"due date",J$8)/$J$7</t>
  </si>
  <si>
    <t>=B2017</t>
  </si>
  <si>
    <t>=B2021</t>
  </si>
  <si>
    <t>=SUM(F2017:F2021)</t>
  </si>
  <si>
    <t>=SUM(G2017:G2021)</t>
  </si>
  <si>
    <t>=SUM(H2017:H2021)</t>
  </si>
  <si>
    <t>=SUM(I2017:I2021)</t>
  </si>
  <si>
    <t>=SUM(J2017:J2021)</t>
  </si>
  <si>
    <t>=IF(K2023=0,"hide","")</t>
  </si>
  <si>
    <t>=NL("rows","Production BOM Version","Version Code","Production BOM No.",D2023,"status","certified")</t>
  </si>
  <si>
    <t>=NL("sum","Item Ledger Entry","Quantity","Item No.",$D2023,"Entry Type","Sale|Consumption","posting date","01/01/19..12/31/19")/-12</t>
  </si>
  <si>
    <t>=NL("sum","Item Ledger Entry","Quantity","Item No.",$D2023,"Entry Type","Sale|Consumption","posting date","01/01/20..12/31/20")/-12</t>
  </si>
  <si>
    <t>=NL("sum","Item Ledger Entry","Quantity","Item No.",$D2023,"Entry Type","Sale|Consumption","posting date","01/01/21..12/31/21")/-12</t>
  </si>
  <si>
    <t>=NL("sum","Item Ledger Entry","Quantity","Item No.",$D2023,"Entry Type","Sale|Consumption","posting date","01/01/22..12/31/22")/-12</t>
  </si>
  <si>
    <t>=NL("sum","Item Ledger Entry","Quantity","Item No.",$D2023,"Entry Type","Sale|Consumption","posting date","01/01/23..12/31/23")/$J$7</t>
  </si>
  <si>
    <t>=AVERAGE(I2023:J2023)</t>
  </si>
  <si>
    <t>=NL(1,"item",L$9,"no.",D2023)</t>
  </si>
  <si>
    <t>=NL(1,"item",M$9,"no.",$D2023)</t>
  </si>
  <si>
    <t>=NL(1,"item","Units Per Parcel","no.",$D2023)</t>
  </si>
  <si>
    <t>=NL(1,"Prod. BOM Equipment","Fixed Prod. Time (Hours)","Production BOM No.",$D2023,"version code",$E2023,"Resource No.",O$9)</t>
  </si>
  <si>
    <t>=1/O2023</t>
  </si>
  <si>
    <t>=IF(NL(1,"Prod. BOM Equipment","Variable Prod. Time (Hours)","Production BOM No.",$D2023,"version code",$E2023,"Resource No.",$O$9)="",1,NL(1,"Prod. BOM Equipment","Variable Prod. Time (Hours)","Production BOM No.",$D2023,"version code",$E2023,"Resource No.",$O$9))</t>
  </si>
  <si>
    <t>=1/Q2023</t>
  </si>
  <si>
    <t>=R2023*N2023</t>
  </si>
  <si>
    <t>=D2023</t>
  </si>
  <si>
    <t>=NL("sum","Production Order","Quantity","Source No.",$D2024,"Equipment Code",$L2024,"due date",F$8)/-12</t>
  </si>
  <si>
    <t>=NL("sum","Production Order","Quantity","Source No.",$D2024,"Equipment Code",$L2024,"due date",G$8)/-12</t>
  </si>
  <si>
    <t>=NL("sum","Production Order","Quantity","Source No.",$D2024,"Equipment Code",$L2024,"due date",H$8)/-12</t>
  </si>
  <si>
    <t>=NL("sum","Production Order","Quantity","Source No.",$D2024,"Equipment Code",$L2024,"due date",I$8)/-12</t>
  </si>
  <si>
    <t>=NL("sum","Production Order","Quantity","Source No.",$D2024,"Equipment Code",$L2024,"due date",J$8)/$J$7</t>
  </si>
  <si>
    <t>=B2024</t>
  </si>
  <si>
    <t>=B2028</t>
  </si>
  <si>
    <t>=SUM(F2024:F2028)</t>
  </si>
  <si>
    <t>=SUM(G2024:G2028)</t>
  </si>
  <si>
    <t>=SUM(H2024:H2028)</t>
  </si>
  <si>
    <t>=SUM(I2024:I2028)</t>
  </si>
  <si>
    <t>=SUM(J2024:J2028)</t>
  </si>
  <si>
    <t>=IF(K2030=0,"hide","")</t>
  </si>
  <si>
    <t>=NL("rows","Production BOM Version","Version Code","Production BOM No.",D2030,"status","certified")</t>
  </si>
  <si>
    <t>=NL("sum","Item Ledger Entry","Quantity","Item No.",$D2030,"Entry Type","Sale|Consumption","posting date","01/01/19..12/31/19")/-12</t>
  </si>
  <si>
    <t>=NL("sum","Item Ledger Entry","Quantity","Item No.",$D2030,"Entry Type","Sale|Consumption","posting date","01/01/20..12/31/20")/-12</t>
  </si>
  <si>
    <t>=NL("sum","Item Ledger Entry","Quantity","Item No.",$D2030,"Entry Type","Sale|Consumption","posting date","01/01/21..12/31/21")/-12</t>
  </si>
  <si>
    <t>=NL("sum","Item Ledger Entry","Quantity","Item No.",$D2030,"Entry Type","Sale|Consumption","posting date","01/01/22..12/31/22")/-12</t>
  </si>
  <si>
    <t>=NL("sum","Item Ledger Entry","Quantity","Item No.",$D2030,"Entry Type","Sale|Consumption","posting date","01/01/23..12/31/23")/$J$7</t>
  </si>
  <si>
    <t>=AVERAGE(I2030:J2030)</t>
  </si>
  <si>
    <t>=NL(1,"item",L$9,"no.",D2030)</t>
  </si>
  <si>
    <t>=NL(1,"item",M$9,"no.",$D2030)</t>
  </si>
  <si>
    <t>=NL(1,"item","Units Per Parcel","no.",$D2030)</t>
  </si>
  <si>
    <t>=NL(1,"Prod. BOM Equipment","Fixed Prod. Time (Hours)","Production BOM No.",$D2030,"version code",$E2030,"Resource No.",O$9)</t>
  </si>
  <si>
    <t>=1/O2030</t>
  </si>
  <si>
    <t>=IF(NL(1,"Prod. BOM Equipment","Variable Prod. Time (Hours)","Production BOM No.",$D2030,"version code",$E2030,"Resource No.",$O$9)="",1,NL(1,"Prod. BOM Equipment","Variable Prod. Time (Hours)","Production BOM No.",$D2030,"version code",$E2030,"Resource No.",$O$9))</t>
  </si>
  <si>
    <t>=1/Q2030</t>
  </si>
  <si>
    <t>=R2030*N2030</t>
  </si>
  <si>
    <t>=D2030</t>
  </si>
  <si>
    <t>="29430"</t>
  </si>
  <si>
    <t>=NL("sum","Production Order","Quantity","Source No.",$D2718,"Equipment Code",$L2718,"due date",F$8)/-12</t>
  </si>
  <si>
    <t>=NL("sum","Production Order","Quantity","Source No.",$D2718,"Equipment Code",$L2718,"due date",G$8)/-12</t>
  </si>
  <si>
    <t>=NL("sum","Production Order","Quantity","Source No.",$D2718,"Equipment Code",$L2718,"due date",H$8)/-12</t>
  </si>
  <si>
    <t>=NL("sum","Production Order","Quantity","Source No.",$D2718,"Equipment Code",$L2718,"due date",I$8)/-12</t>
  </si>
  <si>
    <t>=NL("sum","Production Order","Quantity","Source No.",$D2718,"Equipment Code",$L2718,"due date",J$8)/$J$7</t>
  </si>
  <si>
    <t>=B2718</t>
  </si>
  <si>
    <t>=B2722</t>
  </si>
  <si>
    <t>=SUM(F2718:F2722)</t>
  </si>
  <si>
    <t>=SUM(G2718:G2722)</t>
  </si>
  <si>
    <t>=SUM(H2718:H2722)</t>
  </si>
  <si>
    <t>=SUM(I2718:I2722)</t>
  </si>
  <si>
    <t>=SUM(J2718:J2722)</t>
  </si>
  <si>
    <t>=IF(K2724=0,"hide","")</t>
  </si>
  <si>
    <t>=NL("rows","Production BOM Version","Version Code","Production BOM No.",D2724,"status","certified")</t>
  </si>
  <si>
    <t>=NL("sum","Item Ledger Entry","Quantity","Item No.",$D2724,"Entry Type","Sale|Consumption","posting date","01/01/19..12/31/19")/-12</t>
  </si>
  <si>
    <t>=NL("sum","Item Ledger Entry","Quantity","Item No.",$D2724,"Entry Type","Sale|Consumption","posting date","01/01/20..12/31/20")/-12</t>
  </si>
  <si>
    <t>=NL("sum","Item Ledger Entry","Quantity","Item No.",$D2724,"Entry Type","Sale|Consumption","posting date","01/01/21..12/31/21")/-12</t>
  </si>
  <si>
    <t>=NL("sum","Item Ledger Entry","Quantity","Item No.",$D2724,"Entry Type","Sale|Consumption","posting date","01/01/22..12/31/22")/-12</t>
  </si>
  <si>
    <t>=NL("sum","Item Ledger Entry","Quantity","Item No.",$D2724,"Entry Type","Sale|Consumption","posting date","01/01/23..12/31/23")/$J$7</t>
  </si>
  <si>
    <t>=AVERAGE(I2724:J2724)</t>
  </si>
  <si>
    <t>=NL(1,"item",L$9,"no.",D2724)</t>
  </si>
  <si>
    <t>=NL(1,"item",M$9,"no.",$D2724)</t>
  </si>
  <si>
    <t>=NL(1,"item","Units Per Parcel","no.",$D2724)</t>
  </si>
  <si>
    <t>=NL(1,"Prod. BOM Equipment","Fixed Prod. Time (Hours)","Production BOM No.",$D2724,"version code",$E2724,"Resource No.",O$9)</t>
  </si>
  <si>
    <t>=1/O2724</t>
  </si>
  <si>
    <t>=IF(NL(1,"Prod. BOM Equipment","Variable Prod. Time (Hours)","Production BOM No.",$D2724,"version code",$E2724,"Resource No.",$O$9)="",1,NL(1,"Prod. BOM Equipment","Variable Prod. Time (Hours)","Production BOM No.",$D2724,"version code",$E2724,"Resource No.",$O$9))</t>
  </si>
  <si>
    <t>=1/Q2724</t>
  </si>
  <si>
    <t>=R2724*N2724</t>
  </si>
  <si>
    <t>=D2724</t>
  </si>
  <si>
    <t>=NL("sum","Production Order","Quantity","Source No.",$D2725,"Equipment Code",$L2725,"due date",F$8)/-12</t>
  </si>
  <si>
    <t>=NL("sum","Production Order","Quantity","Source No.",$D2725,"Equipment Code",$L2725,"due date",G$8)/-12</t>
  </si>
  <si>
    <t>=NL("sum","Production Order","Quantity","Source No.",$D2725,"Equipment Code",$L2725,"due date",H$8)/-12</t>
  </si>
  <si>
    <t>=NL("sum","Production Order","Quantity","Source No.",$D2725,"Equipment Code",$L2725,"due date",I$8)/-12</t>
  </si>
  <si>
    <t>=NL("sum","Production Order","Quantity","Source No.",$D2725,"Equipment Code",$L2725,"due date",J$8)/$J$7</t>
  </si>
  <si>
    <t>=B2725</t>
  </si>
  <si>
    <t>=B2729</t>
  </si>
  <si>
    <t>=SUM(F2725:F2729)</t>
  </si>
  <si>
    <t>=SUM(G2725:G2729)</t>
  </si>
  <si>
    <t>=SUM(H2725:H2729)</t>
  </si>
  <si>
    <t>=SUM(I2725:I2729)</t>
  </si>
  <si>
    <t>=SUM(J2725:J2729)</t>
  </si>
  <si>
    <t>=IF(K2731=0,"hide","")</t>
  </si>
  <si>
    <t>=NL("rows","Production BOM Version","Version Code","Production BOM No.",D2731,"status","certified")</t>
  </si>
  <si>
    <t>=NL("sum","Item Ledger Entry","Quantity","Item No.",$D2731,"Entry Type","Sale|Consumption","posting date","01/01/19..12/31/19")/-12</t>
  </si>
  <si>
    <t>=NL("sum","Item Ledger Entry","Quantity","Item No.",$D2731,"Entry Type","Sale|Consumption","posting date","01/01/20..12/31/20")/-12</t>
  </si>
  <si>
    <t>=NL("sum","Item Ledger Entry","Quantity","Item No.",$D2731,"Entry Type","Sale|Consumption","posting date","01/01/21..12/31/21")/-12</t>
  </si>
  <si>
    <t>=NL("sum","Item Ledger Entry","Quantity","Item No.",$D2731,"Entry Type","Sale|Consumption","posting date","01/01/22..12/31/22")/-12</t>
  </si>
  <si>
    <t>=NL("sum","Item Ledger Entry","Quantity","Item No.",$D2731,"Entry Type","Sale|Consumption","posting date","01/01/23..12/31/23")/$J$7</t>
  </si>
  <si>
    <t>=AVERAGE(I2731:J2731)</t>
  </si>
  <si>
    <t>=NL(1,"item",L$9,"no.",D2731)</t>
  </si>
  <si>
    <t>=NL(1,"item",M$9,"no.",$D2731)</t>
  </si>
  <si>
    <t>=NL(1,"item","Units Per Parcel","no.",$D2731)</t>
  </si>
  <si>
    <t>=NL(1,"Prod. BOM Equipment","Fixed Prod. Time (Hours)","Production BOM No.",$D2731,"version code",$E2731,"Resource No.",O$9)</t>
  </si>
  <si>
    <t>=1/O2731</t>
  </si>
  <si>
    <t>=IF(NL(1,"Prod. BOM Equipment","Variable Prod. Time (Hours)","Production BOM No.",$D2731,"version code",$E2731,"Resource No.",$O$9)="",1,NL(1,"Prod. BOM Equipment","Variable Prod. Time (Hours)","Production BOM No.",$D2731,"version code",$E2731,"Resource No.",$O$9))</t>
  </si>
  <si>
    <t>=1/Q2731</t>
  </si>
  <si>
    <t>=R2731*N2731</t>
  </si>
  <si>
    <t>=D2731</t>
  </si>
  <si>
    <t>=NL("sum","Production Order","Quantity","Source No.",$D2732,"Equipment Code",$L2732,"due date",F$8)/-12</t>
  </si>
  <si>
    <t>=NL("sum","Production Order","Quantity","Source No.",$D2732,"Equipment Code",$L2732,"due date",G$8)/-12</t>
  </si>
  <si>
    <t>=NL("sum","Production Order","Quantity","Source No.",$D2732,"Equipment Code",$L2732,"due date",H$8)/-12</t>
  </si>
  <si>
    <t>=NL("sum","Production Order","Quantity","Source No.",$D2732,"Equipment Code",$L2732,"due date",I$8)/-12</t>
  </si>
  <si>
    <t>=NL("sum","Production Order","Quantity","Source No.",$D2732,"Equipment Code",$L2732,"due date",J$8)/$J$7</t>
  </si>
  <si>
    <t>=B2732</t>
  </si>
  <si>
    <t>=B2736</t>
  </si>
  <si>
    <t>=SUM(F2732:F2736)</t>
  </si>
  <si>
    <t>=SUM(G2732:G2736)</t>
  </si>
  <si>
    <t>=SUM(H2732:H2736)</t>
  </si>
  <si>
    <t>=SUM(I2732:I2736)</t>
  </si>
  <si>
    <t>=SUM(J2732:J2736)</t>
  </si>
  <si>
    <t>=IF(K2738=0,"hide","")</t>
  </si>
  <si>
    <t>=NL("rows","Production BOM Version","Version Code","Production BOM No.",D2738,"status","certified")</t>
  </si>
  <si>
    <t>=NL("sum","Item Ledger Entry","Quantity","Item No.",$D2738,"Entry Type","Sale|Consumption","posting date","01/01/19..12/31/19")/-12</t>
  </si>
  <si>
    <t>=NL("sum","Item Ledger Entry","Quantity","Item No.",$D2738,"Entry Type","Sale|Consumption","posting date","01/01/20..12/31/20")/-12</t>
  </si>
  <si>
    <t>=NL("sum","Item Ledger Entry","Quantity","Item No.",$D2738,"Entry Type","Sale|Consumption","posting date","01/01/21..12/31/21")/-12</t>
  </si>
  <si>
    <t>=NL("sum","Item Ledger Entry","Quantity","Item No.",$D2738,"Entry Type","Sale|Consumption","posting date","01/01/22..12/31/22")/-12</t>
  </si>
  <si>
    <t>=NL("sum","Item Ledger Entry","Quantity","Item No.",$D2738,"Entry Type","Sale|Consumption","posting date","01/01/23..12/31/23")/$J$7</t>
  </si>
  <si>
    <t>=AVERAGE(I2738:J2738)</t>
  </si>
  <si>
    <t>=NL(1,"item",L$9,"no.",D2738)</t>
  </si>
  <si>
    <t>=NL(1,"item",M$9,"no.",$D2738)</t>
  </si>
  <si>
    <t>=NL(1,"item","Units Per Parcel","no.",$D2738)</t>
  </si>
  <si>
    <t>=NL(1,"Prod. BOM Equipment","Fixed Prod. Time (Hours)","Production BOM No.",$D2738,"version code",$E2738,"Resource No.",O$9)</t>
  </si>
  <si>
    <t>=1/O2738</t>
  </si>
  <si>
    <t>=IF(NL(1,"Prod. BOM Equipment","Variable Prod. Time (Hours)","Production BOM No.",$D2738,"version code",$E2738,"Resource No.",$O$9)="",1,NL(1,"Prod. BOM Equipment","Variable Prod. Time (Hours)","Production BOM No.",$D2738,"version code",$E2738,"Resource No.",$O$9))</t>
  </si>
  <si>
    <t>=1/Q2738</t>
  </si>
  <si>
    <t>=R2738*N2738</t>
  </si>
  <si>
    <t>=D2738</t>
  </si>
  <si>
    <t>=NL("sum","Production Order","Quantity","Source No.",$D2740,"Equipment Code",$L2740,"due date",F$8)/-12</t>
  </si>
  <si>
    <t>=NL("sum","Production Order","Quantity","Source No.",$D2740,"Equipment Code",$L2740,"due date",G$8)/-12</t>
  </si>
  <si>
    <t>=NL("sum","Production Order","Quantity","Source No.",$D2740,"Equipment Code",$L2740,"due date",H$8)/-12</t>
  </si>
  <si>
    <t>=NL("sum","Production Order","Quantity","Source No.",$D2740,"Equipment Code",$L2740,"due date",I$8)/-12</t>
  </si>
  <si>
    <t>=NL("sum","Production Order","Quantity","Source No.",$D2740,"Equipment Code",$L2740,"due date",J$8)/$J$7</t>
  </si>
  <si>
    <t>=B2740</t>
  </si>
  <si>
    <t>=B2744</t>
  </si>
  <si>
    <t>=SUM(F2740:F2744)</t>
  </si>
  <si>
    <t>=SUM(G2740:G2744)</t>
  </si>
  <si>
    <t>=SUM(H2740:H2744)</t>
  </si>
  <si>
    <t>=SUM(I2740:I2744)</t>
  </si>
  <si>
    <t>=SUM(J2740:J2744)</t>
  </si>
  <si>
    <t>=IF(K2746=0,"hide","")</t>
  </si>
  <si>
    <t>=NL("rows","Production BOM Version","Version Code","Production BOM No.",D2746,"status","certified")</t>
  </si>
  <si>
    <t>=NL("sum","Item Ledger Entry","Quantity","Item No.",$D2746,"Entry Type","Sale|Consumption","posting date","01/01/19..12/31/19")/-12</t>
  </si>
  <si>
    <t>=NL("sum","Item Ledger Entry","Quantity","Item No.",$D2746,"Entry Type","Sale|Consumption","posting date","01/01/20..12/31/20")/-12</t>
  </si>
  <si>
    <t>=NL("sum","Item Ledger Entry","Quantity","Item No.",$D2746,"Entry Type","Sale|Consumption","posting date","01/01/21..12/31/21")/-12</t>
  </si>
  <si>
    <t>=NL("sum","Item Ledger Entry","Quantity","Item No.",$D2746,"Entry Type","Sale|Consumption","posting date","01/01/22..12/31/22")/-12</t>
  </si>
  <si>
    <t>=NL("sum","Item Ledger Entry","Quantity","Item No.",$D2746,"Entry Type","Sale|Consumption","posting date","01/01/23..12/31/23")/$J$7</t>
  </si>
  <si>
    <t>=AVERAGE(I2746:J2746)</t>
  </si>
  <si>
    <t>=NL(1,"item",L$9,"no.",D2746)</t>
  </si>
  <si>
    <t>=NL(1,"item",M$9,"no.",$D2746)</t>
  </si>
  <si>
    <t>=NL(1,"item","Units Per Parcel","no.",$D2746)</t>
  </si>
  <si>
    <t>=NL(1,"Prod. BOM Equipment","Fixed Prod. Time (Hours)","Production BOM No.",$D2746,"version code",$E2746,"Resource No.",O$9)</t>
  </si>
  <si>
    <t>=1/O2746</t>
  </si>
  <si>
    <t>=IF(NL(1,"Prod. BOM Equipment","Variable Prod. Time (Hours)","Production BOM No.",$D2746,"version code",$E2746,"Resource No.",$O$9)="",1,NL(1,"Prod. BOM Equipment","Variable Prod. Time (Hours)","Production BOM No.",$D2746,"version code",$E2746,"Resource No.",$O$9))</t>
  </si>
  <si>
    <t>=1/Q2746</t>
  </si>
  <si>
    <t>=R2746*N2746</t>
  </si>
  <si>
    <t>=D2746</t>
  </si>
  <si>
    <t>=NL("sum","Production Order","Quantity","Source No.",$D2747,"Equipment Code",$L2747,"due date",F$8)/-12</t>
  </si>
  <si>
    <t>=NL("sum","Production Order","Quantity","Source No.",$D2747,"Equipment Code",$L2747,"due date",G$8)/-12</t>
  </si>
  <si>
    <t>=NL("sum","Production Order","Quantity","Source No.",$D2747,"Equipment Code",$L2747,"due date",H$8)/-12</t>
  </si>
  <si>
    <t>=NL("sum","Production Order","Quantity","Source No.",$D2747,"Equipment Code",$L2747,"due date",I$8)/-12</t>
  </si>
  <si>
    <t>=NL("sum","Production Order","Quantity","Source No.",$D2747,"Equipment Code",$L2747,"due date",J$8)/$J$7</t>
  </si>
  <si>
    <t>=B2747</t>
  </si>
  <si>
    <t>=B2751</t>
  </si>
  <si>
    <t>=SUM(F2747:F2751)</t>
  </si>
  <si>
    <t>=SUM(G2747:G2751)</t>
  </si>
  <si>
    <t>=SUM(H2747:H2751)</t>
  </si>
  <si>
    <t>=SUM(I2747:I2751)</t>
  </si>
  <si>
    <t>=SUM(J2747:J2751)</t>
  </si>
  <si>
    <t>=IF(K2753=0,"hide","")</t>
  </si>
  <si>
    <t>=NL("rows","Production BOM Version","Version Code","Production BOM No.",D2753,"status","certified")</t>
  </si>
  <si>
    <t>=NL("sum","Item Ledger Entry","Quantity","Item No.",$D2753,"Entry Type","Sale|Consumption","posting date","01/01/19..12/31/19")/-12</t>
  </si>
  <si>
    <t>=NL("sum","Item Ledger Entry","Quantity","Item No.",$D2753,"Entry Type","Sale|Consumption","posting date","01/01/20..12/31/20")/-12</t>
  </si>
  <si>
    <t>=NL("sum","Item Ledger Entry","Quantity","Item No.",$D2753,"Entry Type","Sale|Consumption","posting date","01/01/21..12/31/21")/-12</t>
  </si>
  <si>
    <t>=NL("sum","Item Ledger Entry","Quantity","Item No.",$D2753,"Entry Type","Sale|Consumption","posting date","01/01/22..12/31/22")/-12</t>
  </si>
  <si>
    <t>=NL("sum","Item Ledger Entry","Quantity","Item No.",$D2753,"Entry Type","Sale|Consumption","posting date","01/01/23..12/31/23")/$J$7</t>
  </si>
  <si>
    <t>=AVERAGE(I2753:J2753)</t>
  </si>
  <si>
    <t>=NL(1,"item",L$9,"no.",D2753)</t>
  </si>
  <si>
    <t>=NL(1,"item",M$9,"no.",$D2753)</t>
  </si>
  <si>
    <t>=NL(1,"item","Units Per Parcel","no.",$D2753)</t>
  </si>
  <si>
    <t>=NL(1,"Prod. BOM Equipment","Fixed Prod. Time (Hours)","Production BOM No.",$D2753,"version code",$E2753,"Resource No.",O$9)</t>
  </si>
  <si>
    <t>=1/O2753</t>
  </si>
  <si>
    <t>=IF(NL(1,"Prod. BOM Equipment","Variable Prod. Time (Hours)","Production BOM No.",$D2753,"version code",$E2753,"Resource No.",$O$9)="",1,NL(1,"Prod. BOM Equipment","Variable Prod. Time (Hours)","Production BOM No.",$D2753,"version code",$E2753,"Resource No.",$O$9))</t>
  </si>
  <si>
    <t>=1/Q2753</t>
  </si>
  <si>
    <t>=R2753*N2753</t>
  </si>
  <si>
    <t>=D2753</t>
  </si>
  <si>
    <t>=NL("sum","Production Order","Quantity","Source No.",$D2754,"Equipment Code",$L2754,"due date",F$8)/-12</t>
  </si>
  <si>
    <t>=NL("sum","Production Order","Quantity","Source No.",$D2754,"Equipment Code",$L2754,"due date",G$8)/-12</t>
  </si>
  <si>
    <t>=NL("sum","Production Order","Quantity","Source No.",$D2754,"Equipment Code",$L2754,"due date",H$8)/-12</t>
  </si>
  <si>
    <t>=NL("sum","Production Order","Quantity","Source No.",$D2754,"Equipment Code",$L2754,"due date",I$8)/-12</t>
  </si>
  <si>
    <t>=NL("sum","Production Order","Quantity","Source No.",$D2754,"Equipment Code",$L2754,"due date",J$8)/$J$7</t>
  </si>
  <si>
    <t>=B2754</t>
  </si>
  <si>
    <t>=B2758</t>
  </si>
  <si>
    <t>=SUM(F2754:F2758)</t>
  </si>
  <si>
    <t>=SUM(G2754:G2758)</t>
  </si>
  <si>
    <t>=SUM(H2754:H2758)</t>
  </si>
  <si>
    <t>=SUM(I2754:I2758)</t>
  </si>
  <si>
    <t>=SUM(J2754:J2758)</t>
  </si>
  <si>
    <t>=IF(K2760=0,"hide","")</t>
  </si>
  <si>
    <t>=NL("rows","Production BOM Version","Version Code","Production BOM No.",D2760,"status","certified")</t>
  </si>
  <si>
    <t>=NL("sum","Item Ledger Entry","Quantity","Item No.",$D2760,"Entry Type","Sale|Consumption","posting date","01/01/19..12/31/19")/-12</t>
  </si>
  <si>
    <t>=NL("sum","Item Ledger Entry","Quantity","Item No.",$D2760,"Entry Type","Sale|Consumption","posting date","01/01/20..12/31/20")/-12</t>
  </si>
  <si>
    <t>=NL("sum","Item Ledger Entry","Quantity","Item No.",$D2760,"Entry Type","Sale|Consumption","posting date","01/01/21..12/31/21")/-12</t>
  </si>
  <si>
    <t>=NL("sum","Item Ledger Entry","Quantity","Item No.",$D2760,"Entry Type","Sale|Consumption","posting date","01/01/22..12/31/22")/-12</t>
  </si>
  <si>
    <t>=NL("sum","Item Ledger Entry","Quantity","Item No.",$D2760,"Entry Type","Sale|Consumption","posting date","01/01/23..12/31/23")/$J$7</t>
  </si>
  <si>
    <t>=AVERAGE(I2760:J2760)</t>
  </si>
  <si>
    <t>=NL(1,"item",L$9,"no.",D2760)</t>
  </si>
  <si>
    <t>=NL(1,"item",M$9,"no.",$D2760)</t>
  </si>
  <si>
    <t>=NL(1,"item","Units Per Parcel","no.",$D2760)</t>
  </si>
  <si>
    <t>=NL(1,"Prod. BOM Equipment","Fixed Prod. Time (Hours)","Production BOM No.",$D2760,"version code",$E2760,"Resource No.",O$9)</t>
  </si>
  <si>
    <t>=1/O2760</t>
  </si>
  <si>
    <t>=IF(NL(1,"Prod. BOM Equipment","Variable Prod. Time (Hours)","Production BOM No.",$D2760,"version code",$E2760,"Resource No.",$O$9)="",1,NL(1,"Prod. BOM Equipment","Variable Prod. Time (Hours)","Production BOM No.",$D2760,"version code",$E2760,"Resource No.",$O$9))</t>
  </si>
  <si>
    <t>=1/Q2760</t>
  </si>
  <si>
    <t>=R2760*N2760</t>
  </si>
  <si>
    <t>=D2760</t>
  </si>
  <si>
    <t>=NL("sum","Production Order","Quantity","Source No.",$D2783,"Equipment Code",$L2783,"due date",F$8)/-12</t>
  </si>
  <si>
    <t>=NL("sum","Production Order","Quantity","Source No.",$D2783,"Equipment Code",$L2783,"due date",G$8)/-12</t>
  </si>
  <si>
    <t>=NL("sum","Production Order","Quantity","Source No.",$D2783,"Equipment Code",$L2783,"due date",H$8)/-12</t>
  </si>
  <si>
    <t>=NL("sum","Production Order","Quantity","Source No.",$D2783,"Equipment Code",$L2783,"due date",I$8)/-12</t>
  </si>
  <si>
    <t>=NL("sum","Production Order","Quantity","Source No.",$D2783,"Equipment Code",$L2783,"due date",J$8)/$J$7</t>
  </si>
  <si>
    <t>=B2783</t>
  </si>
  <si>
    <t>=B2787</t>
  </si>
  <si>
    <t>=SUM(F2783:F2787)</t>
  </si>
  <si>
    <t>=SUM(G2783:G2787)</t>
  </si>
  <si>
    <t>=SUM(H2783:H2787)</t>
  </si>
  <si>
    <t>=SUM(I2783:I2787)</t>
  </si>
  <si>
    <t>=SUM(J2783:J2787)</t>
  </si>
  <si>
    <t>=IF(K2789=0,"hide","")</t>
  </si>
  <si>
    <t>=NL("rows","Production BOM Version","Version Code","Production BOM No.",D2789,"status","certified")</t>
  </si>
  <si>
    <t>=NL("sum","Item Ledger Entry","Quantity","Item No.",$D2789,"Entry Type","Sale|Consumption","posting date","01/01/19..12/31/19")/-12</t>
  </si>
  <si>
    <t>=NL("sum","Item Ledger Entry","Quantity","Item No.",$D2789,"Entry Type","Sale|Consumption","posting date","01/01/20..12/31/20")/-12</t>
  </si>
  <si>
    <t>=NL("sum","Item Ledger Entry","Quantity","Item No.",$D2789,"Entry Type","Sale|Consumption","posting date","01/01/21..12/31/21")/-12</t>
  </si>
  <si>
    <t>=NL("sum","Item Ledger Entry","Quantity","Item No.",$D2789,"Entry Type","Sale|Consumption","posting date","01/01/22..12/31/22")/-12</t>
  </si>
  <si>
    <t>=NL("sum","Item Ledger Entry","Quantity","Item No.",$D2789,"Entry Type","Sale|Consumption","posting date","01/01/23..12/31/23")/$J$7</t>
  </si>
  <si>
    <t>=AVERAGE(I2789:J2789)</t>
  </si>
  <si>
    <t>=NL(1,"item",L$9,"no.",D2789)</t>
  </si>
  <si>
    <t>=NL(1,"item",M$9,"no.",$D2789)</t>
  </si>
  <si>
    <t>=NL(1,"item","Units Per Parcel","no.",$D2789)</t>
  </si>
  <si>
    <t>=NL(1,"Prod. BOM Equipment","Fixed Prod. Time (Hours)","Production BOM No.",$D2789,"version code",$E2789,"Resource No.",O$9)</t>
  </si>
  <si>
    <t>=1/O2789</t>
  </si>
  <si>
    <t>=IF(NL(1,"Prod. BOM Equipment","Variable Prod. Time (Hours)","Production BOM No.",$D2789,"version code",$E2789,"Resource No.",$O$9)="",1,NL(1,"Prod. BOM Equipment","Variable Prod. Time (Hours)","Production BOM No.",$D2789,"version code",$E2789,"Resource No.",$O$9))</t>
  </si>
  <si>
    <t>=1/Q2789</t>
  </si>
  <si>
    <t>=R2789*N2789</t>
  </si>
  <si>
    <t>=D2789</t>
  </si>
  <si>
    <t>=NL("sum","Production Order","Quantity","Source No.",$D2790,"Equipment Code",$L2790,"due date",F$8)/-12</t>
  </si>
  <si>
    <t>=NL("sum","Production Order","Quantity","Source No.",$D2790,"Equipment Code",$L2790,"due date",G$8)/-12</t>
  </si>
  <si>
    <t>=NL("sum","Production Order","Quantity","Source No.",$D2790,"Equipment Code",$L2790,"due date",H$8)/-12</t>
  </si>
  <si>
    <t>=NL("sum","Production Order","Quantity","Source No.",$D2790,"Equipment Code",$L2790,"due date",I$8)/-12</t>
  </si>
  <si>
    <t>=NL("sum","Production Order","Quantity","Source No.",$D2790,"Equipment Code",$L2790,"due date",J$8)/$J$7</t>
  </si>
  <si>
    <t>=B2790</t>
  </si>
  <si>
    <t>=B2794</t>
  </si>
  <si>
    <t>=SUM(F2790:F2794)</t>
  </si>
  <si>
    <t>=SUM(G2790:G2794)</t>
  </si>
  <si>
    <t>=SUM(H2790:H2794)</t>
  </si>
  <si>
    <t>=SUM(I2790:I2794)</t>
  </si>
  <si>
    <t>=SUM(J2790:J2794)</t>
  </si>
  <si>
    <t>=IF(K2796=0,"hide","")</t>
  </si>
  <si>
    <t>=NL("rows","Production BOM Version","Version Code","Production BOM No.",D2796,"status","certified")</t>
  </si>
  <si>
    <t>=NL("sum","Item Ledger Entry","Quantity","Item No.",$D2796,"Entry Type","Sale|Consumption","posting date","01/01/19..12/31/19")/-12</t>
  </si>
  <si>
    <t>=NL("sum","Item Ledger Entry","Quantity","Item No.",$D2796,"Entry Type","Sale|Consumption","posting date","01/01/20..12/31/20")/-12</t>
  </si>
  <si>
    <t>=NL("sum","Item Ledger Entry","Quantity","Item No.",$D2796,"Entry Type","Sale|Consumption","posting date","01/01/21..12/31/21")/-12</t>
  </si>
  <si>
    <t>=NL("sum","Item Ledger Entry","Quantity","Item No.",$D2796,"Entry Type","Sale|Consumption","posting date","01/01/22..12/31/22")/-12</t>
  </si>
  <si>
    <t>=NL("sum","Item Ledger Entry","Quantity","Item No.",$D2796,"Entry Type","Sale|Consumption","posting date","01/01/23..12/31/23")/$J$7</t>
  </si>
  <si>
    <t>=AVERAGE(I2796:J2796)</t>
  </si>
  <si>
    <t>=NL(1,"item",L$9,"no.",D2796)</t>
  </si>
  <si>
    <t>=NL(1,"item",M$9,"no.",$D2796)</t>
  </si>
  <si>
    <t>=NL(1,"item","Units Per Parcel","no.",$D2796)</t>
  </si>
  <si>
    <t>=NL(1,"Prod. BOM Equipment","Fixed Prod. Time (Hours)","Production BOM No.",$D2796,"version code",$E2796,"Resource No.",O$9)</t>
  </si>
  <si>
    <t>=1/O2796</t>
  </si>
  <si>
    <t>=IF(NL(1,"Prod. BOM Equipment","Variable Prod. Time (Hours)","Production BOM No.",$D2796,"version code",$E2796,"Resource No.",$O$9)="",1,NL(1,"Prod. BOM Equipment","Variable Prod. Time (Hours)","Production BOM No.",$D2796,"version code",$E2796,"Resource No.",$O$9))</t>
  </si>
  <si>
    <t>=1/Q2796</t>
  </si>
  <si>
    <t>=R2796*N2796</t>
  </si>
  <si>
    <t>=D2796</t>
  </si>
  <si>
    <t>=NL("sum","Production Order","Quantity","Source No.",$D2797,"Equipment Code",$L2797,"due date",F$8)/-12</t>
  </si>
  <si>
    <t>=NL("sum","Production Order","Quantity","Source No.",$D2797,"Equipment Code",$L2797,"due date",G$8)/-12</t>
  </si>
  <si>
    <t>=NL("sum","Production Order","Quantity","Source No.",$D2797,"Equipment Code",$L2797,"due date",H$8)/-12</t>
  </si>
  <si>
    <t>=NL("sum","Production Order","Quantity","Source No.",$D2797,"Equipment Code",$L2797,"due date",I$8)/-12</t>
  </si>
  <si>
    <t>=NL("sum","Production Order","Quantity","Source No.",$D2797,"Equipment Code",$L2797,"due date",J$8)/$J$7</t>
  </si>
  <si>
    <t>=B2797</t>
  </si>
  <si>
    <t>=B2801</t>
  </si>
  <si>
    <t>=SUM(F2797:F2801)</t>
  </si>
  <si>
    <t>=SUM(G2797:G2801)</t>
  </si>
  <si>
    <t>=SUM(H2797:H2801)</t>
  </si>
  <si>
    <t>=SUM(I2797:I2801)</t>
  </si>
  <si>
    <t>=SUM(J2797:J2801)</t>
  </si>
  <si>
    <t>=IF(K2803=0,"hide","")</t>
  </si>
  <si>
    <t>=NL("rows","Production BOM Version","Version Code","Production BOM No.",D2803,"status","certified")</t>
  </si>
  <si>
    <t>=NL("sum","Item Ledger Entry","Quantity","Item No.",$D2803,"Entry Type","Sale|Consumption","posting date","01/01/19..12/31/19")/-12</t>
  </si>
  <si>
    <t>=NL("sum","Item Ledger Entry","Quantity","Item No.",$D2803,"Entry Type","Sale|Consumption","posting date","01/01/20..12/31/20")/-12</t>
  </si>
  <si>
    <t>=NL("sum","Item Ledger Entry","Quantity","Item No.",$D2803,"Entry Type","Sale|Consumption","posting date","01/01/21..12/31/21")/-12</t>
  </si>
  <si>
    <t>=NL("sum","Item Ledger Entry","Quantity","Item No.",$D2803,"Entry Type","Sale|Consumption","posting date","01/01/22..12/31/22")/-12</t>
  </si>
  <si>
    <t>=NL("sum","Item Ledger Entry","Quantity","Item No.",$D2803,"Entry Type","Sale|Consumption","posting date","01/01/23..12/31/23")/$J$7</t>
  </si>
  <si>
    <t>=AVERAGE(I2803:J2803)</t>
  </si>
  <si>
    <t>=NL(1,"item",L$9,"no.",D2803)</t>
  </si>
  <si>
    <t>=NL(1,"item",M$9,"no.",$D2803)</t>
  </si>
  <si>
    <t>=NL(1,"item","Units Per Parcel","no.",$D2803)</t>
  </si>
  <si>
    <t>=NL(1,"Prod. BOM Equipment","Fixed Prod. Time (Hours)","Production BOM No.",$D2803,"version code",$E2803,"Resource No.",O$9)</t>
  </si>
  <si>
    <t>=1/O2803</t>
  </si>
  <si>
    <t>=IF(NL(1,"Prod. BOM Equipment","Variable Prod. Time (Hours)","Production BOM No.",$D2803,"version code",$E2803,"Resource No.",$O$9)="",1,NL(1,"Prod. BOM Equipment","Variable Prod. Time (Hours)","Production BOM No.",$D2803,"version code",$E2803,"Resource No.",$O$9))</t>
  </si>
  <si>
    <t>=1/Q2803</t>
  </si>
  <si>
    <t>=R2803*N2803</t>
  </si>
  <si>
    <t>=D2803</t>
  </si>
  <si>
    <t>=NL("sum","Production Order","Quantity","Source No.",$D4590,"Equipment Code",$L4590,"due date",F$8)/-12</t>
  </si>
  <si>
    <t>=NL("sum","Production Order","Quantity","Source No.",$D4590,"Equipment Code",$L4590,"due date",G$8)/-12</t>
  </si>
  <si>
    <t>=NL("sum","Production Order","Quantity","Source No.",$D4590,"Equipment Code",$L4590,"due date",H$8)/-12</t>
  </si>
  <si>
    <t>=NL("sum","Production Order","Quantity","Source No.",$D4590,"Equipment Code",$L4590,"due date",I$8)/-12</t>
  </si>
  <si>
    <t>=NL("sum","Production Order","Quantity","Source No.",$D4590,"Equipment Code",$L4590,"due date",J$8)/$J$7</t>
  </si>
  <si>
    <t>=B4590</t>
  </si>
  <si>
    <t>=B4594</t>
  </si>
  <si>
    <t>=SUM(F4590:F4594)</t>
  </si>
  <si>
    <t>=SUM(G4590:G4594)</t>
  </si>
  <si>
    <t>=SUM(H4590:H4594)</t>
  </si>
  <si>
    <t>=SUM(I4590:I4594)</t>
  </si>
  <si>
    <t>=SUM(J4590:J4594)</t>
  </si>
  <si>
    <t>=IF(K4596=0,"hide","")</t>
  </si>
  <si>
    <t>=NL("rows","Production BOM Version","Version Code","Production BOM No.",D4596,"status","certified")</t>
  </si>
  <si>
    <t>=NL("sum","Item Ledger Entry","Quantity","Item No.",$D4596,"Entry Type","Sale|Consumption","posting date","01/01/19..12/31/19")/-12</t>
  </si>
  <si>
    <t>=NL("sum","Item Ledger Entry","Quantity","Item No.",$D4596,"Entry Type","Sale|Consumption","posting date","01/01/20..12/31/20")/-12</t>
  </si>
  <si>
    <t>=NL("sum","Item Ledger Entry","Quantity","Item No.",$D4596,"Entry Type","Sale|Consumption","posting date","01/01/21..12/31/21")/-12</t>
  </si>
  <si>
    <t>=NL("sum","Item Ledger Entry","Quantity","Item No.",$D4596,"Entry Type","Sale|Consumption","posting date","01/01/22..12/31/22")/-12</t>
  </si>
  <si>
    <t>=NL("sum","Item Ledger Entry","Quantity","Item No.",$D4596,"Entry Type","Sale|Consumption","posting date","01/01/23..12/31/23")/$J$7</t>
  </si>
  <si>
    <t>=AVERAGE(I4596:J4596)</t>
  </si>
  <si>
    <t>=NL(1,"item",L$9,"no.",D4596)</t>
  </si>
  <si>
    <t>=NL(1,"item",M$9,"no.",$D4596)</t>
  </si>
  <si>
    <t>=NL(1,"item","Units Per Parcel","no.",$D4596)</t>
  </si>
  <si>
    <t>=NL(1,"Prod. BOM Equipment","Fixed Prod. Time (Hours)","Production BOM No.",$D4596,"version code",$E4596,"Resource No.",O$9)</t>
  </si>
  <si>
    <t>=1/O4596</t>
  </si>
  <si>
    <t>=IF(NL(1,"Prod. BOM Equipment","Variable Prod. Time (Hours)","Production BOM No.",$D4596,"version code",$E4596,"Resource No.",$O$9)="",1,NL(1,"Prod. BOM Equipment","Variable Prod. Time (Hours)","Production BOM No.",$D4596,"version code",$E4596,"Resource No.",$O$9))</t>
  </si>
  <si>
    <t>=1/Q4596</t>
  </si>
  <si>
    <t>=R4596*N4596</t>
  </si>
  <si>
    <t>=D4596</t>
  </si>
  <si>
    <t>=NL("sum","Production Order","Quantity","Source No.",$D4597,"Equipment Code",$L4597,"due date",F$8)/-12</t>
  </si>
  <si>
    <t>=NL("sum","Production Order","Quantity","Source No.",$D4597,"Equipment Code",$L4597,"due date",G$8)/-12</t>
  </si>
  <si>
    <t>=NL("sum","Production Order","Quantity","Source No.",$D4597,"Equipment Code",$L4597,"due date",H$8)/-12</t>
  </si>
  <si>
    <t>=NL("sum","Production Order","Quantity","Source No.",$D4597,"Equipment Code",$L4597,"due date",I$8)/-12</t>
  </si>
  <si>
    <t>=NL("sum","Production Order","Quantity","Source No.",$D4597,"Equipment Code",$L4597,"due date",J$8)/$J$7</t>
  </si>
  <si>
    <t>=B4597</t>
  </si>
  <si>
    <t>=B4601</t>
  </si>
  <si>
    <t>=SUM(F4597:F4601)</t>
  </si>
  <si>
    <t>=SUM(G4597:G4601)</t>
  </si>
  <si>
    <t>=SUM(H4597:H4601)</t>
  </si>
  <si>
    <t>=SUM(I4597:I4601)</t>
  </si>
  <si>
    <t>=SUM(J4597:J4601)</t>
  </si>
  <si>
    <t>=IF(K4603=0,"hide","")</t>
  </si>
  <si>
    <t>=NL("rows","Production BOM Version","Version Code","Production BOM No.",D4603,"status","certified")</t>
  </si>
  <si>
    <t>=NL("sum","Item Ledger Entry","Quantity","Item No.",$D4603,"Entry Type","Sale|Consumption","posting date","01/01/19..12/31/19")/-12</t>
  </si>
  <si>
    <t>=NL("sum","Item Ledger Entry","Quantity","Item No.",$D4603,"Entry Type","Sale|Consumption","posting date","01/01/20..12/31/20")/-12</t>
  </si>
  <si>
    <t>=NL("sum","Item Ledger Entry","Quantity","Item No.",$D4603,"Entry Type","Sale|Consumption","posting date","01/01/21..12/31/21")/-12</t>
  </si>
  <si>
    <t>=NL("sum","Item Ledger Entry","Quantity","Item No.",$D4603,"Entry Type","Sale|Consumption","posting date","01/01/22..12/31/22")/-12</t>
  </si>
  <si>
    <t>=NL("sum","Item Ledger Entry","Quantity","Item No.",$D4603,"Entry Type","Sale|Consumption","posting date","01/01/23..12/31/23")/$J$7</t>
  </si>
  <si>
    <t>=AVERAGE(I4603:J4603)</t>
  </si>
  <si>
    <t>=NL(1,"item",L$9,"no.",D4603)</t>
  </si>
  <si>
    <t>=NL(1,"item",M$9,"no.",$D4603)</t>
  </si>
  <si>
    <t>=NL(1,"item","Units Per Parcel","no.",$D4603)</t>
  </si>
  <si>
    <t>=NL(1,"Prod. BOM Equipment","Fixed Prod. Time (Hours)","Production BOM No.",$D4603,"version code",$E4603,"Resource No.",O$9)</t>
  </si>
  <si>
    <t>=1/O4603</t>
  </si>
  <si>
    <t>=IF(NL(1,"Prod. BOM Equipment","Variable Prod. Time (Hours)","Production BOM No.",$D4603,"version code",$E4603,"Resource No.",$O$9)="",1,NL(1,"Prod. BOM Equipment","Variable Prod. Time (Hours)","Production BOM No.",$D4603,"version code",$E4603,"Resource No.",$O$9))</t>
  </si>
  <si>
    <t>=1/Q4603</t>
  </si>
  <si>
    <t>=R4603*N4603</t>
  </si>
  <si>
    <t>=D4603</t>
  </si>
  <si>
    <t>=NL("sum","Production Order","Quantity","Source No.",$D4604,"Equipment Code",$L4604,"due date",F$8)/-12</t>
  </si>
  <si>
    <t>=NL("sum","Production Order","Quantity","Source No.",$D4604,"Equipment Code",$L4604,"due date",G$8)/-12</t>
  </si>
  <si>
    <t>=NL("sum","Production Order","Quantity","Source No.",$D4604,"Equipment Code",$L4604,"due date",H$8)/-12</t>
  </si>
  <si>
    <t>=NL("sum","Production Order","Quantity","Source No.",$D4604,"Equipment Code",$L4604,"due date",I$8)/-12</t>
  </si>
  <si>
    <t>=NL("sum","Production Order","Quantity","Source No.",$D4604,"Equipment Code",$L4604,"due date",J$8)/$J$7</t>
  </si>
  <si>
    <t>=B4604</t>
  </si>
  <si>
    <t>=B4608</t>
  </si>
  <si>
    <t>=SUM(F4604:F4608)</t>
  </si>
  <si>
    <t>=SUM(G4604:G4608)</t>
  </si>
  <si>
    <t>=SUM(H4604:H4608)</t>
  </si>
  <si>
    <t>=SUM(I4604:I4608)</t>
  </si>
  <si>
    <t>=SUM(J4604:J4608)</t>
  </si>
  <si>
    <t>=IF(K4610=0,"hide","")</t>
  </si>
  <si>
    <t>=NL("rows","Production BOM Version","Version Code","Production BOM No.",D4610,"status","certified")</t>
  </si>
  <si>
    <t>=NL("sum","Item Ledger Entry","Quantity","Item No.",$D4610,"Entry Type","Sale|Consumption","posting date","01/01/19..12/31/19")/-12</t>
  </si>
  <si>
    <t>=NL("sum","Item Ledger Entry","Quantity","Item No.",$D4610,"Entry Type","Sale|Consumption","posting date","01/01/20..12/31/20")/-12</t>
  </si>
  <si>
    <t>=NL("sum","Item Ledger Entry","Quantity","Item No.",$D4610,"Entry Type","Sale|Consumption","posting date","01/01/21..12/31/21")/-12</t>
  </si>
  <si>
    <t>=NL("sum","Item Ledger Entry","Quantity","Item No.",$D4610,"Entry Type","Sale|Consumption","posting date","01/01/22..12/31/22")/-12</t>
  </si>
  <si>
    <t>=NL("sum","Item Ledger Entry","Quantity","Item No.",$D4610,"Entry Type","Sale|Consumption","posting date","01/01/23..12/31/23")/$J$7</t>
  </si>
  <si>
    <t>=AVERAGE(I4610:J4610)</t>
  </si>
  <si>
    <t>=NL(1,"item",L$9,"no.",D4610)</t>
  </si>
  <si>
    <t>=NL(1,"item",M$9,"no.",$D4610)</t>
  </si>
  <si>
    <t>=NL(1,"item","Units Per Parcel","no.",$D4610)</t>
  </si>
  <si>
    <t>=NL(1,"Prod. BOM Equipment","Fixed Prod. Time (Hours)","Production BOM No.",$D4610,"version code",$E4610,"Resource No.",O$9)</t>
  </si>
  <si>
    <t>=1/O4610</t>
  </si>
  <si>
    <t>=IF(NL(1,"Prod. BOM Equipment","Variable Prod. Time (Hours)","Production BOM No.",$D4610,"version code",$E4610,"Resource No.",$O$9)="",1,NL(1,"Prod. BOM Equipment","Variable Prod. Time (Hours)","Production BOM No.",$D4610,"version code",$E4610,"Resource No.",$O$9))</t>
  </si>
  <si>
    <t>=1/Q4610</t>
  </si>
  <si>
    <t>=R4610*N4610</t>
  </si>
  <si>
    <t>=D4610</t>
  </si>
  <si>
    <t>=NL("sum","Production Order","Quantity","Source No.",$D5193,"Equipment Code",$L5193,"due date",F$8)/-12</t>
  </si>
  <si>
    <t>=NL("sum","Production Order","Quantity","Source No.",$D5193,"Equipment Code",$L5193,"due date",G$8)/-12</t>
  </si>
  <si>
    <t>=NL("sum","Production Order","Quantity","Source No.",$D5193,"Equipment Code",$L5193,"due date",H$8)/-12</t>
  </si>
  <si>
    <t>=NL("sum","Production Order","Quantity","Source No.",$D5193,"Equipment Code",$L5193,"due date",I$8)/-12</t>
  </si>
  <si>
    <t>=NL("sum","Production Order","Quantity","Source No.",$D5193,"Equipment Code",$L5193,"due date",J$8)/$J$7</t>
  </si>
  <si>
    <t>=B5193</t>
  </si>
  <si>
    <t>=B5197</t>
  </si>
  <si>
    <t>=SUM(F5193:F5197)</t>
  </si>
  <si>
    <t>=SUM(G5193:G5197)</t>
  </si>
  <si>
    <t>=SUM(H5193:H5197)</t>
  </si>
  <si>
    <t>=SUM(I5193:I5197)</t>
  </si>
  <si>
    <t>=SUM(J5193:J5197)</t>
  </si>
  <si>
    <t>=IF(K5199=0,"hide","")</t>
  </si>
  <si>
    <t>=NL("rows","Production BOM Version","Version Code","Production BOM No.",D5199,"status","certified")</t>
  </si>
  <si>
    <t>=NL("sum","Item Ledger Entry","Quantity","Item No.",$D5199,"Entry Type","Sale|Consumption","posting date","01/01/19..12/31/19")/-12</t>
  </si>
  <si>
    <t>=NL("sum","Item Ledger Entry","Quantity","Item No.",$D5199,"Entry Type","Sale|Consumption","posting date","01/01/20..12/31/20")/-12</t>
  </si>
  <si>
    <t>=NL("sum","Item Ledger Entry","Quantity","Item No.",$D5199,"Entry Type","Sale|Consumption","posting date","01/01/21..12/31/21")/-12</t>
  </si>
  <si>
    <t>=NL("sum","Item Ledger Entry","Quantity","Item No.",$D5199,"Entry Type","Sale|Consumption","posting date","01/01/22..12/31/22")/-12</t>
  </si>
  <si>
    <t>=NL("sum","Item Ledger Entry","Quantity","Item No.",$D5199,"Entry Type","Sale|Consumption","posting date","01/01/23..12/31/23")/$J$7</t>
  </si>
  <si>
    <t>=AVERAGE(I5199:J5199)</t>
  </si>
  <si>
    <t>=NL(1,"item",L$9,"no.",D5199)</t>
  </si>
  <si>
    <t>=NL(1,"item",M$9,"no.",$D5199)</t>
  </si>
  <si>
    <t>=NL(1,"item","Units Per Parcel","no.",$D5199)</t>
  </si>
  <si>
    <t>=NL(1,"Prod. BOM Equipment","Fixed Prod. Time (Hours)","Production BOM No.",$D5199,"version code",$E5199,"Resource No.",O$9)</t>
  </si>
  <si>
    <t>=1/O5199</t>
  </si>
  <si>
    <t>=IF(NL(1,"Prod. BOM Equipment","Variable Prod. Time (Hours)","Production BOM No.",$D5199,"version code",$E5199,"Resource No.",$O$9)="",1,NL(1,"Prod. BOM Equipment","Variable Prod. Time (Hours)","Production BOM No.",$D5199,"version code",$E5199,"Resource No.",$O$9))</t>
  </si>
  <si>
    <t>=1/Q5199</t>
  </si>
  <si>
    <t>=R5199*N5199</t>
  </si>
  <si>
    <t>=D5199</t>
  </si>
  <si>
    <t>=NL("sum","Production Order","Quantity","Source No.",$D5200,"Equipment Code",$L5200,"due date",F$8)/-12</t>
  </si>
  <si>
    <t>=NL("sum","Production Order","Quantity","Source No.",$D5200,"Equipment Code",$L5200,"due date",G$8)/-12</t>
  </si>
  <si>
    <t>=NL("sum","Production Order","Quantity","Source No.",$D5200,"Equipment Code",$L5200,"due date",H$8)/-12</t>
  </si>
  <si>
    <t>=NL("sum","Production Order","Quantity","Source No.",$D5200,"Equipment Code",$L5200,"due date",I$8)/-12</t>
  </si>
  <si>
    <t>=NL("sum","Production Order","Quantity","Source No.",$D5200,"Equipment Code",$L5200,"due date",J$8)/$J$7</t>
  </si>
  <si>
    <t>=B5200</t>
  </si>
  <si>
    <t>=B5204</t>
  </si>
  <si>
    <t>=SUM(F5200:F5204)</t>
  </si>
  <si>
    <t>=SUM(G5200:G5204)</t>
  </si>
  <si>
    <t>=SUM(H5200:H5204)</t>
  </si>
  <si>
    <t>=SUM(I5200:I5204)</t>
  </si>
  <si>
    <t>=SUM(J5200:J5204)</t>
  </si>
  <si>
    <t>=IF(K5206=0,"hide","")</t>
  </si>
  <si>
    <t>=NL("rows","Production BOM Version","Version Code","Production BOM No.",D5206,"status","certified")</t>
  </si>
  <si>
    <t>=NL("sum","Item Ledger Entry","Quantity","Item No.",$D5206,"Entry Type","Sale|Consumption","posting date","01/01/19..12/31/19")/-12</t>
  </si>
  <si>
    <t>=NL("sum","Item Ledger Entry","Quantity","Item No.",$D5206,"Entry Type","Sale|Consumption","posting date","01/01/20..12/31/20")/-12</t>
  </si>
  <si>
    <t>=NL("sum","Item Ledger Entry","Quantity","Item No.",$D5206,"Entry Type","Sale|Consumption","posting date","01/01/21..12/31/21")/-12</t>
  </si>
  <si>
    <t>=NL("sum","Item Ledger Entry","Quantity","Item No.",$D5206,"Entry Type","Sale|Consumption","posting date","01/01/22..12/31/22")/-12</t>
  </si>
  <si>
    <t>=NL("sum","Item Ledger Entry","Quantity","Item No.",$D5206,"Entry Type","Sale|Consumption","posting date","01/01/23..12/31/23")/$J$7</t>
  </si>
  <si>
    <t>=AVERAGE(I5206:J5206)</t>
  </si>
  <si>
    <t>=NL(1,"item",L$9,"no.",D5206)</t>
  </si>
  <si>
    <t>=NL(1,"item",M$9,"no.",$D5206)</t>
  </si>
  <si>
    <t>=NL(1,"item","Units Per Parcel","no.",$D5206)</t>
  </si>
  <si>
    <t>=NL(1,"Prod. BOM Equipment","Fixed Prod. Time (Hours)","Production BOM No.",$D5206,"version code",$E5206,"Resource No.",O$9)</t>
  </si>
  <si>
    <t>=1/O5206</t>
  </si>
  <si>
    <t>=IF(NL(1,"Prod. BOM Equipment","Variable Prod. Time (Hours)","Production BOM No.",$D5206,"version code",$E5206,"Resource No.",$O$9)="",1,NL(1,"Prod. BOM Equipment","Variable Prod. Time (Hours)","Production BOM No.",$D5206,"version code",$E5206,"Resource No.",$O$9))</t>
  </si>
  <si>
    <t>=1/Q5206</t>
  </si>
  <si>
    <t>=R5206*N5206</t>
  </si>
  <si>
    <t>=D5206</t>
  </si>
  <si>
    <t>=NL("sum","Production Order","Quantity","Source No.",$D5207,"Equipment Code",$L5207,"due date",F$8)/-12</t>
  </si>
  <si>
    <t>=NL("sum","Production Order","Quantity","Source No.",$D5207,"Equipment Code",$L5207,"due date",G$8)/-12</t>
  </si>
  <si>
    <t>=NL("sum","Production Order","Quantity","Source No.",$D5207,"Equipment Code",$L5207,"due date",H$8)/-12</t>
  </si>
  <si>
    <t>=NL("sum","Production Order","Quantity","Source No.",$D5207,"Equipment Code",$L5207,"due date",I$8)/-12</t>
  </si>
  <si>
    <t>=NL("sum","Production Order","Quantity","Source No.",$D5207,"Equipment Code",$L5207,"due date",J$8)/$J$7</t>
  </si>
  <si>
    <t>=B5207</t>
  </si>
  <si>
    <t>=B5211</t>
  </si>
  <si>
    <t>=SUM(F5207:F5211)</t>
  </si>
  <si>
    <t>=SUM(G5207:G5211)</t>
  </si>
  <si>
    <t>=SUM(H5207:H5211)</t>
  </si>
  <si>
    <t>=SUM(I5207:I5211)</t>
  </si>
  <si>
    <t>=SUM(J5207:J5211)</t>
  </si>
  <si>
    <t>=IF(K5213=0,"hide","")</t>
  </si>
  <si>
    <t>=NL("rows","Production BOM Version","Version Code","Production BOM No.",D5213,"status","certified")</t>
  </si>
  <si>
    <t>=NL("sum","Item Ledger Entry","Quantity","Item No.",$D5213,"Entry Type","Sale|Consumption","posting date","01/01/19..12/31/19")/-12</t>
  </si>
  <si>
    <t>=NL("sum","Item Ledger Entry","Quantity","Item No.",$D5213,"Entry Type","Sale|Consumption","posting date","01/01/20..12/31/20")/-12</t>
  </si>
  <si>
    <t>=NL("sum","Item Ledger Entry","Quantity","Item No.",$D5213,"Entry Type","Sale|Consumption","posting date","01/01/21..12/31/21")/-12</t>
  </si>
  <si>
    <t>=NL("sum","Item Ledger Entry","Quantity","Item No.",$D5213,"Entry Type","Sale|Consumption","posting date","01/01/22..12/31/22")/-12</t>
  </si>
  <si>
    <t>=NL("sum","Item Ledger Entry","Quantity","Item No.",$D5213,"Entry Type","Sale|Consumption","posting date","01/01/23..12/31/23")/$J$7</t>
  </si>
  <si>
    <t>=AVERAGE(I5213:J5213)</t>
  </si>
  <si>
    <t>=NL(1,"item",L$9,"no.",D5213)</t>
  </si>
  <si>
    <t>=NL(1,"item",M$9,"no.",$D5213)</t>
  </si>
  <si>
    <t>=NL(1,"item","Units Per Parcel","no.",$D5213)</t>
  </si>
  <si>
    <t>=NL(1,"Prod. BOM Equipment","Fixed Prod. Time (Hours)","Production BOM No.",$D5213,"version code",$E5213,"Resource No.",O$9)</t>
  </si>
  <si>
    <t>=1/O5213</t>
  </si>
  <si>
    <t>=IF(NL(1,"Prod. BOM Equipment","Variable Prod. Time (Hours)","Production BOM No.",$D5213,"version code",$E5213,"Resource No.",$O$9)="",1,NL(1,"Prod. BOM Equipment","Variable Prod. Time (Hours)","Production BOM No.",$D5213,"version code",$E5213,"Resource No.",$O$9))</t>
  </si>
  <si>
    <t>=1/Q5213</t>
  </si>
  <si>
    <t>=R5213*N5213</t>
  </si>
  <si>
    <t>=D5213</t>
  </si>
  <si>
    <t>=NL("sum","Production Order","Quantity","Source No.",$D5467,"Equipment Code",$L5467,"due date",F$8)/-12</t>
  </si>
  <si>
    <t>=NL("sum","Production Order","Quantity","Source No.",$D5467,"Equipment Code",$L5467,"due date",G$8)/-12</t>
  </si>
  <si>
    <t>=NL("sum","Production Order","Quantity","Source No.",$D5467,"Equipment Code",$L5467,"due date",H$8)/-12</t>
  </si>
  <si>
    <t>=NL("sum","Production Order","Quantity","Source No.",$D5467,"Equipment Code",$L5467,"due date",I$8)/-12</t>
  </si>
  <si>
    <t>=NL("sum","Production Order","Quantity","Source No.",$D5467,"Equipment Code",$L5467,"due date",J$8)/$J$7</t>
  </si>
  <si>
    <t>=B5467</t>
  </si>
  <si>
    <t>=B5471</t>
  </si>
  <si>
    <t>=SUM(F5467:F5471)</t>
  </si>
  <si>
    <t>=SUM(G5467:G5471)</t>
  </si>
  <si>
    <t>=SUM(H5467:H5471)</t>
  </si>
  <si>
    <t>=SUM(I5467:I5471)</t>
  </si>
  <si>
    <t>=SUM(J5467:J5471)</t>
  </si>
  <si>
    <t>=IF(K5473=0,"hide","")</t>
  </si>
  <si>
    <t>=NL("rows","Production BOM Version","Version Code","Production BOM No.",D5473,"status","certified")</t>
  </si>
  <si>
    <t>=NL("sum","Item Ledger Entry","Quantity","Item No.",$D5473,"Entry Type","Sale|Consumption","posting date","01/01/19..12/31/19")/-12</t>
  </si>
  <si>
    <t>=NL("sum","Item Ledger Entry","Quantity","Item No.",$D5473,"Entry Type","Sale|Consumption","posting date","01/01/20..12/31/20")/-12</t>
  </si>
  <si>
    <t>=NL("sum","Item Ledger Entry","Quantity","Item No.",$D5473,"Entry Type","Sale|Consumption","posting date","01/01/21..12/31/21")/-12</t>
  </si>
  <si>
    <t>=NL("sum","Item Ledger Entry","Quantity","Item No.",$D5473,"Entry Type","Sale|Consumption","posting date","01/01/22..12/31/22")/-12</t>
  </si>
  <si>
    <t>=NL("sum","Item Ledger Entry","Quantity","Item No.",$D5473,"Entry Type","Sale|Consumption","posting date","01/01/23..12/31/23")/$J$7</t>
  </si>
  <si>
    <t>=AVERAGE(I5473:J5473)</t>
  </si>
  <si>
    <t>=NL(1,"item",L$9,"no.",D5473)</t>
  </si>
  <si>
    <t>=NL(1,"item",M$9,"no.",$D5473)</t>
  </si>
  <si>
    <t>=NL(1,"item","Units Per Parcel","no.",$D5473)</t>
  </si>
  <si>
    <t>=NL(1,"Prod. BOM Equipment","Fixed Prod. Time (Hours)","Production BOM No.",$D5473,"version code",$E5473,"Resource No.",O$9)</t>
  </si>
  <si>
    <t>=1/O5473</t>
  </si>
  <si>
    <t>=IF(NL(1,"Prod. BOM Equipment","Variable Prod. Time (Hours)","Production BOM No.",$D5473,"version code",$E5473,"Resource No.",$O$9)="",1,NL(1,"Prod. BOM Equipment","Variable Prod. Time (Hours)","Production BOM No.",$D5473,"version code",$E5473,"Resource No.",$O$9))</t>
  </si>
  <si>
    <t>=1/Q5473</t>
  </si>
  <si>
    <t>=R5473*N5473</t>
  </si>
  <si>
    <t>=D5473</t>
  </si>
  <si>
    <t>=NL("sum","Item Ledger Entry","Quantity","Item No.",$D5489,"Entry Type","Sale|Consumption","posting date","01/01/19..12/31/19")/-12</t>
  </si>
  <si>
    <t>=NL("sum","Item Ledger Entry","Quantity","Item No.",$D5489,"Entry Type","Sale|Consumption","posting date","01/01/20..12/31/20")/-12</t>
  </si>
  <si>
    <t>=NL("sum","Item Ledger Entry","Quantity","Item No.",$D5489,"Entry Type","Sale|Consumption","posting date","01/01/21..12/31/21")/-12</t>
  </si>
  <si>
    <t>=NL("sum","Item Ledger Entry","Quantity","Item No.",$D5489,"Entry Type","Sale|Consumption","posting date","01/01/22..12/31/22")/-12</t>
  </si>
  <si>
    <t>=NL("sum","Item Ledger Entry","Quantity","Item No.",$D5489,"Entry Type","Sale|Consumption","posting date","01/01/23..12/31/23")/$J$7</t>
  </si>
  <si>
    <t>=NL(1,"item",L$9,"no.",D5489)</t>
  </si>
  <si>
    <t>=NL(1,"item",M$9,"no.",$D5489)</t>
  </si>
  <si>
    <t>=NL(1,"item","Units Per Parcel","no.",$D5489)</t>
  </si>
  <si>
    <t>=NL(1,"Prod. BOM Equipment","Fixed Prod. Time (Hours)","Production BOM No.",$D5489,"version code",$E5489,"Resource No.",O$9)</t>
  </si>
  <si>
    <t>=1/O5489</t>
  </si>
  <si>
    <t>=IF(NL(1,"Prod. BOM Equipment","Variable Prod. Time (Hours)","Production BOM No.",$D5489,"version code",$E5489,"Resource No.",$O$9)="",1,NL(1,"Prod. BOM Equipment","Variable Prod. Time (Hours)","Production BOM No.",$D5489,"version code",$E5489,"Resource No.",$O$9))</t>
  </si>
  <si>
    <t>=1/Q5489</t>
  </si>
  <si>
    <t>=R5489*N5489</t>
  </si>
  <si>
    <t>=IF(K5493=0,"hide","")</t>
  </si>
  <si>
    <t>=NL("sum","Production Order","Quantity","Source No.",$D5493,"Equipment Code",$L5493,"due date",F$8)/-12</t>
  </si>
  <si>
    <t>=NL("sum","Production Order","Quantity","Source No.",$D5493,"Equipment Code",$L5493,"due date",G$8)/-12</t>
  </si>
  <si>
    <t>=NL("sum","Production Order","Quantity","Source No.",$D5493,"Equipment Code",$L5493,"due date",H$8)/-12</t>
  </si>
  <si>
    <t>=NL("sum","Production Order","Quantity","Source No.",$D5493,"Equipment Code",$L5493,"due date",I$8)/-12</t>
  </si>
  <si>
    <t>=NL("sum","Production Order","Quantity","Source No.",$D5493,"Equipment Code",$L5493,"due date",J$8)/$J$7</t>
  </si>
  <si>
    <t>=AVERAGE(I5493:J5493)</t>
  </si>
  <si>
    <t>=B5490</t>
  </si>
  <si>
    <t>=B5494</t>
  </si>
  <si>
    <t>=SUM(F5490:F5494)</t>
  </si>
  <si>
    <t>=SUM(G5490:G5494)</t>
  </si>
  <si>
    <t>=SUM(H5490:H5494)</t>
  </si>
  <si>
    <t>=SUM(I5490:I5494)</t>
  </si>
  <si>
    <t>=SUM(J5490:J5494)</t>
  </si>
  <si>
    <t>=NL("rows","Production BOM Version","Version Code","Production BOM No.",D5496,"status","certified")</t>
  </si>
  <si>
    <t>=NL("sum","Item Ledger Entry","Quantity","Item No.",$D5496,"Entry Type","Sale|Consumption","posting date","01/01/19..12/31/19")/-12</t>
  </si>
  <si>
    <t>=NL("sum","Item Ledger Entry","Quantity","Item No.",$D5496,"Entry Type","Sale|Consumption","posting date","01/01/20..12/31/20")/-12</t>
  </si>
  <si>
    <t>=NL("sum","Item Ledger Entry","Quantity","Item No.",$D5496,"Entry Type","Sale|Consumption","posting date","01/01/21..12/31/21")/-12</t>
  </si>
  <si>
    <t>=NL("sum","Item Ledger Entry","Quantity","Item No.",$D5496,"Entry Type","Sale|Consumption","posting date","01/01/22..12/31/22")/-12</t>
  </si>
  <si>
    <t>=NL("sum","Item Ledger Entry","Quantity","Item No.",$D5496,"Entry Type","Sale|Consumption","posting date","01/01/23..12/31/23")/$J$7</t>
  </si>
  <si>
    <t>=NL(1,"item",L$9,"no.",D5496)</t>
  </si>
  <si>
    <t>=NL(1,"item",M$9,"no.",$D5496)</t>
  </si>
  <si>
    <t>=NL(1,"item","Units Per Parcel","no.",$D5496)</t>
  </si>
  <si>
    <t>=NL(1,"Prod. BOM Equipment","Fixed Prod. Time (Hours)","Production BOM No.",$D5496,"version code",$E5496,"Resource No.",O$9)</t>
  </si>
  <si>
    <t>=1/O5496</t>
  </si>
  <si>
    <t>=IF(NL(1,"Prod. BOM Equipment","Variable Prod. Time (Hours)","Production BOM No.",$D5496,"version code",$E5496,"Resource No.",$O$9)="",1,NL(1,"Prod. BOM Equipment","Variable Prod. Time (Hours)","Production BOM No.",$D5496,"version code",$E5496,"Resource No.",$O$9))</t>
  </si>
  <si>
    <t>=1/Q5496</t>
  </si>
  <si>
    <t>=R5496*N5496</t>
  </si>
  <si>
    <t>=IF(K5500=0,"hide","")</t>
  </si>
  <si>
    <t>=D5499</t>
  </si>
  <si>
    <t>=NL("sum","Production Order","Quantity","Source No.",$D5500,"Equipment Code",$L5500,"due date",F$8)/-12</t>
  </si>
  <si>
    <t>=NL("sum","Production Order","Quantity","Source No.",$D5500,"Equipment Code",$L5500,"due date",G$8)/-12</t>
  </si>
  <si>
    <t>=NL("sum","Production Order","Quantity","Source No.",$D5500,"Equipment Code",$L5500,"due date",H$8)/-12</t>
  </si>
  <si>
    <t>=NL("sum","Production Order","Quantity","Source No.",$D5500,"Equipment Code",$L5500,"due date",I$8)/-12</t>
  </si>
  <si>
    <t>=NL("sum","Production Order","Quantity","Source No.",$D5500,"Equipment Code",$L5500,"due date",J$8)/$J$7</t>
  </si>
  <si>
    <t>=AVERAGE(I5500:J5500)</t>
  </si>
  <si>
    <t>=B5497</t>
  </si>
  <si>
    <t>=B5501</t>
  </si>
  <si>
    <t>=SUM(F5497:F5501)</t>
  </si>
  <si>
    <t>=SUM(G5497:G5501)</t>
  </si>
  <si>
    <t>=SUM(H5497:H5501)</t>
  </si>
  <si>
    <t>=SUM(I5497:I5501)</t>
  </si>
  <si>
    <t>=SUM(J5497:J5501)</t>
  </si>
  <si>
    <t>=NL("rows","Production BOM Version","Version Code","Production BOM No.",D5503,"status","certified")</t>
  </si>
  <si>
    <t>=NL("sum","Item Ledger Entry","Quantity","Item No.",$D5503,"Entry Type","Sale|Consumption","posting date","01/01/19..12/31/19")/-12</t>
  </si>
  <si>
    <t>=NL("sum","Item Ledger Entry","Quantity","Item No.",$D5503,"Entry Type","Sale|Consumption","posting date","01/01/20..12/31/20")/-12</t>
  </si>
  <si>
    <t>=NL("sum","Item Ledger Entry","Quantity","Item No.",$D5503,"Entry Type","Sale|Consumption","posting date","01/01/21..12/31/21")/-12</t>
  </si>
  <si>
    <t>=NL("sum","Item Ledger Entry","Quantity","Item No.",$D5503,"Entry Type","Sale|Consumption","posting date","01/01/22..12/31/22")/-12</t>
  </si>
  <si>
    <t>=NL("sum","Item Ledger Entry","Quantity","Item No.",$D5503,"Entry Type","Sale|Consumption","posting date","01/01/23..12/31/23")/$J$7</t>
  </si>
  <si>
    <t>=NL(1,"item",L$9,"no.",D5503)</t>
  </si>
  <si>
    <t>=NL(1,"item",M$9,"no.",$D5503)</t>
  </si>
  <si>
    <t>=NL(1,"item","Units Per Parcel","no.",$D5503)</t>
  </si>
  <si>
    <t>=NL(1,"Prod. BOM Equipment","Fixed Prod. Time (Hours)","Production BOM No.",$D5503,"version code",$E5503,"Resource No.",O$9)</t>
  </si>
  <si>
    <t>=1/O5503</t>
  </si>
  <si>
    <t>=IF(NL(1,"Prod. BOM Equipment","Variable Prod. Time (Hours)","Production BOM No.",$D5503,"version code",$E5503,"Resource No.",$O$9)="",1,NL(1,"Prod. BOM Equipment","Variable Prod. Time (Hours)","Production BOM No.",$D5503,"version code",$E5503,"Resource No.",$O$9))</t>
  </si>
  <si>
    <t>=1/Q5503</t>
  </si>
  <si>
    <t>=R5503*N5503</t>
  </si>
  <si>
    <t>=IF(K5507=0,"hide","")</t>
  </si>
  <si>
    <t>=D5506</t>
  </si>
  <si>
    <t>=NL("sum","Production Order","Quantity","Source No.",$D5507,"Equipment Code",$L5507,"due date",F$8)/-12</t>
  </si>
  <si>
    <t>=NL("sum","Production Order","Quantity","Source No.",$D5507,"Equipment Code",$L5507,"due date",G$8)/-12</t>
  </si>
  <si>
    <t>=NL("sum","Production Order","Quantity","Source No.",$D5507,"Equipment Code",$L5507,"due date",H$8)/-12</t>
  </si>
  <si>
    <t>=NL("sum","Production Order","Quantity","Source No.",$D5507,"Equipment Code",$L5507,"due date",I$8)/-12</t>
  </si>
  <si>
    <t>=NL("sum","Production Order","Quantity","Source No.",$D5507,"Equipment Code",$L5507,"due date",J$8)/$J$7</t>
  </si>
  <si>
    <t>=AVERAGE(I5507:J5507)</t>
  </si>
  <si>
    <t>=B5504</t>
  </si>
  <si>
    <t>=B5508</t>
  </si>
  <si>
    <t>=SUM(F5504:F5508)</t>
  </si>
  <si>
    <t>=SUM(G5504:G5508)</t>
  </si>
  <si>
    <t>=SUM(H5504:H5508)</t>
  </si>
  <si>
    <t>=SUM(I5504:I5508)</t>
  </si>
  <si>
    <t>=SUM(J5504:J5508)</t>
  </si>
  <si>
    <t>=NL("rows","Production BOM Version","Version Code","Production BOM No.",D5510,"status","certified")</t>
  </si>
  <si>
    <t>=NL("sum","Item Ledger Entry","Quantity","Item No.",$D5510,"Entry Type","Sale|Consumption","posting date","01/01/19..12/31/19")/-12</t>
  </si>
  <si>
    <t>=NL("sum","Item Ledger Entry","Quantity","Item No.",$D5510,"Entry Type","Sale|Consumption","posting date","01/01/20..12/31/20")/-12</t>
  </si>
  <si>
    <t>=NL("sum","Item Ledger Entry","Quantity","Item No.",$D5510,"Entry Type","Sale|Consumption","posting date","01/01/21..12/31/21")/-12</t>
  </si>
  <si>
    <t>=NL("sum","Item Ledger Entry","Quantity","Item No.",$D5510,"Entry Type","Sale|Consumption","posting date","01/01/22..12/31/22")/-12</t>
  </si>
  <si>
    <t>=NL("sum","Item Ledger Entry","Quantity","Item No.",$D5510,"Entry Type","Sale|Consumption","posting date","01/01/23..12/31/23")/$J$7</t>
  </si>
  <si>
    <t>=NL(1,"item",L$9,"no.",D5510)</t>
  </si>
  <si>
    <t>=NL(1,"item",M$9,"no.",$D5510)</t>
  </si>
  <si>
    <t>=NL(1,"item","Units Per Parcel","no.",$D5510)</t>
  </si>
  <si>
    <t>=NL(1,"Prod. BOM Equipment","Fixed Prod. Time (Hours)","Production BOM No.",$D5510,"version code",$E5510,"Resource No.",O$9)</t>
  </si>
  <si>
    <t>=1/O5510</t>
  </si>
  <si>
    <t>=IF(NL(1,"Prod. BOM Equipment","Variable Prod. Time (Hours)","Production BOM No.",$D5510,"version code",$E5510,"Resource No.",$O$9)="",1,NL(1,"Prod. BOM Equipment","Variable Prod. Time (Hours)","Production BOM No.",$D5510,"version code",$E5510,"Resource No.",$O$9))</t>
  </si>
  <si>
    <t>=1/Q5510</t>
  </si>
  <si>
    <t>=R5510*N5510</t>
  </si>
  <si>
    <t>=IF(K5514=0,"hide","")</t>
  </si>
  <si>
    <t>=D5513</t>
  </si>
  <si>
    <t>=NL("sum","Production Order","Quantity","Source No.",$D5514,"Equipment Code",$L5514,"due date",F$8)/-12</t>
  </si>
  <si>
    <t>=NL("sum","Production Order","Quantity","Source No.",$D5514,"Equipment Code",$L5514,"due date",G$8)/-12</t>
  </si>
  <si>
    <t>=NL("sum","Production Order","Quantity","Source No.",$D5514,"Equipment Code",$L5514,"due date",H$8)/-12</t>
  </si>
  <si>
    <t>=NL("sum","Production Order","Quantity","Source No.",$D5514,"Equipment Code",$L5514,"due date",I$8)/-12</t>
  </si>
  <si>
    <t>=NL("sum","Production Order","Quantity","Source No.",$D5514,"Equipment Code",$L5514,"due date",J$8)/$J$7</t>
  </si>
  <si>
    <t>=AVERAGE(I5514:J5514)</t>
  </si>
  <si>
    <t>=B5511</t>
  </si>
  <si>
    <t>=B5515</t>
  </si>
  <si>
    <t>=SUM(F5511:F5515)</t>
  </si>
  <si>
    <t>=SUM(G5511:G5515)</t>
  </si>
  <si>
    <t>=SUM(H5511:H5515)</t>
  </si>
  <si>
    <t>=SUM(I5511:I5515)</t>
  </si>
  <si>
    <t>=SUM(J5511:J5515)</t>
  </si>
  <si>
    <t>=NL("rows","Production BOM Version","Version Code","Production BOM No.",D5517,"status","certified")</t>
  </si>
  <si>
    <t>=NL("sum","Item Ledger Entry","Quantity","Item No.",$D5517,"Entry Type","Sale|Consumption","posting date","01/01/19..12/31/19")/-12</t>
  </si>
  <si>
    <t>=NL("sum","Item Ledger Entry","Quantity","Item No.",$D5517,"Entry Type","Sale|Consumption","posting date","01/01/20..12/31/20")/-12</t>
  </si>
  <si>
    <t>=NL("sum","Item Ledger Entry","Quantity","Item No.",$D5517,"Entry Type","Sale|Consumption","posting date","01/01/21..12/31/21")/-12</t>
  </si>
  <si>
    <t>=NL("sum","Item Ledger Entry","Quantity","Item No.",$D5517,"Entry Type","Sale|Consumption","posting date","01/01/22..12/31/22")/-12</t>
  </si>
  <si>
    <t>=NL("sum","Item Ledger Entry","Quantity","Item No.",$D5517,"Entry Type","Sale|Consumption","posting date","01/01/23..12/31/23")/$J$7</t>
  </si>
  <si>
    <t>=NL(1,"item",L$9,"no.",D5517)</t>
  </si>
  <si>
    <t>=NL(1,"item",M$9,"no.",$D5517)</t>
  </si>
  <si>
    <t>=NL(1,"item","Units Per Parcel","no.",$D5517)</t>
  </si>
  <si>
    <t>=NL(1,"Prod. BOM Equipment","Fixed Prod. Time (Hours)","Production BOM No.",$D5517,"version code",$E5517,"Resource No.",O$9)</t>
  </si>
  <si>
    <t>=1/O5517</t>
  </si>
  <si>
    <t>=IF(NL(1,"Prod. BOM Equipment","Variable Prod. Time (Hours)","Production BOM No.",$D5517,"version code",$E5517,"Resource No.",$O$9)="",1,NL(1,"Prod. BOM Equipment","Variable Prod. Time (Hours)","Production BOM No.",$D5517,"version code",$E5517,"Resource No.",$O$9))</t>
  </si>
  <si>
    <t>=1/Q5517</t>
  </si>
  <si>
    <t>=R5517*N5517</t>
  </si>
  <si>
    <t>=IF(K5521=0,"hide","")</t>
  </si>
  <si>
    <t>=D5520</t>
  </si>
  <si>
    <t>=NL("sum","Production Order","Quantity","Source No.",$D5521,"Equipment Code",$L5521,"due date",F$8)/-12</t>
  </si>
  <si>
    <t>=NL("sum","Production Order","Quantity","Source No.",$D5521,"Equipment Code",$L5521,"due date",G$8)/-12</t>
  </si>
  <si>
    <t>=NL("sum","Production Order","Quantity","Source No.",$D5521,"Equipment Code",$L5521,"due date",H$8)/-12</t>
  </si>
  <si>
    <t>=NL("sum","Production Order","Quantity","Source No.",$D5521,"Equipment Code",$L5521,"due date",I$8)/-12</t>
  </si>
  <si>
    <t>=NL("sum","Production Order","Quantity","Source No.",$D5521,"Equipment Code",$L5521,"due date",J$8)/$J$7</t>
  </si>
  <si>
    <t>=AVERAGE(I5521:J5521)</t>
  </si>
  <si>
    <t>=B5518</t>
  </si>
  <si>
    <t>=B5522</t>
  </si>
  <si>
    <t>=SUM(F5518:F5522)</t>
  </si>
  <si>
    <t>=SUM(G5518:G5522)</t>
  </si>
  <si>
    <t>=SUM(H5518:H5522)</t>
  </si>
  <si>
    <t>=SUM(I5518:I5522)</t>
  </si>
  <si>
    <t>=SUM(J5518:J5522)</t>
  </si>
  <si>
    <t>=NL("rows","Production BOM Version","Version Code","Production BOM No.",D5524,"status","certified")</t>
  </si>
  <si>
    <t>=NL("sum","Item Ledger Entry","Quantity","Item No.",$D5524,"Entry Type","Sale|Consumption","posting date","01/01/19..12/31/19")/-12</t>
  </si>
  <si>
    <t>=NL("sum","Item Ledger Entry","Quantity","Item No.",$D5524,"Entry Type","Sale|Consumption","posting date","01/01/20..12/31/20")/-12</t>
  </si>
  <si>
    <t>=NL("sum","Item Ledger Entry","Quantity","Item No.",$D5524,"Entry Type","Sale|Consumption","posting date","01/01/21..12/31/21")/-12</t>
  </si>
  <si>
    <t>=NL("sum","Item Ledger Entry","Quantity","Item No.",$D5524,"Entry Type","Sale|Consumption","posting date","01/01/22..12/31/22")/-12</t>
  </si>
  <si>
    <t>=NL("sum","Item Ledger Entry","Quantity","Item No.",$D5524,"Entry Type","Sale|Consumption","posting date","01/01/23..12/31/23")/$J$7</t>
  </si>
  <si>
    <t>=NL(1,"item",L$9,"no.",D5524)</t>
  </si>
  <si>
    <t>=NL(1,"item",M$9,"no.",$D5524)</t>
  </si>
  <si>
    <t>=NL(1,"item","Units Per Parcel","no.",$D5524)</t>
  </si>
  <si>
    <t>=NL(1,"Prod. BOM Equipment","Fixed Prod. Time (Hours)","Production BOM No.",$D5524,"version code",$E5524,"Resource No.",O$9)</t>
  </si>
  <si>
    <t>=1/O5524</t>
  </si>
  <si>
    <t>=IF(NL(1,"Prod. BOM Equipment","Variable Prod. Time (Hours)","Production BOM No.",$D5524,"version code",$E5524,"Resource No.",$O$9)="",1,NL(1,"Prod. BOM Equipment","Variable Prod. Time (Hours)","Production BOM No.",$D5524,"version code",$E5524,"Resource No.",$O$9))</t>
  </si>
  <si>
    <t>=1/Q5524</t>
  </si>
  <si>
    <t>=R5524*N5524</t>
  </si>
  <si>
    <t>=IF(K5528=0,"hide","")</t>
  </si>
  <si>
    <t>=D5527</t>
  </si>
  <si>
    <t>=NL("sum","Production Order","Quantity","Source No.",$D5528,"Equipment Code",$L5528,"due date",F$8)/-12</t>
  </si>
  <si>
    <t>=NL("sum","Production Order","Quantity","Source No.",$D5528,"Equipment Code",$L5528,"due date",G$8)/-12</t>
  </si>
  <si>
    <t>=NL("sum","Production Order","Quantity","Source No.",$D5528,"Equipment Code",$L5528,"due date",H$8)/-12</t>
  </si>
  <si>
    <t>=NL("sum","Production Order","Quantity","Source No.",$D5528,"Equipment Code",$L5528,"due date",I$8)/-12</t>
  </si>
  <si>
    <t>=NL("sum","Production Order","Quantity","Source No.",$D5528,"Equipment Code",$L5528,"due date",J$8)/$J$7</t>
  </si>
  <si>
    <t>=AVERAGE(I5528:J5528)</t>
  </si>
  <si>
    <t>=B5525</t>
  </si>
  <si>
    <t>=B5529</t>
  </si>
  <si>
    <t>=SUM(F5525:F5529)</t>
  </si>
  <si>
    <t>=SUM(G5525:G5529)</t>
  </si>
  <si>
    <t>=SUM(H5525:H5529)</t>
  </si>
  <si>
    <t>=SUM(I5525:I5529)</t>
  </si>
  <si>
    <t>=SUM(J5525:J5529)</t>
  </si>
  <si>
    <t>=NL("rows","Production BOM Version","Version Code","Production BOM No.",D5531,"status","certified")</t>
  </si>
  <si>
    <t>=NL("sum","Item Ledger Entry","Quantity","Item No.",$D5531,"Entry Type","Sale|Consumption","posting date","01/01/19..12/31/19")/-12</t>
  </si>
  <si>
    <t>=NL("sum","Item Ledger Entry","Quantity","Item No.",$D5531,"Entry Type","Sale|Consumption","posting date","01/01/20..12/31/20")/-12</t>
  </si>
  <si>
    <t>=NL("sum","Item Ledger Entry","Quantity","Item No.",$D5531,"Entry Type","Sale|Consumption","posting date","01/01/21..12/31/21")/-12</t>
  </si>
  <si>
    <t>=NL("sum","Item Ledger Entry","Quantity","Item No.",$D5531,"Entry Type","Sale|Consumption","posting date","01/01/22..12/31/22")/-12</t>
  </si>
  <si>
    <t>=NL("sum","Item Ledger Entry","Quantity","Item No.",$D5531,"Entry Type","Sale|Consumption","posting date","01/01/23..12/31/23")/$J$7</t>
  </si>
  <si>
    <t>=NL(1,"item",L$9,"no.",D5531)</t>
  </si>
  <si>
    <t>=NL(1,"item",M$9,"no.",$D5531)</t>
  </si>
  <si>
    <t>=NL(1,"item","Units Per Parcel","no.",$D5531)</t>
  </si>
  <si>
    <t>=NL(1,"Prod. BOM Equipment","Fixed Prod. Time (Hours)","Production BOM No.",$D5531,"version code",$E5531,"Resource No.",O$9)</t>
  </si>
  <si>
    <t>=1/O5531</t>
  </si>
  <si>
    <t>=IF(NL(1,"Prod. BOM Equipment","Variable Prod. Time (Hours)","Production BOM No.",$D5531,"version code",$E5531,"Resource No.",$O$9)="",1,NL(1,"Prod. BOM Equipment","Variable Prod. Time (Hours)","Production BOM No.",$D5531,"version code",$E5531,"Resource No.",$O$9))</t>
  </si>
  <si>
    <t>=1/Q5531</t>
  </si>
  <si>
    <t>=R5531*N5531</t>
  </si>
  <si>
    <t>=IF(K5535=0,"hide","")</t>
  </si>
  <si>
    <t>=D5534</t>
  </si>
  <si>
    <t>=NL("sum","Production Order","Quantity","Source No.",$D5535,"Equipment Code",$L5535,"due date",F$8)/-12</t>
  </si>
  <si>
    <t>=NL("sum","Production Order","Quantity","Source No.",$D5535,"Equipment Code",$L5535,"due date",G$8)/-12</t>
  </si>
  <si>
    <t>=NL("sum","Production Order","Quantity","Source No.",$D5535,"Equipment Code",$L5535,"due date",H$8)/-12</t>
  </si>
  <si>
    <t>=NL("sum","Production Order","Quantity","Source No.",$D5535,"Equipment Code",$L5535,"due date",I$8)/-12</t>
  </si>
  <si>
    <t>=NL("sum","Production Order","Quantity","Source No.",$D5535,"Equipment Code",$L5535,"due date",J$8)/$J$7</t>
  </si>
  <si>
    <t>=AVERAGE(I5535:J5535)</t>
  </si>
  <si>
    <t>=B5532</t>
  </si>
  <si>
    <t>=B5536</t>
  </si>
  <si>
    <t>=SUM(F5532:F5536)</t>
  </si>
  <si>
    <t>=SUM(G5532:G5536)</t>
  </si>
  <si>
    <t>=SUM(H5532:H5536)</t>
  </si>
  <si>
    <t>=SUM(I5532:I5536)</t>
  </si>
  <si>
    <t>=SUM(J5532:J5536)</t>
  </si>
  <si>
    <t>=NL("rows","Production BOM Version","Version Code","Production BOM No.",D5538,"status","certified")</t>
  </si>
  <si>
    <t>=NL("sum","Item Ledger Entry","Quantity","Item No.",$D5538,"Entry Type","Sale|Consumption","posting date","01/01/19..12/31/19")/-12</t>
  </si>
  <si>
    <t>=NL("sum","Item Ledger Entry","Quantity","Item No.",$D5538,"Entry Type","Sale|Consumption","posting date","01/01/20..12/31/20")/-12</t>
  </si>
  <si>
    <t>=NL("sum","Item Ledger Entry","Quantity","Item No.",$D5538,"Entry Type","Sale|Consumption","posting date","01/01/21..12/31/21")/-12</t>
  </si>
  <si>
    <t>=NL("sum","Item Ledger Entry","Quantity","Item No.",$D5538,"Entry Type","Sale|Consumption","posting date","01/01/22..12/31/22")/-12</t>
  </si>
  <si>
    <t>=NL("sum","Item Ledger Entry","Quantity","Item No.",$D5538,"Entry Type","Sale|Consumption","posting date","01/01/23..12/31/23")/$J$7</t>
  </si>
  <si>
    <t>=NL(1,"item",L$9,"no.",D5538)</t>
  </si>
  <si>
    <t>=NL(1,"item",M$9,"no.",$D5538)</t>
  </si>
  <si>
    <t>=NL(1,"item","Units Per Parcel","no.",$D5538)</t>
  </si>
  <si>
    <t>=NL(1,"Prod. BOM Equipment","Fixed Prod. Time (Hours)","Production BOM No.",$D5538,"version code",$E5538,"Resource No.",O$9)</t>
  </si>
  <si>
    <t>=1/O5538</t>
  </si>
  <si>
    <t>=IF(NL(1,"Prod. BOM Equipment","Variable Prod. Time (Hours)","Production BOM No.",$D5538,"version code",$E5538,"Resource No.",$O$9)="",1,NL(1,"Prod. BOM Equipment","Variable Prod. Time (Hours)","Production BOM No.",$D5538,"version code",$E5538,"Resource No.",$O$9))</t>
  </si>
  <si>
    <t>=1/Q5538</t>
  </si>
  <si>
    <t>=R5538*N5538</t>
  </si>
  <si>
    <t>=IF(K5542=0,"hide","")</t>
  </si>
  <si>
    <t>=D5541</t>
  </si>
  <si>
    <t>=NL("sum","Production Order","Quantity","Source No.",$D5542,"Equipment Code",$L5542,"due date",F$8)/-12</t>
  </si>
  <si>
    <t>=NL("sum","Production Order","Quantity","Source No.",$D5542,"Equipment Code",$L5542,"due date",G$8)/-12</t>
  </si>
  <si>
    <t>=NL("sum","Production Order","Quantity","Source No.",$D5542,"Equipment Code",$L5542,"due date",H$8)/-12</t>
  </si>
  <si>
    <t>=NL("sum","Production Order","Quantity","Source No.",$D5542,"Equipment Code",$L5542,"due date",I$8)/-12</t>
  </si>
  <si>
    <t>=NL("sum","Production Order","Quantity","Source No.",$D5542,"Equipment Code",$L5542,"due date",J$8)/$J$7</t>
  </si>
  <si>
    <t>=AVERAGE(I5542:J5542)</t>
  </si>
  <si>
    <t>=B5539</t>
  </si>
  <si>
    <t>=B5543</t>
  </si>
  <si>
    <t>=SUM(F5539:F5543)</t>
  </si>
  <si>
    <t>=SUM(G5539:G5543)</t>
  </si>
  <si>
    <t>=SUM(H5539:H5543)</t>
  </si>
  <si>
    <t>=SUM(I5539:I5543)</t>
  </si>
  <si>
    <t>=SUM(J5539:J5543)</t>
  </si>
  <si>
    <t>=NL("rows","Production BOM Version","Version Code","Production BOM No.",D5545,"status","certified")</t>
  </si>
  <si>
    <t>=NL("sum","Item Ledger Entry","Quantity","Item No.",$D5545,"Entry Type","Sale|Consumption","posting date","01/01/19..12/31/19")/-12</t>
  </si>
  <si>
    <t>=NL("sum","Item Ledger Entry","Quantity","Item No.",$D5545,"Entry Type","Sale|Consumption","posting date","01/01/20..12/31/20")/-12</t>
  </si>
  <si>
    <t>=NL("sum","Item Ledger Entry","Quantity","Item No.",$D5545,"Entry Type","Sale|Consumption","posting date","01/01/21..12/31/21")/-12</t>
  </si>
  <si>
    <t>=NL("sum","Item Ledger Entry","Quantity","Item No.",$D5545,"Entry Type","Sale|Consumption","posting date","01/01/22..12/31/22")/-12</t>
  </si>
  <si>
    <t>=NL("sum","Item Ledger Entry","Quantity","Item No.",$D5545,"Entry Type","Sale|Consumption","posting date","01/01/23..12/31/23")/$J$7</t>
  </si>
  <si>
    <t>=NL(1,"item",L$9,"no.",D5545)</t>
  </si>
  <si>
    <t>=NL(1,"item",M$9,"no.",$D5545)</t>
  </si>
  <si>
    <t>=NL(1,"item","Units Per Parcel","no.",$D5545)</t>
  </si>
  <si>
    <t>=NL(1,"Prod. BOM Equipment","Fixed Prod. Time (Hours)","Production BOM No.",$D5545,"version code",$E5545,"Resource No.",O$9)</t>
  </si>
  <si>
    <t>=1/O5545</t>
  </si>
  <si>
    <t>=IF(NL(1,"Prod. BOM Equipment","Variable Prod. Time (Hours)","Production BOM No.",$D5545,"version code",$E5545,"Resource No.",$O$9)="",1,NL(1,"Prod. BOM Equipment","Variable Prod. Time (Hours)","Production BOM No.",$D5545,"version code",$E5545,"Resource No.",$O$9))</t>
  </si>
  <si>
    <t>=1/Q5545</t>
  </si>
  <si>
    <t>=R5545*N5545</t>
  </si>
  <si>
    <t>=IF(K5549=0,"hide","")</t>
  </si>
  <si>
    <t>=D5548</t>
  </si>
  <si>
    <t>=NL("sum","Production Order","Quantity","Source No.",$D5549,"Equipment Code",$L5549,"due date",F$8)/-12</t>
  </si>
  <si>
    <t>=NL("sum","Production Order","Quantity","Source No.",$D5549,"Equipment Code",$L5549,"due date",G$8)/-12</t>
  </si>
  <si>
    <t>=NL("sum","Production Order","Quantity","Source No.",$D5549,"Equipment Code",$L5549,"due date",H$8)/-12</t>
  </si>
  <si>
    <t>=NL("sum","Production Order","Quantity","Source No.",$D5549,"Equipment Code",$L5549,"due date",I$8)/-12</t>
  </si>
  <si>
    <t>=NL("sum","Production Order","Quantity","Source No.",$D5549,"Equipment Code",$L5549,"due date",J$8)/$J$7</t>
  </si>
  <si>
    <t>=AVERAGE(I5549:J5549)</t>
  </si>
  <si>
    <t>=B5546</t>
  </si>
  <si>
    <t>=B5550</t>
  </si>
  <si>
    <t>=SUM(F5546:F5550)</t>
  </si>
  <si>
    <t>=SUM(G5546:G5550)</t>
  </si>
  <si>
    <t>=SUM(H5546:H5550)</t>
  </si>
  <si>
    <t>=SUM(I5546:I5550)</t>
  </si>
  <si>
    <t>=SUM(J5546:J5550)</t>
  </si>
  <si>
    <t>=NL("rows","Production BOM Version","Version Code","Production BOM No.",D5552,"status","certified")</t>
  </si>
  <si>
    <t>=NL("sum","Item Ledger Entry","Quantity","Item No.",$D5552,"Entry Type","Sale|Consumption","posting date","01/01/19..12/31/19")/-12</t>
  </si>
  <si>
    <t>=NL("sum","Item Ledger Entry","Quantity","Item No.",$D5552,"Entry Type","Sale|Consumption","posting date","01/01/20..12/31/20")/-12</t>
  </si>
  <si>
    <t>=NL("sum","Item Ledger Entry","Quantity","Item No.",$D5552,"Entry Type","Sale|Consumption","posting date","01/01/21..12/31/21")/-12</t>
  </si>
  <si>
    <t>=NL("sum","Item Ledger Entry","Quantity","Item No.",$D5552,"Entry Type","Sale|Consumption","posting date","01/01/22..12/31/22")/-12</t>
  </si>
  <si>
    <t>=NL("sum","Item Ledger Entry","Quantity","Item No.",$D5552,"Entry Type","Sale|Consumption","posting date","01/01/23..12/31/23")/$J$7</t>
  </si>
  <si>
    <t>=NL(1,"item",L$9,"no.",D5552)</t>
  </si>
  <si>
    <t>=NL(1,"item",M$9,"no.",$D5552)</t>
  </si>
  <si>
    <t>=NL(1,"item","Units Per Parcel","no.",$D5552)</t>
  </si>
  <si>
    <t>=NL(1,"Prod. BOM Equipment","Fixed Prod. Time (Hours)","Production BOM No.",$D5552,"version code",$E5552,"Resource No.",O$9)</t>
  </si>
  <si>
    <t>=1/O5552</t>
  </si>
  <si>
    <t>=IF(NL(1,"Prod. BOM Equipment","Variable Prod. Time (Hours)","Production BOM No.",$D5552,"version code",$E5552,"Resource No.",$O$9)="",1,NL(1,"Prod. BOM Equipment","Variable Prod. Time (Hours)","Production BOM No.",$D5552,"version code",$E5552,"Resource No.",$O$9))</t>
  </si>
  <si>
    <t>=1/Q5552</t>
  </si>
  <si>
    <t>=R5552*N5552</t>
  </si>
  <si>
    <t>=IF(K5556=0,"hide","")</t>
  </si>
  <si>
    <t>=D5555</t>
  </si>
  <si>
    <t>=NL("sum","Production Order","Quantity","Source No.",$D5556,"Equipment Code",$L5556,"due date",F$8)/-12</t>
  </si>
  <si>
    <t>=NL("sum","Production Order","Quantity","Source No.",$D5556,"Equipment Code",$L5556,"due date",G$8)/-12</t>
  </si>
  <si>
    <t>=NL("sum","Production Order","Quantity","Source No.",$D5556,"Equipment Code",$L5556,"due date",H$8)/-12</t>
  </si>
  <si>
    <t>=NL("sum","Production Order","Quantity","Source No.",$D5556,"Equipment Code",$L5556,"due date",I$8)/-12</t>
  </si>
  <si>
    <t>=NL("sum","Production Order","Quantity","Source No.",$D5556,"Equipment Code",$L5556,"due date",J$8)/$J$7</t>
  </si>
  <si>
    <t>=AVERAGE(I5556:J5556)</t>
  </si>
  <si>
    <t>=B5553</t>
  </si>
  <si>
    <t>=B5557</t>
  </si>
  <si>
    <t>=SUM(F5553:F5557)</t>
  </si>
  <si>
    <t>=SUM(G5553:G5557)</t>
  </si>
  <si>
    <t>=SUM(H5553:H5557)</t>
  </si>
  <si>
    <t>=SUM(I5553:I5557)</t>
  </si>
  <si>
    <t>=SUM(J5553:J5557)</t>
  </si>
  <si>
    <t>=NL("rows","Production BOM Version","Version Code","Production BOM No.",D5559,"status","certified")</t>
  </si>
  <si>
    <t>=NL("sum","Item Ledger Entry","Quantity","Item No.",$D5559,"Entry Type","Sale|Consumption","posting date","01/01/19..12/31/19")/-12</t>
  </si>
  <si>
    <t>=NL("sum","Item Ledger Entry","Quantity","Item No.",$D5559,"Entry Type","Sale|Consumption","posting date","01/01/20..12/31/20")/-12</t>
  </si>
  <si>
    <t>=NL("sum","Item Ledger Entry","Quantity","Item No.",$D5559,"Entry Type","Sale|Consumption","posting date","01/01/21..12/31/21")/-12</t>
  </si>
  <si>
    <t>=NL("sum","Item Ledger Entry","Quantity","Item No.",$D5559,"Entry Type","Sale|Consumption","posting date","01/01/22..12/31/22")/-12</t>
  </si>
  <si>
    <t>=NL("sum","Item Ledger Entry","Quantity","Item No.",$D5559,"Entry Type","Sale|Consumption","posting date","01/01/23..12/31/23")/$J$7</t>
  </si>
  <si>
    <t>=NL(1,"item",L$9,"no.",D5559)</t>
  </si>
  <si>
    <t>=NL(1,"item",M$9,"no.",$D5559)</t>
  </si>
  <si>
    <t>=NL(1,"item","Units Per Parcel","no.",$D5559)</t>
  </si>
  <si>
    <t>=NL(1,"Prod. BOM Equipment","Fixed Prod. Time (Hours)","Production BOM No.",$D5559,"version code",$E5559,"Resource No.",O$9)</t>
  </si>
  <si>
    <t>=1/O5559</t>
  </si>
  <si>
    <t>=IF(NL(1,"Prod. BOM Equipment","Variable Prod. Time (Hours)","Production BOM No.",$D5559,"version code",$E5559,"Resource No.",$O$9)="",1,NL(1,"Prod. BOM Equipment","Variable Prod. Time (Hours)","Production BOM No.",$D5559,"version code",$E5559,"Resource No.",$O$9))</t>
  </si>
  <si>
    <t>=1/Q5559</t>
  </si>
  <si>
    <t>=R5559*N5559</t>
  </si>
  <si>
    <t>=IF(K5563=0,"hide","")</t>
  </si>
  <si>
    <t>=D5562</t>
  </si>
  <si>
    <t>=NL("sum","Production Order","Quantity","Source No.",$D5563,"Equipment Code",$L5563,"due date",F$8)/-12</t>
  </si>
  <si>
    <t>=NL("sum","Production Order","Quantity","Source No.",$D5563,"Equipment Code",$L5563,"due date",G$8)/-12</t>
  </si>
  <si>
    <t>=NL("sum","Production Order","Quantity","Source No.",$D5563,"Equipment Code",$L5563,"due date",H$8)/-12</t>
  </si>
  <si>
    <t>=NL("sum","Production Order","Quantity","Source No.",$D5563,"Equipment Code",$L5563,"due date",I$8)/-12</t>
  </si>
  <si>
    <t>=NL("sum","Production Order","Quantity","Source No.",$D5563,"Equipment Code",$L5563,"due date",J$8)/$J$7</t>
  </si>
  <si>
    <t>=AVERAGE(I5563:J5563)</t>
  </si>
  <si>
    <t>=B5560</t>
  </si>
  <si>
    <t>=B5564</t>
  </si>
  <si>
    <t>=SUM(F5560:F5564)</t>
  </si>
  <si>
    <t>=SUM(G5560:G5564)</t>
  </si>
  <si>
    <t>=SUM(H5560:H5564)</t>
  </si>
  <si>
    <t>=SUM(I5560:I5564)</t>
  </si>
  <si>
    <t>=SUM(J5560:J5564)</t>
  </si>
  <si>
    <t>=NL("rows","Production BOM Version","Version Code","Production BOM No.",D5566,"status","certified")</t>
  </si>
  <si>
    <t>=NL("sum","Item Ledger Entry","Quantity","Item No.",$D5566,"Entry Type","Sale|Consumption","posting date","01/01/19..12/31/19")/-12</t>
  </si>
  <si>
    <t>=NL("sum","Item Ledger Entry","Quantity","Item No.",$D5566,"Entry Type","Sale|Consumption","posting date","01/01/20..12/31/20")/-12</t>
  </si>
  <si>
    <t>=NL("sum","Item Ledger Entry","Quantity","Item No.",$D5566,"Entry Type","Sale|Consumption","posting date","01/01/21..12/31/21")/-12</t>
  </si>
  <si>
    <t>=NL("sum","Item Ledger Entry","Quantity","Item No.",$D5566,"Entry Type","Sale|Consumption","posting date","01/01/22..12/31/22")/-12</t>
  </si>
  <si>
    <t>=NL("sum","Item Ledger Entry","Quantity","Item No.",$D5566,"Entry Type","Sale|Consumption","posting date","01/01/23..12/31/23")/$J$7</t>
  </si>
  <si>
    <t>=NL(1,"item",L$9,"no.",D5566)</t>
  </si>
  <si>
    <t>=NL(1,"item",M$9,"no.",$D5566)</t>
  </si>
  <si>
    <t>=NL(1,"item","Units Per Parcel","no.",$D5566)</t>
  </si>
  <si>
    <t>=NL(1,"Prod. BOM Equipment","Fixed Prod. Time (Hours)","Production BOM No.",$D5566,"version code",$E5566,"Resource No.",O$9)</t>
  </si>
  <si>
    <t>=1/O5566</t>
  </si>
  <si>
    <t>=IF(NL(1,"Prod. BOM Equipment","Variable Prod. Time (Hours)","Production BOM No.",$D5566,"version code",$E5566,"Resource No.",$O$9)="",1,NL(1,"Prod. BOM Equipment","Variable Prod. Time (Hours)","Production BOM No.",$D5566,"version code",$E5566,"Resource No.",$O$9))</t>
  </si>
  <si>
    <t>=1/Q5566</t>
  </si>
  <si>
    <t>=R5566*N5566</t>
  </si>
  <si>
    <t>=IF(K5570=0,"hide","")</t>
  </si>
  <si>
    <t>=D5569</t>
  </si>
  <si>
    <t>=NL("sum","Production Order","Quantity","Source No.",$D5570,"Equipment Code",$L5570,"due date",F$8)/-12</t>
  </si>
  <si>
    <t>=NL("sum","Production Order","Quantity","Source No.",$D5570,"Equipment Code",$L5570,"due date",G$8)/-12</t>
  </si>
  <si>
    <t>=NL("sum","Production Order","Quantity","Source No.",$D5570,"Equipment Code",$L5570,"due date",H$8)/-12</t>
  </si>
  <si>
    <t>=NL("sum","Production Order","Quantity","Source No.",$D5570,"Equipment Code",$L5570,"due date",I$8)/-12</t>
  </si>
  <si>
    <t>=NL("sum","Production Order","Quantity","Source No.",$D5570,"Equipment Code",$L5570,"due date",J$8)/$J$7</t>
  </si>
  <si>
    <t>=AVERAGE(I5570:J5570)</t>
  </si>
  <si>
    <t>=B5567</t>
  </si>
  <si>
    <t>=B5571</t>
  </si>
  <si>
    <t>=SUM(F5567:F5571)</t>
  </si>
  <si>
    <t>=SUM(G5567:G5571)</t>
  </si>
  <si>
    <t>=SUM(H5567:H5571)</t>
  </si>
  <si>
    <t>=SUM(I5567:I5571)</t>
  </si>
  <si>
    <t>=SUM(J5567:J5571)</t>
  </si>
  <si>
    <t>=NL("rows","Production BOM Version","Version Code","Production BOM No.",D5573,"status","certified")</t>
  </si>
  <si>
    <t>=NL("sum","Item Ledger Entry","Quantity","Item No.",$D5573,"Entry Type","Sale|Consumption","posting date","01/01/19..12/31/19")/-12</t>
  </si>
  <si>
    <t>=NL("sum","Item Ledger Entry","Quantity","Item No.",$D5573,"Entry Type","Sale|Consumption","posting date","01/01/20..12/31/20")/-12</t>
  </si>
  <si>
    <t>=NL("sum","Item Ledger Entry","Quantity","Item No.",$D5573,"Entry Type","Sale|Consumption","posting date","01/01/21..12/31/21")/-12</t>
  </si>
  <si>
    <t>=NL("sum","Item Ledger Entry","Quantity","Item No.",$D5573,"Entry Type","Sale|Consumption","posting date","01/01/22..12/31/22")/-12</t>
  </si>
  <si>
    <t>=NL("sum","Item Ledger Entry","Quantity","Item No.",$D5573,"Entry Type","Sale|Consumption","posting date","01/01/23..12/31/23")/$J$7</t>
  </si>
  <si>
    <t>=NL(1,"item",L$9,"no.",D5573)</t>
  </si>
  <si>
    <t>=NL(1,"item",M$9,"no.",$D5573)</t>
  </si>
  <si>
    <t>=NL(1,"item","Units Per Parcel","no.",$D5573)</t>
  </si>
  <si>
    <t>=NL(1,"Prod. BOM Equipment","Fixed Prod. Time (Hours)","Production BOM No.",$D5573,"version code",$E5573,"Resource No.",O$9)</t>
  </si>
  <si>
    <t>=1/O5573</t>
  </si>
  <si>
    <t>=IF(NL(1,"Prod. BOM Equipment","Variable Prod. Time (Hours)","Production BOM No.",$D5573,"version code",$E5573,"Resource No.",$O$9)="",1,NL(1,"Prod. BOM Equipment","Variable Prod. Time (Hours)","Production BOM No.",$D5573,"version code",$E5573,"Resource No.",$O$9))</t>
  </si>
  <si>
    <t>=1/Q5573</t>
  </si>
  <si>
    <t>=R5573*N5573</t>
  </si>
  <si>
    <t>=IF(K5577=0,"hide","")</t>
  </si>
  <si>
    <t>=D5576</t>
  </si>
  <si>
    <t>=NL("sum","Production Order","Quantity","Source No.",$D5577,"Equipment Code",$L5577,"due date",F$8)/-12</t>
  </si>
  <si>
    <t>=NL("sum","Production Order","Quantity","Source No.",$D5577,"Equipment Code",$L5577,"due date",G$8)/-12</t>
  </si>
  <si>
    <t>=NL("sum","Production Order","Quantity","Source No.",$D5577,"Equipment Code",$L5577,"due date",H$8)/-12</t>
  </si>
  <si>
    <t>=NL("sum","Production Order","Quantity","Source No.",$D5577,"Equipment Code",$L5577,"due date",I$8)/-12</t>
  </si>
  <si>
    <t>=NL("sum","Production Order","Quantity","Source No.",$D5577,"Equipment Code",$L5577,"due date",J$8)/$J$7</t>
  </si>
  <si>
    <t>=AVERAGE(I5577:J5577)</t>
  </si>
  <si>
    <t>=B5574</t>
  </si>
  <si>
    <t>=B5578</t>
  </si>
  <si>
    <t>=SUM(F5574:F5578)</t>
  </si>
  <si>
    <t>=SUM(G5574:G5578)</t>
  </si>
  <si>
    <t>=SUM(H5574:H5578)</t>
  </si>
  <si>
    <t>=SUM(I5574:I5578)</t>
  </si>
  <si>
    <t>=SUM(J5574:J5578)</t>
  </si>
  <si>
    <t>=NL("rows","Production BOM Version","Version Code","Production BOM No.",D5580,"status","certified")</t>
  </si>
  <si>
    <t>=NL("sum","Item Ledger Entry","Quantity","Item No.",$D5580,"Entry Type","Sale|Consumption","posting date","01/01/19..12/31/19")/-12</t>
  </si>
  <si>
    <t>=NL("sum","Item Ledger Entry","Quantity","Item No.",$D5580,"Entry Type","Sale|Consumption","posting date","01/01/20..12/31/20")/-12</t>
  </si>
  <si>
    <t>=NL("sum","Item Ledger Entry","Quantity","Item No.",$D5580,"Entry Type","Sale|Consumption","posting date","01/01/21..12/31/21")/-12</t>
  </si>
  <si>
    <t>=NL("sum","Item Ledger Entry","Quantity","Item No.",$D5580,"Entry Type","Sale|Consumption","posting date","01/01/22..12/31/22")/-12</t>
  </si>
  <si>
    <t>=NL("sum","Item Ledger Entry","Quantity","Item No.",$D5580,"Entry Type","Sale|Consumption","posting date","01/01/23..12/31/23")/$J$7</t>
  </si>
  <si>
    <t>=NL(1,"item",L$9,"no.",D5580)</t>
  </si>
  <si>
    <t>=NL(1,"item",M$9,"no.",$D5580)</t>
  </si>
  <si>
    <t>=NL(1,"item","Units Per Parcel","no.",$D5580)</t>
  </si>
  <si>
    <t>=NL(1,"Prod. BOM Equipment","Fixed Prod. Time (Hours)","Production BOM No.",$D5580,"version code",$E5580,"Resource No.",O$9)</t>
  </si>
  <si>
    <t>=1/O5580</t>
  </si>
  <si>
    <t>=IF(NL(1,"Prod. BOM Equipment","Variable Prod. Time (Hours)","Production BOM No.",$D5580,"version code",$E5580,"Resource No.",$O$9)="",1,NL(1,"Prod. BOM Equipment","Variable Prod. Time (Hours)","Production BOM No.",$D5580,"version code",$E5580,"Resource No.",$O$9))</t>
  </si>
  <si>
    <t>=1/Q5580</t>
  </si>
  <si>
    <t>=R5580*N5580</t>
  </si>
  <si>
    <t>=IF(K5584=0,"hide","")</t>
  </si>
  <si>
    <t>=D5583</t>
  </si>
  <si>
    <t>=NL("sum","Production Order","Quantity","Source No.",$D5584,"Equipment Code",$L5584,"due date",F$8)/-12</t>
  </si>
  <si>
    <t>=NL("sum","Production Order","Quantity","Source No.",$D5584,"Equipment Code",$L5584,"due date",G$8)/-12</t>
  </si>
  <si>
    <t>=NL("sum","Production Order","Quantity","Source No.",$D5584,"Equipment Code",$L5584,"due date",H$8)/-12</t>
  </si>
  <si>
    <t>=NL("sum","Production Order","Quantity","Source No.",$D5584,"Equipment Code",$L5584,"due date",I$8)/-12</t>
  </si>
  <si>
    <t>=NL("sum","Production Order","Quantity","Source No.",$D5584,"Equipment Code",$L5584,"due date",J$8)/$J$7</t>
  </si>
  <si>
    <t>=AVERAGE(I5584:J5584)</t>
  </si>
  <si>
    <t>=B5581</t>
  </si>
  <si>
    <t>=B5585</t>
  </si>
  <si>
    <t>=SUM(F5581:F5585)</t>
  </si>
  <si>
    <t>=SUM(G5581:G5585)</t>
  </si>
  <si>
    <t>=SUM(H5581:H5585)</t>
  </si>
  <si>
    <t>=SUM(I5581:I5585)</t>
  </si>
  <si>
    <t>=SUM(J5581:J5585)</t>
  </si>
  <si>
    <t>=NL("rows","Production BOM Version","Version Code","Production BOM No.",D5587,"status","certified")</t>
  </si>
  <si>
    <t>=NL("sum","Item Ledger Entry","Quantity","Item No.",$D5587,"Entry Type","Sale|Consumption","posting date","01/01/19..12/31/19")/-12</t>
  </si>
  <si>
    <t>=NL("sum","Item Ledger Entry","Quantity","Item No.",$D5587,"Entry Type","Sale|Consumption","posting date","01/01/20..12/31/20")/-12</t>
  </si>
  <si>
    <t>=NL("sum","Item Ledger Entry","Quantity","Item No.",$D5587,"Entry Type","Sale|Consumption","posting date","01/01/21..12/31/21")/-12</t>
  </si>
  <si>
    <t>=NL("sum","Item Ledger Entry","Quantity","Item No.",$D5587,"Entry Type","Sale|Consumption","posting date","01/01/22..12/31/22")/-12</t>
  </si>
  <si>
    <t>=NL("sum","Item Ledger Entry","Quantity","Item No.",$D5587,"Entry Type","Sale|Consumption","posting date","01/01/23..12/31/23")/$J$7</t>
  </si>
  <si>
    <t>=NL(1,"item",L$9,"no.",D5587)</t>
  </si>
  <si>
    <t>=NL(1,"item",M$9,"no.",$D5587)</t>
  </si>
  <si>
    <t>=NL(1,"item","Units Per Parcel","no.",$D5587)</t>
  </si>
  <si>
    <t>=NL(1,"Prod. BOM Equipment","Fixed Prod. Time (Hours)","Production BOM No.",$D5587,"version code",$E5587,"Resource No.",O$9)</t>
  </si>
  <si>
    <t>=1/O5587</t>
  </si>
  <si>
    <t>=IF(NL(1,"Prod. BOM Equipment","Variable Prod. Time (Hours)","Production BOM No.",$D5587,"version code",$E5587,"Resource No.",$O$9)="",1,NL(1,"Prod. BOM Equipment","Variable Prod. Time (Hours)","Production BOM No.",$D5587,"version code",$E5587,"Resource No.",$O$9))</t>
  </si>
  <si>
    <t>=1/Q5587</t>
  </si>
  <si>
    <t>=R5587*N5587</t>
  </si>
  <si>
    <t>=IF(K5591=0,"hide","")</t>
  </si>
  <si>
    <t>=D5590</t>
  </si>
  <si>
    <t>=NL("sum","Production Order","Quantity","Source No.",$D5591,"Equipment Code",$L5591,"due date",F$8)/-12</t>
  </si>
  <si>
    <t>=NL("sum","Production Order","Quantity","Source No.",$D5591,"Equipment Code",$L5591,"due date",G$8)/-12</t>
  </si>
  <si>
    <t>=NL("sum","Production Order","Quantity","Source No.",$D5591,"Equipment Code",$L5591,"due date",H$8)/-12</t>
  </si>
  <si>
    <t>=NL("sum","Production Order","Quantity","Source No.",$D5591,"Equipment Code",$L5591,"due date",I$8)/-12</t>
  </si>
  <si>
    <t>=NL("sum","Production Order","Quantity","Source No.",$D5591,"Equipment Code",$L5591,"due date",J$8)/$J$7</t>
  </si>
  <si>
    <t>=AVERAGE(I5591:J5591)</t>
  </si>
  <si>
    <t>=B5588</t>
  </si>
  <si>
    <t>=B5592</t>
  </si>
  <si>
    <t>=SUM(F5588:F5592)</t>
  </si>
  <si>
    <t>=SUM(G5588:G5592)</t>
  </si>
  <si>
    <t>=SUM(H5588:H5592)</t>
  </si>
  <si>
    <t>=SUM(I5588:I5592)</t>
  </si>
  <si>
    <t>=SUM(J5588:J5592)</t>
  </si>
  <si>
    <t>=NL("rows","Production BOM Version","Version Code","Production BOM No.",D5594,"status","certified")</t>
  </si>
  <si>
    <t>=NL("sum","Item Ledger Entry","Quantity","Item No.",$D5594,"Entry Type","Sale|Consumption","posting date","01/01/19..12/31/19")/-12</t>
  </si>
  <si>
    <t>=NL("sum","Item Ledger Entry","Quantity","Item No.",$D5594,"Entry Type","Sale|Consumption","posting date","01/01/20..12/31/20")/-12</t>
  </si>
  <si>
    <t>=NL("sum","Item Ledger Entry","Quantity","Item No.",$D5594,"Entry Type","Sale|Consumption","posting date","01/01/21..12/31/21")/-12</t>
  </si>
  <si>
    <t>=NL("sum","Item Ledger Entry","Quantity","Item No.",$D5594,"Entry Type","Sale|Consumption","posting date","01/01/22..12/31/22")/-12</t>
  </si>
  <si>
    <t>=NL("sum","Item Ledger Entry","Quantity","Item No.",$D5594,"Entry Type","Sale|Consumption","posting date","01/01/23..12/31/23")/$J$7</t>
  </si>
  <si>
    <t>=NL(1,"item",L$9,"no.",D5594)</t>
  </si>
  <si>
    <t>=NL(1,"item",M$9,"no.",$D5594)</t>
  </si>
  <si>
    <t>=NL(1,"item","Units Per Parcel","no.",$D5594)</t>
  </si>
  <si>
    <t>=NL(1,"Prod. BOM Equipment","Fixed Prod. Time (Hours)","Production BOM No.",$D5594,"version code",$E5594,"Resource No.",O$9)</t>
  </si>
  <si>
    <t>=1/O5594</t>
  </si>
  <si>
    <t>=IF(NL(1,"Prod. BOM Equipment","Variable Prod. Time (Hours)","Production BOM No.",$D5594,"version code",$E5594,"Resource No.",$O$9)="",1,NL(1,"Prod. BOM Equipment","Variable Prod. Time (Hours)","Production BOM No.",$D5594,"version code",$E5594,"Resource No.",$O$9))</t>
  </si>
  <si>
    <t>=1/Q5594</t>
  </si>
  <si>
    <t>=R5594*N5594</t>
  </si>
  <si>
    <t>=IF(K5598=0,"hide","")</t>
  </si>
  <si>
    <t>=D5597</t>
  </si>
  <si>
    <t>=NL("sum","Production Order","Quantity","Source No.",$D5598,"Equipment Code",$L5598,"due date",F$8)/-12</t>
  </si>
  <si>
    <t>=NL("sum","Production Order","Quantity","Source No.",$D5598,"Equipment Code",$L5598,"due date",G$8)/-12</t>
  </si>
  <si>
    <t>=NL("sum","Production Order","Quantity","Source No.",$D5598,"Equipment Code",$L5598,"due date",H$8)/-12</t>
  </si>
  <si>
    <t>=NL("sum","Production Order","Quantity","Source No.",$D5598,"Equipment Code",$L5598,"due date",I$8)/-12</t>
  </si>
  <si>
    <t>=NL("sum","Production Order","Quantity","Source No.",$D5598,"Equipment Code",$L5598,"due date",J$8)/$J$7</t>
  </si>
  <si>
    <t>=AVERAGE(I5598:J5598)</t>
  </si>
  <si>
    <t>=B5595</t>
  </si>
  <si>
    <t>=B5599</t>
  </si>
  <si>
    <t>=SUM(F5595:F5599)</t>
  </si>
  <si>
    <t>=SUM(G5595:G5599)</t>
  </si>
  <si>
    <t>=SUM(H5595:H5599)</t>
  </si>
  <si>
    <t>=SUM(I5595:I5599)</t>
  </si>
  <si>
    <t>=SUM(J5595:J5599)</t>
  </si>
  <si>
    <t>=NL("rows","Production BOM Version","Version Code","Production BOM No.",D5601,"status","certified")</t>
  </si>
  <si>
    <t>=NL("sum","Item Ledger Entry","Quantity","Item No.",$D5601,"Entry Type","Sale|Consumption","posting date","01/01/19..12/31/19")/-12</t>
  </si>
  <si>
    <t>=NL("sum","Item Ledger Entry","Quantity","Item No.",$D5601,"Entry Type","Sale|Consumption","posting date","01/01/20..12/31/20")/-12</t>
  </si>
  <si>
    <t>=NL("sum","Item Ledger Entry","Quantity","Item No.",$D5601,"Entry Type","Sale|Consumption","posting date","01/01/21..12/31/21")/-12</t>
  </si>
  <si>
    <t>=NL("sum","Item Ledger Entry","Quantity","Item No.",$D5601,"Entry Type","Sale|Consumption","posting date","01/01/22..12/31/22")/-12</t>
  </si>
  <si>
    <t>=NL("sum","Item Ledger Entry","Quantity","Item No.",$D5601,"Entry Type","Sale|Consumption","posting date","01/01/23..12/31/23")/$J$7</t>
  </si>
  <si>
    <t>=NL(1,"item",L$9,"no.",D5601)</t>
  </si>
  <si>
    <t>=NL(1,"item",M$9,"no.",$D5601)</t>
  </si>
  <si>
    <t>=NL(1,"item","Units Per Parcel","no.",$D5601)</t>
  </si>
  <si>
    <t>=NL(1,"Prod. BOM Equipment","Fixed Prod. Time (Hours)","Production BOM No.",$D5601,"version code",$E5601,"Resource No.",O$9)</t>
  </si>
  <si>
    <t>=1/O5601</t>
  </si>
  <si>
    <t>=IF(NL(1,"Prod. BOM Equipment","Variable Prod. Time (Hours)","Production BOM No.",$D5601,"version code",$E5601,"Resource No.",$O$9)="",1,NL(1,"Prod. BOM Equipment","Variable Prod. Time (Hours)","Production BOM No.",$D5601,"version code",$E5601,"Resource No.",$O$9))</t>
  </si>
  <si>
    <t>=1/Q5601</t>
  </si>
  <si>
    <t>=R5601*N5601</t>
  </si>
  <si>
    <t>=IF(K5605=0,"hide","")</t>
  </si>
  <si>
    <t>=D5604</t>
  </si>
  <si>
    <t>=NL("sum","Production Order","Quantity","Source No.",$D5605,"Equipment Code",$L5605,"due date",F$8)/-12</t>
  </si>
  <si>
    <t>=NL("sum","Production Order","Quantity","Source No.",$D5605,"Equipment Code",$L5605,"due date",G$8)/-12</t>
  </si>
  <si>
    <t>=NL("sum","Production Order","Quantity","Source No.",$D5605,"Equipment Code",$L5605,"due date",H$8)/-12</t>
  </si>
  <si>
    <t>=NL("sum","Production Order","Quantity","Source No.",$D5605,"Equipment Code",$L5605,"due date",I$8)/-12</t>
  </si>
  <si>
    <t>=NL("sum","Production Order","Quantity","Source No.",$D5605,"Equipment Code",$L5605,"due date",J$8)/$J$7</t>
  </si>
  <si>
    <t>=AVERAGE(I5605:J5605)</t>
  </si>
  <si>
    <t>=B5602</t>
  </si>
  <si>
    <t>=B5606</t>
  </si>
  <si>
    <t>=SUM(F5602:F5606)</t>
  </si>
  <si>
    <t>=SUM(G5602:G5606)</t>
  </si>
  <si>
    <t>=SUM(H5602:H5606)</t>
  </si>
  <si>
    <t>=SUM(I5602:I5606)</t>
  </si>
  <si>
    <t>=SUM(J5602:J5606)</t>
  </si>
  <si>
    <t>=NL("rows","Production BOM Version","Version Code","Production BOM No.",D5608,"status","certified")</t>
  </si>
  <si>
    <t>=NL("sum","Item Ledger Entry","Quantity","Item No.",$D5608,"Entry Type","Sale|Consumption","posting date","01/01/19..12/31/19")/-12</t>
  </si>
  <si>
    <t>=NL("sum","Item Ledger Entry","Quantity","Item No.",$D5608,"Entry Type","Sale|Consumption","posting date","01/01/20..12/31/20")/-12</t>
  </si>
  <si>
    <t>=NL("sum","Item Ledger Entry","Quantity","Item No.",$D5608,"Entry Type","Sale|Consumption","posting date","01/01/21..12/31/21")/-12</t>
  </si>
  <si>
    <t>=NL("sum","Item Ledger Entry","Quantity","Item No.",$D5608,"Entry Type","Sale|Consumption","posting date","01/01/22..12/31/22")/-12</t>
  </si>
  <si>
    <t>=NL("sum","Item Ledger Entry","Quantity","Item No.",$D5608,"Entry Type","Sale|Consumption","posting date","01/01/23..12/31/23")/$J$7</t>
  </si>
  <si>
    <t>=NL(1,"item",L$9,"no.",D5608)</t>
  </si>
  <si>
    <t>=NL(1,"item",M$9,"no.",$D5608)</t>
  </si>
  <si>
    <t>=NL(1,"item","Units Per Parcel","no.",$D5608)</t>
  </si>
  <si>
    <t>=NL(1,"Prod. BOM Equipment","Fixed Prod. Time (Hours)","Production BOM No.",$D5608,"version code",$E5608,"Resource No.",O$9)</t>
  </si>
  <si>
    <t>=1/O5608</t>
  </si>
  <si>
    <t>=IF(NL(1,"Prod. BOM Equipment","Variable Prod. Time (Hours)","Production BOM No.",$D5608,"version code",$E5608,"Resource No.",$O$9)="",1,NL(1,"Prod. BOM Equipment","Variable Prod. Time (Hours)","Production BOM No.",$D5608,"version code",$E5608,"Resource No.",$O$9))</t>
  </si>
  <si>
    <t>=1/Q5608</t>
  </si>
  <si>
    <t>=R5608*N5608</t>
  </si>
  <si>
    <t>=IF(K5612=0,"hide","")</t>
  </si>
  <si>
    <t>=D5611</t>
  </si>
  <si>
    <t>=NL("sum","Production Order","Quantity","Source No.",$D5612,"Equipment Code",$L5612,"due date",F$8)/-12</t>
  </si>
  <si>
    <t>=NL("sum","Production Order","Quantity","Source No.",$D5612,"Equipment Code",$L5612,"due date",G$8)/-12</t>
  </si>
  <si>
    <t>=NL("sum","Production Order","Quantity","Source No.",$D5612,"Equipment Code",$L5612,"due date",H$8)/-12</t>
  </si>
  <si>
    <t>=NL("sum","Production Order","Quantity","Source No.",$D5612,"Equipment Code",$L5612,"due date",I$8)/-12</t>
  </si>
  <si>
    <t>=NL("sum","Production Order","Quantity","Source No.",$D5612,"Equipment Code",$L5612,"due date",J$8)/$J$7</t>
  </si>
  <si>
    <t>=AVERAGE(I5612:J5612)</t>
  </si>
  <si>
    <t>=B5609</t>
  </si>
  <si>
    <t>=B5613</t>
  </si>
  <si>
    <t>=SUM(F5609:F5613)</t>
  </si>
  <si>
    <t>=SUM(G5609:G5613)</t>
  </si>
  <si>
    <t>=SUM(H5609:H5613)</t>
  </si>
  <si>
    <t>=SUM(I5609:I5613)</t>
  </si>
  <si>
    <t>=SUM(J5609:J5613)</t>
  </si>
  <si>
    <t>=NL("rows","Production BOM Version","Version Code","Production BOM No.",D5615,"status","certified")</t>
  </si>
  <si>
    <t>=NL("sum","Item Ledger Entry","Quantity","Item No.",$D5615,"Entry Type","Sale|Consumption","posting date","01/01/19..12/31/19")/-12</t>
  </si>
  <si>
    <t>=NL("sum","Item Ledger Entry","Quantity","Item No.",$D5615,"Entry Type","Sale|Consumption","posting date","01/01/20..12/31/20")/-12</t>
  </si>
  <si>
    <t>=NL("sum","Item Ledger Entry","Quantity","Item No.",$D5615,"Entry Type","Sale|Consumption","posting date","01/01/21..12/31/21")/-12</t>
  </si>
  <si>
    <t>=NL("sum","Item Ledger Entry","Quantity","Item No.",$D5615,"Entry Type","Sale|Consumption","posting date","01/01/22..12/31/22")/-12</t>
  </si>
  <si>
    <t>=NL("sum","Item Ledger Entry","Quantity","Item No.",$D5615,"Entry Type","Sale|Consumption","posting date","01/01/23..12/31/23")/$J$7</t>
  </si>
  <si>
    <t>=NL(1,"item",L$9,"no.",D5615)</t>
  </si>
  <si>
    <t>=NL(1,"item",M$9,"no.",$D5615)</t>
  </si>
  <si>
    <t>=NL(1,"item","Units Per Parcel","no.",$D5615)</t>
  </si>
  <si>
    <t>=NL(1,"Prod. BOM Equipment","Fixed Prod. Time (Hours)","Production BOM No.",$D5615,"version code",$E5615,"Resource No.",O$9)</t>
  </si>
  <si>
    <t>=1/O5615</t>
  </si>
  <si>
    <t>=IF(NL(1,"Prod. BOM Equipment","Variable Prod. Time (Hours)","Production BOM No.",$D5615,"version code",$E5615,"Resource No.",$O$9)="",1,NL(1,"Prod. BOM Equipment","Variable Prod. Time (Hours)","Production BOM No.",$D5615,"version code",$E5615,"Resource No.",$O$9))</t>
  </si>
  <si>
    <t>=1/Q5615</t>
  </si>
  <si>
    <t>=R5615*N5615</t>
  </si>
  <si>
    <t>=IF(K5619=0,"hide","")</t>
  </si>
  <si>
    <t>=D5618</t>
  </si>
  <si>
    <t>=NL("sum","Production Order","Quantity","Source No.",$D5619,"Equipment Code",$L5619,"due date",F$8)/-12</t>
  </si>
  <si>
    <t>=NL("sum","Production Order","Quantity","Source No.",$D5619,"Equipment Code",$L5619,"due date",G$8)/-12</t>
  </si>
  <si>
    <t>=NL("sum","Production Order","Quantity","Source No.",$D5619,"Equipment Code",$L5619,"due date",H$8)/-12</t>
  </si>
  <si>
    <t>=NL("sum","Production Order","Quantity","Source No.",$D5619,"Equipment Code",$L5619,"due date",I$8)/-12</t>
  </si>
  <si>
    <t>=NL("sum","Production Order","Quantity","Source No.",$D5619,"Equipment Code",$L5619,"due date",J$8)/$J$7</t>
  </si>
  <si>
    <t>=AVERAGE(I5619:J5619)</t>
  </si>
  <si>
    <t>=B5616</t>
  </si>
  <si>
    <t>=B5620</t>
  </si>
  <si>
    <t>=SUM(F5616:F5620)</t>
  </si>
  <si>
    <t>=SUM(G5616:G5620)</t>
  </si>
  <si>
    <t>=SUM(H5616:H5620)</t>
  </si>
  <si>
    <t>=SUM(I5616:I5620)</t>
  </si>
  <si>
    <t>=SUM(J5616:J5620)</t>
  </si>
  <si>
    <t>=NL("rows","Production BOM Version","Version Code","Production BOM No.",D5622,"status","certified")</t>
  </si>
  <si>
    <t>=NL("sum","Item Ledger Entry","Quantity","Item No.",$D5622,"Entry Type","Sale|Consumption","posting date","01/01/19..12/31/19")/-12</t>
  </si>
  <si>
    <t>=NL("sum","Item Ledger Entry","Quantity","Item No.",$D5622,"Entry Type","Sale|Consumption","posting date","01/01/20..12/31/20")/-12</t>
  </si>
  <si>
    <t>=NL("sum","Item Ledger Entry","Quantity","Item No.",$D5622,"Entry Type","Sale|Consumption","posting date","01/01/21..12/31/21")/-12</t>
  </si>
  <si>
    <t>=NL("sum","Item Ledger Entry","Quantity","Item No.",$D5622,"Entry Type","Sale|Consumption","posting date","01/01/22..12/31/22")/-12</t>
  </si>
  <si>
    <t>=NL("sum","Item Ledger Entry","Quantity","Item No.",$D5622,"Entry Type","Sale|Consumption","posting date","01/01/23..12/31/23")/$J$7</t>
  </si>
  <si>
    <t>=NL(1,"item",L$9,"no.",D5622)</t>
  </si>
  <si>
    <t>=NL(1,"item",M$9,"no.",$D5622)</t>
  </si>
  <si>
    <t>=NL(1,"item","Units Per Parcel","no.",$D5622)</t>
  </si>
  <si>
    <t>=NL(1,"Prod. BOM Equipment","Fixed Prod. Time (Hours)","Production BOM No.",$D5622,"version code",$E5622,"Resource No.",O$9)</t>
  </si>
  <si>
    <t>=1/O5622</t>
  </si>
  <si>
    <t>=IF(NL(1,"Prod. BOM Equipment","Variable Prod. Time (Hours)","Production BOM No.",$D5622,"version code",$E5622,"Resource No.",$O$9)="",1,NL(1,"Prod. BOM Equipment","Variable Prod. Time (Hours)","Production BOM No.",$D5622,"version code",$E5622,"Resource No.",$O$9))</t>
  </si>
  <si>
    <t>=1/Q5622</t>
  </si>
  <si>
    <t>=R5622*N5622</t>
  </si>
  <si>
    <t>=IF(K5626=0,"hide","")</t>
  </si>
  <si>
    <t>=D5625</t>
  </si>
  <si>
    <t>=NL("sum","Production Order","Quantity","Source No.",$D5626,"Equipment Code",$L5626,"due date",F$8)/-12</t>
  </si>
  <si>
    <t>=NL("sum","Production Order","Quantity","Source No.",$D5626,"Equipment Code",$L5626,"due date",G$8)/-12</t>
  </si>
  <si>
    <t>=NL("sum","Production Order","Quantity","Source No.",$D5626,"Equipment Code",$L5626,"due date",H$8)/-12</t>
  </si>
  <si>
    <t>=NL("sum","Production Order","Quantity","Source No.",$D5626,"Equipment Code",$L5626,"due date",I$8)/-12</t>
  </si>
  <si>
    <t>=NL("sum","Production Order","Quantity","Source No.",$D5626,"Equipment Code",$L5626,"due date",J$8)/$J$7</t>
  </si>
  <si>
    <t>=AVERAGE(I5626:J5626)</t>
  </si>
  <si>
    <t>=B5623</t>
  </si>
  <si>
    <t>=B5627</t>
  </si>
  <si>
    <t>=SUM(F5623:F5627)</t>
  </si>
  <si>
    <t>=SUM(G5623:G5627)</t>
  </si>
  <si>
    <t>=SUM(H5623:H5627)</t>
  </si>
  <si>
    <t>=SUM(I5623:I5627)</t>
  </si>
  <si>
    <t>=SUM(J5623:J5627)</t>
  </si>
  <si>
    <t>=NL("rows","Production BOM Version","Version Code","Production BOM No.",D5629,"status","certified")</t>
  </si>
  <si>
    <t>=NL("sum","Item Ledger Entry","Quantity","Item No.",$D5629,"Entry Type","Sale|Consumption","posting date","01/01/19..12/31/19")/-12</t>
  </si>
  <si>
    <t>=NL("sum","Item Ledger Entry","Quantity","Item No.",$D5629,"Entry Type","Sale|Consumption","posting date","01/01/20..12/31/20")/-12</t>
  </si>
  <si>
    <t>=NL("sum","Item Ledger Entry","Quantity","Item No.",$D5629,"Entry Type","Sale|Consumption","posting date","01/01/21..12/31/21")/-12</t>
  </si>
  <si>
    <t>=NL("sum","Item Ledger Entry","Quantity","Item No.",$D5629,"Entry Type","Sale|Consumption","posting date","01/01/22..12/31/22")/-12</t>
  </si>
  <si>
    <t>=NL("sum","Item Ledger Entry","Quantity","Item No.",$D5629,"Entry Type","Sale|Consumption","posting date","01/01/23..12/31/23")/$J$7</t>
  </si>
  <si>
    <t>=NL(1,"item",L$9,"no.",D5629)</t>
  </si>
  <si>
    <t>=NL(1,"item",M$9,"no.",$D5629)</t>
  </si>
  <si>
    <t>=NL(1,"item","Units Per Parcel","no.",$D5629)</t>
  </si>
  <si>
    <t>=NL(1,"Prod. BOM Equipment","Fixed Prod. Time (Hours)","Production BOM No.",$D5629,"version code",$E5629,"Resource No.",O$9)</t>
  </si>
  <si>
    <t>=1/O5629</t>
  </si>
  <si>
    <t>=IF(NL(1,"Prod. BOM Equipment","Variable Prod. Time (Hours)","Production BOM No.",$D5629,"version code",$E5629,"Resource No.",$O$9)="",1,NL(1,"Prod. BOM Equipment","Variable Prod. Time (Hours)","Production BOM No.",$D5629,"version code",$E5629,"Resource No.",$O$9))</t>
  </si>
  <si>
    <t>=1/Q5629</t>
  </si>
  <si>
    <t>=R5629*N5629</t>
  </si>
  <si>
    <t>=IF(K5633=0,"hide","")</t>
  </si>
  <si>
    <t>=D5632</t>
  </si>
  <si>
    <t>=NL("sum","Production Order","Quantity","Source No.",$D5633,"Equipment Code",$L5633,"due date",F$8)/-12</t>
  </si>
  <si>
    <t>=NL("sum","Production Order","Quantity","Source No.",$D5633,"Equipment Code",$L5633,"due date",G$8)/-12</t>
  </si>
  <si>
    <t>=NL("sum","Production Order","Quantity","Source No.",$D5633,"Equipment Code",$L5633,"due date",H$8)/-12</t>
  </si>
  <si>
    <t>=NL("sum","Production Order","Quantity","Source No.",$D5633,"Equipment Code",$L5633,"due date",I$8)/-12</t>
  </si>
  <si>
    <t>=NL("sum","Production Order","Quantity","Source No.",$D5633,"Equipment Code",$L5633,"due date",J$8)/$J$7</t>
  </si>
  <si>
    <t>=AVERAGE(I5633:J5633)</t>
  </si>
  <si>
    <t>=B5630</t>
  </si>
  <si>
    <t>=B5634</t>
  </si>
  <si>
    <t>=SUM(F5630:F5634)</t>
  </si>
  <si>
    <t>=SUM(G5630:G5634)</t>
  </si>
  <si>
    <t>=SUM(H5630:H5634)</t>
  </si>
  <si>
    <t>=SUM(I5630:I5634)</t>
  </si>
  <si>
    <t>=SUM(J5630:J5634)</t>
  </si>
  <si>
    <t>=NL("rows","Production BOM Version","Version Code","Production BOM No.",D5636,"status","certified")</t>
  </si>
  <si>
    <t>=NL("sum","Item Ledger Entry","Quantity","Item No.",$D5636,"Entry Type","Sale|Consumption","posting date","01/01/19..12/31/19")/-12</t>
  </si>
  <si>
    <t>=NL("sum","Item Ledger Entry","Quantity","Item No.",$D5636,"Entry Type","Sale|Consumption","posting date","01/01/20..12/31/20")/-12</t>
  </si>
  <si>
    <t>=NL("sum","Item Ledger Entry","Quantity","Item No.",$D5636,"Entry Type","Sale|Consumption","posting date","01/01/21..12/31/21")/-12</t>
  </si>
  <si>
    <t>=NL("sum","Item Ledger Entry","Quantity","Item No.",$D5636,"Entry Type","Sale|Consumption","posting date","01/01/22..12/31/22")/-12</t>
  </si>
  <si>
    <t>=NL("sum","Item Ledger Entry","Quantity","Item No.",$D5636,"Entry Type","Sale|Consumption","posting date","01/01/23..12/31/23")/$J$7</t>
  </si>
  <si>
    <t>=NL(1,"item",L$9,"no.",D5636)</t>
  </si>
  <si>
    <t>=NL(1,"item",M$9,"no.",$D5636)</t>
  </si>
  <si>
    <t>=NL(1,"item","Units Per Parcel","no.",$D5636)</t>
  </si>
  <si>
    <t>=NL(1,"Prod. BOM Equipment","Fixed Prod. Time (Hours)","Production BOM No.",$D5636,"version code",$E5636,"Resource No.",O$9)</t>
  </si>
  <si>
    <t>=1/O5636</t>
  </si>
  <si>
    <t>=IF(NL(1,"Prod. BOM Equipment","Variable Prod. Time (Hours)","Production BOM No.",$D5636,"version code",$E5636,"Resource No.",$O$9)="",1,NL(1,"Prod. BOM Equipment","Variable Prod. Time (Hours)","Production BOM No.",$D5636,"version code",$E5636,"Resource No.",$O$9))</t>
  </si>
  <si>
    <t>=1/Q5636</t>
  </si>
  <si>
    <t>=R5636*N5636</t>
  </si>
  <si>
    <t>=IF(K5640=0,"hide","")</t>
  </si>
  <si>
    <t>=D5639</t>
  </si>
  <si>
    <t>=NL("sum","Production Order","Quantity","Source No.",$D5640,"Equipment Code",$L5640,"due date",F$8)/-12</t>
  </si>
  <si>
    <t>=NL("sum","Production Order","Quantity","Source No.",$D5640,"Equipment Code",$L5640,"due date",G$8)/-12</t>
  </si>
  <si>
    <t>=NL("sum","Production Order","Quantity","Source No.",$D5640,"Equipment Code",$L5640,"due date",H$8)/-12</t>
  </si>
  <si>
    <t>=NL("sum","Production Order","Quantity","Source No.",$D5640,"Equipment Code",$L5640,"due date",I$8)/-12</t>
  </si>
  <si>
    <t>=NL("sum","Production Order","Quantity","Source No.",$D5640,"Equipment Code",$L5640,"due date",J$8)/$J$7</t>
  </si>
  <si>
    <t>=AVERAGE(I5640:J5640)</t>
  </si>
  <si>
    <t>=B5637</t>
  </si>
  <si>
    <t>=B5641</t>
  </si>
  <si>
    <t>=SUM(F5637:F5641)</t>
  </si>
  <si>
    <t>=SUM(G5637:G5641)</t>
  </si>
  <si>
    <t>=SUM(H5637:H5641)</t>
  </si>
  <si>
    <t>=SUM(I5637:I5641)</t>
  </si>
  <si>
    <t>=SUM(J5637:J5641)</t>
  </si>
  <si>
    <t>=NL("rows","Production BOM Version","Version Code","Production BOM No.",D5643,"status","certified")</t>
  </si>
  <si>
    <t>=NL("sum","Item Ledger Entry","Quantity","Item No.",$D5643,"Entry Type","Sale|Consumption","posting date","01/01/19..12/31/19")/-12</t>
  </si>
  <si>
    <t>=NL("sum","Item Ledger Entry","Quantity","Item No.",$D5643,"Entry Type","Sale|Consumption","posting date","01/01/20..12/31/20")/-12</t>
  </si>
  <si>
    <t>=NL("sum","Item Ledger Entry","Quantity","Item No.",$D5643,"Entry Type","Sale|Consumption","posting date","01/01/21..12/31/21")/-12</t>
  </si>
  <si>
    <t>=NL("sum","Item Ledger Entry","Quantity","Item No.",$D5643,"Entry Type","Sale|Consumption","posting date","01/01/22..12/31/22")/-12</t>
  </si>
  <si>
    <t>=NL("sum","Item Ledger Entry","Quantity","Item No.",$D5643,"Entry Type","Sale|Consumption","posting date","01/01/23..12/31/23")/$J$7</t>
  </si>
  <si>
    <t>=NL(1,"item",L$9,"no.",D5643)</t>
  </si>
  <si>
    <t>=NL(1,"item",M$9,"no.",$D5643)</t>
  </si>
  <si>
    <t>=NL(1,"item","Units Per Parcel","no.",$D5643)</t>
  </si>
  <si>
    <t>=NL(1,"Prod. BOM Equipment","Fixed Prod. Time (Hours)","Production BOM No.",$D5643,"version code",$E5643,"Resource No.",O$9)</t>
  </si>
  <si>
    <t>=1/O5643</t>
  </si>
  <si>
    <t>=IF(NL(1,"Prod. BOM Equipment","Variable Prod. Time (Hours)","Production BOM No.",$D5643,"version code",$E5643,"Resource No.",$O$9)="",1,NL(1,"Prod. BOM Equipment","Variable Prod. Time (Hours)","Production BOM No.",$D5643,"version code",$E5643,"Resource No.",$O$9))</t>
  </si>
  <si>
    <t>=1/Q5643</t>
  </si>
  <si>
    <t>=R5643*N5643</t>
  </si>
  <si>
    <t>=IF(K5647=0,"hide","")</t>
  </si>
  <si>
    <t>=D5646</t>
  </si>
  <si>
    <t>=NL("sum","Production Order","Quantity","Source No.",$D5647,"Equipment Code",$L5647,"due date",F$8)/-12</t>
  </si>
  <si>
    <t>=NL("sum","Production Order","Quantity","Source No.",$D5647,"Equipment Code",$L5647,"due date",G$8)/-12</t>
  </si>
  <si>
    <t>=NL("sum","Production Order","Quantity","Source No.",$D5647,"Equipment Code",$L5647,"due date",H$8)/-12</t>
  </si>
  <si>
    <t>=NL("sum","Production Order","Quantity","Source No.",$D5647,"Equipment Code",$L5647,"due date",I$8)/-12</t>
  </si>
  <si>
    <t>=NL("sum","Production Order","Quantity","Source No.",$D5647,"Equipment Code",$L5647,"due date",J$8)/$J$7</t>
  </si>
  <si>
    <t>=AVERAGE(I5647:J5647)</t>
  </si>
  <si>
    <t>=B5644</t>
  </si>
  <si>
    <t>=B5648</t>
  </si>
  <si>
    <t>=SUM(F5644:F5648)</t>
  </si>
  <si>
    <t>=SUM(G5644:G5648)</t>
  </si>
  <si>
    <t>=SUM(H5644:H5648)</t>
  </si>
  <si>
    <t>=SUM(I5644:I5648)</t>
  </si>
  <si>
    <t>=SUM(J5644:J5648)</t>
  </si>
  <si>
    <t>=NL("rows","Production BOM Version","Version Code","Production BOM No.",D5650,"status","certified")</t>
  </si>
  <si>
    <t>=NL("sum","Item Ledger Entry","Quantity","Item No.",$D5650,"Entry Type","Sale|Consumption","posting date","01/01/19..12/31/19")/-12</t>
  </si>
  <si>
    <t>=NL("sum","Item Ledger Entry","Quantity","Item No.",$D5650,"Entry Type","Sale|Consumption","posting date","01/01/20..12/31/20")/-12</t>
  </si>
  <si>
    <t>=NL("sum","Item Ledger Entry","Quantity","Item No.",$D5650,"Entry Type","Sale|Consumption","posting date","01/01/21..12/31/21")/-12</t>
  </si>
  <si>
    <t>=NL("sum","Item Ledger Entry","Quantity","Item No.",$D5650,"Entry Type","Sale|Consumption","posting date","01/01/22..12/31/22")/-12</t>
  </si>
  <si>
    <t>=NL("sum","Item Ledger Entry","Quantity","Item No.",$D5650,"Entry Type","Sale|Consumption","posting date","01/01/23..12/31/23")/$J$7</t>
  </si>
  <si>
    <t>=NL(1,"item",L$9,"no.",D5650)</t>
  </si>
  <si>
    <t>=NL(1,"item",M$9,"no.",$D5650)</t>
  </si>
  <si>
    <t>=NL(1,"item","Units Per Parcel","no.",$D5650)</t>
  </si>
  <si>
    <t>=NL(1,"Prod. BOM Equipment","Fixed Prod. Time (Hours)","Production BOM No.",$D5650,"version code",$E5650,"Resource No.",O$9)</t>
  </si>
  <si>
    <t>=1/O5650</t>
  </si>
  <si>
    <t>=IF(NL(1,"Prod. BOM Equipment","Variable Prod. Time (Hours)","Production BOM No.",$D5650,"version code",$E5650,"Resource No.",$O$9)="",1,NL(1,"Prod. BOM Equipment","Variable Prod. Time (Hours)","Production BOM No.",$D5650,"version code",$E5650,"Resource No.",$O$9))</t>
  </si>
  <si>
    <t>=1/Q5650</t>
  </si>
  <si>
    <t>=R5650*N5650</t>
  </si>
  <si>
    <t>=IF(K5654=0,"hide","")</t>
  </si>
  <si>
    <t>=D5653</t>
  </si>
  <si>
    <t>=NL("sum","Production Order","Quantity","Source No.",$D5654,"Equipment Code",$L5654,"due date",F$8)/-12</t>
  </si>
  <si>
    <t>=NL("sum","Production Order","Quantity","Source No.",$D5654,"Equipment Code",$L5654,"due date",G$8)/-12</t>
  </si>
  <si>
    <t>=NL("sum","Production Order","Quantity","Source No.",$D5654,"Equipment Code",$L5654,"due date",H$8)/-12</t>
  </si>
  <si>
    <t>=NL("sum","Production Order","Quantity","Source No.",$D5654,"Equipment Code",$L5654,"due date",I$8)/-12</t>
  </si>
  <si>
    <t>=NL("sum","Production Order","Quantity","Source No.",$D5654,"Equipment Code",$L5654,"due date",J$8)/$J$7</t>
  </si>
  <si>
    <t>=AVERAGE(I5654:J5654)</t>
  </si>
  <si>
    <t>=B5651</t>
  </si>
  <si>
    <t>=B5655</t>
  </si>
  <si>
    <t>=SUM(F5651:F5655)</t>
  </si>
  <si>
    <t>=SUM(G5651:G5655)</t>
  </si>
  <si>
    <t>=SUM(H5651:H5655)</t>
  </si>
  <si>
    <t>=SUM(I5651:I5655)</t>
  </si>
  <si>
    <t>=SUM(J5651:J5655)</t>
  </si>
  <si>
    <t>=NL("rows","Production BOM Version","Version Code","Production BOM No.",D5657,"status","certified")</t>
  </si>
  <si>
    <t>=NL("sum","Item Ledger Entry","Quantity","Item No.",$D5657,"Entry Type","Sale|Consumption","posting date","01/01/19..12/31/19")/-12</t>
  </si>
  <si>
    <t>=NL("sum","Item Ledger Entry","Quantity","Item No.",$D5657,"Entry Type","Sale|Consumption","posting date","01/01/20..12/31/20")/-12</t>
  </si>
  <si>
    <t>=NL("sum","Item Ledger Entry","Quantity","Item No.",$D5657,"Entry Type","Sale|Consumption","posting date","01/01/21..12/31/21")/-12</t>
  </si>
  <si>
    <t>=NL("sum","Item Ledger Entry","Quantity","Item No.",$D5657,"Entry Type","Sale|Consumption","posting date","01/01/22..12/31/22")/-12</t>
  </si>
  <si>
    <t>=NL("sum","Item Ledger Entry","Quantity","Item No.",$D5657,"Entry Type","Sale|Consumption","posting date","01/01/23..12/31/23")/$J$7</t>
  </si>
  <si>
    <t>=NL(1,"item",L$9,"no.",D5657)</t>
  </si>
  <si>
    <t>=NL(1,"item",M$9,"no.",$D5657)</t>
  </si>
  <si>
    <t>=NL(1,"item","Units Per Parcel","no.",$D5657)</t>
  </si>
  <si>
    <t>=NL(1,"Prod. BOM Equipment","Fixed Prod. Time (Hours)","Production BOM No.",$D5657,"version code",$E5657,"Resource No.",O$9)</t>
  </si>
  <si>
    <t>=1/O5657</t>
  </si>
  <si>
    <t>=IF(NL(1,"Prod. BOM Equipment","Variable Prod. Time (Hours)","Production BOM No.",$D5657,"version code",$E5657,"Resource No.",$O$9)="",1,NL(1,"Prod. BOM Equipment","Variable Prod. Time (Hours)","Production BOM No.",$D5657,"version code",$E5657,"Resource No.",$O$9))</t>
  </si>
  <si>
    <t>=1/Q5657</t>
  </si>
  <si>
    <t>=R5657*N5657</t>
  </si>
  <si>
    <t>=IF(K5661=0,"hide","")</t>
  </si>
  <si>
    <t>=D5660</t>
  </si>
  <si>
    <t>=NL("sum","Production Order","Quantity","Source No.",$D5661,"Equipment Code",$L5661,"due date",F$8)/-12</t>
  </si>
  <si>
    <t>=NL("sum","Production Order","Quantity","Source No.",$D5661,"Equipment Code",$L5661,"due date",G$8)/-12</t>
  </si>
  <si>
    <t>=NL("sum","Production Order","Quantity","Source No.",$D5661,"Equipment Code",$L5661,"due date",H$8)/-12</t>
  </si>
  <si>
    <t>=NL("sum","Production Order","Quantity","Source No.",$D5661,"Equipment Code",$L5661,"due date",I$8)/-12</t>
  </si>
  <si>
    <t>=NL("sum","Production Order","Quantity","Source No.",$D5661,"Equipment Code",$L5661,"due date",J$8)/$J$7</t>
  </si>
  <si>
    <t>=AVERAGE(I5661:J5661)</t>
  </si>
  <si>
    <t>=B5658</t>
  </si>
  <si>
    <t>=B5662</t>
  </si>
  <si>
    <t>=SUM(F5658:F5662)</t>
  </si>
  <si>
    <t>=SUM(G5658:G5662)</t>
  </si>
  <si>
    <t>=SUM(H5658:H5662)</t>
  </si>
  <si>
    <t>=SUM(I5658:I5662)</t>
  </si>
  <si>
    <t>=SUM(J5658:J5662)</t>
  </si>
  <si>
    <t>=NL("rows","Production BOM Version","Version Code","Production BOM No.",D5664,"status","certified")</t>
  </si>
  <si>
    <t>=NL("sum","Item Ledger Entry","Quantity","Item No.",$D5664,"Entry Type","Sale|Consumption","posting date","01/01/19..12/31/19")/-12</t>
  </si>
  <si>
    <t>=NL("sum","Item Ledger Entry","Quantity","Item No.",$D5664,"Entry Type","Sale|Consumption","posting date","01/01/20..12/31/20")/-12</t>
  </si>
  <si>
    <t>=NL("sum","Item Ledger Entry","Quantity","Item No.",$D5664,"Entry Type","Sale|Consumption","posting date","01/01/21..12/31/21")/-12</t>
  </si>
  <si>
    <t>=NL("sum","Item Ledger Entry","Quantity","Item No.",$D5664,"Entry Type","Sale|Consumption","posting date","01/01/22..12/31/22")/-12</t>
  </si>
  <si>
    <t>=NL("sum","Item Ledger Entry","Quantity","Item No.",$D5664,"Entry Type","Sale|Consumption","posting date","01/01/23..12/31/23")/$J$7</t>
  </si>
  <si>
    <t>=NL(1,"item",L$9,"no.",D5664)</t>
  </si>
  <si>
    <t>=NL(1,"item",M$9,"no.",$D5664)</t>
  </si>
  <si>
    <t>=NL(1,"item","Units Per Parcel","no.",$D5664)</t>
  </si>
  <si>
    <t>=NL(1,"Prod. BOM Equipment","Fixed Prod. Time (Hours)","Production BOM No.",$D5664,"version code",$E5664,"Resource No.",O$9)</t>
  </si>
  <si>
    <t>=1/O5664</t>
  </si>
  <si>
    <t>=IF(NL(1,"Prod. BOM Equipment","Variable Prod. Time (Hours)","Production BOM No.",$D5664,"version code",$E5664,"Resource No.",$O$9)="",1,NL(1,"Prod. BOM Equipment","Variable Prod. Time (Hours)","Production BOM No.",$D5664,"version code",$E5664,"Resource No.",$O$9))</t>
  </si>
  <si>
    <t>=1/Q5664</t>
  </si>
  <si>
    <t>=R5664*N5664</t>
  </si>
  <si>
    <t>=IF(K5668=0,"hide","")</t>
  </si>
  <si>
    <t>=D5667</t>
  </si>
  <si>
    <t>=NL("sum","Production Order","Quantity","Source No.",$D5668,"Equipment Code",$L5668,"due date",F$8)/-12</t>
  </si>
  <si>
    <t>=NL("sum","Production Order","Quantity","Source No.",$D5668,"Equipment Code",$L5668,"due date",G$8)/-12</t>
  </si>
  <si>
    <t>=NL("sum","Production Order","Quantity","Source No.",$D5668,"Equipment Code",$L5668,"due date",H$8)/-12</t>
  </si>
  <si>
    <t>=NL("sum","Production Order","Quantity","Source No.",$D5668,"Equipment Code",$L5668,"due date",I$8)/-12</t>
  </si>
  <si>
    <t>=NL("sum","Production Order","Quantity","Source No.",$D5668,"Equipment Code",$L5668,"due date",J$8)/$J$7</t>
  </si>
  <si>
    <t>=AVERAGE(I5668:J5668)</t>
  </si>
  <si>
    <t>=B5665</t>
  </si>
  <si>
    <t>=B5669</t>
  </si>
  <si>
    <t>=SUM(F5665:F5669)</t>
  </si>
  <si>
    <t>=SUM(G5665:G5669)</t>
  </si>
  <si>
    <t>=SUM(H5665:H5669)</t>
  </si>
  <si>
    <t>=SUM(I5665:I5669)</t>
  </si>
  <si>
    <t>=SUM(J5665:J5669)</t>
  </si>
  <si>
    <t>=NL("rows","Production BOM Version","Version Code","Production BOM No.",D5671,"status","certified")</t>
  </si>
  <si>
    <t>=NL("sum","Item Ledger Entry","Quantity","Item No.",$D5671,"Entry Type","Sale|Consumption","posting date","01/01/19..12/31/19")/-12</t>
  </si>
  <si>
    <t>=NL("sum","Item Ledger Entry","Quantity","Item No.",$D5671,"Entry Type","Sale|Consumption","posting date","01/01/20..12/31/20")/-12</t>
  </si>
  <si>
    <t>=NL("sum","Item Ledger Entry","Quantity","Item No.",$D5671,"Entry Type","Sale|Consumption","posting date","01/01/21..12/31/21")/-12</t>
  </si>
  <si>
    <t>=NL("sum","Item Ledger Entry","Quantity","Item No.",$D5671,"Entry Type","Sale|Consumption","posting date","01/01/22..12/31/22")/-12</t>
  </si>
  <si>
    <t>=NL("sum","Item Ledger Entry","Quantity","Item No.",$D5671,"Entry Type","Sale|Consumption","posting date","01/01/23..12/31/23")/$J$7</t>
  </si>
  <si>
    <t>=NL(1,"item",L$9,"no.",D5671)</t>
  </si>
  <si>
    <t>=NL(1,"item",M$9,"no.",$D5671)</t>
  </si>
  <si>
    <t>=NL(1,"item","Units Per Parcel","no.",$D5671)</t>
  </si>
  <si>
    <t>=NL(1,"Prod. BOM Equipment","Fixed Prod. Time (Hours)","Production BOM No.",$D5671,"version code",$E5671,"Resource No.",O$9)</t>
  </si>
  <si>
    <t>=1/O5671</t>
  </si>
  <si>
    <t>=IF(NL(1,"Prod. BOM Equipment","Variable Prod. Time (Hours)","Production BOM No.",$D5671,"version code",$E5671,"Resource No.",$O$9)="",1,NL(1,"Prod. BOM Equipment","Variable Prod. Time (Hours)","Production BOM No.",$D5671,"version code",$E5671,"Resource No.",$O$9))</t>
  </si>
  <si>
    <t>=1/Q5671</t>
  </si>
  <si>
    <t>=R5671*N5671</t>
  </si>
  <si>
    <t>=IF(K5675=0,"hide","")</t>
  </si>
  <si>
    <t>=D5674</t>
  </si>
  <si>
    <t>=NL("sum","Production Order","Quantity","Source No.",$D5675,"Equipment Code",$L5675,"due date",F$8)/-12</t>
  </si>
  <si>
    <t>=NL("sum","Production Order","Quantity","Source No.",$D5675,"Equipment Code",$L5675,"due date",G$8)/-12</t>
  </si>
  <si>
    <t>=NL("sum","Production Order","Quantity","Source No.",$D5675,"Equipment Code",$L5675,"due date",H$8)/-12</t>
  </si>
  <si>
    <t>=NL("sum","Production Order","Quantity","Source No.",$D5675,"Equipment Code",$L5675,"due date",I$8)/-12</t>
  </si>
  <si>
    <t>=NL("sum","Production Order","Quantity","Source No.",$D5675,"Equipment Code",$L5675,"due date",J$8)/$J$7</t>
  </si>
  <si>
    <t>=AVERAGE(I5675:J5675)</t>
  </si>
  <si>
    <t>=B5672</t>
  </si>
  <si>
    <t>=B5676</t>
  </si>
  <si>
    <t>=SUM(F5672:F5676)</t>
  </si>
  <si>
    <t>=SUM(G5672:G5676)</t>
  </si>
  <si>
    <t>=SUM(H5672:H5676)</t>
  </si>
  <si>
    <t>=SUM(I5672:I5676)</t>
  </si>
  <si>
    <t>=SUM(J5672:J5676)</t>
  </si>
  <si>
    <t>=NL("rows","Production BOM Version","Version Code","Production BOM No.",D5678,"status","certified")</t>
  </si>
  <si>
    <t>=NL("sum","Item Ledger Entry","Quantity","Item No.",$D5678,"Entry Type","Sale|Consumption","posting date","01/01/19..12/31/19")/-12</t>
  </si>
  <si>
    <t>=NL("sum","Item Ledger Entry","Quantity","Item No.",$D5678,"Entry Type","Sale|Consumption","posting date","01/01/20..12/31/20")/-12</t>
  </si>
  <si>
    <t>=NL("sum","Item Ledger Entry","Quantity","Item No.",$D5678,"Entry Type","Sale|Consumption","posting date","01/01/21..12/31/21")/-12</t>
  </si>
  <si>
    <t>=NL("sum","Item Ledger Entry","Quantity","Item No.",$D5678,"Entry Type","Sale|Consumption","posting date","01/01/22..12/31/22")/-12</t>
  </si>
  <si>
    <t>=NL("sum","Item Ledger Entry","Quantity","Item No.",$D5678,"Entry Type","Sale|Consumption","posting date","01/01/23..12/31/23")/$J$7</t>
  </si>
  <si>
    <t>=NL(1,"item",L$9,"no.",D5678)</t>
  </si>
  <si>
    <t>=NL(1,"item",M$9,"no.",$D5678)</t>
  </si>
  <si>
    <t>=NL(1,"item","Units Per Parcel","no.",$D5678)</t>
  </si>
  <si>
    <t>=NL(1,"Prod. BOM Equipment","Fixed Prod. Time (Hours)","Production BOM No.",$D5678,"version code",$E5678,"Resource No.",O$9)</t>
  </si>
  <si>
    <t>=1/O5678</t>
  </si>
  <si>
    <t>=IF(NL(1,"Prod. BOM Equipment","Variable Prod. Time (Hours)","Production BOM No.",$D5678,"version code",$E5678,"Resource No.",$O$9)="",1,NL(1,"Prod. BOM Equipment","Variable Prod. Time (Hours)","Production BOM No.",$D5678,"version code",$E5678,"Resource No.",$O$9))</t>
  </si>
  <si>
    <t>=1/Q5678</t>
  </si>
  <si>
    <t>=R5678*N5678</t>
  </si>
  <si>
    <t>=IF(K5682=0,"hide","")</t>
  </si>
  <si>
    <t>=D5681</t>
  </si>
  <si>
    <t>=NL("sum","Production Order","Quantity","Source No.",$D5682,"Equipment Code",$L5682,"due date",F$8)/-12</t>
  </si>
  <si>
    <t>=NL("sum","Production Order","Quantity","Source No.",$D5682,"Equipment Code",$L5682,"due date",G$8)/-12</t>
  </si>
  <si>
    <t>=NL("sum","Production Order","Quantity","Source No.",$D5682,"Equipment Code",$L5682,"due date",H$8)/-12</t>
  </si>
  <si>
    <t>=NL("sum","Production Order","Quantity","Source No.",$D5682,"Equipment Code",$L5682,"due date",I$8)/-12</t>
  </si>
  <si>
    <t>=NL("sum","Production Order","Quantity","Source No.",$D5682,"Equipment Code",$L5682,"due date",J$8)/$J$7</t>
  </si>
  <si>
    <t>=AVERAGE(I5682:J5682)</t>
  </si>
  <si>
    <t>=B5679</t>
  </si>
  <si>
    <t>=B5683</t>
  </si>
  <si>
    <t>=SUM(F5679:F5683)</t>
  </si>
  <si>
    <t>=SUM(G5679:G5683)</t>
  </si>
  <si>
    <t>=SUM(H5679:H5683)</t>
  </si>
  <si>
    <t>=SUM(I5679:I5683)</t>
  </si>
  <si>
    <t>=SUM(J5679:J5683)</t>
  </si>
  <si>
    <t>=NL("rows","Production BOM Version","Version Code","Production BOM No.",D5685,"status","certified")</t>
  </si>
  <si>
    <t>=NL("sum","Item Ledger Entry","Quantity","Item No.",$D5685,"Entry Type","Sale|Consumption","posting date","01/01/19..12/31/19")/-12</t>
  </si>
  <si>
    <t>=NL("sum","Item Ledger Entry","Quantity","Item No.",$D5685,"Entry Type","Sale|Consumption","posting date","01/01/20..12/31/20")/-12</t>
  </si>
  <si>
    <t>=NL("sum","Item Ledger Entry","Quantity","Item No.",$D5685,"Entry Type","Sale|Consumption","posting date","01/01/21..12/31/21")/-12</t>
  </si>
  <si>
    <t>=NL("sum","Item Ledger Entry","Quantity","Item No.",$D5685,"Entry Type","Sale|Consumption","posting date","01/01/22..12/31/22")/-12</t>
  </si>
  <si>
    <t>=NL("sum","Item Ledger Entry","Quantity","Item No.",$D5685,"Entry Type","Sale|Consumption","posting date","01/01/23..12/31/23")/$J$7</t>
  </si>
  <si>
    <t>=NL(1,"item",L$9,"no.",D5685)</t>
  </si>
  <si>
    <t>=NL(1,"item",M$9,"no.",$D5685)</t>
  </si>
  <si>
    <t>=NL(1,"item","Units Per Parcel","no.",$D5685)</t>
  </si>
  <si>
    <t>=NL(1,"Prod. BOM Equipment","Fixed Prod. Time (Hours)","Production BOM No.",$D5685,"version code",$E5685,"Resource No.",O$9)</t>
  </si>
  <si>
    <t>=1/O5685</t>
  </si>
  <si>
    <t>=IF(NL(1,"Prod. BOM Equipment","Variable Prod. Time (Hours)","Production BOM No.",$D5685,"version code",$E5685,"Resource No.",$O$9)="",1,NL(1,"Prod. BOM Equipment","Variable Prod. Time (Hours)","Production BOM No.",$D5685,"version code",$E5685,"Resource No.",$O$9))</t>
  </si>
  <si>
    <t>=1/Q5685</t>
  </si>
  <si>
    <t>=R5685*N5685</t>
  </si>
  <si>
    <t>=IF(K5689=0,"hide","")</t>
  </si>
  <si>
    <t>=D5688</t>
  </si>
  <si>
    <t>=NL("sum","Production Order","Quantity","Source No.",$D5689,"Equipment Code",$L5689,"due date",F$8)/-12</t>
  </si>
  <si>
    <t>=NL("sum","Production Order","Quantity","Source No.",$D5689,"Equipment Code",$L5689,"due date",G$8)/-12</t>
  </si>
  <si>
    <t>=NL("sum","Production Order","Quantity","Source No.",$D5689,"Equipment Code",$L5689,"due date",H$8)/-12</t>
  </si>
  <si>
    <t>=NL("sum","Production Order","Quantity","Source No.",$D5689,"Equipment Code",$L5689,"due date",I$8)/-12</t>
  </si>
  <si>
    <t>=NL("sum","Production Order","Quantity","Source No.",$D5689,"Equipment Code",$L5689,"due date",J$8)/$J$7</t>
  </si>
  <si>
    <t>=AVERAGE(I5689:J5689)</t>
  </si>
  <si>
    <t>=B5686</t>
  </si>
  <si>
    <t>=B5690</t>
  </si>
  <si>
    <t>=SUM(F5686:F5690)</t>
  </si>
  <si>
    <t>=SUM(G5686:G5690)</t>
  </si>
  <si>
    <t>=SUM(H5686:H5690)</t>
  </si>
  <si>
    <t>=SUM(I5686:I5690)</t>
  </si>
  <si>
    <t>=SUM(J5686:J5690)</t>
  </si>
  <si>
    <t>=NL("rows","Production BOM Version","Version Code","Production BOM No.",D5692,"status","certified")</t>
  </si>
  <si>
    <t>=NL("sum","Item Ledger Entry","Quantity","Item No.",$D5692,"Entry Type","Sale|Consumption","posting date","01/01/19..12/31/19")/-12</t>
  </si>
  <si>
    <t>=NL("sum","Item Ledger Entry","Quantity","Item No.",$D5692,"Entry Type","Sale|Consumption","posting date","01/01/20..12/31/20")/-12</t>
  </si>
  <si>
    <t>=NL("sum","Item Ledger Entry","Quantity","Item No.",$D5692,"Entry Type","Sale|Consumption","posting date","01/01/21..12/31/21")/-12</t>
  </si>
  <si>
    <t>=NL("sum","Item Ledger Entry","Quantity","Item No.",$D5692,"Entry Type","Sale|Consumption","posting date","01/01/22..12/31/22")/-12</t>
  </si>
  <si>
    <t>=NL("sum","Item Ledger Entry","Quantity","Item No.",$D5692,"Entry Type","Sale|Consumption","posting date","01/01/23..12/31/23")/$J$7</t>
  </si>
  <si>
    <t>=NL(1,"item",L$9,"no.",D5692)</t>
  </si>
  <si>
    <t>=NL(1,"item",M$9,"no.",$D5692)</t>
  </si>
  <si>
    <t>=NL(1,"item","Units Per Parcel","no.",$D5692)</t>
  </si>
  <si>
    <t>=NL(1,"Prod. BOM Equipment","Fixed Prod. Time (Hours)","Production BOM No.",$D5692,"version code",$E5692,"Resource No.",O$9)</t>
  </si>
  <si>
    <t>=1/O5692</t>
  </si>
  <si>
    <t>=IF(NL(1,"Prod. BOM Equipment","Variable Prod. Time (Hours)","Production BOM No.",$D5692,"version code",$E5692,"Resource No.",$O$9)="",1,NL(1,"Prod. BOM Equipment","Variable Prod. Time (Hours)","Production BOM No.",$D5692,"version code",$E5692,"Resource No.",$O$9))</t>
  </si>
  <si>
    <t>=1/Q5692</t>
  </si>
  <si>
    <t>=R5692*N5692</t>
  </si>
  <si>
    <t>=IF(K5696=0,"hide","")</t>
  </si>
  <si>
    <t>=D5695</t>
  </si>
  <si>
    <t>=NL("sum","Production Order","Quantity","Source No.",$D5696,"Equipment Code",$L5696,"due date",F$8)/-12</t>
  </si>
  <si>
    <t>=NL("sum","Production Order","Quantity","Source No.",$D5696,"Equipment Code",$L5696,"due date",G$8)/-12</t>
  </si>
  <si>
    <t>=NL("sum","Production Order","Quantity","Source No.",$D5696,"Equipment Code",$L5696,"due date",H$8)/-12</t>
  </si>
  <si>
    <t>=NL("sum","Production Order","Quantity","Source No.",$D5696,"Equipment Code",$L5696,"due date",I$8)/-12</t>
  </si>
  <si>
    <t>=NL("sum","Production Order","Quantity","Source No.",$D5696,"Equipment Code",$L5696,"due date",J$8)/$J$7</t>
  </si>
  <si>
    <t>=AVERAGE(I5696:J5696)</t>
  </si>
  <si>
    <t>=B5693</t>
  </si>
  <si>
    <t>=B5697</t>
  </si>
  <si>
    <t>=SUM(F5693:F5697)</t>
  </si>
  <si>
    <t>=SUM(G5693:G5697)</t>
  </si>
  <si>
    <t>=SUM(H5693:H5697)</t>
  </si>
  <si>
    <t>=SUM(I5693:I5697)</t>
  </si>
  <si>
    <t>=SUM(J5693:J5697)</t>
  </si>
  <si>
    <t>=NL("rows","Production BOM Version","Version Code","Production BOM No.",D5699,"status","certified")</t>
  </si>
  <si>
    <t>=NL("sum","Item Ledger Entry","Quantity","Item No.",$D5699,"Entry Type","Sale|Consumption","posting date","01/01/19..12/31/19")/-12</t>
  </si>
  <si>
    <t>=NL("sum","Item Ledger Entry","Quantity","Item No.",$D5699,"Entry Type","Sale|Consumption","posting date","01/01/20..12/31/20")/-12</t>
  </si>
  <si>
    <t>=NL("sum","Item Ledger Entry","Quantity","Item No.",$D5699,"Entry Type","Sale|Consumption","posting date","01/01/21..12/31/21")/-12</t>
  </si>
  <si>
    <t>=NL("sum","Item Ledger Entry","Quantity","Item No.",$D5699,"Entry Type","Sale|Consumption","posting date","01/01/22..12/31/22")/-12</t>
  </si>
  <si>
    <t>=NL("sum","Item Ledger Entry","Quantity","Item No.",$D5699,"Entry Type","Sale|Consumption","posting date","01/01/23..12/31/23")/$J$7</t>
  </si>
  <si>
    <t>=NL(1,"item",L$9,"no.",D5699)</t>
  </si>
  <si>
    <t>=NL(1,"item",M$9,"no.",$D5699)</t>
  </si>
  <si>
    <t>=NL(1,"item","Units Per Parcel","no.",$D5699)</t>
  </si>
  <si>
    <t>=NL(1,"Prod. BOM Equipment","Fixed Prod. Time (Hours)","Production BOM No.",$D5699,"version code",$E5699,"Resource No.",O$9)</t>
  </si>
  <si>
    <t>=1/O5699</t>
  </si>
  <si>
    <t>=IF(NL(1,"Prod. BOM Equipment","Variable Prod. Time (Hours)","Production BOM No.",$D5699,"version code",$E5699,"Resource No.",$O$9)="",1,NL(1,"Prod. BOM Equipment","Variable Prod. Time (Hours)","Production BOM No.",$D5699,"version code",$E5699,"Resource No.",$O$9))</t>
  </si>
  <si>
    <t>=1/Q5699</t>
  </si>
  <si>
    <t>=R5699*N5699</t>
  </si>
  <si>
    <t>=IF(K5703=0,"hide","")</t>
  </si>
  <si>
    <t>=D5702</t>
  </si>
  <si>
    <t>=NL("sum","Production Order","Quantity","Source No.",$D5703,"Equipment Code",$L5703,"due date",F$8)/-12</t>
  </si>
  <si>
    <t>=NL("sum","Production Order","Quantity","Source No.",$D5703,"Equipment Code",$L5703,"due date",G$8)/-12</t>
  </si>
  <si>
    <t>=NL("sum","Production Order","Quantity","Source No.",$D5703,"Equipment Code",$L5703,"due date",H$8)/-12</t>
  </si>
  <si>
    <t>=NL("sum","Production Order","Quantity","Source No.",$D5703,"Equipment Code",$L5703,"due date",I$8)/-12</t>
  </si>
  <si>
    <t>=NL("sum","Production Order","Quantity","Source No.",$D5703,"Equipment Code",$L5703,"due date",J$8)/$J$7</t>
  </si>
  <si>
    <t>=AVERAGE(I5703:J5703)</t>
  </si>
  <si>
    <t>=B5700</t>
  </si>
  <si>
    <t>=B5704</t>
  </si>
  <si>
    <t>=SUM(F5700:F5704)</t>
  </si>
  <si>
    <t>=SUM(G5700:G5704)</t>
  </si>
  <si>
    <t>=SUM(H5700:H5704)</t>
  </si>
  <si>
    <t>=SUM(I5700:I5704)</t>
  </si>
  <si>
    <t>=SUM(J5700:J5704)</t>
  </si>
  <si>
    <t>=IF(K5706=0,"hide","")</t>
  </si>
  <si>
    <t>=NL("rows","Production BOM Version","Version Code","Production BOM No.",D5706,"status","certified")</t>
  </si>
  <si>
    <t>=NL("sum","Item Ledger Entry","Quantity","Item No.",$D5706,"Entry Type","Sale|Consumption","posting date","01/01/19..12/31/19")/-12</t>
  </si>
  <si>
    <t>=NL("sum","Item Ledger Entry","Quantity","Item No.",$D5706,"Entry Type","Sale|Consumption","posting date","01/01/20..12/31/20")/-12</t>
  </si>
  <si>
    <t>=NL("sum","Item Ledger Entry","Quantity","Item No.",$D5706,"Entry Type","Sale|Consumption","posting date","01/01/21..12/31/21")/-12</t>
  </si>
  <si>
    <t>=NL("sum","Item Ledger Entry","Quantity","Item No.",$D5706,"Entry Type","Sale|Consumption","posting date","01/01/22..12/31/22")/-12</t>
  </si>
  <si>
    <t>=NL("sum","Item Ledger Entry","Quantity","Item No.",$D5706,"Entry Type","Sale|Consumption","posting date","01/01/23..12/31/23")/$J$7</t>
  </si>
  <si>
    <t>=AVERAGE(I5706:J5706)</t>
  </si>
  <si>
    <t>=NL(1,"item",L$9,"no.",D5706)</t>
  </si>
  <si>
    <t>=NL(1,"item",M$9,"no.",$D5706)</t>
  </si>
  <si>
    <t>=NL(1,"item","Units Per Parcel","no.",$D5706)</t>
  </si>
  <si>
    <t>=NL(1,"Prod. BOM Equipment","Fixed Prod. Time (Hours)","Production BOM No.",$D5706,"version code",$E5706,"Resource No.",O$9)</t>
  </si>
  <si>
    <t>=1/O5706</t>
  </si>
  <si>
    <t>=IF(NL(1,"Prod. BOM Equipment","Variable Prod. Time (Hours)","Production BOM No.",$D5706,"version code",$E5706,"Resource No.",$O$9)="",1,NL(1,"Prod. BOM Equipment","Variable Prod. Time (Hours)","Production BOM No.",$D5706,"version code",$E5706,"Resource No.",$O$9))</t>
  </si>
  <si>
    <t>=1/Q5706</t>
  </si>
  <si>
    <t>=R5706*N5706</t>
  </si>
  <si>
    <t>=IF(K5707=0,"hide","")</t>
  </si>
  <si>
    <t>=D5706</t>
  </si>
  <si>
    <t>=NL("sum","Production Order","Quantity","Source No.",$D5707,"Equipment Code",$L5707,"due date",F$8)/-12</t>
  </si>
  <si>
    <t>=NL("sum","Production Order","Quantity","Source No.",$D5707,"Equipment Code",$L5707,"due date",G$8)/-12</t>
  </si>
  <si>
    <t>=NL("sum","Production Order","Quantity","Source No.",$D5707,"Equipment Code",$L5707,"due date",H$8)/-12</t>
  </si>
  <si>
    <t>=NL("sum","Production Order","Quantity","Source No.",$D5707,"Equipment Code",$L5707,"due date",I$8)/-12</t>
  </si>
  <si>
    <t>=NL("sum","Production Order","Quantity","Source No.",$D5707,"Equipment Code",$L5707,"due date",J$8)/$J$7</t>
  </si>
  <si>
    <t>=AVERAGE(I5707:J5707)</t>
  </si>
  <si>
    <t>=IF(K5708=0,"hide","")</t>
  </si>
  <si>
    <t>=D5707</t>
  </si>
  <si>
    <t>=NL("sum","Production Order","Quantity","Source No.",$D5708,"Equipment Code",$L5708,"due date",F$8)/-12</t>
  </si>
  <si>
    <t>=NL("sum","Production Order","Quantity","Source No.",$D5708,"Equipment Code",$L5708,"due date",G$8)/-12</t>
  </si>
  <si>
    <t>=NL("sum","Production Order","Quantity","Source No.",$D5708,"Equipment Code",$L5708,"due date",H$8)/-12</t>
  </si>
  <si>
    <t>=NL("sum","Production Order","Quantity","Source No.",$D5708,"Equipment Code",$L5708,"due date",I$8)/-12</t>
  </si>
  <si>
    <t>=NL("sum","Production Order","Quantity","Source No.",$D5708,"Equipment Code",$L5708,"due date",J$8)/$J$7</t>
  </si>
  <si>
    <t>=AVERAGE(I5708:J5708)</t>
  </si>
  <si>
    <t>=IF(K5709=0,"hide","")</t>
  </si>
  <si>
    <t>=D5708</t>
  </si>
  <si>
    <t>=NL("sum","Production Order","Quantity","Source No.",$D5709,"Equipment Code",$L5709,"due date",F$8)/-12</t>
  </si>
  <si>
    <t>=NL("sum","Production Order","Quantity","Source No.",$D5709,"Equipment Code",$L5709,"due date",G$8)/-12</t>
  </si>
  <si>
    <t>=NL("sum","Production Order","Quantity","Source No.",$D5709,"Equipment Code",$L5709,"due date",H$8)/-12</t>
  </si>
  <si>
    <t>=NL("sum","Production Order","Quantity","Source No.",$D5709,"Equipment Code",$L5709,"due date",I$8)/-12</t>
  </si>
  <si>
    <t>=NL("sum","Production Order","Quantity","Source No.",$D5709,"Equipment Code",$L5709,"due date",J$8)/$J$7</t>
  </si>
  <si>
    <t>=AVERAGE(I5709:J5709)</t>
  </si>
  <si>
    <t>=IF(K5710=0,"hide","")</t>
  </si>
  <si>
    <t>=D5709</t>
  </si>
  <si>
    <t>=NL("sum","Production Order","Quantity","Source No.",$D5710,"Equipment Code",$L5710,"due date",F$8)/-12</t>
  </si>
  <si>
    <t>=NL("sum","Production Order","Quantity","Source No.",$D5710,"Equipment Code",$L5710,"due date",G$8)/-12</t>
  </si>
  <si>
    <t>=NL("sum","Production Order","Quantity","Source No.",$D5710,"Equipment Code",$L5710,"due date",H$8)/-12</t>
  </si>
  <si>
    <t>=NL("sum","Production Order","Quantity","Source No.",$D5710,"Equipment Code",$L5710,"due date",I$8)/-12</t>
  </si>
  <si>
    <t>=NL("sum","Production Order","Quantity","Source No.",$D5710,"Equipment Code",$L5710,"due date",J$8)/$J$7</t>
  </si>
  <si>
    <t>=AVERAGE(I5710:J5710)</t>
  </si>
  <si>
    <t>=B5707</t>
  </si>
  <si>
    <t>=B5711</t>
  </si>
  <si>
    <t>=SUM(F5707:F5711)</t>
  </si>
  <si>
    <t>=SUM(G5707:G5711)</t>
  </si>
  <si>
    <t>=SUM(H5707:H5711)</t>
  </si>
  <si>
    <t>=SUM(I5707:I5711)</t>
  </si>
  <si>
    <t>=SUM(J5707:J5711)</t>
  </si>
  <si>
    <t>=IF(K5713=0,"hide","")</t>
  </si>
  <si>
    <t>=NL("rows","Production BOM Version","Version Code","Production BOM No.",D5713,"status","certified")</t>
  </si>
  <si>
    <t>=NL("sum","Item Ledger Entry","Quantity","Item No.",$D5713,"Entry Type","Sale|Consumption","posting date","01/01/19..12/31/19")/-12</t>
  </si>
  <si>
    <t>=NL("sum","Item Ledger Entry","Quantity","Item No.",$D5713,"Entry Type","Sale|Consumption","posting date","01/01/20..12/31/20")/-12</t>
  </si>
  <si>
    <t>=NL("sum","Item Ledger Entry","Quantity","Item No.",$D5713,"Entry Type","Sale|Consumption","posting date","01/01/21..12/31/21")/-12</t>
  </si>
  <si>
    <t>=NL("sum","Item Ledger Entry","Quantity","Item No.",$D5713,"Entry Type","Sale|Consumption","posting date","01/01/22..12/31/22")/-12</t>
  </si>
  <si>
    <t>=NL("sum","Item Ledger Entry","Quantity","Item No.",$D5713,"Entry Type","Sale|Consumption","posting date","01/01/23..12/31/23")/$J$7</t>
  </si>
  <si>
    <t>=AVERAGE(I5713:J5713)</t>
  </si>
  <si>
    <t>=NL(1,"item",L$9,"no.",D5713)</t>
  </si>
  <si>
    <t>=NL(1,"item",M$9,"no.",$D5713)</t>
  </si>
  <si>
    <t>=NL(1,"item","Units Per Parcel","no.",$D5713)</t>
  </si>
  <si>
    <t>=NL(1,"Prod. BOM Equipment","Fixed Prod. Time (Hours)","Production BOM No.",$D5713,"version code",$E5713,"Resource No.",O$9)</t>
  </si>
  <si>
    <t>=1/O5713</t>
  </si>
  <si>
    <t>=IF(NL(1,"Prod. BOM Equipment","Variable Prod. Time (Hours)","Production BOM No.",$D5713,"version code",$E5713,"Resource No.",$O$9)="",1,NL(1,"Prod. BOM Equipment","Variable Prod. Time (Hours)","Production BOM No.",$D5713,"version code",$E5713,"Resource No.",$O$9))</t>
  </si>
  <si>
    <t>=1/Q5713</t>
  </si>
  <si>
    <t>=R5713*N5713</t>
  </si>
  <si>
    <t>=IF(K5714=0,"hide","")</t>
  </si>
  <si>
    <t>=D5713</t>
  </si>
  <si>
    <t>=NL("sum","Production Order","Quantity","Source No.",$D5714,"Equipment Code",$L5714,"due date",F$8)/-12</t>
  </si>
  <si>
    <t>=NL("sum","Production Order","Quantity","Source No.",$D5714,"Equipment Code",$L5714,"due date",G$8)/-12</t>
  </si>
  <si>
    <t>=NL("sum","Production Order","Quantity","Source No.",$D5714,"Equipment Code",$L5714,"due date",H$8)/-12</t>
  </si>
  <si>
    <t>=NL("sum","Production Order","Quantity","Source No.",$D5714,"Equipment Code",$L5714,"due date",I$8)/-12</t>
  </si>
  <si>
    <t>=NL("sum","Production Order","Quantity","Source No.",$D5714,"Equipment Code",$L5714,"due date",J$8)/$J$7</t>
  </si>
  <si>
    <t>=AVERAGE(I5714:J5714)</t>
  </si>
  <si>
    <t>=IF(K5715=0,"hide","")</t>
  </si>
  <si>
    <t>=D5714</t>
  </si>
  <si>
    <t>=NL("sum","Production Order","Quantity","Source No.",$D5715,"Equipment Code",$L5715,"due date",F$8)/-12</t>
  </si>
  <si>
    <t>=NL("sum","Production Order","Quantity","Source No.",$D5715,"Equipment Code",$L5715,"due date",G$8)/-12</t>
  </si>
  <si>
    <t>=NL("sum","Production Order","Quantity","Source No.",$D5715,"Equipment Code",$L5715,"due date",H$8)/-12</t>
  </si>
  <si>
    <t>=NL("sum","Production Order","Quantity","Source No.",$D5715,"Equipment Code",$L5715,"due date",I$8)/-12</t>
  </si>
  <si>
    <t>=NL("sum","Production Order","Quantity","Source No.",$D5715,"Equipment Code",$L5715,"due date",J$8)/$J$7</t>
  </si>
  <si>
    <t>=AVERAGE(I5715:J5715)</t>
  </si>
  <si>
    <t>=IF(K5716=0,"hide","")</t>
  </si>
  <si>
    <t>=D5715</t>
  </si>
  <si>
    <t>=NL("sum","Production Order","Quantity","Source No.",$D5716,"Equipment Code",$L5716,"due date",F$8)/-12</t>
  </si>
  <si>
    <t>=NL("sum","Production Order","Quantity","Source No.",$D5716,"Equipment Code",$L5716,"due date",G$8)/-12</t>
  </si>
  <si>
    <t>=NL("sum","Production Order","Quantity","Source No.",$D5716,"Equipment Code",$L5716,"due date",H$8)/-12</t>
  </si>
  <si>
    <t>=NL("sum","Production Order","Quantity","Source No.",$D5716,"Equipment Code",$L5716,"due date",I$8)/-12</t>
  </si>
  <si>
    <t>=NL("sum","Production Order","Quantity","Source No.",$D5716,"Equipment Code",$L5716,"due date",J$8)/$J$7</t>
  </si>
  <si>
    <t>=AVERAGE(I5716:J5716)</t>
  </si>
  <si>
    <t>=IF(K5717=0,"hide","")</t>
  </si>
  <si>
    <t>=D5716</t>
  </si>
  <si>
    <t>=NL("sum","Production Order","Quantity","Source No.",$D5717,"Equipment Code",$L5717,"due date",F$8)/-12</t>
  </si>
  <si>
    <t>=NL("sum","Production Order","Quantity","Source No.",$D5717,"Equipment Code",$L5717,"due date",G$8)/-12</t>
  </si>
  <si>
    <t>=NL("sum","Production Order","Quantity","Source No.",$D5717,"Equipment Code",$L5717,"due date",H$8)/-12</t>
  </si>
  <si>
    <t>=NL("sum","Production Order","Quantity","Source No.",$D5717,"Equipment Code",$L5717,"due date",I$8)/-12</t>
  </si>
  <si>
    <t>=NL("sum","Production Order","Quantity","Source No.",$D5717,"Equipment Code",$L5717,"due date",J$8)/$J$7</t>
  </si>
  <si>
    <t>=AVERAGE(I5717:J5717)</t>
  </si>
  <si>
    <t>=B5714</t>
  </si>
  <si>
    <t>=B5718</t>
  </si>
  <si>
    <t>=SUM(F5714:F5718)</t>
  </si>
  <si>
    <t>=SUM(G5714:G5718)</t>
  </si>
  <si>
    <t>=SUM(H5714:H5718)</t>
  </si>
  <si>
    <t>=SUM(I5714:I5718)</t>
  </si>
  <si>
    <t>=SUM(J5714:J5718)</t>
  </si>
  <si>
    <t>=IF(K5720=0,"hide","")</t>
  </si>
  <si>
    <t>=NL("rows","Production BOM Version","Version Code","Production BOM No.",D5720,"status","certified")</t>
  </si>
  <si>
    <t>=NL("sum","Item Ledger Entry","Quantity","Item No.",$D5720,"Entry Type","Sale|Consumption","posting date","01/01/19..12/31/19")/-12</t>
  </si>
  <si>
    <t>=NL("sum","Item Ledger Entry","Quantity","Item No.",$D5720,"Entry Type","Sale|Consumption","posting date","01/01/20..12/31/20")/-12</t>
  </si>
  <si>
    <t>=NL("sum","Item Ledger Entry","Quantity","Item No.",$D5720,"Entry Type","Sale|Consumption","posting date","01/01/21..12/31/21")/-12</t>
  </si>
  <si>
    <t>=NL("sum","Item Ledger Entry","Quantity","Item No.",$D5720,"Entry Type","Sale|Consumption","posting date","01/01/22..12/31/22")/-12</t>
  </si>
  <si>
    <t>=NL("sum","Item Ledger Entry","Quantity","Item No.",$D5720,"Entry Type","Sale|Consumption","posting date","01/01/23..12/31/23")/$J$7</t>
  </si>
  <si>
    <t>=AVERAGE(I5720:J5720)</t>
  </si>
  <si>
    <t>=NL(1,"item",L$9,"no.",D5720)</t>
  </si>
  <si>
    <t>=NL(1,"item",M$9,"no.",$D5720)</t>
  </si>
  <si>
    <t>=NL(1,"item","Units Per Parcel","no.",$D5720)</t>
  </si>
  <si>
    <t>=NL(1,"Prod. BOM Equipment","Fixed Prod. Time (Hours)","Production BOM No.",$D5720,"version code",$E5720,"Resource No.",O$9)</t>
  </si>
  <si>
    <t>=1/O5720</t>
  </si>
  <si>
    <t>=IF(NL(1,"Prod. BOM Equipment","Variable Prod. Time (Hours)","Production BOM No.",$D5720,"version code",$E5720,"Resource No.",$O$9)="",1,NL(1,"Prod. BOM Equipment","Variable Prod. Time (Hours)","Production BOM No.",$D5720,"version code",$E5720,"Resource No.",$O$9))</t>
  </si>
  <si>
    <t>=1/Q5720</t>
  </si>
  <si>
    <t>=R5720*N5720</t>
  </si>
  <si>
    <t>=IF(K5721=0,"hide","")</t>
  </si>
  <si>
    <t>=D5720</t>
  </si>
  <si>
    <t>=NL("sum","Production Order","Quantity","Source No.",$D5721,"Equipment Code",$L5721,"due date",F$8)/-12</t>
  </si>
  <si>
    <t>=NL("sum","Production Order","Quantity","Source No.",$D5721,"Equipment Code",$L5721,"due date",G$8)/-12</t>
  </si>
  <si>
    <t>=NL("sum","Production Order","Quantity","Source No.",$D5721,"Equipment Code",$L5721,"due date",H$8)/-12</t>
  </si>
  <si>
    <t>=NL("sum","Production Order","Quantity","Source No.",$D5721,"Equipment Code",$L5721,"due date",I$8)/-12</t>
  </si>
  <si>
    <t>=NL("sum","Production Order","Quantity","Source No.",$D5721,"Equipment Code",$L5721,"due date",J$8)/$J$7</t>
  </si>
  <si>
    <t>=AVERAGE(I5721:J5721)</t>
  </si>
  <si>
    <t>=IF(K5722=0,"hide","")</t>
  </si>
  <si>
    <t>=D5721</t>
  </si>
  <si>
    <t>=NL("sum","Production Order","Quantity","Source No.",$D5722,"Equipment Code",$L5722,"due date",F$8)/-12</t>
  </si>
  <si>
    <t>=NL("sum","Production Order","Quantity","Source No.",$D5722,"Equipment Code",$L5722,"due date",G$8)/-12</t>
  </si>
  <si>
    <t>=NL("sum","Production Order","Quantity","Source No.",$D5722,"Equipment Code",$L5722,"due date",H$8)/-12</t>
  </si>
  <si>
    <t>=NL("sum","Production Order","Quantity","Source No.",$D5722,"Equipment Code",$L5722,"due date",I$8)/-12</t>
  </si>
  <si>
    <t>=NL("sum","Production Order","Quantity","Source No.",$D5722,"Equipment Code",$L5722,"due date",J$8)/$J$7</t>
  </si>
  <si>
    <t>=AVERAGE(I5722:J5722)</t>
  </si>
  <si>
    <t>=IF(K5723=0,"hide","")</t>
  </si>
  <si>
    <t>=D5722</t>
  </si>
  <si>
    <t>=NL("sum","Production Order","Quantity","Source No.",$D5723,"Equipment Code",$L5723,"due date",F$8)/-12</t>
  </si>
  <si>
    <t>=NL("sum","Production Order","Quantity","Source No.",$D5723,"Equipment Code",$L5723,"due date",G$8)/-12</t>
  </si>
  <si>
    <t>=NL("sum","Production Order","Quantity","Source No.",$D5723,"Equipment Code",$L5723,"due date",H$8)/-12</t>
  </si>
  <si>
    <t>=NL("sum","Production Order","Quantity","Source No.",$D5723,"Equipment Code",$L5723,"due date",I$8)/-12</t>
  </si>
  <si>
    <t>=NL("sum","Production Order","Quantity","Source No.",$D5723,"Equipment Code",$L5723,"due date",J$8)/$J$7</t>
  </si>
  <si>
    <t>=AVERAGE(I5723:J5723)</t>
  </si>
  <si>
    <t>=IF(K5724=0,"hide","")</t>
  </si>
  <si>
    <t>=D5723</t>
  </si>
  <si>
    <t>=NL("sum","Production Order","Quantity","Source No.",$D5724,"Equipment Code",$L5724,"due date",F$8)/-12</t>
  </si>
  <si>
    <t>=NL("sum","Production Order","Quantity","Source No.",$D5724,"Equipment Code",$L5724,"due date",G$8)/-12</t>
  </si>
  <si>
    <t>=NL("sum","Production Order","Quantity","Source No.",$D5724,"Equipment Code",$L5724,"due date",H$8)/-12</t>
  </si>
  <si>
    <t>=NL("sum","Production Order","Quantity","Source No.",$D5724,"Equipment Code",$L5724,"due date",I$8)/-12</t>
  </si>
  <si>
    <t>=NL("sum","Production Order","Quantity","Source No.",$D5724,"Equipment Code",$L5724,"due date",J$8)/$J$7</t>
  </si>
  <si>
    <t>=AVERAGE(I5724:J5724)</t>
  </si>
  <si>
    <t>=B5721</t>
  </si>
  <si>
    <t>=B5725</t>
  </si>
  <si>
    <t>=SUM(F5721:F5725)</t>
  </si>
  <si>
    <t>=SUM(G5721:G5725)</t>
  </si>
  <si>
    <t>=SUM(H5721:H5725)</t>
  </si>
  <si>
    <t>=SUM(I5721:I5725)</t>
  </si>
  <si>
    <t>=SUM(J5721:J5725)</t>
  </si>
  <si>
    <t>=NL("rows","Production BOM Version","Version Code","Production BOM No.",D67,"status","certified")</t>
  </si>
  <si>
    <t>=NL("rows","Production BOM Version","Version Code","Production BOM No.",D111,"status","certified")</t>
  </si>
  <si>
    <t>Units Per Tray</t>
  </si>
  <si>
    <t>Trays Per Case</t>
  </si>
  <si>
    <t>TMAX Case/Minute</t>
  </si>
  <si>
    <t>fit</t>
  </si>
  <si>
    <t>AREA</t>
  </si>
  <si>
    <t>Plant Location</t>
  </si>
  <si>
    <t>=NL("1","Resource","Search Name","No.",G4)</t>
  </si>
  <si>
    <t>=NL("1","Resource","Location Code","No.",$G$4)</t>
  </si>
  <si>
    <t>=NL("1","Resource","Equipment Capacity","No.",$G$4)</t>
  </si>
  <si>
    <t>=$G$4</t>
  </si>
  <si>
    <t>=IF(F11=0,"hide","")</t>
  </si>
  <si>
    <t>=NL(1,"item",G$10,"no.",D11)</t>
  </si>
  <si>
    <t>=NL(1,"item",H$10,"no.",$D11)</t>
  </si>
  <si>
    <t>=NL(1,"Prod. BOM Equipment","Fixed Prod. Time (Hours)","Production BOM No.",$D11,"version code",$E11,"Resource No.",J$10)</t>
  </si>
  <si>
    <t>=1/J11</t>
  </si>
  <si>
    <t>=IF(NL(1,"Prod. BOM Equipment","Variable Prod. Time (Hours)","Production BOM No.",$D11,"version code",$E11,"Resource No.",$J$10)="",1,NL(1,"Prod. BOM Equipment","Variable Prod. Time (Hours)","Production BOM No.",$D11,"version code",$E11,"Resource No.",$J$10))</t>
  </si>
  <si>
    <t>=1/L11</t>
  </si>
  <si>
    <t>=M11*I11</t>
  </si>
  <si>
    <t>=M11/60</t>
  </si>
  <si>
    <t>=$G$5</t>
  </si>
  <si>
    <t>=COUNT(#REF!)</t>
  </si>
  <si>
    <t>=IF(F12=0,"hide","")</t>
  </si>
  <si>
    <t>=NL(1,"item",G$10,"no.",D12)</t>
  </si>
  <si>
    <t>=NL(1,"item",H$10,"no.",$D12)</t>
  </si>
  <si>
    <t>=NL(1,"Prod. BOM Equipment","Fixed Prod. Time (Hours)","Production BOM No.",$D12,"version code",$E12,"Resource No.",J$10)</t>
  </si>
  <si>
    <t>=1/J12</t>
  </si>
  <si>
    <t>=IF(NL(1,"Prod. BOM Equipment","Variable Prod. Time (Hours)","Production BOM No.",$D12,"version code",$E12,"Resource No.",$J$10)="",1,NL(1,"Prod. BOM Equipment","Variable Prod. Time (Hours)","Production BOM No.",$D12,"version code",$E12,"Resource No.",$J$10))</t>
  </si>
  <si>
    <t>=1/L12</t>
  </si>
  <si>
    <t>=M12*I12</t>
  </si>
  <si>
    <t>=M12/60</t>
  </si>
  <si>
    <t>=IF(F13=0,"hide","")</t>
  </si>
  <si>
    <t>=NL(1,"item",G$10,"no.",D13)</t>
  </si>
  <si>
    <t>=NL(1,"item",H$10,"no.",$D13)</t>
  </si>
  <si>
    <t>=NL(1,"Prod. BOM Equipment","Fixed Prod. Time (Hours)","Production BOM No.",$D13,"version code",$E13,"Resource No.",J$10)</t>
  </si>
  <si>
    <t>=1/J13</t>
  </si>
  <si>
    <t>=IF(NL(1,"Prod. BOM Equipment","Variable Prod. Time (Hours)","Production BOM No.",$D13,"version code",$E13,"Resource No.",$J$10)="",1,NL(1,"Prod. BOM Equipment","Variable Prod. Time (Hours)","Production BOM No.",$D13,"version code",$E13,"Resource No.",$J$10))</t>
  </si>
  <si>
    <t>=1/L13</t>
  </si>
  <si>
    <t>=M13*I13</t>
  </si>
  <si>
    <t>=M13/60</t>
  </si>
  <si>
    <t>=IF(F14=0,"hide","")</t>
  </si>
  <si>
    <t>=NL(1,"item",G$10,"no.",D14)</t>
  </si>
  <si>
    <t>=NL(1,"item",H$10,"no.",$D14)</t>
  </si>
  <si>
    <t>=NL(1,"Prod. BOM Equipment","Fixed Prod. Time (Hours)","Production BOM No.",$D14,"version code",$E14,"Resource No.",J$10)</t>
  </si>
  <si>
    <t>=1/J14</t>
  </si>
  <si>
    <t>=IF(NL(1,"Prod. BOM Equipment","Variable Prod. Time (Hours)","Production BOM No.",$D14,"version code",$E14,"Resource No.",$J$10)="",1,NL(1,"Prod. BOM Equipment","Variable Prod. Time (Hours)","Production BOM No.",$D14,"version code",$E14,"Resource No.",$J$10))</t>
  </si>
  <si>
    <t>=1/L14</t>
  </si>
  <si>
    <t>=M14*I14</t>
  </si>
  <si>
    <t>=M14/60</t>
  </si>
  <si>
    <t>=IF(F15=0,"hide","")</t>
  </si>
  <si>
    <t>=NL(1,"item",G$10,"no.",D15)</t>
  </si>
  <si>
    <t>=NL(1,"item",H$10,"no.",$D15)</t>
  </si>
  <si>
    <t>=NL(1,"Prod. BOM Equipment","Fixed Prod. Time (Hours)","Production BOM No.",$D15,"version code",$E15,"Resource No.",J$10)</t>
  </si>
  <si>
    <t>=1/J15</t>
  </si>
  <si>
    <t>=IF(NL(1,"Prod. BOM Equipment","Variable Prod. Time (Hours)","Production BOM No.",$D15,"version code",$E15,"Resource No.",$J$10)="",1,NL(1,"Prod. BOM Equipment","Variable Prod. Time (Hours)","Production BOM No.",$D15,"version code",$E15,"Resource No.",$J$10))</t>
  </si>
  <si>
    <t>=1/L15</t>
  </si>
  <si>
    <t>=M15*I15</t>
  </si>
  <si>
    <t>=M15/60</t>
  </si>
  <si>
    <t>=IF(F16=0,"hide","")</t>
  </si>
  <si>
    <t>=NL(1,"item",G$10,"no.",D16)</t>
  </si>
  <si>
    <t>=NL(1,"item",H$10,"no.",$D16)</t>
  </si>
  <si>
    <t>=NL(1,"Prod. BOM Equipment","Fixed Prod. Time (Hours)","Production BOM No.",$D16,"version code",$E16,"Resource No.",J$10)</t>
  </si>
  <si>
    <t>=1/J16</t>
  </si>
  <si>
    <t>=IF(NL(1,"Prod. BOM Equipment","Variable Prod. Time (Hours)","Production BOM No.",$D16,"version code",$E16,"Resource No.",$J$10)="",1,NL(1,"Prod. BOM Equipment","Variable Prod. Time (Hours)","Production BOM No.",$D16,"version code",$E16,"Resource No.",$J$10))</t>
  </si>
  <si>
    <t>=1/L16</t>
  </si>
  <si>
    <t>=M16*I16</t>
  </si>
  <si>
    <t>=M16/60</t>
  </si>
  <si>
    <t>=IF(F17=0,"hide","")</t>
  </si>
  <si>
    <t>=NL(1,"item",G$10,"no.",D17)</t>
  </si>
  <si>
    <t>=NL(1,"item",H$10,"no.",$D17)</t>
  </si>
  <si>
    <t>=NL(1,"Prod. BOM Equipment","Fixed Prod. Time (Hours)","Production BOM No.",$D17,"version code",$E17,"Resource No.",J$10)</t>
  </si>
  <si>
    <t>=1/J17</t>
  </si>
  <si>
    <t>=IF(NL(1,"Prod. BOM Equipment","Variable Prod. Time (Hours)","Production BOM No.",$D17,"version code",$E17,"Resource No.",$J$10)="",1,NL(1,"Prod. BOM Equipment","Variable Prod. Time (Hours)","Production BOM No.",$D17,"version code",$E17,"Resource No.",$J$10))</t>
  </si>
  <si>
    <t>=1/L17</t>
  </si>
  <si>
    <t>=M17*I17</t>
  </si>
  <si>
    <t>=M17/60</t>
  </si>
  <si>
    <t>=IF(F18=0,"hide","")</t>
  </si>
  <si>
    <t>=NL(1,"item",G$10,"no.",D18)</t>
  </si>
  <si>
    <t>=NL(1,"item",H$10,"no.",$D18)</t>
  </si>
  <si>
    <t>=NL(1,"Prod. BOM Equipment","Fixed Prod. Time (Hours)","Production BOM No.",$D18,"version code",$E18,"Resource No.",J$10)</t>
  </si>
  <si>
    <t>=1/J18</t>
  </si>
  <si>
    <t>=IF(NL(1,"Prod. BOM Equipment","Variable Prod. Time (Hours)","Production BOM No.",$D18,"version code",$E18,"Resource No.",$J$10)="",1,NL(1,"Prod. BOM Equipment","Variable Prod. Time (Hours)","Production BOM No.",$D18,"version code",$E18,"Resource No.",$J$10))</t>
  </si>
  <si>
    <t>=1/L18</t>
  </si>
  <si>
    <t>=M18*I18</t>
  </si>
  <si>
    <t>=M18/60</t>
  </si>
  <si>
    <t>=IF(F19=0,"hide","")</t>
  </si>
  <si>
    <t>=NL(1,"item",G$10,"no.",D19)</t>
  </si>
  <si>
    <t>=NL(1,"item",H$10,"no.",$D19)</t>
  </si>
  <si>
    <t>=NL(1,"Prod. BOM Equipment","Fixed Prod. Time (Hours)","Production BOM No.",$D19,"version code",$E19,"Resource No.",J$10)</t>
  </si>
  <si>
    <t>=1/J19</t>
  </si>
  <si>
    <t>=IF(NL(1,"Prod. BOM Equipment","Variable Prod. Time (Hours)","Production BOM No.",$D19,"version code",$E19,"Resource No.",$J$10)="",1,NL(1,"Prod. BOM Equipment","Variable Prod. Time (Hours)","Production BOM No.",$D19,"version code",$E19,"Resource No.",$J$10))</t>
  </si>
  <si>
    <t>=1/L19</t>
  </si>
  <si>
    <t>=M19*I19</t>
  </si>
  <si>
    <t>=M19/60</t>
  </si>
  <si>
    <t>=IF(F20=0,"hide","")</t>
  </si>
  <si>
    <t>=NL(1,"item",G$10,"no.",D20)</t>
  </si>
  <si>
    <t>=NL(1,"item",H$10,"no.",$D20)</t>
  </si>
  <si>
    <t>=NL(1,"Prod. BOM Equipment","Fixed Prod. Time (Hours)","Production BOM No.",$D20,"version code",$E20,"Resource No.",J$10)</t>
  </si>
  <si>
    <t>=1/J20</t>
  </si>
  <si>
    <t>=IF(NL(1,"Prod. BOM Equipment","Variable Prod. Time (Hours)","Production BOM No.",$D20,"version code",$E20,"Resource No.",$J$10)="",1,NL(1,"Prod. BOM Equipment","Variable Prod. Time (Hours)","Production BOM No.",$D20,"version code",$E20,"Resource No.",$J$10))</t>
  </si>
  <si>
    <t>=1/L20</t>
  </si>
  <si>
    <t>=M20*I20</t>
  </si>
  <si>
    <t>=M20/60</t>
  </si>
  <si>
    <t>=IF(F21=0,"hide","")</t>
  </si>
  <si>
    <t>=NL(1,"item",G$10,"no.",D21)</t>
  </si>
  <si>
    <t>=NL(1,"item",H$10,"no.",$D21)</t>
  </si>
  <si>
    <t>=NL(1,"Prod. BOM Equipment","Fixed Prod. Time (Hours)","Production BOM No.",$D21,"version code",$E21,"Resource No.",J$10)</t>
  </si>
  <si>
    <t>=1/J21</t>
  </si>
  <si>
    <t>=IF(NL(1,"Prod. BOM Equipment","Variable Prod. Time (Hours)","Production BOM No.",$D21,"version code",$E21,"Resource No.",$J$10)="",1,NL(1,"Prod. BOM Equipment","Variable Prod. Time (Hours)","Production BOM No.",$D21,"version code",$E21,"Resource No.",$J$10))</t>
  </si>
  <si>
    <t>=1/L21</t>
  </si>
  <si>
    <t>=M21*I21</t>
  </si>
  <si>
    <t>=M21/60</t>
  </si>
  <si>
    <t>=IF(F22=0,"hide","")</t>
  </si>
  <si>
    <t>=NL(1,"item",G$10,"no.",D22)</t>
  </si>
  <si>
    <t>=NL(1,"item",H$10,"no.",$D22)</t>
  </si>
  <si>
    <t>=NL(1,"Prod. BOM Equipment","Fixed Prod. Time (Hours)","Production BOM No.",$D22,"version code",$E22,"Resource No.",J$10)</t>
  </si>
  <si>
    <t>=1/J22</t>
  </si>
  <si>
    <t>=IF(NL(1,"Prod. BOM Equipment","Variable Prod. Time (Hours)","Production BOM No.",$D22,"version code",$E22,"Resource No.",$J$10)="",1,NL(1,"Prod. BOM Equipment","Variable Prod. Time (Hours)","Production BOM No.",$D22,"version code",$E22,"Resource No.",$J$10))</t>
  </si>
  <si>
    <t>=1/L22</t>
  </si>
  <si>
    <t>=M22*I22</t>
  </si>
  <si>
    <t>=M22/60</t>
  </si>
  <si>
    <t>=IF(F23=0,"hide","")</t>
  </si>
  <si>
    <t>=NL(1,"item",G$10,"no.",D23)</t>
  </si>
  <si>
    <t>=NL(1,"item",H$10,"no.",$D23)</t>
  </si>
  <si>
    <t>=NL(1,"Prod. BOM Equipment","Fixed Prod. Time (Hours)","Production BOM No.",$D23,"version code",$E23,"Resource No.",J$10)</t>
  </si>
  <si>
    <t>=1/J23</t>
  </si>
  <si>
    <t>=IF(NL(1,"Prod. BOM Equipment","Variable Prod. Time (Hours)","Production BOM No.",$D23,"version code",$E23,"Resource No.",$J$10)="",1,NL(1,"Prod. BOM Equipment","Variable Prod. Time (Hours)","Production BOM No.",$D23,"version code",$E23,"Resource No.",$J$10))</t>
  </si>
  <si>
    <t>=1/L23</t>
  </si>
  <si>
    <t>=M23*I23</t>
  </si>
  <si>
    <t>=M23/60</t>
  </si>
  <si>
    <t>=IF(F24=0,"hide","")</t>
  </si>
  <si>
    <t>=NL(1,"item",G$10,"no.",D24)</t>
  </si>
  <si>
    <t>=NL(1,"item",H$10,"no.",$D24)</t>
  </si>
  <si>
    <t>=NL(1,"Prod. BOM Equipment","Fixed Prod. Time (Hours)","Production BOM No.",$D24,"version code",$E24,"Resource No.",J$10)</t>
  </si>
  <si>
    <t>=1/J24</t>
  </si>
  <si>
    <t>=IF(NL(1,"Prod. BOM Equipment","Variable Prod. Time (Hours)","Production BOM No.",$D24,"version code",$E24,"Resource No.",$J$10)="",1,NL(1,"Prod. BOM Equipment","Variable Prod. Time (Hours)","Production BOM No.",$D24,"version code",$E24,"Resource No.",$J$10))</t>
  </si>
  <si>
    <t>=1/L24</t>
  </si>
  <si>
    <t>=M24*I24</t>
  </si>
  <si>
    <t>=M24/60</t>
  </si>
  <si>
    <t>=IF(F25=0,"hide","")</t>
  </si>
  <si>
    <t>=NL(1,"item",G$10,"no.",D25)</t>
  </si>
  <si>
    <t>=NL(1,"item",H$10,"no.",$D25)</t>
  </si>
  <si>
    <t>=NL(1,"Prod. BOM Equipment","Fixed Prod. Time (Hours)","Production BOM No.",$D25,"version code",$E25,"Resource No.",J$10)</t>
  </si>
  <si>
    <t>=1/J25</t>
  </si>
  <si>
    <t>=IF(NL(1,"Prod. BOM Equipment","Variable Prod. Time (Hours)","Production BOM No.",$D25,"version code",$E25,"Resource No.",$J$10)="",1,NL(1,"Prod. BOM Equipment","Variable Prod. Time (Hours)","Production BOM No.",$D25,"version code",$E25,"Resource No.",$J$10))</t>
  </si>
  <si>
    <t>=1/L25</t>
  </si>
  <si>
    <t>=M25*I25</t>
  </si>
  <si>
    <t>=M25/60</t>
  </si>
  <si>
    <t>=IF(F26=0,"hide","")</t>
  </si>
  <si>
    <t>=NL(1,"item",G$10,"no.",D26)</t>
  </si>
  <si>
    <t>=NL(1,"item",H$10,"no.",$D26)</t>
  </si>
  <si>
    <t>=NL(1,"Prod. BOM Equipment","Fixed Prod. Time (Hours)","Production BOM No.",$D26,"version code",$E26,"Resource No.",J$10)</t>
  </si>
  <si>
    <t>=1/J26</t>
  </si>
  <si>
    <t>=IF(NL(1,"Prod. BOM Equipment","Variable Prod. Time (Hours)","Production BOM No.",$D26,"version code",$E26,"Resource No.",$J$10)="",1,NL(1,"Prod. BOM Equipment","Variable Prod. Time (Hours)","Production BOM No.",$D26,"version code",$E26,"Resource No.",$J$10))</t>
  </si>
  <si>
    <t>=1/L26</t>
  </si>
  <si>
    <t>=M26*I26</t>
  </si>
  <si>
    <t>=M26/60</t>
  </si>
  <si>
    <t>=IF(F27=0,"hide","")</t>
  </si>
  <si>
    <t>=NL(1,"item",G$10,"no.",D27)</t>
  </si>
  <si>
    <t>=NL(1,"item",H$10,"no.",$D27)</t>
  </si>
  <si>
    <t>=NL(1,"Prod. BOM Equipment","Fixed Prod. Time (Hours)","Production BOM No.",$D27,"version code",$E27,"Resource No.",J$10)</t>
  </si>
  <si>
    <t>=1/J27</t>
  </si>
  <si>
    <t>=IF(NL(1,"Prod. BOM Equipment","Variable Prod. Time (Hours)","Production BOM No.",$D27,"version code",$E27,"Resource No.",$J$10)="",1,NL(1,"Prod. BOM Equipment","Variable Prod. Time (Hours)","Production BOM No.",$D27,"version code",$E27,"Resource No.",$J$10))</t>
  </si>
  <si>
    <t>=1/L27</t>
  </si>
  <si>
    <t>=M27*I27</t>
  </si>
  <si>
    <t>=M27/60</t>
  </si>
  <si>
    <t>=IF(F28=0,"hide","")</t>
  </si>
  <si>
    <t>=NL(1,"item",G$10,"no.",D28)</t>
  </si>
  <si>
    <t>=NL(1,"item",H$10,"no.",$D28)</t>
  </si>
  <si>
    <t>=NL(1,"Prod. BOM Equipment","Fixed Prod. Time (Hours)","Production BOM No.",$D28,"version code",$E28,"Resource No.",J$10)</t>
  </si>
  <si>
    <t>=1/J28</t>
  </si>
  <si>
    <t>=IF(NL(1,"Prod. BOM Equipment","Variable Prod. Time (Hours)","Production BOM No.",$D28,"version code",$E28,"Resource No.",$J$10)="",1,NL(1,"Prod. BOM Equipment","Variable Prod. Time (Hours)","Production BOM No.",$D28,"version code",$E28,"Resource No.",$J$10))</t>
  </si>
  <si>
    <t>=1/L28</t>
  </si>
  <si>
    <t>=M28*I28</t>
  </si>
  <si>
    <t>=M28/60</t>
  </si>
  <si>
    <t>=IF(F29=0,"hide","")</t>
  </si>
  <si>
    <t>=NL(1,"item",G$10,"no.",D29)</t>
  </si>
  <si>
    <t>=NL(1,"item",H$10,"no.",$D29)</t>
  </si>
  <si>
    <t>=NL(1,"Prod. BOM Equipment","Fixed Prod. Time (Hours)","Production BOM No.",$D29,"version code",$E29,"Resource No.",J$10)</t>
  </si>
  <si>
    <t>=1/J29</t>
  </si>
  <si>
    <t>=IF(NL(1,"Prod. BOM Equipment","Variable Prod. Time (Hours)","Production BOM No.",$D29,"version code",$E29,"Resource No.",$J$10)="",1,NL(1,"Prod. BOM Equipment","Variable Prod. Time (Hours)","Production BOM No.",$D29,"version code",$E29,"Resource No.",$J$10))</t>
  </si>
  <si>
    <t>=1/L29</t>
  </si>
  <si>
    <t>=M29*I29</t>
  </si>
  <si>
    <t>=M29/60</t>
  </si>
  <si>
    <t>=IF(F30=0,"hide","")</t>
  </si>
  <si>
    <t>=NL(1,"item",G$10,"no.",D30)</t>
  </si>
  <si>
    <t>=NL(1,"item",H$10,"no.",$D30)</t>
  </si>
  <si>
    <t>=NL(1,"Prod. BOM Equipment","Fixed Prod. Time (Hours)","Production BOM No.",$D30,"version code",$E30,"Resource No.",J$10)</t>
  </si>
  <si>
    <t>=1/J30</t>
  </si>
  <si>
    <t>=IF(NL(1,"Prod. BOM Equipment","Variable Prod. Time (Hours)","Production BOM No.",$D30,"version code",$E30,"Resource No.",$J$10)="",1,NL(1,"Prod. BOM Equipment","Variable Prod. Time (Hours)","Production BOM No.",$D30,"version code",$E30,"Resource No.",$J$10))</t>
  </si>
  <si>
    <t>=1/L30</t>
  </si>
  <si>
    <t>=M30*I30</t>
  </si>
  <si>
    <t>=M30/60</t>
  </si>
  <si>
    <t>=IF(F31=0,"hide","")</t>
  </si>
  <si>
    <t>=NL(1,"item",G$10,"no.",D31)</t>
  </si>
  <si>
    <t>=NL(1,"item",H$10,"no.",$D31)</t>
  </si>
  <si>
    <t>=NL(1,"Prod. BOM Equipment","Fixed Prod. Time (Hours)","Production BOM No.",$D31,"version code",$E31,"Resource No.",J$10)</t>
  </si>
  <si>
    <t>=1/J31</t>
  </si>
  <si>
    <t>=IF(NL(1,"Prod. BOM Equipment","Variable Prod. Time (Hours)","Production BOM No.",$D31,"version code",$E31,"Resource No.",$J$10)="",1,NL(1,"Prod. BOM Equipment","Variable Prod. Time (Hours)","Production BOM No.",$D31,"version code",$E31,"Resource No.",$J$10))</t>
  </si>
  <si>
    <t>=1/L31</t>
  </si>
  <si>
    <t>=M31*I31</t>
  </si>
  <si>
    <t>=M31/60</t>
  </si>
  <si>
    <t>=IF(F32=0,"hide","")</t>
  </si>
  <si>
    <t>=NL(1,"item",G$10,"no.",D32)</t>
  </si>
  <si>
    <t>=NL(1,"item",H$10,"no.",$D32)</t>
  </si>
  <si>
    <t>=NL(1,"Prod. BOM Equipment","Fixed Prod. Time (Hours)","Production BOM No.",$D32,"version code",$E32,"Resource No.",J$10)</t>
  </si>
  <si>
    <t>=1/J32</t>
  </si>
  <si>
    <t>=IF(NL(1,"Prod. BOM Equipment","Variable Prod. Time (Hours)","Production BOM No.",$D32,"version code",$E32,"Resource No.",$J$10)="",1,NL(1,"Prod. BOM Equipment","Variable Prod. Time (Hours)","Production BOM No.",$D32,"version code",$E32,"Resource No.",$J$10))</t>
  </si>
  <si>
    <t>=1/L32</t>
  </si>
  <si>
    <t>=M32*I32</t>
  </si>
  <si>
    <t>=M32/60</t>
  </si>
  <si>
    <t>=IF(F33=0,"hide","")</t>
  </si>
  <si>
    <t>=NL(1,"item",G$10,"no.",D33)</t>
  </si>
  <si>
    <t>=NL(1,"item",H$10,"no.",$D33)</t>
  </si>
  <si>
    <t>=NL(1,"Prod. BOM Equipment","Fixed Prod. Time (Hours)","Production BOM No.",$D33,"version code",$E33,"Resource No.",J$10)</t>
  </si>
  <si>
    <t>=1/J33</t>
  </si>
  <si>
    <t>=IF(NL(1,"Prod. BOM Equipment","Variable Prod. Time (Hours)","Production BOM No.",$D33,"version code",$E33,"Resource No.",$J$10)="",1,NL(1,"Prod. BOM Equipment","Variable Prod. Time (Hours)","Production BOM No.",$D33,"version code",$E33,"Resource No.",$J$10))</t>
  </si>
  <si>
    <t>=1/L33</t>
  </si>
  <si>
    <t>=M33*I33</t>
  </si>
  <si>
    <t>=M33/60</t>
  </si>
  <si>
    <t>=IF(F34=0,"hide","")</t>
  </si>
  <si>
    <t>=NL(1,"item",G$10,"no.",D34)</t>
  </si>
  <si>
    <t>=NL(1,"item",H$10,"no.",$D34)</t>
  </si>
  <si>
    <t>=NL(1,"Prod. BOM Equipment","Fixed Prod. Time (Hours)","Production BOM No.",$D34,"version code",$E34,"Resource No.",J$10)</t>
  </si>
  <si>
    <t>=1/J34</t>
  </si>
  <si>
    <t>=IF(NL(1,"Prod. BOM Equipment","Variable Prod. Time (Hours)","Production BOM No.",$D34,"version code",$E34,"Resource No.",$J$10)="",1,NL(1,"Prod. BOM Equipment","Variable Prod. Time (Hours)","Production BOM No.",$D34,"version code",$E34,"Resource No.",$J$10))</t>
  </si>
  <si>
    <t>=1/L34</t>
  </si>
  <si>
    <t>=M34*I34</t>
  </si>
  <si>
    <t>=M34/60</t>
  </si>
  <si>
    <t>=IF(F35=0,"hide","")</t>
  </si>
  <si>
    <t>=NL(1,"item",G$10,"no.",D35)</t>
  </si>
  <si>
    <t>=NL(1,"item",H$10,"no.",$D35)</t>
  </si>
  <si>
    <t>=NL(1,"Prod. BOM Equipment","Fixed Prod. Time (Hours)","Production BOM No.",$D35,"version code",$E35,"Resource No.",J$10)</t>
  </si>
  <si>
    <t>=1/J35</t>
  </si>
  <si>
    <t>=IF(NL(1,"Prod. BOM Equipment","Variable Prod. Time (Hours)","Production BOM No.",$D35,"version code",$E35,"Resource No.",$J$10)="",1,NL(1,"Prod. BOM Equipment","Variable Prod. Time (Hours)","Production BOM No.",$D35,"version code",$E35,"Resource No.",$J$10))</t>
  </si>
  <si>
    <t>=1/L35</t>
  </si>
  <si>
    <t>=M35*I35</t>
  </si>
  <si>
    <t>=M35/60</t>
  </si>
  <si>
    <t>=IF(F36=0,"hide","")</t>
  </si>
  <si>
    <t>=NL(1,"item",G$10,"no.",D36)</t>
  </si>
  <si>
    <t>=NL(1,"item",H$10,"no.",$D36)</t>
  </si>
  <si>
    <t>=NL(1,"Prod. BOM Equipment","Fixed Prod. Time (Hours)","Production BOM No.",$D36,"version code",$E36,"Resource No.",J$10)</t>
  </si>
  <si>
    <t>=1/J36</t>
  </si>
  <si>
    <t>=IF(NL(1,"Prod. BOM Equipment","Variable Prod. Time (Hours)","Production BOM No.",$D36,"version code",$E36,"Resource No.",$J$10)="",1,NL(1,"Prod. BOM Equipment","Variable Prod. Time (Hours)","Production BOM No.",$D36,"version code",$E36,"Resource No.",$J$10))</t>
  </si>
  <si>
    <t>=1/L36</t>
  </si>
  <si>
    <t>=M36*I36</t>
  </si>
  <si>
    <t>=M36/60</t>
  </si>
  <si>
    <t>=IF(F37=0,"hide","")</t>
  </si>
  <si>
    <t>=NL(1,"item",G$10,"no.",D37)</t>
  </si>
  <si>
    <t>=NL(1,"item",H$10,"no.",$D37)</t>
  </si>
  <si>
    <t>=NL(1,"Prod. BOM Equipment","Fixed Prod. Time (Hours)","Production BOM No.",$D37,"version code",$E37,"Resource No.",J$10)</t>
  </si>
  <si>
    <t>=1/J37</t>
  </si>
  <si>
    <t>=IF(NL(1,"Prod. BOM Equipment","Variable Prod. Time (Hours)","Production BOM No.",$D37,"version code",$E37,"Resource No.",$J$10)="",1,NL(1,"Prod. BOM Equipment","Variable Prod. Time (Hours)","Production BOM No.",$D37,"version code",$E37,"Resource No.",$J$10))</t>
  </si>
  <si>
    <t>=1/L37</t>
  </si>
  <si>
    <t>=M37*I37</t>
  </si>
  <si>
    <t>=M37/60</t>
  </si>
  <si>
    <t>=IF(F38=0,"hide","")</t>
  </si>
  <si>
    <t>=NL(1,"item",G$10,"no.",D38)</t>
  </si>
  <si>
    <t>=NL(1,"item",H$10,"no.",$D38)</t>
  </si>
  <si>
    <t>=NL(1,"Prod. BOM Equipment","Fixed Prod. Time (Hours)","Production BOM No.",$D38,"version code",$E38,"Resource No.",J$10)</t>
  </si>
  <si>
    <t>=1/J38</t>
  </si>
  <si>
    <t>=IF(NL(1,"Prod. BOM Equipment","Variable Prod. Time (Hours)","Production BOM No.",$D38,"version code",$E38,"Resource No.",$J$10)="",1,NL(1,"Prod. BOM Equipment","Variable Prod. Time (Hours)","Production BOM No.",$D38,"version code",$E38,"Resource No.",$J$10))</t>
  </si>
  <si>
    <t>=1/L38</t>
  </si>
  <si>
    <t>=M38*I38</t>
  </si>
  <si>
    <t>=M38/60</t>
  </si>
  <si>
    <t>=IF(F39=0,"hide","")</t>
  </si>
  <si>
    <t>=NL(1,"item",G$10,"no.",D39)</t>
  </si>
  <si>
    <t>=NL(1,"item",H$10,"no.",$D39)</t>
  </si>
  <si>
    <t>=NL(1,"Prod. BOM Equipment","Fixed Prod. Time (Hours)","Production BOM No.",$D39,"version code",$E39,"Resource No.",J$10)</t>
  </si>
  <si>
    <t>=1/J39</t>
  </si>
  <si>
    <t>=IF(NL(1,"Prod. BOM Equipment","Variable Prod. Time (Hours)","Production BOM No.",$D39,"version code",$E39,"Resource No.",$J$10)="",1,NL(1,"Prod. BOM Equipment","Variable Prod. Time (Hours)","Production BOM No.",$D39,"version code",$E39,"Resource No.",$J$10))</t>
  </si>
  <si>
    <t>=1/L39</t>
  </si>
  <si>
    <t>=M39*I39</t>
  </si>
  <si>
    <t>=M39/60</t>
  </si>
  <si>
    <t>=IF(F40=0,"hide","")</t>
  </si>
  <si>
    <t>=NL(1,"item",G$10,"no.",D40)</t>
  </si>
  <si>
    <t>=NL(1,"item",H$10,"no.",$D40)</t>
  </si>
  <si>
    <t>=NL(1,"Prod. BOM Equipment","Fixed Prod. Time (Hours)","Production BOM No.",$D40,"version code",$E40,"Resource No.",J$10)</t>
  </si>
  <si>
    <t>=1/J40</t>
  </si>
  <si>
    <t>=IF(NL(1,"Prod. BOM Equipment","Variable Prod. Time (Hours)","Production BOM No.",$D40,"version code",$E40,"Resource No.",$J$10)="",1,NL(1,"Prod. BOM Equipment","Variable Prod. Time (Hours)","Production BOM No.",$D40,"version code",$E40,"Resource No.",$J$10))</t>
  </si>
  <si>
    <t>=1/L40</t>
  </si>
  <si>
    <t>=M40*I40</t>
  </si>
  <si>
    <t>=M40/60</t>
  </si>
  <si>
    <t>=IF(F41=0,"hide","")</t>
  </si>
  <si>
    <t>=NL(1,"item",G$10,"no.",D41)</t>
  </si>
  <si>
    <t>=NL(1,"item",H$10,"no.",$D41)</t>
  </si>
  <si>
    <t>=NL(1,"Prod. BOM Equipment","Fixed Prod. Time (Hours)","Production BOM No.",$D41,"version code",$E41,"Resource No.",J$10)</t>
  </si>
  <si>
    <t>=1/J41</t>
  </si>
  <si>
    <t>=IF(NL(1,"Prod. BOM Equipment","Variable Prod. Time (Hours)","Production BOM No.",$D41,"version code",$E41,"Resource No.",$J$10)="",1,NL(1,"Prod. BOM Equipment","Variable Prod. Time (Hours)","Production BOM No.",$D41,"version code",$E41,"Resource No.",$J$10))</t>
  </si>
  <si>
    <t>=1/L41</t>
  </si>
  <si>
    <t>=M41*I41</t>
  </si>
  <si>
    <t>=M41/60</t>
  </si>
  <si>
    <t>=IF(F42=0,"hide","")</t>
  </si>
  <si>
    <t>=NL(1,"item",G$10,"no.",D42)</t>
  </si>
  <si>
    <t>=NL(1,"item",H$10,"no.",$D42)</t>
  </si>
  <si>
    <t>=NL(1,"Prod. BOM Equipment","Fixed Prod. Time (Hours)","Production BOM No.",$D42,"version code",$E42,"Resource No.",J$10)</t>
  </si>
  <si>
    <t>=1/J42</t>
  </si>
  <si>
    <t>=IF(NL(1,"Prod. BOM Equipment","Variable Prod. Time (Hours)","Production BOM No.",$D42,"version code",$E42,"Resource No.",$J$10)="",1,NL(1,"Prod. BOM Equipment","Variable Prod. Time (Hours)","Production BOM No.",$D42,"version code",$E42,"Resource No.",$J$10))</t>
  </si>
  <si>
    <t>=1/L42</t>
  </si>
  <si>
    <t>=M42*I42</t>
  </si>
  <si>
    <t>=M42/60</t>
  </si>
  <si>
    <t>=IF(F43=0,"hide","")</t>
  </si>
  <si>
    <t>=NL(1,"item",G$10,"no.",D43)</t>
  </si>
  <si>
    <t>=NL(1,"item",H$10,"no.",$D43)</t>
  </si>
  <si>
    <t>=NL(1,"Prod. BOM Equipment","Fixed Prod. Time (Hours)","Production BOM No.",$D43,"version code",$E43,"Resource No.",J$10)</t>
  </si>
  <si>
    <t>=1/J43</t>
  </si>
  <si>
    <t>=IF(NL(1,"Prod. BOM Equipment","Variable Prod. Time (Hours)","Production BOM No.",$D43,"version code",$E43,"Resource No.",$J$10)="",1,NL(1,"Prod. BOM Equipment","Variable Prod. Time (Hours)","Production BOM No.",$D43,"version code",$E43,"Resource No.",$J$10))</t>
  </si>
  <si>
    <t>=1/L43</t>
  </si>
  <si>
    <t>=M43*I43</t>
  </si>
  <si>
    <t>=M43/60</t>
  </si>
  <si>
    <t>=IF(F44=0,"hide","")</t>
  </si>
  <si>
    <t>=NL(1,"item",G$10,"no.",D44)</t>
  </si>
  <si>
    <t>=NL(1,"item",H$10,"no.",$D44)</t>
  </si>
  <si>
    <t>=NL(1,"Prod. BOM Equipment","Fixed Prod. Time (Hours)","Production BOM No.",$D44,"version code",$E44,"Resource No.",J$10)</t>
  </si>
  <si>
    <t>=1/J44</t>
  </si>
  <si>
    <t>=IF(NL(1,"Prod. BOM Equipment","Variable Prod. Time (Hours)","Production BOM No.",$D44,"version code",$E44,"Resource No.",$J$10)="",1,NL(1,"Prod. BOM Equipment","Variable Prod. Time (Hours)","Production BOM No.",$D44,"version code",$E44,"Resource No.",$J$10))</t>
  </si>
  <si>
    <t>=1/L44</t>
  </si>
  <si>
    <t>=M44*I44</t>
  </si>
  <si>
    <t>=M44/60</t>
  </si>
  <si>
    <t>=IF(F45=0,"hide","")</t>
  </si>
  <si>
    <t>=NL(1,"item",G$10,"no.",D45)</t>
  </si>
  <si>
    <t>=NL(1,"item",H$10,"no.",$D45)</t>
  </si>
  <si>
    <t>=NL(1,"Prod. BOM Equipment","Fixed Prod. Time (Hours)","Production BOM No.",$D45,"version code",$E45,"Resource No.",J$10)</t>
  </si>
  <si>
    <t>=1/J45</t>
  </si>
  <si>
    <t>=IF(NL(1,"Prod. BOM Equipment","Variable Prod. Time (Hours)","Production BOM No.",$D45,"version code",$E45,"Resource No.",$J$10)="",1,NL(1,"Prod. BOM Equipment","Variable Prod. Time (Hours)","Production BOM No.",$D45,"version code",$E45,"Resource No.",$J$10))</t>
  </si>
  <si>
    <t>=1/L45</t>
  </si>
  <si>
    <t>=M45*I45</t>
  </si>
  <si>
    <t>=M45/60</t>
  </si>
  <si>
    <t>=IF(F46=0,"hide","")</t>
  </si>
  <si>
    <t>=NL(1,"item",G$10,"no.",D46)</t>
  </si>
  <si>
    <t>=NL(1,"item",H$10,"no.",$D46)</t>
  </si>
  <si>
    <t>=NL(1,"Prod. BOM Equipment","Fixed Prod. Time (Hours)","Production BOM No.",$D46,"version code",$E46,"Resource No.",J$10)</t>
  </si>
  <si>
    <t>=1/J46</t>
  </si>
  <si>
    <t>=IF(NL(1,"Prod. BOM Equipment","Variable Prod. Time (Hours)","Production BOM No.",$D46,"version code",$E46,"Resource No.",$J$10)="",1,NL(1,"Prod. BOM Equipment","Variable Prod. Time (Hours)","Production BOM No.",$D46,"version code",$E46,"Resource No.",$J$10))</t>
  </si>
  <si>
    <t>=1/L46</t>
  </si>
  <si>
    <t>=M46*I46</t>
  </si>
  <si>
    <t>=M46/60</t>
  </si>
  <si>
    <t>=IF(F47=0,"hide","")</t>
  </si>
  <si>
    <t>=NL(1,"item",G$10,"no.",D47)</t>
  </si>
  <si>
    <t>=NL(1,"item",H$10,"no.",$D47)</t>
  </si>
  <si>
    <t>=NL(1,"Prod. BOM Equipment","Fixed Prod. Time (Hours)","Production BOM No.",$D47,"version code",$E47,"Resource No.",J$10)</t>
  </si>
  <si>
    <t>=1/J47</t>
  </si>
  <si>
    <t>=IF(NL(1,"Prod. BOM Equipment","Variable Prod. Time (Hours)","Production BOM No.",$D47,"version code",$E47,"Resource No.",$J$10)="",1,NL(1,"Prod. BOM Equipment","Variable Prod. Time (Hours)","Production BOM No.",$D47,"version code",$E47,"Resource No.",$J$10))</t>
  </si>
  <si>
    <t>=1/L47</t>
  </si>
  <si>
    <t>=M47*I47</t>
  </si>
  <si>
    <t>=M47/60</t>
  </si>
  <si>
    <t>=IF(F48=0,"hide","")</t>
  </si>
  <si>
    <t>=NL(1,"item",G$10,"no.",D48)</t>
  </si>
  <si>
    <t>=NL(1,"item",H$10,"no.",$D48)</t>
  </si>
  <si>
    <t>=NL(1,"Prod. BOM Equipment","Fixed Prod. Time (Hours)","Production BOM No.",$D48,"version code",$E48,"Resource No.",J$10)</t>
  </si>
  <si>
    <t>=1/J48</t>
  </si>
  <si>
    <t>=IF(NL(1,"Prod. BOM Equipment","Variable Prod. Time (Hours)","Production BOM No.",$D48,"version code",$E48,"Resource No.",$J$10)="",1,NL(1,"Prod. BOM Equipment","Variable Prod. Time (Hours)","Production BOM No.",$D48,"version code",$E48,"Resource No.",$J$10))</t>
  </si>
  <si>
    <t>=1/L48</t>
  </si>
  <si>
    <t>=M48*I48</t>
  </si>
  <si>
    <t>=M48/60</t>
  </si>
  <si>
    <t>=IF(F49=0,"hide","")</t>
  </si>
  <si>
    <t>=NL(1,"item",G$10,"no.",D49)</t>
  </si>
  <si>
    <t>=NL(1,"item",H$10,"no.",$D49)</t>
  </si>
  <si>
    <t>=NL(1,"Prod. BOM Equipment","Fixed Prod. Time (Hours)","Production BOM No.",$D49,"version code",$E49,"Resource No.",J$10)</t>
  </si>
  <si>
    <t>=1/J49</t>
  </si>
  <si>
    <t>=IF(NL(1,"Prod. BOM Equipment","Variable Prod. Time (Hours)","Production BOM No.",$D49,"version code",$E49,"Resource No.",$J$10)="",1,NL(1,"Prod. BOM Equipment","Variable Prod. Time (Hours)","Production BOM No.",$D49,"version code",$E49,"Resource No.",$J$10))</t>
  </si>
  <si>
    <t>=1/L49</t>
  </si>
  <si>
    <t>=M49*I49</t>
  </si>
  <si>
    <t>=M49/60</t>
  </si>
  <si>
    <t>=IF(F50=0,"hide","")</t>
  </si>
  <si>
    <t>=NL(1,"item",G$10,"no.",D50)</t>
  </si>
  <si>
    <t>=NL(1,"item",H$10,"no.",$D50)</t>
  </si>
  <si>
    <t>=NL(1,"Prod. BOM Equipment","Fixed Prod. Time (Hours)","Production BOM No.",$D50,"version code",$E50,"Resource No.",J$10)</t>
  </si>
  <si>
    <t>=1/J50</t>
  </si>
  <si>
    <t>=IF(NL(1,"Prod. BOM Equipment","Variable Prod. Time (Hours)","Production BOM No.",$D50,"version code",$E50,"Resource No.",$J$10)="",1,NL(1,"Prod. BOM Equipment","Variable Prod. Time (Hours)","Production BOM No.",$D50,"version code",$E50,"Resource No.",$J$10))</t>
  </si>
  <si>
    <t>=1/L50</t>
  </si>
  <si>
    <t>=M50*I50</t>
  </si>
  <si>
    <t>=M50/60</t>
  </si>
  <si>
    <t>=IF(F51=0,"hide","")</t>
  </si>
  <si>
    <t>=NL(1,"item",G$10,"no.",D51)</t>
  </si>
  <si>
    <t>=NL(1,"item",H$10,"no.",$D51)</t>
  </si>
  <si>
    <t>=NL(1,"Prod. BOM Equipment","Fixed Prod. Time (Hours)","Production BOM No.",$D51,"version code",$E51,"Resource No.",J$10)</t>
  </si>
  <si>
    <t>=1/J51</t>
  </si>
  <si>
    <t>=IF(NL(1,"Prod. BOM Equipment","Variable Prod. Time (Hours)","Production BOM No.",$D51,"version code",$E51,"Resource No.",$J$10)="",1,NL(1,"Prod. BOM Equipment","Variable Prod. Time (Hours)","Production BOM No.",$D51,"version code",$E51,"Resource No.",$J$10))</t>
  </si>
  <si>
    <t>=1/L51</t>
  </si>
  <si>
    <t>=M51*I51</t>
  </si>
  <si>
    <t>=M51/60</t>
  </si>
  <si>
    <t>=IF(F52=0,"hide","")</t>
  </si>
  <si>
    <t>=NL(1,"item",G$10,"no.",D52)</t>
  </si>
  <si>
    <t>=NL(1,"item",H$10,"no.",$D52)</t>
  </si>
  <si>
    <t>=NL(1,"Prod. BOM Equipment","Fixed Prod. Time (Hours)","Production BOM No.",$D52,"version code",$E52,"Resource No.",J$10)</t>
  </si>
  <si>
    <t>=1/J52</t>
  </si>
  <si>
    <t>=IF(NL(1,"Prod. BOM Equipment","Variable Prod. Time (Hours)","Production BOM No.",$D52,"version code",$E52,"Resource No.",$J$10)="",1,NL(1,"Prod. BOM Equipment","Variable Prod. Time (Hours)","Production BOM No.",$D52,"version code",$E52,"Resource No.",$J$10))</t>
  </si>
  <si>
    <t>=1/L52</t>
  </si>
  <si>
    <t>=M52*I52</t>
  </si>
  <si>
    <t>=M52/60</t>
  </si>
  <si>
    <t>=IF(F53=0,"hide","")</t>
  </si>
  <si>
    <t>=NL(1,"item",G$10,"no.",D53)</t>
  </si>
  <si>
    <t>=NL(1,"item",H$10,"no.",$D53)</t>
  </si>
  <si>
    <t>=NL(1,"Prod. BOM Equipment","Fixed Prod. Time (Hours)","Production BOM No.",$D53,"version code",$E53,"Resource No.",J$10)</t>
  </si>
  <si>
    <t>=1/J53</t>
  </si>
  <si>
    <t>=IF(NL(1,"Prod. BOM Equipment","Variable Prod. Time (Hours)","Production BOM No.",$D53,"version code",$E53,"Resource No.",$J$10)="",1,NL(1,"Prod. BOM Equipment","Variable Prod. Time (Hours)","Production BOM No.",$D53,"version code",$E53,"Resource No.",$J$10))</t>
  </si>
  <si>
    <t>=1/L53</t>
  </si>
  <si>
    <t>=M53*I53</t>
  </si>
  <si>
    <t>=M53/60</t>
  </si>
  <si>
    <t>=IF(F54=0,"hide","")</t>
  </si>
  <si>
    <t>=NL(1,"item",G$10,"no.",D54)</t>
  </si>
  <si>
    <t>=NL(1,"item",H$10,"no.",$D54)</t>
  </si>
  <si>
    <t>=NL(1,"Prod. BOM Equipment","Fixed Prod. Time (Hours)","Production BOM No.",$D54,"version code",$E54,"Resource No.",J$10)</t>
  </si>
  <si>
    <t>=1/J54</t>
  </si>
  <si>
    <t>=IF(NL(1,"Prod. BOM Equipment","Variable Prod. Time (Hours)","Production BOM No.",$D54,"version code",$E54,"Resource No.",$J$10)="",1,NL(1,"Prod. BOM Equipment","Variable Prod. Time (Hours)","Production BOM No.",$D54,"version code",$E54,"Resource No.",$J$10))</t>
  </si>
  <si>
    <t>=1/L54</t>
  </si>
  <si>
    <t>=M54*I54</t>
  </si>
  <si>
    <t>=M54/60</t>
  </si>
  <si>
    <t>=IF(F55=0,"hide","")</t>
  </si>
  <si>
    <t>=NL(1,"item",G$10,"no.",D55)</t>
  </si>
  <si>
    <t>=NL(1,"item",H$10,"no.",$D55)</t>
  </si>
  <si>
    <t>=NL(1,"Prod. BOM Equipment","Fixed Prod. Time (Hours)","Production BOM No.",$D55,"version code",$E55,"Resource No.",J$10)</t>
  </si>
  <si>
    <t>=1/J55</t>
  </si>
  <si>
    <t>=IF(NL(1,"Prod. BOM Equipment","Variable Prod. Time (Hours)","Production BOM No.",$D55,"version code",$E55,"Resource No.",$J$10)="",1,NL(1,"Prod. BOM Equipment","Variable Prod. Time (Hours)","Production BOM No.",$D55,"version code",$E55,"Resource No.",$J$10))</t>
  </si>
  <si>
    <t>=1/L55</t>
  </si>
  <si>
    <t>=M55*I55</t>
  </si>
  <si>
    <t>=M55/60</t>
  </si>
  <si>
    <t>=IF(F56=0,"hide","")</t>
  </si>
  <si>
    <t>=NL(1,"item",G$10,"no.",D56)</t>
  </si>
  <si>
    <t>=NL(1,"item",H$10,"no.",$D56)</t>
  </si>
  <si>
    <t>=NL(1,"Prod. BOM Equipment","Fixed Prod. Time (Hours)","Production BOM No.",$D56,"version code",$E56,"Resource No.",J$10)</t>
  </si>
  <si>
    <t>=1/J56</t>
  </si>
  <si>
    <t>=IF(NL(1,"Prod. BOM Equipment","Variable Prod. Time (Hours)","Production BOM No.",$D56,"version code",$E56,"Resource No.",$J$10)="",1,NL(1,"Prod. BOM Equipment","Variable Prod. Time (Hours)","Production BOM No.",$D56,"version code",$E56,"Resource No.",$J$10))</t>
  </si>
  <si>
    <t>=1/L56</t>
  </si>
  <si>
    <t>=M56*I56</t>
  </si>
  <si>
    <t>=M56/60</t>
  </si>
  <si>
    <t>=IF(F57=0,"hide","")</t>
  </si>
  <si>
    <t>=NL(1,"item",G$10,"no.",D57)</t>
  </si>
  <si>
    <t>=NL(1,"item",H$10,"no.",$D57)</t>
  </si>
  <si>
    <t>=NL(1,"Prod. BOM Equipment","Fixed Prod. Time (Hours)","Production BOM No.",$D57,"version code",$E57,"Resource No.",J$10)</t>
  </si>
  <si>
    <t>=1/J57</t>
  </si>
  <si>
    <t>=IF(NL(1,"Prod. BOM Equipment","Variable Prod. Time (Hours)","Production BOM No.",$D57,"version code",$E57,"Resource No.",$J$10)="",1,NL(1,"Prod. BOM Equipment","Variable Prod. Time (Hours)","Production BOM No.",$D57,"version code",$E57,"Resource No.",$J$10))</t>
  </si>
  <si>
    <t>=1/L57</t>
  </si>
  <si>
    <t>=M57*I57</t>
  </si>
  <si>
    <t>=M57/60</t>
  </si>
  <si>
    <t>=IF(F58=0,"hide","")</t>
  </si>
  <si>
    <t>=NL(1,"item",G$10,"no.",D58)</t>
  </si>
  <si>
    <t>=NL(1,"item",H$10,"no.",$D58)</t>
  </si>
  <si>
    <t>=NL(1,"Prod. BOM Equipment","Fixed Prod. Time (Hours)","Production BOM No.",$D58,"version code",$E58,"Resource No.",J$10)</t>
  </si>
  <si>
    <t>=1/J58</t>
  </si>
  <si>
    <t>=IF(NL(1,"Prod. BOM Equipment","Variable Prod. Time (Hours)","Production BOM No.",$D58,"version code",$E58,"Resource No.",$J$10)="",1,NL(1,"Prod. BOM Equipment","Variable Prod. Time (Hours)","Production BOM No.",$D58,"version code",$E58,"Resource No.",$J$10))</t>
  </si>
  <si>
    <t>=1/L58</t>
  </si>
  <si>
    <t>=M58*I58</t>
  </si>
  <si>
    <t>=M58/60</t>
  </si>
  <si>
    <t>=IF(F59=0,"hide","")</t>
  </si>
  <si>
    <t>=NL(1,"item",G$10,"no.",D59)</t>
  </si>
  <si>
    <t>=NL(1,"item",H$10,"no.",$D59)</t>
  </si>
  <si>
    <t>=NL(1,"Prod. BOM Equipment","Fixed Prod. Time (Hours)","Production BOM No.",$D59,"version code",$E59,"Resource No.",J$10)</t>
  </si>
  <si>
    <t>=1/J59</t>
  </si>
  <si>
    <t>=IF(NL(1,"Prod. BOM Equipment","Variable Prod. Time (Hours)","Production BOM No.",$D59,"version code",$E59,"Resource No.",$J$10)="",1,NL(1,"Prod. BOM Equipment","Variable Prod. Time (Hours)","Production BOM No.",$D59,"version code",$E59,"Resource No.",$J$10))</t>
  </si>
  <si>
    <t>=1/L59</t>
  </si>
  <si>
    <t>=M59*I59</t>
  </si>
  <si>
    <t>=M59/60</t>
  </si>
  <si>
    <t>=IF(F60=0,"hide","")</t>
  </si>
  <si>
    <t>=NL(1,"item",G$10,"no.",D60)</t>
  </si>
  <si>
    <t>=NL(1,"item",H$10,"no.",$D60)</t>
  </si>
  <si>
    <t>=NL(1,"Prod. BOM Equipment","Fixed Prod. Time (Hours)","Production BOM No.",$D60,"version code",$E60,"Resource No.",J$10)</t>
  </si>
  <si>
    <t>=1/J60</t>
  </si>
  <si>
    <t>=IF(NL(1,"Prod. BOM Equipment","Variable Prod. Time (Hours)","Production BOM No.",$D60,"version code",$E60,"Resource No.",$J$10)="",1,NL(1,"Prod. BOM Equipment","Variable Prod. Time (Hours)","Production BOM No.",$D60,"version code",$E60,"Resource No.",$J$10))</t>
  </si>
  <si>
    <t>=1/L60</t>
  </si>
  <si>
    <t>=M60*I60</t>
  </si>
  <si>
    <t>=M60/60</t>
  </si>
  <si>
    <t>=IF(F61=0,"hide","")</t>
  </si>
  <si>
    <t>=NL(1,"item",G$10,"no.",D61)</t>
  </si>
  <si>
    <t>=NL(1,"item",H$10,"no.",$D61)</t>
  </si>
  <si>
    <t>=NL(1,"Prod. BOM Equipment","Fixed Prod. Time (Hours)","Production BOM No.",$D61,"version code",$E61,"Resource No.",J$10)</t>
  </si>
  <si>
    <t>=1/J61</t>
  </si>
  <si>
    <t>=IF(NL(1,"Prod. BOM Equipment","Variable Prod. Time (Hours)","Production BOM No.",$D61,"version code",$E61,"Resource No.",$J$10)="",1,NL(1,"Prod. BOM Equipment","Variable Prod. Time (Hours)","Production BOM No.",$D61,"version code",$E61,"Resource No.",$J$10))</t>
  </si>
  <si>
    <t>=1/L61</t>
  </si>
  <si>
    <t>=M61*I61</t>
  </si>
  <si>
    <t>=M61/60</t>
  </si>
  <si>
    <t>=IF(F62=0,"hide","")</t>
  </si>
  <si>
    <t>=NL(1,"item",G$10,"no.",D62)</t>
  </si>
  <si>
    <t>=NL(1,"item",H$10,"no.",$D62)</t>
  </si>
  <si>
    <t>=NL(1,"Prod. BOM Equipment","Fixed Prod. Time (Hours)","Production BOM No.",$D62,"version code",$E62,"Resource No.",J$10)</t>
  </si>
  <si>
    <t>=1/J62</t>
  </si>
  <si>
    <t>=IF(NL(1,"Prod. BOM Equipment","Variable Prod. Time (Hours)","Production BOM No.",$D62,"version code",$E62,"Resource No.",$J$10)="",1,NL(1,"Prod. BOM Equipment","Variable Prod. Time (Hours)","Production BOM No.",$D62,"version code",$E62,"Resource No.",$J$10))</t>
  </si>
  <si>
    <t>=1/L62</t>
  </si>
  <si>
    <t>=M62*I62</t>
  </si>
  <si>
    <t>=M62/60</t>
  </si>
  <si>
    <t>=IF(F63=0,"hide","")</t>
  </si>
  <si>
    <t>=NL(1,"item",G$10,"no.",D63)</t>
  </si>
  <si>
    <t>=NL(1,"item",H$10,"no.",$D63)</t>
  </si>
  <si>
    <t>=NL(1,"Prod. BOM Equipment","Fixed Prod. Time (Hours)","Production BOM No.",$D63,"version code",$E63,"Resource No.",J$10)</t>
  </si>
  <si>
    <t>=1/J63</t>
  </si>
  <si>
    <t>=IF(NL(1,"Prod. BOM Equipment","Variable Prod. Time (Hours)","Production BOM No.",$D63,"version code",$E63,"Resource No.",$J$10)="",1,NL(1,"Prod. BOM Equipment","Variable Prod. Time (Hours)","Production BOM No.",$D63,"version code",$E63,"Resource No.",$J$10))</t>
  </si>
  <si>
    <t>=1/L63</t>
  </si>
  <si>
    <t>=M63*I63</t>
  </si>
  <si>
    <t>=M63/60</t>
  </si>
  <si>
    <t>=IF(F64=0,"hide","")</t>
  </si>
  <si>
    <t>=NL(1,"item",G$10,"no.",D64)</t>
  </si>
  <si>
    <t>=NL(1,"item",H$10,"no.",$D64)</t>
  </si>
  <si>
    <t>=NL(1,"Prod. BOM Equipment","Fixed Prod. Time (Hours)","Production BOM No.",$D64,"version code",$E64,"Resource No.",J$10)</t>
  </si>
  <si>
    <t>=1/J64</t>
  </si>
  <si>
    <t>=IF(NL(1,"Prod. BOM Equipment","Variable Prod. Time (Hours)","Production BOM No.",$D64,"version code",$E64,"Resource No.",$J$10)="",1,NL(1,"Prod. BOM Equipment","Variable Prod. Time (Hours)","Production BOM No.",$D64,"version code",$E64,"Resource No.",$J$10))</t>
  </si>
  <si>
    <t>=1/L64</t>
  </si>
  <si>
    <t>=M64*I64</t>
  </si>
  <si>
    <t>=M64/60</t>
  </si>
  <si>
    <t>=IF(F65=0,"hide","")</t>
  </si>
  <si>
    <t>=NL(1,"item",G$10,"no.",D65)</t>
  </si>
  <si>
    <t>=NL(1,"item",H$10,"no.",$D65)</t>
  </si>
  <si>
    <t>=NL(1,"Prod. BOM Equipment","Fixed Prod. Time (Hours)","Production BOM No.",$D65,"version code",$E65,"Resource No.",J$10)</t>
  </si>
  <si>
    <t>=1/J65</t>
  </si>
  <si>
    <t>=IF(NL(1,"Prod. BOM Equipment","Variable Prod. Time (Hours)","Production BOM No.",$D65,"version code",$E65,"Resource No.",$J$10)="",1,NL(1,"Prod. BOM Equipment","Variable Prod. Time (Hours)","Production BOM No.",$D65,"version code",$E65,"Resource No.",$J$10))</t>
  </si>
  <si>
    <t>=1/L65</t>
  </si>
  <si>
    <t>=M65*I65</t>
  </si>
  <si>
    <t>=M65/60</t>
  </si>
  <si>
    <t>=IF(F66=0,"hide","")</t>
  </si>
  <si>
    <t>=NL(1,"item",G$10,"no.",D66)</t>
  </si>
  <si>
    <t>=NL(1,"item",H$10,"no.",$D66)</t>
  </si>
  <si>
    <t>=NL(1,"Prod. BOM Equipment","Fixed Prod. Time (Hours)","Production BOM No.",$D66,"version code",$E66,"Resource No.",J$10)</t>
  </si>
  <si>
    <t>=1/J66</t>
  </si>
  <si>
    <t>=IF(NL(1,"Prod. BOM Equipment","Variable Prod. Time (Hours)","Production BOM No.",$D66,"version code",$E66,"Resource No.",$J$10)="",1,NL(1,"Prod. BOM Equipment","Variable Prod. Time (Hours)","Production BOM No.",$D66,"version code",$E66,"Resource No.",$J$10))</t>
  </si>
  <si>
    <t>=1/L66</t>
  </si>
  <si>
    <t>=M66*I66</t>
  </si>
  <si>
    <t>=M66/60</t>
  </si>
  <si>
    <t>=IF(F67=0,"hide","")</t>
  </si>
  <si>
    <t>=NL(1,"item",G$10,"no.",D67)</t>
  </si>
  <si>
    <t>=NL(1,"item",H$10,"no.",$D67)</t>
  </si>
  <si>
    <t>=NL(1,"Prod. BOM Equipment","Fixed Prod. Time (Hours)","Production BOM No.",$D67,"version code",$E67,"Resource No.",J$10)</t>
  </si>
  <si>
    <t>=1/J67</t>
  </si>
  <si>
    <t>=IF(NL(1,"Prod. BOM Equipment","Variable Prod. Time (Hours)","Production BOM No.",$D67,"version code",$E67,"Resource No.",$J$10)="",1,NL(1,"Prod. BOM Equipment","Variable Prod. Time (Hours)","Production BOM No.",$D67,"version code",$E67,"Resource No.",$J$10))</t>
  </si>
  <si>
    <t>=1/L67</t>
  </si>
  <si>
    <t>=M67*I67</t>
  </si>
  <si>
    <t>=M67/60</t>
  </si>
  <si>
    <t>=IF(F68=0,"hide","")</t>
  </si>
  <si>
    <t>=NL(1,"item",G$10,"no.",D68)</t>
  </si>
  <si>
    <t>=NL(1,"item",H$10,"no.",$D68)</t>
  </si>
  <si>
    <t>=NL(1,"Prod. BOM Equipment","Fixed Prod. Time (Hours)","Production BOM No.",$D68,"version code",$E68,"Resource No.",J$10)</t>
  </si>
  <si>
    <t>=1/J68</t>
  </si>
  <si>
    <t>=IF(NL(1,"Prod. BOM Equipment","Variable Prod. Time (Hours)","Production BOM No.",$D68,"version code",$E68,"Resource No.",$J$10)="",1,NL(1,"Prod. BOM Equipment","Variable Prod. Time (Hours)","Production BOM No.",$D68,"version code",$E68,"Resource No.",$J$10))</t>
  </si>
  <si>
    <t>=1/L68</t>
  </si>
  <si>
    <t>=M68*I68</t>
  </si>
  <si>
    <t>=M68/60</t>
  </si>
  <si>
    <t>=IF(F69=0,"hide","")</t>
  </si>
  <si>
    <t>=NL(1,"item",G$10,"no.",D69)</t>
  </si>
  <si>
    <t>=NL(1,"item",H$10,"no.",$D69)</t>
  </si>
  <si>
    <t>=NL(1,"Prod. BOM Equipment","Fixed Prod. Time (Hours)","Production BOM No.",$D69,"version code",$E69,"Resource No.",J$10)</t>
  </si>
  <si>
    <t>=1/J69</t>
  </si>
  <si>
    <t>=IF(NL(1,"Prod. BOM Equipment","Variable Prod. Time (Hours)","Production BOM No.",$D69,"version code",$E69,"Resource No.",$J$10)="",1,NL(1,"Prod. BOM Equipment","Variable Prod. Time (Hours)","Production BOM No.",$D69,"version code",$E69,"Resource No.",$J$10))</t>
  </si>
  <si>
    <t>=1/L69</t>
  </si>
  <si>
    <t>=M69*I69</t>
  </si>
  <si>
    <t>=M69/60</t>
  </si>
  <si>
    <t>=IF(F70=0,"hide","")</t>
  </si>
  <si>
    <t>=NL(1,"item",G$10,"no.",D70)</t>
  </si>
  <si>
    <t>=NL(1,"item",H$10,"no.",$D70)</t>
  </si>
  <si>
    <t>=NL(1,"Prod. BOM Equipment","Fixed Prod. Time (Hours)","Production BOM No.",$D70,"version code",$E70,"Resource No.",J$10)</t>
  </si>
  <si>
    <t>=1/J70</t>
  </si>
  <si>
    <t>=IF(NL(1,"Prod. BOM Equipment","Variable Prod. Time (Hours)","Production BOM No.",$D70,"version code",$E70,"Resource No.",$J$10)="",1,NL(1,"Prod. BOM Equipment","Variable Prod. Time (Hours)","Production BOM No.",$D70,"version code",$E70,"Resource No.",$J$10))</t>
  </si>
  <si>
    <t>=1/L70</t>
  </si>
  <si>
    <t>=M70*I70</t>
  </si>
  <si>
    <t>=M70/60</t>
  </si>
  <si>
    <t>=IF(F71=0,"hide","")</t>
  </si>
  <si>
    <t>=NL(1,"item",G$10,"no.",D71)</t>
  </si>
  <si>
    <t>=NL(1,"item",H$10,"no.",$D71)</t>
  </si>
  <si>
    <t>=NL(1,"Prod. BOM Equipment","Fixed Prod. Time (Hours)","Production BOM No.",$D71,"version code",$E71,"Resource No.",J$10)</t>
  </si>
  <si>
    <t>=1/J71</t>
  </si>
  <si>
    <t>=IF(NL(1,"Prod. BOM Equipment","Variable Prod. Time (Hours)","Production BOM No.",$D71,"version code",$E71,"Resource No.",$J$10)="",1,NL(1,"Prod. BOM Equipment","Variable Prod. Time (Hours)","Production BOM No.",$D71,"version code",$E71,"Resource No.",$J$10))</t>
  </si>
  <si>
    <t>=1/L71</t>
  </si>
  <si>
    <t>=M71*I71</t>
  </si>
  <si>
    <t>=M71/60</t>
  </si>
  <si>
    <t>=IF(F72=0,"hide","")</t>
  </si>
  <si>
    <t>=NL(1,"item",G$10,"no.",D72)</t>
  </si>
  <si>
    <t>=NL(1,"item",H$10,"no.",$D72)</t>
  </si>
  <si>
    <t>=NL(1,"Prod. BOM Equipment","Fixed Prod. Time (Hours)","Production BOM No.",$D72,"version code",$E72,"Resource No.",J$10)</t>
  </si>
  <si>
    <t>=1/J72</t>
  </si>
  <si>
    <t>=IF(NL(1,"Prod. BOM Equipment","Variable Prod. Time (Hours)","Production BOM No.",$D72,"version code",$E72,"Resource No.",$J$10)="",1,NL(1,"Prod. BOM Equipment","Variable Prod. Time (Hours)","Production BOM No.",$D72,"version code",$E72,"Resource No.",$J$10))</t>
  </si>
  <si>
    <t>=1/L72</t>
  </si>
  <si>
    <t>=M72*I72</t>
  </si>
  <si>
    <t>=M72/60</t>
  </si>
  <si>
    <t>=IF(F73=0,"hide","")</t>
  </si>
  <si>
    <t>=NL(1,"item",G$10,"no.",D73)</t>
  </si>
  <si>
    <t>=NL(1,"item",H$10,"no.",$D73)</t>
  </si>
  <si>
    <t>=NL(1,"Prod. BOM Equipment","Fixed Prod. Time (Hours)","Production BOM No.",$D73,"version code",$E73,"Resource No.",J$10)</t>
  </si>
  <si>
    <t>=1/J73</t>
  </si>
  <si>
    <t>=IF(NL(1,"Prod. BOM Equipment","Variable Prod. Time (Hours)","Production BOM No.",$D73,"version code",$E73,"Resource No.",$J$10)="",1,NL(1,"Prod. BOM Equipment","Variable Prod. Time (Hours)","Production BOM No.",$D73,"version code",$E73,"Resource No.",$J$10))</t>
  </si>
  <si>
    <t>=1/L73</t>
  </si>
  <si>
    <t>=M73*I73</t>
  </si>
  <si>
    <t>=M73/60</t>
  </si>
  <si>
    <t>=IF(F74=0,"hide","")</t>
  </si>
  <si>
    <t>=NL(1,"item",G$10,"no.",D74)</t>
  </si>
  <si>
    <t>=NL(1,"item",H$10,"no.",$D74)</t>
  </si>
  <si>
    <t>=NL(1,"Prod. BOM Equipment","Fixed Prod. Time (Hours)","Production BOM No.",$D74,"version code",$E74,"Resource No.",J$10)</t>
  </si>
  <si>
    <t>=1/J74</t>
  </si>
  <si>
    <t>=IF(NL(1,"Prod. BOM Equipment","Variable Prod. Time (Hours)","Production BOM No.",$D74,"version code",$E74,"Resource No.",$J$10)="",1,NL(1,"Prod. BOM Equipment","Variable Prod. Time (Hours)","Production BOM No.",$D74,"version code",$E74,"Resource No.",$J$10))</t>
  </si>
  <si>
    <t>=1/L74</t>
  </si>
  <si>
    <t>=M74*I74</t>
  </si>
  <si>
    <t>=M74/60</t>
  </si>
  <si>
    <t>=IF(F75=0,"hide","")</t>
  </si>
  <si>
    <t>=NL(1,"item",G$10,"no.",D75)</t>
  </si>
  <si>
    <t>=NL(1,"item",H$10,"no.",$D75)</t>
  </si>
  <si>
    <t>=NL(1,"Prod. BOM Equipment","Fixed Prod. Time (Hours)","Production BOM No.",$D75,"version code",$E75,"Resource No.",J$10)</t>
  </si>
  <si>
    <t>=1/J75</t>
  </si>
  <si>
    <t>=IF(NL(1,"Prod. BOM Equipment","Variable Prod. Time (Hours)","Production BOM No.",$D75,"version code",$E75,"Resource No.",$J$10)="",1,NL(1,"Prod. BOM Equipment","Variable Prod. Time (Hours)","Production BOM No.",$D75,"version code",$E75,"Resource No.",$J$10))</t>
  </si>
  <si>
    <t>=1/L75</t>
  </si>
  <si>
    <t>=M75*I75</t>
  </si>
  <si>
    <t>=M75/60</t>
  </si>
  <si>
    <t>=IF(F76=0,"hide","")</t>
  </si>
  <si>
    <t>=NL(1,"item",G$10,"no.",D76)</t>
  </si>
  <si>
    <t>=NL(1,"item",H$10,"no.",$D76)</t>
  </si>
  <si>
    <t>=NL(1,"Prod. BOM Equipment","Fixed Prod. Time (Hours)","Production BOM No.",$D76,"version code",$E76,"Resource No.",J$10)</t>
  </si>
  <si>
    <t>=1/J76</t>
  </si>
  <si>
    <t>=IF(NL(1,"Prod. BOM Equipment","Variable Prod. Time (Hours)","Production BOM No.",$D76,"version code",$E76,"Resource No.",$J$10)="",1,NL(1,"Prod. BOM Equipment","Variable Prod. Time (Hours)","Production BOM No.",$D76,"version code",$E76,"Resource No.",$J$10))</t>
  </si>
  <si>
    <t>=1/L76</t>
  </si>
  <si>
    <t>=M76*I76</t>
  </si>
  <si>
    <t>=M76/60</t>
  </si>
  <si>
    <t>=IF(F77=0,"hide","")</t>
  </si>
  <si>
    <t>=NL(1,"item",G$10,"no.",D77)</t>
  </si>
  <si>
    <t>=NL(1,"item",H$10,"no.",$D77)</t>
  </si>
  <si>
    <t>=NL(1,"Prod. BOM Equipment","Fixed Prod. Time (Hours)","Production BOM No.",$D77,"version code",$E77,"Resource No.",J$10)</t>
  </si>
  <si>
    <t>=1/J77</t>
  </si>
  <si>
    <t>=IF(NL(1,"Prod. BOM Equipment","Variable Prod. Time (Hours)","Production BOM No.",$D77,"version code",$E77,"Resource No.",$J$10)="",1,NL(1,"Prod. BOM Equipment","Variable Prod. Time (Hours)","Production BOM No.",$D77,"version code",$E77,"Resource No.",$J$10))</t>
  </si>
  <si>
    <t>=1/L77</t>
  </si>
  <si>
    <t>=M77*I77</t>
  </si>
  <si>
    <t>=M77/60</t>
  </si>
  <si>
    <t>=IF(F78=0,"hide","")</t>
  </si>
  <si>
    <t>=NL(1,"item",G$10,"no.",D78)</t>
  </si>
  <si>
    <t>=NL(1,"item",H$10,"no.",$D78)</t>
  </si>
  <si>
    <t>=NL(1,"Prod. BOM Equipment","Fixed Prod. Time (Hours)","Production BOM No.",$D78,"version code",$E78,"Resource No.",J$10)</t>
  </si>
  <si>
    <t>=1/J78</t>
  </si>
  <si>
    <t>=IF(NL(1,"Prod. BOM Equipment","Variable Prod. Time (Hours)","Production BOM No.",$D78,"version code",$E78,"Resource No.",$J$10)="",1,NL(1,"Prod. BOM Equipment","Variable Prod. Time (Hours)","Production BOM No.",$D78,"version code",$E78,"Resource No.",$J$10))</t>
  </si>
  <si>
    <t>=1/L78</t>
  </si>
  <si>
    <t>=M78*I78</t>
  </si>
  <si>
    <t>=M78/60</t>
  </si>
  <si>
    <t>=IF(F79=0,"hide","")</t>
  </si>
  <si>
    <t>=NL(1,"item",G$10,"no.",D79)</t>
  </si>
  <si>
    <t>=NL(1,"item",H$10,"no.",$D79)</t>
  </si>
  <si>
    <t>=NL(1,"Prod. BOM Equipment","Fixed Prod. Time (Hours)","Production BOM No.",$D79,"version code",$E79,"Resource No.",J$10)</t>
  </si>
  <si>
    <t>=1/J79</t>
  </si>
  <si>
    <t>=IF(NL(1,"Prod. BOM Equipment","Variable Prod. Time (Hours)","Production BOM No.",$D79,"version code",$E79,"Resource No.",$J$10)="",1,NL(1,"Prod. BOM Equipment","Variable Prod. Time (Hours)","Production BOM No.",$D79,"version code",$E79,"Resource No.",$J$10))</t>
  </si>
  <si>
    <t>=1/L79</t>
  </si>
  <si>
    <t>=M79*I79</t>
  </si>
  <si>
    <t>=M79/60</t>
  </si>
  <si>
    <t>=IF(F80=0,"hide","")</t>
  </si>
  <si>
    <t>=NL(1,"item",G$10,"no.",D80)</t>
  </si>
  <si>
    <t>=NL(1,"item",H$10,"no.",$D80)</t>
  </si>
  <si>
    <t>=NL(1,"Prod. BOM Equipment","Fixed Prod. Time (Hours)","Production BOM No.",$D80,"version code",$E80,"Resource No.",J$10)</t>
  </si>
  <si>
    <t>=1/J80</t>
  </si>
  <si>
    <t>=IF(NL(1,"Prod. BOM Equipment","Variable Prod. Time (Hours)","Production BOM No.",$D80,"version code",$E80,"Resource No.",$J$10)="",1,NL(1,"Prod. BOM Equipment","Variable Prod. Time (Hours)","Production BOM No.",$D80,"version code",$E80,"Resource No.",$J$10))</t>
  </si>
  <si>
    <t>=1/L80</t>
  </si>
  <si>
    <t>=M80*I80</t>
  </si>
  <si>
    <t>=M80/60</t>
  </si>
  <si>
    <t>=IF(F81=0,"hide","")</t>
  </si>
  <si>
    <t>=NL(1,"item",G$10,"no.",D81)</t>
  </si>
  <si>
    <t>=NL(1,"item",H$10,"no.",$D81)</t>
  </si>
  <si>
    <t>=NL(1,"Prod. BOM Equipment","Fixed Prod. Time (Hours)","Production BOM No.",$D81,"version code",$E81,"Resource No.",J$10)</t>
  </si>
  <si>
    <t>=1/J81</t>
  </si>
  <si>
    <t>=IF(NL(1,"Prod. BOM Equipment","Variable Prod. Time (Hours)","Production BOM No.",$D81,"version code",$E81,"Resource No.",$J$10)="",1,NL(1,"Prod. BOM Equipment","Variable Prod. Time (Hours)","Production BOM No.",$D81,"version code",$E81,"Resource No.",$J$10))</t>
  </si>
  <si>
    <t>=1/L81</t>
  </si>
  <si>
    <t>=M81*I81</t>
  </si>
  <si>
    <t>=M81/60</t>
  </si>
  <si>
    <t>=IF(F82=0,"hide","")</t>
  </si>
  <si>
    <t>=NL(1,"item",G$10,"no.",D82)</t>
  </si>
  <si>
    <t>=NL(1,"item",H$10,"no.",$D82)</t>
  </si>
  <si>
    <t>=NL(1,"Prod. BOM Equipment","Fixed Prod. Time (Hours)","Production BOM No.",$D82,"version code",$E82,"Resource No.",J$10)</t>
  </si>
  <si>
    <t>=1/J82</t>
  </si>
  <si>
    <t>=IF(NL(1,"Prod. BOM Equipment","Variable Prod. Time (Hours)","Production BOM No.",$D82,"version code",$E82,"Resource No.",$J$10)="",1,NL(1,"Prod. BOM Equipment","Variable Prod. Time (Hours)","Production BOM No.",$D82,"version code",$E82,"Resource No.",$J$10))</t>
  </si>
  <si>
    <t>=1/L82</t>
  </si>
  <si>
    <t>=M82*I82</t>
  </si>
  <si>
    <t>=M82/60</t>
  </si>
  <si>
    <t>=IF(F83=0,"hide","")</t>
  </si>
  <si>
    <t>=NL(1,"item",G$10,"no.",D83)</t>
  </si>
  <si>
    <t>=NL(1,"item",H$10,"no.",$D83)</t>
  </si>
  <si>
    <t>=NL(1,"Prod. BOM Equipment","Fixed Prod. Time (Hours)","Production BOM No.",$D83,"version code",$E83,"Resource No.",J$10)</t>
  </si>
  <si>
    <t>=1/J83</t>
  </si>
  <si>
    <t>=IF(NL(1,"Prod. BOM Equipment","Variable Prod. Time (Hours)","Production BOM No.",$D83,"version code",$E83,"Resource No.",$J$10)="",1,NL(1,"Prod. BOM Equipment","Variable Prod. Time (Hours)","Production BOM No.",$D83,"version code",$E83,"Resource No.",$J$10))</t>
  </si>
  <si>
    <t>=1/L83</t>
  </si>
  <si>
    <t>=M83*I83</t>
  </si>
  <si>
    <t>=M83/60</t>
  </si>
  <si>
    <t>=IF(F84=0,"hide","")</t>
  </si>
  <si>
    <t>=NL(1,"item",G$10,"no.",D84)</t>
  </si>
  <si>
    <t>=NL(1,"item",H$10,"no.",$D84)</t>
  </si>
  <si>
    <t>=NL(1,"Prod. BOM Equipment","Fixed Prod. Time (Hours)","Production BOM No.",$D84,"version code",$E84,"Resource No.",J$10)</t>
  </si>
  <si>
    <t>=1/J84</t>
  </si>
  <si>
    <t>=IF(NL(1,"Prod. BOM Equipment","Variable Prod. Time (Hours)","Production BOM No.",$D84,"version code",$E84,"Resource No.",$J$10)="",1,NL(1,"Prod. BOM Equipment","Variable Prod. Time (Hours)","Production BOM No.",$D84,"version code",$E84,"Resource No.",$J$10))</t>
  </si>
  <si>
    <t>=1/L84</t>
  </si>
  <si>
    <t>=M84*I84</t>
  </si>
  <si>
    <t>=M84/60</t>
  </si>
  <si>
    <t>=IF(F85=0,"hide","")</t>
  </si>
  <si>
    <t>=NL(1,"item",G$10,"no.",D85)</t>
  </si>
  <si>
    <t>=NL(1,"item",H$10,"no.",$D85)</t>
  </si>
  <si>
    <t>=NL(1,"Prod. BOM Equipment","Fixed Prod. Time (Hours)","Production BOM No.",$D85,"version code",$E85,"Resource No.",J$10)</t>
  </si>
  <si>
    <t>=1/J85</t>
  </si>
  <si>
    <t>=IF(NL(1,"Prod. BOM Equipment","Variable Prod. Time (Hours)","Production BOM No.",$D85,"version code",$E85,"Resource No.",$J$10)="",1,NL(1,"Prod. BOM Equipment","Variable Prod. Time (Hours)","Production BOM No.",$D85,"version code",$E85,"Resource No.",$J$10))</t>
  </si>
  <si>
    <t>=1/L85</t>
  </si>
  <si>
    <t>=M85*I85</t>
  </si>
  <si>
    <t>=M85/60</t>
  </si>
  <si>
    <t>=IF(F86=0,"hide","")</t>
  </si>
  <si>
    <t>=NL(1,"item",G$10,"no.",D86)</t>
  </si>
  <si>
    <t>=NL(1,"item",H$10,"no.",$D86)</t>
  </si>
  <si>
    <t>=NL(1,"Prod. BOM Equipment","Fixed Prod. Time (Hours)","Production BOM No.",$D86,"version code",$E86,"Resource No.",J$10)</t>
  </si>
  <si>
    <t>=1/J86</t>
  </si>
  <si>
    <t>=IF(NL(1,"Prod. BOM Equipment","Variable Prod. Time (Hours)","Production BOM No.",$D86,"version code",$E86,"Resource No.",$J$10)="",1,NL(1,"Prod. BOM Equipment","Variable Prod. Time (Hours)","Production BOM No.",$D86,"version code",$E86,"Resource No.",$J$10))</t>
  </si>
  <si>
    <t>=1/L86</t>
  </si>
  <si>
    <t>=M86*I86</t>
  </si>
  <si>
    <t>=M86/60</t>
  </si>
  <si>
    <t>=IF(F87=0,"hide","")</t>
  </si>
  <si>
    <t>=NL(1,"item",G$10,"no.",D87)</t>
  </si>
  <si>
    <t>=NL(1,"item",H$10,"no.",$D87)</t>
  </si>
  <si>
    <t>=NL(1,"Prod. BOM Equipment","Fixed Prod. Time (Hours)","Production BOM No.",$D87,"version code",$E87,"Resource No.",J$10)</t>
  </si>
  <si>
    <t>=1/J87</t>
  </si>
  <si>
    <t>=IF(NL(1,"Prod. BOM Equipment","Variable Prod. Time (Hours)","Production BOM No.",$D87,"version code",$E87,"Resource No.",$J$10)="",1,NL(1,"Prod. BOM Equipment","Variable Prod. Time (Hours)","Production BOM No.",$D87,"version code",$E87,"Resource No.",$J$10))</t>
  </si>
  <si>
    <t>=1/L87</t>
  </si>
  <si>
    <t>=M87*I87</t>
  </si>
  <si>
    <t>=M87/60</t>
  </si>
  <si>
    <t>=IF(F88=0,"hide","")</t>
  </si>
  <si>
    <t>=NL(1,"item",G$10,"no.",D88)</t>
  </si>
  <si>
    <t>=NL(1,"item",H$10,"no.",$D88)</t>
  </si>
  <si>
    <t>=NL(1,"Prod. BOM Equipment","Fixed Prod. Time (Hours)","Production BOM No.",$D88,"version code",$E88,"Resource No.",J$10)</t>
  </si>
  <si>
    <t>=1/J88</t>
  </si>
  <si>
    <t>=IF(NL(1,"Prod. BOM Equipment","Variable Prod. Time (Hours)","Production BOM No.",$D88,"version code",$E88,"Resource No.",$J$10)="",1,NL(1,"Prod. BOM Equipment","Variable Prod. Time (Hours)","Production BOM No.",$D88,"version code",$E88,"Resource No.",$J$10))</t>
  </si>
  <si>
    <t>=1/L88</t>
  </si>
  <si>
    <t>=M88*I88</t>
  </si>
  <si>
    <t>=M88/60</t>
  </si>
  <si>
    <t>=IF(F89=0,"hide","")</t>
  </si>
  <si>
    <t>=NL(1,"item",G$10,"no.",D89)</t>
  </si>
  <si>
    <t>=NL(1,"item",H$10,"no.",$D89)</t>
  </si>
  <si>
    <t>=NL(1,"Prod. BOM Equipment","Fixed Prod. Time (Hours)","Production BOM No.",$D89,"version code",$E89,"Resource No.",J$10)</t>
  </si>
  <si>
    <t>=1/J89</t>
  </si>
  <si>
    <t>=IF(NL(1,"Prod. BOM Equipment","Variable Prod. Time (Hours)","Production BOM No.",$D89,"version code",$E89,"Resource No.",$J$10)="",1,NL(1,"Prod. BOM Equipment","Variable Prod. Time (Hours)","Production BOM No.",$D89,"version code",$E89,"Resource No.",$J$10))</t>
  </si>
  <si>
    <t>=1/L89</t>
  </si>
  <si>
    <t>=M89*I89</t>
  </si>
  <si>
    <t>=M89/60</t>
  </si>
  <si>
    <t>=IF(F90=0,"hide","")</t>
  </si>
  <si>
    <t>=NL(1,"item",G$10,"no.",D90)</t>
  </si>
  <si>
    <t>=NL(1,"item",H$10,"no.",$D90)</t>
  </si>
  <si>
    <t>=NL(1,"Prod. BOM Equipment","Fixed Prod. Time (Hours)","Production BOM No.",$D90,"version code",$E90,"Resource No.",J$10)</t>
  </si>
  <si>
    <t>=1/J90</t>
  </si>
  <si>
    <t>=IF(NL(1,"Prod. BOM Equipment","Variable Prod. Time (Hours)","Production BOM No.",$D90,"version code",$E90,"Resource No.",$J$10)="",1,NL(1,"Prod. BOM Equipment","Variable Prod. Time (Hours)","Production BOM No.",$D90,"version code",$E90,"Resource No.",$J$10))</t>
  </si>
  <si>
    <t>=1/L90</t>
  </si>
  <si>
    <t>=M90*I90</t>
  </si>
  <si>
    <t>=M90/60</t>
  </si>
  <si>
    <t>=IF(F91=0,"hide","")</t>
  </si>
  <si>
    <t>=NL(1,"item",G$10,"no.",D91)</t>
  </si>
  <si>
    <t>=NL(1,"item",H$10,"no.",$D91)</t>
  </si>
  <si>
    <t>=NL(1,"Prod. BOM Equipment","Fixed Prod. Time (Hours)","Production BOM No.",$D91,"version code",$E91,"Resource No.",J$10)</t>
  </si>
  <si>
    <t>=1/J91</t>
  </si>
  <si>
    <t>=IF(NL(1,"Prod. BOM Equipment","Variable Prod. Time (Hours)","Production BOM No.",$D91,"version code",$E91,"Resource No.",$J$10)="",1,NL(1,"Prod. BOM Equipment","Variable Prod. Time (Hours)","Production BOM No.",$D91,"version code",$E91,"Resource No.",$J$10))</t>
  </si>
  <si>
    <t>=1/L91</t>
  </si>
  <si>
    <t>=M91*I91</t>
  </si>
  <si>
    <t>=M91/60</t>
  </si>
  <si>
    <t>=IF(F92=0,"hide","")</t>
  </si>
  <si>
    <t>=NL(1,"item",G$10,"no.",D92)</t>
  </si>
  <si>
    <t>=NL(1,"item",H$10,"no.",$D92)</t>
  </si>
  <si>
    <t>=NL(1,"Prod. BOM Equipment","Fixed Prod. Time (Hours)","Production BOM No.",$D92,"version code",$E92,"Resource No.",J$10)</t>
  </si>
  <si>
    <t>=1/J92</t>
  </si>
  <si>
    <t>=IF(NL(1,"Prod. BOM Equipment","Variable Prod. Time (Hours)","Production BOM No.",$D92,"version code",$E92,"Resource No.",$J$10)="",1,NL(1,"Prod. BOM Equipment","Variable Prod. Time (Hours)","Production BOM No.",$D92,"version code",$E92,"Resource No.",$J$10))</t>
  </si>
  <si>
    <t>=1/L92</t>
  </si>
  <si>
    <t>=M92*I92</t>
  </si>
  <si>
    <t>=M92/60</t>
  </si>
  <si>
    <t>=IF(F93=0,"hide","")</t>
  </si>
  <si>
    <t>=NL(1,"item",G$10,"no.",D93)</t>
  </si>
  <si>
    <t>=NL(1,"item",H$10,"no.",$D93)</t>
  </si>
  <si>
    <t>=NL(1,"Prod. BOM Equipment","Fixed Prod. Time (Hours)","Production BOM No.",$D93,"version code",$E93,"Resource No.",J$10)</t>
  </si>
  <si>
    <t>=1/J93</t>
  </si>
  <si>
    <t>=IF(NL(1,"Prod. BOM Equipment","Variable Prod. Time (Hours)","Production BOM No.",$D93,"version code",$E93,"Resource No.",$J$10)="",1,NL(1,"Prod. BOM Equipment","Variable Prod. Time (Hours)","Production BOM No.",$D93,"version code",$E93,"Resource No.",$J$10))</t>
  </si>
  <si>
    <t>=1/L93</t>
  </si>
  <si>
    <t>=M93*I93</t>
  </si>
  <si>
    <t>=M93/60</t>
  </si>
  <si>
    <t>=IF(F94=0,"hide","")</t>
  </si>
  <si>
    <t>=NL(1,"item",G$10,"no.",D94)</t>
  </si>
  <si>
    <t>=NL(1,"item",H$10,"no.",$D94)</t>
  </si>
  <si>
    <t>=NL(1,"Prod. BOM Equipment","Fixed Prod. Time (Hours)","Production BOM No.",$D94,"version code",$E94,"Resource No.",J$10)</t>
  </si>
  <si>
    <t>=1/J94</t>
  </si>
  <si>
    <t>=IF(NL(1,"Prod. BOM Equipment","Variable Prod. Time (Hours)","Production BOM No.",$D94,"version code",$E94,"Resource No.",$J$10)="",1,NL(1,"Prod. BOM Equipment","Variable Prod. Time (Hours)","Production BOM No.",$D94,"version code",$E94,"Resource No.",$J$10))</t>
  </si>
  <si>
    <t>=1/L94</t>
  </si>
  <si>
    <t>=M94*I94</t>
  </si>
  <si>
    <t>=M94/60</t>
  </si>
  <si>
    <t>=IF(F95=0,"hide","")</t>
  </si>
  <si>
    <t>=NL(1,"item",G$10,"no.",D95)</t>
  </si>
  <si>
    <t>=NL(1,"item",H$10,"no.",$D95)</t>
  </si>
  <si>
    <t>=NL(1,"Prod. BOM Equipment","Fixed Prod. Time (Hours)","Production BOM No.",$D95,"version code",$E95,"Resource No.",J$10)</t>
  </si>
  <si>
    <t>=1/J95</t>
  </si>
  <si>
    <t>=IF(NL(1,"Prod. BOM Equipment","Variable Prod. Time (Hours)","Production BOM No.",$D95,"version code",$E95,"Resource No.",$J$10)="",1,NL(1,"Prod. BOM Equipment","Variable Prod. Time (Hours)","Production BOM No.",$D95,"version code",$E95,"Resource No.",$J$10))</t>
  </si>
  <si>
    <t>=1/L95</t>
  </si>
  <si>
    <t>=M95*I95</t>
  </si>
  <si>
    <t>=M95/60</t>
  </si>
  <si>
    <t>=IF(F96=0,"hide","")</t>
  </si>
  <si>
    <t>=NL(1,"item",G$10,"no.",D96)</t>
  </si>
  <si>
    <t>=NL(1,"item",H$10,"no.",$D96)</t>
  </si>
  <si>
    <t>=NL(1,"Prod. BOM Equipment","Fixed Prod. Time (Hours)","Production BOM No.",$D96,"version code",$E96,"Resource No.",J$10)</t>
  </si>
  <si>
    <t>=1/J96</t>
  </si>
  <si>
    <t>=IF(NL(1,"Prod. BOM Equipment","Variable Prod. Time (Hours)","Production BOM No.",$D96,"version code",$E96,"Resource No.",$J$10)="",1,NL(1,"Prod. BOM Equipment","Variable Prod. Time (Hours)","Production BOM No.",$D96,"version code",$E96,"Resource No.",$J$10))</t>
  </si>
  <si>
    <t>=1/L96</t>
  </si>
  <si>
    <t>=M96*I96</t>
  </si>
  <si>
    <t>=M96/60</t>
  </si>
  <si>
    <t>=IF(F97=0,"hide","")</t>
  </si>
  <si>
    <t>=NL(1,"item",G$10,"no.",D97)</t>
  </si>
  <si>
    <t>=NL(1,"item",H$10,"no.",$D97)</t>
  </si>
  <si>
    <t>=NL(1,"Prod. BOM Equipment","Fixed Prod. Time (Hours)","Production BOM No.",$D97,"version code",$E97,"Resource No.",J$10)</t>
  </si>
  <si>
    <t>=1/J97</t>
  </si>
  <si>
    <t>=IF(NL(1,"Prod. BOM Equipment","Variable Prod. Time (Hours)","Production BOM No.",$D97,"version code",$E97,"Resource No.",$J$10)="",1,NL(1,"Prod. BOM Equipment","Variable Prod. Time (Hours)","Production BOM No.",$D97,"version code",$E97,"Resource No.",$J$10))</t>
  </si>
  <si>
    <t>=1/L97</t>
  </si>
  <si>
    <t>=M97*I97</t>
  </si>
  <si>
    <t>=M97/60</t>
  </si>
  <si>
    <t>=IF(F98=0,"hide","")</t>
  </si>
  <si>
    <t>=NL(1,"item",G$10,"no.",D98)</t>
  </si>
  <si>
    <t>=NL(1,"item",H$10,"no.",$D98)</t>
  </si>
  <si>
    <t>=NL(1,"Prod. BOM Equipment","Fixed Prod. Time (Hours)","Production BOM No.",$D98,"version code",$E98,"Resource No.",J$10)</t>
  </si>
  <si>
    <t>=1/J98</t>
  </si>
  <si>
    <t>=IF(NL(1,"Prod. BOM Equipment","Variable Prod. Time (Hours)","Production BOM No.",$D98,"version code",$E98,"Resource No.",$J$10)="",1,NL(1,"Prod. BOM Equipment","Variable Prod. Time (Hours)","Production BOM No.",$D98,"version code",$E98,"Resource No.",$J$10))</t>
  </si>
  <si>
    <t>=1/L98</t>
  </si>
  <si>
    <t>=M98*I98</t>
  </si>
  <si>
    <t>=M98/60</t>
  </si>
  <si>
    <t>=IF(F99=0,"hide","")</t>
  </si>
  <si>
    <t>=NL(1,"item",G$10,"no.",D99)</t>
  </si>
  <si>
    <t>=NL(1,"item",H$10,"no.",$D99)</t>
  </si>
  <si>
    <t>=NL(1,"Prod. BOM Equipment","Fixed Prod. Time (Hours)","Production BOM No.",$D99,"version code",$E99,"Resource No.",J$10)</t>
  </si>
  <si>
    <t>=1/J99</t>
  </si>
  <si>
    <t>=IF(NL(1,"Prod. BOM Equipment","Variable Prod. Time (Hours)","Production BOM No.",$D99,"version code",$E99,"Resource No.",$J$10)="",1,NL(1,"Prod. BOM Equipment","Variable Prod. Time (Hours)","Production BOM No.",$D99,"version code",$E99,"Resource No.",$J$10))</t>
  </si>
  <si>
    <t>=1/L99</t>
  </si>
  <si>
    <t>=M99*I99</t>
  </si>
  <si>
    <t>=M99/60</t>
  </si>
  <si>
    <t>=IF(F100=0,"hide","")</t>
  </si>
  <si>
    <t>=NL(1,"item",G$10,"no.",D100)</t>
  </si>
  <si>
    <t>=NL(1,"item",H$10,"no.",$D100)</t>
  </si>
  <si>
    <t>=NL(1,"Prod. BOM Equipment","Fixed Prod. Time (Hours)","Production BOM No.",$D100,"version code",$E100,"Resource No.",J$10)</t>
  </si>
  <si>
    <t>=1/J100</t>
  </si>
  <si>
    <t>=IF(NL(1,"Prod. BOM Equipment","Variable Prod. Time (Hours)","Production BOM No.",$D100,"version code",$E100,"Resource No.",$J$10)="",1,NL(1,"Prod. BOM Equipment","Variable Prod. Time (Hours)","Production BOM No.",$D100,"version code",$E100,"Resource No.",$J$10))</t>
  </si>
  <si>
    <t>=1/L100</t>
  </si>
  <si>
    <t>=M100*I100</t>
  </si>
  <si>
    <t>=M100/60</t>
  </si>
  <si>
    <t>=IF(F101=0,"hide","")</t>
  </si>
  <si>
    <t>=NL(1,"item",G$10,"no.",D101)</t>
  </si>
  <si>
    <t>=NL(1,"item",H$10,"no.",$D101)</t>
  </si>
  <si>
    <t>=NL(1,"Prod. BOM Equipment","Fixed Prod. Time (Hours)","Production BOM No.",$D101,"version code",$E101,"Resource No.",J$10)</t>
  </si>
  <si>
    <t>=1/J101</t>
  </si>
  <si>
    <t>=IF(NL(1,"Prod. BOM Equipment","Variable Prod. Time (Hours)","Production BOM No.",$D101,"version code",$E101,"Resource No.",$J$10)="",1,NL(1,"Prod. BOM Equipment","Variable Prod. Time (Hours)","Production BOM No.",$D101,"version code",$E101,"Resource No.",$J$10))</t>
  </si>
  <si>
    <t>=1/L101</t>
  </si>
  <si>
    <t>=M101*I101</t>
  </si>
  <si>
    <t>=M101/60</t>
  </si>
  <si>
    <t>=IF(F102=0,"hide","")</t>
  </si>
  <si>
    <t>=NL(1,"item",G$10,"no.",D102)</t>
  </si>
  <si>
    <t>=NL(1,"item",H$10,"no.",$D102)</t>
  </si>
  <si>
    <t>=NL(1,"Prod. BOM Equipment","Fixed Prod. Time (Hours)","Production BOM No.",$D102,"version code",$E102,"Resource No.",J$10)</t>
  </si>
  <si>
    <t>=1/J102</t>
  </si>
  <si>
    <t>=IF(NL(1,"Prod. BOM Equipment","Variable Prod. Time (Hours)","Production BOM No.",$D102,"version code",$E102,"Resource No.",$J$10)="",1,NL(1,"Prod. BOM Equipment","Variable Prod. Time (Hours)","Production BOM No.",$D102,"version code",$E102,"Resource No.",$J$10))</t>
  </si>
  <si>
    <t>=1/L102</t>
  </si>
  <si>
    <t>=M102*I102</t>
  </si>
  <si>
    <t>=M102/60</t>
  </si>
  <si>
    <t>=IF(F103=0,"hide","")</t>
  </si>
  <si>
    <t>=NL(1,"item",G$10,"no.",D103)</t>
  </si>
  <si>
    <t>=NL(1,"item",H$10,"no.",$D103)</t>
  </si>
  <si>
    <t>=NL(1,"Prod. BOM Equipment","Fixed Prod. Time (Hours)","Production BOM No.",$D103,"version code",$E103,"Resource No.",J$10)</t>
  </si>
  <si>
    <t>=1/J103</t>
  </si>
  <si>
    <t>=IF(NL(1,"Prod. BOM Equipment","Variable Prod. Time (Hours)","Production BOM No.",$D103,"version code",$E103,"Resource No.",$J$10)="",1,NL(1,"Prod. BOM Equipment","Variable Prod. Time (Hours)","Production BOM No.",$D103,"version code",$E103,"Resource No.",$J$10))</t>
  </si>
  <si>
    <t>=1/L103</t>
  </si>
  <si>
    <t>=M103*I103</t>
  </si>
  <si>
    <t>=M103/60</t>
  </si>
  <si>
    <t>=IF(F104=0,"hide","")</t>
  </si>
  <si>
    <t>=NL(1,"item",G$10,"no.",D104)</t>
  </si>
  <si>
    <t>=NL(1,"item",H$10,"no.",$D104)</t>
  </si>
  <si>
    <t>=NL(1,"Prod. BOM Equipment","Fixed Prod. Time (Hours)","Production BOM No.",$D104,"version code",$E104,"Resource No.",J$10)</t>
  </si>
  <si>
    <t>=1/J104</t>
  </si>
  <si>
    <t>=IF(NL(1,"Prod. BOM Equipment","Variable Prod. Time (Hours)","Production BOM No.",$D104,"version code",$E104,"Resource No.",$J$10)="",1,NL(1,"Prod. BOM Equipment","Variable Prod. Time (Hours)","Production BOM No.",$D104,"version code",$E104,"Resource No.",$J$10))</t>
  </si>
  <si>
    <t>=1/L104</t>
  </si>
  <si>
    <t>=M104*I104</t>
  </si>
  <si>
    <t>=M104/60</t>
  </si>
  <si>
    <t>=IF(F105=0,"hide","")</t>
  </si>
  <si>
    <t>=NL(1,"item",G$10,"no.",D105)</t>
  </si>
  <si>
    <t>=NL(1,"item",H$10,"no.",$D105)</t>
  </si>
  <si>
    <t>=NL(1,"Prod. BOM Equipment","Fixed Prod. Time (Hours)","Production BOM No.",$D105,"version code",$E105,"Resource No.",J$10)</t>
  </si>
  <si>
    <t>=1/J105</t>
  </si>
  <si>
    <t>=IF(NL(1,"Prod. BOM Equipment","Variable Prod. Time (Hours)","Production BOM No.",$D105,"version code",$E105,"Resource No.",$J$10)="",1,NL(1,"Prod. BOM Equipment","Variable Prod. Time (Hours)","Production BOM No.",$D105,"version code",$E105,"Resource No.",$J$10))</t>
  </si>
  <si>
    <t>=1/L105</t>
  </si>
  <si>
    <t>=M105*I105</t>
  </si>
  <si>
    <t>=M105/60</t>
  </si>
  <si>
    <t>=IF(F106=0,"hide","")</t>
  </si>
  <si>
    <t>=NL(1,"item",G$10,"no.",D106)</t>
  </si>
  <si>
    <t>=NL(1,"item",H$10,"no.",$D106)</t>
  </si>
  <si>
    <t>=NL(1,"Prod. BOM Equipment","Fixed Prod. Time (Hours)","Production BOM No.",$D106,"version code",$E106,"Resource No.",J$10)</t>
  </si>
  <si>
    <t>=1/J106</t>
  </si>
  <si>
    <t>=IF(NL(1,"Prod. BOM Equipment","Variable Prod. Time (Hours)","Production BOM No.",$D106,"version code",$E106,"Resource No.",$J$10)="",1,NL(1,"Prod. BOM Equipment","Variable Prod. Time (Hours)","Production BOM No.",$D106,"version code",$E106,"Resource No.",$J$10))</t>
  </si>
  <si>
    <t>=1/L106</t>
  </si>
  <si>
    <t>=M106*I106</t>
  </si>
  <si>
    <t>=M106/60</t>
  </si>
  <si>
    <t>=IF(F107=0,"hide","")</t>
  </si>
  <si>
    <t>=NL(1,"item",G$10,"no.",D107)</t>
  </si>
  <si>
    <t>=NL(1,"item",H$10,"no.",$D107)</t>
  </si>
  <si>
    <t>=NL(1,"Prod. BOM Equipment","Fixed Prod. Time (Hours)","Production BOM No.",$D107,"version code",$E107,"Resource No.",J$10)</t>
  </si>
  <si>
    <t>=1/J107</t>
  </si>
  <si>
    <t>=IF(NL(1,"Prod. BOM Equipment","Variable Prod. Time (Hours)","Production BOM No.",$D107,"version code",$E107,"Resource No.",$J$10)="",1,NL(1,"Prod. BOM Equipment","Variable Prod. Time (Hours)","Production BOM No.",$D107,"version code",$E107,"Resource No.",$J$10))</t>
  </si>
  <si>
    <t>=1/L107</t>
  </si>
  <si>
    <t>=M107*I107</t>
  </si>
  <si>
    <t>=M107/60</t>
  </si>
  <si>
    <t>=IF(F108=0,"hide","")</t>
  </si>
  <si>
    <t>=NL(1,"item",G$10,"no.",D108)</t>
  </si>
  <si>
    <t>=NL(1,"item",H$10,"no.",$D108)</t>
  </si>
  <si>
    <t>=NL(1,"Prod. BOM Equipment","Fixed Prod. Time (Hours)","Production BOM No.",$D108,"version code",$E108,"Resource No.",J$10)</t>
  </si>
  <si>
    <t>=1/J108</t>
  </si>
  <si>
    <t>=IF(NL(1,"Prod. BOM Equipment","Variable Prod. Time (Hours)","Production BOM No.",$D108,"version code",$E108,"Resource No.",$J$10)="",1,NL(1,"Prod. BOM Equipment","Variable Prod. Time (Hours)","Production BOM No.",$D108,"version code",$E108,"Resource No.",$J$10))</t>
  </si>
  <si>
    <t>=1/L108</t>
  </si>
  <si>
    <t>=M108*I108</t>
  </si>
  <si>
    <t>=M108/60</t>
  </si>
  <si>
    <t>=IF(F109=0,"hide","")</t>
  </si>
  <si>
    <t>=NL(1,"item",G$10,"no.",D109)</t>
  </si>
  <si>
    <t>=NL(1,"item",H$10,"no.",$D109)</t>
  </si>
  <si>
    <t>=NL(1,"Prod. BOM Equipment","Fixed Prod. Time (Hours)","Production BOM No.",$D109,"version code",$E109,"Resource No.",J$10)</t>
  </si>
  <si>
    <t>=1/J109</t>
  </si>
  <si>
    <t>=IF(NL(1,"Prod. BOM Equipment","Variable Prod. Time (Hours)","Production BOM No.",$D109,"version code",$E109,"Resource No.",$J$10)="",1,NL(1,"Prod. BOM Equipment","Variable Prod. Time (Hours)","Production BOM No.",$D109,"version code",$E109,"Resource No.",$J$10))</t>
  </si>
  <si>
    <t>=1/L109</t>
  </si>
  <si>
    <t>=M109*I109</t>
  </si>
  <si>
    <t>=M109/60</t>
  </si>
  <si>
    <t>=IF(F110=0,"hide","")</t>
  </si>
  <si>
    <t>=NL(1,"item",G$10,"no.",D110)</t>
  </si>
  <si>
    <t>=NL(1,"item",H$10,"no.",$D110)</t>
  </si>
  <si>
    <t>=NL(1,"Prod. BOM Equipment","Fixed Prod. Time (Hours)","Production BOM No.",$D110,"version code",$E110,"Resource No.",J$10)</t>
  </si>
  <si>
    <t>=1/J110</t>
  </si>
  <si>
    <t>=IF(NL(1,"Prod. BOM Equipment","Variable Prod. Time (Hours)","Production BOM No.",$D110,"version code",$E110,"Resource No.",$J$10)="",1,NL(1,"Prod. BOM Equipment","Variable Prod. Time (Hours)","Production BOM No.",$D110,"version code",$E110,"Resource No.",$J$10))</t>
  </si>
  <si>
    <t>=1/L110</t>
  </si>
  <si>
    <t>=M110*I110</t>
  </si>
  <si>
    <t>=M110/60</t>
  </si>
  <si>
    <t>=IF(F111=0,"hide","")</t>
  </si>
  <si>
    <t>=NL(1,"item",G$10,"no.",D111)</t>
  </si>
  <si>
    <t>=NL(1,"item",H$10,"no.",$D111)</t>
  </si>
  <si>
    <t>=NL(1,"Prod. BOM Equipment","Fixed Prod. Time (Hours)","Production BOM No.",$D111,"version code",$E111,"Resource No.",J$10)</t>
  </si>
  <si>
    <t>=1/J111</t>
  </si>
  <si>
    <t>=IF(NL(1,"Prod. BOM Equipment","Variable Prod. Time (Hours)","Production BOM No.",$D111,"version code",$E111,"Resource No.",$J$10)="",1,NL(1,"Prod. BOM Equipment","Variable Prod. Time (Hours)","Production BOM No.",$D111,"version code",$E111,"Resource No.",$J$10))</t>
  </si>
  <si>
    <t>=1/L111</t>
  </si>
  <si>
    <t>=M111*I111</t>
  </si>
  <si>
    <t>=M111/60</t>
  </si>
  <si>
    <t>=IF(F112=0,"hide","")</t>
  </si>
  <si>
    <t>=NL(1,"item",G$10,"no.",D112)</t>
  </si>
  <si>
    <t>=NL(1,"item",H$10,"no.",$D112)</t>
  </si>
  <si>
    <t>=NL(1,"Prod. BOM Equipment","Fixed Prod. Time (Hours)","Production BOM No.",$D112,"version code",$E112,"Resource No.",J$10)</t>
  </si>
  <si>
    <t>=1/J112</t>
  </si>
  <si>
    <t>=IF(NL(1,"Prod. BOM Equipment","Variable Prod. Time (Hours)","Production BOM No.",$D112,"version code",$E112,"Resource No.",$J$10)="",1,NL(1,"Prod. BOM Equipment","Variable Prod. Time (Hours)","Production BOM No.",$D112,"version code",$E112,"Resource No.",$J$10))</t>
  </si>
  <si>
    <t>=1/L112</t>
  </si>
  <si>
    <t>=M112*I112</t>
  </si>
  <si>
    <t>=M112/60</t>
  </si>
  <si>
    <t>=IF(F113=0,"hide","")</t>
  </si>
  <si>
    <t>=NL(1,"item",G$10,"no.",D113)</t>
  </si>
  <si>
    <t>=NL(1,"item",H$10,"no.",$D113)</t>
  </si>
  <si>
    <t>=NL(1,"Prod. BOM Equipment","Fixed Prod. Time (Hours)","Production BOM No.",$D113,"version code",$E113,"Resource No.",J$10)</t>
  </si>
  <si>
    <t>=1/J113</t>
  </si>
  <si>
    <t>=IF(NL(1,"Prod. BOM Equipment","Variable Prod. Time (Hours)","Production BOM No.",$D113,"version code",$E113,"Resource No.",$J$10)="",1,NL(1,"Prod. BOM Equipment","Variable Prod. Time (Hours)","Production BOM No.",$D113,"version code",$E113,"Resource No.",$J$10))</t>
  </si>
  <si>
    <t>=1/L113</t>
  </si>
  <si>
    <t>=M113*I113</t>
  </si>
  <si>
    <t>=M113/60</t>
  </si>
  <si>
    <t>=IF(F114=0,"hide","")</t>
  </si>
  <si>
    <t>=NL(1,"item",G$10,"no.",D114)</t>
  </si>
  <si>
    <t>=NL(1,"item",H$10,"no.",$D114)</t>
  </si>
  <si>
    <t>=NL(1,"Prod. BOM Equipment","Fixed Prod. Time (Hours)","Production BOM No.",$D114,"version code",$E114,"Resource No.",J$10)</t>
  </si>
  <si>
    <t>=1/J114</t>
  </si>
  <si>
    <t>=IF(NL(1,"Prod. BOM Equipment","Variable Prod. Time (Hours)","Production BOM No.",$D114,"version code",$E114,"Resource No.",$J$10)="",1,NL(1,"Prod. BOM Equipment","Variable Prod. Time (Hours)","Production BOM No.",$D114,"version code",$E114,"Resource No.",$J$10))</t>
  </si>
  <si>
    <t>=1/L114</t>
  </si>
  <si>
    <t>=M114*I114</t>
  </si>
  <si>
    <t>=M114/60</t>
  </si>
  <si>
    <t>=IF(F115=0,"hide","")</t>
  </si>
  <si>
    <t>=NL(1,"item",G$10,"no.",D115)</t>
  </si>
  <si>
    <t>=NL(1,"item",H$10,"no.",$D115)</t>
  </si>
  <si>
    <t>=NL(1,"Prod. BOM Equipment","Fixed Prod. Time (Hours)","Production BOM No.",$D115,"version code",$E115,"Resource No.",J$10)</t>
  </si>
  <si>
    <t>=1/J115</t>
  </si>
  <si>
    <t>=IF(NL(1,"Prod. BOM Equipment","Variable Prod. Time (Hours)","Production BOM No.",$D115,"version code",$E115,"Resource No.",$J$10)="",1,NL(1,"Prod. BOM Equipment","Variable Prod. Time (Hours)","Production BOM No.",$D115,"version code",$E115,"Resource No.",$J$10))</t>
  </si>
  <si>
    <t>=1/L115</t>
  </si>
  <si>
    <t>=M115*I115</t>
  </si>
  <si>
    <t>=M115/60</t>
  </si>
  <si>
    <t>=IF(F116=0,"hide","")</t>
  </si>
  <si>
    <t>=NL(1,"item",G$10,"no.",D116)</t>
  </si>
  <si>
    <t>=NL(1,"item",H$10,"no.",$D116)</t>
  </si>
  <si>
    <t>=NL(1,"Prod. BOM Equipment","Fixed Prod. Time (Hours)","Production BOM No.",$D116,"version code",$E116,"Resource No.",J$10)</t>
  </si>
  <si>
    <t>=1/J116</t>
  </si>
  <si>
    <t>=IF(NL(1,"Prod. BOM Equipment","Variable Prod. Time (Hours)","Production BOM No.",$D116,"version code",$E116,"Resource No.",$J$10)="",1,NL(1,"Prod. BOM Equipment","Variable Prod. Time (Hours)","Production BOM No.",$D116,"version code",$E116,"Resource No.",$J$10))</t>
  </si>
  <si>
    <t>=1/L116</t>
  </si>
  <si>
    <t>=M116*I116</t>
  </si>
  <si>
    <t>=M116/60</t>
  </si>
  <si>
    <t>=IF(F117=0,"hide","")</t>
  </si>
  <si>
    <t>=NL(1,"item",G$10,"no.",D117)</t>
  </si>
  <si>
    <t>=NL(1,"item",H$10,"no.",$D117)</t>
  </si>
  <si>
    <t>=NL(1,"Prod. BOM Equipment","Fixed Prod. Time (Hours)","Production BOM No.",$D117,"version code",$E117,"Resource No.",J$10)</t>
  </si>
  <si>
    <t>=1/J117</t>
  </si>
  <si>
    <t>=IF(NL(1,"Prod. BOM Equipment","Variable Prod. Time (Hours)","Production BOM No.",$D117,"version code",$E117,"Resource No.",$J$10)="",1,NL(1,"Prod. BOM Equipment","Variable Prod. Time (Hours)","Production BOM No.",$D117,"version code",$E117,"Resource No.",$J$10))</t>
  </si>
  <si>
    <t>=1/L117</t>
  </si>
  <si>
    <t>=M117*I117</t>
  </si>
  <si>
    <t>=M117/60</t>
  </si>
  <si>
    <t>=IF(F118=0,"hide","")</t>
  </si>
  <si>
    <t>=NL(1,"item",G$10,"no.",D118)</t>
  </si>
  <si>
    <t>=NL(1,"item",H$10,"no.",$D118)</t>
  </si>
  <si>
    <t>=NL(1,"Prod. BOM Equipment","Fixed Prod. Time (Hours)","Production BOM No.",$D118,"version code",$E118,"Resource No.",J$10)</t>
  </si>
  <si>
    <t>=1/J118</t>
  </si>
  <si>
    <t>=IF(NL(1,"Prod. BOM Equipment","Variable Prod. Time (Hours)","Production BOM No.",$D118,"version code",$E118,"Resource No.",$J$10)="",1,NL(1,"Prod. BOM Equipment","Variable Prod. Time (Hours)","Production BOM No.",$D118,"version code",$E118,"Resource No.",$J$10))</t>
  </si>
  <si>
    <t>=1/L118</t>
  </si>
  <si>
    <t>=M118*I118</t>
  </si>
  <si>
    <t>=M118/60</t>
  </si>
  <si>
    <t>=IF(F119=0,"hide","")</t>
  </si>
  <si>
    <t>=NL(1,"item",G$10,"no.",D119)</t>
  </si>
  <si>
    <t>=NL(1,"item",H$10,"no.",$D119)</t>
  </si>
  <si>
    <t>=NL(1,"Prod. BOM Equipment","Fixed Prod. Time (Hours)","Production BOM No.",$D119,"version code",$E119,"Resource No.",J$10)</t>
  </si>
  <si>
    <t>=1/J119</t>
  </si>
  <si>
    <t>=IF(NL(1,"Prod. BOM Equipment","Variable Prod. Time (Hours)","Production BOM No.",$D119,"version code",$E119,"Resource No.",$J$10)="",1,NL(1,"Prod. BOM Equipment","Variable Prod. Time (Hours)","Production BOM No.",$D119,"version code",$E119,"Resource No.",$J$10))</t>
  </si>
  <si>
    <t>=1/L119</t>
  </si>
  <si>
    <t>=M119*I119</t>
  </si>
  <si>
    <t>=M119/60</t>
  </si>
  <si>
    <t>=IF(F120=0,"hide","")</t>
  </si>
  <si>
    <t>=NL(1,"item",G$10,"no.",D120)</t>
  </si>
  <si>
    <t>=NL(1,"item",H$10,"no.",$D120)</t>
  </si>
  <si>
    <t>=NL(1,"Prod. BOM Equipment","Fixed Prod. Time (Hours)","Production BOM No.",$D120,"version code",$E120,"Resource No.",J$10)</t>
  </si>
  <si>
    <t>=1/J120</t>
  </si>
  <si>
    <t>=IF(NL(1,"Prod. BOM Equipment","Variable Prod. Time (Hours)","Production BOM No.",$D120,"version code",$E120,"Resource No.",$J$10)="",1,NL(1,"Prod. BOM Equipment","Variable Prod. Time (Hours)","Production BOM No.",$D120,"version code",$E120,"Resource No.",$J$10))</t>
  </si>
  <si>
    <t>=1/L120</t>
  </si>
  <si>
    <t>=M120*I120</t>
  </si>
  <si>
    <t>=M120/60</t>
  </si>
  <si>
    <t>=IF(F121=0,"hide","")</t>
  </si>
  <si>
    <t>=NL(1,"item",G$10,"no.",D121)</t>
  </si>
  <si>
    <t>=NL(1,"item",H$10,"no.",$D121)</t>
  </si>
  <si>
    <t>=NL(1,"Prod. BOM Equipment","Fixed Prod. Time (Hours)","Production BOM No.",$D121,"version code",$E121,"Resource No.",J$10)</t>
  </si>
  <si>
    <t>=1/J121</t>
  </si>
  <si>
    <t>=IF(NL(1,"Prod. BOM Equipment","Variable Prod. Time (Hours)","Production BOM No.",$D121,"version code",$E121,"Resource No.",$J$10)="",1,NL(1,"Prod. BOM Equipment","Variable Prod. Time (Hours)","Production BOM No.",$D121,"version code",$E121,"Resource No.",$J$10))</t>
  </si>
  <si>
    <t>=1/L121</t>
  </si>
  <si>
    <t>=M121*I121</t>
  </si>
  <si>
    <t>=M121/60</t>
  </si>
  <si>
    <t>=IF(F122=0,"hide","")</t>
  </si>
  <si>
    <t>=NL(1,"item",G$10,"no.",D122)</t>
  </si>
  <si>
    <t>=NL(1,"item",H$10,"no.",$D122)</t>
  </si>
  <si>
    <t>=NL(1,"Prod. BOM Equipment","Fixed Prod. Time (Hours)","Production BOM No.",$D122,"version code",$E122,"Resource No.",J$10)</t>
  </si>
  <si>
    <t>=1/J122</t>
  </si>
  <si>
    <t>=IF(NL(1,"Prod. BOM Equipment","Variable Prod. Time (Hours)","Production BOM No.",$D122,"version code",$E122,"Resource No.",$J$10)="",1,NL(1,"Prod. BOM Equipment","Variable Prod. Time (Hours)","Production BOM No.",$D122,"version code",$E122,"Resource No.",$J$10))</t>
  </si>
  <si>
    <t>=1/L122</t>
  </si>
  <si>
    <t>=M122*I122</t>
  </si>
  <si>
    <t>=M122/60</t>
  </si>
  <si>
    <t>=IF(F123=0,"hide","")</t>
  </si>
  <si>
    <t>=NL(1,"item",G$10,"no.",D123)</t>
  </si>
  <si>
    <t>=NL(1,"item",H$10,"no.",$D123)</t>
  </si>
  <si>
    <t>=NL(1,"Prod. BOM Equipment","Fixed Prod. Time (Hours)","Production BOM No.",$D123,"version code",$E123,"Resource No.",J$10)</t>
  </si>
  <si>
    <t>=1/J123</t>
  </si>
  <si>
    <t>=IF(NL(1,"Prod. BOM Equipment","Variable Prod. Time (Hours)","Production BOM No.",$D123,"version code",$E123,"Resource No.",$J$10)="",1,NL(1,"Prod. BOM Equipment","Variable Prod. Time (Hours)","Production BOM No.",$D123,"version code",$E123,"Resource No.",$J$10))</t>
  </si>
  <si>
    <t>=1/L123</t>
  </si>
  <si>
    <t>=M123*I123</t>
  </si>
  <si>
    <t>=M123/60</t>
  </si>
  <si>
    <t>=IF(F124=0,"hide","")</t>
  </si>
  <si>
    <t>=NL(1,"item",G$10,"no.",D124)</t>
  </si>
  <si>
    <t>=NL(1,"item",H$10,"no.",$D124)</t>
  </si>
  <si>
    <t>=NL(1,"Prod. BOM Equipment","Fixed Prod. Time (Hours)","Production BOM No.",$D124,"version code",$E124,"Resource No.",J$10)</t>
  </si>
  <si>
    <t>=1/J124</t>
  </si>
  <si>
    <t>=IF(NL(1,"Prod. BOM Equipment","Variable Prod. Time (Hours)","Production BOM No.",$D124,"version code",$E124,"Resource No.",$J$10)="",1,NL(1,"Prod. BOM Equipment","Variable Prod. Time (Hours)","Production BOM No.",$D124,"version code",$E124,"Resource No.",$J$10))</t>
  </si>
  <si>
    <t>=1/L124</t>
  </si>
  <si>
    <t>=M124*I124</t>
  </si>
  <si>
    <t>=M124/60</t>
  </si>
  <si>
    <t>=IF(F125=0,"hide","")</t>
  </si>
  <si>
    <t>=NL(1,"item",G$10,"no.",D125)</t>
  </si>
  <si>
    <t>=NL(1,"item",H$10,"no.",$D125)</t>
  </si>
  <si>
    <t>=NL(1,"Prod. BOM Equipment","Fixed Prod. Time (Hours)","Production BOM No.",$D125,"version code",$E125,"Resource No.",J$10)</t>
  </si>
  <si>
    <t>=1/J125</t>
  </si>
  <si>
    <t>=IF(NL(1,"Prod. BOM Equipment","Variable Prod. Time (Hours)","Production BOM No.",$D125,"version code",$E125,"Resource No.",$J$10)="",1,NL(1,"Prod. BOM Equipment","Variable Prod. Time (Hours)","Production BOM No.",$D125,"version code",$E125,"Resource No.",$J$10))</t>
  </si>
  <si>
    <t>=1/L125</t>
  </si>
  <si>
    <t>=M125*I125</t>
  </si>
  <si>
    <t>=M125/60</t>
  </si>
  <si>
    <t>=IF(F126=0,"hide","")</t>
  </si>
  <si>
    <t>=NL(1,"item",G$10,"no.",D126)</t>
  </si>
  <si>
    <t>=NL(1,"item",H$10,"no.",$D126)</t>
  </si>
  <si>
    <t>=NL(1,"Prod. BOM Equipment","Fixed Prod. Time (Hours)","Production BOM No.",$D126,"version code",$E126,"Resource No.",J$10)</t>
  </si>
  <si>
    <t>=1/J126</t>
  </si>
  <si>
    <t>=IF(NL(1,"Prod. BOM Equipment","Variable Prod. Time (Hours)","Production BOM No.",$D126,"version code",$E126,"Resource No.",$J$10)="",1,NL(1,"Prod. BOM Equipment","Variable Prod. Time (Hours)","Production BOM No.",$D126,"version code",$E126,"Resource No.",$J$10))</t>
  </si>
  <si>
    <t>=1/L126</t>
  </si>
  <si>
    <t>=M126*I126</t>
  </si>
  <si>
    <t>=M126/60</t>
  </si>
  <si>
    <t>=IF(F127=0,"hide","")</t>
  </si>
  <si>
    <t>=NL(1,"item",G$10,"no.",D127)</t>
  </si>
  <si>
    <t>=NL(1,"item",H$10,"no.",$D127)</t>
  </si>
  <si>
    <t>=NL(1,"Prod. BOM Equipment","Fixed Prod. Time (Hours)","Production BOM No.",$D127,"version code",$E127,"Resource No.",J$10)</t>
  </si>
  <si>
    <t>=1/J127</t>
  </si>
  <si>
    <t>=IF(NL(1,"Prod. BOM Equipment","Variable Prod. Time (Hours)","Production BOM No.",$D127,"version code",$E127,"Resource No.",$J$10)="",1,NL(1,"Prod. BOM Equipment","Variable Prod. Time (Hours)","Production BOM No.",$D127,"version code",$E127,"Resource No.",$J$10))</t>
  </si>
  <si>
    <t>=1/L127</t>
  </si>
  <si>
    <t>=M127*I127</t>
  </si>
  <si>
    <t>=M127/60</t>
  </si>
  <si>
    <t>=IF(F128=0,"hide","")</t>
  </si>
  <si>
    <t>=NL(1,"item",G$10,"no.",D128)</t>
  </si>
  <si>
    <t>=NL(1,"item",H$10,"no.",$D128)</t>
  </si>
  <si>
    <t>=NL(1,"Prod. BOM Equipment","Fixed Prod. Time (Hours)","Production BOM No.",$D128,"version code",$E128,"Resource No.",J$10)</t>
  </si>
  <si>
    <t>=1/J128</t>
  </si>
  <si>
    <t>=IF(NL(1,"Prod. BOM Equipment","Variable Prod. Time (Hours)","Production BOM No.",$D128,"version code",$E128,"Resource No.",$J$10)="",1,NL(1,"Prod. BOM Equipment","Variable Prod. Time (Hours)","Production BOM No.",$D128,"version code",$E128,"Resource No.",$J$10))</t>
  </si>
  <si>
    <t>=1/L128</t>
  </si>
  <si>
    <t>=M128*I128</t>
  </si>
  <si>
    <t>=M128/60</t>
  </si>
  <si>
    <t>=IF(F129=0,"hide","")</t>
  </si>
  <si>
    <t>=NL(1,"item",G$10,"no.",D129)</t>
  </si>
  <si>
    <t>=NL(1,"item",H$10,"no.",$D129)</t>
  </si>
  <si>
    <t>=NL(1,"Prod. BOM Equipment","Fixed Prod. Time (Hours)","Production BOM No.",$D129,"version code",$E129,"Resource No.",J$10)</t>
  </si>
  <si>
    <t>=1/J129</t>
  </si>
  <si>
    <t>=IF(NL(1,"Prod. BOM Equipment","Variable Prod. Time (Hours)","Production BOM No.",$D129,"version code",$E129,"Resource No.",$J$10)="",1,NL(1,"Prod. BOM Equipment","Variable Prod. Time (Hours)","Production BOM No.",$D129,"version code",$E129,"Resource No.",$J$10))</t>
  </si>
  <si>
    <t>=1/L129</t>
  </si>
  <si>
    <t>=M129*I129</t>
  </si>
  <si>
    <t>=M129/60</t>
  </si>
  <si>
    <t>=IF(F130=0,"hide","")</t>
  </si>
  <si>
    <t>=NL(1,"item",G$10,"no.",D130)</t>
  </si>
  <si>
    <t>=NL(1,"item",H$10,"no.",$D130)</t>
  </si>
  <si>
    <t>=NL(1,"Prod. BOM Equipment","Fixed Prod. Time (Hours)","Production BOM No.",$D130,"version code",$E130,"Resource No.",J$10)</t>
  </si>
  <si>
    <t>=1/J130</t>
  </si>
  <si>
    <t>=IF(NL(1,"Prod. BOM Equipment","Variable Prod. Time (Hours)","Production BOM No.",$D130,"version code",$E130,"Resource No.",$J$10)="",1,NL(1,"Prod. BOM Equipment","Variable Prod. Time (Hours)","Production BOM No.",$D130,"version code",$E130,"Resource No.",$J$10))</t>
  </si>
  <si>
    <t>=1/L130</t>
  </si>
  <si>
    <t>=M130*I130</t>
  </si>
  <si>
    <t>=M130/60</t>
  </si>
  <si>
    <t>=IF(F131=0,"hide","")</t>
  </si>
  <si>
    <t>=NL(1,"item",G$10,"no.",D131)</t>
  </si>
  <si>
    <t>=NL(1,"item",H$10,"no.",$D131)</t>
  </si>
  <si>
    <t>=NL(1,"Prod. BOM Equipment","Fixed Prod. Time (Hours)","Production BOM No.",$D131,"version code",$E131,"Resource No.",J$10)</t>
  </si>
  <si>
    <t>=1/J131</t>
  </si>
  <si>
    <t>=IF(NL(1,"Prod. BOM Equipment","Variable Prod. Time (Hours)","Production BOM No.",$D131,"version code",$E131,"Resource No.",$J$10)="",1,NL(1,"Prod. BOM Equipment","Variable Prod. Time (Hours)","Production BOM No.",$D131,"version code",$E131,"Resource No.",$J$10))</t>
  </si>
  <si>
    <t>=1/L131</t>
  </si>
  <si>
    <t>=M131*I131</t>
  </si>
  <si>
    <t>=M131/60</t>
  </si>
  <si>
    <t>=IF(F132=0,"hide","")</t>
  </si>
  <si>
    <t>=NL(1,"item",G$10,"no.",D132)</t>
  </si>
  <si>
    <t>=NL(1,"item",H$10,"no.",$D132)</t>
  </si>
  <si>
    <t>=NL(1,"Prod. BOM Equipment","Fixed Prod. Time (Hours)","Production BOM No.",$D132,"version code",$E132,"Resource No.",J$10)</t>
  </si>
  <si>
    <t>=1/J132</t>
  </si>
  <si>
    <t>=IF(NL(1,"Prod. BOM Equipment","Variable Prod. Time (Hours)","Production BOM No.",$D132,"version code",$E132,"Resource No.",$J$10)="",1,NL(1,"Prod. BOM Equipment","Variable Prod. Time (Hours)","Production BOM No.",$D132,"version code",$E132,"Resource No.",$J$10))</t>
  </si>
  <si>
    <t>=1/L132</t>
  </si>
  <si>
    <t>=M132*I132</t>
  </si>
  <si>
    <t>=M132/60</t>
  </si>
  <si>
    <t>=IF(F133=0,"hide","")</t>
  </si>
  <si>
    <t>=NL(1,"item",G$10,"no.",D133)</t>
  </si>
  <si>
    <t>=NL(1,"item",H$10,"no.",$D133)</t>
  </si>
  <si>
    <t>=NL(1,"Prod. BOM Equipment","Fixed Prod. Time (Hours)","Production BOM No.",$D133,"version code",$E133,"Resource No.",J$10)</t>
  </si>
  <si>
    <t>=1/J133</t>
  </si>
  <si>
    <t>=IF(NL(1,"Prod. BOM Equipment","Variable Prod. Time (Hours)","Production BOM No.",$D133,"version code",$E133,"Resource No.",$J$10)="",1,NL(1,"Prod. BOM Equipment","Variable Prod. Time (Hours)","Production BOM No.",$D133,"version code",$E133,"Resource No.",$J$10))</t>
  </si>
  <si>
    <t>=1/L133</t>
  </si>
  <si>
    <t>=M133*I133</t>
  </si>
  <si>
    <t>=M133/60</t>
  </si>
  <si>
    <t>=IF(F134=0,"hide","")</t>
  </si>
  <si>
    <t>=NL(1,"item",G$10,"no.",D134)</t>
  </si>
  <si>
    <t>=NL(1,"item",H$10,"no.",$D134)</t>
  </si>
  <si>
    <t>=NL(1,"Prod. BOM Equipment","Fixed Prod. Time (Hours)","Production BOM No.",$D134,"version code",$E134,"Resource No.",J$10)</t>
  </si>
  <si>
    <t>=1/J134</t>
  </si>
  <si>
    <t>=IF(NL(1,"Prod. BOM Equipment","Variable Prod. Time (Hours)","Production BOM No.",$D134,"version code",$E134,"Resource No.",$J$10)="",1,NL(1,"Prod. BOM Equipment","Variable Prod. Time (Hours)","Production BOM No.",$D134,"version code",$E134,"Resource No.",$J$10))</t>
  </si>
  <si>
    <t>=1/L134</t>
  </si>
  <si>
    <t>=M134*I134</t>
  </si>
  <si>
    <t>=M134/60</t>
  </si>
  <si>
    <t>=IF(F135=0,"hide","")</t>
  </si>
  <si>
    <t>=NL(1,"item",G$10,"no.",D135)</t>
  </si>
  <si>
    <t>=NL(1,"item",H$10,"no.",$D135)</t>
  </si>
  <si>
    <t>=NL(1,"Prod. BOM Equipment","Fixed Prod. Time (Hours)","Production BOM No.",$D135,"version code",$E135,"Resource No.",J$10)</t>
  </si>
  <si>
    <t>=1/J135</t>
  </si>
  <si>
    <t>=IF(NL(1,"Prod. BOM Equipment","Variable Prod. Time (Hours)","Production BOM No.",$D135,"version code",$E135,"Resource No.",$J$10)="",1,NL(1,"Prod. BOM Equipment","Variable Prod. Time (Hours)","Production BOM No.",$D135,"version code",$E135,"Resource No.",$J$10))</t>
  </si>
  <si>
    <t>=1/L135</t>
  </si>
  <si>
    <t>=M135*I135</t>
  </si>
  <si>
    <t>=M135/60</t>
  </si>
  <si>
    <t>=IF(F136=0,"hide","")</t>
  </si>
  <si>
    <t>=NL(1,"item",G$10,"no.",D136)</t>
  </si>
  <si>
    <t>=NL(1,"item",H$10,"no.",$D136)</t>
  </si>
  <si>
    <t>=NL(1,"Prod. BOM Equipment","Fixed Prod. Time (Hours)","Production BOM No.",$D136,"version code",$E136,"Resource No.",J$10)</t>
  </si>
  <si>
    <t>=1/J136</t>
  </si>
  <si>
    <t>=IF(NL(1,"Prod. BOM Equipment","Variable Prod. Time (Hours)","Production BOM No.",$D136,"version code",$E136,"Resource No.",$J$10)="",1,NL(1,"Prod. BOM Equipment","Variable Prod. Time (Hours)","Production BOM No.",$D136,"version code",$E136,"Resource No.",$J$10))</t>
  </si>
  <si>
    <t>=1/L136</t>
  </si>
  <si>
    <t>=M136*I136</t>
  </si>
  <si>
    <t>=M136/60</t>
  </si>
  <si>
    <t>=IF(F137=0,"hide","")</t>
  </si>
  <si>
    <t>=NL(1,"item",G$10,"no.",D137)</t>
  </si>
  <si>
    <t>=NL(1,"item",H$10,"no.",$D137)</t>
  </si>
  <si>
    <t>=NL(1,"Prod. BOM Equipment","Fixed Prod. Time (Hours)","Production BOM No.",$D137,"version code",$E137,"Resource No.",J$10)</t>
  </si>
  <si>
    <t>=1/J137</t>
  </si>
  <si>
    <t>=IF(NL(1,"Prod. BOM Equipment","Variable Prod. Time (Hours)","Production BOM No.",$D137,"version code",$E137,"Resource No.",$J$10)="",1,NL(1,"Prod. BOM Equipment","Variable Prod. Time (Hours)","Production BOM No.",$D137,"version code",$E137,"Resource No.",$J$10))</t>
  </si>
  <si>
    <t>=1/L137</t>
  </si>
  <si>
    <t>=M137*I137</t>
  </si>
  <si>
    <t>=M137/60</t>
  </si>
  <si>
    <t>=IF(F138=0,"hide","")</t>
  </si>
  <si>
    <t>=NL(1,"item",G$10,"no.",D138)</t>
  </si>
  <si>
    <t>=NL(1,"item",H$10,"no.",$D138)</t>
  </si>
  <si>
    <t>=NL(1,"Prod. BOM Equipment","Fixed Prod. Time (Hours)","Production BOM No.",$D138,"version code",$E138,"Resource No.",J$10)</t>
  </si>
  <si>
    <t>=1/J138</t>
  </si>
  <si>
    <t>=IF(NL(1,"Prod. BOM Equipment","Variable Prod. Time (Hours)","Production BOM No.",$D138,"version code",$E138,"Resource No.",$J$10)="",1,NL(1,"Prod. BOM Equipment","Variable Prod. Time (Hours)","Production BOM No.",$D138,"version code",$E138,"Resource No.",$J$10))</t>
  </si>
  <si>
    <t>=1/L138</t>
  </si>
  <si>
    <t>=M138*I138</t>
  </si>
  <si>
    <t>=M138/60</t>
  </si>
  <si>
    <t>=IF(F139=0,"hide","")</t>
  </si>
  <si>
    <t>=NL(1,"item",G$10,"no.",D139)</t>
  </si>
  <si>
    <t>=NL(1,"item",H$10,"no.",$D139)</t>
  </si>
  <si>
    <t>=NL(1,"Prod. BOM Equipment","Fixed Prod. Time (Hours)","Production BOM No.",$D139,"version code",$E139,"Resource No.",J$10)</t>
  </si>
  <si>
    <t>=1/J139</t>
  </si>
  <si>
    <t>=IF(NL(1,"Prod. BOM Equipment","Variable Prod. Time (Hours)","Production BOM No.",$D139,"version code",$E139,"Resource No.",$J$10)="",1,NL(1,"Prod. BOM Equipment","Variable Prod. Time (Hours)","Production BOM No.",$D139,"version code",$E139,"Resource No.",$J$10))</t>
  </si>
  <si>
    <t>=1/L139</t>
  </si>
  <si>
    <t>=M139*I139</t>
  </si>
  <si>
    <t>=M139/60</t>
  </si>
  <si>
    <t>=IF(F140=0,"hide","")</t>
  </si>
  <si>
    <t>=NL(1,"item",G$10,"no.",D140)</t>
  </si>
  <si>
    <t>=NL(1,"item",H$10,"no.",$D140)</t>
  </si>
  <si>
    <t>=NL(1,"Prod. BOM Equipment","Fixed Prod. Time (Hours)","Production BOM No.",$D140,"version code",$E140,"Resource No.",J$10)</t>
  </si>
  <si>
    <t>=1/J140</t>
  </si>
  <si>
    <t>=IF(NL(1,"Prod. BOM Equipment","Variable Prod. Time (Hours)","Production BOM No.",$D140,"version code",$E140,"Resource No.",$J$10)="",1,NL(1,"Prod. BOM Equipment","Variable Prod. Time (Hours)","Production BOM No.",$D140,"version code",$E140,"Resource No.",$J$10))</t>
  </si>
  <si>
    <t>=1/L140</t>
  </si>
  <si>
    <t>=M140*I140</t>
  </si>
  <si>
    <t>=M140/60</t>
  </si>
  <si>
    <t>=IF(F141=0,"hide","")</t>
  </si>
  <si>
    <t>=NL(1,"item",G$10,"no.",D141)</t>
  </si>
  <si>
    <t>=NL(1,"item",H$10,"no.",$D141)</t>
  </si>
  <si>
    <t>=NL(1,"Prod. BOM Equipment","Fixed Prod. Time (Hours)","Production BOM No.",$D141,"version code",$E141,"Resource No.",J$10)</t>
  </si>
  <si>
    <t>=1/J141</t>
  </si>
  <si>
    <t>=IF(NL(1,"Prod. BOM Equipment","Variable Prod. Time (Hours)","Production BOM No.",$D141,"version code",$E141,"Resource No.",$J$10)="",1,NL(1,"Prod. BOM Equipment","Variable Prod. Time (Hours)","Production BOM No.",$D141,"version code",$E141,"Resource No.",$J$10))</t>
  </si>
  <si>
    <t>=1/L141</t>
  </si>
  <si>
    <t>=M141*I141</t>
  </si>
  <si>
    <t>=M141/60</t>
  </si>
  <si>
    <t>=IF(F142=0,"hide","")</t>
  </si>
  <si>
    <t>=NL(1,"item",G$10,"no.",D142)</t>
  </si>
  <si>
    <t>=NL(1,"item",H$10,"no.",$D142)</t>
  </si>
  <si>
    <t>=NL(1,"Prod. BOM Equipment","Fixed Prod. Time (Hours)","Production BOM No.",$D142,"version code",$E142,"Resource No.",J$10)</t>
  </si>
  <si>
    <t>=1/J142</t>
  </si>
  <si>
    <t>=IF(NL(1,"Prod. BOM Equipment","Variable Prod. Time (Hours)","Production BOM No.",$D142,"version code",$E142,"Resource No.",$J$10)="",1,NL(1,"Prod. BOM Equipment","Variable Prod. Time (Hours)","Production BOM No.",$D142,"version code",$E142,"Resource No.",$J$10))</t>
  </si>
  <si>
    <t>=1/L142</t>
  </si>
  <si>
    <t>=M142*I142</t>
  </si>
  <si>
    <t>=M142/60</t>
  </si>
  <si>
    <t>=IF(F143=0,"hide","")</t>
  </si>
  <si>
    <t>=NL(1,"item",G$10,"no.",D143)</t>
  </si>
  <si>
    <t>=NL(1,"item",H$10,"no.",$D143)</t>
  </si>
  <si>
    <t>=NL(1,"Prod. BOM Equipment","Fixed Prod. Time (Hours)","Production BOM No.",$D143,"version code",$E143,"Resource No.",J$10)</t>
  </si>
  <si>
    <t>=1/J143</t>
  </si>
  <si>
    <t>=IF(NL(1,"Prod. BOM Equipment","Variable Prod. Time (Hours)","Production BOM No.",$D143,"version code",$E143,"Resource No.",$J$10)="",1,NL(1,"Prod. BOM Equipment","Variable Prod. Time (Hours)","Production BOM No.",$D143,"version code",$E143,"Resource No.",$J$10))</t>
  </si>
  <si>
    <t>=1/L143</t>
  </si>
  <si>
    <t>=M143*I143</t>
  </si>
  <si>
    <t>=M143/60</t>
  </si>
  <si>
    <t>=IF(F144=0,"hide","")</t>
  </si>
  <si>
    <t>=NL(1,"item",G$10,"no.",D144)</t>
  </si>
  <si>
    <t>=NL(1,"item",H$10,"no.",$D144)</t>
  </si>
  <si>
    <t>=NL(1,"Prod. BOM Equipment","Fixed Prod. Time (Hours)","Production BOM No.",$D144,"version code",$E144,"Resource No.",J$10)</t>
  </si>
  <si>
    <t>=1/J144</t>
  </si>
  <si>
    <t>=IF(NL(1,"Prod. BOM Equipment","Variable Prod. Time (Hours)","Production BOM No.",$D144,"version code",$E144,"Resource No.",$J$10)="",1,NL(1,"Prod. BOM Equipment","Variable Prod. Time (Hours)","Production BOM No.",$D144,"version code",$E144,"Resource No.",$J$10))</t>
  </si>
  <si>
    <t>=1/L144</t>
  </si>
  <si>
    <t>=M144*I144</t>
  </si>
  <si>
    <t>=M144/60</t>
  </si>
  <si>
    <t>=IF(F145=0,"hide","")</t>
  </si>
  <si>
    <t>=NL(1,"item",G$10,"no.",D145)</t>
  </si>
  <si>
    <t>=NL(1,"item",H$10,"no.",$D145)</t>
  </si>
  <si>
    <t>=NL(1,"Prod. BOM Equipment","Fixed Prod. Time (Hours)","Production BOM No.",$D145,"version code",$E145,"Resource No.",J$10)</t>
  </si>
  <si>
    <t>=1/J145</t>
  </si>
  <si>
    <t>=IF(NL(1,"Prod. BOM Equipment","Variable Prod. Time (Hours)","Production BOM No.",$D145,"version code",$E145,"Resource No.",$J$10)="",1,NL(1,"Prod. BOM Equipment","Variable Prod. Time (Hours)","Production BOM No.",$D145,"version code",$E145,"Resource No.",$J$10))</t>
  </si>
  <si>
    <t>=1/L145</t>
  </si>
  <si>
    <t>=M145*I145</t>
  </si>
  <si>
    <t>=M145/60</t>
  </si>
  <si>
    <t>=IF(F146=0,"hide","")</t>
  </si>
  <si>
    <t>=NL(1,"item",G$10,"no.",D146)</t>
  </si>
  <si>
    <t>=NL(1,"item",H$10,"no.",$D146)</t>
  </si>
  <si>
    <t>=NL(1,"Prod. BOM Equipment","Fixed Prod. Time (Hours)","Production BOM No.",$D146,"version code",$E146,"Resource No.",J$10)</t>
  </si>
  <si>
    <t>=1/J146</t>
  </si>
  <si>
    <t>=IF(NL(1,"Prod. BOM Equipment","Variable Prod. Time (Hours)","Production BOM No.",$D146,"version code",$E146,"Resource No.",$J$10)="",1,NL(1,"Prod. BOM Equipment","Variable Prod. Time (Hours)","Production BOM No.",$D146,"version code",$E146,"Resource No.",$J$10))</t>
  </si>
  <si>
    <t>=1/L146</t>
  </si>
  <si>
    <t>=M146*I146</t>
  </si>
  <si>
    <t>=M146/60</t>
  </si>
  <si>
    <t>=IF(F147=0,"hide","")</t>
  </si>
  <si>
    <t>=NL(1,"item",G$10,"no.",D147)</t>
  </si>
  <si>
    <t>=NL(1,"item",H$10,"no.",$D147)</t>
  </si>
  <si>
    <t>=NL(1,"Prod. BOM Equipment","Fixed Prod. Time (Hours)","Production BOM No.",$D147,"version code",$E147,"Resource No.",J$10)</t>
  </si>
  <si>
    <t>=1/J147</t>
  </si>
  <si>
    <t>=IF(NL(1,"Prod. BOM Equipment","Variable Prod. Time (Hours)","Production BOM No.",$D147,"version code",$E147,"Resource No.",$J$10)="",1,NL(1,"Prod. BOM Equipment","Variable Prod. Time (Hours)","Production BOM No.",$D147,"version code",$E147,"Resource No.",$J$10))</t>
  </si>
  <si>
    <t>=1/L147</t>
  </si>
  <si>
    <t>=M147*I147</t>
  </si>
  <si>
    <t>=M147/60</t>
  </si>
  <si>
    <t>=IF(F148=0,"hide","")</t>
  </si>
  <si>
    <t>=NL(1,"item",G$10,"no.",D148)</t>
  </si>
  <si>
    <t>=NL(1,"item",H$10,"no.",$D148)</t>
  </si>
  <si>
    <t>=NL(1,"Prod. BOM Equipment","Fixed Prod. Time (Hours)","Production BOM No.",$D148,"version code",$E148,"Resource No.",J$10)</t>
  </si>
  <si>
    <t>=1/J148</t>
  </si>
  <si>
    <t>=IF(NL(1,"Prod. BOM Equipment","Variable Prod. Time (Hours)","Production BOM No.",$D148,"version code",$E148,"Resource No.",$J$10)="",1,NL(1,"Prod. BOM Equipment","Variable Prod. Time (Hours)","Production BOM No.",$D148,"version code",$E148,"Resource No.",$J$10))</t>
  </si>
  <si>
    <t>=1/L148</t>
  </si>
  <si>
    <t>=M148*I148</t>
  </si>
  <si>
    <t>=M148/60</t>
  </si>
  <si>
    <t>=IF(F149=0,"hide","")</t>
  </si>
  <si>
    <t>=NL(1,"item",G$10,"no.",D149)</t>
  </si>
  <si>
    <t>=NL(1,"item",H$10,"no.",$D149)</t>
  </si>
  <si>
    <t>=NL(1,"Prod. BOM Equipment","Fixed Prod. Time (Hours)","Production BOM No.",$D149,"version code",$E149,"Resource No.",J$10)</t>
  </si>
  <si>
    <t>=1/J149</t>
  </si>
  <si>
    <t>=IF(NL(1,"Prod. BOM Equipment","Variable Prod. Time (Hours)","Production BOM No.",$D149,"version code",$E149,"Resource No.",$J$10)="",1,NL(1,"Prod. BOM Equipment","Variable Prod. Time (Hours)","Production BOM No.",$D149,"version code",$E149,"Resource No.",$J$10))</t>
  </si>
  <si>
    <t>=1/L149</t>
  </si>
  <si>
    <t>=M149*I149</t>
  </si>
  <si>
    <t>=M149/60</t>
  </si>
  <si>
    <t>=IF(F150=0,"hide","")</t>
  </si>
  <si>
    <t>=NL(1,"item",G$10,"no.",D150)</t>
  </si>
  <si>
    <t>=NL(1,"item",H$10,"no.",$D150)</t>
  </si>
  <si>
    <t>=NL(1,"Prod. BOM Equipment","Fixed Prod. Time (Hours)","Production BOM No.",$D150,"version code",$E150,"Resource No.",J$10)</t>
  </si>
  <si>
    <t>=1/J150</t>
  </si>
  <si>
    <t>=IF(NL(1,"Prod. BOM Equipment","Variable Prod. Time (Hours)","Production BOM No.",$D150,"version code",$E150,"Resource No.",$J$10)="",1,NL(1,"Prod. BOM Equipment","Variable Prod. Time (Hours)","Production BOM No.",$D150,"version code",$E150,"Resource No.",$J$10))</t>
  </si>
  <si>
    <t>=1/L150</t>
  </si>
  <si>
    <t>=M150*I150</t>
  </si>
  <si>
    <t>=M150/60</t>
  </si>
  <si>
    <t>=IF(F151=0,"hide","")</t>
  </si>
  <si>
    <t>=NL(1,"item",G$10,"no.",D151)</t>
  </si>
  <si>
    <t>=NL(1,"item",H$10,"no.",$D151)</t>
  </si>
  <si>
    <t>=NL(1,"Prod. BOM Equipment","Fixed Prod. Time (Hours)","Production BOM No.",$D151,"version code",$E151,"Resource No.",J$10)</t>
  </si>
  <si>
    <t>=1/J151</t>
  </si>
  <si>
    <t>=IF(NL(1,"Prod. BOM Equipment","Variable Prod. Time (Hours)","Production BOM No.",$D151,"version code",$E151,"Resource No.",$J$10)="",1,NL(1,"Prod. BOM Equipment","Variable Prod. Time (Hours)","Production BOM No.",$D151,"version code",$E151,"Resource No.",$J$10))</t>
  </si>
  <si>
    <t>=1/L151</t>
  </si>
  <si>
    <t>=M151*I151</t>
  </si>
  <si>
    <t>=M151/60</t>
  </si>
  <si>
    <t>=IF(F152=0,"hide","")</t>
  </si>
  <si>
    <t>=NL(1,"item",G$10,"no.",D152)</t>
  </si>
  <si>
    <t>=NL(1,"item",H$10,"no.",$D152)</t>
  </si>
  <si>
    <t>=NL(1,"Prod. BOM Equipment","Fixed Prod. Time (Hours)","Production BOM No.",$D152,"version code",$E152,"Resource No.",J$10)</t>
  </si>
  <si>
    <t>=1/J152</t>
  </si>
  <si>
    <t>=IF(NL(1,"Prod. BOM Equipment","Variable Prod. Time (Hours)","Production BOM No.",$D152,"version code",$E152,"Resource No.",$J$10)="",1,NL(1,"Prod. BOM Equipment","Variable Prod. Time (Hours)","Production BOM No.",$D152,"version code",$E152,"Resource No.",$J$10))</t>
  </si>
  <si>
    <t>=1/L152</t>
  </si>
  <si>
    <t>=M152*I152</t>
  </si>
  <si>
    <t>=M152/60</t>
  </si>
  <si>
    <t>=IF(F153=0,"hide","")</t>
  </si>
  <si>
    <t>=NL(1,"item",G$10,"no.",D153)</t>
  </si>
  <si>
    <t>=NL(1,"item",H$10,"no.",$D153)</t>
  </si>
  <si>
    <t>=NL(1,"Prod. BOM Equipment","Fixed Prod. Time (Hours)","Production BOM No.",$D153,"version code",$E153,"Resource No.",J$10)</t>
  </si>
  <si>
    <t>=1/J153</t>
  </si>
  <si>
    <t>=IF(NL(1,"Prod. BOM Equipment","Variable Prod. Time (Hours)","Production BOM No.",$D153,"version code",$E153,"Resource No.",$J$10)="",1,NL(1,"Prod. BOM Equipment","Variable Prod. Time (Hours)","Production BOM No.",$D153,"version code",$E153,"Resource No.",$J$10))</t>
  </si>
  <si>
    <t>=1/L153</t>
  </si>
  <si>
    <t>=M153*I153</t>
  </si>
  <si>
    <t>=M153/60</t>
  </si>
  <si>
    <t>=IF(F154=0,"hide","")</t>
  </si>
  <si>
    <t>=NL(1,"item",G$10,"no.",D154)</t>
  </si>
  <si>
    <t>=NL(1,"item",H$10,"no.",$D154)</t>
  </si>
  <si>
    <t>=NL(1,"Prod. BOM Equipment","Fixed Prod. Time (Hours)","Production BOM No.",$D154,"version code",$E154,"Resource No.",J$10)</t>
  </si>
  <si>
    <t>=1/J154</t>
  </si>
  <si>
    <t>=IF(NL(1,"Prod. BOM Equipment","Variable Prod. Time (Hours)","Production BOM No.",$D154,"version code",$E154,"Resource No.",$J$10)="",1,NL(1,"Prod. BOM Equipment","Variable Prod. Time (Hours)","Production BOM No.",$D154,"version code",$E154,"Resource No.",$J$10))</t>
  </si>
  <si>
    <t>=1/L154</t>
  </si>
  <si>
    <t>=M154*I154</t>
  </si>
  <si>
    <t>=M154/60</t>
  </si>
  <si>
    <t>=IF(F155=0,"hide","")</t>
  </si>
  <si>
    <t>=NL(1,"item",G$10,"no.",D155)</t>
  </si>
  <si>
    <t>=NL(1,"item",H$10,"no.",$D155)</t>
  </si>
  <si>
    <t>=NL(1,"Prod. BOM Equipment","Fixed Prod. Time (Hours)","Production BOM No.",$D155,"version code",$E155,"Resource No.",J$10)</t>
  </si>
  <si>
    <t>=1/J155</t>
  </si>
  <si>
    <t>=IF(NL(1,"Prod. BOM Equipment","Variable Prod. Time (Hours)","Production BOM No.",$D155,"version code",$E155,"Resource No.",$J$10)="",1,NL(1,"Prod. BOM Equipment","Variable Prod. Time (Hours)","Production BOM No.",$D155,"version code",$E155,"Resource No.",$J$10))</t>
  </si>
  <si>
    <t>=1/L155</t>
  </si>
  <si>
    <t>=M155*I155</t>
  </si>
  <si>
    <t>=M155/60</t>
  </si>
  <si>
    <t>=IF(F156=0,"hide","")</t>
  </si>
  <si>
    <t>=NL(1,"item",G$10,"no.",D156)</t>
  </si>
  <si>
    <t>=NL(1,"item",H$10,"no.",$D156)</t>
  </si>
  <si>
    <t>=NL(1,"Prod. BOM Equipment","Fixed Prod. Time (Hours)","Production BOM No.",$D156,"version code",$E156,"Resource No.",J$10)</t>
  </si>
  <si>
    <t>=1/J156</t>
  </si>
  <si>
    <t>=IF(NL(1,"Prod. BOM Equipment","Variable Prod. Time (Hours)","Production BOM No.",$D156,"version code",$E156,"Resource No.",$J$10)="",1,NL(1,"Prod. BOM Equipment","Variable Prod. Time (Hours)","Production BOM No.",$D156,"version code",$E156,"Resource No.",$J$10))</t>
  </si>
  <si>
    <t>=1/L156</t>
  </si>
  <si>
    <t>=M156*I156</t>
  </si>
  <si>
    <t>=M156/60</t>
  </si>
  <si>
    <t>=IF(F157=0,"hide","")</t>
  </si>
  <si>
    <t>=NL(1,"item",G$10,"no.",D157)</t>
  </si>
  <si>
    <t>=NL(1,"item",H$10,"no.",$D157)</t>
  </si>
  <si>
    <t>=NL(1,"Prod. BOM Equipment","Fixed Prod. Time (Hours)","Production BOM No.",$D157,"version code",$E157,"Resource No.",J$10)</t>
  </si>
  <si>
    <t>=1/J157</t>
  </si>
  <si>
    <t>=IF(NL(1,"Prod. BOM Equipment","Variable Prod. Time (Hours)","Production BOM No.",$D157,"version code",$E157,"Resource No.",$J$10)="",1,NL(1,"Prod. BOM Equipment","Variable Prod. Time (Hours)","Production BOM No.",$D157,"version code",$E157,"Resource No.",$J$10))</t>
  </si>
  <si>
    <t>=1/L157</t>
  </si>
  <si>
    <t>=M157*I157</t>
  </si>
  <si>
    <t>=M157/60</t>
  </si>
  <si>
    <t>=IF(F158=0,"hide","")</t>
  </si>
  <si>
    <t>=NL(1,"item",G$10,"no.",D158)</t>
  </si>
  <si>
    <t>=NL(1,"item",H$10,"no.",$D158)</t>
  </si>
  <si>
    <t>=NL(1,"Prod. BOM Equipment","Fixed Prod. Time (Hours)","Production BOM No.",$D158,"version code",$E158,"Resource No.",J$10)</t>
  </si>
  <si>
    <t>=1/J158</t>
  </si>
  <si>
    <t>=IF(NL(1,"Prod. BOM Equipment","Variable Prod. Time (Hours)","Production BOM No.",$D158,"version code",$E158,"Resource No.",$J$10)="",1,NL(1,"Prod. BOM Equipment","Variable Prod. Time (Hours)","Production BOM No.",$D158,"version code",$E158,"Resource No.",$J$10))</t>
  </si>
  <si>
    <t>=1/L158</t>
  </si>
  <si>
    <t>=M158*I158</t>
  </si>
  <si>
    <t>=M158/60</t>
  </si>
  <si>
    <t>=IF(F159=0,"hide","")</t>
  </si>
  <si>
    <t>=NL(1,"item",G$10,"no.",D159)</t>
  </si>
  <si>
    <t>=NL(1,"item",H$10,"no.",$D159)</t>
  </si>
  <si>
    <t>=NL(1,"Prod. BOM Equipment","Fixed Prod. Time (Hours)","Production BOM No.",$D159,"version code",$E159,"Resource No.",J$10)</t>
  </si>
  <si>
    <t>=1/J159</t>
  </si>
  <si>
    <t>=IF(NL(1,"Prod. BOM Equipment","Variable Prod. Time (Hours)","Production BOM No.",$D159,"version code",$E159,"Resource No.",$J$10)="",1,NL(1,"Prod. BOM Equipment","Variable Prod. Time (Hours)","Production BOM No.",$D159,"version code",$E159,"Resource No.",$J$10))</t>
  </si>
  <si>
    <t>=1/L159</t>
  </si>
  <si>
    <t>=M159*I159</t>
  </si>
  <si>
    <t>=M159/60</t>
  </si>
  <si>
    <t>=IF(F160=0,"hide","")</t>
  </si>
  <si>
    <t>=NL(1,"item",G$10,"no.",D160)</t>
  </si>
  <si>
    <t>=NL(1,"item",H$10,"no.",$D160)</t>
  </si>
  <si>
    <t>=NL(1,"Prod. BOM Equipment","Fixed Prod. Time (Hours)","Production BOM No.",$D160,"version code",$E160,"Resource No.",J$10)</t>
  </si>
  <si>
    <t>=1/J160</t>
  </si>
  <si>
    <t>=IF(NL(1,"Prod. BOM Equipment","Variable Prod. Time (Hours)","Production BOM No.",$D160,"version code",$E160,"Resource No.",$J$10)="",1,NL(1,"Prod. BOM Equipment","Variable Prod. Time (Hours)","Production BOM No.",$D160,"version code",$E160,"Resource No.",$J$10))</t>
  </si>
  <si>
    <t>=1/L160</t>
  </si>
  <si>
    <t>=M160*I160</t>
  </si>
  <si>
    <t>=M160/60</t>
  </si>
  <si>
    <t>=IF(F161=0,"hide","")</t>
  </si>
  <si>
    <t>=NL(1,"item",G$10,"no.",D161)</t>
  </si>
  <si>
    <t>=NL(1,"item",H$10,"no.",$D161)</t>
  </si>
  <si>
    <t>=NL(1,"Prod. BOM Equipment","Fixed Prod. Time (Hours)","Production BOM No.",$D161,"version code",$E161,"Resource No.",J$10)</t>
  </si>
  <si>
    <t>=1/J161</t>
  </si>
  <si>
    <t>=IF(NL(1,"Prod. BOM Equipment","Variable Prod. Time (Hours)","Production BOM No.",$D161,"version code",$E161,"Resource No.",$J$10)="",1,NL(1,"Prod. BOM Equipment","Variable Prod. Time (Hours)","Production BOM No.",$D161,"version code",$E161,"Resource No.",$J$10))</t>
  </si>
  <si>
    <t>=1/L161</t>
  </si>
  <si>
    <t>=M161*I161</t>
  </si>
  <si>
    <t>=M161/60</t>
  </si>
  <si>
    <t>=IF(F162=0,"hide","")</t>
  </si>
  <si>
    <t>=NL(1,"item",G$10,"no.",D162)</t>
  </si>
  <si>
    <t>=NL(1,"item",H$10,"no.",$D162)</t>
  </si>
  <si>
    <t>=NL(1,"Prod. BOM Equipment","Fixed Prod. Time (Hours)","Production BOM No.",$D162,"version code",$E162,"Resource No.",J$10)</t>
  </si>
  <si>
    <t>=1/J162</t>
  </si>
  <si>
    <t>=IF(NL(1,"Prod. BOM Equipment","Variable Prod. Time (Hours)","Production BOM No.",$D162,"version code",$E162,"Resource No.",$J$10)="",1,NL(1,"Prod. BOM Equipment","Variable Prod. Time (Hours)","Production BOM No.",$D162,"version code",$E162,"Resource No.",$J$10))</t>
  </si>
  <si>
    <t>=1/L162</t>
  </si>
  <si>
    <t>=M162*I162</t>
  </si>
  <si>
    <t>=M162/60</t>
  </si>
  <si>
    <t>=IF(F163=0,"hide","")</t>
  </si>
  <si>
    <t>=NL(1,"item",G$10,"no.",D163)</t>
  </si>
  <si>
    <t>=NL(1,"item",H$10,"no.",$D163)</t>
  </si>
  <si>
    <t>=NL(1,"Prod. BOM Equipment","Fixed Prod. Time (Hours)","Production BOM No.",$D163,"version code",$E163,"Resource No.",J$10)</t>
  </si>
  <si>
    <t>=1/J163</t>
  </si>
  <si>
    <t>=IF(NL(1,"Prod. BOM Equipment","Variable Prod. Time (Hours)","Production BOM No.",$D163,"version code",$E163,"Resource No.",$J$10)="",1,NL(1,"Prod. BOM Equipment","Variable Prod. Time (Hours)","Production BOM No.",$D163,"version code",$E163,"Resource No.",$J$10))</t>
  </si>
  <si>
    <t>=1/L163</t>
  </si>
  <si>
    <t>=M163*I163</t>
  </si>
  <si>
    <t>=M163/60</t>
  </si>
  <si>
    <t>=IF(F164=0,"hide","")</t>
  </si>
  <si>
    <t>=NL(1,"item",G$10,"no.",D164)</t>
  </si>
  <si>
    <t>=NL(1,"item",H$10,"no.",$D164)</t>
  </si>
  <si>
    <t>=NL(1,"Prod. BOM Equipment","Fixed Prod. Time (Hours)","Production BOM No.",$D164,"version code",$E164,"Resource No.",J$10)</t>
  </si>
  <si>
    <t>=1/J164</t>
  </si>
  <si>
    <t>=IF(NL(1,"Prod. BOM Equipment","Variable Prod. Time (Hours)","Production BOM No.",$D164,"version code",$E164,"Resource No.",$J$10)="",1,NL(1,"Prod. BOM Equipment","Variable Prod. Time (Hours)","Production BOM No.",$D164,"version code",$E164,"Resource No.",$J$10))</t>
  </si>
  <si>
    <t>=1/L164</t>
  </si>
  <si>
    <t>=M164*I164</t>
  </si>
  <si>
    <t>=M164/60</t>
  </si>
  <si>
    <t>=IF(F165=0,"hide","")</t>
  </si>
  <si>
    <t>=NL(1,"item",G$10,"no.",D165)</t>
  </si>
  <si>
    <t>=NL(1,"item",H$10,"no.",$D165)</t>
  </si>
  <si>
    <t>=NL(1,"Prod. BOM Equipment","Fixed Prod. Time (Hours)","Production BOM No.",$D165,"version code",$E165,"Resource No.",J$10)</t>
  </si>
  <si>
    <t>=1/J165</t>
  </si>
  <si>
    <t>=IF(NL(1,"Prod. BOM Equipment","Variable Prod. Time (Hours)","Production BOM No.",$D165,"version code",$E165,"Resource No.",$J$10)="",1,NL(1,"Prod. BOM Equipment","Variable Prod. Time (Hours)","Production BOM No.",$D165,"version code",$E165,"Resource No.",$J$10))</t>
  </si>
  <si>
    <t>=1/L165</t>
  </si>
  <si>
    <t>=M165*I165</t>
  </si>
  <si>
    <t>=M165/60</t>
  </si>
  <si>
    <t>=IF(F166=0,"hide","")</t>
  </si>
  <si>
    <t>=NL(1,"item",G$10,"no.",D166)</t>
  </si>
  <si>
    <t>=NL(1,"item",H$10,"no.",$D166)</t>
  </si>
  <si>
    <t>=NL(1,"Prod. BOM Equipment","Fixed Prod. Time (Hours)","Production BOM No.",$D166,"version code",$E166,"Resource No.",J$10)</t>
  </si>
  <si>
    <t>=1/J166</t>
  </si>
  <si>
    <t>=IF(NL(1,"Prod. BOM Equipment","Variable Prod. Time (Hours)","Production BOM No.",$D166,"version code",$E166,"Resource No.",$J$10)="",1,NL(1,"Prod. BOM Equipment","Variable Prod. Time (Hours)","Production BOM No.",$D166,"version code",$E166,"Resource No.",$J$10))</t>
  </si>
  <si>
    <t>=1/L166</t>
  </si>
  <si>
    <t>=M166*I166</t>
  </si>
  <si>
    <t>=M166/60</t>
  </si>
  <si>
    <t>=IF(F167=0,"hide","")</t>
  </si>
  <si>
    <t>=NL(1,"item",G$10,"no.",D167)</t>
  </si>
  <si>
    <t>=NL(1,"item",H$10,"no.",$D167)</t>
  </si>
  <si>
    <t>=NL(1,"Prod. BOM Equipment","Fixed Prod. Time (Hours)","Production BOM No.",$D167,"version code",$E167,"Resource No.",J$10)</t>
  </si>
  <si>
    <t>=1/J167</t>
  </si>
  <si>
    <t>=IF(NL(1,"Prod. BOM Equipment","Variable Prod. Time (Hours)","Production BOM No.",$D167,"version code",$E167,"Resource No.",$J$10)="",1,NL(1,"Prod. BOM Equipment","Variable Prod. Time (Hours)","Production BOM No.",$D167,"version code",$E167,"Resource No.",$J$10))</t>
  </si>
  <si>
    <t>=1/L167</t>
  </si>
  <si>
    <t>=M167*I167</t>
  </si>
  <si>
    <t>=M167/60</t>
  </si>
  <si>
    <t>=IF(F168=0,"hide","")</t>
  </si>
  <si>
    <t>=NL(1,"item",G$10,"no.",D168)</t>
  </si>
  <si>
    <t>=NL(1,"item",H$10,"no.",$D168)</t>
  </si>
  <si>
    <t>=NL(1,"Prod. BOM Equipment","Fixed Prod. Time (Hours)","Production BOM No.",$D168,"version code",$E168,"Resource No.",J$10)</t>
  </si>
  <si>
    <t>=1/J168</t>
  </si>
  <si>
    <t>=IF(NL(1,"Prod. BOM Equipment","Variable Prod. Time (Hours)","Production BOM No.",$D168,"version code",$E168,"Resource No.",$J$10)="",1,NL(1,"Prod. BOM Equipment","Variable Prod. Time (Hours)","Production BOM No.",$D168,"version code",$E168,"Resource No.",$J$10))</t>
  </si>
  <si>
    <t>=1/L168</t>
  </si>
  <si>
    <t>=M168*I168</t>
  </si>
  <si>
    <t>=M168/60</t>
  </si>
  <si>
    <t>=IF(F169=0,"hide","")</t>
  </si>
  <si>
    <t>=NL(1,"item",G$10,"no.",D169)</t>
  </si>
  <si>
    <t>=NL(1,"item",H$10,"no.",$D169)</t>
  </si>
  <si>
    <t>=NL(1,"Prod. BOM Equipment","Fixed Prod. Time (Hours)","Production BOM No.",$D169,"version code",$E169,"Resource No.",J$10)</t>
  </si>
  <si>
    <t>=1/J169</t>
  </si>
  <si>
    <t>=IF(NL(1,"Prod. BOM Equipment","Variable Prod. Time (Hours)","Production BOM No.",$D169,"version code",$E169,"Resource No.",$J$10)="",1,NL(1,"Prod. BOM Equipment","Variable Prod. Time (Hours)","Production BOM No.",$D169,"version code",$E169,"Resource No.",$J$10))</t>
  </si>
  <si>
    <t>=1/L169</t>
  </si>
  <si>
    <t>=M169*I169</t>
  </si>
  <si>
    <t>=M169/60</t>
  </si>
  <si>
    <t>=IF(F170=0,"hide","")</t>
  </si>
  <si>
    <t>=NL(1,"item",G$10,"no.",D170)</t>
  </si>
  <si>
    <t>=NL(1,"item",H$10,"no.",$D170)</t>
  </si>
  <si>
    <t>=NL(1,"Prod. BOM Equipment","Fixed Prod. Time (Hours)","Production BOM No.",$D170,"version code",$E170,"Resource No.",J$10)</t>
  </si>
  <si>
    <t>=1/J170</t>
  </si>
  <si>
    <t>=IF(NL(1,"Prod. BOM Equipment","Variable Prod. Time (Hours)","Production BOM No.",$D170,"version code",$E170,"Resource No.",$J$10)="",1,NL(1,"Prod. BOM Equipment","Variable Prod. Time (Hours)","Production BOM No.",$D170,"version code",$E170,"Resource No.",$J$10))</t>
  </si>
  <si>
    <t>=1/L170</t>
  </si>
  <si>
    <t>=M170*I170</t>
  </si>
  <si>
    <t>=M170/60</t>
  </si>
  <si>
    <t>=IF(F171=0,"hide","")</t>
  </si>
  <si>
    <t>=NL(1,"item",G$10,"no.",D171)</t>
  </si>
  <si>
    <t>=NL(1,"item",H$10,"no.",$D171)</t>
  </si>
  <si>
    <t>=NL(1,"Prod. BOM Equipment","Fixed Prod. Time (Hours)","Production BOM No.",$D171,"version code",$E171,"Resource No.",J$10)</t>
  </si>
  <si>
    <t>=1/J171</t>
  </si>
  <si>
    <t>=IF(NL(1,"Prod. BOM Equipment","Variable Prod. Time (Hours)","Production BOM No.",$D171,"version code",$E171,"Resource No.",$J$10)="",1,NL(1,"Prod. BOM Equipment","Variable Prod. Time (Hours)","Production BOM No.",$D171,"version code",$E171,"Resource No.",$J$10))</t>
  </si>
  <si>
    <t>=1/L171</t>
  </si>
  <si>
    <t>=M171*I171</t>
  </si>
  <si>
    <t>=M171/60</t>
  </si>
  <si>
    <t>=IF(F172=0,"hide","")</t>
  </si>
  <si>
    <t>=NL(1,"item",G$10,"no.",D172)</t>
  </si>
  <si>
    <t>=NL(1,"item",H$10,"no.",$D172)</t>
  </si>
  <si>
    <t>=NL(1,"Prod. BOM Equipment","Fixed Prod. Time (Hours)","Production BOM No.",$D172,"version code",$E172,"Resource No.",J$10)</t>
  </si>
  <si>
    <t>=1/J172</t>
  </si>
  <si>
    <t>=IF(NL(1,"Prod. BOM Equipment","Variable Prod. Time (Hours)","Production BOM No.",$D172,"version code",$E172,"Resource No.",$J$10)="",1,NL(1,"Prod. BOM Equipment","Variable Prod. Time (Hours)","Production BOM No.",$D172,"version code",$E172,"Resource No.",$J$10))</t>
  </si>
  <si>
    <t>=1/L172</t>
  </si>
  <si>
    <t>=M172*I172</t>
  </si>
  <si>
    <t>=M172/60</t>
  </si>
  <si>
    <t>=IF(F173=0,"hide","")</t>
  </si>
  <si>
    <t>=NL(1,"item",G$10,"no.",D173)</t>
  </si>
  <si>
    <t>=NL(1,"item",H$10,"no.",$D173)</t>
  </si>
  <si>
    <t>=NL(1,"Prod. BOM Equipment","Fixed Prod. Time (Hours)","Production BOM No.",$D173,"version code",$E173,"Resource No.",J$10)</t>
  </si>
  <si>
    <t>=1/J173</t>
  </si>
  <si>
    <t>=IF(NL(1,"Prod. BOM Equipment","Variable Prod. Time (Hours)","Production BOM No.",$D173,"version code",$E173,"Resource No.",$J$10)="",1,NL(1,"Prod. BOM Equipment","Variable Prod. Time (Hours)","Production BOM No.",$D173,"version code",$E173,"Resource No.",$J$10))</t>
  </si>
  <si>
    <t>=1/L173</t>
  </si>
  <si>
    <t>=M173*I173</t>
  </si>
  <si>
    <t>=M173/60</t>
  </si>
  <si>
    <t>=IF(F174=0,"hide","")</t>
  </si>
  <si>
    <t>=NL(1,"item",G$10,"no.",D174)</t>
  </si>
  <si>
    <t>=NL(1,"item",H$10,"no.",$D174)</t>
  </si>
  <si>
    <t>=NL(1,"Prod. BOM Equipment","Fixed Prod. Time (Hours)","Production BOM No.",$D174,"version code",$E174,"Resource No.",J$10)</t>
  </si>
  <si>
    <t>=1/J174</t>
  </si>
  <si>
    <t>=IF(NL(1,"Prod. BOM Equipment","Variable Prod. Time (Hours)","Production BOM No.",$D174,"version code",$E174,"Resource No.",$J$10)="",1,NL(1,"Prod. BOM Equipment","Variable Prod. Time (Hours)","Production BOM No.",$D174,"version code",$E174,"Resource No.",$J$10))</t>
  </si>
  <si>
    <t>=1/L174</t>
  </si>
  <si>
    <t>=M174*I174</t>
  </si>
  <si>
    <t>=M174/60</t>
  </si>
  <si>
    <t>=IF(F175=0,"hide","")</t>
  </si>
  <si>
    <t>=NL(1,"item",G$10,"no.",D175)</t>
  </si>
  <si>
    <t>=NL(1,"item",H$10,"no.",$D175)</t>
  </si>
  <si>
    <t>=NL(1,"Prod. BOM Equipment","Fixed Prod. Time (Hours)","Production BOM No.",$D175,"version code",$E175,"Resource No.",J$10)</t>
  </si>
  <si>
    <t>=1/J175</t>
  </si>
  <si>
    <t>=IF(NL(1,"Prod. BOM Equipment","Variable Prod. Time (Hours)","Production BOM No.",$D175,"version code",$E175,"Resource No.",$J$10)="",1,NL(1,"Prod. BOM Equipment","Variable Prod. Time (Hours)","Production BOM No.",$D175,"version code",$E175,"Resource No.",$J$10))</t>
  </si>
  <si>
    <t>=1/L175</t>
  </si>
  <si>
    <t>=M175*I175</t>
  </si>
  <si>
    <t>=M175/60</t>
  </si>
  <si>
    <t>=IF(F176=0,"hide","")</t>
  </si>
  <si>
    <t>=NL(1,"item",G$10,"no.",D176)</t>
  </si>
  <si>
    <t>=NL(1,"item",H$10,"no.",$D176)</t>
  </si>
  <si>
    <t>=NL(1,"Prod. BOM Equipment","Fixed Prod. Time (Hours)","Production BOM No.",$D176,"version code",$E176,"Resource No.",J$10)</t>
  </si>
  <si>
    <t>=1/J176</t>
  </si>
  <si>
    <t>=IF(NL(1,"Prod. BOM Equipment","Variable Prod. Time (Hours)","Production BOM No.",$D176,"version code",$E176,"Resource No.",$J$10)="",1,NL(1,"Prod. BOM Equipment","Variable Prod. Time (Hours)","Production BOM No.",$D176,"version code",$E176,"Resource No.",$J$10))</t>
  </si>
  <si>
    <t>=1/L176</t>
  </si>
  <si>
    <t>=M176*I176</t>
  </si>
  <si>
    <t>=M176/60</t>
  </si>
  <si>
    <t>=IF(F177=0,"hide","")</t>
  </si>
  <si>
    <t>=NL(1,"item",G$10,"no.",D177)</t>
  </si>
  <si>
    <t>=NL(1,"item",H$10,"no.",$D177)</t>
  </si>
  <si>
    <t>=NL(1,"Prod. BOM Equipment","Fixed Prod. Time (Hours)","Production BOM No.",$D177,"version code",$E177,"Resource No.",J$10)</t>
  </si>
  <si>
    <t>=1/J177</t>
  </si>
  <si>
    <t>=IF(NL(1,"Prod. BOM Equipment","Variable Prod. Time (Hours)","Production BOM No.",$D177,"version code",$E177,"Resource No.",$J$10)="",1,NL(1,"Prod. BOM Equipment","Variable Prod. Time (Hours)","Production BOM No.",$D177,"version code",$E177,"Resource No.",$J$10))</t>
  </si>
  <si>
    <t>=1/L177</t>
  </si>
  <si>
    <t>=M177*I177</t>
  </si>
  <si>
    <t>=M177/60</t>
  </si>
  <si>
    <t>=IF(F178=0,"hide","")</t>
  </si>
  <si>
    <t>=NL(1,"item",G$10,"no.",D178)</t>
  </si>
  <si>
    <t>=NL(1,"item",H$10,"no.",$D178)</t>
  </si>
  <si>
    <t>=NL(1,"Prod. BOM Equipment","Fixed Prod. Time (Hours)","Production BOM No.",$D178,"version code",$E178,"Resource No.",J$10)</t>
  </si>
  <si>
    <t>=1/J178</t>
  </si>
  <si>
    <t>=IF(NL(1,"Prod. BOM Equipment","Variable Prod. Time (Hours)","Production BOM No.",$D178,"version code",$E178,"Resource No.",$J$10)="",1,NL(1,"Prod. BOM Equipment","Variable Prod. Time (Hours)","Production BOM No.",$D178,"version code",$E178,"Resource No.",$J$10))</t>
  </si>
  <si>
    <t>=1/L178</t>
  </si>
  <si>
    <t>=M178*I178</t>
  </si>
  <si>
    <t>=M178/60</t>
  </si>
  <si>
    <t>=IF(F179=0,"hide","")</t>
  </si>
  <si>
    <t>=NL(1,"item",G$10,"no.",D179)</t>
  </si>
  <si>
    <t>=NL(1,"item",H$10,"no.",$D179)</t>
  </si>
  <si>
    <t>=NL(1,"Prod. BOM Equipment","Fixed Prod. Time (Hours)","Production BOM No.",$D179,"version code",$E179,"Resource No.",J$10)</t>
  </si>
  <si>
    <t>=1/J179</t>
  </si>
  <si>
    <t>=IF(NL(1,"Prod. BOM Equipment","Variable Prod. Time (Hours)","Production BOM No.",$D179,"version code",$E179,"Resource No.",$J$10)="",1,NL(1,"Prod. BOM Equipment","Variable Prod. Time (Hours)","Production BOM No.",$D179,"version code",$E179,"Resource No.",$J$10))</t>
  </si>
  <si>
    <t>=1/L179</t>
  </si>
  <si>
    <t>=M179*I179</t>
  </si>
  <si>
    <t>=M179/60</t>
  </si>
  <si>
    <t>=IF(F180=0,"hide","")</t>
  </si>
  <si>
    <t>=NL(1,"item",G$10,"no.",D180)</t>
  </si>
  <si>
    <t>=NL(1,"item",H$10,"no.",$D180)</t>
  </si>
  <si>
    <t>=NL(1,"Prod. BOM Equipment","Fixed Prod. Time (Hours)","Production BOM No.",$D180,"version code",$E180,"Resource No.",J$10)</t>
  </si>
  <si>
    <t>=1/J180</t>
  </si>
  <si>
    <t>=IF(NL(1,"Prod. BOM Equipment","Variable Prod. Time (Hours)","Production BOM No.",$D180,"version code",$E180,"Resource No.",$J$10)="",1,NL(1,"Prod. BOM Equipment","Variable Prod. Time (Hours)","Production BOM No.",$D180,"version code",$E180,"Resource No.",$J$10))</t>
  </si>
  <si>
    <t>=1/L180</t>
  </si>
  <si>
    <t>=M180*I180</t>
  </si>
  <si>
    <t>=M180/60</t>
  </si>
  <si>
    <t>=IF(F181=0,"hide","")</t>
  </si>
  <si>
    <t>=NL(1,"item",G$10,"no.",D181)</t>
  </si>
  <si>
    <t>=NL(1,"item",H$10,"no.",$D181)</t>
  </si>
  <si>
    <t>=NL(1,"Prod. BOM Equipment","Fixed Prod. Time (Hours)","Production BOM No.",$D181,"version code",$E181,"Resource No.",J$10)</t>
  </si>
  <si>
    <t>=1/J181</t>
  </si>
  <si>
    <t>=IF(NL(1,"Prod. BOM Equipment","Variable Prod. Time (Hours)","Production BOM No.",$D181,"version code",$E181,"Resource No.",$J$10)="",1,NL(1,"Prod. BOM Equipment","Variable Prod. Time (Hours)","Production BOM No.",$D181,"version code",$E181,"Resource No.",$J$10))</t>
  </si>
  <si>
    <t>=1/L181</t>
  </si>
  <si>
    <t>=M181*I181</t>
  </si>
  <si>
    <t>=M181/60</t>
  </si>
  <si>
    <t>=IF(F182=0,"hide","")</t>
  </si>
  <si>
    <t>=NL(1,"item",G$10,"no.",D182)</t>
  </si>
  <si>
    <t>=NL(1,"item",H$10,"no.",$D182)</t>
  </si>
  <si>
    <t>=NL(1,"Prod. BOM Equipment","Fixed Prod. Time (Hours)","Production BOM No.",$D182,"version code",$E182,"Resource No.",J$10)</t>
  </si>
  <si>
    <t>=1/J182</t>
  </si>
  <si>
    <t>=IF(NL(1,"Prod. BOM Equipment","Variable Prod. Time (Hours)","Production BOM No.",$D182,"version code",$E182,"Resource No.",$J$10)="",1,NL(1,"Prod. BOM Equipment","Variable Prod. Time (Hours)","Production BOM No.",$D182,"version code",$E182,"Resource No.",$J$10))</t>
  </si>
  <si>
    <t>=1/L182</t>
  </si>
  <si>
    <t>=M182*I182</t>
  </si>
  <si>
    <t>=M182/60</t>
  </si>
  <si>
    <t>=IF(F183=0,"hide","")</t>
  </si>
  <si>
    <t>=NL(1,"item",G$10,"no.",D183)</t>
  </si>
  <si>
    <t>=NL(1,"item",H$10,"no.",$D183)</t>
  </si>
  <si>
    <t>=NL(1,"Prod. BOM Equipment","Fixed Prod. Time (Hours)","Production BOM No.",$D183,"version code",$E183,"Resource No.",J$10)</t>
  </si>
  <si>
    <t>=1/J183</t>
  </si>
  <si>
    <t>=IF(NL(1,"Prod. BOM Equipment","Variable Prod. Time (Hours)","Production BOM No.",$D183,"version code",$E183,"Resource No.",$J$10)="",1,NL(1,"Prod. BOM Equipment","Variable Prod. Time (Hours)","Production BOM No.",$D183,"version code",$E183,"Resource No.",$J$10))</t>
  </si>
  <si>
    <t>=1/L183</t>
  </si>
  <si>
    <t>=M183*I183</t>
  </si>
  <si>
    <t>=M183/60</t>
  </si>
  <si>
    <t>=IF(F184=0,"hide","")</t>
  </si>
  <si>
    <t>=NL(1,"item",G$10,"no.",D184)</t>
  </si>
  <si>
    <t>=NL(1,"item",H$10,"no.",$D184)</t>
  </si>
  <si>
    <t>=NL(1,"Prod. BOM Equipment","Fixed Prod. Time (Hours)","Production BOM No.",$D184,"version code",$E184,"Resource No.",J$10)</t>
  </si>
  <si>
    <t>=1/J184</t>
  </si>
  <si>
    <t>=IF(NL(1,"Prod. BOM Equipment","Variable Prod. Time (Hours)","Production BOM No.",$D184,"version code",$E184,"Resource No.",$J$10)="",1,NL(1,"Prod. BOM Equipment","Variable Prod. Time (Hours)","Production BOM No.",$D184,"version code",$E184,"Resource No.",$J$10))</t>
  </si>
  <si>
    <t>=1/L184</t>
  </si>
  <si>
    <t>=M184*I184</t>
  </si>
  <si>
    <t>=M184/60</t>
  </si>
  <si>
    <t>=IF(F185=0,"hide","")</t>
  </si>
  <si>
    <t>=NL(1,"item",G$10,"no.",D185)</t>
  </si>
  <si>
    <t>=NL(1,"item",H$10,"no.",$D185)</t>
  </si>
  <si>
    <t>=NL(1,"Prod. BOM Equipment","Fixed Prod. Time (Hours)","Production BOM No.",$D185,"version code",$E185,"Resource No.",J$10)</t>
  </si>
  <si>
    <t>=1/J185</t>
  </si>
  <si>
    <t>=IF(NL(1,"Prod. BOM Equipment","Variable Prod. Time (Hours)","Production BOM No.",$D185,"version code",$E185,"Resource No.",$J$10)="",1,NL(1,"Prod. BOM Equipment","Variable Prod. Time (Hours)","Production BOM No.",$D185,"version code",$E185,"Resource No.",$J$10))</t>
  </si>
  <si>
    <t>=1/L185</t>
  </si>
  <si>
    <t>=M185*I185</t>
  </si>
  <si>
    <t>=M185/60</t>
  </si>
  <si>
    <t>=IF(F186=0,"hide","")</t>
  </si>
  <si>
    <t>=NL(1,"item",G$10,"no.",D186)</t>
  </si>
  <si>
    <t>=NL(1,"item",H$10,"no.",$D186)</t>
  </si>
  <si>
    <t>=NL(1,"Prod. BOM Equipment","Fixed Prod. Time (Hours)","Production BOM No.",$D186,"version code",$E186,"Resource No.",J$10)</t>
  </si>
  <si>
    <t>=1/J186</t>
  </si>
  <si>
    <t>=IF(NL(1,"Prod. BOM Equipment","Variable Prod. Time (Hours)","Production BOM No.",$D186,"version code",$E186,"Resource No.",$J$10)="",1,NL(1,"Prod. BOM Equipment","Variable Prod. Time (Hours)","Production BOM No.",$D186,"version code",$E186,"Resource No.",$J$10))</t>
  </si>
  <si>
    <t>=1/L186</t>
  </si>
  <si>
    <t>=M186*I186</t>
  </si>
  <si>
    <t>=M186/60</t>
  </si>
  <si>
    <t>=IF(F187=0,"hide","")</t>
  </si>
  <si>
    <t>=NL(1,"item",G$10,"no.",D187)</t>
  </si>
  <si>
    <t>=NL(1,"item",H$10,"no.",$D187)</t>
  </si>
  <si>
    <t>=NL(1,"Prod. BOM Equipment","Fixed Prod. Time (Hours)","Production BOM No.",$D187,"version code",$E187,"Resource No.",J$10)</t>
  </si>
  <si>
    <t>=1/J187</t>
  </si>
  <si>
    <t>=IF(NL(1,"Prod. BOM Equipment","Variable Prod. Time (Hours)","Production BOM No.",$D187,"version code",$E187,"Resource No.",$J$10)="",1,NL(1,"Prod. BOM Equipment","Variable Prod. Time (Hours)","Production BOM No.",$D187,"version code",$E187,"Resource No.",$J$10))</t>
  </si>
  <si>
    <t>=1/L187</t>
  </si>
  <si>
    <t>=M187*I187</t>
  </si>
  <si>
    <t>=M187/60</t>
  </si>
  <si>
    <t>=IF(F188=0,"hide","")</t>
  </si>
  <si>
    <t>=NL(1,"item",G$10,"no.",D188)</t>
  </si>
  <si>
    <t>=NL(1,"item",H$10,"no.",$D188)</t>
  </si>
  <si>
    <t>=NL(1,"Prod. BOM Equipment","Fixed Prod. Time (Hours)","Production BOM No.",$D188,"version code",$E188,"Resource No.",J$10)</t>
  </si>
  <si>
    <t>=1/J188</t>
  </si>
  <si>
    <t>=IF(NL(1,"Prod. BOM Equipment","Variable Prod. Time (Hours)","Production BOM No.",$D188,"version code",$E188,"Resource No.",$J$10)="",1,NL(1,"Prod. BOM Equipment","Variable Prod. Time (Hours)","Production BOM No.",$D188,"version code",$E188,"Resource No.",$J$10))</t>
  </si>
  <si>
    <t>=1/L188</t>
  </si>
  <si>
    <t>=M188*I188</t>
  </si>
  <si>
    <t>=M188/60</t>
  </si>
  <si>
    <t>=IF(F189=0,"hide","")</t>
  </si>
  <si>
    <t>=NL(1,"item",G$10,"no.",D189)</t>
  </si>
  <si>
    <t>=NL(1,"item",H$10,"no.",$D189)</t>
  </si>
  <si>
    <t>=NL(1,"Prod. BOM Equipment","Fixed Prod. Time (Hours)","Production BOM No.",$D189,"version code",$E189,"Resource No.",J$10)</t>
  </si>
  <si>
    <t>=1/J189</t>
  </si>
  <si>
    <t>=IF(NL(1,"Prod. BOM Equipment","Variable Prod. Time (Hours)","Production BOM No.",$D189,"version code",$E189,"Resource No.",$J$10)="",1,NL(1,"Prod. BOM Equipment","Variable Prod. Time (Hours)","Production BOM No.",$D189,"version code",$E189,"Resource No.",$J$10))</t>
  </si>
  <si>
    <t>=1/L189</t>
  </si>
  <si>
    <t>=M189*I189</t>
  </si>
  <si>
    <t>=M189/60</t>
  </si>
  <si>
    <t>=IF(F190=0,"hide","")</t>
  </si>
  <si>
    <t>=NL(1,"item",G$10,"no.",D190)</t>
  </si>
  <si>
    <t>=NL(1,"item",H$10,"no.",$D190)</t>
  </si>
  <si>
    <t>=NL(1,"Prod. BOM Equipment","Fixed Prod. Time (Hours)","Production BOM No.",$D190,"version code",$E190,"Resource No.",J$10)</t>
  </si>
  <si>
    <t>=1/J190</t>
  </si>
  <si>
    <t>=IF(NL(1,"Prod. BOM Equipment","Variable Prod. Time (Hours)","Production BOM No.",$D190,"version code",$E190,"Resource No.",$J$10)="",1,NL(1,"Prod. BOM Equipment","Variable Prod. Time (Hours)","Production BOM No.",$D190,"version code",$E190,"Resource No.",$J$10))</t>
  </si>
  <si>
    <t>=1/L190</t>
  </si>
  <si>
    <t>=M190*I190</t>
  </si>
  <si>
    <t>=M190/60</t>
  </si>
  <si>
    <t>=IF(F191=0,"hide","")</t>
  </si>
  <si>
    <t>=NL(1,"item",G$10,"no.",D191)</t>
  </si>
  <si>
    <t>=NL(1,"item",H$10,"no.",$D191)</t>
  </si>
  <si>
    <t>=NL(1,"Prod. BOM Equipment","Fixed Prod. Time (Hours)","Production BOM No.",$D191,"version code",$E191,"Resource No.",J$10)</t>
  </si>
  <si>
    <t>=1/J191</t>
  </si>
  <si>
    <t>=IF(NL(1,"Prod. BOM Equipment","Variable Prod. Time (Hours)","Production BOM No.",$D191,"version code",$E191,"Resource No.",$J$10)="",1,NL(1,"Prod. BOM Equipment","Variable Prod. Time (Hours)","Production BOM No.",$D191,"version code",$E191,"Resource No.",$J$10))</t>
  </si>
  <si>
    <t>=1/L191</t>
  </si>
  <si>
    <t>=M191*I191</t>
  </si>
  <si>
    <t>=M191/60</t>
  </si>
  <si>
    <t>=NL("rows","Prod. BOM Equipment","Production Bom No.","Resource No.",$G$4,"Production Bom No.",ItemNoFilter)</t>
  </si>
  <si>
    <t>LINE -LOCATION (Eqp Code)</t>
  </si>
  <si>
    <t>Line -Location (Equipment Code)</t>
  </si>
  <si>
    <t>EQUIPMENT by ITEM FG Pkg BOM Listing -w Cycle Times per CASE</t>
  </si>
  <si>
    <t>Auto+Hidesheet+Values+Hide+Formulas=Sheet21,Sheet22+FormulasOnly</t>
  </si>
  <si>
    <t>Auto+Hide+Values+Formulas=Sheet23,Sheet24+FormulasOnly</t>
  </si>
  <si>
    <t>Auto+Hidesheet+Values+Hide+Formulas=Sheet36,Sheet21,Sheet22</t>
  </si>
  <si>
    <t>Auto+Hidesheet+Values+Hide+Formulas=Sheet36,Sheet21,Sheet22+FormulasOnly</t>
  </si>
  <si>
    <t>Auto+Hide+Values+Formulas=Sheet37,Sheet23,Sheet24</t>
  </si>
  <si>
    <t>=NL("rows","Production BOM Version","Version Code","Production BOM No.",D110,"status","certified")</t>
  </si>
  <si>
    <t>=NL("rows","Production BOM Version","Version Code","Production BOM No.",D112,"status","certified")</t>
  </si>
  <si>
    <t>=NL("rows","Production BOM Version","Version Code","Production BOM No.",D190,"status","certified")</t>
  </si>
  <si>
    <t>Auto+Hide+Values+Formulas=Sheet37,Sheet23,Sheet24+FormulasOnly</t>
  </si>
  <si>
    <t>Auto+Hide+Values+Formulas=Sheet38,Sheet23,Sheet24+AutoSheet</t>
  </si>
  <si>
    <t>Auto+Hide+Values+Formulas=Sheet38,Sheet23,Sheet24+AutoSheet+FormulasOnly</t>
  </si>
  <si>
    <t>Auto+Hide+Values+Formulas=Sheet39,Sheet23,Sheet24+AutoSheet</t>
  </si>
  <si>
    <t>Auto+Hide+Values+Formulas=Sheet39,Sheet23,Sheet24+AutoSheet+FormulasOnly</t>
  </si>
  <si>
    <t>Auto+Hide+Values+Formulas=Sheet40,Sheet23,Sheet24+AutoSheet</t>
  </si>
  <si>
    <t>Auto+Hide+Values+Formulas=Sheet40,Sheet23,Sheet24+AutoSheet+FormulasOnly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</si>
</sst>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_);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* #,##0_);_(* \(#,##0\);_(* &quot;-&quot;??_);_(@_)"/>
    <numFmt numFmtId="168" formatCode="_(* #,##0.00000_);_(* \(#,##0.00000\);_(* &quot;-&quot;??_);_(@_)"/>
    <numFmt numFmtId="169" formatCode="#,##0.00000_);\(#,##0.00000\)"/>
    <numFmt numFmtId="170" formatCode="#,##0_);\(#,##0\)"/>
    <numFmt numFmtId="171" formatCode="0.000"/>
  </numFmts>
  <fonts count="22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u/>
      <sz val="18"/>
      <name val="Arial"/>
      <family val="2"/>
    </font>
    <font>
      <b/>
      <u/>
      <sz val="14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u/>
      <sz val="22"/>
      <name val="Arial"/>
      <family val="2"/>
    </font>
    <font>
      <b/>
      <sz val="8"/>
      <name val="Arial"/>
      <family val="2"/>
    </font>
    <font>
      <b/>
      <u/>
      <sz val="20"/>
      <name val="Arial"/>
      <family val="2"/>
    </font>
    <font>
      <sz val="10"/>
      <name val="Arial"/>
      <family val="2"/>
    </font>
    <font>
      <sz val="6"/>
      <name val="Arial"/>
      <family val="2"/>
    </font>
    <font>
      <b/>
      <i/>
      <sz val="10"/>
      <name val="Arial"/>
      <family val="2"/>
    </font>
    <font>
      <b/>
      <sz val="8"/>
      <name val="Arial Narro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u/>
      <sz val="16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3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5" fillId="0" borderId="0"/>
    <xf numFmtId="0" fontId="16" fillId="0" borderId="0"/>
    <xf numFmtId="0" fontId="17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0" fillId="0" borderId="0"/>
  </cellStyleXfs>
  <cellXfs count="84">
    <xf numFmtId="0" fontId="0" fillId="0" borderId="0" xfId="0"/>
    <xf numFmtId="0" fontId="3" fillId="0" borderId="0" xfId="0" applyFont="1"/>
    <xf numFmtId="0" fontId="4" fillId="0" borderId="0" xfId="0" applyFont="1"/>
    <xf numFmtId="0" fontId="0" fillId="2" borderId="1" xfId="0" applyFill="1" applyBorder="1"/>
    <xf numFmtId="0" fontId="0" fillId="2" borderId="2" xfId="0" applyFill="1" applyBorder="1"/>
    <xf numFmtId="0" fontId="6" fillId="0" borderId="0" xfId="0" applyFont="1"/>
    <xf numFmtId="0" fontId="7" fillId="0" borderId="0" xfId="0" applyFont="1"/>
    <xf numFmtId="164" fontId="1" fillId="0" borderId="0" xfId="2" applyNumberFormat="1" applyAlignment="1">
      <alignment horizontal="center"/>
    </xf>
    <xf numFmtId="0" fontId="5" fillId="0" borderId="0" xfId="0" applyFont="1"/>
    <xf numFmtId="0" fontId="9" fillId="0" borderId="0" xfId="0" applyFont="1"/>
    <xf numFmtId="0" fontId="0" fillId="3" borderId="0" xfId="0" applyFill="1"/>
    <xf numFmtId="0" fontId="0" fillId="4" borderId="3" xfId="0" applyFill="1" applyBorder="1"/>
    <xf numFmtId="168" fontId="5" fillId="0" borderId="0" xfId="1" applyNumberFormat="1" applyFont="1" applyAlignment="1">
      <alignment horizontal="right"/>
    </xf>
    <xf numFmtId="168" fontId="10" fillId="0" borderId="0" xfId="1" applyNumberFormat="1" applyFont="1" applyAlignment="1">
      <alignment horizontal="right"/>
    </xf>
    <xf numFmtId="0" fontId="11" fillId="0" borderId="0" xfId="0" applyFont="1"/>
    <xf numFmtId="0" fontId="5" fillId="0" borderId="0" xfId="0" applyFont="1" applyAlignment="1">
      <alignment horizontal="center"/>
    </xf>
    <xf numFmtId="0" fontId="10" fillId="2" borderId="0" xfId="0" applyFont="1" applyFill="1"/>
    <xf numFmtId="0" fontId="2" fillId="5" borderId="1" xfId="0" applyFont="1" applyFill="1" applyBorder="1"/>
    <xf numFmtId="0" fontId="6" fillId="5" borderId="4" xfId="0" applyFont="1" applyFill="1" applyBorder="1" applyAlignment="1">
      <alignment horizontal="center" wrapText="1"/>
    </xf>
    <xf numFmtId="0" fontId="2" fillId="5" borderId="4" xfId="0" applyFont="1" applyFill="1" applyBorder="1"/>
    <xf numFmtId="0" fontId="2" fillId="6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12" fillId="4" borderId="0" xfId="0" applyFont="1" applyFill="1"/>
    <xf numFmtId="168" fontId="13" fillId="6" borderId="5" xfId="2" applyNumberFormat="1" applyFont="1" applyFill="1" applyBorder="1" applyAlignment="1">
      <alignment horizontal="center" wrapText="1"/>
    </xf>
    <xf numFmtId="0" fontId="13" fillId="6" borderId="5" xfId="0" applyFont="1" applyFill="1" applyBorder="1" applyAlignment="1">
      <alignment horizontal="center"/>
    </xf>
    <xf numFmtId="0" fontId="13" fillId="6" borderId="5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wrapText="1"/>
    </xf>
    <xf numFmtId="167" fontId="1" fillId="0" borderId="0" xfId="1" applyNumberFormat="1" applyAlignment="1">
      <alignment horizontal="center"/>
    </xf>
    <xf numFmtId="167" fontId="8" fillId="6" borderId="0" xfId="0" applyNumberFormat="1" applyFont="1" applyFill="1"/>
    <xf numFmtId="168" fontId="8" fillId="7" borderId="1" xfId="1" applyNumberFormat="1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wrapText="1"/>
    </xf>
    <xf numFmtId="168" fontId="13" fillId="6" borderId="6" xfId="2" applyNumberFormat="1" applyFont="1" applyFill="1" applyBorder="1" applyAlignment="1">
      <alignment horizontal="center" wrapText="1"/>
    </xf>
    <xf numFmtId="0" fontId="0" fillId="0" borderId="7" xfId="0" applyBorder="1"/>
    <xf numFmtId="0" fontId="5" fillId="0" borderId="0" xfId="1" applyNumberFormat="1" applyFont="1" applyAlignment="1">
      <alignment horizontal="right"/>
    </xf>
    <xf numFmtId="0" fontId="1" fillId="0" borderId="0" xfId="0" applyFont="1"/>
    <xf numFmtId="167" fontId="8" fillId="7" borderId="1" xfId="1" applyNumberFormat="1" applyFont="1" applyFill="1" applyBorder="1" applyAlignment="1">
      <alignment horizontal="center" vertical="center"/>
    </xf>
    <xf numFmtId="169" fontId="8" fillId="0" borderId="7" xfId="1" applyNumberFormat="1" applyFont="1" applyBorder="1" applyAlignment="1">
      <alignment horizontal="right"/>
    </xf>
    <xf numFmtId="168" fontId="13" fillId="8" borderId="5" xfId="2" applyNumberFormat="1" applyFont="1" applyFill="1" applyBorder="1" applyAlignment="1">
      <alignment horizontal="center" wrapText="1"/>
    </xf>
    <xf numFmtId="0" fontId="13" fillId="8" borderId="5" xfId="0" applyFont="1" applyFill="1" applyBorder="1" applyAlignment="1">
      <alignment horizontal="center" wrapText="1"/>
    </xf>
    <xf numFmtId="0" fontId="18" fillId="5" borderId="1" xfId="0" applyFont="1" applyFill="1" applyBorder="1" applyAlignment="1">
      <alignment horizontal="center" wrapText="1"/>
    </xf>
    <xf numFmtId="0" fontId="0" fillId="0" borderId="0" xfId="0" quotePrefix="1"/>
    <xf numFmtId="14" fontId="0" fillId="0" borderId="0" xfId="0" applyNumberFormat="1"/>
    <xf numFmtId="16" fontId="0" fillId="0" borderId="0" xfId="0" applyNumberFormat="1"/>
    <xf numFmtId="2" fontId="0" fillId="0" borderId="0" xfId="0" applyNumberFormat="1"/>
    <xf numFmtId="168" fontId="13" fillId="8" borderId="5" xfId="11" applyNumberFormat="1" applyFont="1" applyFill="1" applyBorder="1" applyAlignment="1">
      <alignment horizontal="center" wrapText="1"/>
    </xf>
    <xf numFmtId="170" fontId="5" fillId="0" borderId="0" xfId="1" applyNumberFormat="1" applyFont="1" applyAlignment="1">
      <alignment horizontal="right"/>
    </xf>
    <xf numFmtId="170" fontId="1" fillId="0" borderId="0" xfId="1" applyNumberFormat="1" applyFont="1" applyAlignment="1">
      <alignment horizontal="right"/>
    </xf>
    <xf numFmtId="168" fontId="0" fillId="0" borderId="0" xfId="0" applyNumberFormat="1" applyAlignment="1">
      <alignment horizontal="right"/>
    </xf>
    <xf numFmtId="0" fontId="0" fillId="7" borderId="0" xfId="0" applyFill="1"/>
    <xf numFmtId="0" fontId="1" fillId="0" borderId="0" xfId="0" applyFont="1" applyAlignment="1">
      <alignment wrapText="1"/>
    </xf>
    <xf numFmtId="0" fontId="2" fillId="6" borderId="0" xfId="0" applyFont="1" applyFill="1" applyAlignment="1">
      <alignment horizontal="left"/>
    </xf>
    <xf numFmtId="167" fontId="2" fillId="6" borderId="0" xfId="0" applyNumberFormat="1" applyFont="1" applyFill="1" applyAlignment="1">
      <alignment horizontal="left"/>
    </xf>
    <xf numFmtId="169" fontId="8" fillId="0" borderId="9" xfId="1" applyNumberFormat="1" applyFont="1" applyBorder="1" applyAlignment="1">
      <alignment horizontal="right"/>
    </xf>
    <xf numFmtId="2" fontId="19" fillId="9" borderId="0" xfId="0" applyNumberFormat="1" applyFont="1" applyFill="1"/>
    <xf numFmtId="0" fontId="19" fillId="9" borderId="0" xfId="0" applyFont="1" applyFill="1"/>
    <xf numFmtId="168" fontId="8" fillId="9" borderId="10" xfId="1" applyNumberFormat="1" applyFont="1" applyFill="1" applyBorder="1" applyAlignment="1">
      <alignment horizontal="center" vertical="center"/>
    </xf>
    <xf numFmtId="0" fontId="0" fillId="10" borderId="0" xfId="0" applyFill="1"/>
    <xf numFmtId="0" fontId="0" fillId="6" borderId="0" xfId="0" applyFill="1"/>
    <xf numFmtId="0" fontId="2" fillId="0" borderId="0" xfId="0" applyFont="1"/>
    <xf numFmtId="0" fontId="2" fillId="4" borderId="3" xfId="0" applyFont="1" applyFill="1" applyBorder="1"/>
    <xf numFmtId="168" fontId="2" fillId="0" borderId="8" xfId="1" applyNumberFormat="1" applyFont="1" applyBorder="1" applyAlignment="1">
      <alignment horizontal="right"/>
    </xf>
    <xf numFmtId="164" fontId="2" fillId="0" borderId="8" xfId="2" applyNumberFormat="1" applyFont="1" applyBorder="1" applyAlignment="1">
      <alignment horizontal="center"/>
    </xf>
    <xf numFmtId="167" fontId="2" fillId="0" borderId="8" xfId="1" applyNumberFormat="1" applyFont="1" applyBorder="1" applyAlignment="1">
      <alignment horizontal="center"/>
    </xf>
    <xf numFmtId="0" fontId="18" fillId="0" borderId="8" xfId="0" applyFont="1" applyBorder="1"/>
    <xf numFmtId="0" fontId="8" fillId="0" borderId="8" xfId="0" applyFont="1" applyBorder="1"/>
    <xf numFmtId="0" fontId="8" fillId="0" borderId="8" xfId="0" applyFont="1" applyBorder="1" applyAlignment="1">
      <alignment horizontal="center"/>
    </xf>
    <xf numFmtId="168" fontId="8" fillId="0" borderId="8" xfId="1" applyNumberFormat="1" applyFont="1" applyBorder="1" applyAlignment="1">
      <alignment horizontal="right"/>
    </xf>
    <xf numFmtId="0" fontId="8" fillId="0" borderId="8" xfId="1" applyNumberFormat="1" applyFont="1" applyBorder="1" applyAlignment="1">
      <alignment horizontal="right"/>
    </xf>
    <xf numFmtId="170" fontId="2" fillId="0" borderId="8" xfId="1" applyNumberFormat="1" applyFont="1" applyBorder="1" applyAlignment="1">
      <alignment horizontal="right"/>
    </xf>
    <xf numFmtId="170" fontId="8" fillId="0" borderId="8" xfId="1" applyNumberFormat="1" applyFont="1" applyBorder="1" applyAlignment="1">
      <alignment horizontal="right"/>
    </xf>
    <xf numFmtId="168" fontId="8" fillId="7" borderId="11" xfId="1" applyNumberFormat="1" applyFont="1" applyFill="1" applyBorder="1" applyAlignment="1">
      <alignment horizontal="center" vertical="center"/>
    </xf>
    <xf numFmtId="0" fontId="7" fillId="0" borderId="2" xfId="0" applyFont="1" applyBorder="1"/>
    <xf numFmtId="0" fontId="8" fillId="0" borderId="4" xfId="0" applyFont="1" applyBorder="1"/>
    <xf numFmtId="0" fontId="2" fillId="0" borderId="1" xfId="0" applyFont="1" applyBorder="1" applyAlignment="1">
      <alignment horizontal="center"/>
    </xf>
    <xf numFmtId="0" fontId="1" fillId="10" borderId="0" xfId="0" applyFont="1" applyFill="1"/>
    <xf numFmtId="168" fontId="8" fillId="7" borderId="1" xfId="1" applyNumberFormat="1" applyFont="1" applyFill="1" applyBorder="1" applyAlignment="1">
      <alignment horizontal="center" vertical="center" wrapText="1"/>
    </xf>
    <xf numFmtId="168" fontId="8" fillId="10" borderId="1" xfId="1" applyNumberFormat="1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horizontal="center" vertical="center"/>
    </xf>
    <xf numFmtId="168" fontId="0" fillId="0" borderId="0" xfId="0" applyNumberFormat="1"/>
    <xf numFmtId="171" fontId="0" fillId="0" borderId="0" xfId="0" applyNumberFormat="1"/>
    <xf numFmtId="0" fontId="5" fillId="10" borderId="2" xfId="0" applyFont="1" applyFill="1" applyBorder="1" applyAlignment="1">
      <alignment horizontal="center" vertical="center" wrapText="1"/>
    </xf>
    <xf numFmtId="168" fontId="13" fillId="10" borderId="5" xfId="11" applyNumberFormat="1" applyFont="1" applyFill="1" applyBorder="1" applyAlignment="1">
      <alignment horizontal="center" wrapText="1"/>
    </xf>
    <xf numFmtId="0" fontId="21" fillId="0" borderId="0" xfId="0" applyFont="1"/>
  </cellXfs>
  <cellStyles count="13">
    <cellStyle name="Comma" xfId="1" builtinId="3"/>
    <cellStyle name="Comma 2" xfId="4" xr:uid="{00000000-0005-0000-0000-000001000000}"/>
    <cellStyle name="Comma 2 2" xfId="10" xr:uid="{07DDCEF1-6AB2-46E0-8B5E-DE8E301FED1E}"/>
    <cellStyle name="Currency" xfId="2" builtinId="4"/>
    <cellStyle name="Currency 2" xfId="5" xr:uid="{00000000-0005-0000-0000-000003000000}"/>
    <cellStyle name="Currency 2 2" xfId="11" xr:uid="{99103062-A4FC-4B4A-BCAF-7555BF8C65F7}"/>
    <cellStyle name="Normal" xfId="0" builtinId="0"/>
    <cellStyle name="Normal 2" xfId="3" xr:uid="{00000000-0005-0000-0000-000005000000}"/>
    <cellStyle name="Normal 2 2" xfId="6" xr:uid="{00000000-0005-0000-0000-000006000000}"/>
    <cellStyle name="Normal 2 3" xfId="7" xr:uid="{00000000-0005-0000-0000-000007000000}"/>
    <cellStyle name="Normal 2 4" xfId="8" xr:uid="{47844D54-2534-4956-BBCE-DBEA9765C852}"/>
    <cellStyle name="Normal 2 5" xfId="9" xr:uid="{0CC2EEC8-DAF3-4D8D-9F5F-CDAAFD41F506}"/>
    <cellStyle name="Normal 2 6" xfId="12" xr:uid="{C3800C5B-E3C5-4317-A501-23A435EA57A3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12"/>
  <sheetViews>
    <sheetView topLeftCell="B2" workbookViewId="0">
      <selection activeCell="C17" sqref="C17"/>
    </sheetView>
  </sheetViews>
  <sheetFormatPr defaultRowHeight="13.2" x14ac:dyDescent="0.25"/>
  <cols>
    <col min="1" max="1" width="9.109375" hidden="1" customWidth="1"/>
    <col min="3" max="3" width="24.6640625" customWidth="1"/>
    <col min="4" max="4" width="13.5546875" customWidth="1"/>
  </cols>
  <sheetData>
    <row r="1" spans="1:4" hidden="1" x14ac:dyDescent="0.25">
      <c r="A1" t="s">
        <v>6</v>
      </c>
    </row>
    <row r="3" spans="1:4" ht="17.399999999999999" x14ac:dyDescent="0.3">
      <c r="C3" s="2" t="s">
        <v>1075</v>
      </c>
    </row>
    <row r="6" spans="1:4" ht="21" customHeight="1" x14ac:dyDescent="0.25">
      <c r="A6" s="35"/>
      <c r="C6" s="22" t="s">
        <v>11</v>
      </c>
      <c r="D6" s="21" t="s">
        <v>14</v>
      </c>
    </row>
    <row r="7" spans="1:4" ht="21" customHeight="1" x14ac:dyDescent="0.25">
      <c r="A7" s="35"/>
      <c r="C7" s="10" t="s">
        <v>7</v>
      </c>
      <c r="D7" s="10">
        <v>10</v>
      </c>
    </row>
    <row r="8" spans="1:4" ht="21" customHeight="1" thickBot="1" x14ac:dyDescent="0.3"/>
    <row r="9" spans="1:4" ht="46.5" customHeight="1" thickBot="1" x14ac:dyDescent="0.3">
      <c r="C9" s="76" t="s">
        <v>888</v>
      </c>
      <c r="D9" s="30" t="s">
        <v>15</v>
      </c>
    </row>
    <row r="10" spans="1:4" ht="21" customHeight="1" thickBot="1" x14ac:dyDescent="0.3">
      <c r="C10" s="29" t="s">
        <v>549</v>
      </c>
      <c r="D10" s="30" t="s">
        <v>17</v>
      </c>
    </row>
    <row r="11" spans="1:4" ht="21" customHeight="1" x14ac:dyDescent="0.25"/>
    <row r="12" spans="1:4" ht="21" customHeight="1" x14ac:dyDescent="0.25">
      <c r="C12" s="57" t="s">
        <v>907</v>
      </c>
      <c r="D12" s="75" t="s">
        <v>14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07D57-797F-4125-B4BD-0A943A77D0E2}">
  <dimension ref="A1:S5727"/>
  <sheetViews>
    <sheetView topLeftCell="D2" zoomScale="110" zoomScaleNormal="110" workbookViewId="0">
      <selection activeCell="A2" sqref="A2"/>
    </sheetView>
  </sheetViews>
  <sheetFormatPr defaultRowHeight="13.2" x14ac:dyDescent="0.25"/>
  <cols>
    <col min="1" max="1" width="12.44140625" hidden="1" customWidth="1"/>
    <col min="2" max="2" width="18.5546875" hidden="1" customWidth="1"/>
    <col min="3" max="3" width="5.44140625" hidden="1" customWidth="1"/>
    <col min="4" max="4" width="14.5546875" customWidth="1"/>
    <col min="5" max="5" width="5.5546875" hidden="1" customWidth="1"/>
    <col min="6" max="9" width="9.33203125" hidden="1" customWidth="1"/>
    <col min="10" max="10" width="9.33203125" customWidth="1"/>
    <col min="11" max="11" width="9.33203125" hidden="1" customWidth="1"/>
    <col min="12" max="12" width="25" customWidth="1"/>
    <col min="13" max="13" width="14.88671875" customWidth="1"/>
    <col min="14" max="14" width="6.6640625" style="8" customWidth="1"/>
    <col min="15" max="15" width="9.109375" hidden="1" customWidth="1"/>
    <col min="16" max="16" width="10" hidden="1" customWidth="1"/>
    <col min="17" max="17" width="9.5546875" hidden="1" customWidth="1"/>
    <col min="18" max="18" width="8.109375" customWidth="1"/>
    <col min="19" max="19" width="9" customWidth="1"/>
  </cols>
  <sheetData>
    <row r="1" spans="1:19" ht="39" hidden="1" customHeight="1" x14ac:dyDescent="0.4">
      <c r="A1" s="35" t="s">
        <v>48025</v>
      </c>
      <c r="B1" t="s">
        <v>9</v>
      </c>
      <c r="C1" s="16" t="s">
        <v>5</v>
      </c>
      <c r="D1" s="1"/>
      <c r="E1" s="16" t="s">
        <v>5</v>
      </c>
      <c r="F1" s="16" t="s">
        <v>5</v>
      </c>
      <c r="G1" s="16" t="s">
        <v>5</v>
      </c>
      <c r="H1" s="16" t="s">
        <v>5</v>
      </c>
      <c r="I1" s="16" t="s">
        <v>5</v>
      </c>
      <c r="J1" s="1"/>
      <c r="K1" s="16" t="s">
        <v>5</v>
      </c>
      <c r="N1" s="16"/>
      <c r="O1" s="16" t="s">
        <v>5</v>
      </c>
      <c r="P1" s="16" t="s">
        <v>5</v>
      </c>
      <c r="Q1" s="16" t="s">
        <v>5</v>
      </c>
      <c r="S1" s="16"/>
    </row>
    <row r="2" spans="1:19" ht="24.6" x14ac:dyDescent="0.4">
      <c r="D2" s="9" t="s">
        <v>887</v>
      </c>
      <c r="E2" s="9"/>
      <c r="F2" s="9"/>
      <c r="G2" s="9"/>
      <c r="H2" s="9"/>
      <c r="I2" s="9"/>
      <c r="J2" s="9"/>
      <c r="K2" s="9"/>
      <c r="O2" s="8"/>
      <c r="P2" s="8"/>
      <c r="Q2" s="8"/>
    </row>
    <row r="3" spans="1:19" ht="8.4" customHeight="1" thickBot="1" x14ac:dyDescent="0.45">
      <c r="D3" s="1"/>
      <c r="E3" s="1"/>
      <c r="F3" s="1"/>
      <c r="G3" s="1"/>
      <c r="H3" s="1"/>
      <c r="I3" s="1"/>
      <c r="J3" s="1"/>
      <c r="K3" s="1"/>
      <c r="O3" s="8"/>
      <c r="P3" s="8"/>
      <c r="Q3" s="8"/>
    </row>
    <row r="4" spans="1:19" ht="16.5" hidden="1" customHeight="1" thickBot="1" x14ac:dyDescent="0.55000000000000004">
      <c r="A4" t="s">
        <v>5</v>
      </c>
      <c r="B4" s="42">
        <f ca="1">TODAY()</f>
        <v>45355</v>
      </c>
      <c r="D4" s="6"/>
      <c r="E4" s="6"/>
      <c r="F4" s="6"/>
      <c r="G4" s="6"/>
      <c r="H4" s="6"/>
      <c r="I4" s="6"/>
      <c r="J4" s="6"/>
      <c r="K4" s="6"/>
      <c r="M4" s="30" t="s">
        <v>15</v>
      </c>
      <c r="O4" s="8"/>
      <c r="P4" s="8"/>
      <c r="Q4" s="8"/>
    </row>
    <row r="5" spans="1:19" ht="16.5" customHeight="1" thickBot="1" x14ac:dyDescent="0.55000000000000004">
      <c r="B5" s="43">
        <v>44927</v>
      </c>
      <c r="D5" s="6"/>
      <c r="E5" s="6"/>
      <c r="F5" s="6"/>
      <c r="G5" s="6"/>
      <c r="H5" s="74">
        <v>-100</v>
      </c>
      <c r="I5" s="73" t="s">
        <v>1073</v>
      </c>
      <c r="J5" s="72"/>
      <c r="K5" s="6"/>
      <c r="L5" s="29" t="str">
        <f>Summary_Items</f>
        <v>*</v>
      </c>
      <c r="M5" s="30" t="s">
        <v>920</v>
      </c>
      <c r="O5" s="8"/>
      <c r="P5" s="8"/>
      <c r="Q5" s="8"/>
    </row>
    <row r="6" spans="1:19" ht="16.5" hidden="1" customHeight="1" thickBot="1" x14ac:dyDescent="0.55000000000000004">
      <c r="A6" t="s">
        <v>5</v>
      </c>
      <c r="B6">
        <f ca="1">B5-B4</f>
        <v>-428</v>
      </c>
      <c r="D6" s="6"/>
      <c r="E6" s="6"/>
      <c r="J6" s="71" t="str">
        <f>"CASE"</f>
        <v>CASE</v>
      </c>
      <c r="K6" s="29"/>
      <c r="L6" s="36">
        <v>50000.000000000007</v>
      </c>
      <c r="M6" s="30" t="s">
        <v>16</v>
      </c>
      <c r="O6" s="8"/>
      <c r="P6" s="8"/>
      <c r="Q6" s="8"/>
    </row>
    <row r="7" spans="1:19" ht="28.8" thickBot="1" x14ac:dyDescent="0.55000000000000004">
      <c r="B7">
        <f ca="1">B6/28.3</f>
        <v>-15.123674911660776</v>
      </c>
      <c r="D7" s="6"/>
      <c r="E7" s="6"/>
      <c r="F7" s="6"/>
      <c r="G7" s="6"/>
      <c r="H7" s="6"/>
      <c r="J7" s="54">
        <f ca="1">B7</f>
        <v>-15.123674911660776</v>
      </c>
      <c r="K7" s="54"/>
      <c r="L7" s="55" t="s">
        <v>905</v>
      </c>
      <c r="O7" s="8"/>
      <c r="P7" s="8"/>
      <c r="Q7" s="8"/>
    </row>
    <row r="8" spans="1:19" ht="31.2" hidden="1" customHeight="1" thickBot="1" x14ac:dyDescent="0.45">
      <c r="A8" t="s">
        <v>5</v>
      </c>
      <c r="D8" s="1"/>
      <c r="F8" s="50" t="s">
        <v>889</v>
      </c>
      <c r="G8" s="50" t="s">
        <v>904</v>
      </c>
      <c r="H8" s="50" t="s">
        <v>903</v>
      </c>
      <c r="I8" s="50" t="s">
        <v>902</v>
      </c>
      <c r="J8" s="50" t="s">
        <v>901</v>
      </c>
      <c r="K8" s="50"/>
      <c r="O8" s="24" t="s">
        <v>10</v>
      </c>
      <c r="P8" s="24" t="s">
        <v>10</v>
      </c>
      <c r="Q8" s="31" t="s">
        <v>12</v>
      </c>
      <c r="R8" s="25" t="s">
        <v>12</v>
      </c>
      <c r="S8" s="39"/>
    </row>
    <row r="9" spans="1:19" ht="45" customHeight="1" thickBot="1" x14ac:dyDescent="0.3">
      <c r="B9" s="3" t="s">
        <v>3</v>
      </c>
      <c r="C9" s="4"/>
      <c r="D9" s="17" t="s">
        <v>0</v>
      </c>
      <c r="E9" s="18" t="s">
        <v>8</v>
      </c>
      <c r="F9" s="26" t="s">
        <v>560</v>
      </c>
      <c r="G9" s="26" t="s">
        <v>561</v>
      </c>
      <c r="H9" s="26" t="s">
        <v>562</v>
      </c>
      <c r="I9" s="26" t="s">
        <v>563</v>
      </c>
      <c r="J9" s="26" t="s">
        <v>564</v>
      </c>
      <c r="K9" s="26" t="s">
        <v>931</v>
      </c>
      <c r="L9" s="19" t="s">
        <v>1</v>
      </c>
      <c r="M9" s="17" t="s">
        <v>2</v>
      </c>
      <c r="N9" s="40" t="s">
        <v>19</v>
      </c>
      <c r="O9" s="23" t="str">
        <f>$L$11</f>
        <v>EQP-LAWPACK1</v>
      </c>
      <c r="P9" s="23" t="s">
        <v>13</v>
      </c>
      <c r="Q9" s="32" t="str">
        <f>$L$11</f>
        <v>EQP-LAWPACK1</v>
      </c>
      <c r="R9" s="23" t="s">
        <v>13</v>
      </c>
      <c r="S9" s="38" t="s">
        <v>18</v>
      </c>
    </row>
    <row r="10" spans="1:19" s="59" customFormat="1" ht="18.75" customHeight="1" thickBot="1" x14ac:dyDescent="0.3">
      <c r="B10" s="60" t="str">
        <f>IF(K10=0,"hide","")</f>
        <v/>
      </c>
      <c r="D10" s="61" t="str">
        <f>"01054"</f>
        <v>01054</v>
      </c>
      <c r="E10" s="62" t="str">
        <f>"9"</f>
        <v>9</v>
      </c>
      <c r="F10" s="63">
        <v>6978.083333333333</v>
      </c>
      <c r="G10" s="63">
        <v>6130</v>
      </c>
      <c r="H10" s="63">
        <v>4882.25</v>
      </c>
      <c r="I10" s="63">
        <v>2659.9166666666665</v>
      </c>
      <c r="J10" s="63">
        <v>0</v>
      </c>
      <c r="K10" s="63">
        <f>AVERAGE(I10:J10)</f>
        <v>1329.9583333333333</v>
      </c>
      <c r="L10" s="64" t="str">
        <f>"800491 Blueberry Muffins"</f>
        <v>800491 Blueberry Muffins</v>
      </c>
      <c r="M10" s="65" t="str">
        <f>"36-5.5 oz. IW 12-3pks"</f>
        <v>36-5.5 oz. IW 12-3pks</v>
      </c>
      <c r="N10" s="66">
        <v>36</v>
      </c>
      <c r="O10" s="67">
        <v>2.97E-3</v>
      </c>
      <c r="P10" s="68">
        <f>1/O10</f>
        <v>336.70033670033672</v>
      </c>
      <c r="Q10" s="53">
        <v>2.97E-3</v>
      </c>
      <c r="R10" s="69">
        <f>1/Q10</f>
        <v>336.70033670033672</v>
      </c>
      <c r="S10" s="70">
        <f>R10*N10</f>
        <v>12121.212121212122</v>
      </c>
    </row>
    <row r="11" spans="1:19" ht="15.6" customHeight="1" thickBot="1" x14ac:dyDescent="0.3">
      <c r="B11" s="60" t="str">
        <f>IF(K11=0,"hide","")</f>
        <v/>
      </c>
      <c r="D11" s="48" t="str">
        <f>D10</f>
        <v>01054</v>
      </c>
      <c r="E11" s="7"/>
      <c r="F11" s="27">
        <v>-7091.3824999999997</v>
      </c>
      <c r="G11" s="27">
        <v>-6527.6375000000007</v>
      </c>
      <c r="H11" s="27">
        <v>-5530.6875</v>
      </c>
      <c r="I11" s="27">
        <v>-3196.9808333333331</v>
      </c>
      <c r="J11" s="27">
        <v>0</v>
      </c>
      <c r="K11" s="63">
        <f>AVERAGE(I11:J11)</f>
        <v>-1598.4904166666665</v>
      </c>
      <c r="L11" s="56" t="str">
        <f>"EQP-LAWPACK1"</f>
        <v>EQP-LAWPACK1</v>
      </c>
      <c r="M11" s="14"/>
      <c r="N11" s="15"/>
      <c r="O11" s="12"/>
      <c r="P11" s="34"/>
      <c r="Q11" s="37"/>
      <c r="R11" s="47"/>
      <c r="S11" s="46"/>
    </row>
    <row r="12" spans="1:19" ht="15.6" hidden="1" customHeight="1" thickBot="1" x14ac:dyDescent="0.3">
      <c r="A12" t="s">
        <v>23</v>
      </c>
      <c r="B12" s="60" t="str">
        <f t="shared" ref="B12:B14" si="0">IF(K12=0,"hide","")</f>
        <v>hide</v>
      </c>
      <c r="D12" s="48" t="str">
        <f>D11</f>
        <v>01054</v>
      </c>
      <c r="E12" s="7"/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63">
        <f>AVERAGE(I12:J12)</f>
        <v>0</v>
      </c>
      <c r="L12" s="56" t="str">
        <f>"EQP-LAWPACK2"</f>
        <v>EQP-LAWPACK2</v>
      </c>
      <c r="M12" s="14"/>
      <c r="N12" s="15"/>
      <c r="O12" s="12"/>
      <c r="P12" s="34"/>
      <c r="Q12" s="37"/>
      <c r="R12" s="47"/>
      <c r="S12" s="46"/>
    </row>
    <row r="13" spans="1:19" ht="15.6" hidden="1" customHeight="1" thickBot="1" x14ac:dyDescent="0.3">
      <c r="A13" t="s">
        <v>23</v>
      </c>
      <c r="B13" s="60" t="str">
        <f t="shared" si="0"/>
        <v>hide</v>
      </c>
      <c r="D13" s="48" t="str">
        <f>D12</f>
        <v>01054</v>
      </c>
      <c r="E13" s="7"/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63">
        <f>AVERAGE(I13:J13)</f>
        <v>0</v>
      </c>
      <c r="L13" s="56" t="str">
        <f>"SW-COMAS-PACKL"</f>
        <v>SW-COMAS-PACKL</v>
      </c>
      <c r="M13" s="14"/>
      <c r="N13" s="15"/>
      <c r="O13" s="12"/>
      <c r="P13" s="34"/>
      <c r="Q13" s="37"/>
      <c r="R13" s="47"/>
      <c r="S13" s="46"/>
    </row>
    <row r="14" spans="1:19" ht="15.6" hidden="1" customHeight="1" thickBot="1" x14ac:dyDescent="0.3">
      <c r="A14" t="s">
        <v>23</v>
      </c>
      <c r="B14" s="60" t="str">
        <f t="shared" si="0"/>
        <v>hide</v>
      </c>
      <c r="D14" s="48" t="str">
        <f>D13</f>
        <v>01054</v>
      </c>
      <c r="E14" s="7"/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63">
        <f>AVERAGE(I14:J14)</f>
        <v>0</v>
      </c>
      <c r="L14" s="56" t="str">
        <f>"SW-RISER-PACK"</f>
        <v>SW-RISER-PACK</v>
      </c>
      <c r="M14" s="14"/>
      <c r="N14" s="15"/>
      <c r="O14" s="12"/>
      <c r="P14" s="34"/>
      <c r="Q14" s="37"/>
      <c r="R14" s="47"/>
      <c r="S14" s="46"/>
    </row>
    <row r="15" spans="1:19" ht="12" hidden="1" customHeight="1" x14ac:dyDescent="0.25">
      <c r="A15" s="35" t="s">
        <v>5</v>
      </c>
      <c r="B15" s="49" t="str">
        <f>B11</f>
        <v/>
      </c>
      <c r="N15"/>
      <c r="Q15" s="33"/>
    </row>
    <row r="16" spans="1:19" ht="13.8" thickBot="1" x14ac:dyDescent="0.3">
      <c r="B16" s="49" t="str">
        <f>B15</f>
        <v/>
      </c>
      <c r="D16" s="58"/>
      <c r="E16" s="58"/>
      <c r="F16" s="52">
        <f>SUM(F11:F15)</f>
        <v>-7091.3824999999997</v>
      </c>
      <c r="G16" s="52">
        <f>SUM(G11:G15)</f>
        <v>-6527.6375000000007</v>
      </c>
      <c r="H16" s="52">
        <f>SUM(H11:H15)</f>
        <v>-5530.6875</v>
      </c>
      <c r="I16" s="52">
        <f>SUM(I11:I15)</f>
        <v>-3196.9808333333331</v>
      </c>
      <c r="J16" s="52">
        <f>SUM(J11:J15)</f>
        <v>0</v>
      </c>
      <c r="K16" s="52"/>
      <c r="L16" s="51" t="s">
        <v>4</v>
      </c>
      <c r="M16" s="58"/>
      <c r="N16" s="58"/>
      <c r="O16" s="58"/>
      <c r="P16" s="58"/>
      <c r="Q16" s="58"/>
      <c r="R16" s="58"/>
      <c r="S16" s="58"/>
    </row>
    <row r="17" spans="1:19" s="59" customFormat="1" ht="18.75" customHeight="1" thickBot="1" x14ac:dyDescent="0.3">
      <c r="A17" s="59" t="s">
        <v>23</v>
      </c>
      <c r="B17" s="60" t="str">
        <f t="shared" ref="B17:B18" si="1">IF(K17=0,"hide","")</f>
        <v/>
      </c>
      <c r="D17" s="61" t="str">
        <f>"01055"</f>
        <v>01055</v>
      </c>
      <c r="E17" s="62" t="str">
        <f>"7"</f>
        <v>7</v>
      </c>
      <c r="F17" s="63">
        <v>7311.333333333333</v>
      </c>
      <c r="G17" s="63">
        <v>6554.916666666667</v>
      </c>
      <c r="H17" s="63">
        <v>5520.75</v>
      </c>
      <c r="I17" s="63">
        <v>3261.75</v>
      </c>
      <c r="J17" s="63">
        <v>0</v>
      </c>
      <c r="K17" s="63">
        <f>AVERAGE(I17:J17)</f>
        <v>1630.875</v>
      </c>
      <c r="L17" s="64" t="str">
        <f>"800493 Banana Muffins"</f>
        <v>800493 Banana Muffins</v>
      </c>
      <c r="M17" s="65" t="str">
        <f>"36-5.5 oz. IW 12-3pks"</f>
        <v>36-5.5 oz. IW 12-3pks</v>
      </c>
      <c r="N17" s="66">
        <v>36</v>
      </c>
      <c r="O17" s="67">
        <v>3.7100000000000002E-3</v>
      </c>
      <c r="P17" s="68">
        <f>1/O17</f>
        <v>269.54177897574124</v>
      </c>
      <c r="Q17" s="53">
        <v>3.7100000000000002E-3</v>
      </c>
      <c r="R17" s="69">
        <f t="shared" ref="R17" si="2">1/Q17</f>
        <v>269.54177897574124</v>
      </c>
      <c r="S17" s="70">
        <f t="shared" ref="S17" si="3">R17*N17</f>
        <v>9703.5040431266843</v>
      </c>
    </row>
    <row r="18" spans="1:19" ht="15.6" customHeight="1" thickBot="1" x14ac:dyDescent="0.3">
      <c r="A18" t="s">
        <v>23</v>
      </c>
      <c r="B18" s="60" t="str">
        <f t="shared" si="1"/>
        <v/>
      </c>
      <c r="D18" s="48" t="str">
        <f>D17</f>
        <v>01055</v>
      </c>
      <c r="E18" s="7"/>
      <c r="F18" s="27">
        <v>-7528.6791666666659</v>
      </c>
      <c r="G18" s="27">
        <v>-6835.8858333333337</v>
      </c>
      <c r="H18" s="27">
        <v>-5973.9841666666662</v>
      </c>
      <c r="I18" s="27">
        <v>-3920.1666666666665</v>
      </c>
      <c r="J18" s="27">
        <v>0</v>
      </c>
      <c r="K18" s="63">
        <f>AVERAGE(I18:J18)</f>
        <v>-1960.0833333333333</v>
      </c>
      <c r="L18" s="56" t="str">
        <f>"EQP-LAWPACK1"</f>
        <v>EQP-LAWPACK1</v>
      </c>
      <c r="M18" s="14"/>
      <c r="N18" s="15"/>
      <c r="O18" s="12"/>
      <c r="P18" s="34"/>
      <c r="Q18" s="37"/>
      <c r="R18" s="47"/>
      <c r="S18" s="46"/>
    </row>
    <row r="19" spans="1:19" ht="15.6" hidden="1" customHeight="1" thickBot="1" x14ac:dyDescent="0.3">
      <c r="A19" t="s">
        <v>23</v>
      </c>
      <c r="B19" s="60" t="str">
        <f t="shared" ref="B19:B21" si="4">IF(K19=0,"hide","")</f>
        <v>hide</v>
      </c>
      <c r="D19" s="48" t="str">
        <f>D18</f>
        <v>01055</v>
      </c>
      <c r="E19" s="7"/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63">
        <f>AVERAGE(I19:J19)</f>
        <v>0</v>
      </c>
      <c r="L19" s="56" t="str">
        <f>"EQP-LAWPACK2"</f>
        <v>EQP-LAWPACK2</v>
      </c>
      <c r="M19" s="14"/>
      <c r="N19" s="15"/>
      <c r="O19" s="12"/>
      <c r="P19" s="34"/>
      <c r="Q19" s="37"/>
      <c r="R19" s="47"/>
      <c r="S19" s="46"/>
    </row>
    <row r="20" spans="1:19" ht="15.6" hidden="1" customHeight="1" thickBot="1" x14ac:dyDescent="0.3">
      <c r="A20" t="s">
        <v>23</v>
      </c>
      <c r="B20" s="60" t="str">
        <f t="shared" si="4"/>
        <v>hide</v>
      </c>
      <c r="D20" s="48" t="str">
        <f>D19</f>
        <v>01055</v>
      </c>
      <c r="E20" s="7"/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63">
        <f>AVERAGE(I20:J20)</f>
        <v>0</v>
      </c>
      <c r="L20" s="56" t="str">
        <f>"SW-COMAS-PACKL"</f>
        <v>SW-COMAS-PACKL</v>
      </c>
      <c r="M20" s="14"/>
      <c r="N20" s="15"/>
      <c r="O20" s="12"/>
      <c r="P20" s="34"/>
      <c r="Q20" s="37"/>
      <c r="R20" s="47"/>
      <c r="S20" s="46"/>
    </row>
    <row r="21" spans="1:19" ht="15.6" hidden="1" customHeight="1" thickBot="1" x14ac:dyDescent="0.3">
      <c r="A21" t="s">
        <v>23</v>
      </c>
      <c r="B21" s="60" t="str">
        <f t="shared" si="4"/>
        <v>hide</v>
      </c>
      <c r="D21" s="48" t="str">
        <f>D20</f>
        <v>01055</v>
      </c>
      <c r="E21" s="7"/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63">
        <f>AVERAGE(I21:J21)</f>
        <v>0</v>
      </c>
      <c r="L21" s="56" t="str">
        <f>"SW-RISER-PACK"</f>
        <v>SW-RISER-PACK</v>
      </c>
      <c r="M21" s="14"/>
      <c r="N21" s="15"/>
      <c r="O21" s="12"/>
      <c r="P21" s="34"/>
      <c r="Q21" s="37"/>
      <c r="R21" s="47"/>
      <c r="S21" s="46"/>
    </row>
    <row r="22" spans="1:19" ht="12" hidden="1" customHeight="1" x14ac:dyDescent="0.25">
      <c r="A22" s="35" t="s">
        <v>908</v>
      </c>
      <c r="B22" s="49" t="str">
        <f>B18</f>
        <v/>
      </c>
      <c r="N22"/>
      <c r="Q22" s="33"/>
    </row>
    <row r="23" spans="1:19" ht="13.8" thickBot="1" x14ac:dyDescent="0.3">
      <c r="A23" t="s">
        <v>23</v>
      </c>
      <c r="B23" s="49" t="str">
        <f t="shared" ref="B23" si="5">B22</f>
        <v/>
      </c>
      <c r="D23" s="58"/>
      <c r="E23" s="58"/>
      <c r="F23" s="52">
        <f>SUM(F18:F22)</f>
        <v>-7528.6791666666659</v>
      </c>
      <c r="G23" s="52">
        <f>SUM(G18:G22)</f>
        <v>-6835.8858333333337</v>
      </c>
      <c r="H23" s="52">
        <f>SUM(H18:H22)</f>
        <v>-5973.9841666666662</v>
      </c>
      <c r="I23" s="52">
        <f>SUM(I18:I22)</f>
        <v>-3920.1666666666665</v>
      </c>
      <c r="J23" s="52">
        <f>SUM(J18:J22)</f>
        <v>0</v>
      </c>
      <c r="K23" s="52"/>
      <c r="L23" s="51" t="s">
        <v>4</v>
      </c>
      <c r="M23" s="58"/>
      <c r="N23" s="58"/>
      <c r="O23" s="58"/>
      <c r="P23" s="58"/>
      <c r="Q23" s="58"/>
      <c r="R23" s="58"/>
      <c r="S23" s="58"/>
    </row>
    <row r="24" spans="1:19" s="59" customFormat="1" ht="18.75" hidden="1" customHeight="1" thickBot="1" x14ac:dyDescent="0.3">
      <c r="A24" s="59" t="s">
        <v>23</v>
      </c>
      <c r="B24" s="60" t="str">
        <f t="shared" ref="B24:B25" si="6">IF(K24=0,"hide","")</f>
        <v>hide</v>
      </c>
      <c r="D24" s="61" t="str">
        <f>"01056"</f>
        <v>01056</v>
      </c>
      <c r="E24" s="62" t="str">
        <f>"6"</f>
        <v>6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f>AVERAGE(I24:J24)</f>
        <v>0</v>
      </c>
      <c r="L24" s="64" t="str">
        <f>"800083 Chcocolate Chip Muffins"</f>
        <v>800083 Chcocolate Chip Muffins</v>
      </c>
      <c r="M24" s="65" t="str">
        <f>"36-5.5oz. IW 12-3pks"</f>
        <v>36-5.5oz. IW 12-3pks</v>
      </c>
      <c r="N24" s="66">
        <v>36</v>
      </c>
      <c r="O24" s="67">
        <v>3.7100000000000002E-3</v>
      </c>
      <c r="P24" s="68">
        <f>1/O24</f>
        <v>269.54177897574124</v>
      </c>
      <c r="Q24" s="53">
        <v>3.7100000000000002E-3</v>
      </c>
      <c r="R24" s="69">
        <f t="shared" ref="R24" si="7">1/Q24</f>
        <v>269.54177897574124</v>
      </c>
      <c r="S24" s="70">
        <f t="shared" ref="S24" si="8">R24*N24</f>
        <v>9703.5040431266843</v>
      </c>
    </row>
    <row r="25" spans="1:19" ht="15.6" hidden="1" customHeight="1" thickBot="1" x14ac:dyDescent="0.3">
      <c r="A25" t="s">
        <v>23</v>
      </c>
      <c r="B25" s="60" t="str">
        <f t="shared" si="6"/>
        <v>hide</v>
      </c>
      <c r="D25" s="48" t="str">
        <f>D24</f>
        <v>01056</v>
      </c>
      <c r="E25" s="7"/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63">
        <f>AVERAGE(I25:J25)</f>
        <v>0</v>
      </c>
      <c r="L25" s="56" t="str">
        <f>"EQP-LAWPACK1"</f>
        <v>EQP-LAWPACK1</v>
      </c>
      <c r="M25" s="14"/>
      <c r="N25" s="15"/>
      <c r="O25" s="12"/>
      <c r="P25" s="34"/>
      <c r="Q25" s="37"/>
      <c r="R25" s="47"/>
      <c r="S25" s="46"/>
    </row>
    <row r="26" spans="1:19" ht="15.6" hidden="1" customHeight="1" thickBot="1" x14ac:dyDescent="0.3">
      <c r="A26" t="s">
        <v>23</v>
      </c>
      <c r="B26" s="60" t="str">
        <f t="shared" ref="B26:B28" si="9">IF(K26=0,"hide","")</f>
        <v>hide</v>
      </c>
      <c r="D26" s="48" t="str">
        <f>D25</f>
        <v>01056</v>
      </c>
      <c r="E26" s="7"/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63">
        <f>AVERAGE(I26:J26)</f>
        <v>0</v>
      </c>
      <c r="L26" s="56" t="str">
        <f>"EQP-LAWPACK2"</f>
        <v>EQP-LAWPACK2</v>
      </c>
      <c r="M26" s="14"/>
      <c r="N26" s="15"/>
      <c r="O26" s="12"/>
      <c r="P26" s="34"/>
      <c r="Q26" s="37"/>
      <c r="R26" s="47"/>
      <c r="S26" s="46"/>
    </row>
    <row r="27" spans="1:19" ht="15.6" hidden="1" customHeight="1" thickBot="1" x14ac:dyDescent="0.3">
      <c r="A27" t="s">
        <v>23</v>
      </c>
      <c r="B27" s="60" t="str">
        <f t="shared" si="9"/>
        <v>hide</v>
      </c>
      <c r="D27" s="48" t="str">
        <f>D26</f>
        <v>01056</v>
      </c>
      <c r="E27" s="7"/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63">
        <f>AVERAGE(I27:J27)</f>
        <v>0</v>
      </c>
      <c r="L27" s="56" t="str">
        <f>"SW-COMAS-PACKL"</f>
        <v>SW-COMAS-PACKL</v>
      </c>
      <c r="M27" s="14"/>
      <c r="N27" s="15"/>
      <c r="O27" s="12"/>
      <c r="P27" s="34"/>
      <c r="Q27" s="37"/>
      <c r="R27" s="47"/>
      <c r="S27" s="46"/>
    </row>
    <row r="28" spans="1:19" ht="15.6" hidden="1" customHeight="1" thickBot="1" x14ac:dyDescent="0.3">
      <c r="A28" t="s">
        <v>23</v>
      </c>
      <c r="B28" s="60" t="str">
        <f t="shared" si="9"/>
        <v>hide</v>
      </c>
      <c r="D28" s="48" t="str">
        <f>D27</f>
        <v>01056</v>
      </c>
      <c r="E28" s="7"/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63">
        <f>AVERAGE(I28:J28)</f>
        <v>0</v>
      </c>
      <c r="L28" s="56" t="str">
        <f>"SW-RISER-PACK"</f>
        <v>SW-RISER-PACK</v>
      </c>
      <c r="M28" s="14"/>
      <c r="N28" s="15"/>
      <c r="O28" s="12"/>
      <c r="P28" s="34"/>
      <c r="Q28" s="37"/>
      <c r="R28" s="47"/>
      <c r="S28" s="46"/>
    </row>
    <row r="29" spans="1:19" ht="12" hidden="1" customHeight="1" x14ac:dyDescent="0.25">
      <c r="A29" s="35" t="s">
        <v>908</v>
      </c>
      <c r="B29" s="49" t="str">
        <f>B25</f>
        <v>hide</v>
      </c>
      <c r="N29"/>
      <c r="Q29" s="33"/>
    </row>
    <row r="30" spans="1:19" ht="13.8" hidden="1" thickBot="1" x14ac:dyDescent="0.3">
      <c r="A30" t="s">
        <v>23</v>
      </c>
      <c r="B30" s="49" t="str">
        <f t="shared" ref="B30" si="10">B29</f>
        <v>hide</v>
      </c>
      <c r="D30" s="58"/>
      <c r="E30" s="58"/>
      <c r="F30" s="52">
        <f>SUM(F25:F29)</f>
        <v>0</v>
      </c>
      <c r="G30" s="52">
        <f>SUM(G25:G29)</f>
        <v>0</v>
      </c>
      <c r="H30" s="52">
        <f>SUM(H25:H29)</f>
        <v>0</v>
      </c>
      <c r="I30" s="52">
        <f>SUM(I25:I29)</f>
        <v>0</v>
      </c>
      <c r="J30" s="52">
        <f>SUM(J25:J29)</f>
        <v>0</v>
      </c>
      <c r="K30" s="52"/>
      <c r="L30" s="51" t="s">
        <v>4</v>
      </c>
      <c r="M30" s="58"/>
      <c r="N30" s="58"/>
      <c r="O30" s="58"/>
      <c r="P30" s="58"/>
      <c r="Q30" s="58"/>
      <c r="R30" s="58"/>
      <c r="S30" s="58"/>
    </row>
    <row r="31" spans="1:19" s="59" customFormat="1" ht="18.75" customHeight="1" thickBot="1" x14ac:dyDescent="0.3">
      <c r="A31" s="59" t="s">
        <v>23</v>
      </c>
      <c r="B31" s="60" t="str">
        <f t="shared" ref="B31:B32" si="11">IF(K31=0,"hide","")</f>
        <v/>
      </c>
      <c r="D31" s="61" t="str">
        <f>"01057"</f>
        <v>01057</v>
      </c>
      <c r="E31" s="62" t="str">
        <f>"8"</f>
        <v>8</v>
      </c>
      <c r="F31" s="63">
        <v>5439.333333333333</v>
      </c>
      <c r="G31" s="63">
        <v>5417.666666666667</v>
      </c>
      <c r="H31" s="63">
        <v>4583.583333333333</v>
      </c>
      <c r="I31" s="63">
        <v>2631.4166666666665</v>
      </c>
      <c r="J31" s="63">
        <v>0</v>
      </c>
      <c r="K31" s="63">
        <f>AVERAGE(I31:J31)</f>
        <v>1315.7083333333333</v>
      </c>
      <c r="L31" s="64" t="str">
        <f>"800480 Double Choc. Chip Muffins"</f>
        <v>800480 Double Choc. Chip Muffins</v>
      </c>
      <c r="M31" s="65" t="str">
        <f>"36-5.5 oz. IW 12-3pks"</f>
        <v>36-5.5 oz. IW 12-3pks</v>
      </c>
      <c r="N31" s="66">
        <v>36</v>
      </c>
      <c r="O31" s="67">
        <v>3.7100000000000002E-3</v>
      </c>
      <c r="P31" s="68">
        <f>1/O31</f>
        <v>269.54177897574124</v>
      </c>
      <c r="Q31" s="53">
        <v>3.7100000000000002E-3</v>
      </c>
      <c r="R31" s="69">
        <f t="shared" ref="R31" si="12">1/Q31</f>
        <v>269.54177897574124</v>
      </c>
      <c r="S31" s="70">
        <f t="shared" ref="S31" si="13">R31*N31</f>
        <v>9703.5040431266843</v>
      </c>
    </row>
    <row r="32" spans="1:19" ht="15.6" customHeight="1" thickBot="1" x14ac:dyDescent="0.3">
      <c r="A32" t="s">
        <v>23</v>
      </c>
      <c r="B32" s="60" t="str">
        <f t="shared" si="11"/>
        <v/>
      </c>
      <c r="D32" s="48" t="str">
        <f>D31</f>
        <v>01057</v>
      </c>
      <c r="E32" s="7"/>
      <c r="F32" s="27">
        <v>-5566.6141666666672</v>
      </c>
      <c r="G32" s="27">
        <v>-5722.5083333333341</v>
      </c>
      <c r="H32" s="27">
        <v>-5081.6158333333324</v>
      </c>
      <c r="I32" s="27">
        <v>-3113.1666666666665</v>
      </c>
      <c r="J32" s="27">
        <v>0</v>
      </c>
      <c r="K32" s="63">
        <f>AVERAGE(I32:J32)</f>
        <v>-1556.5833333333333</v>
      </c>
      <c r="L32" s="56" t="str">
        <f>"EQP-LAWPACK1"</f>
        <v>EQP-LAWPACK1</v>
      </c>
      <c r="M32" s="14"/>
      <c r="N32" s="15"/>
      <c r="O32" s="12"/>
      <c r="P32" s="34"/>
      <c r="Q32" s="37"/>
      <c r="R32" s="47"/>
      <c r="S32" s="46"/>
    </row>
    <row r="33" spans="1:19" ht="15.6" hidden="1" customHeight="1" thickBot="1" x14ac:dyDescent="0.3">
      <c r="A33" t="s">
        <v>23</v>
      </c>
      <c r="B33" s="60" t="str">
        <f t="shared" ref="B33:B35" si="14">IF(K33=0,"hide","")</f>
        <v>hide</v>
      </c>
      <c r="D33" s="48" t="str">
        <f>D32</f>
        <v>01057</v>
      </c>
      <c r="E33" s="7"/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63">
        <f>AVERAGE(I33:J33)</f>
        <v>0</v>
      </c>
      <c r="L33" s="56" t="str">
        <f>"EQP-LAWPACK2"</f>
        <v>EQP-LAWPACK2</v>
      </c>
      <c r="M33" s="14"/>
      <c r="N33" s="15"/>
      <c r="O33" s="12"/>
      <c r="P33" s="34"/>
      <c r="Q33" s="37"/>
      <c r="R33" s="47"/>
      <c r="S33" s="46"/>
    </row>
    <row r="34" spans="1:19" ht="15.6" hidden="1" customHeight="1" thickBot="1" x14ac:dyDescent="0.3">
      <c r="A34" t="s">
        <v>23</v>
      </c>
      <c r="B34" s="60" t="str">
        <f t="shared" si="14"/>
        <v>hide</v>
      </c>
      <c r="D34" s="48" t="str">
        <f>D33</f>
        <v>01057</v>
      </c>
      <c r="E34" s="7"/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63">
        <f>AVERAGE(I34:J34)</f>
        <v>0</v>
      </c>
      <c r="L34" s="56" t="str">
        <f>"SW-COMAS-PACKL"</f>
        <v>SW-COMAS-PACKL</v>
      </c>
      <c r="M34" s="14"/>
      <c r="N34" s="15"/>
      <c r="O34" s="12"/>
      <c r="P34" s="34"/>
      <c r="Q34" s="37"/>
      <c r="R34" s="47"/>
      <c r="S34" s="46"/>
    </row>
    <row r="35" spans="1:19" ht="15.6" hidden="1" customHeight="1" thickBot="1" x14ac:dyDescent="0.3">
      <c r="A35" t="s">
        <v>23</v>
      </c>
      <c r="B35" s="60" t="str">
        <f t="shared" si="14"/>
        <v>hide</v>
      </c>
      <c r="D35" s="48" t="str">
        <f>D34</f>
        <v>01057</v>
      </c>
      <c r="E35" s="7"/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63">
        <f>AVERAGE(I35:J35)</f>
        <v>0</v>
      </c>
      <c r="L35" s="56" t="str">
        <f>"SW-RISER-PACK"</f>
        <v>SW-RISER-PACK</v>
      </c>
      <c r="M35" s="14"/>
      <c r="N35" s="15"/>
      <c r="O35" s="12"/>
      <c r="P35" s="34"/>
      <c r="Q35" s="37"/>
      <c r="R35" s="47"/>
      <c r="S35" s="46"/>
    </row>
    <row r="36" spans="1:19" ht="12" hidden="1" customHeight="1" x14ac:dyDescent="0.25">
      <c r="A36" s="35" t="s">
        <v>908</v>
      </c>
      <c r="B36" s="49" t="str">
        <f>B32</f>
        <v/>
      </c>
      <c r="N36"/>
      <c r="Q36" s="33"/>
    </row>
    <row r="37" spans="1:19" ht="13.8" thickBot="1" x14ac:dyDescent="0.3">
      <c r="A37" t="s">
        <v>23</v>
      </c>
      <c r="B37" s="49" t="str">
        <f t="shared" ref="B37" si="15">B36</f>
        <v/>
      </c>
      <c r="D37" s="58"/>
      <c r="E37" s="58"/>
      <c r="F37" s="52">
        <f>SUM(F32:F36)</f>
        <v>-5566.6141666666672</v>
      </c>
      <c r="G37" s="52">
        <f>SUM(G32:G36)</f>
        <v>-5722.5083333333341</v>
      </c>
      <c r="H37" s="52">
        <f>SUM(H32:H36)</f>
        <v>-5081.6158333333324</v>
      </c>
      <c r="I37" s="52">
        <f>SUM(I32:I36)</f>
        <v>-3113.1666666666665</v>
      </c>
      <c r="J37" s="52">
        <f>SUM(J32:J36)</f>
        <v>0</v>
      </c>
      <c r="K37" s="52"/>
      <c r="L37" s="51" t="s">
        <v>4</v>
      </c>
      <c r="M37" s="58"/>
      <c r="N37" s="58"/>
      <c r="O37" s="58"/>
      <c r="P37" s="58"/>
      <c r="Q37" s="58"/>
      <c r="R37" s="58"/>
      <c r="S37" s="58"/>
    </row>
    <row r="38" spans="1:19" s="59" customFormat="1" ht="18.75" customHeight="1" thickBot="1" x14ac:dyDescent="0.3">
      <c r="A38" s="59" t="s">
        <v>23</v>
      </c>
      <c r="B38" s="60" t="str">
        <f t="shared" ref="B38:B39" si="16">IF(K38=0,"hide","")</f>
        <v/>
      </c>
      <c r="D38" s="61" t="str">
        <f>"01064"</f>
        <v>01064</v>
      </c>
      <c r="E38" s="62" t="str">
        <f>"10"</f>
        <v>10</v>
      </c>
      <c r="F38" s="63">
        <v>0</v>
      </c>
      <c r="G38" s="63">
        <v>0</v>
      </c>
      <c r="H38" s="63">
        <v>0</v>
      </c>
      <c r="I38" s="63">
        <v>879.58333333333337</v>
      </c>
      <c r="J38" s="63">
        <v>2412.4556626506023</v>
      </c>
      <c r="K38" s="63">
        <f>AVERAGE(I38:J38)</f>
        <v>1646.0194979919679</v>
      </c>
      <c r="L38" s="64" t="str">
        <f>"800919 Blueberry Muffins"</f>
        <v>800919 Blueberry Muffins</v>
      </c>
      <c r="M38" s="65" t="str">
        <f>"36-5 oz. IW 12-3pks"</f>
        <v>36-5 oz. IW 12-3pks</v>
      </c>
      <c r="N38" s="66">
        <v>36</v>
      </c>
      <c r="O38" s="67">
        <v>3.7100000000000002E-3</v>
      </c>
      <c r="P38" s="68">
        <f>1/O38</f>
        <v>269.54177897574124</v>
      </c>
      <c r="Q38" s="53">
        <v>3.7100000000000002E-3</v>
      </c>
      <c r="R38" s="69">
        <f t="shared" ref="R38" si="17">1/Q38</f>
        <v>269.54177897574124</v>
      </c>
      <c r="S38" s="70">
        <f t="shared" ref="S38" si="18">R38*N38</f>
        <v>9703.5040431266843</v>
      </c>
    </row>
    <row r="39" spans="1:19" ht="15.6" customHeight="1" thickBot="1" x14ac:dyDescent="0.3">
      <c r="A39" t="s">
        <v>23</v>
      </c>
      <c r="B39" s="60" t="str">
        <f t="shared" si="16"/>
        <v/>
      </c>
      <c r="D39" s="48" t="str">
        <f>D38</f>
        <v>01064</v>
      </c>
      <c r="E39" s="7"/>
      <c r="F39" s="27">
        <v>0</v>
      </c>
      <c r="G39" s="27">
        <v>0</v>
      </c>
      <c r="H39" s="27">
        <v>0</v>
      </c>
      <c r="I39" s="27">
        <v>-976</v>
      </c>
      <c r="J39" s="27">
        <v>-2505.3342168674699</v>
      </c>
      <c r="K39" s="63">
        <f>AVERAGE(I39:J39)</f>
        <v>-1740.6671084337349</v>
      </c>
      <c r="L39" s="56" t="str">
        <f>"EQP-LAWPACK1"</f>
        <v>EQP-LAWPACK1</v>
      </c>
      <c r="M39" s="14"/>
      <c r="N39" s="15"/>
      <c r="O39" s="12"/>
      <c r="P39" s="34"/>
      <c r="Q39" s="37"/>
      <c r="R39" s="47"/>
      <c r="S39" s="46"/>
    </row>
    <row r="40" spans="1:19" ht="15.6" hidden="1" customHeight="1" thickBot="1" x14ac:dyDescent="0.3">
      <c r="A40" t="s">
        <v>23</v>
      </c>
      <c r="B40" s="60" t="str">
        <f t="shared" ref="B40:B42" si="19">IF(K40=0,"hide","")</f>
        <v>hide</v>
      </c>
      <c r="D40" s="48" t="str">
        <f>D39</f>
        <v>01064</v>
      </c>
      <c r="E40" s="7"/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63">
        <f>AVERAGE(I40:J40)</f>
        <v>0</v>
      </c>
      <c r="L40" s="56" t="str">
        <f>"EQP-LAWPACK2"</f>
        <v>EQP-LAWPACK2</v>
      </c>
      <c r="M40" s="14"/>
      <c r="N40" s="15"/>
      <c r="O40" s="12"/>
      <c r="P40" s="34"/>
      <c r="Q40" s="37"/>
      <c r="R40" s="47"/>
      <c r="S40" s="46"/>
    </row>
    <row r="41" spans="1:19" ht="15.6" hidden="1" customHeight="1" thickBot="1" x14ac:dyDescent="0.3">
      <c r="A41" t="s">
        <v>23</v>
      </c>
      <c r="B41" s="60" t="str">
        <f t="shared" si="19"/>
        <v>hide</v>
      </c>
      <c r="D41" s="48" t="str">
        <f>D40</f>
        <v>01064</v>
      </c>
      <c r="E41" s="7"/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63">
        <f>AVERAGE(I41:J41)</f>
        <v>0</v>
      </c>
      <c r="L41" s="56" t="str">
        <f>"SW-COMAS-PACKL"</f>
        <v>SW-COMAS-PACKL</v>
      </c>
      <c r="M41" s="14"/>
      <c r="N41" s="15"/>
      <c r="O41" s="12"/>
      <c r="P41" s="34"/>
      <c r="Q41" s="37"/>
      <c r="R41" s="47"/>
      <c r="S41" s="46"/>
    </row>
    <row r="42" spans="1:19" ht="15.6" hidden="1" customHeight="1" thickBot="1" x14ac:dyDescent="0.3">
      <c r="A42" t="s">
        <v>23</v>
      </c>
      <c r="B42" s="60" t="str">
        <f t="shared" si="19"/>
        <v>hide</v>
      </c>
      <c r="D42" s="48" t="str">
        <f>D41</f>
        <v>01064</v>
      </c>
      <c r="E42" s="7"/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63">
        <f>AVERAGE(I42:J42)</f>
        <v>0</v>
      </c>
      <c r="L42" s="56" t="str">
        <f>"SW-RISER-PACK"</f>
        <v>SW-RISER-PACK</v>
      </c>
      <c r="M42" s="14"/>
      <c r="N42" s="15"/>
      <c r="O42" s="12"/>
      <c r="P42" s="34"/>
      <c r="Q42" s="37"/>
      <c r="R42" s="47"/>
      <c r="S42" s="46"/>
    </row>
    <row r="43" spans="1:19" ht="12" hidden="1" customHeight="1" x14ac:dyDescent="0.25">
      <c r="A43" s="35" t="s">
        <v>908</v>
      </c>
      <c r="B43" s="49" t="str">
        <f>B39</f>
        <v/>
      </c>
      <c r="N43"/>
      <c r="Q43" s="33"/>
    </row>
    <row r="44" spans="1:19" ht="13.8" thickBot="1" x14ac:dyDescent="0.3">
      <c r="A44" t="s">
        <v>23</v>
      </c>
      <c r="B44" s="49" t="str">
        <f t="shared" ref="B44" si="20">B43</f>
        <v/>
      </c>
      <c r="D44" s="58"/>
      <c r="E44" s="58"/>
      <c r="F44" s="52">
        <f>SUM(F39:F43)</f>
        <v>0</v>
      </c>
      <c r="G44" s="52">
        <f>SUM(G39:G43)</f>
        <v>0</v>
      </c>
      <c r="H44" s="52">
        <f>SUM(H39:H43)</f>
        <v>0</v>
      </c>
      <c r="I44" s="52">
        <f>SUM(I39:I43)</f>
        <v>-976</v>
      </c>
      <c r="J44" s="52">
        <f>SUM(J39:J43)</f>
        <v>-2505.3342168674699</v>
      </c>
      <c r="K44" s="52"/>
      <c r="L44" s="51" t="s">
        <v>4</v>
      </c>
      <c r="M44" s="58"/>
      <c r="N44" s="58"/>
      <c r="O44" s="58"/>
      <c r="P44" s="58"/>
      <c r="Q44" s="58"/>
      <c r="R44" s="58"/>
      <c r="S44" s="58"/>
    </row>
    <row r="45" spans="1:19" s="59" customFormat="1" ht="18.75" customHeight="1" thickBot="1" x14ac:dyDescent="0.3">
      <c r="A45" s="59" t="s">
        <v>23</v>
      </c>
      <c r="B45" s="60" t="str">
        <f t="shared" ref="B45:B46" si="21">IF(K45=0,"hide","")</f>
        <v/>
      </c>
      <c r="D45" s="61" t="str">
        <f>"01065"</f>
        <v>01065</v>
      </c>
      <c r="E45" s="62" t="str">
        <f>"8"</f>
        <v>8</v>
      </c>
      <c r="F45" s="63">
        <v>0</v>
      </c>
      <c r="G45" s="63">
        <v>0</v>
      </c>
      <c r="H45" s="63">
        <v>0</v>
      </c>
      <c r="I45" s="63">
        <v>1064.9166666666667</v>
      </c>
      <c r="J45" s="63">
        <v>3060.9007228915666</v>
      </c>
      <c r="K45" s="63">
        <f>AVERAGE(I45:J45)</f>
        <v>2062.9086947791166</v>
      </c>
      <c r="L45" s="64" t="str">
        <f>"800921 Banana Muffins"</f>
        <v>800921 Banana Muffins</v>
      </c>
      <c r="M45" s="65" t="str">
        <f>"36-5 oz. IW 12-3pks"</f>
        <v>36-5 oz. IW 12-3pks</v>
      </c>
      <c r="N45" s="66">
        <v>36</v>
      </c>
      <c r="O45" s="67">
        <v>3.7100000000000002E-3</v>
      </c>
      <c r="P45" s="68">
        <f>1/O45</f>
        <v>269.54177897574124</v>
      </c>
      <c r="Q45" s="53">
        <v>3.7100000000000002E-3</v>
      </c>
      <c r="R45" s="69">
        <f t="shared" ref="R45" si="22">1/Q45</f>
        <v>269.54177897574124</v>
      </c>
      <c r="S45" s="70">
        <f t="shared" ref="S45" si="23">R45*N45</f>
        <v>9703.5040431266843</v>
      </c>
    </row>
    <row r="46" spans="1:19" ht="15.6" customHeight="1" thickBot="1" x14ac:dyDescent="0.3">
      <c r="A46" t="s">
        <v>23</v>
      </c>
      <c r="B46" s="60" t="str">
        <f t="shared" si="21"/>
        <v/>
      </c>
      <c r="D46" s="48" t="str">
        <f>D45</f>
        <v>01065</v>
      </c>
      <c r="E46" s="7"/>
      <c r="F46" s="27">
        <v>0</v>
      </c>
      <c r="G46" s="27">
        <v>0</v>
      </c>
      <c r="H46" s="27">
        <v>0</v>
      </c>
      <c r="I46" s="27">
        <v>-1187.9166666666665</v>
      </c>
      <c r="J46" s="27">
        <v>-3222.5857831325302</v>
      </c>
      <c r="K46" s="63">
        <f>AVERAGE(I46:J46)</f>
        <v>-2205.2512248995981</v>
      </c>
      <c r="L46" s="56" t="str">
        <f>"EQP-LAWPACK1"</f>
        <v>EQP-LAWPACK1</v>
      </c>
      <c r="M46" s="14"/>
      <c r="N46" s="15"/>
      <c r="O46" s="12"/>
      <c r="P46" s="34"/>
      <c r="Q46" s="37"/>
      <c r="R46" s="47"/>
      <c r="S46" s="46"/>
    </row>
    <row r="47" spans="1:19" ht="15.6" hidden="1" customHeight="1" thickBot="1" x14ac:dyDescent="0.3">
      <c r="A47" t="s">
        <v>23</v>
      </c>
      <c r="B47" s="60" t="str">
        <f t="shared" ref="B47:B49" si="24">IF(K47=0,"hide","")</f>
        <v>hide</v>
      </c>
      <c r="D47" s="48" t="str">
        <f>D46</f>
        <v>01065</v>
      </c>
      <c r="E47" s="7"/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63">
        <f>AVERAGE(I47:J47)</f>
        <v>0</v>
      </c>
      <c r="L47" s="56" t="str">
        <f>"EQP-LAWPACK2"</f>
        <v>EQP-LAWPACK2</v>
      </c>
      <c r="M47" s="14"/>
      <c r="N47" s="15"/>
      <c r="O47" s="12"/>
      <c r="P47" s="34"/>
      <c r="Q47" s="37"/>
      <c r="R47" s="47"/>
      <c r="S47" s="46"/>
    </row>
    <row r="48" spans="1:19" ht="15.6" hidden="1" customHeight="1" thickBot="1" x14ac:dyDescent="0.3">
      <c r="A48" t="s">
        <v>23</v>
      </c>
      <c r="B48" s="60" t="str">
        <f t="shared" si="24"/>
        <v>hide</v>
      </c>
      <c r="D48" s="48" t="str">
        <f>D47</f>
        <v>01065</v>
      </c>
      <c r="E48" s="7"/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63">
        <f>AVERAGE(I48:J48)</f>
        <v>0</v>
      </c>
      <c r="L48" s="56" t="str">
        <f>"SW-COMAS-PACKL"</f>
        <v>SW-COMAS-PACKL</v>
      </c>
      <c r="M48" s="14"/>
      <c r="N48" s="15"/>
      <c r="O48" s="12"/>
      <c r="P48" s="34"/>
      <c r="Q48" s="37"/>
      <c r="R48" s="47"/>
      <c r="S48" s="46"/>
    </row>
    <row r="49" spans="1:19" ht="15.6" hidden="1" customHeight="1" thickBot="1" x14ac:dyDescent="0.3">
      <c r="A49" t="s">
        <v>23</v>
      </c>
      <c r="B49" s="60" t="str">
        <f t="shared" si="24"/>
        <v>hide</v>
      </c>
      <c r="D49" s="48" t="str">
        <f>D48</f>
        <v>01065</v>
      </c>
      <c r="E49" s="7"/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63">
        <f>AVERAGE(I49:J49)</f>
        <v>0</v>
      </c>
      <c r="L49" s="56" t="str">
        <f>"SW-RISER-PACK"</f>
        <v>SW-RISER-PACK</v>
      </c>
      <c r="M49" s="14"/>
      <c r="N49" s="15"/>
      <c r="O49" s="12"/>
      <c r="P49" s="34"/>
      <c r="Q49" s="37"/>
      <c r="R49" s="47"/>
      <c r="S49" s="46"/>
    </row>
    <row r="50" spans="1:19" ht="12" hidden="1" customHeight="1" x14ac:dyDescent="0.25">
      <c r="A50" s="35" t="s">
        <v>908</v>
      </c>
      <c r="B50" s="49" t="str">
        <f>B46</f>
        <v/>
      </c>
      <c r="N50"/>
      <c r="Q50" s="33"/>
    </row>
    <row r="51" spans="1:19" ht="13.8" thickBot="1" x14ac:dyDescent="0.3">
      <c r="A51" t="s">
        <v>23</v>
      </c>
      <c r="B51" s="49" t="str">
        <f t="shared" ref="B51" si="25">B50</f>
        <v/>
      </c>
      <c r="D51" s="58"/>
      <c r="E51" s="58"/>
      <c r="F51" s="52">
        <f>SUM(F46:F50)</f>
        <v>0</v>
      </c>
      <c r="G51" s="52">
        <f>SUM(G46:G50)</f>
        <v>0</v>
      </c>
      <c r="H51" s="52">
        <f>SUM(H46:H50)</f>
        <v>0</v>
      </c>
      <c r="I51" s="52">
        <f>SUM(I46:I50)</f>
        <v>-1187.9166666666665</v>
      </c>
      <c r="J51" s="52">
        <f>SUM(J46:J50)</f>
        <v>-3222.5857831325302</v>
      </c>
      <c r="K51" s="52"/>
      <c r="L51" s="51" t="s">
        <v>4</v>
      </c>
      <c r="M51" s="58"/>
      <c r="N51" s="58"/>
      <c r="O51" s="58"/>
      <c r="P51" s="58"/>
      <c r="Q51" s="58"/>
      <c r="R51" s="58"/>
      <c r="S51" s="58"/>
    </row>
    <row r="52" spans="1:19" s="59" customFormat="1" ht="18.75" customHeight="1" thickBot="1" x14ac:dyDescent="0.3">
      <c r="A52" s="59" t="s">
        <v>23</v>
      </c>
      <c r="B52" s="60" t="str">
        <f t="shared" ref="B52:B53" si="26">IF(K52=0,"hide","")</f>
        <v/>
      </c>
      <c r="D52" s="61" t="str">
        <f>"01067"</f>
        <v>01067</v>
      </c>
      <c r="E52" s="62" t="str">
        <f>"8"</f>
        <v>8</v>
      </c>
      <c r="F52" s="63">
        <v>0</v>
      </c>
      <c r="G52" s="63">
        <v>0</v>
      </c>
      <c r="H52" s="63">
        <v>0</v>
      </c>
      <c r="I52" s="63">
        <v>873.41666666666663</v>
      </c>
      <c r="J52" s="63">
        <v>2571.4812048192771</v>
      </c>
      <c r="K52" s="63">
        <f>AVERAGE(I52:J52)</f>
        <v>1722.4489357429718</v>
      </c>
      <c r="L52" s="64" t="str">
        <f>"800917 Double Choc. Chip Muffins"</f>
        <v>800917 Double Choc. Chip Muffins</v>
      </c>
      <c r="M52" s="65" t="str">
        <f>"36-5 oz. IW 12-3pks"</f>
        <v>36-5 oz. IW 12-3pks</v>
      </c>
      <c r="N52" s="66">
        <v>36</v>
      </c>
      <c r="O52" s="67">
        <v>3.7100000000000002E-3</v>
      </c>
      <c r="P52" s="68">
        <f>1/O52</f>
        <v>269.54177897574124</v>
      </c>
      <c r="Q52" s="53">
        <v>3.7100000000000002E-3</v>
      </c>
      <c r="R52" s="69">
        <f t="shared" ref="R52" si="27">1/Q52</f>
        <v>269.54177897574124</v>
      </c>
      <c r="S52" s="70">
        <f t="shared" ref="S52" si="28">R52*N52</f>
        <v>9703.5040431266843</v>
      </c>
    </row>
    <row r="53" spans="1:19" ht="15.6" customHeight="1" thickBot="1" x14ac:dyDescent="0.3">
      <c r="A53" t="s">
        <v>23</v>
      </c>
      <c r="B53" s="60" t="str">
        <f t="shared" si="26"/>
        <v/>
      </c>
      <c r="D53" s="48" t="str">
        <f>D52</f>
        <v>01067</v>
      </c>
      <c r="E53" s="7"/>
      <c r="F53" s="27">
        <v>0</v>
      </c>
      <c r="G53" s="27">
        <v>0</v>
      </c>
      <c r="H53" s="27">
        <v>0</v>
      </c>
      <c r="I53" s="27">
        <v>-894.5</v>
      </c>
      <c r="J53" s="27">
        <v>-2997.8224096385543</v>
      </c>
      <c r="K53" s="63">
        <f>AVERAGE(I53:J53)</f>
        <v>-1946.1612048192771</v>
      </c>
      <c r="L53" s="56" t="str">
        <f>"EQP-LAWPACK1"</f>
        <v>EQP-LAWPACK1</v>
      </c>
      <c r="M53" s="14"/>
      <c r="N53" s="15"/>
      <c r="O53" s="12"/>
      <c r="P53" s="34"/>
      <c r="Q53" s="37"/>
      <c r="R53" s="47"/>
      <c r="S53" s="46"/>
    </row>
    <row r="54" spans="1:19" ht="15.6" hidden="1" customHeight="1" thickBot="1" x14ac:dyDescent="0.3">
      <c r="A54" t="s">
        <v>23</v>
      </c>
      <c r="B54" s="60" t="str">
        <f t="shared" ref="B54:B56" si="29">IF(K54=0,"hide","")</f>
        <v>hide</v>
      </c>
      <c r="D54" s="48" t="str">
        <f>D53</f>
        <v>01067</v>
      </c>
      <c r="E54" s="7"/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63">
        <f>AVERAGE(I54:J54)</f>
        <v>0</v>
      </c>
      <c r="L54" s="56" t="str">
        <f>"EQP-LAWPACK2"</f>
        <v>EQP-LAWPACK2</v>
      </c>
      <c r="M54" s="14"/>
      <c r="N54" s="15"/>
      <c r="O54" s="12"/>
      <c r="P54" s="34"/>
      <c r="Q54" s="37"/>
      <c r="R54" s="47"/>
      <c r="S54" s="46"/>
    </row>
    <row r="55" spans="1:19" ht="15.6" hidden="1" customHeight="1" thickBot="1" x14ac:dyDescent="0.3">
      <c r="A55" t="s">
        <v>23</v>
      </c>
      <c r="B55" s="60" t="str">
        <f t="shared" si="29"/>
        <v>hide</v>
      </c>
      <c r="D55" s="48" t="str">
        <f>D54</f>
        <v>01067</v>
      </c>
      <c r="E55" s="7"/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63">
        <f>AVERAGE(I55:J55)</f>
        <v>0</v>
      </c>
      <c r="L55" s="56" t="str">
        <f>"SW-COMAS-PACKL"</f>
        <v>SW-COMAS-PACKL</v>
      </c>
      <c r="M55" s="14"/>
      <c r="N55" s="15"/>
      <c r="O55" s="12"/>
      <c r="P55" s="34"/>
      <c r="Q55" s="37"/>
      <c r="R55" s="47"/>
      <c r="S55" s="46"/>
    </row>
    <row r="56" spans="1:19" ht="15.6" hidden="1" customHeight="1" thickBot="1" x14ac:dyDescent="0.3">
      <c r="A56" t="s">
        <v>23</v>
      </c>
      <c r="B56" s="60" t="str">
        <f t="shared" si="29"/>
        <v>hide</v>
      </c>
      <c r="D56" s="48" t="str">
        <f>D55</f>
        <v>01067</v>
      </c>
      <c r="E56" s="7"/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63">
        <f>AVERAGE(I56:J56)</f>
        <v>0</v>
      </c>
      <c r="L56" s="56" t="str">
        <f>"SW-RISER-PACK"</f>
        <v>SW-RISER-PACK</v>
      </c>
      <c r="M56" s="14"/>
      <c r="N56" s="15"/>
      <c r="O56" s="12"/>
      <c r="P56" s="34"/>
      <c r="Q56" s="37"/>
      <c r="R56" s="47"/>
      <c r="S56" s="46"/>
    </row>
    <row r="57" spans="1:19" ht="12" hidden="1" customHeight="1" x14ac:dyDescent="0.25">
      <c r="A57" s="35" t="s">
        <v>908</v>
      </c>
      <c r="B57" s="49" t="str">
        <f>B53</f>
        <v/>
      </c>
      <c r="N57"/>
      <c r="Q57" s="33"/>
    </row>
    <row r="58" spans="1:19" ht="13.8" thickBot="1" x14ac:dyDescent="0.3">
      <c r="A58" t="s">
        <v>23</v>
      </c>
      <c r="B58" s="49" t="str">
        <f t="shared" ref="B58" si="30">B57</f>
        <v/>
      </c>
      <c r="D58" s="58"/>
      <c r="E58" s="58"/>
      <c r="F58" s="52">
        <f>SUM(F53:F57)</f>
        <v>0</v>
      </c>
      <c r="G58" s="52">
        <f>SUM(G53:G57)</f>
        <v>0</v>
      </c>
      <c r="H58" s="52">
        <f>SUM(H53:H57)</f>
        <v>0</v>
      </c>
      <c r="I58" s="52">
        <f>SUM(I53:I57)</f>
        <v>-894.5</v>
      </c>
      <c r="J58" s="52">
        <f>SUM(J53:J57)</f>
        <v>-2997.8224096385543</v>
      </c>
      <c r="K58" s="52"/>
      <c r="L58" s="51" t="s">
        <v>4</v>
      </c>
      <c r="M58" s="58"/>
      <c r="N58" s="58"/>
      <c r="O58" s="58"/>
      <c r="P58" s="58"/>
      <c r="Q58" s="58"/>
      <c r="R58" s="58"/>
      <c r="S58" s="58"/>
    </row>
    <row r="59" spans="1:19" s="59" customFormat="1" ht="18.75" customHeight="1" thickBot="1" x14ac:dyDescent="0.3">
      <c r="A59" s="59" t="s">
        <v>23</v>
      </c>
      <c r="B59" s="60" t="str">
        <f t="shared" ref="B59:B60" si="31">IF(K59=0,"hide","")</f>
        <v/>
      </c>
      <c r="D59" s="61" t="str">
        <f>"01154"</f>
        <v>01154</v>
      </c>
      <c r="E59" s="62" t="str">
        <f>"2"</f>
        <v>2</v>
      </c>
      <c r="F59" s="63">
        <v>4320.583333333333</v>
      </c>
      <c r="G59" s="63">
        <v>4527.083333333333</v>
      </c>
      <c r="H59" s="63">
        <v>4283.833333333333</v>
      </c>
      <c r="I59" s="63">
        <v>2769.5833333333335</v>
      </c>
      <c r="J59" s="63">
        <v>0</v>
      </c>
      <c r="K59" s="63">
        <f>AVERAGE(I59:J59)</f>
        <v>1384.7916666666667</v>
      </c>
      <c r="L59" s="64" t="str">
        <f>"800492 Blueberry Muffins FZN"</f>
        <v>800492 Blueberry Muffins FZN</v>
      </c>
      <c r="M59" s="65" t="str">
        <f>"36-5.5oz. IW 12-3pks"</f>
        <v>36-5.5oz. IW 12-3pks</v>
      </c>
      <c r="N59" s="66">
        <v>36</v>
      </c>
      <c r="O59" s="67">
        <v>3.7100000000000002E-3</v>
      </c>
      <c r="P59" s="68">
        <f>1/O59</f>
        <v>269.54177897574124</v>
      </c>
      <c r="Q59" s="53">
        <v>3.7100000000000002E-3</v>
      </c>
      <c r="R59" s="69">
        <f t="shared" ref="R59" si="32">1/Q59</f>
        <v>269.54177897574124</v>
      </c>
      <c r="S59" s="70">
        <f t="shared" ref="S59" si="33">R59*N59</f>
        <v>9703.5040431266843</v>
      </c>
    </row>
    <row r="60" spans="1:19" ht="15.6" customHeight="1" thickBot="1" x14ac:dyDescent="0.3">
      <c r="A60" t="s">
        <v>23</v>
      </c>
      <c r="B60" s="60" t="str">
        <f t="shared" si="31"/>
        <v/>
      </c>
      <c r="D60" s="48" t="str">
        <f>D59</f>
        <v>01154</v>
      </c>
      <c r="E60" s="7"/>
      <c r="F60" s="27">
        <v>-4521.081666666666</v>
      </c>
      <c r="G60" s="27">
        <v>-4655.4324999999999</v>
      </c>
      <c r="H60" s="27">
        <v>-4851.0491666666667</v>
      </c>
      <c r="I60" s="27">
        <v>-3445.0833333333335</v>
      </c>
      <c r="J60" s="27">
        <v>0</v>
      </c>
      <c r="K60" s="63">
        <f>AVERAGE(I60:J60)</f>
        <v>-1722.5416666666667</v>
      </c>
      <c r="L60" s="56" t="str">
        <f>"EQP-LAWPACK1"</f>
        <v>EQP-LAWPACK1</v>
      </c>
      <c r="M60" s="14"/>
      <c r="N60" s="15"/>
      <c r="O60" s="12"/>
      <c r="P60" s="34"/>
      <c r="Q60" s="37"/>
      <c r="R60" s="47"/>
      <c r="S60" s="46"/>
    </row>
    <row r="61" spans="1:19" ht="15.6" hidden="1" customHeight="1" thickBot="1" x14ac:dyDescent="0.3">
      <c r="A61" t="s">
        <v>23</v>
      </c>
      <c r="B61" s="60" t="str">
        <f t="shared" ref="B61:B63" si="34">IF(K61=0,"hide","")</f>
        <v>hide</v>
      </c>
      <c r="D61" s="48" t="str">
        <f>D60</f>
        <v>01154</v>
      </c>
      <c r="E61" s="7"/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63">
        <f>AVERAGE(I61:J61)</f>
        <v>0</v>
      </c>
      <c r="L61" s="56" t="str">
        <f>"EQP-LAWPACK2"</f>
        <v>EQP-LAWPACK2</v>
      </c>
      <c r="M61" s="14"/>
      <c r="N61" s="15"/>
      <c r="O61" s="12"/>
      <c r="P61" s="34"/>
      <c r="Q61" s="37"/>
      <c r="R61" s="47"/>
      <c r="S61" s="46"/>
    </row>
    <row r="62" spans="1:19" ht="15.6" hidden="1" customHeight="1" thickBot="1" x14ac:dyDescent="0.3">
      <c r="A62" t="s">
        <v>23</v>
      </c>
      <c r="B62" s="60" t="str">
        <f t="shared" si="34"/>
        <v>hide</v>
      </c>
      <c r="D62" s="48" t="str">
        <f>D61</f>
        <v>01154</v>
      </c>
      <c r="E62" s="7"/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63">
        <f>AVERAGE(I62:J62)</f>
        <v>0</v>
      </c>
      <c r="L62" s="56" t="str">
        <f>"SW-COMAS-PACKL"</f>
        <v>SW-COMAS-PACKL</v>
      </c>
      <c r="M62" s="14"/>
      <c r="N62" s="15"/>
      <c r="O62" s="12"/>
      <c r="P62" s="34"/>
      <c r="Q62" s="37"/>
      <c r="R62" s="47"/>
      <c r="S62" s="46"/>
    </row>
    <row r="63" spans="1:19" ht="15.6" hidden="1" customHeight="1" thickBot="1" x14ac:dyDescent="0.3">
      <c r="A63" t="s">
        <v>23</v>
      </c>
      <c r="B63" s="60" t="str">
        <f t="shared" si="34"/>
        <v>hide</v>
      </c>
      <c r="D63" s="48" t="str">
        <f>D62</f>
        <v>01154</v>
      </c>
      <c r="E63" s="7"/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63">
        <f>AVERAGE(I63:J63)</f>
        <v>0</v>
      </c>
      <c r="L63" s="56" t="str">
        <f>"SW-RISER-PACK"</f>
        <v>SW-RISER-PACK</v>
      </c>
      <c r="M63" s="14"/>
      <c r="N63" s="15"/>
      <c r="O63" s="12"/>
      <c r="P63" s="34"/>
      <c r="Q63" s="37"/>
      <c r="R63" s="47"/>
      <c r="S63" s="46"/>
    </row>
    <row r="64" spans="1:19" ht="12" hidden="1" customHeight="1" x14ac:dyDescent="0.25">
      <c r="A64" s="35" t="s">
        <v>908</v>
      </c>
      <c r="B64" s="49" t="str">
        <f>B60</f>
        <v/>
      </c>
      <c r="N64"/>
      <c r="Q64" s="33"/>
    </row>
    <row r="65" spans="1:19" ht="13.8" thickBot="1" x14ac:dyDescent="0.3">
      <c r="A65" t="s">
        <v>23</v>
      </c>
      <c r="B65" s="49" t="str">
        <f t="shared" ref="B65" si="35">B64</f>
        <v/>
      </c>
      <c r="D65" s="58"/>
      <c r="E65" s="58"/>
      <c r="F65" s="52">
        <f>SUM(F60:F64)</f>
        <v>-4521.081666666666</v>
      </c>
      <c r="G65" s="52">
        <f>SUM(G60:G64)</f>
        <v>-4655.4324999999999</v>
      </c>
      <c r="H65" s="52">
        <f>SUM(H60:H64)</f>
        <v>-4851.0491666666667</v>
      </c>
      <c r="I65" s="52">
        <f>SUM(I60:I64)</f>
        <v>-3445.0833333333335</v>
      </c>
      <c r="J65" s="52">
        <f>SUM(J60:J64)</f>
        <v>0</v>
      </c>
      <c r="K65" s="52"/>
      <c r="L65" s="51" t="s">
        <v>4</v>
      </c>
      <c r="M65" s="58"/>
      <c r="N65" s="58"/>
      <c r="O65" s="58"/>
      <c r="P65" s="58"/>
      <c r="Q65" s="58"/>
      <c r="R65" s="58"/>
      <c r="S65" s="58"/>
    </row>
    <row r="66" spans="1:19" s="59" customFormat="1" ht="18.75" customHeight="1" thickBot="1" x14ac:dyDescent="0.3">
      <c r="A66" s="59" t="s">
        <v>23</v>
      </c>
      <c r="B66" s="60" t="str">
        <f t="shared" ref="B66:B67" si="36">IF(K66=0,"hide","")</f>
        <v/>
      </c>
      <c r="D66" s="61" t="str">
        <f>"01155"</f>
        <v>01155</v>
      </c>
      <c r="E66" s="62" t="str">
        <f>"3"</f>
        <v>3</v>
      </c>
      <c r="F66" s="63">
        <v>5051.9166666666661</v>
      </c>
      <c r="G66" s="63">
        <v>5248.0000000000009</v>
      </c>
      <c r="H66" s="63">
        <v>5106</v>
      </c>
      <c r="I66" s="63">
        <v>3486.8333333333335</v>
      </c>
      <c r="J66" s="63">
        <v>0</v>
      </c>
      <c r="K66" s="63">
        <f>AVERAGE(I66:J66)</f>
        <v>1743.4166666666667</v>
      </c>
      <c r="L66" s="64" t="str">
        <f>"800494 Banana Muffins FZN"</f>
        <v>800494 Banana Muffins FZN</v>
      </c>
      <c r="M66" s="65" t="str">
        <f>"36-5.5oz. IW 12-3pks"</f>
        <v>36-5.5oz. IW 12-3pks</v>
      </c>
      <c r="N66" s="66">
        <v>36</v>
      </c>
      <c r="O66" s="67">
        <v>3.7100000000000002E-3</v>
      </c>
      <c r="P66" s="68">
        <f>1/O66</f>
        <v>269.54177897574124</v>
      </c>
      <c r="Q66" s="53">
        <v>3.7100000000000002E-3</v>
      </c>
      <c r="R66" s="69">
        <f t="shared" ref="R66" si="37">1/Q66</f>
        <v>269.54177897574124</v>
      </c>
      <c r="S66" s="70">
        <f t="shared" ref="S66" si="38">R66*N66</f>
        <v>9703.5040431266843</v>
      </c>
    </row>
    <row r="67" spans="1:19" ht="15.6" customHeight="1" thickBot="1" x14ac:dyDescent="0.3">
      <c r="A67" t="s">
        <v>23</v>
      </c>
      <c r="B67" s="60" t="str">
        <f t="shared" si="36"/>
        <v/>
      </c>
      <c r="D67" s="48" t="str">
        <f>D66</f>
        <v>01155</v>
      </c>
      <c r="E67" s="7"/>
      <c r="F67" s="27">
        <v>-5459.1750000000002</v>
      </c>
      <c r="G67" s="27">
        <v>-5214.0833333333339</v>
      </c>
      <c r="H67" s="27">
        <v>-5616.166666666667</v>
      </c>
      <c r="I67" s="27">
        <v>-4208.416666666667</v>
      </c>
      <c r="J67" s="27">
        <v>0</v>
      </c>
      <c r="K67" s="63">
        <f>AVERAGE(I67:J67)</f>
        <v>-2104.2083333333335</v>
      </c>
      <c r="L67" s="56" t="str">
        <f>"EQP-LAWPACK1"</f>
        <v>EQP-LAWPACK1</v>
      </c>
      <c r="M67" s="14"/>
      <c r="N67" s="15"/>
      <c r="O67" s="12"/>
      <c r="P67" s="34"/>
      <c r="Q67" s="37"/>
      <c r="R67" s="47"/>
      <c r="S67" s="46"/>
    </row>
    <row r="68" spans="1:19" ht="15.6" hidden="1" customHeight="1" thickBot="1" x14ac:dyDescent="0.3">
      <c r="A68" t="s">
        <v>23</v>
      </c>
      <c r="B68" s="60" t="str">
        <f t="shared" ref="B68:B70" si="39">IF(K68=0,"hide","")</f>
        <v>hide</v>
      </c>
      <c r="D68" s="48" t="str">
        <f>D67</f>
        <v>01155</v>
      </c>
      <c r="E68" s="7"/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63">
        <f>AVERAGE(I68:J68)</f>
        <v>0</v>
      </c>
      <c r="L68" s="56" t="str">
        <f>"EQP-LAWPACK2"</f>
        <v>EQP-LAWPACK2</v>
      </c>
      <c r="M68" s="14"/>
      <c r="N68" s="15"/>
      <c r="O68" s="12"/>
      <c r="P68" s="34"/>
      <c r="Q68" s="37"/>
      <c r="R68" s="47"/>
      <c r="S68" s="46"/>
    </row>
    <row r="69" spans="1:19" ht="15.6" hidden="1" customHeight="1" thickBot="1" x14ac:dyDescent="0.3">
      <c r="A69" t="s">
        <v>23</v>
      </c>
      <c r="B69" s="60" t="str">
        <f t="shared" si="39"/>
        <v>hide</v>
      </c>
      <c r="D69" s="48" t="str">
        <f>D68</f>
        <v>01155</v>
      </c>
      <c r="E69" s="7"/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63">
        <f>AVERAGE(I69:J69)</f>
        <v>0</v>
      </c>
      <c r="L69" s="56" t="str">
        <f>"SW-COMAS-PACKL"</f>
        <v>SW-COMAS-PACKL</v>
      </c>
      <c r="M69" s="14"/>
      <c r="N69" s="15"/>
      <c r="O69" s="12"/>
      <c r="P69" s="34"/>
      <c r="Q69" s="37"/>
      <c r="R69" s="47"/>
      <c r="S69" s="46"/>
    </row>
    <row r="70" spans="1:19" ht="15.6" hidden="1" customHeight="1" thickBot="1" x14ac:dyDescent="0.3">
      <c r="A70" t="s">
        <v>23</v>
      </c>
      <c r="B70" s="60" t="str">
        <f t="shared" si="39"/>
        <v>hide</v>
      </c>
      <c r="D70" s="48" t="str">
        <f>D69</f>
        <v>01155</v>
      </c>
      <c r="E70" s="7"/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63">
        <f>AVERAGE(I70:J70)</f>
        <v>0</v>
      </c>
      <c r="L70" s="56" t="str">
        <f>"SW-RISER-PACK"</f>
        <v>SW-RISER-PACK</v>
      </c>
      <c r="M70" s="14"/>
      <c r="N70" s="15"/>
      <c r="O70" s="12"/>
      <c r="P70" s="34"/>
      <c r="Q70" s="37"/>
      <c r="R70" s="47"/>
      <c r="S70" s="46"/>
    </row>
    <row r="71" spans="1:19" ht="12" hidden="1" customHeight="1" x14ac:dyDescent="0.25">
      <c r="A71" s="35" t="s">
        <v>908</v>
      </c>
      <c r="B71" s="49" t="str">
        <f>B67</f>
        <v/>
      </c>
      <c r="N71"/>
      <c r="Q71" s="33"/>
    </row>
    <row r="72" spans="1:19" ht="13.8" thickBot="1" x14ac:dyDescent="0.3">
      <c r="A72" t="s">
        <v>23</v>
      </c>
      <c r="B72" s="49" t="str">
        <f t="shared" ref="B72" si="40">B71</f>
        <v/>
      </c>
      <c r="D72" s="58"/>
      <c r="E72" s="58"/>
      <c r="F72" s="52">
        <f>SUM(F67:F71)</f>
        <v>-5459.1750000000002</v>
      </c>
      <c r="G72" s="52">
        <f>SUM(G67:G71)</f>
        <v>-5214.0833333333339</v>
      </c>
      <c r="H72" s="52">
        <f>SUM(H67:H71)</f>
        <v>-5616.166666666667</v>
      </c>
      <c r="I72" s="52">
        <f>SUM(I67:I71)</f>
        <v>-4208.416666666667</v>
      </c>
      <c r="J72" s="52">
        <f>SUM(J67:J71)</f>
        <v>0</v>
      </c>
      <c r="K72" s="52"/>
      <c r="L72" s="51" t="s">
        <v>4</v>
      </c>
      <c r="M72" s="58"/>
      <c r="N72" s="58"/>
      <c r="O72" s="58"/>
      <c r="P72" s="58"/>
      <c r="Q72" s="58"/>
      <c r="R72" s="58"/>
      <c r="S72" s="58"/>
    </row>
    <row r="73" spans="1:19" s="59" customFormat="1" ht="18.75" customHeight="1" thickBot="1" x14ac:dyDescent="0.3">
      <c r="A73" s="59" t="s">
        <v>23</v>
      </c>
      <c r="B73" s="60" t="str">
        <f t="shared" ref="B73:B74" si="41">IF(K73=0,"hide","")</f>
        <v/>
      </c>
      <c r="D73" s="61" t="str">
        <f>"01157"</f>
        <v>01157</v>
      </c>
      <c r="E73" s="62" t="str">
        <f>"3"</f>
        <v>3</v>
      </c>
      <c r="F73" s="63">
        <v>4038.8333333333335</v>
      </c>
      <c r="G73" s="63">
        <v>4361.083333333333</v>
      </c>
      <c r="H73" s="63">
        <v>4203.583333333333</v>
      </c>
      <c r="I73" s="63">
        <v>2802.9166666666665</v>
      </c>
      <c r="J73" s="63">
        <v>0</v>
      </c>
      <c r="K73" s="63">
        <f>AVERAGE(I73:J73)</f>
        <v>1401.4583333333333</v>
      </c>
      <c r="L73" s="64" t="str">
        <f>"800481 Double Choc. Chip Muffin FZN"</f>
        <v>800481 Double Choc. Chip Muffin FZN</v>
      </c>
      <c r="M73" s="65" t="str">
        <f>"36-5.5oz. IW 12-3pks"</f>
        <v>36-5.5oz. IW 12-3pks</v>
      </c>
      <c r="N73" s="66">
        <v>36</v>
      </c>
      <c r="O73" s="67">
        <v>3.7100000000000002E-3</v>
      </c>
      <c r="P73" s="68">
        <f>1/O73</f>
        <v>269.54177897574124</v>
      </c>
      <c r="Q73" s="53">
        <v>3.7100000000000002E-3</v>
      </c>
      <c r="R73" s="69">
        <f t="shared" ref="R73" si="42">1/Q73</f>
        <v>269.54177897574124</v>
      </c>
      <c r="S73" s="70">
        <f t="shared" ref="S73" si="43">R73*N73</f>
        <v>9703.5040431266843</v>
      </c>
    </row>
    <row r="74" spans="1:19" ht="15.6" customHeight="1" thickBot="1" x14ac:dyDescent="0.3">
      <c r="A74" t="s">
        <v>23</v>
      </c>
      <c r="B74" s="60" t="str">
        <f t="shared" si="41"/>
        <v/>
      </c>
      <c r="D74" s="48" t="str">
        <f>D73</f>
        <v>01157</v>
      </c>
      <c r="E74" s="7"/>
      <c r="F74" s="27">
        <v>-4322.6566666666668</v>
      </c>
      <c r="G74" s="27">
        <v>-4675.4291666666659</v>
      </c>
      <c r="H74" s="27">
        <v>-4971.41</v>
      </c>
      <c r="I74" s="27">
        <v>-3725.0833333333335</v>
      </c>
      <c r="J74" s="27">
        <v>0</v>
      </c>
      <c r="K74" s="63">
        <f>AVERAGE(I74:J74)</f>
        <v>-1862.5416666666667</v>
      </c>
      <c r="L74" s="56" t="str">
        <f>"EQP-LAWPACK1"</f>
        <v>EQP-LAWPACK1</v>
      </c>
      <c r="M74" s="14"/>
      <c r="N74" s="15"/>
      <c r="O74" s="12"/>
      <c r="P74" s="34"/>
      <c r="Q74" s="37"/>
      <c r="R74" s="47"/>
      <c r="S74" s="46"/>
    </row>
    <row r="75" spans="1:19" ht="15.6" hidden="1" customHeight="1" thickBot="1" x14ac:dyDescent="0.3">
      <c r="A75" t="s">
        <v>23</v>
      </c>
      <c r="B75" s="60" t="str">
        <f t="shared" ref="B75:B77" si="44">IF(K75=0,"hide","")</f>
        <v>hide</v>
      </c>
      <c r="D75" s="48" t="str">
        <f>D74</f>
        <v>01157</v>
      </c>
      <c r="E75" s="7"/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63">
        <f>AVERAGE(I75:J75)</f>
        <v>0</v>
      </c>
      <c r="L75" s="56" t="str">
        <f>"EQP-LAWPACK2"</f>
        <v>EQP-LAWPACK2</v>
      </c>
      <c r="M75" s="14"/>
      <c r="N75" s="15"/>
      <c r="O75" s="12"/>
      <c r="P75" s="34"/>
      <c r="Q75" s="37"/>
      <c r="R75" s="47"/>
      <c r="S75" s="46"/>
    </row>
    <row r="76" spans="1:19" ht="15.6" hidden="1" customHeight="1" thickBot="1" x14ac:dyDescent="0.3">
      <c r="A76" t="s">
        <v>23</v>
      </c>
      <c r="B76" s="60" t="str">
        <f t="shared" si="44"/>
        <v>hide</v>
      </c>
      <c r="D76" s="48" t="str">
        <f>D75</f>
        <v>01157</v>
      </c>
      <c r="E76" s="7"/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63">
        <f>AVERAGE(I76:J76)</f>
        <v>0</v>
      </c>
      <c r="L76" s="56" t="str">
        <f>"SW-COMAS-PACKL"</f>
        <v>SW-COMAS-PACKL</v>
      </c>
      <c r="M76" s="14"/>
      <c r="N76" s="15"/>
      <c r="O76" s="12"/>
      <c r="P76" s="34"/>
      <c r="Q76" s="37"/>
      <c r="R76" s="47"/>
      <c r="S76" s="46"/>
    </row>
    <row r="77" spans="1:19" ht="15.6" hidden="1" customHeight="1" thickBot="1" x14ac:dyDescent="0.3">
      <c r="A77" t="s">
        <v>23</v>
      </c>
      <c r="B77" s="60" t="str">
        <f t="shared" si="44"/>
        <v>hide</v>
      </c>
      <c r="D77" s="48" t="str">
        <f>D76</f>
        <v>01157</v>
      </c>
      <c r="E77" s="7"/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63">
        <f>AVERAGE(I77:J77)</f>
        <v>0</v>
      </c>
      <c r="L77" s="56" t="str">
        <f>"SW-RISER-PACK"</f>
        <v>SW-RISER-PACK</v>
      </c>
      <c r="M77" s="14"/>
      <c r="N77" s="15"/>
      <c r="O77" s="12"/>
      <c r="P77" s="34"/>
      <c r="Q77" s="37"/>
      <c r="R77" s="47"/>
      <c r="S77" s="46"/>
    </row>
    <row r="78" spans="1:19" ht="12" hidden="1" customHeight="1" x14ac:dyDescent="0.25">
      <c r="A78" s="35" t="s">
        <v>908</v>
      </c>
      <c r="B78" s="49" t="str">
        <f>B74</f>
        <v/>
      </c>
      <c r="N78"/>
      <c r="Q78" s="33"/>
    </row>
    <row r="79" spans="1:19" ht="13.8" thickBot="1" x14ac:dyDescent="0.3">
      <c r="A79" t="s">
        <v>23</v>
      </c>
      <c r="B79" s="49" t="str">
        <f t="shared" ref="B79" si="45">B78</f>
        <v/>
      </c>
      <c r="D79" s="58"/>
      <c r="E79" s="58"/>
      <c r="F79" s="52">
        <f>SUM(F74:F78)</f>
        <v>-4322.6566666666668</v>
      </c>
      <c r="G79" s="52">
        <f>SUM(G74:G78)</f>
        <v>-4675.4291666666659</v>
      </c>
      <c r="H79" s="52">
        <f>SUM(H74:H78)</f>
        <v>-4971.41</v>
      </c>
      <c r="I79" s="52">
        <f>SUM(I74:I78)</f>
        <v>-3725.0833333333335</v>
      </c>
      <c r="J79" s="52">
        <f>SUM(J74:J78)</f>
        <v>0</v>
      </c>
      <c r="K79" s="52"/>
      <c r="L79" s="51" t="s">
        <v>4</v>
      </c>
      <c r="M79" s="58"/>
      <c r="N79" s="58"/>
      <c r="O79" s="58"/>
      <c r="P79" s="58"/>
      <c r="Q79" s="58"/>
      <c r="R79" s="58"/>
      <c r="S79" s="58"/>
    </row>
    <row r="80" spans="1:19" s="59" customFormat="1" ht="18.75" customHeight="1" thickBot="1" x14ac:dyDescent="0.3">
      <c r="A80" s="59" t="s">
        <v>23</v>
      </c>
      <c r="B80" s="60" t="str">
        <f t="shared" ref="B80:B81" si="46">IF(K80=0,"hide","")</f>
        <v/>
      </c>
      <c r="D80" s="61" t="str">
        <f>"01164"</f>
        <v>01164</v>
      </c>
      <c r="E80" s="62" t="str">
        <f>"3"</f>
        <v>3</v>
      </c>
      <c r="F80" s="63">
        <v>0</v>
      </c>
      <c r="G80" s="63">
        <v>0</v>
      </c>
      <c r="H80" s="63">
        <v>0</v>
      </c>
      <c r="I80" s="63">
        <v>1323.5833333333333</v>
      </c>
      <c r="J80" s="63">
        <v>3379.429156626506</v>
      </c>
      <c r="K80" s="63">
        <f>AVERAGE(I80:J80)</f>
        <v>2351.5062449799198</v>
      </c>
      <c r="L80" s="64" t="str">
        <f>"800920 Blueberry Muffins FZN"</f>
        <v>800920 Blueberry Muffins FZN</v>
      </c>
      <c r="M80" s="65" t="str">
        <f>"36-5 oz. IW 12-3pks"</f>
        <v>36-5 oz. IW 12-3pks</v>
      </c>
      <c r="N80" s="66">
        <v>36</v>
      </c>
      <c r="O80" s="67">
        <v>3.7100000000000002E-3</v>
      </c>
      <c r="P80" s="68">
        <f>1/O80</f>
        <v>269.54177897574124</v>
      </c>
      <c r="Q80" s="53">
        <v>3.7100000000000002E-3</v>
      </c>
      <c r="R80" s="69">
        <f t="shared" ref="R80" si="47">1/Q80</f>
        <v>269.54177897574124</v>
      </c>
      <c r="S80" s="70">
        <f t="shared" ref="S80" si="48">R80*N80</f>
        <v>9703.5040431266843</v>
      </c>
    </row>
    <row r="81" spans="1:19" ht="15.6" customHeight="1" thickBot="1" x14ac:dyDescent="0.3">
      <c r="A81" t="s">
        <v>23</v>
      </c>
      <c r="B81" s="60" t="str">
        <f t="shared" si="46"/>
        <v/>
      </c>
      <c r="D81" s="48" t="str">
        <f>D80</f>
        <v>01164</v>
      </c>
      <c r="E81" s="7"/>
      <c r="F81" s="27">
        <v>0</v>
      </c>
      <c r="G81" s="27">
        <v>0</v>
      </c>
      <c r="H81" s="27">
        <v>0</v>
      </c>
      <c r="I81" s="27">
        <v>-1581.5</v>
      </c>
      <c r="J81" s="27">
        <v>-3378.1334939759031</v>
      </c>
      <c r="K81" s="63">
        <f>AVERAGE(I81:J81)</f>
        <v>-2479.8167469879518</v>
      </c>
      <c r="L81" s="56" t="str">
        <f>"EQP-LAWPACK1"</f>
        <v>EQP-LAWPACK1</v>
      </c>
      <c r="M81" s="14"/>
      <c r="N81" s="15"/>
      <c r="O81" s="12"/>
      <c r="P81" s="34"/>
      <c r="Q81" s="37"/>
      <c r="R81" s="47"/>
      <c r="S81" s="46"/>
    </row>
    <row r="82" spans="1:19" ht="15.6" hidden="1" customHeight="1" thickBot="1" x14ac:dyDescent="0.3">
      <c r="A82" t="s">
        <v>23</v>
      </c>
      <c r="B82" s="60" t="str">
        <f t="shared" ref="B82:B84" si="49">IF(K82=0,"hide","")</f>
        <v>hide</v>
      </c>
      <c r="D82" s="48" t="str">
        <f>D81</f>
        <v>01164</v>
      </c>
      <c r="E82" s="7"/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63">
        <f>AVERAGE(I82:J82)</f>
        <v>0</v>
      </c>
      <c r="L82" s="56" t="str">
        <f>"EQP-LAWPACK2"</f>
        <v>EQP-LAWPACK2</v>
      </c>
      <c r="M82" s="14"/>
      <c r="N82" s="15"/>
      <c r="O82" s="12"/>
      <c r="P82" s="34"/>
      <c r="Q82" s="37"/>
      <c r="R82" s="47"/>
      <c r="S82" s="46"/>
    </row>
    <row r="83" spans="1:19" ht="15.6" hidden="1" customHeight="1" thickBot="1" x14ac:dyDescent="0.3">
      <c r="A83" t="s">
        <v>23</v>
      </c>
      <c r="B83" s="60" t="str">
        <f t="shared" si="49"/>
        <v>hide</v>
      </c>
      <c r="D83" s="48" t="str">
        <f>D82</f>
        <v>01164</v>
      </c>
      <c r="E83" s="7"/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63">
        <f>AVERAGE(I83:J83)</f>
        <v>0</v>
      </c>
      <c r="L83" s="56" t="str">
        <f>"SW-COMAS-PACKL"</f>
        <v>SW-COMAS-PACKL</v>
      </c>
      <c r="M83" s="14"/>
      <c r="N83" s="15"/>
      <c r="O83" s="12"/>
      <c r="P83" s="34"/>
      <c r="Q83" s="37"/>
      <c r="R83" s="47"/>
      <c r="S83" s="46"/>
    </row>
    <row r="84" spans="1:19" ht="15.6" hidden="1" customHeight="1" thickBot="1" x14ac:dyDescent="0.3">
      <c r="A84" t="s">
        <v>23</v>
      </c>
      <c r="B84" s="60" t="str">
        <f t="shared" si="49"/>
        <v>hide</v>
      </c>
      <c r="D84" s="48" t="str">
        <f>D83</f>
        <v>01164</v>
      </c>
      <c r="E84" s="7"/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63">
        <f>AVERAGE(I84:J84)</f>
        <v>0</v>
      </c>
      <c r="L84" s="56" t="str">
        <f>"SW-RISER-PACK"</f>
        <v>SW-RISER-PACK</v>
      </c>
      <c r="M84" s="14"/>
      <c r="N84" s="15"/>
      <c r="O84" s="12"/>
      <c r="P84" s="34"/>
      <c r="Q84" s="37"/>
      <c r="R84" s="47"/>
      <c r="S84" s="46"/>
    </row>
    <row r="85" spans="1:19" ht="12" hidden="1" customHeight="1" x14ac:dyDescent="0.25">
      <c r="A85" s="35" t="s">
        <v>908</v>
      </c>
      <c r="B85" s="49" t="str">
        <f>B81</f>
        <v/>
      </c>
      <c r="N85"/>
      <c r="Q85" s="33"/>
    </row>
    <row r="86" spans="1:19" ht="13.8" thickBot="1" x14ac:dyDescent="0.3">
      <c r="A86" t="s">
        <v>23</v>
      </c>
      <c r="B86" s="49" t="str">
        <f t="shared" ref="B86" si="50">B85</f>
        <v/>
      </c>
      <c r="D86" s="58"/>
      <c r="E86" s="58"/>
      <c r="F86" s="52">
        <f>SUM(F81:F85)</f>
        <v>0</v>
      </c>
      <c r="G86" s="52">
        <f>SUM(G81:G85)</f>
        <v>0</v>
      </c>
      <c r="H86" s="52">
        <f>SUM(H81:H85)</f>
        <v>0</v>
      </c>
      <c r="I86" s="52">
        <f>SUM(I81:I85)</f>
        <v>-1581.5</v>
      </c>
      <c r="J86" s="52">
        <f>SUM(J81:J85)</f>
        <v>-3378.1334939759031</v>
      </c>
      <c r="K86" s="52"/>
      <c r="L86" s="51" t="s">
        <v>4</v>
      </c>
      <c r="M86" s="58"/>
      <c r="N86" s="58"/>
      <c r="O86" s="58"/>
      <c r="P86" s="58"/>
      <c r="Q86" s="58"/>
      <c r="R86" s="58"/>
      <c r="S86" s="58"/>
    </row>
    <row r="87" spans="1:19" s="59" customFormat="1" ht="18.75" customHeight="1" thickBot="1" x14ac:dyDescent="0.3">
      <c r="A87" s="59" t="s">
        <v>23</v>
      </c>
      <c r="B87" s="60" t="str">
        <f t="shared" ref="B87:B88" si="51">IF(K87=0,"hide","")</f>
        <v/>
      </c>
      <c r="D87" s="61" t="str">
        <f>"01165"</f>
        <v>01165</v>
      </c>
      <c r="E87" s="62" t="str">
        <f>"3"</f>
        <v>3</v>
      </c>
      <c r="F87" s="63">
        <v>0</v>
      </c>
      <c r="G87" s="63">
        <v>0</v>
      </c>
      <c r="H87" s="63">
        <v>0</v>
      </c>
      <c r="I87" s="63">
        <v>1392.5</v>
      </c>
      <c r="J87" s="63">
        <v>3934.1773493975911</v>
      </c>
      <c r="K87" s="63">
        <f>AVERAGE(I87:J87)</f>
        <v>2663.3386746987953</v>
      </c>
      <c r="L87" s="64" t="str">
        <f>"800922 Banana Muffins FZN"</f>
        <v>800922 Banana Muffins FZN</v>
      </c>
      <c r="M87" s="65" t="str">
        <f>"36-5 oz. IW 12-3pks"</f>
        <v>36-5 oz. IW 12-3pks</v>
      </c>
      <c r="N87" s="66">
        <v>36</v>
      </c>
      <c r="O87" s="67">
        <v>3.7100000000000002E-3</v>
      </c>
      <c r="P87" s="68">
        <f>1/O87</f>
        <v>269.54177897574124</v>
      </c>
      <c r="Q87" s="53">
        <v>3.7100000000000002E-3</v>
      </c>
      <c r="R87" s="69">
        <f t="shared" ref="R87" si="52">1/Q87</f>
        <v>269.54177897574124</v>
      </c>
      <c r="S87" s="70">
        <f t="shared" ref="S87" si="53">R87*N87</f>
        <v>9703.5040431266843</v>
      </c>
    </row>
    <row r="88" spans="1:19" ht="15.6" customHeight="1" thickBot="1" x14ac:dyDescent="0.3">
      <c r="A88" t="s">
        <v>23</v>
      </c>
      <c r="B88" s="60" t="str">
        <f t="shared" si="51"/>
        <v/>
      </c>
      <c r="D88" s="48" t="str">
        <f>D87</f>
        <v>01165</v>
      </c>
      <c r="E88" s="7"/>
      <c r="F88" s="27">
        <v>0</v>
      </c>
      <c r="G88" s="27">
        <v>0</v>
      </c>
      <c r="H88" s="27">
        <v>0</v>
      </c>
      <c r="I88" s="27">
        <v>-1468.4166666666667</v>
      </c>
      <c r="J88" s="27">
        <v>-4285.4383132530129</v>
      </c>
      <c r="K88" s="63">
        <f>AVERAGE(I88:J88)</f>
        <v>-2876.9274899598399</v>
      </c>
      <c r="L88" s="56" t="str">
        <f>"EQP-LAWPACK1"</f>
        <v>EQP-LAWPACK1</v>
      </c>
      <c r="M88" s="14"/>
      <c r="N88" s="15"/>
      <c r="O88" s="12"/>
      <c r="P88" s="34"/>
      <c r="Q88" s="37"/>
      <c r="R88" s="47"/>
      <c r="S88" s="46"/>
    </row>
    <row r="89" spans="1:19" ht="15.6" hidden="1" customHeight="1" thickBot="1" x14ac:dyDescent="0.3">
      <c r="A89" t="s">
        <v>23</v>
      </c>
      <c r="B89" s="60" t="str">
        <f t="shared" ref="B89:B91" si="54">IF(K89=0,"hide","")</f>
        <v>hide</v>
      </c>
      <c r="D89" s="48" t="str">
        <f>D88</f>
        <v>01165</v>
      </c>
      <c r="E89" s="7"/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63">
        <f>AVERAGE(I89:J89)</f>
        <v>0</v>
      </c>
      <c r="L89" s="56" t="str">
        <f>"EQP-LAWPACK2"</f>
        <v>EQP-LAWPACK2</v>
      </c>
      <c r="M89" s="14"/>
      <c r="N89" s="15"/>
      <c r="O89" s="12"/>
      <c r="P89" s="34"/>
      <c r="Q89" s="37"/>
      <c r="R89" s="47"/>
      <c r="S89" s="46"/>
    </row>
    <row r="90" spans="1:19" ht="15.6" hidden="1" customHeight="1" thickBot="1" x14ac:dyDescent="0.3">
      <c r="A90" t="s">
        <v>23</v>
      </c>
      <c r="B90" s="60" t="str">
        <f t="shared" si="54"/>
        <v>hide</v>
      </c>
      <c r="D90" s="48" t="str">
        <f>D89</f>
        <v>01165</v>
      </c>
      <c r="E90" s="7"/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63">
        <f>AVERAGE(I90:J90)</f>
        <v>0</v>
      </c>
      <c r="L90" s="56" t="str">
        <f>"SW-COMAS-PACKL"</f>
        <v>SW-COMAS-PACKL</v>
      </c>
      <c r="M90" s="14"/>
      <c r="N90" s="15"/>
      <c r="O90" s="12"/>
      <c r="P90" s="34"/>
      <c r="Q90" s="37"/>
      <c r="R90" s="47"/>
      <c r="S90" s="46"/>
    </row>
    <row r="91" spans="1:19" ht="15.6" hidden="1" customHeight="1" thickBot="1" x14ac:dyDescent="0.3">
      <c r="A91" t="s">
        <v>23</v>
      </c>
      <c r="B91" s="60" t="str">
        <f t="shared" si="54"/>
        <v>hide</v>
      </c>
      <c r="D91" s="48" t="str">
        <f>D90</f>
        <v>01165</v>
      </c>
      <c r="E91" s="7"/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63">
        <f>AVERAGE(I91:J91)</f>
        <v>0</v>
      </c>
      <c r="L91" s="56" t="str">
        <f>"SW-RISER-PACK"</f>
        <v>SW-RISER-PACK</v>
      </c>
      <c r="M91" s="14"/>
      <c r="N91" s="15"/>
      <c r="O91" s="12"/>
      <c r="P91" s="34"/>
      <c r="Q91" s="37"/>
      <c r="R91" s="47"/>
      <c r="S91" s="46"/>
    </row>
    <row r="92" spans="1:19" ht="12" hidden="1" customHeight="1" x14ac:dyDescent="0.25">
      <c r="A92" s="35" t="s">
        <v>908</v>
      </c>
      <c r="B92" s="49" t="str">
        <f>B88</f>
        <v/>
      </c>
      <c r="N92"/>
      <c r="Q92" s="33"/>
    </row>
    <row r="93" spans="1:19" ht="13.8" thickBot="1" x14ac:dyDescent="0.3">
      <c r="A93" t="s">
        <v>23</v>
      </c>
      <c r="B93" s="49" t="str">
        <f t="shared" ref="B93" si="55">B92</f>
        <v/>
      </c>
      <c r="D93" s="58"/>
      <c r="E93" s="58"/>
      <c r="F93" s="52">
        <f>SUM(F88:F92)</f>
        <v>0</v>
      </c>
      <c r="G93" s="52">
        <f>SUM(G88:G92)</f>
        <v>0</v>
      </c>
      <c r="H93" s="52">
        <f>SUM(H88:H92)</f>
        <v>0</v>
      </c>
      <c r="I93" s="52">
        <f>SUM(I88:I92)</f>
        <v>-1468.4166666666667</v>
      </c>
      <c r="J93" s="52">
        <f>SUM(J88:J92)</f>
        <v>-4285.4383132530129</v>
      </c>
      <c r="K93" s="52"/>
      <c r="L93" s="51" t="s">
        <v>4</v>
      </c>
      <c r="M93" s="58"/>
      <c r="N93" s="58"/>
      <c r="O93" s="58"/>
      <c r="P93" s="58"/>
      <c r="Q93" s="58"/>
      <c r="R93" s="58"/>
      <c r="S93" s="58"/>
    </row>
    <row r="94" spans="1:19" s="59" customFormat="1" ht="18.75" customHeight="1" thickBot="1" x14ac:dyDescent="0.3">
      <c r="A94" s="59" t="s">
        <v>23</v>
      </c>
      <c r="B94" s="60" t="str">
        <f t="shared" ref="B94:B96" si="56">IF(K94=0,"hide","")</f>
        <v/>
      </c>
      <c r="D94" s="61" t="str">
        <f>"01167"</f>
        <v>01167</v>
      </c>
      <c r="E94" s="62" t="str">
        <f>"3"</f>
        <v>3</v>
      </c>
      <c r="F94" s="63">
        <v>0</v>
      </c>
      <c r="G94" s="63">
        <v>0</v>
      </c>
      <c r="H94" s="63">
        <v>0</v>
      </c>
      <c r="I94" s="63">
        <v>1180.3333333333333</v>
      </c>
      <c r="J94" s="63">
        <v>3285.7322891566268</v>
      </c>
      <c r="K94" s="63">
        <f t="shared" ref="K94:K99" si="57">AVERAGE(I94:J94)</f>
        <v>2233.0328112449802</v>
      </c>
      <c r="L94" s="64" t="str">
        <f>"800918 Choc. Chip Muffin FZN"</f>
        <v>800918 Choc. Chip Muffin FZN</v>
      </c>
      <c r="M94" s="65" t="str">
        <f>"36-5 oz. IW 12-3pks"</f>
        <v>36-5 oz. IW 12-3pks</v>
      </c>
      <c r="N94" s="66">
        <v>36</v>
      </c>
      <c r="O94" s="67">
        <v>3.7100000000000002E-3</v>
      </c>
      <c r="P94" s="68">
        <f>1/O94</f>
        <v>269.54177897574124</v>
      </c>
      <c r="Q94" s="53">
        <v>3.7100000000000002E-3</v>
      </c>
      <c r="R94" s="69">
        <f t="shared" ref="R94:R95" si="58">1/Q94</f>
        <v>269.54177897574124</v>
      </c>
      <c r="S94" s="70">
        <f t="shared" ref="S94" si="59">R94*N94</f>
        <v>9703.5040431266843</v>
      </c>
    </row>
    <row r="95" spans="1:19" s="59" customFormat="1" ht="18.75" customHeight="1" thickBot="1" x14ac:dyDescent="0.3">
      <c r="A95" s="59" t="s">
        <v>23</v>
      </c>
      <c r="B95" s="60" t="str">
        <f t="shared" ref="B95" si="60">IF(K95=0,"hide","")</f>
        <v/>
      </c>
      <c r="D95" s="61" t="str">
        <f>"01167"</f>
        <v>01167</v>
      </c>
      <c r="E95" s="62" t="str">
        <f>"4"</f>
        <v>4</v>
      </c>
      <c r="F95" s="63">
        <v>0</v>
      </c>
      <c r="G95" s="63">
        <v>0</v>
      </c>
      <c r="H95" s="63">
        <v>0</v>
      </c>
      <c r="I95" s="63">
        <v>1180.3333333333333</v>
      </c>
      <c r="J95" s="63">
        <v>3285.7322891566268</v>
      </c>
      <c r="K95" s="63">
        <f t="shared" si="57"/>
        <v>2233.0328112449802</v>
      </c>
      <c r="L95" s="64" t="str">
        <f>"800918 Choc. Chip Muffin FZN"</f>
        <v>800918 Choc. Chip Muffin FZN</v>
      </c>
      <c r="M95" s="65" t="str">
        <f>"36-5 oz. IW 12-3pks"</f>
        <v>36-5 oz. IW 12-3pks</v>
      </c>
      <c r="N95" s="66">
        <v>36</v>
      </c>
      <c r="O95" s="67">
        <v>3.7100000000000002E-3</v>
      </c>
      <c r="P95" s="68">
        <f>1/O95</f>
        <v>269.54177897574124</v>
      </c>
      <c r="Q95" s="53">
        <v>3.7100000000000002E-3</v>
      </c>
      <c r="R95" s="69">
        <f t="shared" si="58"/>
        <v>269.54177897574124</v>
      </c>
      <c r="S95" s="70">
        <f t="shared" ref="S95" si="61">R95*N95</f>
        <v>9703.5040431266843</v>
      </c>
    </row>
    <row r="96" spans="1:19" ht="15.6" customHeight="1" thickBot="1" x14ac:dyDescent="0.3">
      <c r="A96" t="s">
        <v>23</v>
      </c>
      <c r="B96" s="60" t="str">
        <f t="shared" si="56"/>
        <v/>
      </c>
      <c r="D96" s="48" t="str">
        <f>D94</f>
        <v>01167</v>
      </c>
      <c r="E96" s="7"/>
      <c r="F96" s="27">
        <v>0</v>
      </c>
      <c r="G96" s="27">
        <v>0</v>
      </c>
      <c r="H96" s="27">
        <v>0</v>
      </c>
      <c r="I96" s="27">
        <v>-1296.6666666666667</v>
      </c>
      <c r="J96" s="27">
        <v>-3508.9954216867472</v>
      </c>
      <c r="K96" s="63">
        <f t="shared" si="57"/>
        <v>-2402.8310441767071</v>
      </c>
      <c r="L96" s="56" t="str">
        <f>"EQP-LAWPACK1"</f>
        <v>EQP-LAWPACK1</v>
      </c>
      <c r="M96" s="14"/>
      <c r="N96" s="15"/>
      <c r="O96" s="12"/>
      <c r="P96" s="34"/>
      <c r="Q96" s="37"/>
      <c r="R96" s="47"/>
      <c r="S96" s="46"/>
    </row>
    <row r="97" spans="1:19" ht="15.6" hidden="1" customHeight="1" thickBot="1" x14ac:dyDescent="0.3">
      <c r="A97" t="s">
        <v>23</v>
      </c>
      <c r="B97" s="60" t="str">
        <f t="shared" ref="B97:B99" si="62">IF(K97=0,"hide","")</f>
        <v>hide</v>
      </c>
      <c r="D97" s="48" t="str">
        <f>D95</f>
        <v>01167</v>
      </c>
      <c r="E97" s="7"/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63">
        <f t="shared" si="57"/>
        <v>0</v>
      </c>
      <c r="L97" s="56" t="str">
        <f>"EQP-LAWPACK2"</f>
        <v>EQP-LAWPACK2</v>
      </c>
      <c r="M97" s="14"/>
      <c r="N97" s="15"/>
      <c r="O97" s="12"/>
      <c r="P97" s="34"/>
      <c r="Q97" s="37"/>
      <c r="R97" s="47"/>
      <c r="S97" s="46"/>
    </row>
    <row r="98" spans="1:19" ht="15.6" hidden="1" customHeight="1" thickBot="1" x14ac:dyDescent="0.3">
      <c r="A98" t="s">
        <v>23</v>
      </c>
      <c r="B98" s="60" t="str">
        <f t="shared" si="62"/>
        <v>hide</v>
      </c>
      <c r="D98" s="48" t="str">
        <f>D96</f>
        <v>01167</v>
      </c>
      <c r="E98" s="7"/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63">
        <f t="shared" si="57"/>
        <v>0</v>
      </c>
      <c r="L98" s="56" t="str">
        <f>"SW-COMAS-PACKL"</f>
        <v>SW-COMAS-PACKL</v>
      </c>
      <c r="M98" s="14"/>
      <c r="N98" s="15"/>
      <c r="O98" s="12"/>
      <c r="P98" s="34"/>
      <c r="Q98" s="37"/>
      <c r="R98" s="47"/>
      <c r="S98" s="46"/>
    </row>
    <row r="99" spans="1:19" ht="15.6" hidden="1" customHeight="1" thickBot="1" x14ac:dyDescent="0.3">
      <c r="A99" t="s">
        <v>23</v>
      </c>
      <c r="B99" s="60" t="str">
        <f t="shared" si="62"/>
        <v>hide</v>
      </c>
      <c r="D99" s="48" t="str">
        <f>D97</f>
        <v>01167</v>
      </c>
      <c r="E99" s="7"/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63">
        <f t="shared" si="57"/>
        <v>0</v>
      </c>
      <c r="L99" s="56" t="str">
        <f>"SW-RISER-PACK"</f>
        <v>SW-RISER-PACK</v>
      </c>
      <c r="M99" s="14"/>
      <c r="N99" s="15"/>
      <c r="O99" s="12"/>
      <c r="P99" s="34"/>
      <c r="Q99" s="37"/>
      <c r="R99" s="47"/>
      <c r="S99" s="46"/>
    </row>
    <row r="100" spans="1:19" ht="12" hidden="1" customHeight="1" x14ac:dyDescent="0.25">
      <c r="A100" s="35" t="s">
        <v>908</v>
      </c>
      <c r="B100" s="49" t="str">
        <f>B96</f>
        <v/>
      </c>
      <c r="N100"/>
      <c r="Q100" s="33"/>
    </row>
    <row r="101" spans="1:19" ht="13.8" thickBot="1" x14ac:dyDescent="0.3">
      <c r="A101" t="s">
        <v>23</v>
      </c>
      <c r="B101" s="49" t="str">
        <f t="shared" ref="B101" si="63">B100</f>
        <v/>
      </c>
      <c r="D101" s="58"/>
      <c r="E101" s="58"/>
      <c r="F101" s="52">
        <f>SUM(F96:F100)</f>
        <v>0</v>
      </c>
      <c r="G101" s="52">
        <f>SUM(G96:G100)</f>
        <v>0</v>
      </c>
      <c r="H101" s="52">
        <f>SUM(H96:H100)</f>
        <v>0</v>
      </c>
      <c r="I101" s="52">
        <f>SUM(I96:I100)</f>
        <v>-1296.6666666666667</v>
      </c>
      <c r="J101" s="52">
        <f>SUM(J96:J100)</f>
        <v>-3508.9954216867472</v>
      </c>
      <c r="K101" s="52"/>
      <c r="L101" s="51" t="s">
        <v>4</v>
      </c>
      <c r="M101" s="58"/>
      <c r="N101" s="58"/>
      <c r="O101" s="58"/>
      <c r="P101" s="58"/>
      <c r="Q101" s="58"/>
      <c r="R101" s="58"/>
      <c r="S101" s="58"/>
    </row>
    <row r="102" spans="1:19" s="59" customFormat="1" ht="18.75" hidden="1" customHeight="1" thickBot="1" x14ac:dyDescent="0.3">
      <c r="A102" s="59" t="s">
        <v>23</v>
      </c>
      <c r="B102" s="60" t="str">
        <f t="shared" ref="B102:B103" si="64">IF(K102=0,"hide","")</f>
        <v>hide</v>
      </c>
      <c r="D102" s="61" t="str">
        <f>"01618"</f>
        <v>01618</v>
      </c>
      <c r="E102" s="62" t="str">
        <f>"4"</f>
        <v>4</v>
      </c>
      <c r="F102" s="63">
        <v>8.2500000000000018</v>
      </c>
      <c r="G102" s="63">
        <v>10.833333333333334</v>
      </c>
      <c r="H102" s="63">
        <v>0.75</v>
      </c>
      <c r="I102" s="63">
        <v>0</v>
      </c>
      <c r="J102" s="63">
        <v>0</v>
      </c>
      <c r="K102" s="63">
        <f>AVERAGE(I102:J102)</f>
        <v>0</v>
      </c>
      <c r="L102" s="64" t="str">
        <f>"SC Sw. Potato Choc Chip  Top"</f>
        <v>SC Sw. Potato Choc Chip  Top</v>
      </c>
      <c r="M102" s="65" t="str">
        <f>"48-3.1 oz. I.W"</f>
        <v>48-3.1 oz. I.W</v>
      </c>
      <c r="N102" s="66">
        <v>48</v>
      </c>
      <c r="O102" s="67" t="str">
        <f>""</f>
        <v/>
      </c>
      <c r="P102" s="68" t="e">
        <f>1/O102</f>
        <v>#VALUE!</v>
      </c>
      <c r="Q102" s="53">
        <v>1</v>
      </c>
      <c r="R102" s="69">
        <f t="shared" ref="R102" si="65">1/Q102</f>
        <v>1</v>
      </c>
      <c r="S102" s="70">
        <f t="shared" ref="S102" si="66">R102*N102</f>
        <v>48</v>
      </c>
    </row>
    <row r="103" spans="1:19" ht="15.6" hidden="1" customHeight="1" thickBot="1" x14ac:dyDescent="0.3">
      <c r="A103" t="s">
        <v>23</v>
      </c>
      <c r="B103" s="60" t="str">
        <f t="shared" si="64"/>
        <v>hide</v>
      </c>
      <c r="D103" s="48" t="str">
        <f>D102</f>
        <v>01618</v>
      </c>
      <c r="E103" s="7"/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63">
        <f>AVERAGE(I103:J103)</f>
        <v>0</v>
      </c>
      <c r="L103" s="56" t="str">
        <f>"EQP-LAWPACK1"</f>
        <v>EQP-LAWPACK1</v>
      </c>
      <c r="M103" s="14"/>
      <c r="N103" s="15"/>
      <c r="O103" s="12"/>
      <c r="P103" s="34"/>
      <c r="Q103" s="37"/>
      <c r="R103" s="47"/>
      <c r="S103" s="46"/>
    </row>
    <row r="104" spans="1:19" ht="15.6" hidden="1" customHeight="1" thickBot="1" x14ac:dyDescent="0.3">
      <c r="A104" t="s">
        <v>23</v>
      </c>
      <c r="B104" s="60" t="str">
        <f t="shared" ref="B104:B106" si="67">IF(K104=0,"hide","")</f>
        <v>hide</v>
      </c>
      <c r="D104" s="48" t="str">
        <f>D103</f>
        <v>01618</v>
      </c>
      <c r="E104" s="7"/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63">
        <f>AVERAGE(I104:J104)</f>
        <v>0</v>
      </c>
      <c r="L104" s="56" t="str">
        <f>"EQP-LAWPACK2"</f>
        <v>EQP-LAWPACK2</v>
      </c>
      <c r="M104" s="14"/>
      <c r="N104" s="15"/>
      <c r="O104" s="12"/>
      <c r="P104" s="34"/>
      <c r="Q104" s="37"/>
      <c r="R104" s="47"/>
      <c r="S104" s="46"/>
    </row>
    <row r="105" spans="1:19" ht="15.6" hidden="1" customHeight="1" thickBot="1" x14ac:dyDescent="0.3">
      <c r="A105" t="s">
        <v>23</v>
      </c>
      <c r="B105" s="60" t="str">
        <f t="shared" si="67"/>
        <v>hide</v>
      </c>
      <c r="D105" s="48" t="str">
        <f>D104</f>
        <v>01618</v>
      </c>
      <c r="E105" s="7"/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63">
        <f>AVERAGE(I105:J105)</f>
        <v>0</v>
      </c>
      <c r="L105" s="56" t="str">
        <f>"SW-COMAS-PACKL"</f>
        <v>SW-COMAS-PACKL</v>
      </c>
      <c r="M105" s="14"/>
      <c r="N105" s="15"/>
      <c r="O105" s="12"/>
      <c r="P105" s="34"/>
      <c r="Q105" s="37"/>
      <c r="R105" s="47"/>
      <c r="S105" s="46"/>
    </row>
    <row r="106" spans="1:19" ht="15.6" hidden="1" customHeight="1" thickBot="1" x14ac:dyDescent="0.3">
      <c r="A106" t="s">
        <v>23</v>
      </c>
      <c r="B106" s="60" t="str">
        <f t="shared" si="67"/>
        <v>hide</v>
      </c>
      <c r="D106" s="48" t="str">
        <f>D105</f>
        <v>01618</v>
      </c>
      <c r="E106" s="7"/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63">
        <f>AVERAGE(I106:J106)</f>
        <v>0</v>
      </c>
      <c r="L106" s="56" t="str">
        <f>"SW-RISER-PACK"</f>
        <v>SW-RISER-PACK</v>
      </c>
      <c r="M106" s="14"/>
      <c r="N106" s="15"/>
      <c r="O106" s="12"/>
      <c r="P106" s="34"/>
      <c r="Q106" s="37"/>
      <c r="R106" s="47"/>
      <c r="S106" s="46"/>
    </row>
    <row r="107" spans="1:19" ht="12" hidden="1" customHeight="1" x14ac:dyDescent="0.3">
      <c r="A107" s="35" t="s">
        <v>908</v>
      </c>
      <c r="B107" s="49" t="str">
        <f>B103</f>
        <v>hide</v>
      </c>
      <c r="N107"/>
      <c r="Q107" s="33"/>
    </row>
    <row r="108" spans="1:19" ht="13.8" hidden="1" thickBot="1" x14ac:dyDescent="0.3">
      <c r="A108" t="s">
        <v>23</v>
      </c>
      <c r="B108" s="49" t="str">
        <f t="shared" ref="B108" si="68">B107</f>
        <v>hide</v>
      </c>
      <c r="D108" s="58"/>
      <c r="E108" s="58"/>
      <c r="F108" s="52">
        <f>SUM(F103:F107)</f>
        <v>0</v>
      </c>
      <c r="G108" s="52">
        <f>SUM(G103:G107)</f>
        <v>0</v>
      </c>
      <c r="H108" s="52">
        <f>SUM(H103:H107)</f>
        <v>0</v>
      </c>
      <c r="I108" s="52">
        <f>SUM(I103:I107)</f>
        <v>0</v>
      </c>
      <c r="J108" s="52">
        <f>SUM(J103:J107)</f>
        <v>0</v>
      </c>
      <c r="K108" s="52"/>
      <c r="L108" s="51" t="s">
        <v>4</v>
      </c>
      <c r="M108" s="58"/>
      <c r="N108" s="58"/>
      <c r="O108" s="58"/>
      <c r="P108" s="58"/>
      <c r="Q108" s="58"/>
      <c r="R108" s="58"/>
      <c r="S108" s="58"/>
    </row>
    <row r="109" spans="1:19" s="59" customFormat="1" ht="18.75" customHeight="1" thickBot="1" x14ac:dyDescent="0.3">
      <c r="A109" s="59" t="s">
        <v>23</v>
      </c>
      <c r="B109" s="60" t="str">
        <f t="shared" ref="B109:B110" si="69">IF(K109=0,"hide","")</f>
        <v/>
      </c>
      <c r="D109" s="61" t="str">
        <f>"01661"</f>
        <v>01661</v>
      </c>
      <c r="E109" s="62" t="str">
        <f>"6"</f>
        <v>6</v>
      </c>
      <c r="F109" s="63">
        <v>1111.4166666666667</v>
      </c>
      <c r="G109" s="63">
        <v>1863.0833333333333</v>
      </c>
      <c r="H109" s="63">
        <v>2164.5</v>
      </c>
      <c r="I109" s="63">
        <v>2279.75</v>
      </c>
      <c r="J109" s="63">
        <v>937.30963855421692</v>
      </c>
      <c r="K109" s="63">
        <f>AVERAGE(I109:J109)</f>
        <v>1608.5298192771083</v>
      </c>
      <c r="L109" s="64" t="str">
        <f>"Smart Choice Bluberry Top"</f>
        <v>Smart Choice Bluberry Top</v>
      </c>
      <c r="M109" s="65" t="str">
        <f>"48-3.1 oz. I.W."</f>
        <v>48-3.1 oz. I.W.</v>
      </c>
      <c r="N109" s="66">
        <v>48</v>
      </c>
      <c r="O109" s="67" t="str">
        <f>""</f>
        <v/>
      </c>
      <c r="P109" s="68" t="e">
        <f>1/O109</f>
        <v>#VALUE!</v>
      </c>
      <c r="Q109" s="53">
        <v>1</v>
      </c>
      <c r="R109" s="69">
        <f t="shared" ref="R109" si="70">1/Q109</f>
        <v>1</v>
      </c>
      <c r="S109" s="70">
        <f t="shared" ref="S109" si="71">R109*N109</f>
        <v>48</v>
      </c>
    </row>
    <row r="110" spans="1:19" ht="15.6" hidden="1" customHeight="1" thickBot="1" x14ac:dyDescent="0.3">
      <c r="A110" t="s">
        <v>23</v>
      </c>
      <c r="B110" s="60" t="str">
        <f t="shared" si="69"/>
        <v>hide</v>
      </c>
      <c r="D110" s="48" t="str">
        <f>D109</f>
        <v>01661</v>
      </c>
      <c r="E110" s="7"/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63">
        <f>AVERAGE(I110:J110)</f>
        <v>0</v>
      </c>
      <c r="L110" s="56" t="str">
        <f>"EQP-LAWPACK1"</f>
        <v>EQP-LAWPACK1</v>
      </c>
      <c r="M110" s="14"/>
      <c r="N110" s="15"/>
      <c r="O110" s="12"/>
      <c r="P110" s="34"/>
      <c r="Q110" s="37"/>
      <c r="R110" s="47"/>
      <c r="S110" s="46"/>
    </row>
    <row r="111" spans="1:19" ht="15.6" hidden="1" customHeight="1" thickBot="1" x14ac:dyDescent="0.3">
      <c r="A111" t="s">
        <v>23</v>
      </c>
      <c r="B111" s="60" t="str">
        <f t="shared" ref="B111:B113" si="72">IF(K111=0,"hide","")</f>
        <v>hide</v>
      </c>
      <c r="D111" s="48" t="str">
        <f>D110</f>
        <v>01661</v>
      </c>
      <c r="E111" s="7"/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63">
        <f>AVERAGE(I111:J111)</f>
        <v>0</v>
      </c>
      <c r="L111" s="56" t="str">
        <f>"EQP-LAWPACK2"</f>
        <v>EQP-LAWPACK2</v>
      </c>
      <c r="M111" s="14"/>
      <c r="N111" s="15"/>
      <c r="O111" s="12"/>
      <c r="P111" s="34"/>
      <c r="Q111" s="37"/>
      <c r="R111" s="47"/>
      <c r="S111" s="46"/>
    </row>
    <row r="112" spans="1:19" ht="15.6" hidden="1" customHeight="1" thickBot="1" x14ac:dyDescent="0.3">
      <c r="A112" t="s">
        <v>23</v>
      </c>
      <c r="B112" s="60" t="str">
        <f t="shared" si="72"/>
        <v>hide</v>
      </c>
      <c r="D112" s="48" t="str">
        <f>D111</f>
        <v>01661</v>
      </c>
      <c r="E112" s="7"/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63">
        <f>AVERAGE(I112:J112)</f>
        <v>0</v>
      </c>
      <c r="L112" s="56" t="str">
        <f>"SW-COMAS-PACKL"</f>
        <v>SW-COMAS-PACKL</v>
      </c>
      <c r="M112" s="14"/>
      <c r="N112" s="15"/>
      <c r="O112" s="12"/>
      <c r="P112" s="34"/>
      <c r="Q112" s="37"/>
      <c r="R112" s="47"/>
      <c r="S112" s="46"/>
    </row>
    <row r="113" spans="1:19" ht="15.6" hidden="1" customHeight="1" thickBot="1" x14ac:dyDescent="0.3">
      <c r="A113" t="s">
        <v>23</v>
      </c>
      <c r="B113" s="60" t="str">
        <f t="shared" si="72"/>
        <v>hide</v>
      </c>
      <c r="D113" s="48" t="str">
        <f>D112</f>
        <v>01661</v>
      </c>
      <c r="E113" s="7"/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63">
        <f>AVERAGE(I113:J113)</f>
        <v>0</v>
      </c>
      <c r="L113" s="56" t="str">
        <f>"SW-RISER-PACK"</f>
        <v>SW-RISER-PACK</v>
      </c>
      <c r="M113" s="14"/>
      <c r="N113" s="15"/>
      <c r="O113" s="12"/>
      <c r="P113" s="34"/>
      <c r="Q113" s="37"/>
      <c r="R113" s="47"/>
      <c r="S113" s="46"/>
    </row>
    <row r="114" spans="1:19" ht="12" hidden="1" customHeight="1" x14ac:dyDescent="0.3">
      <c r="A114" s="35" t="s">
        <v>908</v>
      </c>
      <c r="B114" s="49" t="str">
        <f>B110</f>
        <v>hide</v>
      </c>
      <c r="N114"/>
      <c r="Q114" s="33"/>
    </row>
    <row r="115" spans="1:19" ht="13.8" hidden="1" thickBot="1" x14ac:dyDescent="0.3">
      <c r="A115" t="s">
        <v>23</v>
      </c>
      <c r="B115" s="49" t="str">
        <f t="shared" ref="B115" si="73">B114</f>
        <v>hide</v>
      </c>
      <c r="D115" s="58"/>
      <c r="E115" s="58"/>
      <c r="F115" s="52">
        <f>SUM(F110:F114)</f>
        <v>0</v>
      </c>
      <c r="G115" s="52">
        <f>SUM(G110:G114)</f>
        <v>0</v>
      </c>
      <c r="H115" s="52">
        <f>SUM(H110:H114)</f>
        <v>0</v>
      </c>
      <c r="I115" s="52">
        <f>SUM(I110:I114)</f>
        <v>0</v>
      </c>
      <c r="J115" s="52">
        <f>SUM(J110:J114)</f>
        <v>0</v>
      </c>
      <c r="K115" s="52"/>
      <c r="L115" s="51" t="s">
        <v>4</v>
      </c>
      <c r="M115" s="58"/>
      <c r="N115" s="58"/>
      <c r="O115" s="58"/>
      <c r="P115" s="58"/>
      <c r="Q115" s="58"/>
      <c r="R115" s="58"/>
      <c r="S115" s="58"/>
    </row>
    <row r="116" spans="1:19" s="59" customFormat="1" ht="18.75" customHeight="1" thickBot="1" x14ac:dyDescent="0.3">
      <c r="A116" s="59" t="s">
        <v>23</v>
      </c>
      <c r="B116" s="60" t="str">
        <f t="shared" ref="B116:B117" si="74">IF(K116=0,"hide","")</f>
        <v/>
      </c>
      <c r="D116" s="61" t="str">
        <f>"01666"</f>
        <v>01666</v>
      </c>
      <c r="E116" s="62" t="str">
        <f>"11"</f>
        <v>11</v>
      </c>
      <c r="F116" s="63">
        <v>1084.8333333333333</v>
      </c>
      <c r="G116" s="63">
        <v>1678.75</v>
      </c>
      <c r="H116" s="63">
        <v>2950.0833333333335</v>
      </c>
      <c r="I116" s="63">
        <v>1980.5833333333333</v>
      </c>
      <c r="J116" s="63">
        <v>1062.7843373493977</v>
      </c>
      <c r="K116" s="63">
        <f>AVERAGE(I116:J116)</f>
        <v>1521.6838353413655</v>
      </c>
      <c r="L116" s="64" t="str">
        <f>"SC Apple Cinnamon Top"</f>
        <v>SC Apple Cinnamon Top</v>
      </c>
      <c r="M116" s="65" t="str">
        <f>"48-3.1 oz. I.W."</f>
        <v>48-3.1 oz. I.W.</v>
      </c>
      <c r="N116" s="66">
        <v>48</v>
      </c>
      <c r="O116" s="67" t="str">
        <f>""</f>
        <v/>
      </c>
      <c r="P116" s="68" t="e">
        <f>1/O116</f>
        <v>#VALUE!</v>
      </c>
      <c r="Q116" s="53">
        <v>1</v>
      </c>
      <c r="R116" s="69">
        <f t="shared" ref="R116" si="75">1/Q116</f>
        <v>1</v>
      </c>
      <c r="S116" s="70">
        <f t="shared" ref="S116" si="76">R116*N116</f>
        <v>48</v>
      </c>
    </row>
    <row r="117" spans="1:19" ht="15.6" hidden="1" customHeight="1" thickBot="1" x14ac:dyDescent="0.3">
      <c r="A117" t="s">
        <v>23</v>
      </c>
      <c r="B117" s="60" t="str">
        <f t="shared" si="74"/>
        <v>hide</v>
      </c>
      <c r="D117" s="48" t="str">
        <f>D116</f>
        <v>01666</v>
      </c>
      <c r="E117" s="7"/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63">
        <f>AVERAGE(I117:J117)</f>
        <v>0</v>
      </c>
      <c r="L117" s="56" t="str">
        <f>"EQP-LAWPACK1"</f>
        <v>EQP-LAWPACK1</v>
      </c>
      <c r="M117" s="14"/>
      <c r="N117" s="15"/>
      <c r="O117" s="12"/>
      <c r="P117" s="34"/>
      <c r="Q117" s="37"/>
      <c r="R117" s="47"/>
      <c r="S117" s="46"/>
    </row>
    <row r="118" spans="1:19" ht="15.6" hidden="1" customHeight="1" thickBot="1" x14ac:dyDescent="0.3">
      <c r="A118" t="s">
        <v>23</v>
      </c>
      <c r="B118" s="60" t="str">
        <f t="shared" ref="B118:B120" si="77">IF(K118=0,"hide","")</f>
        <v>hide</v>
      </c>
      <c r="D118" s="48" t="str">
        <f>D117</f>
        <v>01666</v>
      </c>
      <c r="E118" s="7"/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63">
        <f>AVERAGE(I118:J118)</f>
        <v>0</v>
      </c>
      <c r="L118" s="56" t="str">
        <f>"EQP-LAWPACK2"</f>
        <v>EQP-LAWPACK2</v>
      </c>
      <c r="M118" s="14"/>
      <c r="N118" s="15"/>
      <c r="O118" s="12"/>
      <c r="P118" s="34"/>
      <c r="Q118" s="37"/>
      <c r="R118" s="47"/>
      <c r="S118" s="46"/>
    </row>
    <row r="119" spans="1:19" ht="15.6" hidden="1" customHeight="1" thickBot="1" x14ac:dyDescent="0.3">
      <c r="A119" t="s">
        <v>23</v>
      </c>
      <c r="B119" s="60" t="str">
        <f t="shared" si="77"/>
        <v>hide</v>
      </c>
      <c r="D119" s="48" t="str">
        <f>D118</f>
        <v>01666</v>
      </c>
      <c r="E119" s="7"/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63">
        <f>AVERAGE(I119:J119)</f>
        <v>0</v>
      </c>
      <c r="L119" s="56" t="str">
        <f>"SW-COMAS-PACKL"</f>
        <v>SW-COMAS-PACKL</v>
      </c>
      <c r="M119" s="14"/>
      <c r="N119" s="15"/>
      <c r="O119" s="12"/>
      <c r="P119" s="34"/>
      <c r="Q119" s="37"/>
      <c r="R119" s="47"/>
      <c r="S119" s="46"/>
    </row>
    <row r="120" spans="1:19" ht="15.6" hidden="1" customHeight="1" thickBot="1" x14ac:dyDescent="0.3">
      <c r="A120" t="s">
        <v>23</v>
      </c>
      <c r="B120" s="60" t="str">
        <f t="shared" si="77"/>
        <v>hide</v>
      </c>
      <c r="D120" s="48" t="str">
        <f>D119</f>
        <v>01666</v>
      </c>
      <c r="E120" s="7"/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63">
        <f>AVERAGE(I120:J120)</f>
        <v>0</v>
      </c>
      <c r="L120" s="56" t="str">
        <f>"SW-RISER-PACK"</f>
        <v>SW-RISER-PACK</v>
      </c>
      <c r="M120" s="14"/>
      <c r="N120" s="15"/>
      <c r="O120" s="12"/>
      <c r="P120" s="34"/>
      <c r="Q120" s="37"/>
      <c r="R120" s="47"/>
      <c r="S120" s="46"/>
    </row>
    <row r="121" spans="1:19" ht="12" hidden="1" customHeight="1" x14ac:dyDescent="0.3">
      <c r="A121" s="35" t="s">
        <v>908</v>
      </c>
      <c r="B121" s="49" t="str">
        <f>B117</f>
        <v>hide</v>
      </c>
      <c r="N121"/>
      <c r="Q121" s="33"/>
    </row>
    <row r="122" spans="1:19" ht="13.8" hidden="1" thickBot="1" x14ac:dyDescent="0.3">
      <c r="A122" t="s">
        <v>23</v>
      </c>
      <c r="B122" s="49" t="str">
        <f t="shared" ref="B122" si="78">B121</f>
        <v>hide</v>
      </c>
      <c r="D122" s="58"/>
      <c r="E122" s="58"/>
      <c r="F122" s="52">
        <f>SUM(F117:F121)</f>
        <v>0</v>
      </c>
      <c r="G122" s="52">
        <f>SUM(G117:G121)</f>
        <v>0</v>
      </c>
      <c r="H122" s="52">
        <f>SUM(H117:H121)</f>
        <v>0</v>
      </c>
      <c r="I122" s="52">
        <f>SUM(I117:I121)</f>
        <v>0</v>
      </c>
      <c r="J122" s="52">
        <f>SUM(J117:J121)</f>
        <v>0</v>
      </c>
      <c r="K122" s="52"/>
      <c r="L122" s="51" t="s">
        <v>4</v>
      </c>
      <c r="M122" s="58"/>
      <c r="N122" s="58"/>
      <c r="O122" s="58"/>
      <c r="P122" s="58"/>
      <c r="Q122" s="58"/>
      <c r="R122" s="58"/>
      <c r="S122" s="58"/>
    </row>
    <row r="123" spans="1:19" s="59" customFormat="1" ht="18.75" customHeight="1" thickBot="1" x14ac:dyDescent="0.3">
      <c r="A123" s="59" t="s">
        <v>23</v>
      </c>
      <c r="B123" s="60" t="str">
        <f t="shared" ref="B123:B124" si="79">IF(K123=0,"hide","")</f>
        <v/>
      </c>
      <c r="D123" s="61" t="str">
        <f>"01670"</f>
        <v>01670</v>
      </c>
      <c r="E123" s="62" t="str">
        <f>"2"</f>
        <v>2</v>
      </c>
      <c r="F123" s="63">
        <v>193.25</v>
      </c>
      <c r="G123" s="63">
        <v>40.583333333333336</v>
      </c>
      <c r="H123" s="63">
        <v>146.41666666666666</v>
      </c>
      <c r="I123" s="63">
        <v>104.66666666666667</v>
      </c>
      <c r="J123" s="63">
        <v>130.52096385542168</v>
      </c>
      <c r="K123" s="63">
        <f>AVERAGE(I123:J123)</f>
        <v>117.59381526104417</v>
      </c>
      <c r="L123" s="64" t="str">
        <f>"WG CHOC CHIP MUFFIN TOP"</f>
        <v>WG CHOC CHIP MUFFIN TOP</v>
      </c>
      <c r="M123" s="65" t="str">
        <f>"48-3.1 oz. I.W."</f>
        <v>48-3.1 oz. I.W.</v>
      </c>
      <c r="N123" s="66">
        <v>48</v>
      </c>
      <c r="O123" s="67" t="str">
        <f>""</f>
        <v/>
      </c>
      <c r="P123" s="68" t="e">
        <f>1/O123</f>
        <v>#VALUE!</v>
      </c>
      <c r="Q123" s="53">
        <v>1</v>
      </c>
      <c r="R123" s="69">
        <f t="shared" ref="R123" si="80">1/Q123</f>
        <v>1</v>
      </c>
      <c r="S123" s="70">
        <f t="shared" ref="S123" si="81">R123*N123</f>
        <v>48</v>
      </c>
    </row>
    <row r="124" spans="1:19" ht="15.6" hidden="1" customHeight="1" thickBot="1" x14ac:dyDescent="0.3">
      <c r="A124" t="s">
        <v>23</v>
      </c>
      <c r="B124" s="60" t="str">
        <f t="shared" si="79"/>
        <v>hide</v>
      </c>
      <c r="D124" s="48" t="str">
        <f>D123</f>
        <v>01670</v>
      </c>
      <c r="E124" s="7"/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63">
        <f>AVERAGE(I124:J124)</f>
        <v>0</v>
      </c>
      <c r="L124" s="56" t="str">
        <f>"EQP-LAWPACK1"</f>
        <v>EQP-LAWPACK1</v>
      </c>
      <c r="M124" s="14"/>
      <c r="N124" s="15"/>
      <c r="O124" s="12"/>
      <c r="P124" s="34"/>
      <c r="Q124" s="37"/>
      <c r="R124" s="47"/>
      <c r="S124" s="46"/>
    </row>
    <row r="125" spans="1:19" ht="15.6" hidden="1" customHeight="1" thickBot="1" x14ac:dyDescent="0.3">
      <c r="A125" t="s">
        <v>23</v>
      </c>
      <c r="B125" s="60" t="str">
        <f t="shared" ref="B125:B127" si="82">IF(K125=0,"hide","")</f>
        <v>hide</v>
      </c>
      <c r="D125" s="48" t="str">
        <f>D124</f>
        <v>01670</v>
      </c>
      <c r="E125" s="7"/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63">
        <f>AVERAGE(I125:J125)</f>
        <v>0</v>
      </c>
      <c r="L125" s="56" t="str">
        <f>"EQP-LAWPACK2"</f>
        <v>EQP-LAWPACK2</v>
      </c>
      <c r="M125" s="14"/>
      <c r="N125" s="15"/>
      <c r="O125" s="12"/>
      <c r="P125" s="34"/>
      <c r="Q125" s="37"/>
      <c r="R125" s="47"/>
      <c r="S125" s="46"/>
    </row>
    <row r="126" spans="1:19" ht="15.6" hidden="1" customHeight="1" thickBot="1" x14ac:dyDescent="0.3">
      <c r="A126" t="s">
        <v>23</v>
      </c>
      <c r="B126" s="60" t="str">
        <f t="shared" si="82"/>
        <v>hide</v>
      </c>
      <c r="D126" s="48" t="str">
        <f>D125</f>
        <v>01670</v>
      </c>
      <c r="E126" s="7"/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63">
        <f>AVERAGE(I126:J126)</f>
        <v>0</v>
      </c>
      <c r="L126" s="56" t="str">
        <f>"SW-COMAS-PACKL"</f>
        <v>SW-COMAS-PACKL</v>
      </c>
      <c r="M126" s="14"/>
      <c r="N126" s="15"/>
      <c r="O126" s="12"/>
      <c r="P126" s="34"/>
      <c r="Q126" s="37"/>
      <c r="R126" s="47"/>
      <c r="S126" s="46"/>
    </row>
    <row r="127" spans="1:19" ht="15.6" hidden="1" customHeight="1" thickBot="1" x14ac:dyDescent="0.3">
      <c r="A127" t="s">
        <v>23</v>
      </c>
      <c r="B127" s="60" t="str">
        <f t="shared" si="82"/>
        <v>hide</v>
      </c>
      <c r="D127" s="48" t="str">
        <f>D126</f>
        <v>01670</v>
      </c>
      <c r="E127" s="7"/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63">
        <f>AVERAGE(I127:J127)</f>
        <v>0</v>
      </c>
      <c r="L127" s="56" t="str">
        <f>"SW-RISER-PACK"</f>
        <v>SW-RISER-PACK</v>
      </c>
      <c r="M127" s="14"/>
      <c r="N127" s="15"/>
      <c r="O127" s="12"/>
      <c r="P127" s="34"/>
      <c r="Q127" s="37"/>
      <c r="R127" s="47"/>
      <c r="S127" s="46"/>
    </row>
    <row r="128" spans="1:19" ht="12" hidden="1" customHeight="1" x14ac:dyDescent="0.3">
      <c r="A128" s="35" t="s">
        <v>908</v>
      </c>
      <c r="B128" s="49" t="str">
        <f>B124</f>
        <v>hide</v>
      </c>
      <c r="N128"/>
      <c r="Q128" s="33"/>
    </row>
    <row r="129" spans="1:19" ht="13.8" hidden="1" thickBot="1" x14ac:dyDescent="0.3">
      <c r="A129" t="s">
        <v>23</v>
      </c>
      <c r="B129" s="49" t="str">
        <f t="shared" ref="B129" si="83">B128</f>
        <v>hide</v>
      </c>
      <c r="D129" s="58"/>
      <c r="E129" s="58"/>
      <c r="F129" s="52">
        <f>SUM(F124:F128)</f>
        <v>0</v>
      </c>
      <c r="G129" s="52">
        <f>SUM(G124:G128)</f>
        <v>0</v>
      </c>
      <c r="H129" s="52">
        <f>SUM(H124:H128)</f>
        <v>0</v>
      </c>
      <c r="I129" s="52">
        <f>SUM(I124:I128)</f>
        <v>0</v>
      </c>
      <c r="J129" s="52">
        <f>SUM(J124:J128)</f>
        <v>0</v>
      </c>
      <c r="K129" s="52"/>
      <c r="L129" s="51" t="s">
        <v>4</v>
      </c>
      <c r="M129" s="58"/>
      <c r="N129" s="58"/>
      <c r="O129" s="58"/>
      <c r="P129" s="58"/>
      <c r="Q129" s="58"/>
      <c r="R129" s="58"/>
      <c r="S129" s="58"/>
    </row>
    <row r="130" spans="1:19" s="59" customFormat="1" ht="18.75" customHeight="1" thickBot="1" x14ac:dyDescent="0.3">
      <c r="A130" s="59" t="s">
        <v>23</v>
      </c>
      <c r="B130" s="60" t="str">
        <f t="shared" ref="B130:B131" si="84">IF(K130=0,"hide","")</f>
        <v/>
      </c>
      <c r="D130" s="61" t="str">
        <f>"01673"</f>
        <v>01673</v>
      </c>
      <c r="E130" s="62" t="str">
        <f>"1"</f>
        <v>1</v>
      </c>
      <c r="F130" s="63">
        <v>38.999999999999993</v>
      </c>
      <c r="G130" s="63">
        <v>120.83333333333333</v>
      </c>
      <c r="H130" s="63">
        <v>16.333333333333332</v>
      </c>
      <c r="I130" s="63">
        <v>0</v>
      </c>
      <c r="J130" s="63">
        <v>4.3643373493975908</v>
      </c>
      <c r="K130" s="63">
        <f>AVERAGE(I130:J130)</f>
        <v>2.1821686746987954</v>
      </c>
      <c r="L130" s="64" t="str">
        <f>"3.1oz Smart Choice Double Choc Chip Muffin Top"</f>
        <v>3.1oz Smart Choice Double Choc Chip Muffin Top</v>
      </c>
      <c r="M130" s="65" t="str">
        <f>"48-3.1 oz. I.W."</f>
        <v>48-3.1 oz. I.W.</v>
      </c>
      <c r="N130" s="66">
        <v>48</v>
      </c>
      <c r="O130" s="67" t="str">
        <f>""</f>
        <v/>
      </c>
      <c r="P130" s="68" t="e">
        <f>1/O130</f>
        <v>#VALUE!</v>
      </c>
      <c r="Q130" s="53">
        <v>1</v>
      </c>
      <c r="R130" s="69">
        <f t="shared" ref="R130" si="85">1/Q130</f>
        <v>1</v>
      </c>
      <c r="S130" s="70">
        <f t="shared" ref="S130" si="86">R130*N130</f>
        <v>48</v>
      </c>
    </row>
    <row r="131" spans="1:19" ht="15.6" hidden="1" customHeight="1" thickBot="1" x14ac:dyDescent="0.3">
      <c r="A131" t="s">
        <v>23</v>
      </c>
      <c r="B131" s="60" t="str">
        <f t="shared" si="84"/>
        <v>hide</v>
      </c>
      <c r="D131" s="48" t="str">
        <f>D130</f>
        <v>01673</v>
      </c>
      <c r="E131" s="7"/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63">
        <f>AVERAGE(I131:J131)</f>
        <v>0</v>
      </c>
      <c r="L131" s="56" t="str">
        <f>"EQP-LAWPACK1"</f>
        <v>EQP-LAWPACK1</v>
      </c>
      <c r="M131" s="14"/>
      <c r="N131" s="15"/>
      <c r="O131" s="12"/>
      <c r="P131" s="34"/>
      <c r="Q131" s="37"/>
      <c r="R131" s="47"/>
      <c r="S131" s="46"/>
    </row>
    <row r="132" spans="1:19" ht="15.6" hidden="1" customHeight="1" thickBot="1" x14ac:dyDescent="0.3">
      <c r="A132" t="s">
        <v>23</v>
      </c>
      <c r="B132" s="60" t="str">
        <f t="shared" ref="B132:B134" si="87">IF(K132=0,"hide","")</f>
        <v>hide</v>
      </c>
      <c r="D132" s="48" t="str">
        <f>D131</f>
        <v>01673</v>
      </c>
      <c r="E132" s="7"/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63">
        <f>AVERAGE(I132:J132)</f>
        <v>0</v>
      </c>
      <c r="L132" s="56" t="str">
        <f>"EQP-LAWPACK2"</f>
        <v>EQP-LAWPACK2</v>
      </c>
      <c r="M132" s="14"/>
      <c r="N132" s="15"/>
      <c r="O132" s="12"/>
      <c r="P132" s="34"/>
      <c r="Q132" s="37"/>
      <c r="R132" s="47"/>
      <c r="S132" s="46"/>
    </row>
    <row r="133" spans="1:19" ht="15.6" hidden="1" customHeight="1" thickBot="1" x14ac:dyDescent="0.3">
      <c r="A133" t="s">
        <v>23</v>
      </c>
      <c r="B133" s="60" t="str">
        <f t="shared" si="87"/>
        <v>hide</v>
      </c>
      <c r="D133" s="48" t="str">
        <f>D132</f>
        <v>01673</v>
      </c>
      <c r="E133" s="7"/>
      <c r="F133" s="27">
        <v>0</v>
      </c>
      <c r="G133" s="27">
        <v>0</v>
      </c>
      <c r="H133" s="27">
        <v>0</v>
      </c>
      <c r="I133" s="27">
        <v>0</v>
      </c>
      <c r="J133" s="27">
        <v>0</v>
      </c>
      <c r="K133" s="63">
        <f>AVERAGE(I133:J133)</f>
        <v>0</v>
      </c>
      <c r="L133" s="56" t="str">
        <f>"SW-COMAS-PACKL"</f>
        <v>SW-COMAS-PACKL</v>
      </c>
      <c r="M133" s="14"/>
      <c r="N133" s="15"/>
      <c r="O133" s="12"/>
      <c r="P133" s="34"/>
      <c r="Q133" s="37"/>
      <c r="R133" s="47"/>
      <c r="S133" s="46"/>
    </row>
    <row r="134" spans="1:19" ht="15.6" hidden="1" customHeight="1" thickBot="1" x14ac:dyDescent="0.3">
      <c r="A134" t="s">
        <v>23</v>
      </c>
      <c r="B134" s="60" t="str">
        <f t="shared" si="87"/>
        <v>hide</v>
      </c>
      <c r="D134" s="48" t="str">
        <f>D133</f>
        <v>01673</v>
      </c>
      <c r="E134" s="7"/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63">
        <f>AVERAGE(I134:J134)</f>
        <v>0</v>
      </c>
      <c r="L134" s="56" t="str">
        <f>"SW-RISER-PACK"</f>
        <v>SW-RISER-PACK</v>
      </c>
      <c r="M134" s="14"/>
      <c r="N134" s="15"/>
      <c r="O134" s="12"/>
      <c r="P134" s="34"/>
      <c r="Q134" s="37"/>
      <c r="R134" s="47"/>
      <c r="S134" s="46"/>
    </row>
    <row r="135" spans="1:19" ht="12" hidden="1" customHeight="1" x14ac:dyDescent="0.3">
      <c r="A135" s="35" t="s">
        <v>908</v>
      </c>
      <c r="B135" s="49" t="str">
        <f>B131</f>
        <v>hide</v>
      </c>
      <c r="N135"/>
      <c r="Q135" s="33"/>
    </row>
    <row r="136" spans="1:19" ht="13.8" hidden="1" thickBot="1" x14ac:dyDescent="0.3">
      <c r="A136" t="s">
        <v>23</v>
      </c>
      <c r="B136" s="49" t="str">
        <f t="shared" ref="B136" si="88">B135</f>
        <v>hide</v>
      </c>
      <c r="D136" s="58"/>
      <c r="E136" s="58"/>
      <c r="F136" s="52">
        <f>SUM(F131:F135)</f>
        <v>0</v>
      </c>
      <c r="G136" s="52">
        <f>SUM(G131:G135)</f>
        <v>0</v>
      </c>
      <c r="H136" s="52">
        <f>SUM(H131:H135)</f>
        <v>0</v>
      </c>
      <c r="I136" s="52">
        <f>SUM(I131:I135)</f>
        <v>0</v>
      </c>
      <c r="J136" s="52">
        <f>SUM(J131:J135)</f>
        <v>0</v>
      </c>
      <c r="K136" s="52"/>
      <c r="L136" s="51" t="s">
        <v>4</v>
      </c>
      <c r="M136" s="58"/>
      <c r="N136" s="58"/>
      <c r="O136" s="58"/>
      <c r="P136" s="58"/>
      <c r="Q136" s="58"/>
      <c r="R136" s="58"/>
      <c r="S136" s="58"/>
    </row>
    <row r="137" spans="1:19" s="59" customFormat="1" ht="18.75" customHeight="1" thickBot="1" x14ac:dyDescent="0.3">
      <c r="A137" s="59" t="s">
        <v>23</v>
      </c>
      <c r="B137" s="60" t="str">
        <f t="shared" ref="B137:B138" si="89">IF(K137=0,"hide","")</f>
        <v/>
      </c>
      <c r="D137" s="61" t="str">
        <f>"01818"</f>
        <v>01818</v>
      </c>
      <c r="E137" s="62" t="str">
        <f>"5"</f>
        <v>5</v>
      </c>
      <c r="F137" s="63">
        <v>67.833333333333329</v>
      </c>
      <c r="G137" s="63">
        <v>63.333333333333343</v>
      </c>
      <c r="H137" s="63">
        <v>62.666666666666664</v>
      </c>
      <c r="I137" s="63">
        <v>36.666666666666664</v>
      </c>
      <c r="J137" s="63">
        <v>44.529879518072292</v>
      </c>
      <c r="K137" s="63">
        <f>AVERAGE(I137:J137)</f>
        <v>40.598273092369482</v>
      </c>
      <c r="L137" s="64" t="str">
        <f>"WG Sw. Potato Choc Chip  Top"</f>
        <v>WG Sw. Potato Choc Chip  Top</v>
      </c>
      <c r="M137" s="65" t="str">
        <f>"48-3.1 oz. I.W. (NATIONAL)"</f>
        <v>48-3.1 oz. I.W. (NATIONAL)</v>
      </c>
      <c r="N137" s="66">
        <v>48</v>
      </c>
      <c r="O137" s="67" t="str">
        <f>""</f>
        <v/>
      </c>
      <c r="P137" s="68" t="e">
        <f>1/O137</f>
        <v>#VALUE!</v>
      </c>
      <c r="Q137" s="53">
        <v>1</v>
      </c>
      <c r="R137" s="69">
        <f t="shared" ref="R137" si="90">1/Q137</f>
        <v>1</v>
      </c>
      <c r="S137" s="70">
        <f t="shared" ref="S137" si="91">R137*N137</f>
        <v>48</v>
      </c>
    </row>
    <row r="138" spans="1:19" ht="15.6" hidden="1" customHeight="1" thickBot="1" x14ac:dyDescent="0.3">
      <c r="A138" t="s">
        <v>23</v>
      </c>
      <c r="B138" s="60" t="str">
        <f t="shared" si="89"/>
        <v>hide</v>
      </c>
      <c r="D138" s="48" t="str">
        <f>D137</f>
        <v>01818</v>
      </c>
      <c r="E138" s="7"/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63">
        <f>AVERAGE(I138:J138)</f>
        <v>0</v>
      </c>
      <c r="L138" s="56" t="str">
        <f>"EQP-LAWPACK1"</f>
        <v>EQP-LAWPACK1</v>
      </c>
      <c r="M138" s="14"/>
      <c r="N138" s="15"/>
      <c r="O138" s="12"/>
      <c r="P138" s="34"/>
      <c r="Q138" s="37"/>
      <c r="R138" s="47"/>
      <c r="S138" s="46"/>
    </row>
    <row r="139" spans="1:19" ht="15.6" hidden="1" customHeight="1" thickBot="1" x14ac:dyDescent="0.3">
      <c r="A139" t="s">
        <v>23</v>
      </c>
      <c r="B139" s="60" t="str">
        <f t="shared" ref="B139:B141" si="92">IF(K139=0,"hide","")</f>
        <v>hide</v>
      </c>
      <c r="D139" s="48" t="str">
        <f>D138</f>
        <v>01818</v>
      </c>
      <c r="E139" s="7"/>
      <c r="F139" s="27">
        <v>0</v>
      </c>
      <c r="G139" s="27">
        <v>0</v>
      </c>
      <c r="H139" s="27">
        <v>0</v>
      </c>
      <c r="I139" s="27">
        <v>0</v>
      </c>
      <c r="J139" s="27">
        <v>0</v>
      </c>
      <c r="K139" s="63">
        <f>AVERAGE(I139:J139)</f>
        <v>0</v>
      </c>
      <c r="L139" s="56" t="str">
        <f>"EQP-LAWPACK2"</f>
        <v>EQP-LAWPACK2</v>
      </c>
      <c r="M139" s="14"/>
      <c r="N139" s="15"/>
      <c r="O139" s="12"/>
      <c r="P139" s="34"/>
      <c r="Q139" s="37"/>
      <c r="R139" s="47"/>
      <c r="S139" s="46"/>
    </row>
    <row r="140" spans="1:19" ht="15.6" hidden="1" customHeight="1" thickBot="1" x14ac:dyDescent="0.3">
      <c r="A140" t="s">
        <v>23</v>
      </c>
      <c r="B140" s="60" t="str">
        <f t="shared" si="92"/>
        <v>hide</v>
      </c>
      <c r="D140" s="48" t="str">
        <f>D139</f>
        <v>01818</v>
      </c>
      <c r="E140" s="7"/>
      <c r="F140" s="27">
        <v>0</v>
      </c>
      <c r="G140" s="27">
        <v>0</v>
      </c>
      <c r="H140" s="27">
        <v>0</v>
      </c>
      <c r="I140" s="27">
        <v>0</v>
      </c>
      <c r="J140" s="27">
        <v>0</v>
      </c>
      <c r="K140" s="63">
        <f>AVERAGE(I140:J140)</f>
        <v>0</v>
      </c>
      <c r="L140" s="56" t="str">
        <f>"SW-COMAS-PACKL"</f>
        <v>SW-COMAS-PACKL</v>
      </c>
      <c r="M140" s="14"/>
      <c r="N140" s="15"/>
      <c r="O140" s="12"/>
      <c r="P140" s="34"/>
      <c r="Q140" s="37"/>
      <c r="R140" s="47"/>
      <c r="S140" s="46"/>
    </row>
    <row r="141" spans="1:19" ht="15.6" hidden="1" customHeight="1" thickBot="1" x14ac:dyDescent="0.3">
      <c r="A141" t="s">
        <v>23</v>
      </c>
      <c r="B141" s="60" t="str">
        <f t="shared" si="92"/>
        <v>hide</v>
      </c>
      <c r="D141" s="48" t="str">
        <f>D140</f>
        <v>01818</v>
      </c>
      <c r="E141" s="7"/>
      <c r="F141" s="27">
        <v>0</v>
      </c>
      <c r="G141" s="27">
        <v>0</v>
      </c>
      <c r="H141" s="27">
        <v>0</v>
      </c>
      <c r="I141" s="27">
        <v>0</v>
      </c>
      <c r="J141" s="27">
        <v>0</v>
      </c>
      <c r="K141" s="63">
        <f>AVERAGE(I141:J141)</f>
        <v>0</v>
      </c>
      <c r="L141" s="56" t="str">
        <f>"SW-RISER-PACK"</f>
        <v>SW-RISER-PACK</v>
      </c>
      <c r="M141" s="14"/>
      <c r="N141" s="15"/>
      <c r="O141" s="12"/>
      <c r="P141" s="34"/>
      <c r="Q141" s="37"/>
      <c r="R141" s="47"/>
      <c r="S141" s="46"/>
    </row>
    <row r="142" spans="1:19" ht="12" hidden="1" customHeight="1" x14ac:dyDescent="0.3">
      <c r="A142" s="35" t="s">
        <v>908</v>
      </c>
      <c r="B142" s="49" t="str">
        <f>B138</f>
        <v>hide</v>
      </c>
      <c r="N142"/>
      <c r="Q142" s="33"/>
    </row>
    <row r="143" spans="1:19" ht="13.8" hidden="1" thickBot="1" x14ac:dyDescent="0.3">
      <c r="A143" t="s">
        <v>23</v>
      </c>
      <c r="B143" s="49" t="str">
        <f t="shared" ref="B143" si="93">B142</f>
        <v>hide</v>
      </c>
      <c r="D143" s="58"/>
      <c r="E143" s="58"/>
      <c r="F143" s="52">
        <f>SUM(F138:F142)</f>
        <v>0</v>
      </c>
      <c r="G143" s="52">
        <f>SUM(G138:G142)</f>
        <v>0</v>
      </c>
      <c r="H143" s="52">
        <f>SUM(H138:H142)</f>
        <v>0</v>
      </c>
      <c r="I143" s="52">
        <f>SUM(I138:I142)</f>
        <v>0</v>
      </c>
      <c r="J143" s="52">
        <f>SUM(J138:J142)</f>
        <v>0</v>
      </c>
      <c r="K143" s="52"/>
      <c r="L143" s="51" t="s">
        <v>4</v>
      </c>
      <c r="M143" s="58"/>
      <c r="N143" s="58"/>
      <c r="O143" s="58"/>
      <c r="P143" s="58"/>
      <c r="Q143" s="58"/>
      <c r="R143" s="58"/>
      <c r="S143" s="58"/>
    </row>
    <row r="144" spans="1:19" s="59" customFormat="1" ht="18.75" hidden="1" customHeight="1" thickBot="1" x14ac:dyDescent="0.3">
      <c r="A144" s="59" t="s">
        <v>23</v>
      </c>
      <c r="B144" s="60" t="str">
        <f t="shared" ref="B144:B145" si="94">IF(K144=0,"hide","")</f>
        <v>hide</v>
      </c>
      <c r="D144" s="61" t="str">
        <f>"01870"</f>
        <v>01870</v>
      </c>
      <c r="E144" s="62" t="str">
        <f>"4"</f>
        <v>4</v>
      </c>
      <c r="F144" s="63">
        <v>0</v>
      </c>
      <c r="G144" s="63">
        <v>0</v>
      </c>
      <c r="H144" s="63">
        <v>0</v>
      </c>
      <c r="I144" s="63">
        <v>0</v>
      </c>
      <c r="J144" s="63">
        <v>0</v>
      </c>
      <c r="K144" s="63">
        <f>AVERAGE(I144:J144)</f>
        <v>0</v>
      </c>
      <c r="L144" s="64" t="str">
        <f>"WG Choc Chip  Top"</f>
        <v>WG Choc Chip  Top</v>
      </c>
      <c r="M144" s="65" t="str">
        <f>"48-3.1 oz. I.W."</f>
        <v>48-3.1 oz. I.W.</v>
      </c>
      <c r="N144" s="66">
        <v>48</v>
      </c>
      <c r="O144" s="67" t="str">
        <f>""</f>
        <v/>
      </c>
      <c r="P144" s="68" t="e">
        <f>1/O144</f>
        <v>#VALUE!</v>
      </c>
      <c r="Q144" s="53">
        <v>1</v>
      </c>
      <c r="R144" s="69">
        <f t="shared" ref="R144" si="95">1/Q144</f>
        <v>1</v>
      </c>
      <c r="S144" s="70">
        <f t="shared" ref="S144" si="96">R144*N144</f>
        <v>48</v>
      </c>
    </row>
    <row r="145" spans="1:19" ht="15.6" hidden="1" customHeight="1" thickBot="1" x14ac:dyDescent="0.3">
      <c r="A145" t="s">
        <v>23</v>
      </c>
      <c r="B145" s="60" t="str">
        <f t="shared" si="94"/>
        <v>hide</v>
      </c>
      <c r="D145" s="48" t="str">
        <f>D144</f>
        <v>01870</v>
      </c>
      <c r="E145" s="7"/>
      <c r="F145" s="27">
        <v>0</v>
      </c>
      <c r="G145" s="27">
        <v>0</v>
      </c>
      <c r="H145" s="27">
        <v>0</v>
      </c>
      <c r="I145" s="27">
        <v>0</v>
      </c>
      <c r="J145" s="27">
        <v>0</v>
      </c>
      <c r="K145" s="63">
        <f>AVERAGE(I145:J145)</f>
        <v>0</v>
      </c>
      <c r="L145" s="56" t="str">
        <f>"EQP-LAWPACK1"</f>
        <v>EQP-LAWPACK1</v>
      </c>
      <c r="M145" s="14"/>
      <c r="N145" s="15"/>
      <c r="O145" s="12"/>
      <c r="P145" s="34"/>
      <c r="Q145" s="37"/>
      <c r="R145" s="47"/>
      <c r="S145" s="46"/>
    </row>
    <row r="146" spans="1:19" ht="15.6" hidden="1" customHeight="1" thickBot="1" x14ac:dyDescent="0.3">
      <c r="A146" t="s">
        <v>23</v>
      </c>
      <c r="B146" s="60" t="str">
        <f t="shared" ref="B146:B148" si="97">IF(K146=0,"hide","")</f>
        <v>hide</v>
      </c>
      <c r="D146" s="48" t="str">
        <f>D145</f>
        <v>01870</v>
      </c>
      <c r="E146" s="7"/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63">
        <f>AVERAGE(I146:J146)</f>
        <v>0</v>
      </c>
      <c r="L146" s="56" t="str">
        <f>"EQP-LAWPACK2"</f>
        <v>EQP-LAWPACK2</v>
      </c>
      <c r="M146" s="14"/>
      <c r="N146" s="15"/>
      <c r="O146" s="12"/>
      <c r="P146" s="34"/>
      <c r="Q146" s="37"/>
      <c r="R146" s="47"/>
      <c r="S146" s="46"/>
    </row>
    <row r="147" spans="1:19" ht="15.6" hidden="1" customHeight="1" thickBot="1" x14ac:dyDescent="0.3">
      <c r="A147" t="s">
        <v>23</v>
      </c>
      <c r="B147" s="60" t="str">
        <f t="shared" si="97"/>
        <v>hide</v>
      </c>
      <c r="D147" s="48" t="str">
        <f>D146</f>
        <v>01870</v>
      </c>
      <c r="E147" s="7"/>
      <c r="F147" s="27">
        <v>0</v>
      </c>
      <c r="G147" s="27">
        <v>0</v>
      </c>
      <c r="H147" s="27">
        <v>0</v>
      </c>
      <c r="I147" s="27">
        <v>0</v>
      </c>
      <c r="J147" s="27">
        <v>0</v>
      </c>
      <c r="K147" s="63">
        <f>AVERAGE(I147:J147)</f>
        <v>0</v>
      </c>
      <c r="L147" s="56" t="str">
        <f>"SW-COMAS-PACKL"</f>
        <v>SW-COMAS-PACKL</v>
      </c>
      <c r="M147" s="14"/>
      <c r="N147" s="15"/>
      <c r="O147" s="12"/>
      <c r="P147" s="34"/>
      <c r="Q147" s="37"/>
      <c r="R147" s="47"/>
      <c r="S147" s="46"/>
    </row>
    <row r="148" spans="1:19" ht="15.6" hidden="1" customHeight="1" thickBot="1" x14ac:dyDescent="0.3">
      <c r="A148" t="s">
        <v>23</v>
      </c>
      <c r="B148" s="60" t="str">
        <f t="shared" si="97"/>
        <v>hide</v>
      </c>
      <c r="D148" s="48" t="str">
        <f>D147</f>
        <v>01870</v>
      </c>
      <c r="E148" s="7"/>
      <c r="F148" s="27">
        <v>0</v>
      </c>
      <c r="G148" s="27">
        <v>0</v>
      </c>
      <c r="H148" s="27">
        <v>0</v>
      </c>
      <c r="I148" s="27">
        <v>0</v>
      </c>
      <c r="J148" s="27">
        <v>0</v>
      </c>
      <c r="K148" s="63">
        <f>AVERAGE(I148:J148)</f>
        <v>0</v>
      </c>
      <c r="L148" s="56" t="str">
        <f>"SW-RISER-PACK"</f>
        <v>SW-RISER-PACK</v>
      </c>
      <c r="M148" s="14"/>
      <c r="N148" s="15"/>
      <c r="O148" s="12"/>
      <c r="P148" s="34"/>
      <c r="Q148" s="37"/>
      <c r="R148" s="47"/>
      <c r="S148" s="46"/>
    </row>
    <row r="149" spans="1:19" ht="12" hidden="1" customHeight="1" x14ac:dyDescent="0.3">
      <c r="A149" s="35" t="s">
        <v>908</v>
      </c>
      <c r="B149" s="49" t="str">
        <f>B145</f>
        <v>hide</v>
      </c>
      <c r="N149"/>
      <c r="Q149" s="33"/>
    </row>
    <row r="150" spans="1:19" ht="13.8" hidden="1" thickBot="1" x14ac:dyDescent="0.3">
      <c r="A150" t="s">
        <v>23</v>
      </c>
      <c r="B150" s="49" t="str">
        <f t="shared" ref="B150" si="98">B149</f>
        <v>hide</v>
      </c>
      <c r="D150" s="58"/>
      <c r="E150" s="58"/>
      <c r="F150" s="52">
        <f>SUM(F145:F149)</f>
        <v>0</v>
      </c>
      <c r="G150" s="52">
        <f>SUM(G145:G149)</f>
        <v>0</v>
      </c>
      <c r="H150" s="52">
        <f>SUM(H145:H149)</f>
        <v>0</v>
      </c>
      <c r="I150" s="52">
        <f>SUM(I145:I149)</f>
        <v>0</v>
      </c>
      <c r="J150" s="52">
        <f>SUM(J145:J149)</f>
        <v>0</v>
      </c>
      <c r="K150" s="52"/>
      <c r="L150" s="51" t="s">
        <v>4</v>
      </c>
      <c r="M150" s="58"/>
      <c r="N150" s="58"/>
      <c r="O150" s="58"/>
      <c r="P150" s="58"/>
      <c r="Q150" s="58"/>
      <c r="R150" s="58"/>
      <c r="S150" s="58"/>
    </row>
    <row r="151" spans="1:19" s="59" customFormat="1" ht="18.75" customHeight="1" thickBot="1" x14ac:dyDescent="0.3">
      <c r="A151" s="59" t="s">
        <v>23</v>
      </c>
      <c r="B151" s="60" t="str">
        <f t="shared" ref="B151:B152" si="99">IF(K151=0,"hide","")</f>
        <v/>
      </c>
      <c r="D151" s="61" t="str">
        <f>"02065"</f>
        <v>02065</v>
      </c>
      <c r="E151" s="62" t="str">
        <f>"1"</f>
        <v>1</v>
      </c>
      <c r="F151" s="63">
        <v>0</v>
      </c>
      <c r="G151" s="63">
        <v>0</v>
      </c>
      <c r="H151" s="63">
        <v>28</v>
      </c>
      <c r="I151" s="63">
        <v>23.333333333333332</v>
      </c>
      <c r="J151" s="63">
        <v>0</v>
      </c>
      <c r="K151" s="63">
        <f>AVERAGE(I151:J151)</f>
        <v>11.666666666666666</v>
      </c>
      <c r="L151" s="64" t="str">
        <f>"WG CLEAN LABEL CORN MUFFIN"</f>
        <v>WG CLEAN LABEL CORN MUFFIN</v>
      </c>
      <c r="M151" s="65" t="str">
        <f>"96-2 oz. I.W."</f>
        <v>96-2 oz. I.W.</v>
      </c>
      <c r="N151" s="66">
        <v>96</v>
      </c>
      <c r="O151" s="67" t="str">
        <f>""</f>
        <v/>
      </c>
      <c r="P151" s="68" t="e">
        <f>1/O151</f>
        <v>#VALUE!</v>
      </c>
      <c r="Q151" s="53">
        <v>1</v>
      </c>
      <c r="R151" s="69">
        <f t="shared" ref="R151" si="100">1/Q151</f>
        <v>1</v>
      </c>
      <c r="S151" s="70">
        <f t="shared" ref="S151" si="101">R151*N151</f>
        <v>96</v>
      </c>
    </row>
    <row r="152" spans="1:19" ht="15.6" hidden="1" customHeight="1" thickBot="1" x14ac:dyDescent="0.3">
      <c r="A152" t="s">
        <v>23</v>
      </c>
      <c r="B152" s="60" t="str">
        <f t="shared" si="99"/>
        <v>hide</v>
      </c>
      <c r="D152" s="48" t="str">
        <f>D151</f>
        <v>02065</v>
      </c>
      <c r="E152" s="7"/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63">
        <f>AVERAGE(I152:J152)</f>
        <v>0</v>
      </c>
      <c r="L152" s="56" t="str">
        <f>"EQP-LAWPACK1"</f>
        <v>EQP-LAWPACK1</v>
      </c>
      <c r="M152" s="14"/>
      <c r="N152" s="15"/>
      <c r="O152" s="12"/>
      <c r="P152" s="34"/>
      <c r="Q152" s="37"/>
      <c r="R152" s="47"/>
      <c r="S152" s="46"/>
    </row>
    <row r="153" spans="1:19" ht="15.6" hidden="1" customHeight="1" thickBot="1" x14ac:dyDescent="0.3">
      <c r="A153" t="s">
        <v>23</v>
      </c>
      <c r="B153" s="60" t="str">
        <f t="shared" ref="B153:B155" si="102">IF(K153=0,"hide","")</f>
        <v>hide</v>
      </c>
      <c r="D153" s="48" t="str">
        <f>D152</f>
        <v>02065</v>
      </c>
      <c r="E153" s="7"/>
      <c r="F153" s="27">
        <v>0</v>
      </c>
      <c r="G153" s="27">
        <v>0</v>
      </c>
      <c r="H153" s="27">
        <v>0</v>
      </c>
      <c r="I153" s="27">
        <v>0</v>
      </c>
      <c r="J153" s="27">
        <v>0</v>
      </c>
      <c r="K153" s="63">
        <f>AVERAGE(I153:J153)</f>
        <v>0</v>
      </c>
      <c r="L153" s="56" t="str">
        <f>"EQP-LAWPACK2"</f>
        <v>EQP-LAWPACK2</v>
      </c>
      <c r="M153" s="14"/>
      <c r="N153" s="15"/>
      <c r="O153" s="12"/>
      <c r="P153" s="34"/>
      <c r="Q153" s="37"/>
      <c r="R153" s="47"/>
      <c r="S153" s="46"/>
    </row>
    <row r="154" spans="1:19" ht="15.6" hidden="1" customHeight="1" thickBot="1" x14ac:dyDescent="0.3">
      <c r="A154" t="s">
        <v>23</v>
      </c>
      <c r="B154" s="60" t="str">
        <f t="shared" si="102"/>
        <v>hide</v>
      </c>
      <c r="D154" s="48" t="str">
        <f>D153</f>
        <v>02065</v>
      </c>
      <c r="E154" s="7"/>
      <c r="F154" s="27">
        <v>0</v>
      </c>
      <c r="G154" s="27">
        <v>0</v>
      </c>
      <c r="H154" s="27">
        <v>0</v>
      </c>
      <c r="I154" s="27">
        <v>0</v>
      </c>
      <c r="J154" s="27">
        <v>0</v>
      </c>
      <c r="K154" s="63">
        <f>AVERAGE(I154:J154)</f>
        <v>0</v>
      </c>
      <c r="L154" s="56" t="str">
        <f>"SW-COMAS-PACKL"</f>
        <v>SW-COMAS-PACKL</v>
      </c>
      <c r="M154" s="14"/>
      <c r="N154" s="15"/>
      <c r="O154" s="12"/>
      <c r="P154" s="34"/>
      <c r="Q154" s="37"/>
      <c r="R154" s="47"/>
      <c r="S154" s="46"/>
    </row>
    <row r="155" spans="1:19" ht="15.6" hidden="1" customHeight="1" thickBot="1" x14ac:dyDescent="0.3">
      <c r="A155" t="s">
        <v>23</v>
      </c>
      <c r="B155" s="60" t="str">
        <f t="shared" si="102"/>
        <v>hide</v>
      </c>
      <c r="D155" s="48" t="str">
        <f>D154</f>
        <v>02065</v>
      </c>
      <c r="E155" s="7"/>
      <c r="F155" s="27">
        <v>0</v>
      </c>
      <c r="G155" s="27">
        <v>0</v>
      </c>
      <c r="H155" s="27">
        <v>0</v>
      </c>
      <c r="I155" s="27">
        <v>0</v>
      </c>
      <c r="J155" s="27">
        <v>0</v>
      </c>
      <c r="K155" s="63">
        <f>AVERAGE(I155:J155)</f>
        <v>0</v>
      </c>
      <c r="L155" s="56" t="str">
        <f>"SW-RISER-PACK"</f>
        <v>SW-RISER-PACK</v>
      </c>
      <c r="M155" s="14"/>
      <c r="N155" s="15"/>
      <c r="O155" s="12"/>
      <c r="P155" s="34"/>
      <c r="Q155" s="37"/>
      <c r="R155" s="47"/>
      <c r="S155" s="46"/>
    </row>
    <row r="156" spans="1:19" ht="12" hidden="1" customHeight="1" x14ac:dyDescent="0.3">
      <c r="A156" s="35" t="s">
        <v>908</v>
      </c>
      <c r="B156" s="49" t="str">
        <f>B152</f>
        <v>hide</v>
      </c>
      <c r="N156"/>
      <c r="Q156" s="33"/>
    </row>
    <row r="157" spans="1:19" ht="13.8" hidden="1" thickBot="1" x14ac:dyDescent="0.3">
      <c r="A157" t="s">
        <v>23</v>
      </c>
      <c r="B157" s="49" t="str">
        <f t="shared" ref="B157" si="103">B156</f>
        <v>hide</v>
      </c>
      <c r="D157" s="58"/>
      <c r="E157" s="58"/>
      <c r="F157" s="52">
        <f>SUM(F152:F156)</f>
        <v>0</v>
      </c>
      <c r="G157" s="52">
        <f>SUM(G152:G156)</f>
        <v>0</v>
      </c>
      <c r="H157" s="52">
        <f>SUM(H152:H156)</f>
        <v>0</v>
      </c>
      <c r="I157" s="52">
        <f>SUM(I152:I156)</f>
        <v>0</v>
      </c>
      <c r="J157" s="52">
        <f>SUM(J152:J156)</f>
        <v>0</v>
      </c>
      <c r="K157" s="52"/>
      <c r="L157" s="51" t="s">
        <v>4</v>
      </c>
      <c r="M157" s="58"/>
      <c r="N157" s="58"/>
      <c r="O157" s="58"/>
      <c r="P157" s="58"/>
      <c r="Q157" s="58"/>
      <c r="R157" s="58"/>
      <c r="S157" s="58"/>
    </row>
    <row r="158" spans="1:19" s="59" customFormat="1" ht="18.75" hidden="1" customHeight="1" thickBot="1" x14ac:dyDescent="0.3">
      <c r="A158" s="59" t="s">
        <v>23</v>
      </c>
      <c r="B158" s="60" t="str">
        <f t="shared" ref="B158:B159" si="104">IF(K158=0,"hide","")</f>
        <v>hide</v>
      </c>
      <c r="D158" s="61" t="str">
        <f>"02075"</f>
        <v>02075</v>
      </c>
      <c r="E158" s="62" t="str">
        <f>"4"</f>
        <v>4</v>
      </c>
      <c r="F158" s="63">
        <v>0</v>
      </c>
      <c r="G158" s="63">
        <v>0</v>
      </c>
      <c r="H158" s="63">
        <v>0</v>
      </c>
      <c r="I158" s="63">
        <v>0</v>
      </c>
      <c r="J158" s="63">
        <v>0</v>
      </c>
      <c r="K158" s="63">
        <f>AVERAGE(I158:J158)</f>
        <v>0</v>
      </c>
      <c r="L158" s="64" t="str">
        <f>"SMART CHOICE BANANA MUFFINS"</f>
        <v>SMART CHOICE BANANA MUFFINS</v>
      </c>
      <c r="M158" s="65" t="str">
        <f>"96-2 oz. I.W."</f>
        <v>96-2 oz. I.W.</v>
      </c>
      <c r="N158" s="66">
        <v>0</v>
      </c>
      <c r="O158" s="67">
        <v>4.5999999999999999E-3</v>
      </c>
      <c r="P158" s="68">
        <f>1/O158</f>
        <v>217.39130434782609</v>
      </c>
      <c r="Q158" s="53">
        <v>4.5999999999999999E-3</v>
      </c>
      <c r="R158" s="69">
        <f t="shared" ref="R158" si="105">1/Q158</f>
        <v>217.39130434782609</v>
      </c>
      <c r="S158" s="70">
        <f t="shared" ref="S158" si="106">R158*N158</f>
        <v>0</v>
      </c>
    </row>
    <row r="159" spans="1:19" ht="15.6" hidden="1" customHeight="1" thickBot="1" x14ac:dyDescent="0.3">
      <c r="A159" t="s">
        <v>23</v>
      </c>
      <c r="B159" s="60" t="str">
        <f t="shared" si="104"/>
        <v>hide</v>
      </c>
      <c r="D159" s="48" t="str">
        <f>D158</f>
        <v>02075</v>
      </c>
      <c r="E159" s="7"/>
      <c r="F159" s="27">
        <v>0</v>
      </c>
      <c r="G159" s="27">
        <v>0</v>
      </c>
      <c r="H159" s="27">
        <v>0</v>
      </c>
      <c r="I159" s="27">
        <v>0</v>
      </c>
      <c r="J159" s="27">
        <v>0</v>
      </c>
      <c r="K159" s="63">
        <f>AVERAGE(I159:J159)</f>
        <v>0</v>
      </c>
      <c r="L159" s="56" t="str">
        <f>"EQP-LAWPACK1"</f>
        <v>EQP-LAWPACK1</v>
      </c>
      <c r="M159" s="14"/>
      <c r="N159" s="15"/>
      <c r="O159" s="12"/>
      <c r="P159" s="34"/>
      <c r="Q159" s="37"/>
      <c r="R159" s="47"/>
      <c r="S159" s="46"/>
    </row>
    <row r="160" spans="1:19" ht="15.6" hidden="1" customHeight="1" thickBot="1" x14ac:dyDescent="0.3">
      <c r="A160" t="s">
        <v>23</v>
      </c>
      <c r="B160" s="60" t="str">
        <f t="shared" ref="B160:B162" si="107">IF(K160=0,"hide","")</f>
        <v>hide</v>
      </c>
      <c r="D160" s="48" t="str">
        <f>D159</f>
        <v>02075</v>
      </c>
      <c r="E160" s="7"/>
      <c r="F160" s="27">
        <v>0</v>
      </c>
      <c r="G160" s="27">
        <v>0</v>
      </c>
      <c r="H160" s="27">
        <v>0</v>
      </c>
      <c r="I160" s="27">
        <v>0</v>
      </c>
      <c r="J160" s="27">
        <v>0</v>
      </c>
      <c r="K160" s="63">
        <f>AVERAGE(I160:J160)</f>
        <v>0</v>
      </c>
      <c r="L160" s="56" t="str">
        <f>"EQP-LAWPACK2"</f>
        <v>EQP-LAWPACK2</v>
      </c>
      <c r="M160" s="14"/>
      <c r="N160" s="15"/>
      <c r="O160" s="12"/>
      <c r="P160" s="34"/>
      <c r="Q160" s="37"/>
      <c r="R160" s="47"/>
      <c r="S160" s="46"/>
    </row>
    <row r="161" spans="1:19" ht="15.6" hidden="1" customHeight="1" thickBot="1" x14ac:dyDescent="0.3">
      <c r="A161" t="s">
        <v>23</v>
      </c>
      <c r="B161" s="60" t="str">
        <f t="shared" si="107"/>
        <v>hide</v>
      </c>
      <c r="D161" s="48" t="str">
        <f>D160</f>
        <v>02075</v>
      </c>
      <c r="E161" s="7"/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63">
        <f>AVERAGE(I161:J161)</f>
        <v>0</v>
      </c>
      <c r="L161" s="56" t="str">
        <f>"SW-COMAS-PACKL"</f>
        <v>SW-COMAS-PACKL</v>
      </c>
      <c r="M161" s="14"/>
      <c r="N161" s="15"/>
      <c r="O161" s="12"/>
      <c r="P161" s="34"/>
      <c r="Q161" s="37"/>
      <c r="R161" s="47"/>
      <c r="S161" s="46"/>
    </row>
    <row r="162" spans="1:19" ht="15.6" hidden="1" customHeight="1" thickBot="1" x14ac:dyDescent="0.3">
      <c r="A162" t="s">
        <v>23</v>
      </c>
      <c r="B162" s="60" t="str">
        <f t="shared" si="107"/>
        <v>hide</v>
      </c>
      <c r="D162" s="48" t="str">
        <f>D161</f>
        <v>02075</v>
      </c>
      <c r="E162" s="7"/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63">
        <f>AVERAGE(I162:J162)</f>
        <v>0</v>
      </c>
      <c r="L162" s="56" t="str">
        <f>"SW-RISER-PACK"</f>
        <v>SW-RISER-PACK</v>
      </c>
      <c r="M162" s="14"/>
      <c r="N162" s="15"/>
      <c r="O162" s="12"/>
      <c r="P162" s="34"/>
      <c r="Q162" s="37"/>
      <c r="R162" s="47"/>
      <c r="S162" s="46"/>
    </row>
    <row r="163" spans="1:19" ht="12" hidden="1" customHeight="1" x14ac:dyDescent="0.3">
      <c r="A163" s="35" t="s">
        <v>908</v>
      </c>
      <c r="B163" s="49" t="str">
        <f>B159</f>
        <v>hide</v>
      </c>
      <c r="N163"/>
      <c r="Q163" s="33"/>
    </row>
    <row r="164" spans="1:19" ht="13.8" hidden="1" thickBot="1" x14ac:dyDescent="0.3">
      <c r="A164" t="s">
        <v>23</v>
      </c>
      <c r="B164" s="49" t="str">
        <f t="shared" ref="B164" si="108">B163</f>
        <v>hide</v>
      </c>
      <c r="D164" s="58"/>
      <c r="E164" s="58"/>
      <c r="F164" s="52">
        <f>SUM(F159:F163)</f>
        <v>0</v>
      </c>
      <c r="G164" s="52">
        <f>SUM(G159:G163)</f>
        <v>0</v>
      </c>
      <c r="H164" s="52">
        <f>SUM(H159:H163)</f>
        <v>0</v>
      </c>
      <c r="I164" s="52">
        <f>SUM(I159:I163)</f>
        <v>0</v>
      </c>
      <c r="J164" s="52">
        <f>SUM(J159:J163)</f>
        <v>0</v>
      </c>
      <c r="K164" s="52"/>
      <c r="L164" s="51" t="s">
        <v>4</v>
      </c>
      <c r="M164" s="58"/>
      <c r="N164" s="58"/>
      <c r="O164" s="58"/>
      <c r="P164" s="58"/>
      <c r="Q164" s="58"/>
      <c r="R164" s="58"/>
      <c r="S164" s="58"/>
    </row>
    <row r="165" spans="1:19" s="59" customFormat="1" ht="18.75" hidden="1" customHeight="1" thickBot="1" x14ac:dyDescent="0.3">
      <c r="A165" s="59" t="s">
        <v>23</v>
      </c>
      <c r="B165" s="60" t="str">
        <f t="shared" ref="B165:B166" si="109">IF(K165=0,"hide","")</f>
        <v>hide</v>
      </c>
      <c r="D165" s="61" t="str">
        <f>"02101"</f>
        <v>02101</v>
      </c>
      <c r="E165" s="62" t="str">
        <f>"7"</f>
        <v>7</v>
      </c>
      <c r="F165" s="63">
        <v>285.25</v>
      </c>
      <c r="G165" s="63">
        <v>91.583333333333329</v>
      </c>
      <c r="H165" s="63">
        <v>0</v>
      </c>
      <c r="I165" s="63">
        <v>0</v>
      </c>
      <c r="J165" s="63">
        <v>0</v>
      </c>
      <c r="K165" s="63">
        <f>AVERAGE(I165:J165)</f>
        <v>0</v>
      </c>
      <c r="L165" s="64" t="str">
        <f>"BLUEBERRY MUFFINS"</f>
        <v>BLUEBERRY MUFFINS</v>
      </c>
      <c r="M165" s="65" t="str">
        <f>"96-2 oz. I.W."</f>
        <v>96-2 oz. I.W.</v>
      </c>
      <c r="N165" s="66">
        <v>96</v>
      </c>
      <c r="O165" s="67">
        <v>4.5999999999999999E-3</v>
      </c>
      <c r="P165" s="68">
        <f>1/O165</f>
        <v>217.39130434782609</v>
      </c>
      <c r="Q165" s="53">
        <v>4.5999999999999999E-3</v>
      </c>
      <c r="R165" s="69">
        <f t="shared" ref="R165" si="110">1/Q165</f>
        <v>217.39130434782609</v>
      </c>
      <c r="S165" s="70">
        <f t="shared" ref="S165" si="111">R165*N165</f>
        <v>20869.565217391304</v>
      </c>
    </row>
    <row r="166" spans="1:19" ht="15.6" hidden="1" customHeight="1" thickBot="1" x14ac:dyDescent="0.3">
      <c r="A166" t="s">
        <v>23</v>
      </c>
      <c r="B166" s="60" t="str">
        <f t="shared" si="109"/>
        <v>hide</v>
      </c>
      <c r="D166" s="48" t="str">
        <f>D165</f>
        <v>02101</v>
      </c>
      <c r="E166" s="7"/>
      <c r="F166" s="27">
        <v>-63.490833333333335</v>
      </c>
      <c r="G166" s="27">
        <v>0</v>
      </c>
      <c r="H166" s="27">
        <v>0</v>
      </c>
      <c r="I166" s="27">
        <v>0</v>
      </c>
      <c r="J166" s="27">
        <v>0</v>
      </c>
      <c r="K166" s="63">
        <f>AVERAGE(I166:J166)</f>
        <v>0</v>
      </c>
      <c r="L166" s="56" t="str">
        <f>"EQP-LAWPACK1"</f>
        <v>EQP-LAWPACK1</v>
      </c>
      <c r="M166" s="14"/>
      <c r="N166" s="15"/>
      <c r="O166" s="12"/>
      <c r="P166" s="34"/>
      <c r="Q166" s="37"/>
      <c r="R166" s="47"/>
      <c r="S166" s="46"/>
    </row>
    <row r="167" spans="1:19" ht="15.6" hidden="1" customHeight="1" thickBot="1" x14ac:dyDescent="0.3">
      <c r="A167" t="s">
        <v>23</v>
      </c>
      <c r="B167" s="60" t="str">
        <f t="shared" ref="B167:B169" si="112">IF(K167=0,"hide","")</f>
        <v>hide</v>
      </c>
      <c r="D167" s="48" t="str">
        <f>D166</f>
        <v>02101</v>
      </c>
      <c r="E167" s="7"/>
      <c r="F167" s="27">
        <v>0</v>
      </c>
      <c r="G167" s="27">
        <v>0</v>
      </c>
      <c r="H167" s="27">
        <v>0</v>
      </c>
      <c r="I167" s="27">
        <v>0</v>
      </c>
      <c r="J167" s="27">
        <v>0</v>
      </c>
      <c r="K167" s="63">
        <f>AVERAGE(I167:J167)</f>
        <v>0</v>
      </c>
      <c r="L167" s="56" t="str">
        <f>"EQP-LAWPACK2"</f>
        <v>EQP-LAWPACK2</v>
      </c>
      <c r="M167" s="14"/>
      <c r="N167" s="15"/>
      <c r="O167" s="12"/>
      <c r="P167" s="34"/>
      <c r="Q167" s="37"/>
      <c r="R167" s="47"/>
      <c r="S167" s="46"/>
    </row>
    <row r="168" spans="1:19" ht="15.6" hidden="1" customHeight="1" thickBot="1" x14ac:dyDescent="0.3">
      <c r="A168" t="s">
        <v>23</v>
      </c>
      <c r="B168" s="60" t="str">
        <f t="shared" si="112"/>
        <v>hide</v>
      </c>
      <c r="D168" s="48" t="str">
        <f>D167</f>
        <v>02101</v>
      </c>
      <c r="E168" s="7"/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63">
        <f>AVERAGE(I168:J168)</f>
        <v>0</v>
      </c>
      <c r="L168" s="56" t="str">
        <f>"SW-COMAS-PACKL"</f>
        <v>SW-COMAS-PACKL</v>
      </c>
      <c r="M168" s="14"/>
      <c r="N168" s="15"/>
      <c r="O168" s="12"/>
      <c r="P168" s="34"/>
      <c r="Q168" s="37"/>
      <c r="R168" s="47"/>
      <c r="S168" s="46"/>
    </row>
    <row r="169" spans="1:19" ht="15.6" hidden="1" customHeight="1" thickBot="1" x14ac:dyDescent="0.3">
      <c r="A169" t="s">
        <v>23</v>
      </c>
      <c r="B169" s="60" t="str">
        <f t="shared" si="112"/>
        <v>hide</v>
      </c>
      <c r="D169" s="48" t="str">
        <f>D168</f>
        <v>02101</v>
      </c>
      <c r="E169" s="7"/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63">
        <f>AVERAGE(I169:J169)</f>
        <v>0</v>
      </c>
      <c r="L169" s="56" t="str">
        <f>"SW-RISER-PACK"</f>
        <v>SW-RISER-PACK</v>
      </c>
      <c r="M169" s="14"/>
      <c r="N169" s="15"/>
      <c r="O169" s="12"/>
      <c r="P169" s="34"/>
      <c r="Q169" s="37"/>
      <c r="R169" s="47"/>
      <c r="S169" s="46"/>
    </row>
    <row r="170" spans="1:19" ht="12" hidden="1" customHeight="1" x14ac:dyDescent="0.3">
      <c r="A170" s="35" t="s">
        <v>908</v>
      </c>
      <c r="B170" s="49" t="str">
        <f>B166</f>
        <v>hide</v>
      </c>
      <c r="N170"/>
      <c r="Q170" s="33"/>
    </row>
    <row r="171" spans="1:19" ht="13.8" hidden="1" thickBot="1" x14ac:dyDescent="0.3">
      <c r="A171" t="s">
        <v>23</v>
      </c>
      <c r="B171" s="49" t="str">
        <f t="shared" ref="B171" si="113">B170</f>
        <v>hide</v>
      </c>
      <c r="D171" s="58"/>
      <c r="E171" s="58"/>
      <c r="F171" s="52">
        <f>SUM(F166:F170)</f>
        <v>-63.490833333333335</v>
      </c>
      <c r="G171" s="52">
        <f>SUM(G166:G170)</f>
        <v>0</v>
      </c>
      <c r="H171" s="52">
        <f>SUM(H166:H170)</f>
        <v>0</v>
      </c>
      <c r="I171" s="52">
        <f>SUM(I166:I170)</f>
        <v>0</v>
      </c>
      <c r="J171" s="52">
        <f>SUM(J166:J170)</f>
        <v>0</v>
      </c>
      <c r="K171" s="52"/>
      <c r="L171" s="51" t="s">
        <v>4</v>
      </c>
      <c r="M171" s="58"/>
      <c r="N171" s="58"/>
      <c r="O171" s="58"/>
      <c r="P171" s="58"/>
      <c r="Q171" s="58"/>
      <c r="R171" s="58"/>
      <c r="S171" s="58"/>
    </row>
    <row r="172" spans="1:19" s="59" customFormat="1" ht="18.75" customHeight="1" thickBot="1" x14ac:dyDescent="0.3">
      <c r="A172" s="59" t="s">
        <v>23</v>
      </c>
      <c r="B172" s="60" t="str">
        <f t="shared" ref="B172:B173" si="114">IF(K172=0,"hide","")</f>
        <v/>
      </c>
      <c r="D172" s="61" t="str">
        <f>"02103"</f>
        <v>02103</v>
      </c>
      <c r="E172" s="62" t="str">
        <f>"6"</f>
        <v>6</v>
      </c>
      <c r="F172" s="63">
        <v>30.583333333333332</v>
      </c>
      <c r="G172" s="63">
        <v>62</v>
      </c>
      <c r="H172" s="63">
        <v>10.666666666666666</v>
      </c>
      <c r="I172" s="63">
        <v>20.916666666666668</v>
      </c>
      <c r="J172" s="63">
        <v>128.88433734939758</v>
      </c>
      <c r="K172" s="63">
        <f>AVERAGE(I172:J172)</f>
        <v>74.90050200803212</v>
      </c>
      <c r="L172" s="64" t="str">
        <f>"ORANGE CRANBERRY MUFFINS"</f>
        <v>ORANGE CRANBERRY MUFFINS</v>
      </c>
      <c r="M172" s="65" t="str">
        <f>"96-2 oz. I.W."</f>
        <v>96-2 oz. I.W.</v>
      </c>
      <c r="N172" s="66">
        <v>96</v>
      </c>
      <c r="O172" s="67">
        <v>0</v>
      </c>
      <c r="P172" s="68" t="e">
        <f>1/O172</f>
        <v>#DIV/0!</v>
      </c>
      <c r="Q172" s="53">
        <v>3.5000000000000003E-2</v>
      </c>
      <c r="R172" s="69">
        <f t="shared" ref="R172" si="115">1/Q172</f>
        <v>28.571428571428569</v>
      </c>
      <c r="S172" s="70">
        <f t="shared" ref="S172" si="116">R172*N172</f>
        <v>2742.8571428571427</v>
      </c>
    </row>
    <row r="173" spans="1:19" ht="15.6" hidden="1" customHeight="1" thickBot="1" x14ac:dyDescent="0.3">
      <c r="A173" t="s">
        <v>23</v>
      </c>
      <c r="B173" s="60" t="str">
        <f t="shared" si="114"/>
        <v>hide</v>
      </c>
      <c r="D173" s="48" t="str">
        <f>D172</f>
        <v>02103</v>
      </c>
      <c r="E173" s="7"/>
      <c r="F173" s="27">
        <v>0</v>
      </c>
      <c r="G173" s="27">
        <v>0</v>
      </c>
      <c r="H173" s="27">
        <v>0</v>
      </c>
      <c r="I173" s="27">
        <v>0</v>
      </c>
      <c r="J173" s="27">
        <v>0</v>
      </c>
      <c r="K173" s="63">
        <f>AVERAGE(I173:J173)</f>
        <v>0</v>
      </c>
      <c r="L173" s="56" t="str">
        <f>"EQP-LAWPACK1"</f>
        <v>EQP-LAWPACK1</v>
      </c>
      <c r="M173" s="14"/>
      <c r="N173" s="15"/>
      <c r="O173" s="12"/>
      <c r="P173" s="34"/>
      <c r="Q173" s="37"/>
      <c r="R173" s="47"/>
      <c r="S173" s="46"/>
    </row>
    <row r="174" spans="1:19" ht="15.6" hidden="1" customHeight="1" thickBot="1" x14ac:dyDescent="0.3">
      <c r="A174" t="s">
        <v>23</v>
      </c>
      <c r="B174" s="60" t="str">
        <f t="shared" ref="B174:B176" si="117">IF(K174=0,"hide","")</f>
        <v>hide</v>
      </c>
      <c r="D174" s="48" t="str">
        <f>D173</f>
        <v>02103</v>
      </c>
      <c r="E174" s="7"/>
      <c r="F174" s="27">
        <v>0</v>
      </c>
      <c r="G174" s="27">
        <v>0</v>
      </c>
      <c r="H174" s="27">
        <v>0</v>
      </c>
      <c r="I174" s="27">
        <v>0</v>
      </c>
      <c r="J174" s="27">
        <v>0</v>
      </c>
      <c r="K174" s="63">
        <f>AVERAGE(I174:J174)</f>
        <v>0</v>
      </c>
      <c r="L174" s="56" t="str">
        <f>"EQP-LAWPACK2"</f>
        <v>EQP-LAWPACK2</v>
      </c>
      <c r="M174" s="14"/>
      <c r="N174" s="15"/>
      <c r="O174" s="12"/>
      <c r="P174" s="34"/>
      <c r="Q174" s="37"/>
      <c r="R174" s="47"/>
      <c r="S174" s="46"/>
    </row>
    <row r="175" spans="1:19" ht="15.6" hidden="1" customHeight="1" thickBot="1" x14ac:dyDescent="0.3">
      <c r="A175" t="s">
        <v>23</v>
      </c>
      <c r="B175" s="60" t="str">
        <f t="shared" si="117"/>
        <v>hide</v>
      </c>
      <c r="D175" s="48" t="str">
        <f>D174</f>
        <v>02103</v>
      </c>
      <c r="E175" s="7"/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63">
        <f>AVERAGE(I175:J175)</f>
        <v>0</v>
      </c>
      <c r="L175" s="56" t="str">
        <f>"SW-COMAS-PACKL"</f>
        <v>SW-COMAS-PACKL</v>
      </c>
      <c r="M175" s="14"/>
      <c r="N175" s="15"/>
      <c r="O175" s="12"/>
      <c r="P175" s="34"/>
      <c r="Q175" s="37"/>
      <c r="R175" s="47"/>
      <c r="S175" s="46"/>
    </row>
    <row r="176" spans="1:19" ht="15.6" hidden="1" customHeight="1" thickBot="1" x14ac:dyDescent="0.3">
      <c r="A176" t="s">
        <v>23</v>
      </c>
      <c r="B176" s="60" t="str">
        <f t="shared" si="117"/>
        <v>hide</v>
      </c>
      <c r="D176" s="48" t="str">
        <f>D175</f>
        <v>02103</v>
      </c>
      <c r="E176" s="7"/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63">
        <f>AVERAGE(I176:J176)</f>
        <v>0</v>
      </c>
      <c r="L176" s="56" t="str">
        <f>"SW-RISER-PACK"</f>
        <v>SW-RISER-PACK</v>
      </c>
      <c r="M176" s="14"/>
      <c r="N176" s="15"/>
      <c r="O176" s="12"/>
      <c r="P176" s="34"/>
      <c r="Q176" s="37"/>
      <c r="R176" s="47"/>
      <c r="S176" s="46"/>
    </row>
    <row r="177" spans="1:19" ht="12" hidden="1" customHeight="1" x14ac:dyDescent="0.3">
      <c r="A177" s="35" t="s">
        <v>908</v>
      </c>
      <c r="B177" s="49" t="str">
        <f>B173</f>
        <v>hide</v>
      </c>
      <c r="N177"/>
      <c r="Q177" s="33"/>
    </row>
    <row r="178" spans="1:19" ht="13.8" hidden="1" thickBot="1" x14ac:dyDescent="0.3">
      <c r="A178" t="s">
        <v>23</v>
      </c>
      <c r="B178" s="49" t="str">
        <f t="shared" ref="B178" si="118">B177</f>
        <v>hide</v>
      </c>
      <c r="D178" s="58"/>
      <c r="E178" s="58"/>
      <c r="F178" s="52">
        <f>SUM(F173:F177)</f>
        <v>0</v>
      </c>
      <c r="G178" s="52">
        <f>SUM(G173:G177)</f>
        <v>0</v>
      </c>
      <c r="H178" s="52">
        <f>SUM(H173:H177)</f>
        <v>0</v>
      </c>
      <c r="I178" s="52">
        <f>SUM(I173:I177)</f>
        <v>0</v>
      </c>
      <c r="J178" s="52">
        <f>SUM(J173:J177)</f>
        <v>0</v>
      </c>
      <c r="K178" s="52"/>
      <c r="L178" s="51" t="s">
        <v>4</v>
      </c>
      <c r="M178" s="58"/>
      <c r="N178" s="58"/>
      <c r="O178" s="58"/>
      <c r="P178" s="58"/>
      <c r="Q178" s="58"/>
      <c r="R178" s="58"/>
      <c r="S178" s="58"/>
    </row>
    <row r="179" spans="1:19" s="59" customFormat="1" ht="18.75" customHeight="1" thickBot="1" x14ac:dyDescent="0.3">
      <c r="A179" s="59" t="s">
        <v>23</v>
      </c>
      <c r="B179" s="60" t="str">
        <f t="shared" ref="B179:B180" si="119">IF(K179=0,"hide","")</f>
        <v/>
      </c>
      <c r="D179" s="61" t="str">
        <f>"02105"</f>
        <v>02105</v>
      </c>
      <c r="E179" s="62" t="str">
        <f>"4"</f>
        <v>4</v>
      </c>
      <c r="F179" s="63">
        <v>59.083333333333336</v>
      </c>
      <c r="G179" s="63">
        <v>29.166666666666668</v>
      </c>
      <c r="H179" s="63">
        <v>33.583333333333329</v>
      </c>
      <c r="I179" s="63">
        <v>27.916666666666668</v>
      </c>
      <c r="J179" s="63">
        <v>4.63710843373494</v>
      </c>
      <c r="K179" s="63">
        <f>AVERAGE(I179:J179)</f>
        <v>16.276887550200804</v>
      </c>
      <c r="L179" s="64" t="str">
        <f>"CORN MUFFINS"</f>
        <v>CORN MUFFINS</v>
      </c>
      <c r="M179" s="65" t="str">
        <f>"96-2 oz. I.W."</f>
        <v>96-2 oz. I.W.</v>
      </c>
      <c r="N179" s="66">
        <v>96</v>
      </c>
      <c r="O179" s="67">
        <v>4.5999999999999999E-3</v>
      </c>
      <c r="P179" s="68">
        <f>1/O179</f>
        <v>217.39130434782609</v>
      </c>
      <c r="Q179" s="53">
        <v>4.5999999999999999E-3</v>
      </c>
      <c r="R179" s="69">
        <f t="shared" ref="R179" si="120">1/Q179</f>
        <v>217.39130434782609</v>
      </c>
      <c r="S179" s="70">
        <f t="shared" ref="S179" si="121">R179*N179</f>
        <v>20869.565217391304</v>
      </c>
    </row>
    <row r="180" spans="1:19" ht="15.6" hidden="1" customHeight="1" thickBot="1" x14ac:dyDescent="0.3">
      <c r="A180" t="s">
        <v>23</v>
      </c>
      <c r="B180" s="60" t="str">
        <f t="shared" si="119"/>
        <v>hide</v>
      </c>
      <c r="D180" s="48" t="str">
        <f>D179</f>
        <v>02105</v>
      </c>
      <c r="E180" s="7"/>
      <c r="F180" s="27">
        <v>0</v>
      </c>
      <c r="G180" s="27">
        <v>0</v>
      </c>
      <c r="H180" s="27">
        <v>0</v>
      </c>
      <c r="I180" s="27">
        <v>0</v>
      </c>
      <c r="J180" s="27">
        <v>0</v>
      </c>
      <c r="K180" s="63">
        <f>AVERAGE(I180:J180)</f>
        <v>0</v>
      </c>
      <c r="L180" s="56" t="str">
        <f>"EQP-LAWPACK1"</f>
        <v>EQP-LAWPACK1</v>
      </c>
      <c r="M180" s="14"/>
      <c r="N180" s="15"/>
      <c r="O180" s="12"/>
      <c r="P180" s="34"/>
      <c r="Q180" s="37"/>
      <c r="R180" s="47"/>
      <c r="S180" s="46"/>
    </row>
    <row r="181" spans="1:19" ht="15.6" hidden="1" customHeight="1" thickBot="1" x14ac:dyDescent="0.3">
      <c r="A181" t="s">
        <v>23</v>
      </c>
      <c r="B181" s="60" t="str">
        <f t="shared" ref="B181:B183" si="122">IF(K181=0,"hide","")</f>
        <v>hide</v>
      </c>
      <c r="D181" s="48" t="str">
        <f>D180</f>
        <v>02105</v>
      </c>
      <c r="E181" s="7"/>
      <c r="F181" s="27">
        <v>0</v>
      </c>
      <c r="G181" s="27">
        <v>0</v>
      </c>
      <c r="H181" s="27">
        <v>0</v>
      </c>
      <c r="I181" s="27">
        <v>0</v>
      </c>
      <c r="J181" s="27">
        <v>0</v>
      </c>
      <c r="K181" s="63">
        <f>AVERAGE(I181:J181)</f>
        <v>0</v>
      </c>
      <c r="L181" s="56" t="str">
        <f>"EQP-LAWPACK2"</f>
        <v>EQP-LAWPACK2</v>
      </c>
      <c r="M181" s="14"/>
      <c r="N181" s="15"/>
      <c r="O181" s="12"/>
      <c r="P181" s="34"/>
      <c r="Q181" s="37"/>
      <c r="R181" s="47"/>
      <c r="S181" s="46"/>
    </row>
    <row r="182" spans="1:19" ht="15.6" hidden="1" customHeight="1" thickBot="1" x14ac:dyDescent="0.3">
      <c r="A182" t="s">
        <v>23</v>
      </c>
      <c r="B182" s="60" t="str">
        <f t="shared" si="122"/>
        <v>hide</v>
      </c>
      <c r="D182" s="48" t="str">
        <f>D181</f>
        <v>02105</v>
      </c>
      <c r="E182" s="7"/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63">
        <f>AVERAGE(I182:J182)</f>
        <v>0</v>
      </c>
      <c r="L182" s="56" t="str">
        <f>"SW-COMAS-PACKL"</f>
        <v>SW-COMAS-PACKL</v>
      </c>
      <c r="M182" s="14"/>
      <c r="N182" s="15"/>
      <c r="O182" s="12"/>
      <c r="P182" s="34"/>
      <c r="Q182" s="37"/>
      <c r="R182" s="47"/>
      <c r="S182" s="46"/>
    </row>
    <row r="183" spans="1:19" ht="15.6" hidden="1" customHeight="1" thickBot="1" x14ac:dyDescent="0.3">
      <c r="A183" t="s">
        <v>23</v>
      </c>
      <c r="B183" s="60" t="str">
        <f t="shared" si="122"/>
        <v>hide</v>
      </c>
      <c r="D183" s="48" t="str">
        <f>D182</f>
        <v>02105</v>
      </c>
      <c r="E183" s="7"/>
      <c r="F183" s="27">
        <v>0</v>
      </c>
      <c r="G183" s="27">
        <v>0</v>
      </c>
      <c r="H183" s="27">
        <v>0</v>
      </c>
      <c r="I183" s="27">
        <v>0</v>
      </c>
      <c r="J183" s="27">
        <v>0</v>
      </c>
      <c r="K183" s="63">
        <f>AVERAGE(I183:J183)</f>
        <v>0</v>
      </c>
      <c r="L183" s="56" t="str">
        <f>"SW-RISER-PACK"</f>
        <v>SW-RISER-PACK</v>
      </c>
      <c r="M183" s="14"/>
      <c r="N183" s="15"/>
      <c r="O183" s="12"/>
      <c r="P183" s="34"/>
      <c r="Q183" s="37"/>
      <c r="R183" s="47"/>
      <c r="S183" s="46"/>
    </row>
    <row r="184" spans="1:19" ht="12" hidden="1" customHeight="1" x14ac:dyDescent="0.3">
      <c r="A184" s="35" t="s">
        <v>908</v>
      </c>
      <c r="B184" s="49" t="str">
        <f>B180</f>
        <v>hide</v>
      </c>
      <c r="N184"/>
      <c r="Q184" s="33"/>
    </row>
    <row r="185" spans="1:19" ht="13.8" hidden="1" thickBot="1" x14ac:dyDescent="0.3">
      <c r="A185" t="s">
        <v>23</v>
      </c>
      <c r="B185" s="49" t="str">
        <f t="shared" ref="B185" si="123">B184</f>
        <v>hide</v>
      </c>
      <c r="D185" s="58"/>
      <c r="E185" s="58"/>
      <c r="F185" s="52">
        <f>SUM(F180:F184)</f>
        <v>0</v>
      </c>
      <c r="G185" s="52">
        <f>SUM(G180:G184)</f>
        <v>0</v>
      </c>
      <c r="H185" s="52">
        <f>SUM(H180:H184)</f>
        <v>0</v>
      </c>
      <c r="I185" s="52">
        <f>SUM(I180:I184)</f>
        <v>0</v>
      </c>
      <c r="J185" s="52">
        <f>SUM(J180:J184)</f>
        <v>0</v>
      </c>
      <c r="K185" s="52"/>
      <c r="L185" s="51" t="s">
        <v>4</v>
      </c>
      <c r="M185" s="58"/>
      <c r="N185" s="58"/>
      <c r="O185" s="58"/>
      <c r="P185" s="58"/>
      <c r="Q185" s="58"/>
      <c r="R185" s="58"/>
      <c r="S185" s="58"/>
    </row>
    <row r="186" spans="1:19" s="59" customFormat="1" ht="18.75" hidden="1" customHeight="1" thickBot="1" x14ac:dyDescent="0.3">
      <c r="A186" s="59" t="s">
        <v>23</v>
      </c>
      <c r="B186" s="60" t="str">
        <f t="shared" ref="B186:B187" si="124">IF(K186=0,"hide","")</f>
        <v>hide</v>
      </c>
      <c r="D186" s="61" t="str">
        <f>"02106"</f>
        <v>02106</v>
      </c>
      <c r="E186" s="62" t="str">
        <f>"1"</f>
        <v>1</v>
      </c>
      <c r="F186" s="63">
        <v>29.166666666666668</v>
      </c>
      <c r="G186" s="63">
        <v>26.083333333333332</v>
      </c>
      <c r="H186" s="63">
        <v>15.833333333333336</v>
      </c>
      <c r="I186" s="63">
        <v>0</v>
      </c>
      <c r="J186" s="63">
        <v>0</v>
      </c>
      <c r="K186" s="63">
        <f>AVERAGE(I186:J186)</f>
        <v>0</v>
      </c>
      <c r="L186" s="64" t="str">
        <f>"Apple Cinnamon Muffins"</f>
        <v>Apple Cinnamon Muffins</v>
      </c>
      <c r="M186" s="65" t="str">
        <f>"96-2 oz. I.W."</f>
        <v>96-2 oz. I.W.</v>
      </c>
      <c r="N186" s="66">
        <v>96</v>
      </c>
      <c r="O186" s="67" t="str">
        <f>""</f>
        <v/>
      </c>
      <c r="P186" s="68" t="e">
        <f>1/O186</f>
        <v>#VALUE!</v>
      </c>
      <c r="Q186" s="53">
        <v>1</v>
      </c>
      <c r="R186" s="69">
        <f t="shared" ref="R186" si="125">1/Q186</f>
        <v>1</v>
      </c>
      <c r="S186" s="70">
        <f t="shared" ref="S186" si="126">R186*N186</f>
        <v>96</v>
      </c>
    </row>
    <row r="187" spans="1:19" ht="15.6" hidden="1" customHeight="1" thickBot="1" x14ac:dyDescent="0.3">
      <c r="A187" t="s">
        <v>23</v>
      </c>
      <c r="B187" s="60" t="str">
        <f t="shared" si="124"/>
        <v>hide</v>
      </c>
      <c r="D187" s="48" t="str">
        <f>D186</f>
        <v>02106</v>
      </c>
      <c r="E187" s="7"/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63">
        <f>AVERAGE(I187:J187)</f>
        <v>0</v>
      </c>
      <c r="L187" s="56" t="str">
        <f>"EQP-LAWPACK1"</f>
        <v>EQP-LAWPACK1</v>
      </c>
      <c r="M187" s="14"/>
      <c r="N187" s="15"/>
      <c r="O187" s="12"/>
      <c r="P187" s="34"/>
      <c r="Q187" s="37"/>
      <c r="R187" s="47"/>
      <c r="S187" s="46"/>
    </row>
    <row r="188" spans="1:19" ht="15.6" hidden="1" customHeight="1" thickBot="1" x14ac:dyDescent="0.3">
      <c r="A188" t="s">
        <v>23</v>
      </c>
      <c r="B188" s="60" t="str">
        <f t="shared" ref="B188:B190" si="127">IF(K188=0,"hide","")</f>
        <v>hide</v>
      </c>
      <c r="D188" s="48" t="str">
        <f>D187</f>
        <v>02106</v>
      </c>
      <c r="E188" s="7"/>
      <c r="F188" s="27">
        <v>0</v>
      </c>
      <c r="G188" s="27">
        <v>0</v>
      </c>
      <c r="H188" s="27">
        <v>0</v>
      </c>
      <c r="I188" s="27">
        <v>0</v>
      </c>
      <c r="J188" s="27">
        <v>0</v>
      </c>
      <c r="K188" s="63">
        <f>AVERAGE(I188:J188)</f>
        <v>0</v>
      </c>
      <c r="L188" s="56" t="str">
        <f>"EQP-LAWPACK2"</f>
        <v>EQP-LAWPACK2</v>
      </c>
      <c r="M188" s="14"/>
      <c r="N188" s="15"/>
      <c r="O188" s="12"/>
      <c r="P188" s="34"/>
      <c r="Q188" s="37"/>
      <c r="R188" s="47"/>
      <c r="S188" s="46"/>
    </row>
    <row r="189" spans="1:19" ht="15.6" hidden="1" customHeight="1" thickBot="1" x14ac:dyDescent="0.3">
      <c r="A189" t="s">
        <v>23</v>
      </c>
      <c r="B189" s="60" t="str">
        <f t="shared" si="127"/>
        <v>hide</v>
      </c>
      <c r="D189" s="48" t="str">
        <f>D188</f>
        <v>02106</v>
      </c>
      <c r="E189" s="7"/>
      <c r="F189" s="27">
        <v>0</v>
      </c>
      <c r="G189" s="27">
        <v>0</v>
      </c>
      <c r="H189" s="27">
        <v>0</v>
      </c>
      <c r="I189" s="27">
        <v>0</v>
      </c>
      <c r="J189" s="27">
        <v>0</v>
      </c>
      <c r="K189" s="63">
        <f>AVERAGE(I189:J189)</f>
        <v>0</v>
      </c>
      <c r="L189" s="56" t="str">
        <f>"SW-COMAS-PACKL"</f>
        <v>SW-COMAS-PACKL</v>
      </c>
      <c r="M189" s="14"/>
      <c r="N189" s="15"/>
      <c r="O189" s="12"/>
      <c r="P189" s="34"/>
      <c r="Q189" s="37"/>
      <c r="R189" s="47"/>
      <c r="S189" s="46"/>
    </row>
    <row r="190" spans="1:19" ht="15.6" hidden="1" customHeight="1" thickBot="1" x14ac:dyDescent="0.3">
      <c r="A190" t="s">
        <v>23</v>
      </c>
      <c r="B190" s="60" t="str">
        <f t="shared" si="127"/>
        <v>hide</v>
      </c>
      <c r="D190" s="48" t="str">
        <f>D189</f>
        <v>02106</v>
      </c>
      <c r="E190" s="7"/>
      <c r="F190" s="27">
        <v>0</v>
      </c>
      <c r="G190" s="27">
        <v>0</v>
      </c>
      <c r="H190" s="27">
        <v>0</v>
      </c>
      <c r="I190" s="27">
        <v>0</v>
      </c>
      <c r="J190" s="27">
        <v>0</v>
      </c>
      <c r="K190" s="63">
        <f>AVERAGE(I190:J190)</f>
        <v>0</v>
      </c>
      <c r="L190" s="56" t="str">
        <f>"SW-RISER-PACK"</f>
        <v>SW-RISER-PACK</v>
      </c>
      <c r="M190" s="14"/>
      <c r="N190" s="15"/>
      <c r="O190" s="12"/>
      <c r="P190" s="34"/>
      <c r="Q190" s="37"/>
      <c r="R190" s="47"/>
      <c r="S190" s="46"/>
    </row>
    <row r="191" spans="1:19" ht="12" hidden="1" customHeight="1" x14ac:dyDescent="0.3">
      <c r="A191" s="35" t="s">
        <v>908</v>
      </c>
      <c r="B191" s="49" t="str">
        <f>B187</f>
        <v>hide</v>
      </c>
      <c r="N191"/>
      <c r="Q191" s="33"/>
    </row>
    <row r="192" spans="1:19" ht="13.8" hidden="1" thickBot="1" x14ac:dyDescent="0.3">
      <c r="A192" t="s">
        <v>23</v>
      </c>
      <c r="B192" s="49" t="str">
        <f t="shared" ref="B192" si="128">B191</f>
        <v>hide</v>
      </c>
      <c r="D192" s="58"/>
      <c r="E192" s="58"/>
      <c r="F192" s="52">
        <f>SUM(F187:F191)</f>
        <v>0</v>
      </c>
      <c r="G192" s="52">
        <f>SUM(G187:G191)</f>
        <v>0</v>
      </c>
      <c r="H192" s="52">
        <f>SUM(H187:H191)</f>
        <v>0</v>
      </c>
      <c r="I192" s="52">
        <f>SUM(I187:I191)</f>
        <v>0</v>
      </c>
      <c r="J192" s="52">
        <f>SUM(J187:J191)</f>
        <v>0</v>
      </c>
      <c r="K192" s="52"/>
      <c r="L192" s="51" t="s">
        <v>4</v>
      </c>
      <c r="M192" s="58"/>
      <c r="N192" s="58"/>
      <c r="O192" s="58"/>
      <c r="P192" s="58"/>
      <c r="Q192" s="58"/>
      <c r="R192" s="58"/>
      <c r="S192" s="58"/>
    </row>
    <row r="193" spans="1:19" s="59" customFormat="1" ht="18.75" hidden="1" customHeight="1" thickBot="1" x14ac:dyDescent="0.3">
      <c r="A193" s="59" t="s">
        <v>23</v>
      </c>
      <c r="B193" s="60" t="str">
        <f t="shared" ref="B193:B194" si="129">IF(K193=0,"hide","")</f>
        <v>hide</v>
      </c>
      <c r="D193" s="61" t="str">
        <f>"02109"</f>
        <v>02109</v>
      </c>
      <c r="E193" s="62" t="str">
        <f>"4"</f>
        <v>4</v>
      </c>
      <c r="F193" s="63">
        <v>16.25</v>
      </c>
      <c r="G193" s="63">
        <v>12.25</v>
      </c>
      <c r="H193" s="63">
        <v>0</v>
      </c>
      <c r="I193" s="63">
        <v>0</v>
      </c>
      <c r="J193" s="63">
        <v>0</v>
      </c>
      <c r="K193" s="63">
        <f>AVERAGE(I193:J193)</f>
        <v>0</v>
      </c>
      <c r="L193" s="64" t="str">
        <f>"RAISIN BRAN MUFFINS"</f>
        <v>RAISIN BRAN MUFFINS</v>
      </c>
      <c r="M193" s="65" t="str">
        <f>"96-2 oz. I.W."</f>
        <v>96-2 oz. I.W.</v>
      </c>
      <c r="N193" s="66">
        <v>96</v>
      </c>
      <c r="O193" s="67" t="str">
        <f>""</f>
        <v/>
      </c>
      <c r="P193" s="68" t="e">
        <f>1/O193</f>
        <v>#VALUE!</v>
      </c>
      <c r="Q193" s="53">
        <v>1</v>
      </c>
      <c r="R193" s="69">
        <f t="shared" ref="R193" si="130">1/Q193</f>
        <v>1</v>
      </c>
      <c r="S193" s="70">
        <f t="shared" ref="S193" si="131">R193*N193</f>
        <v>96</v>
      </c>
    </row>
    <row r="194" spans="1:19" ht="15.6" hidden="1" customHeight="1" thickBot="1" x14ac:dyDescent="0.3">
      <c r="A194" t="s">
        <v>23</v>
      </c>
      <c r="B194" s="60" t="str">
        <f t="shared" si="129"/>
        <v>hide</v>
      </c>
      <c r="D194" s="48" t="str">
        <f>D193</f>
        <v>02109</v>
      </c>
      <c r="E194" s="7"/>
      <c r="F194" s="27">
        <v>0</v>
      </c>
      <c r="G194" s="27">
        <v>0</v>
      </c>
      <c r="H194" s="27">
        <v>0</v>
      </c>
      <c r="I194" s="27">
        <v>0</v>
      </c>
      <c r="J194" s="27">
        <v>0</v>
      </c>
      <c r="K194" s="63">
        <f>AVERAGE(I194:J194)</f>
        <v>0</v>
      </c>
      <c r="L194" s="56" t="str">
        <f>"EQP-LAWPACK1"</f>
        <v>EQP-LAWPACK1</v>
      </c>
      <c r="M194" s="14"/>
      <c r="N194" s="15"/>
      <c r="O194" s="12"/>
      <c r="P194" s="34"/>
      <c r="Q194" s="37"/>
      <c r="R194" s="47"/>
      <c r="S194" s="46"/>
    </row>
    <row r="195" spans="1:19" ht="15.6" hidden="1" customHeight="1" thickBot="1" x14ac:dyDescent="0.3">
      <c r="A195" t="s">
        <v>23</v>
      </c>
      <c r="B195" s="60" t="str">
        <f t="shared" ref="B195:B197" si="132">IF(K195=0,"hide","")</f>
        <v>hide</v>
      </c>
      <c r="D195" s="48" t="str">
        <f>D194</f>
        <v>02109</v>
      </c>
      <c r="E195" s="7"/>
      <c r="F195" s="27">
        <v>0</v>
      </c>
      <c r="G195" s="27">
        <v>0</v>
      </c>
      <c r="H195" s="27">
        <v>0</v>
      </c>
      <c r="I195" s="27">
        <v>0</v>
      </c>
      <c r="J195" s="27">
        <v>0</v>
      </c>
      <c r="K195" s="63">
        <f>AVERAGE(I195:J195)</f>
        <v>0</v>
      </c>
      <c r="L195" s="56" t="str">
        <f>"EQP-LAWPACK2"</f>
        <v>EQP-LAWPACK2</v>
      </c>
      <c r="M195" s="14"/>
      <c r="N195" s="15"/>
      <c r="O195" s="12"/>
      <c r="P195" s="34"/>
      <c r="Q195" s="37"/>
      <c r="R195" s="47"/>
      <c r="S195" s="46"/>
    </row>
    <row r="196" spans="1:19" ht="15.6" hidden="1" customHeight="1" thickBot="1" x14ac:dyDescent="0.3">
      <c r="A196" t="s">
        <v>23</v>
      </c>
      <c r="B196" s="60" t="str">
        <f t="shared" si="132"/>
        <v>hide</v>
      </c>
      <c r="D196" s="48" t="str">
        <f>D195</f>
        <v>02109</v>
      </c>
      <c r="E196" s="7"/>
      <c r="F196" s="27">
        <v>0</v>
      </c>
      <c r="G196" s="27">
        <v>0</v>
      </c>
      <c r="H196" s="27">
        <v>0</v>
      </c>
      <c r="I196" s="27">
        <v>0</v>
      </c>
      <c r="J196" s="27">
        <v>0</v>
      </c>
      <c r="K196" s="63">
        <f>AVERAGE(I196:J196)</f>
        <v>0</v>
      </c>
      <c r="L196" s="56" t="str">
        <f>"SW-COMAS-PACKL"</f>
        <v>SW-COMAS-PACKL</v>
      </c>
      <c r="M196" s="14"/>
      <c r="N196" s="15"/>
      <c r="O196" s="12"/>
      <c r="P196" s="34"/>
      <c r="Q196" s="37"/>
      <c r="R196" s="47"/>
      <c r="S196" s="46"/>
    </row>
    <row r="197" spans="1:19" ht="15.6" hidden="1" customHeight="1" thickBot="1" x14ac:dyDescent="0.3">
      <c r="A197" t="s">
        <v>23</v>
      </c>
      <c r="B197" s="60" t="str">
        <f t="shared" si="132"/>
        <v>hide</v>
      </c>
      <c r="D197" s="48" t="str">
        <f>D196</f>
        <v>02109</v>
      </c>
      <c r="E197" s="7"/>
      <c r="F197" s="27">
        <v>0</v>
      </c>
      <c r="G197" s="27">
        <v>0</v>
      </c>
      <c r="H197" s="27">
        <v>0</v>
      </c>
      <c r="I197" s="27">
        <v>0</v>
      </c>
      <c r="J197" s="27">
        <v>0</v>
      </c>
      <c r="K197" s="63">
        <f>AVERAGE(I197:J197)</f>
        <v>0</v>
      </c>
      <c r="L197" s="56" t="str">
        <f>"SW-RISER-PACK"</f>
        <v>SW-RISER-PACK</v>
      </c>
      <c r="M197" s="14"/>
      <c r="N197" s="15"/>
      <c r="O197" s="12"/>
      <c r="P197" s="34"/>
      <c r="Q197" s="37"/>
      <c r="R197" s="47"/>
      <c r="S197" s="46"/>
    </row>
    <row r="198" spans="1:19" ht="12" hidden="1" customHeight="1" x14ac:dyDescent="0.3">
      <c r="A198" s="35" t="s">
        <v>908</v>
      </c>
      <c r="B198" s="49" t="str">
        <f>B194</f>
        <v>hide</v>
      </c>
      <c r="N198"/>
      <c r="Q198" s="33"/>
    </row>
    <row r="199" spans="1:19" ht="13.8" hidden="1" thickBot="1" x14ac:dyDescent="0.3">
      <c r="A199" t="s">
        <v>23</v>
      </c>
      <c r="B199" s="49" t="str">
        <f t="shared" ref="B199" si="133">B198</f>
        <v>hide</v>
      </c>
      <c r="D199" s="58"/>
      <c r="E199" s="58"/>
      <c r="F199" s="52">
        <f>SUM(F194:F198)</f>
        <v>0</v>
      </c>
      <c r="G199" s="52">
        <f>SUM(G194:G198)</f>
        <v>0</v>
      </c>
      <c r="H199" s="52">
        <f>SUM(H194:H198)</f>
        <v>0</v>
      </c>
      <c r="I199" s="52">
        <f>SUM(I194:I198)</f>
        <v>0</v>
      </c>
      <c r="J199" s="52">
        <f>SUM(J194:J198)</f>
        <v>0</v>
      </c>
      <c r="K199" s="52"/>
      <c r="L199" s="51" t="s">
        <v>4</v>
      </c>
      <c r="M199" s="58"/>
      <c r="N199" s="58"/>
      <c r="O199" s="58"/>
      <c r="P199" s="58"/>
      <c r="Q199" s="58"/>
      <c r="R199" s="58"/>
      <c r="S199" s="58"/>
    </row>
    <row r="200" spans="1:19" s="59" customFormat="1" ht="18.75" hidden="1" customHeight="1" thickBot="1" x14ac:dyDescent="0.3">
      <c r="A200" s="59" t="s">
        <v>23</v>
      </c>
      <c r="B200" s="60" t="str">
        <f t="shared" ref="B200:B201" si="134">IF(K200=0,"hide","")</f>
        <v>hide</v>
      </c>
      <c r="D200" s="61" t="str">
        <f>"02110"</f>
        <v>02110</v>
      </c>
      <c r="E200" s="62" t="str">
        <f>"6"</f>
        <v>6</v>
      </c>
      <c r="F200" s="63">
        <v>0</v>
      </c>
      <c r="G200" s="63">
        <v>0</v>
      </c>
      <c r="H200" s="63">
        <v>0</v>
      </c>
      <c r="I200" s="63">
        <v>0</v>
      </c>
      <c r="J200" s="63">
        <v>0</v>
      </c>
      <c r="K200" s="63">
        <f>AVERAGE(I200:J200)</f>
        <v>0</v>
      </c>
      <c r="L200" s="64" t="str">
        <f>"CHOCOLATE CHIP MUFFINS"</f>
        <v>CHOCOLATE CHIP MUFFINS</v>
      </c>
      <c r="M200" s="65" t="str">
        <f>"96-2 oz. I.W."</f>
        <v>96-2 oz. I.W.</v>
      </c>
      <c r="N200" s="66">
        <v>96</v>
      </c>
      <c r="O200" s="67" t="str">
        <f>""</f>
        <v/>
      </c>
      <c r="P200" s="68" t="e">
        <f>1/O200</f>
        <v>#VALUE!</v>
      </c>
      <c r="Q200" s="53">
        <v>1</v>
      </c>
      <c r="R200" s="69">
        <f t="shared" ref="R200" si="135">1/Q200</f>
        <v>1</v>
      </c>
      <c r="S200" s="70">
        <f t="shared" ref="S200" si="136">R200*N200</f>
        <v>96</v>
      </c>
    </row>
    <row r="201" spans="1:19" ht="15.6" hidden="1" customHeight="1" thickBot="1" x14ac:dyDescent="0.3">
      <c r="A201" t="s">
        <v>23</v>
      </c>
      <c r="B201" s="60" t="str">
        <f t="shared" si="134"/>
        <v>hide</v>
      </c>
      <c r="D201" s="48" t="str">
        <f>D200</f>
        <v>02110</v>
      </c>
      <c r="E201" s="7"/>
      <c r="F201" s="27">
        <v>0</v>
      </c>
      <c r="G201" s="27">
        <v>0</v>
      </c>
      <c r="H201" s="27">
        <v>0</v>
      </c>
      <c r="I201" s="27">
        <v>0</v>
      </c>
      <c r="J201" s="27">
        <v>0</v>
      </c>
      <c r="K201" s="63">
        <f>AVERAGE(I201:J201)</f>
        <v>0</v>
      </c>
      <c r="L201" s="56" t="str">
        <f>"EQP-LAWPACK1"</f>
        <v>EQP-LAWPACK1</v>
      </c>
      <c r="M201" s="14"/>
      <c r="N201" s="15"/>
      <c r="O201" s="12"/>
      <c r="P201" s="34"/>
      <c r="Q201" s="37"/>
      <c r="R201" s="47"/>
      <c r="S201" s="46"/>
    </row>
    <row r="202" spans="1:19" ht="15.6" hidden="1" customHeight="1" thickBot="1" x14ac:dyDescent="0.3">
      <c r="A202" t="s">
        <v>23</v>
      </c>
      <c r="B202" s="60" t="str">
        <f t="shared" ref="B202:B204" si="137">IF(K202=0,"hide","")</f>
        <v>hide</v>
      </c>
      <c r="D202" s="48" t="str">
        <f>D201</f>
        <v>02110</v>
      </c>
      <c r="E202" s="7"/>
      <c r="F202" s="27">
        <v>0</v>
      </c>
      <c r="G202" s="27">
        <v>0</v>
      </c>
      <c r="H202" s="27">
        <v>0</v>
      </c>
      <c r="I202" s="27">
        <v>0</v>
      </c>
      <c r="J202" s="27">
        <v>0</v>
      </c>
      <c r="K202" s="63">
        <f>AVERAGE(I202:J202)</f>
        <v>0</v>
      </c>
      <c r="L202" s="56" t="str">
        <f>"EQP-LAWPACK2"</f>
        <v>EQP-LAWPACK2</v>
      </c>
      <c r="M202" s="14"/>
      <c r="N202" s="15"/>
      <c r="O202" s="12"/>
      <c r="P202" s="34"/>
      <c r="Q202" s="37"/>
      <c r="R202" s="47"/>
      <c r="S202" s="46"/>
    </row>
    <row r="203" spans="1:19" ht="15.6" hidden="1" customHeight="1" thickBot="1" x14ac:dyDescent="0.3">
      <c r="A203" t="s">
        <v>23</v>
      </c>
      <c r="B203" s="60" t="str">
        <f t="shared" si="137"/>
        <v>hide</v>
      </c>
      <c r="D203" s="48" t="str">
        <f>D202</f>
        <v>02110</v>
      </c>
      <c r="E203" s="7"/>
      <c r="F203" s="27">
        <v>0</v>
      </c>
      <c r="G203" s="27">
        <v>0</v>
      </c>
      <c r="H203" s="27">
        <v>0</v>
      </c>
      <c r="I203" s="27">
        <v>0</v>
      </c>
      <c r="J203" s="27">
        <v>0</v>
      </c>
      <c r="K203" s="63">
        <f>AVERAGE(I203:J203)</f>
        <v>0</v>
      </c>
      <c r="L203" s="56" t="str">
        <f>"SW-COMAS-PACKL"</f>
        <v>SW-COMAS-PACKL</v>
      </c>
      <c r="M203" s="14"/>
      <c r="N203" s="15"/>
      <c r="O203" s="12"/>
      <c r="P203" s="34"/>
      <c r="Q203" s="37"/>
      <c r="R203" s="47"/>
      <c r="S203" s="46"/>
    </row>
    <row r="204" spans="1:19" ht="15.6" hidden="1" customHeight="1" thickBot="1" x14ac:dyDescent="0.3">
      <c r="A204" t="s">
        <v>23</v>
      </c>
      <c r="B204" s="60" t="str">
        <f t="shared" si="137"/>
        <v>hide</v>
      </c>
      <c r="D204" s="48" t="str">
        <f>D203</f>
        <v>02110</v>
      </c>
      <c r="E204" s="7"/>
      <c r="F204" s="27">
        <v>0</v>
      </c>
      <c r="G204" s="27">
        <v>0</v>
      </c>
      <c r="H204" s="27">
        <v>0</v>
      </c>
      <c r="I204" s="27">
        <v>0</v>
      </c>
      <c r="J204" s="27">
        <v>0</v>
      </c>
      <c r="K204" s="63">
        <f>AVERAGE(I204:J204)</f>
        <v>0</v>
      </c>
      <c r="L204" s="56" t="str">
        <f>"SW-RISER-PACK"</f>
        <v>SW-RISER-PACK</v>
      </c>
      <c r="M204" s="14"/>
      <c r="N204" s="15"/>
      <c r="O204" s="12"/>
      <c r="P204" s="34"/>
      <c r="Q204" s="37"/>
      <c r="R204" s="47"/>
      <c r="S204" s="46"/>
    </row>
    <row r="205" spans="1:19" ht="12" hidden="1" customHeight="1" x14ac:dyDescent="0.3">
      <c r="A205" s="35" t="s">
        <v>908</v>
      </c>
      <c r="B205" s="49" t="str">
        <f>B201</f>
        <v>hide</v>
      </c>
      <c r="N205"/>
      <c r="Q205" s="33"/>
    </row>
    <row r="206" spans="1:19" ht="13.8" hidden="1" thickBot="1" x14ac:dyDescent="0.3">
      <c r="A206" t="s">
        <v>23</v>
      </c>
      <c r="B206" s="49" t="str">
        <f t="shared" ref="B206" si="138">B205</f>
        <v>hide</v>
      </c>
      <c r="D206" s="58"/>
      <c r="E206" s="58"/>
      <c r="F206" s="52">
        <f>SUM(F201:F205)</f>
        <v>0</v>
      </c>
      <c r="G206" s="52">
        <f>SUM(G201:G205)</f>
        <v>0</v>
      </c>
      <c r="H206" s="52">
        <f>SUM(H201:H205)</f>
        <v>0</v>
      </c>
      <c r="I206" s="52">
        <f>SUM(I201:I205)</f>
        <v>0</v>
      </c>
      <c r="J206" s="52">
        <f>SUM(J201:J205)</f>
        <v>0</v>
      </c>
      <c r="K206" s="52"/>
      <c r="L206" s="51" t="s">
        <v>4</v>
      </c>
      <c r="M206" s="58"/>
      <c r="N206" s="58"/>
      <c r="O206" s="58"/>
      <c r="P206" s="58"/>
      <c r="Q206" s="58"/>
      <c r="R206" s="58"/>
      <c r="S206" s="58"/>
    </row>
    <row r="207" spans="1:19" s="59" customFormat="1" ht="18.75" hidden="1" customHeight="1" thickBot="1" x14ac:dyDescent="0.3">
      <c r="A207" s="59" t="s">
        <v>23</v>
      </c>
      <c r="B207" s="60" t="str">
        <f t="shared" ref="B207:B208" si="139">IF(K207=0,"hide","")</f>
        <v>hide</v>
      </c>
      <c r="D207" s="61" t="str">
        <f>"02111"</f>
        <v>02111</v>
      </c>
      <c r="E207" s="62" t="str">
        <f>"1"</f>
        <v>1</v>
      </c>
      <c r="F207" s="63">
        <v>29</v>
      </c>
      <c r="G207" s="63">
        <v>27.333333333333332</v>
      </c>
      <c r="H207" s="63">
        <v>15.833333333333336</v>
      </c>
      <c r="I207" s="63">
        <v>0</v>
      </c>
      <c r="J207" s="63">
        <v>0</v>
      </c>
      <c r="K207" s="63">
        <f>AVERAGE(I207:J207)</f>
        <v>0</v>
      </c>
      <c r="L207" s="64" t="str">
        <f>"Carrot Muffins"</f>
        <v>Carrot Muffins</v>
      </c>
      <c r="M207" s="65" t="str">
        <f>"96-2 oz. I.W."</f>
        <v>96-2 oz. I.W.</v>
      </c>
      <c r="N207" s="66">
        <v>96</v>
      </c>
      <c r="O207" s="67" t="str">
        <f>""</f>
        <v/>
      </c>
      <c r="P207" s="68" t="e">
        <f>1/O207</f>
        <v>#VALUE!</v>
      </c>
      <c r="Q207" s="53">
        <v>1</v>
      </c>
      <c r="R207" s="69">
        <f t="shared" ref="R207" si="140">1/Q207</f>
        <v>1</v>
      </c>
      <c r="S207" s="70">
        <f t="shared" ref="S207" si="141">R207*N207</f>
        <v>96</v>
      </c>
    </row>
    <row r="208" spans="1:19" ht="15.6" hidden="1" customHeight="1" thickBot="1" x14ac:dyDescent="0.3">
      <c r="A208" t="s">
        <v>23</v>
      </c>
      <c r="B208" s="60" t="str">
        <f t="shared" si="139"/>
        <v>hide</v>
      </c>
      <c r="D208" s="48" t="str">
        <f>D207</f>
        <v>02111</v>
      </c>
      <c r="E208" s="7"/>
      <c r="F208" s="27">
        <v>0</v>
      </c>
      <c r="G208" s="27">
        <v>0</v>
      </c>
      <c r="H208" s="27">
        <v>0</v>
      </c>
      <c r="I208" s="27">
        <v>0</v>
      </c>
      <c r="J208" s="27">
        <v>0</v>
      </c>
      <c r="K208" s="63">
        <f>AVERAGE(I208:J208)</f>
        <v>0</v>
      </c>
      <c r="L208" s="56" t="str">
        <f>"EQP-LAWPACK1"</f>
        <v>EQP-LAWPACK1</v>
      </c>
      <c r="M208" s="14"/>
      <c r="N208" s="15"/>
      <c r="O208" s="12"/>
      <c r="P208" s="34"/>
      <c r="Q208" s="37"/>
      <c r="R208" s="47"/>
      <c r="S208" s="46"/>
    </row>
    <row r="209" spans="1:19" ht="15.6" hidden="1" customHeight="1" thickBot="1" x14ac:dyDescent="0.3">
      <c r="A209" t="s">
        <v>23</v>
      </c>
      <c r="B209" s="60" t="str">
        <f t="shared" ref="B209:B211" si="142">IF(K209=0,"hide","")</f>
        <v>hide</v>
      </c>
      <c r="D209" s="48" t="str">
        <f>D208</f>
        <v>02111</v>
      </c>
      <c r="E209" s="7"/>
      <c r="F209" s="27">
        <v>0</v>
      </c>
      <c r="G209" s="27">
        <v>0</v>
      </c>
      <c r="H209" s="27">
        <v>0</v>
      </c>
      <c r="I209" s="27">
        <v>0</v>
      </c>
      <c r="J209" s="27">
        <v>0</v>
      </c>
      <c r="K209" s="63">
        <f>AVERAGE(I209:J209)</f>
        <v>0</v>
      </c>
      <c r="L209" s="56" t="str">
        <f>"EQP-LAWPACK2"</f>
        <v>EQP-LAWPACK2</v>
      </c>
      <c r="M209" s="14"/>
      <c r="N209" s="15"/>
      <c r="O209" s="12"/>
      <c r="P209" s="34"/>
      <c r="Q209" s="37"/>
      <c r="R209" s="47"/>
      <c r="S209" s="46"/>
    </row>
    <row r="210" spans="1:19" ht="15.6" hidden="1" customHeight="1" thickBot="1" x14ac:dyDescent="0.3">
      <c r="A210" t="s">
        <v>23</v>
      </c>
      <c r="B210" s="60" t="str">
        <f t="shared" si="142"/>
        <v>hide</v>
      </c>
      <c r="D210" s="48" t="str">
        <f>D209</f>
        <v>02111</v>
      </c>
      <c r="E210" s="7"/>
      <c r="F210" s="27">
        <v>0</v>
      </c>
      <c r="G210" s="27">
        <v>0</v>
      </c>
      <c r="H210" s="27">
        <v>0</v>
      </c>
      <c r="I210" s="27">
        <v>0</v>
      </c>
      <c r="J210" s="27">
        <v>0</v>
      </c>
      <c r="K210" s="63">
        <f>AVERAGE(I210:J210)</f>
        <v>0</v>
      </c>
      <c r="L210" s="56" t="str">
        <f>"SW-COMAS-PACKL"</f>
        <v>SW-COMAS-PACKL</v>
      </c>
      <c r="M210" s="14"/>
      <c r="N210" s="15"/>
      <c r="O210" s="12"/>
      <c r="P210" s="34"/>
      <c r="Q210" s="37"/>
      <c r="R210" s="47"/>
      <c r="S210" s="46"/>
    </row>
    <row r="211" spans="1:19" ht="15.6" hidden="1" customHeight="1" thickBot="1" x14ac:dyDescent="0.3">
      <c r="A211" t="s">
        <v>23</v>
      </c>
      <c r="B211" s="60" t="str">
        <f t="shared" si="142"/>
        <v>hide</v>
      </c>
      <c r="D211" s="48" t="str">
        <f>D210</f>
        <v>02111</v>
      </c>
      <c r="E211" s="7"/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63">
        <f>AVERAGE(I211:J211)</f>
        <v>0</v>
      </c>
      <c r="L211" s="56" t="str">
        <f>"SW-RISER-PACK"</f>
        <v>SW-RISER-PACK</v>
      </c>
      <c r="M211" s="14"/>
      <c r="N211" s="15"/>
      <c r="O211" s="12"/>
      <c r="P211" s="34"/>
      <c r="Q211" s="37"/>
      <c r="R211" s="47"/>
      <c r="S211" s="46"/>
    </row>
    <row r="212" spans="1:19" ht="12" hidden="1" customHeight="1" x14ac:dyDescent="0.3">
      <c r="A212" s="35" t="s">
        <v>908</v>
      </c>
      <c r="B212" s="49" t="str">
        <f>B208</f>
        <v>hide</v>
      </c>
      <c r="N212"/>
      <c r="Q212" s="33"/>
    </row>
    <row r="213" spans="1:19" ht="13.8" hidden="1" thickBot="1" x14ac:dyDescent="0.3">
      <c r="A213" t="s">
        <v>23</v>
      </c>
      <c r="B213" s="49" t="str">
        <f t="shared" ref="B213" si="143">B212</f>
        <v>hide</v>
      </c>
      <c r="D213" s="58"/>
      <c r="E213" s="58"/>
      <c r="F213" s="52">
        <f>SUM(F208:F212)</f>
        <v>0</v>
      </c>
      <c r="G213" s="52">
        <f>SUM(G208:G212)</f>
        <v>0</v>
      </c>
      <c r="H213" s="52">
        <f>SUM(H208:H212)</f>
        <v>0</v>
      </c>
      <c r="I213" s="52">
        <f>SUM(I208:I212)</f>
        <v>0</v>
      </c>
      <c r="J213" s="52">
        <f>SUM(J208:J212)</f>
        <v>0</v>
      </c>
      <c r="K213" s="52"/>
      <c r="L213" s="51" t="s">
        <v>4</v>
      </c>
      <c r="M213" s="58"/>
      <c r="N213" s="58"/>
      <c r="O213" s="58"/>
      <c r="P213" s="58"/>
      <c r="Q213" s="58"/>
      <c r="R213" s="58"/>
      <c r="S213" s="58"/>
    </row>
    <row r="214" spans="1:19" s="59" customFormat="1" ht="18.75" customHeight="1" thickBot="1" x14ac:dyDescent="0.3">
      <c r="A214" s="59" t="s">
        <v>23</v>
      </c>
      <c r="B214" s="60" t="str">
        <f t="shared" ref="B214:B215" si="144">IF(K214=0,"hide","")</f>
        <v/>
      </c>
      <c r="D214" s="61" t="str">
        <f>"02112"</f>
        <v>02112</v>
      </c>
      <c r="E214" s="62" t="str">
        <f>"5"</f>
        <v>5</v>
      </c>
      <c r="F214" s="63">
        <v>257.58333333333337</v>
      </c>
      <c r="G214" s="63">
        <v>231.16666666666666</v>
      </c>
      <c r="H214" s="63">
        <v>94</v>
      </c>
      <c r="I214" s="63">
        <v>191.58333333333334</v>
      </c>
      <c r="J214" s="63">
        <v>98.67493975903615</v>
      </c>
      <c r="K214" s="63">
        <f>AVERAGE(I214:J214)</f>
        <v>145.12913654618475</v>
      </c>
      <c r="L214" s="64" t="str">
        <f>"BRAN  MUFFINS"</f>
        <v>BRAN  MUFFINS</v>
      </c>
      <c r="M214" s="65" t="str">
        <f>"96-2 oz. I.W."</f>
        <v>96-2 oz. I.W.</v>
      </c>
      <c r="N214" s="66">
        <v>96</v>
      </c>
      <c r="O214" s="67" t="str">
        <f>""</f>
        <v/>
      </c>
      <c r="P214" s="68" t="e">
        <f>1/O214</f>
        <v>#VALUE!</v>
      </c>
      <c r="Q214" s="53">
        <v>1</v>
      </c>
      <c r="R214" s="69">
        <f t="shared" ref="R214" si="145">1/Q214</f>
        <v>1</v>
      </c>
      <c r="S214" s="70">
        <f t="shared" ref="S214" si="146">R214*N214</f>
        <v>96</v>
      </c>
    </row>
    <row r="215" spans="1:19" ht="15.6" hidden="1" customHeight="1" thickBot="1" x14ac:dyDescent="0.3">
      <c r="A215" t="s">
        <v>23</v>
      </c>
      <c r="B215" s="60" t="str">
        <f t="shared" si="144"/>
        <v>hide</v>
      </c>
      <c r="D215" s="48" t="str">
        <f>D214</f>
        <v>02112</v>
      </c>
      <c r="E215" s="7"/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63">
        <f>AVERAGE(I215:J215)</f>
        <v>0</v>
      </c>
      <c r="L215" s="56" t="str">
        <f>"EQP-LAWPACK1"</f>
        <v>EQP-LAWPACK1</v>
      </c>
      <c r="M215" s="14"/>
      <c r="N215" s="15"/>
      <c r="O215" s="12"/>
      <c r="P215" s="34"/>
      <c r="Q215" s="37"/>
      <c r="R215" s="47"/>
      <c r="S215" s="46"/>
    </row>
    <row r="216" spans="1:19" ht="15.6" hidden="1" customHeight="1" thickBot="1" x14ac:dyDescent="0.3">
      <c r="A216" t="s">
        <v>23</v>
      </c>
      <c r="B216" s="60" t="str">
        <f t="shared" ref="B216:B218" si="147">IF(K216=0,"hide","")</f>
        <v>hide</v>
      </c>
      <c r="D216" s="48" t="str">
        <f>D215</f>
        <v>02112</v>
      </c>
      <c r="E216" s="7"/>
      <c r="F216" s="27">
        <v>0</v>
      </c>
      <c r="G216" s="27">
        <v>0</v>
      </c>
      <c r="H216" s="27">
        <v>0</v>
      </c>
      <c r="I216" s="27">
        <v>0</v>
      </c>
      <c r="J216" s="27">
        <v>0</v>
      </c>
      <c r="K216" s="63">
        <f>AVERAGE(I216:J216)</f>
        <v>0</v>
      </c>
      <c r="L216" s="56" t="str">
        <f>"EQP-LAWPACK2"</f>
        <v>EQP-LAWPACK2</v>
      </c>
      <c r="M216" s="14"/>
      <c r="N216" s="15"/>
      <c r="O216" s="12"/>
      <c r="P216" s="34"/>
      <c r="Q216" s="37"/>
      <c r="R216" s="47"/>
      <c r="S216" s="46"/>
    </row>
    <row r="217" spans="1:19" ht="15.6" hidden="1" customHeight="1" thickBot="1" x14ac:dyDescent="0.3">
      <c r="A217" t="s">
        <v>23</v>
      </c>
      <c r="B217" s="60" t="str">
        <f t="shared" si="147"/>
        <v>hide</v>
      </c>
      <c r="D217" s="48" t="str">
        <f>D216</f>
        <v>02112</v>
      </c>
      <c r="E217" s="7"/>
      <c r="F217" s="27">
        <v>0</v>
      </c>
      <c r="G217" s="27">
        <v>0</v>
      </c>
      <c r="H217" s="27">
        <v>0</v>
      </c>
      <c r="I217" s="27">
        <v>0</v>
      </c>
      <c r="J217" s="27">
        <v>0</v>
      </c>
      <c r="K217" s="63">
        <f>AVERAGE(I217:J217)</f>
        <v>0</v>
      </c>
      <c r="L217" s="56" t="str">
        <f>"SW-COMAS-PACKL"</f>
        <v>SW-COMAS-PACKL</v>
      </c>
      <c r="M217" s="14"/>
      <c r="N217" s="15"/>
      <c r="O217" s="12"/>
      <c r="P217" s="34"/>
      <c r="Q217" s="37"/>
      <c r="R217" s="47"/>
      <c r="S217" s="46"/>
    </row>
    <row r="218" spans="1:19" ht="15.6" hidden="1" customHeight="1" thickBot="1" x14ac:dyDescent="0.3">
      <c r="A218" t="s">
        <v>23</v>
      </c>
      <c r="B218" s="60" t="str">
        <f t="shared" si="147"/>
        <v>hide</v>
      </c>
      <c r="D218" s="48" t="str">
        <f>D217</f>
        <v>02112</v>
      </c>
      <c r="E218" s="7"/>
      <c r="F218" s="27">
        <v>0</v>
      </c>
      <c r="G218" s="27">
        <v>0</v>
      </c>
      <c r="H218" s="27">
        <v>0</v>
      </c>
      <c r="I218" s="27">
        <v>0</v>
      </c>
      <c r="J218" s="27">
        <v>0</v>
      </c>
      <c r="K218" s="63">
        <f>AVERAGE(I218:J218)</f>
        <v>0</v>
      </c>
      <c r="L218" s="56" t="str">
        <f>"SW-RISER-PACK"</f>
        <v>SW-RISER-PACK</v>
      </c>
      <c r="M218" s="14"/>
      <c r="N218" s="15"/>
      <c r="O218" s="12"/>
      <c r="P218" s="34"/>
      <c r="Q218" s="37"/>
      <c r="R218" s="47"/>
      <c r="S218" s="46"/>
    </row>
    <row r="219" spans="1:19" ht="12" hidden="1" customHeight="1" x14ac:dyDescent="0.3">
      <c r="A219" s="35" t="s">
        <v>908</v>
      </c>
      <c r="B219" s="49" t="str">
        <f>B215</f>
        <v>hide</v>
      </c>
      <c r="N219"/>
      <c r="Q219" s="33"/>
    </row>
    <row r="220" spans="1:19" ht="13.8" hidden="1" thickBot="1" x14ac:dyDescent="0.3">
      <c r="A220" t="s">
        <v>23</v>
      </c>
      <c r="B220" s="49" t="str">
        <f t="shared" ref="B220" si="148">B219</f>
        <v>hide</v>
      </c>
      <c r="D220" s="58"/>
      <c r="E220" s="58"/>
      <c r="F220" s="52">
        <f>SUM(F215:F219)</f>
        <v>0</v>
      </c>
      <c r="G220" s="52">
        <f>SUM(G215:G219)</f>
        <v>0</v>
      </c>
      <c r="H220" s="52">
        <f>SUM(H215:H219)</f>
        <v>0</v>
      </c>
      <c r="I220" s="52">
        <f>SUM(I215:I219)</f>
        <v>0</v>
      </c>
      <c r="J220" s="52">
        <f>SUM(J215:J219)</f>
        <v>0</v>
      </c>
      <c r="K220" s="52"/>
      <c r="L220" s="51" t="s">
        <v>4</v>
      </c>
      <c r="M220" s="58"/>
      <c r="N220" s="58"/>
      <c r="O220" s="58"/>
      <c r="P220" s="58"/>
      <c r="Q220" s="58"/>
      <c r="R220" s="58"/>
      <c r="S220" s="58"/>
    </row>
    <row r="221" spans="1:19" s="59" customFormat="1" ht="18.75" hidden="1" customHeight="1" thickBot="1" x14ac:dyDescent="0.3">
      <c r="A221" s="59" t="s">
        <v>23</v>
      </c>
      <c r="B221" s="60" t="str">
        <f t="shared" ref="B221:B222" si="149">IF(K221=0,"hide","")</f>
        <v>hide</v>
      </c>
      <c r="D221" s="61" t="str">
        <f>"02119"</f>
        <v>02119</v>
      </c>
      <c r="E221" s="62" t="str">
        <f>"3"</f>
        <v>3</v>
      </c>
      <c r="F221" s="63">
        <v>8.2500000000000018</v>
      </c>
      <c r="G221" s="63">
        <v>0</v>
      </c>
      <c r="H221" s="63">
        <v>0</v>
      </c>
      <c r="I221" s="63">
        <v>0</v>
      </c>
      <c r="J221" s="63">
        <v>0</v>
      </c>
      <c r="K221" s="63">
        <f>AVERAGE(I221:J221)</f>
        <v>0</v>
      </c>
      <c r="L221" s="64" t="str">
        <f>"Orange Muffins"</f>
        <v>Orange Muffins</v>
      </c>
      <c r="M221" s="65" t="str">
        <f>"96-2 oz I.W."</f>
        <v>96-2 oz I.W.</v>
      </c>
      <c r="N221" s="66">
        <v>96</v>
      </c>
      <c r="O221" s="67" t="str">
        <f>""</f>
        <v/>
      </c>
      <c r="P221" s="68" t="e">
        <f>1/O221</f>
        <v>#VALUE!</v>
      </c>
      <c r="Q221" s="53">
        <v>1</v>
      </c>
      <c r="R221" s="69">
        <f t="shared" ref="R221" si="150">1/Q221</f>
        <v>1</v>
      </c>
      <c r="S221" s="70">
        <f t="shared" ref="S221" si="151">R221*N221</f>
        <v>96</v>
      </c>
    </row>
    <row r="222" spans="1:19" ht="15.6" hidden="1" customHeight="1" thickBot="1" x14ac:dyDescent="0.3">
      <c r="A222" t="s">
        <v>23</v>
      </c>
      <c r="B222" s="60" t="str">
        <f t="shared" si="149"/>
        <v>hide</v>
      </c>
      <c r="D222" s="48" t="str">
        <f>D221</f>
        <v>02119</v>
      </c>
      <c r="E222" s="7"/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63">
        <f>AVERAGE(I222:J222)</f>
        <v>0</v>
      </c>
      <c r="L222" s="56" t="str">
        <f>"EQP-LAWPACK1"</f>
        <v>EQP-LAWPACK1</v>
      </c>
      <c r="M222" s="14"/>
      <c r="N222" s="15"/>
      <c r="O222" s="12"/>
      <c r="P222" s="34"/>
      <c r="Q222" s="37"/>
      <c r="R222" s="47"/>
      <c r="S222" s="46"/>
    </row>
    <row r="223" spans="1:19" ht="15.6" hidden="1" customHeight="1" thickBot="1" x14ac:dyDescent="0.3">
      <c r="A223" t="s">
        <v>23</v>
      </c>
      <c r="B223" s="60" t="str">
        <f t="shared" ref="B223:B225" si="152">IF(K223=0,"hide","")</f>
        <v>hide</v>
      </c>
      <c r="D223" s="48" t="str">
        <f>D222</f>
        <v>02119</v>
      </c>
      <c r="E223" s="7"/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63">
        <f>AVERAGE(I223:J223)</f>
        <v>0</v>
      </c>
      <c r="L223" s="56" t="str">
        <f>"EQP-LAWPACK2"</f>
        <v>EQP-LAWPACK2</v>
      </c>
      <c r="M223" s="14"/>
      <c r="N223" s="15"/>
      <c r="O223" s="12"/>
      <c r="P223" s="34"/>
      <c r="Q223" s="37"/>
      <c r="R223" s="47"/>
      <c r="S223" s="46"/>
    </row>
    <row r="224" spans="1:19" ht="15.6" hidden="1" customHeight="1" thickBot="1" x14ac:dyDescent="0.3">
      <c r="A224" t="s">
        <v>23</v>
      </c>
      <c r="B224" s="60" t="str">
        <f t="shared" si="152"/>
        <v>hide</v>
      </c>
      <c r="D224" s="48" t="str">
        <f>D223</f>
        <v>02119</v>
      </c>
      <c r="E224" s="7"/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63">
        <f>AVERAGE(I224:J224)</f>
        <v>0</v>
      </c>
      <c r="L224" s="56" t="str">
        <f>"SW-COMAS-PACKL"</f>
        <v>SW-COMAS-PACKL</v>
      </c>
      <c r="M224" s="14"/>
      <c r="N224" s="15"/>
      <c r="O224" s="12"/>
      <c r="P224" s="34"/>
      <c r="Q224" s="37"/>
      <c r="R224" s="47"/>
      <c r="S224" s="46"/>
    </row>
    <row r="225" spans="1:19" ht="15.6" hidden="1" customHeight="1" thickBot="1" x14ac:dyDescent="0.3">
      <c r="A225" t="s">
        <v>23</v>
      </c>
      <c r="B225" s="60" t="str">
        <f t="shared" si="152"/>
        <v>hide</v>
      </c>
      <c r="D225" s="48" t="str">
        <f>D224</f>
        <v>02119</v>
      </c>
      <c r="E225" s="7"/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63">
        <f>AVERAGE(I225:J225)</f>
        <v>0</v>
      </c>
      <c r="L225" s="56" t="str">
        <f>"SW-RISER-PACK"</f>
        <v>SW-RISER-PACK</v>
      </c>
      <c r="M225" s="14"/>
      <c r="N225" s="15"/>
      <c r="O225" s="12"/>
      <c r="P225" s="34"/>
      <c r="Q225" s="37"/>
      <c r="R225" s="47"/>
      <c r="S225" s="46"/>
    </row>
    <row r="226" spans="1:19" ht="12" hidden="1" customHeight="1" x14ac:dyDescent="0.3">
      <c r="A226" s="35" t="s">
        <v>908</v>
      </c>
      <c r="B226" s="49" t="str">
        <f>B222</f>
        <v>hide</v>
      </c>
      <c r="N226"/>
      <c r="Q226" s="33"/>
    </row>
    <row r="227" spans="1:19" ht="13.8" hidden="1" thickBot="1" x14ac:dyDescent="0.3">
      <c r="A227" t="s">
        <v>23</v>
      </c>
      <c r="B227" s="49" t="str">
        <f t="shared" ref="B227" si="153">B226</f>
        <v>hide</v>
      </c>
      <c r="D227" s="58"/>
      <c r="E227" s="58"/>
      <c r="F227" s="52">
        <f>SUM(F222:F226)</f>
        <v>0</v>
      </c>
      <c r="G227" s="52">
        <f>SUM(G222:G226)</f>
        <v>0</v>
      </c>
      <c r="H227" s="52">
        <f>SUM(H222:H226)</f>
        <v>0</v>
      </c>
      <c r="I227" s="52">
        <f>SUM(I222:I226)</f>
        <v>0</v>
      </c>
      <c r="J227" s="52">
        <f>SUM(J222:J226)</f>
        <v>0</v>
      </c>
      <c r="K227" s="52"/>
      <c r="L227" s="51" t="s">
        <v>4</v>
      </c>
      <c r="M227" s="58"/>
      <c r="N227" s="58"/>
      <c r="O227" s="58"/>
      <c r="P227" s="58"/>
      <c r="Q227" s="58"/>
      <c r="R227" s="58"/>
      <c r="S227" s="58"/>
    </row>
    <row r="228" spans="1:19" s="59" customFormat="1" ht="18.75" hidden="1" customHeight="1" thickBot="1" x14ac:dyDescent="0.3">
      <c r="A228" s="59" t="s">
        <v>23</v>
      </c>
      <c r="B228" s="60" t="str">
        <f t="shared" ref="B228:B229" si="154">IF(K228=0,"hide","")</f>
        <v>hide</v>
      </c>
      <c r="D228" s="61" t="str">
        <f>"02151"</f>
        <v>02151</v>
      </c>
      <c r="E228" s="62" t="str">
        <f>"1"</f>
        <v>1</v>
      </c>
      <c r="F228" s="63">
        <v>29.083333333333332</v>
      </c>
      <c r="G228" s="63">
        <v>26.083333333333332</v>
      </c>
      <c r="H228" s="63">
        <v>15.833333333333336</v>
      </c>
      <c r="I228" s="63">
        <v>0</v>
      </c>
      <c r="J228" s="63">
        <v>0</v>
      </c>
      <c r="K228" s="63">
        <f>AVERAGE(I228:J228)</f>
        <v>0</v>
      </c>
      <c r="L228" s="64" t="str">
        <f>"Banana Muffin"</f>
        <v>Banana Muffin</v>
      </c>
      <c r="M228" s="65" t="str">
        <f>"96-2 oz. I.W."</f>
        <v>96-2 oz. I.W.</v>
      </c>
      <c r="N228" s="66">
        <v>96</v>
      </c>
      <c r="O228" s="67">
        <v>0</v>
      </c>
      <c r="P228" s="68" t="e">
        <f>1/O228</f>
        <v>#DIV/0!</v>
      </c>
      <c r="Q228" s="53">
        <v>7.6299999999999996E-3</v>
      </c>
      <c r="R228" s="69">
        <f t="shared" ref="R228" si="155">1/Q228</f>
        <v>131.06159895150722</v>
      </c>
      <c r="S228" s="70">
        <f t="shared" ref="S228" si="156">R228*N228</f>
        <v>12581.913499344693</v>
      </c>
    </row>
    <row r="229" spans="1:19" ht="15.6" hidden="1" customHeight="1" thickBot="1" x14ac:dyDescent="0.3">
      <c r="A229" t="s">
        <v>23</v>
      </c>
      <c r="B229" s="60" t="str">
        <f t="shared" si="154"/>
        <v>hide</v>
      </c>
      <c r="D229" s="48" t="str">
        <f>D228</f>
        <v>02151</v>
      </c>
      <c r="E229" s="7"/>
      <c r="F229" s="27">
        <v>0</v>
      </c>
      <c r="G229" s="27">
        <v>0</v>
      </c>
      <c r="H229" s="27">
        <v>0</v>
      </c>
      <c r="I229" s="27">
        <v>0</v>
      </c>
      <c r="J229" s="27">
        <v>0</v>
      </c>
      <c r="K229" s="63">
        <f>AVERAGE(I229:J229)</f>
        <v>0</v>
      </c>
      <c r="L229" s="56" t="str">
        <f>"EQP-LAWPACK1"</f>
        <v>EQP-LAWPACK1</v>
      </c>
      <c r="M229" s="14"/>
      <c r="N229" s="15"/>
      <c r="O229" s="12"/>
      <c r="P229" s="34"/>
      <c r="Q229" s="37"/>
      <c r="R229" s="47"/>
      <c r="S229" s="46"/>
    </row>
    <row r="230" spans="1:19" ht="15.6" hidden="1" customHeight="1" thickBot="1" x14ac:dyDescent="0.3">
      <c r="A230" t="s">
        <v>23</v>
      </c>
      <c r="B230" s="60" t="str">
        <f t="shared" ref="B230:B232" si="157">IF(K230=0,"hide","")</f>
        <v>hide</v>
      </c>
      <c r="D230" s="48" t="str">
        <f>D229</f>
        <v>02151</v>
      </c>
      <c r="E230" s="7"/>
      <c r="F230" s="27">
        <v>0</v>
      </c>
      <c r="G230" s="27">
        <v>0</v>
      </c>
      <c r="H230" s="27">
        <v>0</v>
      </c>
      <c r="I230" s="27">
        <v>0</v>
      </c>
      <c r="J230" s="27">
        <v>0</v>
      </c>
      <c r="K230" s="63">
        <f>AVERAGE(I230:J230)</f>
        <v>0</v>
      </c>
      <c r="L230" s="56" t="str">
        <f>"EQP-LAWPACK2"</f>
        <v>EQP-LAWPACK2</v>
      </c>
      <c r="M230" s="14"/>
      <c r="N230" s="15"/>
      <c r="O230" s="12"/>
      <c r="P230" s="34"/>
      <c r="Q230" s="37"/>
      <c r="R230" s="47"/>
      <c r="S230" s="46"/>
    </row>
    <row r="231" spans="1:19" ht="15.6" hidden="1" customHeight="1" thickBot="1" x14ac:dyDescent="0.3">
      <c r="A231" t="s">
        <v>23</v>
      </c>
      <c r="B231" s="60" t="str">
        <f t="shared" si="157"/>
        <v>hide</v>
      </c>
      <c r="D231" s="48" t="str">
        <f>D230</f>
        <v>02151</v>
      </c>
      <c r="E231" s="7"/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63">
        <f>AVERAGE(I231:J231)</f>
        <v>0</v>
      </c>
      <c r="L231" s="56" t="str">
        <f>"SW-COMAS-PACKL"</f>
        <v>SW-COMAS-PACKL</v>
      </c>
      <c r="M231" s="14"/>
      <c r="N231" s="15"/>
      <c r="O231" s="12"/>
      <c r="P231" s="34"/>
      <c r="Q231" s="37"/>
      <c r="R231" s="47"/>
      <c r="S231" s="46"/>
    </row>
    <row r="232" spans="1:19" ht="15.6" hidden="1" customHeight="1" thickBot="1" x14ac:dyDescent="0.3">
      <c r="A232" t="s">
        <v>23</v>
      </c>
      <c r="B232" s="60" t="str">
        <f t="shared" si="157"/>
        <v>hide</v>
      </c>
      <c r="D232" s="48" t="str">
        <f>D231</f>
        <v>02151</v>
      </c>
      <c r="E232" s="7"/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63">
        <f>AVERAGE(I232:J232)</f>
        <v>0</v>
      </c>
      <c r="L232" s="56" t="str">
        <f>"SW-RISER-PACK"</f>
        <v>SW-RISER-PACK</v>
      </c>
      <c r="M232" s="14"/>
      <c r="N232" s="15"/>
      <c r="O232" s="12"/>
      <c r="P232" s="34"/>
      <c r="Q232" s="37"/>
      <c r="R232" s="47"/>
      <c r="S232" s="46"/>
    </row>
    <row r="233" spans="1:19" ht="12" hidden="1" customHeight="1" x14ac:dyDescent="0.3">
      <c r="A233" s="35" t="s">
        <v>908</v>
      </c>
      <c r="B233" s="49" t="str">
        <f>B229</f>
        <v>hide</v>
      </c>
      <c r="N233"/>
      <c r="Q233" s="33"/>
    </row>
    <row r="234" spans="1:19" ht="13.8" hidden="1" thickBot="1" x14ac:dyDescent="0.3">
      <c r="A234" t="s">
        <v>23</v>
      </c>
      <c r="B234" s="49" t="str">
        <f t="shared" ref="B234" si="158">B233</f>
        <v>hide</v>
      </c>
      <c r="D234" s="58"/>
      <c r="E234" s="58"/>
      <c r="F234" s="52">
        <f>SUM(F229:F233)</f>
        <v>0</v>
      </c>
      <c r="G234" s="52">
        <f>SUM(G229:G233)</f>
        <v>0</v>
      </c>
      <c r="H234" s="52">
        <f>SUM(H229:H233)</f>
        <v>0</v>
      </c>
      <c r="I234" s="52">
        <f>SUM(I229:I233)</f>
        <v>0</v>
      </c>
      <c r="J234" s="52">
        <f>SUM(J229:J233)</f>
        <v>0</v>
      </c>
      <c r="K234" s="52"/>
      <c r="L234" s="51" t="s">
        <v>4</v>
      </c>
      <c r="M234" s="58"/>
      <c r="N234" s="58"/>
      <c r="O234" s="58"/>
      <c r="P234" s="58"/>
      <c r="Q234" s="58"/>
      <c r="R234" s="58"/>
      <c r="S234" s="58"/>
    </row>
    <row r="235" spans="1:19" s="59" customFormat="1" ht="18.75" hidden="1" customHeight="1" thickBot="1" x14ac:dyDescent="0.3">
      <c r="A235" s="59" t="s">
        <v>23</v>
      </c>
      <c r="B235" s="60" t="str">
        <f t="shared" ref="B235:B236" si="159">IF(K235=0,"hide","")</f>
        <v>hide</v>
      </c>
      <c r="D235" s="61" t="str">
        <f>"02166"</f>
        <v>02166</v>
      </c>
      <c r="E235" s="62" t="str">
        <f>"4"</f>
        <v>4</v>
      </c>
      <c r="F235" s="63">
        <v>0</v>
      </c>
      <c r="G235" s="63">
        <v>0</v>
      </c>
      <c r="H235" s="63">
        <v>0</v>
      </c>
      <c r="I235" s="63">
        <v>0</v>
      </c>
      <c r="J235" s="63">
        <v>0</v>
      </c>
      <c r="K235" s="63">
        <f>AVERAGE(I235:J235)</f>
        <v>0</v>
      </c>
      <c r="L235" s="64" t="str">
        <f>"APPLE CINN. (LOW FAT) MUFFINS"</f>
        <v>APPLE CINN. (LOW FAT) MUFFINS</v>
      </c>
      <c r="M235" s="65" t="str">
        <f>"96-2 oz. I.W."</f>
        <v>96-2 oz. I.W.</v>
      </c>
      <c r="N235" s="66">
        <v>96</v>
      </c>
      <c r="O235" s="67" t="str">
        <f>""</f>
        <v/>
      </c>
      <c r="P235" s="68" t="e">
        <f>1/O235</f>
        <v>#VALUE!</v>
      </c>
      <c r="Q235" s="53">
        <v>1</v>
      </c>
      <c r="R235" s="69">
        <f t="shared" ref="R235" si="160">1/Q235</f>
        <v>1</v>
      </c>
      <c r="S235" s="70">
        <f t="shared" ref="S235" si="161">R235*N235</f>
        <v>96</v>
      </c>
    </row>
    <row r="236" spans="1:19" ht="15.6" hidden="1" customHeight="1" thickBot="1" x14ac:dyDescent="0.3">
      <c r="A236" t="s">
        <v>23</v>
      </c>
      <c r="B236" s="60" t="str">
        <f t="shared" si="159"/>
        <v>hide</v>
      </c>
      <c r="D236" s="48" t="str">
        <f>D235</f>
        <v>02166</v>
      </c>
      <c r="E236" s="7"/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63">
        <f>AVERAGE(I236:J236)</f>
        <v>0</v>
      </c>
      <c r="L236" s="56" t="str">
        <f>"EQP-LAWPACK1"</f>
        <v>EQP-LAWPACK1</v>
      </c>
      <c r="M236" s="14"/>
      <c r="N236" s="15"/>
      <c r="O236" s="12"/>
      <c r="P236" s="34"/>
      <c r="Q236" s="37"/>
      <c r="R236" s="47"/>
      <c r="S236" s="46"/>
    </row>
    <row r="237" spans="1:19" ht="15.6" hidden="1" customHeight="1" thickBot="1" x14ac:dyDescent="0.3">
      <c r="A237" t="s">
        <v>23</v>
      </c>
      <c r="B237" s="60" t="str">
        <f t="shared" ref="B237:B239" si="162">IF(K237=0,"hide","")</f>
        <v>hide</v>
      </c>
      <c r="D237" s="48" t="str">
        <f>D236</f>
        <v>02166</v>
      </c>
      <c r="E237" s="7"/>
      <c r="F237" s="27">
        <v>0</v>
      </c>
      <c r="G237" s="27">
        <v>0</v>
      </c>
      <c r="H237" s="27">
        <v>0</v>
      </c>
      <c r="I237" s="27">
        <v>0</v>
      </c>
      <c r="J237" s="27">
        <v>0</v>
      </c>
      <c r="K237" s="63">
        <f>AVERAGE(I237:J237)</f>
        <v>0</v>
      </c>
      <c r="L237" s="56" t="str">
        <f>"EQP-LAWPACK2"</f>
        <v>EQP-LAWPACK2</v>
      </c>
      <c r="M237" s="14"/>
      <c r="N237" s="15"/>
      <c r="O237" s="12"/>
      <c r="P237" s="34"/>
      <c r="Q237" s="37"/>
      <c r="R237" s="47"/>
      <c r="S237" s="46"/>
    </row>
    <row r="238" spans="1:19" ht="15.6" hidden="1" customHeight="1" thickBot="1" x14ac:dyDescent="0.3">
      <c r="A238" t="s">
        <v>23</v>
      </c>
      <c r="B238" s="60" t="str">
        <f t="shared" si="162"/>
        <v>hide</v>
      </c>
      <c r="D238" s="48" t="str">
        <f>D237</f>
        <v>02166</v>
      </c>
      <c r="E238" s="7"/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63">
        <f>AVERAGE(I238:J238)</f>
        <v>0</v>
      </c>
      <c r="L238" s="56" t="str">
        <f>"SW-COMAS-PACKL"</f>
        <v>SW-COMAS-PACKL</v>
      </c>
      <c r="M238" s="14"/>
      <c r="N238" s="15"/>
      <c r="O238" s="12"/>
      <c r="P238" s="34"/>
      <c r="Q238" s="37"/>
      <c r="R238" s="47"/>
      <c r="S238" s="46"/>
    </row>
    <row r="239" spans="1:19" ht="15.6" hidden="1" customHeight="1" thickBot="1" x14ac:dyDescent="0.3">
      <c r="A239" t="s">
        <v>23</v>
      </c>
      <c r="B239" s="60" t="str">
        <f t="shared" si="162"/>
        <v>hide</v>
      </c>
      <c r="D239" s="48" t="str">
        <f>D238</f>
        <v>02166</v>
      </c>
      <c r="E239" s="7"/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63">
        <f>AVERAGE(I239:J239)</f>
        <v>0</v>
      </c>
      <c r="L239" s="56" t="str">
        <f>"SW-RISER-PACK"</f>
        <v>SW-RISER-PACK</v>
      </c>
      <c r="M239" s="14"/>
      <c r="N239" s="15"/>
      <c r="O239" s="12"/>
      <c r="P239" s="34"/>
      <c r="Q239" s="37"/>
      <c r="R239" s="47"/>
      <c r="S239" s="46"/>
    </row>
    <row r="240" spans="1:19" ht="12" hidden="1" customHeight="1" x14ac:dyDescent="0.3">
      <c r="A240" s="35" t="s">
        <v>908</v>
      </c>
      <c r="B240" s="49" t="str">
        <f>B236</f>
        <v>hide</v>
      </c>
      <c r="N240"/>
      <c r="Q240" s="33"/>
    </row>
    <row r="241" spans="1:19" ht="13.8" hidden="1" thickBot="1" x14ac:dyDescent="0.3">
      <c r="A241" t="s">
        <v>23</v>
      </c>
      <c r="B241" s="49" t="str">
        <f t="shared" ref="B241" si="163">B240</f>
        <v>hide</v>
      </c>
      <c r="D241" s="58"/>
      <c r="E241" s="58"/>
      <c r="F241" s="52">
        <f>SUM(F236:F240)</f>
        <v>0</v>
      </c>
      <c r="G241" s="52">
        <f>SUM(G236:G240)</f>
        <v>0</v>
      </c>
      <c r="H241" s="52">
        <f>SUM(H236:H240)</f>
        <v>0</v>
      </c>
      <c r="I241" s="52">
        <f>SUM(I236:I240)</f>
        <v>0</v>
      </c>
      <c r="J241" s="52">
        <f>SUM(J236:J240)</f>
        <v>0</v>
      </c>
      <c r="K241" s="52"/>
      <c r="L241" s="51" t="s">
        <v>4</v>
      </c>
      <c r="M241" s="58"/>
      <c r="N241" s="58"/>
      <c r="O241" s="58"/>
      <c r="P241" s="58"/>
      <c r="Q241" s="58"/>
      <c r="R241" s="58"/>
      <c r="S241" s="58"/>
    </row>
    <row r="242" spans="1:19" s="59" customFormat="1" ht="18.75" hidden="1" customHeight="1" thickBot="1" x14ac:dyDescent="0.3">
      <c r="A242" s="59" t="s">
        <v>23</v>
      </c>
      <c r="B242" s="60" t="str">
        <f t="shared" ref="B242:B243" si="164">IF(K242=0,"hide","")</f>
        <v>hide</v>
      </c>
      <c r="D242" s="61" t="str">
        <f>"02201"</f>
        <v>02201</v>
      </c>
      <c r="E242" s="62" t="str">
        <f>"1"</f>
        <v>1</v>
      </c>
      <c r="F242" s="63">
        <v>0</v>
      </c>
      <c r="G242" s="63">
        <v>0</v>
      </c>
      <c r="H242" s="63">
        <v>5</v>
      </c>
      <c r="I242" s="63">
        <v>0</v>
      </c>
      <c r="J242" s="63">
        <v>0</v>
      </c>
      <c r="K242" s="63">
        <f>AVERAGE(I242:J242)</f>
        <v>0</v>
      </c>
      <c r="L242" s="64" t="str">
        <f>"Blueberry Muffins"</f>
        <v>Blueberry Muffins</v>
      </c>
      <c r="M242" s="65" t="str">
        <f>"96-2 oz. I.W."</f>
        <v>96-2 oz. I.W.</v>
      </c>
      <c r="N242" s="66">
        <v>96</v>
      </c>
      <c r="O242" s="67" t="str">
        <f>""</f>
        <v/>
      </c>
      <c r="P242" s="68" t="e">
        <f>1/O242</f>
        <v>#VALUE!</v>
      </c>
      <c r="Q242" s="53">
        <v>1</v>
      </c>
      <c r="R242" s="69">
        <f t="shared" ref="R242" si="165">1/Q242</f>
        <v>1</v>
      </c>
      <c r="S242" s="70">
        <f t="shared" ref="S242" si="166">R242*N242</f>
        <v>96</v>
      </c>
    </row>
    <row r="243" spans="1:19" ht="15.6" hidden="1" customHeight="1" thickBot="1" x14ac:dyDescent="0.3">
      <c r="A243" t="s">
        <v>23</v>
      </c>
      <c r="B243" s="60" t="str">
        <f t="shared" si="164"/>
        <v>hide</v>
      </c>
      <c r="D243" s="48" t="str">
        <f>D242</f>
        <v>02201</v>
      </c>
      <c r="E243" s="7"/>
      <c r="F243" s="27">
        <v>0</v>
      </c>
      <c r="G243" s="27">
        <v>0</v>
      </c>
      <c r="H243" s="27">
        <v>0</v>
      </c>
      <c r="I243" s="27">
        <v>0</v>
      </c>
      <c r="J243" s="27">
        <v>0</v>
      </c>
      <c r="K243" s="63">
        <f>AVERAGE(I243:J243)</f>
        <v>0</v>
      </c>
      <c r="L243" s="56" t="str">
        <f>"EQP-LAWPACK1"</f>
        <v>EQP-LAWPACK1</v>
      </c>
      <c r="M243" s="14"/>
      <c r="N243" s="15"/>
      <c r="O243" s="12"/>
      <c r="P243" s="34"/>
      <c r="Q243" s="37"/>
      <c r="R243" s="47"/>
      <c r="S243" s="46"/>
    </row>
    <row r="244" spans="1:19" ht="15.6" hidden="1" customHeight="1" thickBot="1" x14ac:dyDescent="0.3">
      <c r="A244" t="s">
        <v>23</v>
      </c>
      <c r="B244" s="60" t="str">
        <f t="shared" ref="B244:B246" si="167">IF(K244=0,"hide","")</f>
        <v>hide</v>
      </c>
      <c r="D244" s="48" t="str">
        <f>D243</f>
        <v>02201</v>
      </c>
      <c r="E244" s="7"/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63">
        <f>AVERAGE(I244:J244)</f>
        <v>0</v>
      </c>
      <c r="L244" s="56" t="str">
        <f>"EQP-LAWPACK2"</f>
        <v>EQP-LAWPACK2</v>
      </c>
      <c r="M244" s="14"/>
      <c r="N244" s="15"/>
      <c r="O244" s="12"/>
      <c r="P244" s="34"/>
      <c r="Q244" s="37"/>
      <c r="R244" s="47"/>
      <c r="S244" s="46"/>
    </row>
    <row r="245" spans="1:19" ht="15.6" hidden="1" customHeight="1" thickBot="1" x14ac:dyDescent="0.3">
      <c r="A245" t="s">
        <v>23</v>
      </c>
      <c r="B245" s="60" t="str">
        <f t="shared" si="167"/>
        <v>hide</v>
      </c>
      <c r="D245" s="48" t="str">
        <f>D244</f>
        <v>02201</v>
      </c>
      <c r="E245" s="7"/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63">
        <f>AVERAGE(I245:J245)</f>
        <v>0</v>
      </c>
      <c r="L245" s="56" t="str">
        <f>"SW-COMAS-PACKL"</f>
        <v>SW-COMAS-PACKL</v>
      </c>
      <c r="M245" s="14"/>
      <c r="N245" s="15"/>
      <c r="O245" s="12"/>
      <c r="P245" s="34"/>
      <c r="Q245" s="37"/>
      <c r="R245" s="47"/>
      <c r="S245" s="46"/>
    </row>
    <row r="246" spans="1:19" ht="15.6" hidden="1" customHeight="1" thickBot="1" x14ac:dyDescent="0.3">
      <c r="A246" t="s">
        <v>23</v>
      </c>
      <c r="B246" s="60" t="str">
        <f t="shared" si="167"/>
        <v>hide</v>
      </c>
      <c r="D246" s="48" t="str">
        <f>D245</f>
        <v>02201</v>
      </c>
      <c r="E246" s="7"/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63">
        <f>AVERAGE(I246:J246)</f>
        <v>0</v>
      </c>
      <c r="L246" s="56" t="str">
        <f>"SW-RISER-PACK"</f>
        <v>SW-RISER-PACK</v>
      </c>
      <c r="M246" s="14"/>
      <c r="N246" s="15"/>
      <c r="O246" s="12"/>
      <c r="P246" s="34"/>
      <c r="Q246" s="37"/>
      <c r="R246" s="47"/>
      <c r="S246" s="46"/>
    </row>
    <row r="247" spans="1:19" ht="12" hidden="1" customHeight="1" x14ac:dyDescent="0.3">
      <c r="A247" s="35" t="s">
        <v>908</v>
      </c>
      <c r="B247" s="49" t="str">
        <f>B243</f>
        <v>hide</v>
      </c>
      <c r="N247"/>
      <c r="Q247" s="33"/>
    </row>
    <row r="248" spans="1:19" ht="13.8" hidden="1" thickBot="1" x14ac:dyDescent="0.3">
      <c r="A248" t="s">
        <v>23</v>
      </c>
      <c r="B248" s="49" t="str">
        <f t="shared" ref="B248" si="168">B247</f>
        <v>hide</v>
      </c>
      <c r="D248" s="58"/>
      <c r="E248" s="58"/>
      <c r="F248" s="52">
        <f>SUM(F243:F247)</f>
        <v>0</v>
      </c>
      <c r="G248" s="52">
        <f>SUM(G243:G247)</f>
        <v>0</v>
      </c>
      <c r="H248" s="52">
        <f>SUM(H243:H247)</f>
        <v>0</v>
      </c>
      <c r="I248" s="52">
        <f>SUM(I243:I247)</f>
        <v>0</v>
      </c>
      <c r="J248" s="52">
        <f>SUM(J243:J247)</f>
        <v>0</v>
      </c>
      <c r="K248" s="52"/>
      <c r="L248" s="51" t="s">
        <v>4</v>
      </c>
      <c r="M248" s="58"/>
      <c r="N248" s="58"/>
      <c r="O248" s="58"/>
      <c r="P248" s="58"/>
      <c r="Q248" s="58"/>
      <c r="R248" s="58"/>
      <c r="S248" s="58"/>
    </row>
    <row r="249" spans="1:19" s="59" customFormat="1" ht="18.75" hidden="1" customHeight="1" thickBot="1" x14ac:dyDescent="0.3">
      <c r="A249" s="59" t="s">
        <v>23</v>
      </c>
      <c r="B249" s="60" t="str">
        <f t="shared" ref="B249:B250" si="169">IF(K249=0,"hide","")</f>
        <v>hide</v>
      </c>
      <c r="D249" s="61" t="str">
        <f>"02251"</f>
        <v>02251</v>
      </c>
      <c r="E249" s="62" t="str">
        <f>"1"</f>
        <v>1</v>
      </c>
      <c r="F249" s="63">
        <v>0</v>
      </c>
      <c r="G249" s="63">
        <v>0</v>
      </c>
      <c r="H249" s="63">
        <v>4.416666666666667</v>
      </c>
      <c r="I249" s="63">
        <v>0</v>
      </c>
      <c r="J249" s="63">
        <v>0</v>
      </c>
      <c r="K249" s="63">
        <f>AVERAGE(I249:J249)</f>
        <v>0</v>
      </c>
      <c r="L249" s="64" t="str">
        <f>"Banana Muffin"</f>
        <v>Banana Muffin</v>
      </c>
      <c r="M249" s="65" t="str">
        <f>"96-2 oz. I.W."</f>
        <v>96-2 oz. I.W.</v>
      </c>
      <c r="N249" s="66">
        <v>96</v>
      </c>
      <c r="O249" s="67" t="str">
        <f>""</f>
        <v/>
      </c>
      <c r="P249" s="68" t="e">
        <f>1/O249</f>
        <v>#VALUE!</v>
      </c>
      <c r="Q249" s="53">
        <v>1</v>
      </c>
      <c r="R249" s="69">
        <f t="shared" ref="R249" si="170">1/Q249</f>
        <v>1</v>
      </c>
      <c r="S249" s="70">
        <f t="shared" ref="S249" si="171">R249*N249</f>
        <v>96</v>
      </c>
    </row>
    <row r="250" spans="1:19" ht="15.6" hidden="1" customHeight="1" thickBot="1" x14ac:dyDescent="0.3">
      <c r="A250" t="s">
        <v>23</v>
      </c>
      <c r="B250" s="60" t="str">
        <f t="shared" si="169"/>
        <v>hide</v>
      </c>
      <c r="D250" s="48" t="str">
        <f>D249</f>
        <v>02251</v>
      </c>
      <c r="E250" s="7"/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63">
        <f>AVERAGE(I250:J250)</f>
        <v>0</v>
      </c>
      <c r="L250" s="56" t="str">
        <f>"EQP-LAWPACK1"</f>
        <v>EQP-LAWPACK1</v>
      </c>
      <c r="M250" s="14"/>
      <c r="N250" s="15"/>
      <c r="O250" s="12"/>
      <c r="P250" s="34"/>
      <c r="Q250" s="37"/>
      <c r="R250" s="47"/>
      <c r="S250" s="46"/>
    </row>
    <row r="251" spans="1:19" ht="15.6" hidden="1" customHeight="1" thickBot="1" x14ac:dyDescent="0.3">
      <c r="A251" t="s">
        <v>23</v>
      </c>
      <c r="B251" s="60" t="str">
        <f t="shared" ref="B251:B253" si="172">IF(K251=0,"hide","")</f>
        <v>hide</v>
      </c>
      <c r="D251" s="48" t="str">
        <f>D250</f>
        <v>02251</v>
      </c>
      <c r="E251" s="7"/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63">
        <f>AVERAGE(I251:J251)</f>
        <v>0</v>
      </c>
      <c r="L251" s="56" t="str">
        <f>"EQP-LAWPACK2"</f>
        <v>EQP-LAWPACK2</v>
      </c>
      <c r="M251" s="14"/>
      <c r="N251" s="15"/>
      <c r="O251" s="12"/>
      <c r="P251" s="34"/>
      <c r="Q251" s="37"/>
      <c r="R251" s="47"/>
      <c r="S251" s="46"/>
    </row>
    <row r="252" spans="1:19" ht="15.6" hidden="1" customHeight="1" thickBot="1" x14ac:dyDescent="0.3">
      <c r="A252" t="s">
        <v>23</v>
      </c>
      <c r="B252" s="60" t="str">
        <f t="shared" si="172"/>
        <v>hide</v>
      </c>
      <c r="D252" s="48" t="str">
        <f>D251</f>
        <v>02251</v>
      </c>
      <c r="E252" s="7"/>
      <c r="F252" s="27">
        <v>0</v>
      </c>
      <c r="G252" s="27">
        <v>0</v>
      </c>
      <c r="H252" s="27">
        <v>0</v>
      </c>
      <c r="I252" s="27">
        <v>0</v>
      </c>
      <c r="J252" s="27">
        <v>0</v>
      </c>
      <c r="K252" s="63">
        <f>AVERAGE(I252:J252)</f>
        <v>0</v>
      </c>
      <c r="L252" s="56" t="str">
        <f>"SW-COMAS-PACKL"</f>
        <v>SW-COMAS-PACKL</v>
      </c>
      <c r="M252" s="14"/>
      <c r="N252" s="15"/>
      <c r="O252" s="12"/>
      <c r="P252" s="34"/>
      <c r="Q252" s="37"/>
      <c r="R252" s="47"/>
      <c r="S252" s="46"/>
    </row>
    <row r="253" spans="1:19" ht="15.6" hidden="1" customHeight="1" thickBot="1" x14ac:dyDescent="0.3">
      <c r="A253" t="s">
        <v>23</v>
      </c>
      <c r="B253" s="60" t="str">
        <f t="shared" si="172"/>
        <v>hide</v>
      </c>
      <c r="D253" s="48" t="str">
        <f>D252</f>
        <v>02251</v>
      </c>
      <c r="E253" s="7"/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63">
        <f>AVERAGE(I253:J253)</f>
        <v>0</v>
      </c>
      <c r="L253" s="56" t="str">
        <f>"SW-RISER-PACK"</f>
        <v>SW-RISER-PACK</v>
      </c>
      <c r="M253" s="14"/>
      <c r="N253" s="15"/>
      <c r="O253" s="12"/>
      <c r="P253" s="34"/>
      <c r="Q253" s="37"/>
      <c r="R253" s="47"/>
      <c r="S253" s="46"/>
    </row>
    <row r="254" spans="1:19" ht="12" hidden="1" customHeight="1" x14ac:dyDescent="0.3">
      <c r="A254" s="35" t="s">
        <v>908</v>
      </c>
      <c r="B254" s="49" t="str">
        <f>B250</f>
        <v>hide</v>
      </c>
      <c r="N254"/>
      <c r="Q254" s="33"/>
    </row>
    <row r="255" spans="1:19" ht="13.8" hidden="1" thickBot="1" x14ac:dyDescent="0.3">
      <c r="A255" t="s">
        <v>23</v>
      </c>
      <c r="B255" s="49" t="str">
        <f t="shared" ref="B255" si="173">B254</f>
        <v>hide</v>
      </c>
      <c r="D255" s="58"/>
      <c r="E255" s="58"/>
      <c r="F255" s="52">
        <f>SUM(F250:F254)</f>
        <v>0</v>
      </c>
      <c r="G255" s="52">
        <f>SUM(G250:G254)</f>
        <v>0</v>
      </c>
      <c r="H255" s="52">
        <f>SUM(H250:H254)</f>
        <v>0</v>
      </c>
      <c r="I255" s="52">
        <f>SUM(I250:I254)</f>
        <v>0</v>
      </c>
      <c r="J255" s="52">
        <f>SUM(J250:J254)</f>
        <v>0</v>
      </c>
      <c r="K255" s="52"/>
      <c r="L255" s="51" t="s">
        <v>4</v>
      </c>
      <c r="M255" s="58"/>
      <c r="N255" s="58"/>
      <c r="O255" s="58"/>
      <c r="P255" s="58"/>
      <c r="Q255" s="58"/>
      <c r="R255" s="58"/>
      <c r="S255" s="58"/>
    </row>
    <row r="256" spans="1:19" s="59" customFormat="1" ht="18.75" hidden="1" customHeight="1" thickBot="1" x14ac:dyDescent="0.3">
      <c r="A256" s="59" t="s">
        <v>23</v>
      </c>
      <c r="B256" s="60" t="str">
        <f t="shared" ref="B256:B257" si="174">IF(K256=0,"hide","")</f>
        <v>hide</v>
      </c>
      <c r="D256" s="61" t="str">
        <f>"02501"</f>
        <v>02501</v>
      </c>
      <c r="E256" s="62" t="str">
        <f>"1"</f>
        <v>1</v>
      </c>
      <c r="F256" s="63">
        <v>0</v>
      </c>
      <c r="G256" s="63">
        <v>0</v>
      </c>
      <c r="H256" s="63">
        <v>0</v>
      </c>
      <c r="I256" s="63">
        <v>0</v>
      </c>
      <c r="J256" s="63">
        <v>0</v>
      </c>
      <c r="K256" s="63">
        <f>AVERAGE(I256:J256)</f>
        <v>0</v>
      </c>
      <c r="L256" s="64" t="str">
        <f>""</f>
        <v/>
      </c>
      <c r="M256" s="65" t="str">
        <f>""</f>
        <v/>
      </c>
      <c r="N256" s="66" t="str">
        <f>""</f>
        <v/>
      </c>
      <c r="O256" s="67" t="str">
        <f>""</f>
        <v/>
      </c>
      <c r="P256" s="68" t="e">
        <f>1/O256</f>
        <v>#VALUE!</v>
      </c>
      <c r="Q256" s="53">
        <v>1</v>
      </c>
      <c r="R256" s="69">
        <f t="shared" ref="R256" si="175">1/Q256</f>
        <v>1</v>
      </c>
      <c r="S256" s="70" t="e">
        <f t="shared" ref="S256" si="176">R256*N256</f>
        <v>#VALUE!</v>
      </c>
    </row>
    <row r="257" spans="1:19" ht="15.6" hidden="1" customHeight="1" thickBot="1" x14ac:dyDescent="0.3">
      <c r="A257" t="s">
        <v>23</v>
      </c>
      <c r="B257" s="60" t="str">
        <f t="shared" si="174"/>
        <v>hide</v>
      </c>
      <c r="D257" s="48" t="str">
        <f>D256</f>
        <v>02501</v>
      </c>
      <c r="E257" s="7"/>
      <c r="F257" s="27">
        <v>0</v>
      </c>
      <c r="G257" s="27">
        <v>0</v>
      </c>
      <c r="H257" s="27">
        <v>0</v>
      </c>
      <c r="I257" s="27">
        <v>0</v>
      </c>
      <c r="J257" s="27">
        <v>0</v>
      </c>
      <c r="K257" s="63">
        <f>AVERAGE(I257:J257)</f>
        <v>0</v>
      </c>
      <c r="L257" s="56" t="str">
        <f>"EQP-LAWPACK1"</f>
        <v>EQP-LAWPACK1</v>
      </c>
      <c r="M257" s="14"/>
      <c r="N257" s="15"/>
      <c r="O257" s="12"/>
      <c r="P257" s="34"/>
      <c r="Q257" s="37"/>
      <c r="R257" s="47"/>
      <c r="S257" s="46"/>
    </row>
    <row r="258" spans="1:19" ht="15.6" hidden="1" customHeight="1" thickBot="1" x14ac:dyDescent="0.3">
      <c r="A258" t="s">
        <v>23</v>
      </c>
      <c r="B258" s="60" t="str">
        <f t="shared" ref="B258:B260" si="177">IF(K258=0,"hide","")</f>
        <v>hide</v>
      </c>
      <c r="D258" s="48" t="str">
        <f>D257</f>
        <v>02501</v>
      </c>
      <c r="E258" s="7"/>
      <c r="F258" s="27">
        <v>0</v>
      </c>
      <c r="G258" s="27">
        <v>0</v>
      </c>
      <c r="H258" s="27">
        <v>0</v>
      </c>
      <c r="I258" s="27">
        <v>0</v>
      </c>
      <c r="J258" s="27">
        <v>0</v>
      </c>
      <c r="K258" s="63">
        <f>AVERAGE(I258:J258)</f>
        <v>0</v>
      </c>
      <c r="L258" s="56" t="str">
        <f>"EQP-LAWPACK2"</f>
        <v>EQP-LAWPACK2</v>
      </c>
      <c r="M258" s="14"/>
      <c r="N258" s="15"/>
      <c r="O258" s="12"/>
      <c r="P258" s="34"/>
      <c r="Q258" s="37"/>
      <c r="R258" s="47"/>
      <c r="S258" s="46"/>
    </row>
    <row r="259" spans="1:19" ht="15.6" hidden="1" customHeight="1" thickBot="1" x14ac:dyDescent="0.3">
      <c r="A259" t="s">
        <v>23</v>
      </c>
      <c r="B259" s="60" t="str">
        <f t="shared" si="177"/>
        <v>hide</v>
      </c>
      <c r="D259" s="48" t="str">
        <f>D258</f>
        <v>02501</v>
      </c>
      <c r="E259" s="7"/>
      <c r="F259" s="27">
        <v>0</v>
      </c>
      <c r="G259" s="27">
        <v>0</v>
      </c>
      <c r="H259" s="27">
        <v>0</v>
      </c>
      <c r="I259" s="27">
        <v>0</v>
      </c>
      <c r="J259" s="27">
        <v>0</v>
      </c>
      <c r="K259" s="63">
        <f>AVERAGE(I259:J259)</f>
        <v>0</v>
      </c>
      <c r="L259" s="56" t="str">
        <f>"SW-COMAS-PACKL"</f>
        <v>SW-COMAS-PACKL</v>
      </c>
      <c r="M259" s="14"/>
      <c r="N259" s="15"/>
      <c r="O259" s="12"/>
      <c r="P259" s="34"/>
      <c r="Q259" s="37"/>
      <c r="R259" s="47"/>
      <c r="S259" s="46"/>
    </row>
    <row r="260" spans="1:19" ht="15.6" hidden="1" customHeight="1" thickBot="1" x14ac:dyDescent="0.3">
      <c r="A260" t="s">
        <v>23</v>
      </c>
      <c r="B260" s="60" t="str">
        <f t="shared" si="177"/>
        <v>hide</v>
      </c>
      <c r="D260" s="48" t="str">
        <f>D259</f>
        <v>02501</v>
      </c>
      <c r="E260" s="7"/>
      <c r="F260" s="27">
        <v>0</v>
      </c>
      <c r="G260" s="27">
        <v>0</v>
      </c>
      <c r="H260" s="27">
        <v>0</v>
      </c>
      <c r="I260" s="27">
        <v>0</v>
      </c>
      <c r="J260" s="27">
        <v>0</v>
      </c>
      <c r="K260" s="63">
        <f>AVERAGE(I260:J260)</f>
        <v>0</v>
      </c>
      <c r="L260" s="56" t="str">
        <f>"SW-RISER-PACK"</f>
        <v>SW-RISER-PACK</v>
      </c>
      <c r="M260" s="14"/>
      <c r="N260" s="15"/>
      <c r="O260" s="12"/>
      <c r="P260" s="34"/>
      <c r="Q260" s="37"/>
      <c r="R260" s="47"/>
      <c r="S260" s="46"/>
    </row>
    <row r="261" spans="1:19" ht="12" hidden="1" customHeight="1" x14ac:dyDescent="0.3">
      <c r="A261" s="35" t="s">
        <v>908</v>
      </c>
      <c r="B261" s="49" t="str">
        <f>B257</f>
        <v>hide</v>
      </c>
      <c r="N261"/>
      <c r="Q261" s="33"/>
    </row>
    <row r="262" spans="1:19" ht="13.8" hidden="1" thickBot="1" x14ac:dyDescent="0.3">
      <c r="A262" t="s">
        <v>23</v>
      </c>
      <c r="B262" s="49" t="str">
        <f t="shared" ref="B262" si="178">B261</f>
        <v>hide</v>
      </c>
      <c r="D262" s="58"/>
      <c r="E262" s="58"/>
      <c r="F262" s="52">
        <f>SUM(F257:F261)</f>
        <v>0</v>
      </c>
      <c r="G262" s="52">
        <f>SUM(G257:G261)</f>
        <v>0</v>
      </c>
      <c r="H262" s="52">
        <f>SUM(H257:H261)</f>
        <v>0</v>
      </c>
      <c r="I262" s="52">
        <f>SUM(I257:I261)</f>
        <v>0</v>
      </c>
      <c r="J262" s="52">
        <f>SUM(J257:J261)</f>
        <v>0</v>
      </c>
      <c r="K262" s="52"/>
      <c r="L262" s="51" t="s">
        <v>4</v>
      </c>
      <c r="M262" s="58"/>
      <c r="N262" s="58"/>
      <c r="O262" s="58"/>
      <c r="P262" s="58"/>
      <c r="Q262" s="58"/>
      <c r="R262" s="58"/>
      <c r="S262" s="58"/>
    </row>
    <row r="263" spans="1:19" s="59" customFormat="1" ht="18.75" hidden="1" customHeight="1" thickBot="1" x14ac:dyDescent="0.3">
      <c r="A263" s="59" t="s">
        <v>23</v>
      </c>
      <c r="B263" s="60" t="str">
        <f t="shared" ref="B263:B264" si="179">IF(K263=0,"hide","")</f>
        <v>hide</v>
      </c>
      <c r="D263" s="61" t="str">
        <f>"02503"</f>
        <v>02503</v>
      </c>
      <c r="E263" s="62" t="str">
        <f>"1"</f>
        <v>1</v>
      </c>
      <c r="F263" s="63">
        <v>0</v>
      </c>
      <c r="G263" s="63">
        <v>0</v>
      </c>
      <c r="H263" s="63">
        <v>0</v>
      </c>
      <c r="I263" s="63">
        <v>0</v>
      </c>
      <c r="J263" s="63">
        <v>0</v>
      </c>
      <c r="K263" s="63">
        <f>AVERAGE(I263:J263)</f>
        <v>0</v>
      </c>
      <c r="L263" s="64" t="str">
        <f>""</f>
        <v/>
      </c>
      <c r="M263" s="65" t="str">
        <f>""</f>
        <v/>
      </c>
      <c r="N263" s="66" t="str">
        <f>""</f>
        <v/>
      </c>
      <c r="O263" s="67" t="str">
        <f>""</f>
        <v/>
      </c>
      <c r="P263" s="68" t="e">
        <f>1/O263</f>
        <v>#VALUE!</v>
      </c>
      <c r="Q263" s="53">
        <v>1</v>
      </c>
      <c r="R263" s="69">
        <f t="shared" ref="R263" si="180">1/Q263</f>
        <v>1</v>
      </c>
      <c r="S263" s="70" t="e">
        <f t="shared" ref="S263" si="181">R263*N263</f>
        <v>#VALUE!</v>
      </c>
    </row>
    <row r="264" spans="1:19" ht="15.6" hidden="1" customHeight="1" thickBot="1" x14ac:dyDescent="0.3">
      <c r="A264" t="s">
        <v>23</v>
      </c>
      <c r="B264" s="60" t="str">
        <f t="shared" si="179"/>
        <v>hide</v>
      </c>
      <c r="D264" s="48" t="str">
        <f>D263</f>
        <v>02503</v>
      </c>
      <c r="E264" s="7"/>
      <c r="F264" s="27">
        <v>0</v>
      </c>
      <c r="G264" s="27">
        <v>0</v>
      </c>
      <c r="H264" s="27">
        <v>0</v>
      </c>
      <c r="I264" s="27">
        <v>0</v>
      </c>
      <c r="J264" s="27">
        <v>0</v>
      </c>
      <c r="K264" s="63">
        <f>AVERAGE(I264:J264)</f>
        <v>0</v>
      </c>
      <c r="L264" s="56" t="str">
        <f>"EQP-LAWPACK1"</f>
        <v>EQP-LAWPACK1</v>
      </c>
      <c r="M264" s="14"/>
      <c r="N264" s="15"/>
      <c r="O264" s="12"/>
      <c r="P264" s="34"/>
      <c r="Q264" s="37"/>
      <c r="R264" s="47"/>
      <c r="S264" s="46"/>
    </row>
    <row r="265" spans="1:19" ht="15.6" hidden="1" customHeight="1" thickBot="1" x14ac:dyDescent="0.3">
      <c r="A265" t="s">
        <v>23</v>
      </c>
      <c r="B265" s="60" t="str">
        <f t="shared" ref="B265:B267" si="182">IF(K265=0,"hide","")</f>
        <v>hide</v>
      </c>
      <c r="D265" s="48" t="str">
        <f>D264</f>
        <v>02503</v>
      </c>
      <c r="E265" s="7"/>
      <c r="F265" s="27">
        <v>0</v>
      </c>
      <c r="G265" s="27">
        <v>0</v>
      </c>
      <c r="H265" s="27">
        <v>0</v>
      </c>
      <c r="I265" s="27">
        <v>0</v>
      </c>
      <c r="J265" s="27">
        <v>0</v>
      </c>
      <c r="K265" s="63">
        <f>AVERAGE(I265:J265)</f>
        <v>0</v>
      </c>
      <c r="L265" s="56" t="str">
        <f>"EQP-LAWPACK2"</f>
        <v>EQP-LAWPACK2</v>
      </c>
      <c r="M265" s="14"/>
      <c r="N265" s="15"/>
      <c r="O265" s="12"/>
      <c r="P265" s="34"/>
      <c r="Q265" s="37"/>
      <c r="R265" s="47"/>
      <c r="S265" s="46"/>
    </row>
    <row r="266" spans="1:19" ht="15.6" hidden="1" customHeight="1" thickBot="1" x14ac:dyDescent="0.3">
      <c r="A266" t="s">
        <v>23</v>
      </c>
      <c r="B266" s="60" t="str">
        <f t="shared" si="182"/>
        <v>hide</v>
      </c>
      <c r="D266" s="48" t="str">
        <f>D265</f>
        <v>02503</v>
      </c>
      <c r="E266" s="7"/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63">
        <f>AVERAGE(I266:J266)</f>
        <v>0</v>
      </c>
      <c r="L266" s="56" t="str">
        <f>"SW-COMAS-PACKL"</f>
        <v>SW-COMAS-PACKL</v>
      </c>
      <c r="M266" s="14"/>
      <c r="N266" s="15"/>
      <c r="O266" s="12"/>
      <c r="P266" s="34"/>
      <c r="Q266" s="37"/>
      <c r="R266" s="47"/>
      <c r="S266" s="46"/>
    </row>
    <row r="267" spans="1:19" ht="15.6" hidden="1" customHeight="1" thickBot="1" x14ac:dyDescent="0.3">
      <c r="A267" t="s">
        <v>23</v>
      </c>
      <c r="B267" s="60" t="str">
        <f t="shared" si="182"/>
        <v>hide</v>
      </c>
      <c r="D267" s="48" t="str">
        <f>D266</f>
        <v>02503</v>
      </c>
      <c r="E267" s="7"/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63">
        <f>AVERAGE(I267:J267)</f>
        <v>0</v>
      </c>
      <c r="L267" s="56" t="str">
        <f>"SW-RISER-PACK"</f>
        <v>SW-RISER-PACK</v>
      </c>
      <c r="M267" s="14"/>
      <c r="N267" s="15"/>
      <c r="O267" s="12"/>
      <c r="P267" s="34"/>
      <c r="Q267" s="37"/>
      <c r="R267" s="47"/>
      <c r="S267" s="46"/>
    </row>
    <row r="268" spans="1:19" ht="12" hidden="1" customHeight="1" x14ac:dyDescent="0.3">
      <c r="A268" s="35" t="s">
        <v>908</v>
      </c>
      <c r="B268" s="49" t="str">
        <f>B264</f>
        <v>hide</v>
      </c>
      <c r="N268"/>
      <c r="Q268" s="33"/>
    </row>
    <row r="269" spans="1:19" ht="13.8" hidden="1" thickBot="1" x14ac:dyDescent="0.3">
      <c r="A269" t="s">
        <v>23</v>
      </c>
      <c r="B269" s="49" t="str">
        <f t="shared" ref="B269" si="183">B268</f>
        <v>hide</v>
      </c>
      <c r="D269" s="58"/>
      <c r="E269" s="58"/>
      <c r="F269" s="52">
        <f>SUM(F264:F268)</f>
        <v>0</v>
      </c>
      <c r="G269" s="52">
        <f>SUM(G264:G268)</f>
        <v>0</v>
      </c>
      <c r="H269" s="52">
        <f>SUM(H264:H268)</f>
        <v>0</v>
      </c>
      <c r="I269" s="52">
        <f>SUM(I264:I268)</f>
        <v>0</v>
      </c>
      <c r="J269" s="52">
        <f>SUM(J264:J268)</f>
        <v>0</v>
      </c>
      <c r="K269" s="52"/>
      <c r="L269" s="51" t="s">
        <v>4</v>
      </c>
      <c r="M269" s="58"/>
      <c r="N269" s="58"/>
      <c r="O269" s="58"/>
      <c r="P269" s="58"/>
      <c r="Q269" s="58"/>
      <c r="R269" s="58"/>
      <c r="S269" s="58"/>
    </row>
    <row r="270" spans="1:19" s="59" customFormat="1" ht="18.75" hidden="1" customHeight="1" thickBot="1" x14ac:dyDescent="0.3">
      <c r="A270" s="59" t="s">
        <v>23</v>
      </c>
      <c r="B270" s="60" t="str">
        <f t="shared" ref="B270:B271" si="184">IF(K270=0,"hide","")</f>
        <v>hide</v>
      </c>
      <c r="D270" s="61" t="str">
        <f>"02506"</f>
        <v>02506</v>
      </c>
      <c r="E270" s="62" t="str">
        <f>"1"</f>
        <v>1</v>
      </c>
      <c r="F270" s="63">
        <v>0</v>
      </c>
      <c r="G270" s="63">
        <v>0</v>
      </c>
      <c r="H270" s="63">
        <v>0</v>
      </c>
      <c r="I270" s="63">
        <v>0</v>
      </c>
      <c r="J270" s="63">
        <v>0</v>
      </c>
      <c r="K270" s="63">
        <f>AVERAGE(I270:J270)</f>
        <v>0</v>
      </c>
      <c r="L270" s="64" t="str">
        <f>""</f>
        <v/>
      </c>
      <c r="M270" s="65" t="str">
        <f>""</f>
        <v/>
      </c>
      <c r="N270" s="66" t="str">
        <f>""</f>
        <v/>
      </c>
      <c r="O270" s="67" t="str">
        <f>""</f>
        <v/>
      </c>
      <c r="P270" s="68" t="e">
        <f>1/O270</f>
        <v>#VALUE!</v>
      </c>
      <c r="Q270" s="53">
        <v>1</v>
      </c>
      <c r="R270" s="69">
        <f t="shared" ref="R270" si="185">1/Q270</f>
        <v>1</v>
      </c>
      <c r="S270" s="70" t="e">
        <f t="shared" ref="S270" si="186">R270*N270</f>
        <v>#VALUE!</v>
      </c>
    </row>
    <row r="271" spans="1:19" ht="15.6" hidden="1" customHeight="1" thickBot="1" x14ac:dyDescent="0.3">
      <c r="A271" t="s">
        <v>23</v>
      </c>
      <c r="B271" s="60" t="str">
        <f t="shared" si="184"/>
        <v>hide</v>
      </c>
      <c r="D271" s="48" t="str">
        <f>D270</f>
        <v>02506</v>
      </c>
      <c r="E271" s="7"/>
      <c r="F271" s="27">
        <v>0</v>
      </c>
      <c r="G271" s="27">
        <v>0</v>
      </c>
      <c r="H271" s="27">
        <v>0</v>
      </c>
      <c r="I271" s="27">
        <v>0</v>
      </c>
      <c r="J271" s="27">
        <v>0</v>
      </c>
      <c r="K271" s="63">
        <f>AVERAGE(I271:J271)</f>
        <v>0</v>
      </c>
      <c r="L271" s="56" t="str">
        <f>"EQP-LAWPACK1"</f>
        <v>EQP-LAWPACK1</v>
      </c>
      <c r="M271" s="14"/>
      <c r="N271" s="15"/>
      <c r="O271" s="12"/>
      <c r="P271" s="34"/>
      <c r="Q271" s="37"/>
      <c r="R271" s="47"/>
      <c r="S271" s="46"/>
    </row>
    <row r="272" spans="1:19" ht="15.6" hidden="1" customHeight="1" thickBot="1" x14ac:dyDescent="0.3">
      <c r="A272" t="s">
        <v>23</v>
      </c>
      <c r="B272" s="60" t="str">
        <f t="shared" ref="B272:B274" si="187">IF(K272=0,"hide","")</f>
        <v>hide</v>
      </c>
      <c r="D272" s="48" t="str">
        <f>D271</f>
        <v>02506</v>
      </c>
      <c r="E272" s="7"/>
      <c r="F272" s="27">
        <v>0</v>
      </c>
      <c r="G272" s="27">
        <v>0</v>
      </c>
      <c r="H272" s="27">
        <v>0</v>
      </c>
      <c r="I272" s="27">
        <v>0</v>
      </c>
      <c r="J272" s="27">
        <v>0</v>
      </c>
      <c r="K272" s="63">
        <f>AVERAGE(I272:J272)</f>
        <v>0</v>
      </c>
      <c r="L272" s="56" t="str">
        <f>"EQP-LAWPACK2"</f>
        <v>EQP-LAWPACK2</v>
      </c>
      <c r="M272" s="14"/>
      <c r="N272" s="15"/>
      <c r="O272" s="12"/>
      <c r="P272" s="34"/>
      <c r="Q272" s="37"/>
      <c r="R272" s="47"/>
      <c r="S272" s="46"/>
    </row>
    <row r="273" spans="1:19" ht="15.6" hidden="1" customHeight="1" thickBot="1" x14ac:dyDescent="0.3">
      <c r="A273" t="s">
        <v>23</v>
      </c>
      <c r="B273" s="60" t="str">
        <f t="shared" si="187"/>
        <v>hide</v>
      </c>
      <c r="D273" s="48" t="str">
        <f>D272</f>
        <v>02506</v>
      </c>
      <c r="E273" s="7"/>
      <c r="F273" s="27">
        <v>0</v>
      </c>
      <c r="G273" s="27">
        <v>0</v>
      </c>
      <c r="H273" s="27">
        <v>0</v>
      </c>
      <c r="I273" s="27">
        <v>0</v>
      </c>
      <c r="J273" s="27">
        <v>0</v>
      </c>
      <c r="K273" s="63">
        <f>AVERAGE(I273:J273)</f>
        <v>0</v>
      </c>
      <c r="L273" s="56" t="str">
        <f>"SW-COMAS-PACKL"</f>
        <v>SW-COMAS-PACKL</v>
      </c>
      <c r="M273" s="14"/>
      <c r="N273" s="15"/>
      <c r="O273" s="12"/>
      <c r="P273" s="34"/>
      <c r="Q273" s="37"/>
      <c r="R273" s="47"/>
      <c r="S273" s="46"/>
    </row>
    <row r="274" spans="1:19" ht="15.6" hidden="1" customHeight="1" thickBot="1" x14ac:dyDescent="0.3">
      <c r="A274" t="s">
        <v>23</v>
      </c>
      <c r="B274" s="60" t="str">
        <f t="shared" si="187"/>
        <v>hide</v>
      </c>
      <c r="D274" s="48" t="str">
        <f>D273</f>
        <v>02506</v>
      </c>
      <c r="E274" s="7"/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63">
        <f>AVERAGE(I274:J274)</f>
        <v>0</v>
      </c>
      <c r="L274" s="56" t="str">
        <f>"SW-RISER-PACK"</f>
        <v>SW-RISER-PACK</v>
      </c>
      <c r="M274" s="14"/>
      <c r="N274" s="15"/>
      <c r="O274" s="12"/>
      <c r="P274" s="34"/>
      <c r="Q274" s="37"/>
      <c r="R274" s="47"/>
      <c r="S274" s="46"/>
    </row>
    <row r="275" spans="1:19" ht="12" hidden="1" customHeight="1" x14ac:dyDescent="0.3">
      <c r="A275" s="35" t="s">
        <v>908</v>
      </c>
      <c r="B275" s="49" t="str">
        <f>B271</f>
        <v>hide</v>
      </c>
      <c r="N275"/>
      <c r="Q275" s="33"/>
    </row>
    <row r="276" spans="1:19" ht="13.8" hidden="1" thickBot="1" x14ac:dyDescent="0.3">
      <c r="A276" t="s">
        <v>23</v>
      </c>
      <c r="B276" s="49" t="str">
        <f t="shared" ref="B276" si="188">B275</f>
        <v>hide</v>
      </c>
      <c r="D276" s="58"/>
      <c r="E276" s="58"/>
      <c r="F276" s="52">
        <f>SUM(F271:F275)</f>
        <v>0</v>
      </c>
      <c r="G276" s="52">
        <f>SUM(G271:G275)</f>
        <v>0</v>
      </c>
      <c r="H276" s="52">
        <f>SUM(H271:H275)</f>
        <v>0</v>
      </c>
      <c r="I276" s="52">
        <f>SUM(I271:I275)</f>
        <v>0</v>
      </c>
      <c r="J276" s="52">
        <f>SUM(J271:J275)</f>
        <v>0</v>
      </c>
      <c r="K276" s="52"/>
      <c r="L276" s="51" t="s">
        <v>4</v>
      </c>
      <c r="M276" s="58"/>
      <c r="N276" s="58"/>
      <c r="O276" s="58"/>
      <c r="P276" s="58"/>
      <c r="Q276" s="58"/>
      <c r="R276" s="58"/>
      <c r="S276" s="58"/>
    </row>
    <row r="277" spans="1:19" s="59" customFormat="1" ht="18.75" customHeight="1" thickBot="1" x14ac:dyDescent="0.3">
      <c r="A277" s="59" t="s">
        <v>23</v>
      </c>
      <c r="B277" s="60" t="str">
        <f t="shared" ref="B277:B278" si="189">IF(K277=0,"hide","")</f>
        <v/>
      </c>
      <c r="D277" s="61" t="str">
        <f>"02611"</f>
        <v>02611</v>
      </c>
      <c r="E277" s="62" t="str">
        <f>"1"</f>
        <v>1</v>
      </c>
      <c r="F277" s="63">
        <v>45.25</v>
      </c>
      <c r="G277" s="63">
        <v>2.4166666666666665</v>
      </c>
      <c r="H277" s="63">
        <v>8.3333333333333339</v>
      </c>
      <c r="I277" s="63">
        <v>0</v>
      </c>
      <c r="J277" s="63">
        <v>76.10313253012049</v>
      </c>
      <c r="K277" s="63">
        <f>AVERAGE(I277:J277)</f>
        <v>38.051566265060245</v>
      </c>
      <c r="L277" s="64" t="str">
        <f>"Smart Choice Carrot Muffin"</f>
        <v>Smart Choice Carrot Muffin</v>
      </c>
      <c r="M277" s="65" t="str">
        <f>"96-2 oz. I.W."</f>
        <v>96-2 oz. I.W.</v>
      </c>
      <c r="N277" s="66">
        <v>96</v>
      </c>
      <c r="O277" s="67" t="str">
        <f>""</f>
        <v/>
      </c>
      <c r="P277" s="68" t="e">
        <f>1/O277</f>
        <v>#VALUE!</v>
      </c>
      <c r="Q277" s="53">
        <v>1</v>
      </c>
      <c r="R277" s="69">
        <f t="shared" ref="R277" si="190">1/Q277</f>
        <v>1</v>
      </c>
      <c r="S277" s="70">
        <f t="shared" ref="S277" si="191">R277*N277</f>
        <v>96</v>
      </c>
    </row>
    <row r="278" spans="1:19" ht="15.6" hidden="1" customHeight="1" thickBot="1" x14ac:dyDescent="0.3">
      <c r="A278" t="s">
        <v>23</v>
      </c>
      <c r="B278" s="60" t="str">
        <f t="shared" si="189"/>
        <v>hide</v>
      </c>
      <c r="D278" s="48" t="str">
        <f>D277</f>
        <v>02611</v>
      </c>
      <c r="E278" s="7"/>
      <c r="F278" s="27">
        <v>0</v>
      </c>
      <c r="G278" s="27">
        <v>0</v>
      </c>
      <c r="H278" s="27">
        <v>0</v>
      </c>
      <c r="I278" s="27">
        <v>0</v>
      </c>
      <c r="J278" s="27">
        <v>0</v>
      </c>
      <c r="K278" s="63">
        <f>AVERAGE(I278:J278)</f>
        <v>0</v>
      </c>
      <c r="L278" s="56" t="str">
        <f>"EQP-LAWPACK1"</f>
        <v>EQP-LAWPACK1</v>
      </c>
      <c r="M278" s="14"/>
      <c r="N278" s="15"/>
      <c r="O278" s="12"/>
      <c r="P278" s="34"/>
      <c r="Q278" s="37"/>
      <c r="R278" s="47"/>
      <c r="S278" s="46"/>
    </row>
    <row r="279" spans="1:19" ht="15.6" hidden="1" customHeight="1" thickBot="1" x14ac:dyDescent="0.3">
      <c r="A279" t="s">
        <v>23</v>
      </c>
      <c r="B279" s="60" t="str">
        <f t="shared" ref="B279:B281" si="192">IF(K279=0,"hide","")</f>
        <v>hide</v>
      </c>
      <c r="D279" s="48" t="str">
        <f>D278</f>
        <v>02611</v>
      </c>
      <c r="E279" s="7"/>
      <c r="F279" s="27">
        <v>0</v>
      </c>
      <c r="G279" s="27">
        <v>0</v>
      </c>
      <c r="H279" s="27">
        <v>0</v>
      </c>
      <c r="I279" s="27">
        <v>0</v>
      </c>
      <c r="J279" s="27">
        <v>0</v>
      </c>
      <c r="K279" s="63">
        <f>AVERAGE(I279:J279)</f>
        <v>0</v>
      </c>
      <c r="L279" s="56" t="str">
        <f>"EQP-LAWPACK2"</f>
        <v>EQP-LAWPACK2</v>
      </c>
      <c r="M279" s="14"/>
      <c r="N279" s="15"/>
      <c r="O279" s="12"/>
      <c r="P279" s="34"/>
      <c r="Q279" s="37"/>
      <c r="R279" s="47"/>
      <c r="S279" s="46"/>
    </row>
    <row r="280" spans="1:19" ht="15.6" hidden="1" customHeight="1" thickBot="1" x14ac:dyDescent="0.3">
      <c r="A280" t="s">
        <v>23</v>
      </c>
      <c r="B280" s="60" t="str">
        <f t="shared" si="192"/>
        <v>hide</v>
      </c>
      <c r="D280" s="48" t="str">
        <f>D279</f>
        <v>02611</v>
      </c>
      <c r="E280" s="7"/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63">
        <f>AVERAGE(I280:J280)</f>
        <v>0</v>
      </c>
      <c r="L280" s="56" t="str">
        <f>"SW-COMAS-PACKL"</f>
        <v>SW-COMAS-PACKL</v>
      </c>
      <c r="M280" s="14"/>
      <c r="N280" s="15"/>
      <c r="O280" s="12"/>
      <c r="P280" s="34"/>
      <c r="Q280" s="37"/>
      <c r="R280" s="47"/>
      <c r="S280" s="46"/>
    </row>
    <row r="281" spans="1:19" ht="15.6" hidden="1" customHeight="1" thickBot="1" x14ac:dyDescent="0.3">
      <c r="A281" t="s">
        <v>23</v>
      </c>
      <c r="B281" s="60" t="str">
        <f t="shared" si="192"/>
        <v>hide</v>
      </c>
      <c r="D281" s="48" t="str">
        <f>D280</f>
        <v>02611</v>
      </c>
      <c r="E281" s="7"/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63">
        <f>AVERAGE(I281:J281)</f>
        <v>0</v>
      </c>
      <c r="L281" s="56" t="str">
        <f>"SW-RISER-PACK"</f>
        <v>SW-RISER-PACK</v>
      </c>
      <c r="M281" s="14"/>
      <c r="N281" s="15"/>
      <c r="O281" s="12"/>
      <c r="P281" s="34"/>
      <c r="Q281" s="37"/>
      <c r="R281" s="47"/>
      <c r="S281" s="46"/>
    </row>
    <row r="282" spans="1:19" ht="12" hidden="1" customHeight="1" x14ac:dyDescent="0.3">
      <c r="A282" s="35" t="s">
        <v>908</v>
      </c>
      <c r="B282" s="49" t="str">
        <f>B278</f>
        <v>hide</v>
      </c>
      <c r="N282"/>
      <c r="Q282" s="33"/>
    </row>
    <row r="283" spans="1:19" ht="13.8" hidden="1" thickBot="1" x14ac:dyDescent="0.3">
      <c r="A283" t="s">
        <v>23</v>
      </c>
      <c r="B283" s="49" t="str">
        <f t="shared" ref="B283" si="193">B282</f>
        <v>hide</v>
      </c>
      <c r="D283" s="58"/>
      <c r="E283" s="58"/>
      <c r="F283" s="52">
        <f>SUM(F278:F282)</f>
        <v>0</v>
      </c>
      <c r="G283" s="52">
        <f>SUM(G278:G282)</f>
        <v>0</v>
      </c>
      <c r="H283" s="52">
        <f>SUM(H278:H282)</f>
        <v>0</v>
      </c>
      <c r="I283" s="52">
        <f>SUM(I278:I282)</f>
        <v>0</v>
      </c>
      <c r="J283" s="52">
        <f>SUM(J278:J282)</f>
        <v>0</v>
      </c>
      <c r="K283" s="52"/>
      <c r="L283" s="51" t="s">
        <v>4</v>
      </c>
      <c r="M283" s="58"/>
      <c r="N283" s="58"/>
      <c r="O283" s="58"/>
      <c r="P283" s="58"/>
      <c r="Q283" s="58"/>
      <c r="R283" s="58"/>
      <c r="S283" s="58"/>
    </row>
    <row r="284" spans="1:19" s="59" customFormat="1" ht="18.75" customHeight="1" thickBot="1" x14ac:dyDescent="0.3">
      <c r="A284" s="59" t="s">
        <v>23</v>
      </c>
      <c r="B284" s="60" t="str">
        <f t="shared" ref="B284:B285" si="194">IF(K284=0,"hide","")</f>
        <v/>
      </c>
      <c r="D284" s="61" t="str">
        <f>"02612"</f>
        <v>02612</v>
      </c>
      <c r="E284" s="62" t="str">
        <f>"6"</f>
        <v>6</v>
      </c>
      <c r="F284" s="63">
        <v>230.41666666666666</v>
      </c>
      <c r="G284" s="63">
        <v>112</v>
      </c>
      <c r="H284" s="63">
        <v>210.25</v>
      </c>
      <c r="I284" s="63">
        <v>198.33333333333334</v>
      </c>
      <c r="J284" s="63">
        <v>175.18722891566267</v>
      </c>
      <c r="K284" s="63">
        <f>AVERAGE(I284:J284)</f>
        <v>186.76028112449802</v>
      </c>
      <c r="L284" s="64" t="str">
        <f>"Smart Choice Bran Muffin"</f>
        <v>Smart Choice Bran Muffin</v>
      </c>
      <c r="M284" s="65" t="str">
        <f>"96-2 oz. I.W."</f>
        <v>96-2 oz. I.W.</v>
      </c>
      <c r="N284" s="66">
        <v>96</v>
      </c>
      <c r="O284" s="67">
        <v>4.5999999999999999E-3</v>
      </c>
      <c r="P284" s="68">
        <f>1/O284</f>
        <v>217.39130434782609</v>
      </c>
      <c r="Q284" s="53">
        <v>4.5999999999999999E-3</v>
      </c>
      <c r="R284" s="69">
        <f t="shared" ref="R284" si="195">1/Q284</f>
        <v>217.39130434782609</v>
      </c>
      <c r="S284" s="70">
        <f t="shared" ref="S284" si="196">R284*N284</f>
        <v>20869.565217391304</v>
      </c>
    </row>
    <row r="285" spans="1:19" ht="15.6" hidden="1" customHeight="1" thickBot="1" x14ac:dyDescent="0.3">
      <c r="A285" t="s">
        <v>23</v>
      </c>
      <c r="B285" s="60" t="str">
        <f t="shared" si="194"/>
        <v>hide</v>
      </c>
      <c r="D285" s="48" t="str">
        <f>D284</f>
        <v>02612</v>
      </c>
      <c r="E285" s="7"/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63">
        <f>AVERAGE(I285:J285)</f>
        <v>0</v>
      </c>
      <c r="L285" s="56" t="str">
        <f>"EQP-LAWPACK1"</f>
        <v>EQP-LAWPACK1</v>
      </c>
      <c r="M285" s="14"/>
      <c r="N285" s="15"/>
      <c r="O285" s="12"/>
      <c r="P285" s="34"/>
      <c r="Q285" s="37"/>
      <c r="R285" s="47"/>
      <c r="S285" s="46"/>
    </row>
    <row r="286" spans="1:19" ht="15.6" hidden="1" customHeight="1" thickBot="1" x14ac:dyDescent="0.3">
      <c r="A286" t="s">
        <v>23</v>
      </c>
      <c r="B286" s="60" t="str">
        <f t="shared" ref="B286:B288" si="197">IF(K286=0,"hide","")</f>
        <v>hide</v>
      </c>
      <c r="D286" s="48" t="str">
        <f>D285</f>
        <v>02612</v>
      </c>
      <c r="E286" s="7"/>
      <c r="F286" s="27">
        <v>0</v>
      </c>
      <c r="G286" s="27">
        <v>0</v>
      </c>
      <c r="H286" s="27">
        <v>0</v>
      </c>
      <c r="I286" s="27">
        <v>0</v>
      </c>
      <c r="J286" s="27">
        <v>0</v>
      </c>
      <c r="K286" s="63">
        <f>AVERAGE(I286:J286)</f>
        <v>0</v>
      </c>
      <c r="L286" s="56" t="str">
        <f>"EQP-LAWPACK2"</f>
        <v>EQP-LAWPACK2</v>
      </c>
      <c r="M286" s="14"/>
      <c r="N286" s="15"/>
      <c r="O286" s="12"/>
      <c r="P286" s="34"/>
      <c r="Q286" s="37"/>
      <c r="R286" s="47"/>
      <c r="S286" s="46"/>
    </row>
    <row r="287" spans="1:19" ht="15.6" hidden="1" customHeight="1" thickBot="1" x14ac:dyDescent="0.3">
      <c r="A287" t="s">
        <v>23</v>
      </c>
      <c r="B287" s="60" t="str">
        <f t="shared" si="197"/>
        <v>hide</v>
      </c>
      <c r="D287" s="48" t="str">
        <f>D286</f>
        <v>02612</v>
      </c>
      <c r="E287" s="7"/>
      <c r="F287" s="27">
        <v>0</v>
      </c>
      <c r="G287" s="27">
        <v>0</v>
      </c>
      <c r="H287" s="27">
        <v>0</v>
      </c>
      <c r="I287" s="27">
        <v>0</v>
      </c>
      <c r="J287" s="27">
        <v>0</v>
      </c>
      <c r="K287" s="63">
        <f>AVERAGE(I287:J287)</f>
        <v>0</v>
      </c>
      <c r="L287" s="56" t="str">
        <f>"SW-COMAS-PACKL"</f>
        <v>SW-COMAS-PACKL</v>
      </c>
      <c r="M287" s="14"/>
      <c r="N287" s="15"/>
      <c r="O287" s="12"/>
      <c r="P287" s="34"/>
      <c r="Q287" s="37"/>
      <c r="R287" s="47"/>
      <c r="S287" s="46"/>
    </row>
    <row r="288" spans="1:19" ht="15.6" hidden="1" customHeight="1" thickBot="1" x14ac:dyDescent="0.3">
      <c r="A288" t="s">
        <v>23</v>
      </c>
      <c r="B288" s="60" t="str">
        <f t="shared" si="197"/>
        <v>hide</v>
      </c>
      <c r="D288" s="48" t="str">
        <f>D287</f>
        <v>02612</v>
      </c>
      <c r="E288" s="7"/>
      <c r="F288" s="27">
        <v>0</v>
      </c>
      <c r="G288" s="27">
        <v>0</v>
      </c>
      <c r="H288" s="27">
        <v>0</v>
      </c>
      <c r="I288" s="27">
        <v>0</v>
      </c>
      <c r="J288" s="27">
        <v>0</v>
      </c>
      <c r="K288" s="63">
        <f>AVERAGE(I288:J288)</f>
        <v>0</v>
      </c>
      <c r="L288" s="56" t="str">
        <f>"SW-RISER-PACK"</f>
        <v>SW-RISER-PACK</v>
      </c>
      <c r="M288" s="14"/>
      <c r="N288" s="15"/>
      <c r="O288" s="12"/>
      <c r="P288" s="34"/>
      <c r="Q288" s="37"/>
      <c r="R288" s="47"/>
      <c r="S288" s="46"/>
    </row>
    <row r="289" spans="1:19" ht="12" hidden="1" customHeight="1" x14ac:dyDescent="0.3">
      <c r="A289" s="35" t="s">
        <v>908</v>
      </c>
      <c r="B289" s="49" t="str">
        <f>B285</f>
        <v>hide</v>
      </c>
      <c r="N289"/>
      <c r="Q289" s="33"/>
    </row>
    <row r="290" spans="1:19" ht="13.8" hidden="1" thickBot="1" x14ac:dyDescent="0.3">
      <c r="A290" t="s">
        <v>23</v>
      </c>
      <c r="B290" s="49" t="str">
        <f t="shared" ref="B290" si="198">B289</f>
        <v>hide</v>
      </c>
      <c r="D290" s="58"/>
      <c r="E290" s="58"/>
      <c r="F290" s="52">
        <f>SUM(F285:F289)</f>
        <v>0</v>
      </c>
      <c r="G290" s="52">
        <f>SUM(G285:G289)</f>
        <v>0</v>
      </c>
      <c r="H290" s="52">
        <f>SUM(H285:H289)</f>
        <v>0</v>
      </c>
      <c r="I290" s="52">
        <f>SUM(I285:I289)</f>
        <v>0</v>
      </c>
      <c r="J290" s="52">
        <f>SUM(J285:J289)</f>
        <v>0</v>
      </c>
      <c r="K290" s="52"/>
      <c r="L290" s="51" t="s">
        <v>4</v>
      </c>
      <c r="M290" s="58"/>
      <c r="N290" s="58"/>
      <c r="O290" s="58"/>
      <c r="P290" s="58"/>
      <c r="Q290" s="58"/>
      <c r="R290" s="58"/>
      <c r="S290" s="58"/>
    </row>
    <row r="291" spans="1:19" s="59" customFormat="1" ht="18.75" hidden="1" customHeight="1" thickBot="1" x14ac:dyDescent="0.3">
      <c r="A291" s="59" t="s">
        <v>23</v>
      </c>
      <c r="B291" s="60" t="str">
        <f t="shared" ref="B291:B292" si="199">IF(K291=0,"hide","")</f>
        <v>hide</v>
      </c>
      <c r="D291" s="61" t="str">
        <f>"02638"</f>
        <v>02638</v>
      </c>
      <c r="E291" s="62" t="str">
        <f>"1"</f>
        <v>1</v>
      </c>
      <c r="F291" s="63">
        <v>23.583333333333332</v>
      </c>
      <c r="G291" s="63">
        <v>246.08333333333334</v>
      </c>
      <c r="H291" s="63">
        <v>7.666666666666667</v>
      </c>
      <c r="I291" s="63">
        <v>0</v>
      </c>
      <c r="J291" s="63">
        <v>0</v>
      </c>
      <c r="K291" s="63">
        <f>AVERAGE(I291:J291)</f>
        <v>0</v>
      </c>
      <c r="L291" s="64" t="str">
        <f>"Smart Choice Peach Muffin"</f>
        <v>Smart Choice Peach Muffin</v>
      </c>
      <c r="M291" s="65" t="str">
        <f>"96-2 oz. I.W."</f>
        <v>96-2 oz. I.W.</v>
      </c>
      <c r="N291" s="66">
        <v>96</v>
      </c>
      <c r="O291" s="67" t="str">
        <f>""</f>
        <v/>
      </c>
      <c r="P291" s="68" t="e">
        <f>1/O291</f>
        <v>#VALUE!</v>
      </c>
      <c r="Q291" s="53">
        <v>1</v>
      </c>
      <c r="R291" s="69">
        <f t="shared" ref="R291" si="200">1/Q291</f>
        <v>1</v>
      </c>
      <c r="S291" s="70">
        <f t="shared" ref="S291" si="201">R291*N291</f>
        <v>96</v>
      </c>
    </row>
    <row r="292" spans="1:19" ht="15.6" hidden="1" customHeight="1" thickBot="1" x14ac:dyDescent="0.3">
      <c r="A292" t="s">
        <v>23</v>
      </c>
      <c r="B292" s="60" t="str">
        <f t="shared" si="199"/>
        <v>hide</v>
      </c>
      <c r="D292" s="48" t="str">
        <f>D291</f>
        <v>02638</v>
      </c>
      <c r="E292" s="7"/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63">
        <f>AVERAGE(I292:J292)</f>
        <v>0</v>
      </c>
      <c r="L292" s="56" t="str">
        <f>"EQP-LAWPACK1"</f>
        <v>EQP-LAWPACK1</v>
      </c>
      <c r="M292" s="14"/>
      <c r="N292" s="15"/>
      <c r="O292" s="12"/>
      <c r="P292" s="34"/>
      <c r="Q292" s="37"/>
      <c r="R292" s="47"/>
      <c r="S292" s="46"/>
    </row>
    <row r="293" spans="1:19" ht="15.6" hidden="1" customHeight="1" thickBot="1" x14ac:dyDescent="0.3">
      <c r="A293" t="s">
        <v>23</v>
      </c>
      <c r="B293" s="60" t="str">
        <f t="shared" ref="B293:B295" si="202">IF(K293=0,"hide","")</f>
        <v>hide</v>
      </c>
      <c r="D293" s="48" t="str">
        <f>D292</f>
        <v>02638</v>
      </c>
      <c r="E293" s="7"/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63">
        <f>AVERAGE(I293:J293)</f>
        <v>0</v>
      </c>
      <c r="L293" s="56" t="str">
        <f>"EQP-LAWPACK2"</f>
        <v>EQP-LAWPACK2</v>
      </c>
      <c r="M293" s="14"/>
      <c r="N293" s="15"/>
      <c r="O293" s="12"/>
      <c r="P293" s="34"/>
      <c r="Q293" s="37"/>
      <c r="R293" s="47"/>
      <c r="S293" s="46"/>
    </row>
    <row r="294" spans="1:19" ht="15.6" hidden="1" customHeight="1" thickBot="1" x14ac:dyDescent="0.3">
      <c r="A294" t="s">
        <v>23</v>
      </c>
      <c r="B294" s="60" t="str">
        <f t="shared" si="202"/>
        <v>hide</v>
      </c>
      <c r="D294" s="48" t="str">
        <f>D293</f>
        <v>02638</v>
      </c>
      <c r="E294" s="7"/>
      <c r="F294" s="27">
        <v>0</v>
      </c>
      <c r="G294" s="27">
        <v>0</v>
      </c>
      <c r="H294" s="27">
        <v>0</v>
      </c>
      <c r="I294" s="27">
        <v>0</v>
      </c>
      <c r="J294" s="27">
        <v>0</v>
      </c>
      <c r="K294" s="63">
        <f>AVERAGE(I294:J294)</f>
        <v>0</v>
      </c>
      <c r="L294" s="56" t="str">
        <f>"SW-COMAS-PACKL"</f>
        <v>SW-COMAS-PACKL</v>
      </c>
      <c r="M294" s="14"/>
      <c r="N294" s="15"/>
      <c r="O294" s="12"/>
      <c r="P294" s="34"/>
      <c r="Q294" s="37"/>
      <c r="R294" s="47"/>
      <c r="S294" s="46"/>
    </row>
    <row r="295" spans="1:19" ht="15.6" hidden="1" customHeight="1" thickBot="1" x14ac:dyDescent="0.3">
      <c r="A295" t="s">
        <v>23</v>
      </c>
      <c r="B295" s="60" t="str">
        <f t="shared" si="202"/>
        <v>hide</v>
      </c>
      <c r="D295" s="48" t="str">
        <f>D294</f>
        <v>02638</v>
      </c>
      <c r="E295" s="7"/>
      <c r="F295" s="27">
        <v>0</v>
      </c>
      <c r="G295" s="27">
        <v>0</v>
      </c>
      <c r="H295" s="27">
        <v>0</v>
      </c>
      <c r="I295" s="27">
        <v>0</v>
      </c>
      <c r="J295" s="27">
        <v>0</v>
      </c>
      <c r="K295" s="63">
        <f>AVERAGE(I295:J295)</f>
        <v>0</v>
      </c>
      <c r="L295" s="56" t="str">
        <f>"SW-RISER-PACK"</f>
        <v>SW-RISER-PACK</v>
      </c>
      <c r="M295" s="14"/>
      <c r="N295" s="15"/>
      <c r="O295" s="12"/>
      <c r="P295" s="34"/>
      <c r="Q295" s="37"/>
      <c r="R295" s="47"/>
      <c r="S295" s="46"/>
    </row>
    <row r="296" spans="1:19" ht="12" hidden="1" customHeight="1" x14ac:dyDescent="0.3">
      <c r="A296" s="35" t="s">
        <v>908</v>
      </c>
      <c r="B296" s="49" t="str">
        <f>B292</f>
        <v>hide</v>
      </c>
      <c r="N296"/>
      <c r="Q296" s="33"/>
    </row>
    <row r="297" spans="1:19" ht="13.8" hidden="1" thickBot="1" x14ac:dyDescent="0.3">
      <c r="A297" t="s">
        <v>23</v>
      </c>
      <c r="B297" s="49" t="str">
        <f t="shared" ref="B297" si="203">B296</f>
        <v>hide</v>
      </c>
      <c r="D297" s="58"/>
      <c r="E297" s="58"/>
      <c r="F297" s="52">
        <f>SUM(F292:F296)</f>
        <v>0</v>
      </c>
      <c r="G297" s="52">
        <f>SUM(G292:G296)</f>
        <v>0</v>
      </c>
      <c r="H297" s="52">
        <f>SUM(H292:H296)</f>
        <v>0</v>
      </c>
      <c r="I297" s="52">
        <f>SUM(I292:I296)</f>
        <v>0</v>
      </c>
      <c r="J297" s="52">
        <f>SUM(J292:J296)</f>
        <v>0</v>
      </c>
      <c r="K297" s="52"/>
      <c r="L297" s="51" t="s">
        <v>4</v>
      </c>
      <c r="M297" s="58"/>
      <c r="N297" s="58"/>
      <c r="O297" s="58"/>
      <c r="P297" s="58"/>
      <c r="Q297" s="58"/>
      <c r="R297" s="58"/>
      <c r="S297" s="58"/>
    </row>
    <row r="298" spans="1:19" s="59" customFormat="1" ht="18.75" customHeight="1" thickBot="1" x14ac:dyDescent="0.3">
      <c r="A298" s="59" t="s">
        <v>23</v>
      </c>
      <c r="B298" s="60" t="str">
        <f t="shared" ref="B298:B299" si="204">IF(K298=0,"hide","")</f>
        <v/>
      </c>
      <c r="D298" s="61" t="str">
        <f>"02661"</f>
        <v>02661</v>
      </c>
      <c r="E298" s="62" t="str">
        <f>"8"</f>
        <v>8</v>
      </c>
      <c r="F298" s="63">
        <v>6683.083333333333</v>
      </c>
      <c r="G298" s="63">
        <v>6777.208333333333</v>
      </c>
      <c r="H298" s="63">
        <v>10476</v>
      </c>
      <c r="I298" s="63">
        <v>10161.250000000002</v>
      </c>
      <c r="J298" s="63">
        <v>7296.6265060240967</v>
      </c>
      <c r="K298" s="63">
        <f>AVERAGE(I298:J298)</f>
        <v>8728.9382530120492</v>
      </c>
      <c r="L298" s="64" t="str">
        <f>"SMART CHOICE BLUEBERRY MUFFIN"</f>
        <v>SMART CHOICE BLUEBERRY MUFFIN</v>
      </c>
      <c r="M298" s="65" t="str">
        <f>"96-2 oz. I.W."</f>
        <v>96-2 oz. I.W.</v>
      </c>
      <c r="N298" s="66">
        <v>96</v>
      </c>
      <c r="O298" s="67">
        <v>4.5999999999999999E-3</v>
      </c>
      <c r="P298" s="68">
        <f>1/O298</f>
        <v>217.39130434782609</v>
      </c>
      <c r="Q298" s="53">
        <v>4.5999999999999999E-3</v>
      </c>
      <c r="R298" s="69">
        <f t="shared" ref="R298" si="205">1/Q298</f>
        <v>217.39130434782609</v>
      </c>
      <c r="S298" s="70">
        <f t="shared" ref="S298" si="206">R298*N298</f>
        <v>20869.565217391304</v>
      </c>
    </row>
    <row r="299" spans="1:19" ht="15.6" customHeight="1" thickBot="1" x14ac:dyDescent="0.3">
      <c r="A299" t="s">
        <v>23</v>
      </c>
      <c r="B299" s="60" t="str">
        <f t="shared" si="204"/>
        <v/>
      </c>
      <c r="D299" s="48" t="str">
        <f>D298</f>
        <v>02661</v>
      </c>
      <c r="E299" s="7"/>
      <c r="F299" s="27">
        <v>-7223.9733333333324</v>
      </c>
      <c r="G299" s="27">
        <v>-6128.5400000000009</v>
      </c>
      <c r="H299" s="27">
        <v>-9316.9691666666677</v>
      </c>
      <c r="I299" s="27">
        <v>-9296.6666666666661</v>
      </c>
      <c r="J299" s="27">
        <v>-7006.1253012048192</v>
      </c>
      <c r="K299" s="63">
        <f>AVERAGE(I299:J299)</f>
        <v>-8151.3959839357431</v>
      </c>
      <c r="L299" s="56" t="str">
        <f>"EQP-LAWPACK1"</f>
        <v>EQP-LAWPACK1</v>
      </c>
      <c r="M299" s="14"/>
      <c r="N299" s="15"/>
      <c r="O299" s="12"/>
      <c r="P299" s="34"/>
      <c r="Q299" s="37"/>
      <c r="R299" s="47"/>
      <c r="S299" s="46"/>
    </row>
    <row r="300" spans="1:19" ht="15.6" customHeight="1" thickBot="1" x14ac:dyDescent="0.3">
      <c r="A300" t="s">
        <v>23</v>
      </c>
      <c r="B300" s="60" t="str">
        <f t="shared" ref="B300:B302" si="207">IF(K300=0,"hide","")</f>
        <v/>
      </c>
      <c r="D300" s="48" t="str">
        <f>D299</f>
        <v>02661</v>
      </c>
      <c r="E300" s="7"/>
      <c r="F300" s="27">
        <v>0</v>
      </c>
      <c r="G300" s="27">
        <v>0</v>
      </c>
      <c r="H300" s="27">
        <v>0</v>
      </c>
      <c r="I300" s="27">
        <v>0</v>
      </c>
      <c r="J300" s="27">
        <v>-538.65469879518071</v>
      </c>
      <c r="K300" s="63">
        <f>AVERAGE(I300:J300)</f>
        <v>-269.32734939759035</v>
      </c>
      <c r="L300" s="56" t="str">
        <f>"EQP-LAWPACK2"</f>
        <v>EQP-LAWPACK2</v>
      </c>
      <c r="M300" s="14"/>
      <c r="N300" s="15"/>
      <c r="O300" s="12"/>
      <c r="P300" s="34"/>
      <c r="Q300" s="37"/>
      <c r="R300" s="47"/>
      <c r="S300" s="46"/>
    </row>
    <row r="301" spans="1:19" ht="15.6" hidden="1" customHeight="1" thickBot="1" x14ac:dyDescent="0.3">
      <c r="A301" t="s">
        <v>23</v>
      </c>
      <c r="B301" s="60" t="str">
        <f t="shared" si="207"/>
        <v>hide</v>
      </c>
      <c r="D301" s="48" t="str">
        <f>D300</f>
        <v>02661</v>
      </c>
      <c r="E301" s="7"/>
      <c r="F301" s="27">
        <v>0</v>
      </c>
      <c r="G301" s="27">
        <v>0</v>
      </c>
      <c r="H301" s="27">
        <v>0</v>
      </c>
      <c r="I301" s="27">
        <v>0</v>
      </c>
      <c r="J301" s="27">
        <v>0</v>
      </c>
      <c r="K301" s="63">
        <f>AVERAGE(I301:J301)</f>
        <v>0</v>
      </c>
      <c r="L301" s="56" t="str">
        <f>"SW-COMAS-PACKL"</f>
        <v>SW-COMAS-PACKL</v>
      </c>
      <c r="M301" s="14"/>
      <c r="N301" s="15"/>
      <c r="O301" s="12"/>
      <c r="P301" s="34"/>
      <c r="Q301" s="37"/>
      <c r="R301" s="47"/>
      <c r="S301" s="46"/>
    </row>
    <row r="302" spans="1:19" ht="15.6" hidden="1" customHeight="1" thickBot="1" x14ac:dyDescent="0.3">
      <c r="A302" t="s">
        <v>23</v>
      </c>
      <c r="B302" s="60" t="str">
        <f t="shared" si="207"/>
        <v>hide</v>
      </c>
      <c r="D302" s="48" t="str">
        <f>D301</f>
        <v>02661</v>
      </c>
      <c r="E302" s="7"/>
      <c r="F302" s="27">
        <v>0</v>
      </c>
      <c r="G302" s="27">
        <v>0</v>
      </c>
      <c r="H302" s="27">
        <v>0</v>
      </c>
      <c r="I302" s="27">
        <v>0</v>
      </c>
      <c r="J302" s="27">
        <v>0</v>
      </c>
      <c r="K302" s="63">
        <f>AVERAGE(I302:J302)</f>
        <v>0</v>
      </c>
      <c r="L302" s="56" t="str">
        <f>"SW-RISER-PACK"</f>
        <v>SW-RISER-PACK</v>
      </c>
      <c r="M302" s="14"/>
      <c r="N302" s="15"/>
      <c r="O302" s="12"/>
      <c r="P302" s="34"/>
      <c r="Q302" s="37"/>
      <c r="R302" s="47"/>
      <c r="S302" s="46"/>
    </row>
    <row r="303" spans="1:19" ht="12" hidden="1" customHeight="1" x14ac:dyDescent="0.25">
      <c r="A303" s="35" t="s">
        <v>908</v>
      </c>
      <c r="B303" s="49" t="str">
        <f>B299</f>
        <v/>
      </c>
      <c r="N303"/>
      <c r="Q303" s="33"/>
    </row>
    <row r="304" spans="1:19" ht="13.8" thickBot="1" x14ac:dyDescent="0.3">
      <c r="A304" t="s">
        <v>23</v>
      </c>
      <c r="B304" s="49" t="str">
        <f t="shared" ref="B304" si="208">B303</f>
        <v/>
      </c>
      <c r="D304" s="58"/>
      <c r="E304" s="58"/>
      <c r="F304" s="52">
        <f>SUM(F299:F303)</f>
        <v>-7223.9733333333324</v>
      </c>
      <c r="G304" s="52">
        <f>SUM(G299:G303)</f>
        <v>-6128.5400000000009</v>
      </c>
      <c r="H304" s="52">
        <f>SUM(H299:H303)</f>
        <v>-9316.9691666666677</v>
      </c>
      <c r="I304" s="52">
        <f>SUM(I299:I303)</f>
        <v>-9296.6666666666661</v>
      </c>
      <c r="J304" s="52">
        <f>SUM(J299:J303)</f>
        <v>-7544.78</v>
      </c>
      <c r="K304" s="52"/>
      <c r="L304" s="51" t="s">
        <v>4</v>
      </c>
      <c r="M304" s="58"/>
      <c r="N304" s="58"/>
      <c r="O304" s="58"/>
      <c r="P304" s="58"/>
      <c r="Q304" s="58"/>
      <c r="R304" s="58"/>
      <c r="S304" s="58"/>
    </row>
    <row r="305" spans="1:19" s="59" customFormat="1" ht="18.75" customHeight="1" thickBot="1" x14ac:dyDescent="0.3">
      <c r="A305" s="59" t="s">
        <v>23</v>
      </c>
      <c r="B305" s="60" t="str">
        <f t="shared" ref="B305:B306" si="209">IF(K305=0,"hide","")</f>
        <v/>
      </c>
      <c r="D305" s="61" t="str">
        <f>"02663"</f>
        <v>02663</v>
      </c>
      <c r="E305" s="62" t="str">
        <f>"9"</f>
        <v>9</v>
      </c>
      <c r="F305" s="63">
        <v>256.50000000000006</v>
      </c>
      <c r="G305" s="63">
        <v>257.33333333333331</v>
      </c>
      <c r="H305" s="63">
        <v>294.66666666666669</v>
      </c>
      <c r="I305" s="63">
        <v>276.08333333333337</v>
      </c>
      <c r="J305" s="63">
        <v>226.4</v>
      </c>
      <c r="K305" s="63">
        <f>AVERAGE(I305:J305)</f>
        <v>251.24166666666667</v>
      </c>
      <c r="L305" s="64" t="str">
        <f>"Smart Choice CRAN OR. MUFFINS"</f>
        <v>Smart Choice CRAN OR. MUFFINS</v>
      </c>
      <c r="M305" s="65" t="str">
        <f>"96-2 oz. I.W."</f>
        <v>96-2 oz. I.W.</v>
      </c>
      <c r="N305" s="66">
        <v>96</v>
      </c>
      <c r="O305" s="67">
        <v>4.5999999999999999E-3</v>
      </c>
      <c r="P305" s="68">
        <f>1/O305</f>
        <v>217.39130434782609</v>
      </c>
      <c r="Q305" s="53">
        <v>4.5999999999999999E-3</v>
      </c>
      <c r="R305" s="69">
        <f t="shared" ref="R305" si="210">1/Q305</f>
        <v>217.39130434782609</v>
      </c>
      <c r="S305" s="70">
        <f t="shared" ref="S305" si="211">R305*N305</f>
        <v>20869.565217391304</v>
      </c>
    </row>
    <row r="306" spans="1:19" ht="15.6" hidden="1" customHeight="1" thickBot="1" x14ac:dyDescent="0.3">
      <c r="A306" t="s">
        <v>23</v>
      </c>
      <c r="B306" s="60" t="str">
        <f t="shared" si="209"/>
        <v>hide</v>
      </c>
      <c r="D306" s="48" t="str">
        <f>D305</f>
        <v>02663</v>
      </c>
      <c r="E306" s="7"/>
      <c r="F306" s="27">
        <v>0</v>
      </c>
      <c r="G306" s="27">
        <v>0</v>
      </c>
      <c r="H306" s="27">
        <v>0</v>
      </c>
      <c r="I306" s="27">
        <v>0</v>
      </c>
      <c r="J306" s="27">
        <v>0</v>
      </c>
      <c r="K306" s="63">
        <f>AVERAGE(I306:J306)</f>
        <v>0</v>
      </c>
      <c r="L306" s="56" t="str">
        <f>"EQP-LAWPACK1"</f>
        <v>EQP-LAWPACK1</v>
      </c>
      <c r="M306" s="14"/>
      <c r="N306" s="15"/>
      <c r="O306" s="12"/>
      <c r="P306" s="34"/>
      <c r="Q306" s="37"/>
      <c r="R306" s="47"/>
      <c r="S306" s="46"/>
    </row>
    <row r="307" spans="1:19" ht="15.6" hidden="1" customHeight="1" thickBot="1" x14ac:dyDescent="0.3">
      <c r="A307" t="s">
        <v>23</v>
      </c>
      <c r="B307" s="60" t="str">
        <f t="shared" ref="B307:B309" si="212">IF(K307=0,"hide","")</f>
        <v>hide</v>
      </c>
      <c r="D307" s="48" t="str">
        <f>D306</f>
        <v>02663</v>
      </c>
      <c r="E307" s="7"/>
      <c r="F307" s="27">
        <v>0</v>
      </c>
      <c r="G307" s="27">
        <v>0</v>
      </c>
      <c r="H307" s="27">
        <v>0</v>
      </c>
      <c r="I307" s="27">
        <v>0</v>
      </c>
      <c r="J307" s="27">
        <v>0</v>
      </c>
      <c r="K307" s="63">
        <f>AVERAGE(I307:J307)</f>
        <v>0</v>
      </c>
      <c r="L307" s="56" t="str">
        <f>"EQP-LAWPACK2"</f>
        <v>EQP-LAWPACK2</v>
      </c>
      <c r="M307" s="14"/>
      <c r="N307" s="15"/>
      <c r="O307" s="12"/>
      <c r="P307" s="34"/>
      <c r="Q307" s="37"/>
      <c r="R307" s="47"/>
      <c r="S307" s="46"/>
    </row>
    <row r="308" spans="1:19" ht="15.6" hidden="1" customHeight="1" thickBot="1" x14ac:dyDescent="0.3">
      <c r="A308" t="s">
        <v>23</v>
      </c>
      <c r="B308" s="60" t="str">
        <f t="shared" si="212"/>
        <v>hide</v>
      </c>
      <c r="D308" s="48" t="str">
        <f>D307</f>
        <v>02663</v>
      </c>
      <c r="E308" s="7"/>
      <c r="F308" s="27">
        <v>0</v>
      </c>
      <c r="G308" s="27">
        <v>0</v>
      </c>
      <c r="H308" s="27">
        <v>0</v>
      </c>
      <c r="I308" s="27">
        <v>0</v>
      </c>
      <c r="J308" s="27">
        <v>0</v>
      </c>
      <c r="K308" s="63">
        <f>AVERAGE(I308:J308)</f>
        <v>0</v>
      </c>
      <c r="L308" s="56" t="str">
        <f>"SW-COMAS-PACKL"</f>
        <v>SW-COMAS-PACKL</v>
      </c>
      <c r="M308" s="14"/>
      <c r="N308" s="15"/>
      <c r="O308" s="12"/>
      <c r="P308" s="34"/>
      <c r="Q308" s="37"/>
      <c r="R308" s="47"/>
      <c r="S308" s="46"/>
    </row>
    <row r="309" spans="1:19" ht="15.6" hidden="1" customHeight="1" thickBot="1" x14ac:dyDescent="0.3">
      <c r="A309" t="s">
        <v>23</v>
      </c>
      <c r="B309" s="60" t="str">
        <f t="shared" si="212"/>
        <v>hide</v>
      </c>
      <c r="D309" s="48" t="str">
        <f>D308</f>
        <v>02663</v>
      </c>
      <c r="E309" s="7"/>
      <c r="F309" s="27">
        <v>0</v>
      </c>
      <c r="G309" s="27">
        <v>0</v>
      </c>
      <c r="H309" s="27">
        <v>0</v>
      </c>
      <c r="I309" s="27">
        <v>0</v>
      </c>
      <c r="J309" s="27">
        <v>0</v>
      </c>
      <c r="K309" s="63">
        <f>AVERAGE(I309:J309)</f>
        <v>0</v>
      </c>
      <c r="L309" s="56" t="str">
        <f>"SW-RISER-PACK"</f>
        <v>SW-RISER-PACK</v>
      </c>
      <c r="M309" s="14"/>
      <c r="N309" s="15"/>
      <c r="O309" s="12"/>
      <c r="P309" s="34"/>
      <c r="Q309" s="37"/>
      <c r="R309" s="47"/>
      <c r="S309" s="46"/>
    </row>
    <row r="310" spans="1:19" ht="12" hidden="1" customHeight="1" x14ac:dyDescent="0.3">
      <c r="A310" s="35" t="s">
        <v>908</v>
      </c>
      <c r="B310" s="49" t="str">
        <f>B306</f>
        <v>hide</v>
      </c>
      <c r="N310"/>
      <c r="Q310" s="33"/>
    </row>
    <row r="311" spans="1:19" ht="13.8" hidden="1" thickBot="1" x14ac:dyDescent="0.3">
      <c r="A311" t="s">
        <v>23</v>
      </c>
      <c r="B311" s="49" t="str">
        <f t="shared" ref="B311" si="213">B310</f>
        <v>hide</v>
      </c>
      <c r="D311" s="58"/>
      <c r="E311" s="58"/>
      <c r="F311" s="52">
        <f>SUM(F306:F310)</f>
        <v>0</v>
      </c>
      <c r="G311" s="52">
        <f>SUM(G306:G310)</f>
        <v>0</v>
      </c>
      <c r="H311" s="52">
        <f>SUM(H306:H310)</f>
        <v>0</v>
      </c>
      <c r="I311" s="52">
        <f>SUM(I306:I310)</f>
        <v>0</v>
      </c>
      <c r="J311" s="52">
        <f>SUM(J306:J310)</f>
        <v>0</v>
      </c>
      <c r="K311" s="52"/>
      <c r="L311" s="51" t="s">
        <v>4</v>
      </c>
      <c r="M311" s="58"/>
      <c r="N311" s="58"/>
      <c r="O311" s="58"/>
      <c r="P311" s="58"/>
      <c r="Q311" s="58"/>
      <c r="R311" s="58"/>
      <c r="S311" s="58"/>
    </row>
    <row r="312" spans="1:19" s="59" customFormat="1" ht="18.75" customHeight="1" thickBot="1" x14ac:dyDescent="0.3">
      <c r="A312" s="59" t="s">
        <v>23</v>
      </c>
      <c r="B312" s="60" t="str">
        <f t="shared" ref="B312:B313" si="214">IF(K312=0,"hide","")</f>
        <v/>
      </c>
      <c r="D312" s="61" t="str">
        <f>"02665"</f>
        <v>02665</v>
      </c>
      <c r="E312" s="62" t="str">
        <f>"11"</f>
        <v>11</v>
      </c>
      <c r="F312" s="63">
        <v>924.66666666666663</v>
      </c>
      <c r="G312" s="63">
        <v>601</v>
      </c>
      <c r="H312" s="63">
        <v>882.66666666666663</v>
      </c>
      <c r="I312" s="63">
        <v>1119.3333333333333</v>
      </c>
      <c r="J312" s="63">
        <v>945.56096385542173</v>
      </c>
      <c r="K312" s="63">
        <f>AVERAGE(I312:J312)</f>
        <v>1032.4471485943775</v>
      </c>
      <c r="L312" s="64" t="str">
        <f>"Smart Choice Corn Muffins"</f>
        <v>Smart Choice Corn Muffins</v>
      </c>
      <c r="M312" s="65" t="str">
        <f>"96-2 oz. I.W."</f>
        <v>96-2 oz. I.W.</v>
      </c>
      <c r="N312" s="66">
        <v>96</v>
      </c>
      <c r="O312" s="67">
        <v>4.5999999999999999E-3</v>
      </c>
      <c r="P312" s="68">
        <f>1/O312</f>
        <v>217.39130434782609</v>
      </c>
      <c r="Q312" s="53">
        <v>4.5999999999999999E-3</v>
      </c>
      <c r="R312" s="69">
        <f t="shared" ref="R312" si="215">1/Q312</f>
        <v>217.39130434782609</v>
      </c>
      <c r="S312" s="70">
        <f t="shared" ref="S312" si="216">R312*N312</f>
        <v>20869.565217391304</v>
      </c>
    </row>
    <row r="313" spans="1:19" ht="15.6" customHeight="1" thickBot="1" x14ac:dyDescent="0.3">
      <c r="A313" t="s">
        <v>23</v>
      </c>
      <c r="B313" s="60" t="str">
        <f t="shared" si="214"/>
        <v/>
      </c>
      <c r="D313" s="48" t="str">
        <f>D312</f>
        <v>02665</v>
      </c>
      <c r="E313" s="7"/>
      <c r="F313" s="27">
        <v>-367.67666666666668</v>
      </c>
      <c r="G313" s="27">
        <v>-160.95083333333332</v>
      </c>
      <c r="H313" s="27">
        <v>-51.833333333333336</v>
      </c>
      <c r="I313" s="27">
        <v>-41.5</v>
      </c>
      <c r="J313" s="27">
        <v>-73.102650602409639</v>
      </c>
      <c r="K313" s="63">
        <f>AVERAGE(I313:J313)</f>
        <v>-57.30132530120482</v>
      </c>
      <c r="L313" s="56" t="str">
        <f>"EQP-LAWPACK1"</f>
        <v>EQP-LAWPACK1</v>
      </c>
      <c r="M313" s="14"/>
      <c r="N313" s="15"/>
      <c r="O313" s="12"/>
      <c r="P313" s="34"/>
      <c r="Q313" s="37"/>
      <c r="R313" s="47"/>
      <c r="S313" s="46"/>
    </row>
    <row r="314" spans="1:19" ht="15.6" hidden="1" customHeight="1" thickBot="1" x14ac:dyDescent="0.3">
      <c r="A314" t="s">
        <v>23</v>
      </c>
      <c r="B314" s="60" t="str">
        <f t="shared" ref="B314:B316" si="217">IF(K314=0,"hide","")</f>
        <v>hide</v>
      </c>
      <c r="D314" s="48" t="str">
        <f>D313</f>
        <v>02665</v>
      </c>
      <c r="E314" s="7"/>
      <c r="F314" s="27">
        <v>0</v>
      </c>
      <c r="G314" s="27">
        <v>0</v>
      </c>
      <c r="H314" s="27">
        <v>0</v>
      </c>
      <c r="I314" s="27">
        <v>0</v>
      </c>
      <c r="J314" s="27">
        <v>0</v>
      </c>
      <c r="K314" s="63">
        <f>AVERAGE(I314:J314)</f>
        <v>0</v>
      </c>
      <c r="L314" s="56" t="str">
        <f>"EQP-LAWPACK2"</f>
        <v>EQP-LAWPACK2</v>
      </c>
      <c r="M314" s="14"/>
      <c r="N314" s="15"/>
      <c r="O314" s="12"/>
      <c r="P314" s="34"/>
      <c r="Q314" s="37"/>
      <c r="R314" s="47"/>
      <c r="S314" s="46"/>
    </row>
    <row r="315" spans="1:19" ht="15.6" hidden="1" customHeight="1" thickBot="1" x14ac:dyDescent="0.3">
      <c r="A315" t="s">
        <v>23</v>
      </c>
      <c r="B315" s="60" t="str">
        <f t="shared" si="217"/>
        <v>hide</v>
      </c>
      <c r="D315" s="48" t="str">
        <f>D314</f>
        <v>02665</v>
      </c>
      <c r="E315" s="7"/>
      <c r="F315" s="27">
        <v>0</v>
      </c>
      <c r="G315" s="27">
        <v>0</v>
      </c>
      <c r="H315" s="27">
        <v>0</v>
      </c>
      <c r="I315" s="27">
        <v>0</v>
      </c>
      <c r="J315" s="27">
        <v>0</v>
      </c>
      <c r="K315" s="63">
        <f>AVERAGE(I315:J315)</f>
        <v>0</v>
      </c>
      <c r="L315" s="56" t="str">
        <f>"SW-COMAS-PACKL"</f>
        <v>SW-COMAS-PACKL</v>
      </c>
      <c r="M315" s="14"/>
      <c r="N315" s="15"/>
      <c r="O315" s="12"/>
      <c r="P315" s="34"/>
      <c r="Q315" s="37"/>
      <c r="R315" s="47"/>
      <c r="S315" s="46"/>
    </row>
    <row r="316" spans="1:19" ht="15.6" hidden="1" customHeight="1" thickBot="1" x14ac:dyDescent="0.3">
      <c r="A316" t="s">
        <v>23</v>
      </c>
      <c r="B316" s="60" t="str">
        <f t="shared" si="217"/>
        <v>hide</v>
      </c>
      <c r="D316" s="48" t="str">
        <f>D315</f>
        <v>02665</v>
      </c>
      <c r="E316" s="7"/>
      <c r="F316" s="27">
        <v>0</v>
      </c>
      <c r="G316" s="27">
        <v>0</v>
      </c>
      <c r="H316" s="27">
        <v>0</v>
      </c>
      <c r="I316" s="27">
        <v>0</v>
      </c>
      <c r="J316" s="27">
        <v>0</v>
      </c>
      <c r="K316" s="63">
        <f>AVERAGE(I316:J316)</f>
        <v>0</v>
      </c>
      <c r="L316" s="56" t="str">
        <f>"SW-RISER-PACK"</f>
        <v>SW-RISER-PACK</v>
      </c>
      <c r="M316" s="14"/>
      <c r="N316" s="15"/>
      <c r="O316" s="12"/>
      <c r="P316" s="34"/>
      <c r="Q316" s="37"/>
      <c r="R316" s="47"/>
      <c r="S316" s="46"/>
    </row>
    <row r="317" spans="1:19" ht="12" hidden="1" customHeight="1" x14ac:dyDescent="0.25">
      <c r="A317" s="35" t="s">
        <v>908</v>
      </c>
      <c r="B317" s="49" t="str">
        <f>B313</f>
        <v/>
      </c>
      <c r="N317"/>
      <c r="Q317" s="33"/>
    </row>
    <row r="318" spans="1:19" ht="13.8" thickBot="1" x14ac:dyDescent="0.3">
      <c r="A318" t="s">
        <v>23</v>
      </c>
      <c r="B318" s="49" t="str">
        <f t="shared" ref="B318" si="218">B317</f>
        <v/>
      </c>
      <c r="D318" s="58"/>
      <c r="E318" s="58"/>
      <c r="F318" s="52">
        <f>SUM(F313:F317)</f>
        <v>-367.67666666666668</v>
      </c>
      <c r="G318" s="52">
        <f>SUM(G313:G317)</f>
        <v>-160.95083333333332</v>
      </c>
      <c r="H318" s="52">
        <f>SUM(H313:H317)</f>
        <v>-51.833333333333336</v>
      </c>
      <c r="I318" s="52">
        <f>SUM(I313:I317)</f>
        <v>-41.5</v>
      </c>
      <c r="J318" s="52">
        <f>SUM(J313:J317)</f>
        <v>-73.102650602409639</v>
      </c>
      <c r="K318" s="52"/>
      <c r="L318" s="51" t="s">
        <v>4</v>
      </c>
      <c r="M318" s="58"/>
      <c r="N318" s="58"/>
      <c r="O318" s="58"/>
      <c r="P318" s="58"/>
      <c r="Q318" s="58"/>
      <c r="R318" s="58"/>
      <c r="S318" s="58"/>
    </row>
    <row r="319" spans="1:19" s="59" customFormat="1" ht="18.75" customHeight="1" thickBot="1" x14ac:dyDescent="0.3">
      <c r="A319" s="59" t="s">
        <v>23</v>
      </c>
      <c r="B319" s="60" t="str">
        <f t="shared" ref="B319:B320" si="219">IF(K319=0,"hide","")</f>
        <v/>
      </c>
      <c r="D319" s="61" t="str">
        <f>"02666"</f>
        <v>02666</v>
      </c>
      <c r="E319" s="62" t="str">
        <f>"9"</f>
        <v>9</v>
      </c>
      <c r="F319" s="63">
        <v>1682</v>
      </c>
      <c r="G319" s="63">
        <v>2276.25</v>
      </c>
      <c r="H319" s="63">
        <v>3267.9166666666665</v>
      </c>
      <c r="I319" s="63">
        <v>3865.0833333333335</v>
      </c>
      <c r="J319" s="63">
        <v>2611.1012048192774</v>
      </c>
      <c r="K319" s="63">
        <f>AVERAGE(I319:J319)</f>
        <v>3238.0922690763055</v>
      </c>
      <c r="L319" s="64" t="str">
        <f>"SMART CHOICE APPLE CIN MUFFIN"</f>
        <v>SMART CHOICE APPLE CIN MUFFIN</v>
      </c>
      <c r="M319" s="65" t="str">
        <f>"96-2 oz. I.W."</f>
        <v>96-2 oz. I.W.</v>
      </c>
      <c r="N319" s="66">
        <v>96</v>
      </c>
      <c r="O319" s="67">
        <v>4.5999999999999999E-3</v>
      </c>
      <c r="P319" s="68">
        <f>1/O319</f>
        <v>217.39130434782609</v>
      </c>
      <c r="Q319" s="53">
        <v>4.5999999999999999E-3</v>
      </c>
      <c r="R319" s="69">
        <f t="shared" ref="R319" si="220">1/Q319</f>
        <v>217.39130434782609</v>
      </c>
      <c r="S319" s="70">
        <f t="shared" ref="S319" si="221">R319*N319</f>
        <v>20869.565217391304</v>
      </c>
    </row>
    <row r="320" spans="1:19" ht="15.6" customHeight="1" thickBot="1" x14ac:dyDescent="0.3">
      <c r="A320" t="s">
        <v>23</v>
      </c>
      <c r="B320" s="60" t="str">
        <f t="shared" si="219"/>
        <v/>
      </c>
      <c r="D320" s="48" t="str">
        <f>D319</f>
        <v>02666</v>
      </c>
      <c r="E320" s="7"/>
      <c r="F320" s="27">
        <v>-1243.8124999999998</v>
      </c>
      <c r="G320" s="27">
        <v>-1292.6025000000002</v>
      </c>
      <c r="H320" s="27">
        <v>-1755.1458333333333</v>
      </c>
      <c r="I320" s="27">
        <v>-1853.0833333333333</v>
      </c>
      <c r="J320" s="27">
        <v>-474.21253012048197</v>
      </c>
      <c r="K320" s="63">
        <f>AVERAGE(I320:J320)</f>
        <v>-1163.6479317269077</v>
      </c>
      <c r="L320" s="56" t="str">
        <f>"EQP-LAWPACK1"</f>
        <v>EQP-LAWPACK1</v>
      </c>
      <c r="M320" s="14"/>
      <c r="N320" s="15"/>
      <c r="O320" s="12"/>
      <c r="P320" s="34"/>
      <c r="Q320" s="37"/>
      <c r="R320" s="47"/>
      <c r="S320" s="46"/>
    </row>
    <row r="321" spans="1:19" ht="15.6" customHeight="1" thickBot="1" x14ac:dyDescent="0.3">
      <c r="A321" t="s">
        <v>23</v>
      </c>
      <c r="B321" s="60" t="str">
        <f t="shared" ref="B321:B323" si="222">IF(K321=0,"hide","")</f>
        <v/>
      </c>
      <c r="D321" s="48" t="str">
        <f>D320</f>
        <v>02666</v>
      </c>
      <c r="E321" s="7"/>
      <c r="F321" s="27">
        <v>0</v>
      </c>
      <c r="G321" s="27">
        <v>0</v>
      </c>
      <c r="H321" s="27">
        <v>0</v>
      </c>
      <c r="I321" s="27">
        <v>0</v>
      </c>
      <c r="J321" s="27">
        <v>-158.75277108433735</v>
      </c>
      <c r="K321" s="63">
        <f>AVERAGE(I321:J321)</f>
        <v>-79.376385542168677</v>
      </c>
      <c r="L321" s="56" t="str">
        <f>"EQP-LAWPACK2"</f>
        <v>EQP-LAWPACK2</v>
      </c>
      <c r="M321" s="14"/>
      <c r="N321" s="15"/>
      <c r="O321" s="12"/>
      <c r="P321" s="34"/>
      <c r="Q321" s="37"/>
      <c r="R321" s="47"/>
      <c r="S321" s="46"/>
    </row>
    <row r="322" spans="1:19" ht="15.6" hidden="1" customHeight="1" thickBot="1" x14ac:dyDescent="0.3">
      <c r="A322" t="s">
        <v>23</v>
      </c>
      <c r="B322" s="60" t="str">
        <f t="shared" si="222"/>
        <v>hide</v>
      </c>
      <c r="D322" s="48" t="str">
        <f>D321</f>
        <v>02666</v>
      </c>
      <c r="E322" s="7"/>
      <c r="F322" s="27">
        <v>0</v>
      </c>
      <c r="G322" s="27">
        <v>0</v>
      </c>
      <c r="H322" s="27">
        <v>0</v>
      </c>
      <c r="I322" s="27">
        <v>0</v>
      </c>
      <c r="J322" s="27">
        <v>0</v>
      </c>
      <c r="K322" s="63">
        <f>AVERAGE(I322:J322)</f>
        <v>0</v>
      </c>
      <c r="L322" s="56" t="str">
        <f>"SW-COMAS-PACKL"</f>
        <v>SW-COMAS-PACKL</v>
      </c>
      <c r="M322" s="14"/>
      <c r="N322" s="15"/>
      <c r="O322" s="12"/>
      <c r="P322" s="34"/>
      <c r="Q322" s="37"/>
      <c r="R322" s="47"/>
      <c r="S322" s="46"/>
    </row>
    <row r="323" spans="1:19" ht="15.6" hidden="1" customHeight="1" thickBot="1" x14ac:dyDescent="0.3">
      <c r="A323" t="s">
        <v>23</v>
      </c>
      <c r="B323" s="60" t="str">
        <f t="shared" si="222"/>
        <v>hide</v>
      </c>
      <c r="D323" s="48" t="str">
        <f>D322</f>
        <v>02666</v>
      </c>
      <c r="E323" s="7"/>
      <c r="F323" s="27">
        <v>0</v>
      </c>
      <c r="G323" s="27">
        <v>0</v>
      </c>
      <c r="H323" s="27">
        <v>0</v>
      </c>
      <c r="I323" s="27">
        <v>0</v>
      </c>
      <c r="J323" s="27">
        <v>0</v>
      </c>
      <c r="K323" s="63">
        <f>AVERAGE(I323:J323)</f>
        <v>0</v>
      </c>
      <c r="L323" s="56" t="str">
        <f>"SW-RISER-PACK"</f>
        <v>SW-RISER-PACK</v>
      </c>
      <c r="M323" s="14"/>
      <c r="N323" s="15"/>
      <c r="O323" s="12"/>
      <c r="P323" s="34"/>
      <c r="Q323" s="37"/>
      <c r="R323" s="47"/>
      <c r="S323" s="46"/>
    </row>
    <row r="324" spans="1:19" ht="12" hidden="1" customHeight="1" x14ac:dyDescent="0.25">
      <c r="A324" s="35" t="s">
        <v>908</v>
      </c>
      <c r="B324" s="49" t="str">
        <f>B320</f>
        <v/>
      </c>
      <c r="N324"/>
      <c r="Q324" s="33"/>
    </row>
    <row r="325" spans="1:19" ht="13.8" thickBot="1" x14ac:dyDescent="0.3">
      <c r="A325" t="s">
        <v>23</v>
      </c>
      <c r="B325" s="49" t="str">
        <f t="shared" ref="B325" si="223">B324</f>
        <v/>
      </c>
      <c r="D325" s="58"/>
      <c r="E325" s="58"/>
      <c r="F325" s="52">
        <f>SUM(F320:F324)</f>
        <v>-1243.8124999999998</v>
      </c>
      <c r="G325" s="52">
        <f>SUM(G320:G324)</f>
        <v>-1292.6025000000002</v>
      </c>
      <c r="H325" s="52">
        <f>SUM(H320:H324)</f>
        <v>-1755.1458333333333</v>
      </c>
      <c r="I325" s="52">
        <f>SUM(I320:I324)</f>
        <v>-1853.0833333333333</v>
      </c>
      <c r="J325" s="52">
        <f>SUM(J320:J324)</f>
        <v>-632.9653012048193</v>
      </c>
      <c r="K325" s="52"/>
      <c r="L325" s="51" t="s">
        <v>4</v>
      </c>
      <c r="M325" s="58"/>
      <c r="N325" s="58"/>
      <c r="O325" s="58"/>
      <c r="P325" s="58"/>
      <c r="Q325" s="58"/>
      <c r="R325" s="58"/>
      <c r="S325" s="58"/>
    </row>
    <row r="326" spans="1:19" s="59" customFormat="1" ht="18.75" hidden="1" customHeight="1" thickBot="1" x14ac:dyDescent="0.3">
      <c r="A326" s="59" t="s">
        <v>23</v>
      </c>
      <c r="B326" s="60" t="str">
        <f t="shared" ref="B326:B327" si="224">IF(K326=0,"hide","")</f>
        <v>hide</v>
      </c>
      <c r="D326" s="61" t="str">
        <f>"02669"</f>
        <v>02669</v>
      </c>
      <c r="E326" s="62" t="str">
        <f>"3"</f>
        <v>3</v>
      </c>
      <c r="F326" s="63">
        <v>20.25</v>
      </c>
      <c r="G326" s="63">
        <v>31.166666666666668</v>
      </c>
      <c r="H326" s="63">
        <v>21.083333333333332</v>
      </c>
      <c r="I326" s="63">
        <v>0</v>
      </c>
      <c r="J326" s="63">
        <v>0</v>
      </c>
      <c r="K326" s="63">
        <f>AVERAGE(I326:J326)</f>
        <v>0</v>
      </c>
      <c r="L326" s="64" t="str">
        <f>"Smart Choice Strawbery"</f>
        <v>Smart Choice Strawbery</v>
      </c>
      <c r="M326" s="65" t="str">
        <f>"96-2 oz. I.W."</f>
        <v>96-2 oz. I.W.</v>
      </c>
      <c r="N326" s="66">
        <v>96</v>
      </c>
      <c r="O326" s="67" t="str">
        <f>""</f>
        <v/>
      </c>
      <c r="P326" s="68" t="e">
        <f>1/O326</f>
        <v>#VALUE!</v>
      </c>
      <c r="Q326" s="53">
        <v>1</v>
      </c>
      <c r="R326" s="69">
        <f t="shared" ref="R326" si="225">1/Q326</f>
        <v>1</v>
      </c>
      <c r="S326" s="70">
        <f t="shared" ref="S326" si="226">R326*N326</f>
        <v>96</v>
      </c>
    </row>
    <row r="327" spans="1:19" ht="15.6" hidden="1" customHeight="1" thickBot="1" x14ac:dyDescent="0.3">
      <c r="A327" t="s">
        <v>23</v>
      </c>
      <c r="B327" s="60" t="str">
        <f t="shared" si="224"/>
        <v>hide</v>
      </c>
      <c r="D327" s="48" t="str">
        <f>D326</f>
        <v>02669</v>
      </c>
      <c r="E327" s="7"/>
      <c r="F327" s="27">
        <v>0</v>
      </c>
      <c r="G327" s="27">
        <v>0</v>
      </c>
      <c r="H327" s="27">
        <v>0</v>
      </c>
      <c r="I327" s="27">
        <v>0</v>
      </c>
      <c r="J327" s="27">
        <v>0</v>
      </c>
      <c r="K327" s="63">
        <f>AVERAGE(I327:J327)</f>
        <v>0</v>
      </c>
      <c r="L327" s="56" t="str">
        <f>"EQP-LAWPACK1"</f>
        <v>EQP-LAWPACK1</v>
      </c>
      <c r="M327" s="14"/>
      <c r="N327" s="15"/>
      <c r="O327" s="12"/>
      <c r="P327" s="34"/>
      <c r="Q327" s="37"/>
      <c r="R327" s="47"/>
      <c r="S327" s="46"/>
    </row>
    <row r="328" spans="1:19" ht="15.6" hidden="1" customHeight="1" thickBot="1" x14ac:dyDescent="0.3">
      <c r="A328" t="s">
        <v>23</v>
      </c>
      <c r="B328" s="60" t="str">
        <f t="shared" ref="B328:B330" si="227">IF(K328=0,"hide","")</f>
        <v>hide</v>
      </c>
      <c r="D328" s="48" t="str">
        <f>D327</f>
        <v>02669</v>
      </c>
      <c r="E328" s="7"/>
      <c r="F328" s="27">
        <v>0</v>
      </c>
      <c r="G328" s="27">
        <v>0</v>
      </c>
      <c r="H328" s="27">
        <v>0</v>
      </c>
      <c r="I328" s="27">
        <v>0</v>
      </c>
      <c r="J328" s="27">
        <v>0</v>
      </c>
      <c r="K328" s="63">
        <f>AVERAGE(I328:J328)</f>
        <v>0</v>
      </c>
      <c r="L328" s="56" t="str">
        <f>"EQP-LAWPACK2"</f>
        <v>EQP-LAWPACK2</v>
      </c>
      <c r="M328" s="14"/>
      <c r="N328" s="15"/>
      <c r="O328" s="12"/>
      <c r="P328" s="34"/>
      <c r="Q328" s="37"/>
      <c r="R328" s="47"/>
      <c r="S328" s="46"/>
    </row>
    <row r="329" spans="1:19" ht="15.6" hidden="1" customHeight="1" thickBot="1" x14ac:dyDescent="0.3">
      <c r="A329" t="s">
        <v>23</v>
      </c>
      <c r="B329" s="60" t="str">
        <f t="shared" si="227"/>
        <v>hide</v>
      </c>
      <c r="D329" s="48" t="str">
        <f>D328</f>
        <v>02669</v>
      </c>
      <c r="E329" s="7"/>
      <c r="F329" s="27">
        <v>0</v>
      </c>
      <c r="G329" s="27">
        <v>0</v>
      </c>
      <c r="H329" s="27">
        <v>0</v>
      </c>
      <c r="I329" s="27">
        <v>0</v>
      </c>
      <c r="J329" s="27">
        <v>0</v>
      </c>
      <c r="K329" s="63">
        <f>AVERAGE(I329:J329)</f>
        <v>0</v>
      </c>
      <c r="L329" s="56" t="str">
        <f>"SW-COMAS-PACKL"</f>
        <v>SW-COMAS-PACKL</v>
      </c>
      <c r="M329" s="14"/>
      <c r="N329" s="15"/>
      <c r="O329" s="12"/>
      <c r="P329" s="34"/>
      <c r="Q329" s="37"/>
      <c r="R329" s="47"/>
      <c r="S329" s="46"/>
    </row>
    <row r="330" spans="1:19" ht="15.6" hidden="1" customHeight="1" thickBot="1" x14ac:dyDescent="0.3">
      <c r="A330" t="s">
        <v>23</v>
      </c>
      <c r="B330" s="60" t="str">
        <f t="shared" si="227"/>
        <v>hide</v>
      </c>
      <c r="D330" s="48" t="str">
        <f>D329</f>
        <v>02669</v>
      </c>
      <c r="E330" s="7"/>
      <c r="F330" s="27">
        <v>0</v>
      </c>
      <c r="G330" s="27">
        <v>0</v>
      </c>
      <c r="H330" s="27">
        <v>0</v>
      </c>
      <c r="I330" s="27">
        <v>0</v>
      </c>
      <c r="J330" s="27">
        <v>0</v>
      </c>
      <c r="K330" s="63">
        <f>AVERAGE(I330:J330)</f>
        <v>0</v>
      </c>
      <c r="L330" s="56" t="str">
        <f>"SW-RISER-PACK"</f>
        <v>SW-RISER-PACK</v>
      </c>
      <c r="M330" s="14"/>
      <c r="N330" s="15"/>
      <c r="O330" s="12"/>
      <c r="P330" s="34"/>
      <c r="Q330" s="37"/>
      <c r="R330" s="47"/>
      <c r="S330" s="46"/>
    </row>
    <row r="331" spans="1:19" ht="12" hidden="1" customHeight="1" x14ac:dyDescent="0.3">
      <c r="A331" s="35" t="s">
        <v>908</v>
      </c>
      <c r="B331" s="49" t="str">
        <f>B327</f>
        <v>hide</v>
      </c>
      <c r="N331"/>
      <c r="Q331" s="33"/>
    </row>
    <row r="332" spans="1:19" ht="13.8" hidden="1" thickBot="1" x14ac:dyDescent="0.3">
      <c r="A332" t="s">
        <v>23</v>
      </c>
      <c r="B332" s="49" t="str">
        <f t="shared" ref="B332" si="228">B331</f>
        <v>hide</v>
      </c>
      <c r="D332" s="58"/>
      <c r="E332" s="58"/>
      <c r="F332" s="52">
        <f>SUM(F327:F331)</f>
        <v>0</v>
      </c>
      <c r="G332" s="52">
        <f>SUM(G327:G331)</f>
        <v>0</v>
      </c>
      <c r="H332" s="52">
        <f>SUM(H327:H331)</f>
        <v>0</v>
      </c>
      <c r="I332" s="52">
        <f>SUM(I327:I331)</f>
        <v>0</v>
      </c>
      <c r="J332" s="52">
        <f>SUM(J327:J331)</f>
        <v>0</v>
      </c>
      <c r="K332" s="52"/>
      <c r="L332" s="51" t="s">
        <v>4</v>
      </c>
      <c r="M332" s="58"/>
      <c r="N332" s="58"/>
      <c r="O332" s="58"/>
      <c r="P332" s="58"/>
      <c r="Q332" s="58"/>
      <c r="R332" s="58"/>
      <c r="S332" s="58"/>
    </row>
    <row r="333" spans="1:19" s="59" customFormat="1" ht="18.75" customHeight="1" thickBot="1" x14ac:dyDescent="0.3">
      <c r="A333" s="59" t="s">
        <v>23</v>
      </c>
      <c r="B333" s="60" t="str">
        <f t="shared" ref="B333:B334" si="229">IF(K333=0,"hide","")</f>
        <v/>
      </c>
      <c r="D333" s="61" t="str">
        <f>"02670"</f>
        <v>02670</v>
      </c>
      <c r="E333" s="62" t="str">
        <f>"10"</f>
        <v>10</v>
      </c>
      <c r="F333" s="63">
        <v>4108.666666666667</v>
      </c>
      <c r="G333" s="63">
        <v>3667.2083333333335</v>
      </c>
      <c r="H333" s="63">
        <v>5564.75</v>
      </c>
      <c r="I333" s="63">
        <v>6657.416666666667</v>
      </c>
      <c r="J333" s="63">
        <v>5399.4354216867468</v>
      </c>
      <c r="K333" s="63">
        <f>AVERAGE(I333:J333)</f>
        <v>6028.4260441767074</v>
      </c>
      <c r="L333" s="64" t="str">
        <f>"SMART CHOICE CHOC.CHIP MUFFIN"</f>
        <v>SMART CHOICE CHOC.CHIP MUFFIN</v>
      </c>
      <c r="M333" s="65" t="str">
        <f>"96-2 oz. I.W."</f>
        <v>96-2 oz. I.W.</v>
      </c>
      <c r="N333" s="66">
        <v>96</v>
      </c>
      <c r="O333" s="67">
        <v>4.5999999999999999E-3</v>
      </c>
      <c r="P333" s="68">
        <f>1/O333</f>
        <v>217.39130434782609</v>
      </c>
      <c r="Q333" s="53">
        <v>4.5999999999999999E-3</v>
      </c>
      <c r="R333" s="69">
        <f t="shared" ref="R333" si="230">1/Q333</f>
        <v>217.39130434782609</v>
      </c>
      <c r="S333" s="70">
        <f t="shared" ref="S333" si="231">R333*N333</f>
        <v>20869.565217391304</v>
      </c>
    </row>
    <row r="334" spans="1:19" ht="15.6" customHeight="1" thickBot="1" x14ac:dyDescent="0.3">
      <c r="A334" t="s">
        <v>23</v>
      </c>
      <c r="B334" s="60" t="str">
        <f t="shared" si="229"/>
        <v/>
      </c>
      <c r="D334" s="48" t="str">
        <f>D333</f>
        <v>02670</v>
      </c>
      <c r="E334" s="7"/>
      <c r="F334" s="27">
        <v>-4189.8408333333327</v>
      </c>
      <c r="G334" s="27">
        <v>-2405.2366666666671</v>
      </c>
      <c r="H334" s="27">
        <v>-3860.22</v>
      </c>
      <c r="I334" s="27">
        <v>-5333.75</v>
      </c>
      <c r="J334" s="27">
        <v>-4587.2595180722892</v>
      </c>
      <c r="K334" s="63">
        <f>AVERAGE(I334:J334)</f>
        <v>-4960.5047590361446</v>
      </c>
      <c r="L334" s="56" t="str">
        <f>"EQP-LAWPACK1"</f>
        <v>EQP-LAWPACK1</v>
      </c>
      <c r="M334" s="14"/>
      <c r="N334" s="15"/>
      <c r="O334" s="12"/>
      <c r="P334" s="34"/>
      <c r="Q334" s="37"/>
      <c r="R334" s="47"/>
      <c r="S334" s="46"/>
    </row>
    <row r="335" spans="1:19" ht="15.6" hidden="1" customHeight="1" thickBot="1" x14ac:dyDescent="0.3">
      <c r="A335" t="s">
        <v>23</v>
      </c>
      <c r="B335" s="60" t="str">
        <f t="shared" ref="B335:B337" si="232">IF(K335=0,"hide","")</f>
        <v>hide</v>
      </c>
      <c r="D335" s="48" t="str">
        <f>D334</f>
        <v>02670</v>
      </c>
      <c r="E335" s="7"/>
      <c r="F335" s="27">
        <v>0</v>
      </c>
      <c r="G335" s="27">
        <v>0</v>
      </c>
      <c r="H335" s="27">
        <v>0</v>
      </c>
      <c r="I335" s="27">
        <v>0</v>
      </c>
      <c r="J335" s="27">
        <v>0</v>
      </c>
      <c r="K335" s="63">
        <f>AVERAGE(I335:J335)</f>
        <v>0</v>
      </c>
      <c r="L335" s="56" t="str">
        <f>"EQP-LAWPACK2"</f>
        <v>EQP-LAWPACK2</v>
      </c>
      <c r="M335" s="14"/>
      <c r="N335" s="15"/>
      <c r="O335" s="12"/>
      <c r="P335" s="34"/>
      <c r="Q335" s="37"/>
      <c r="R335" s="47"/>
      <c r="S335" s="46"/>
    </row>
    <row r="336" spans="1:19" ht="15.6" hidden="1" customHeight="1" thickBot="1" x14ac:dyDescent="0.3">
      <c r="A336" t="s">
        <v>23</v>
      </c>
      <c r="B336" s="60" t="str">
        <f t="shared" si="232"/>
        <v>hide</v>
      </c>
      <c r="D336" s="48" t="str">
        <f>D335</f>
        <v>02670</v>
      </c>
      <c r="E336" s="7"/>
      <c r="F336" s="27">
        <v>0</v>
      </c>
      <c r="G336" s="27">
        <v>0</v>
      </c>
      <c r="H336" s="27">
        <v>0</v>
      </c>
      <c r="I336" s="27">
        <v>0</v>
      </c>
      <c r="J336" s="27">
        <v>0</v>
      </c>
      <c r="K336" s="63">
        <f>AVERAGE(I336:J336)</f>
        <v>0</v>
      </c>
      <c r="L336" s="56" t="str">
        <f>"SW-COMAS-PACKL"</f>
        <v>SW-COMAS-PACKL</v>
      </c>
      <c r="M336" s="14"/>
      <c r="N336" s="15"/>
      <c r="O336" s="12"/>
      <c r="P336" s="34"/>
      <c r="Q336" s="37"/>
      <c r="R336" s="47"/>
      <c r="S336" s="46"/>
    </row>
    <row r="337" spans="1:19" ht="15.6" hidden="1" customHeight="1" thickBot="1" x14ac:dyDescent="0.3">
      <c r="A337" t="s">
        <v>23</v>
      </c>
      <c r="B337" s="60" t="str">
        <f t="shared" si="232"/>
        <v>hide</v>
      </c>
      <c r="D337" s="48" t="str">
        <f>D336</f>
        <v>02670</v>
      </c>
      <c r="E337" s="7"/>
      <c r="F337" s="27">
        <v>0</v>
      </c>
      <c r="G337" s="27">
        <v>0</v>
      </c>
      <c r="H337" s="27">
        <v>0</v>
      </c>
      <c r="I337" s="27">
        <v>0</v>
      </c>
      <c r="J337" s="27">
        <v>0</v>
      </c>
      <c r="K337" s="63">
        <f>AVERAGE(I337:J337)</f>
        <v>0</v>
      </c>
      <c r="L337" s="56" t="str">
        <f>"SW-RISER-PACK"</f>
        <v>SW-RISER-PACK</v>
      </c>
      <c r="M337" s="14"/>
      <c r="N337" s="15"/>
      <c r="O337" s="12"/>
      <c r="P337" s="34"/>
      <c r="Q337" s="37"/>
      <c r="R337" s="47"/>
      <c r="S337" s="46"/>
    </row>
    <row r="338" spans="1:19" ht="12" hidden="1" customHeight="1" x14ac:dyDescent="0.25">
      <c r="A338" s="35" t="s">
        <v>908</v>
      </c>
      <c r="B338" s="49" t="str">
        <f>B334</f>
        <v/>
      </c>
      <c r="N338"/>
      <c r="Q338" s="33"/>
    </row>
    <row r="339" spans="1:19" ht="13.8" thickBot="1" x14ac:dyDescent="0.3">
      <c r="A339" t="s">
        <v>23</v>
      </c>
      <c r="B339" s="49" t="str">
        <f t="shared" ref="B339" si="233">B338</f>
        <v/>
      </c>
      <c r="D339" s="58"/>
      <c r="E339" s="58"/>
      <c r="F339" s="52">
        <f>SUM(F334:F338)</f>
        <v>-4189.8408333333327</v>
      </c>
      <c r="G339" s="52">
        <f>SUM(G334:G338)</f>
        <v>-2405.2366666666671</v>
      </c>
      <c r="H339" s="52">
        <f>SUM(H334:H338)</f>
        <v>-3860.22</v>
      </c>
      <c r="I339" s="52">
        <f>SUM(I334:I338)</f>
        <v>-5333.75</v>
      </c>
      <c r="J339" s="52">
        <f>SUM(J334:J338)</f>
        <v>-4587.2595180722892</v>
      </c>
      <c r="K339" s="52"/>
      <c r="L339" s="51" t="s">
        <v>4</v>
      </c>
      <c r="M339" s="58"/>
      <c r="N339" s="58"/>
      <c r="O339" s="58"/>
      <c r="P339" s="58"/>
      <c r="Q339" s="58"/>
      <c r="R339" s="58"/>
      <c r="S339" s="58"/>
    </row>
    <row r="340" spans="1:19" s="59" customFormat="1" ht="18.75" customHeight="1" thickBot="1" x14ac:dyDescent="0.3">
      <c r="A340" s="59" t="s">
        <v>23</v>
      </c>
      <c r="B340" s="60" t="str">
        <f t="shared" ref="B340:B341" si="234">IF(K340=0,"hide","")</f>
        <v/>
      </c>
      <c r="D340" s="61" t="str">
        <f>"02673"</f>
        <v>02673</v>
      </c>
      <c r="E340" s="62" t="str">
        <f>"9"</f>
        <v>9</v>
      </c>
      <c r="F340" s="63">
        <v>337.58333333333337</v>
      </c>
      <c r="G340" s="63">
        <v>439.41666666666669</v>
      </c>
      <c r="H340" s="63">
        <v>779.5</v>
      </c>
      <c r="I340" s="63">
        <v>682.33333333333326</v>
      </c>
      <c r="J340" s="63">
        <v>542.74626506024094</v>
      </c>
      <c r="K340" s="63">
        <f>AVERAGE(I340:J340)</f>
        <v>612.53979919678704</v>
      </c>
      <c r="L340" s="64" t="str">
        <f>"SMART CHOICE CH CH CHIP MUFFIN"</f>
        <v>SMART CHOICE CH CH CHIP MUFFIN</v>
      </c>
      <c r="M340" s="65" t="str">
        <f>"96-2 oz. I.W."</f>
        <v>96-2 oz. I.W.</v>
      </c>
      <c r="N340" s="66">
        <v>96</v>
      </c>
      <c r="O340" s="67">
        <v>4.5999999999999999E-3</v>
      </c>
      <c r="P340" s="68">
        <f>1/O340</f>
        <v>217.39130434782609</v>
      </c>
      <c r="Q340" s="53">
        <v>4.5999999999999999E-3</v>
      </c>
      <c r="R340" s="69">
        <f t="shared" ref="R340" si="235">1/Q340</f>
        <v>217.39130434782609</v>
      </c>
      <c r="S340" s="70">
        <f t="shared" ref="S340" si="236">R340*N340</f>
        <v>20869.565217391304</v>
      </c>
    </row>
    <row r="341" spans="1:19" ht="15.6" hidden="1" customHeight="1" thickBot="1" x14ac:dyDescent="0.3">
      <c r="A341" t="s">
        <v>23</v>
      </c>
      <c r="B341" s="60" t="str">
        <f t="shared" si="234"/>
        <v>hide</v>
      </c>
      <c r="D341" s="48" t="str">
        <f>D340</f>
        <v>02673</v>
      </c>
      <c r="E341" s="7"/>
      <c r="F341" s="27">
        <v>-27.352500000000003</v>
      </c>
      <c r="G341" s="27">
        <v>0</v>
      </c>
      <c r="H341" s="27">
        <v>0</v>
      </c>
      <c r="I341" s="27">
        <v>0</v>
      </c>
      <c r="J341" s="27">
        <v>0</v>
      </c>
      <c r="K341" s="63">
        <f>AVERAGE(I341:J341)</f>
        <v>0</v>
      </c>
      <c r="L341" s="56" t="str">
        <f>"EQP-LAWPACK1"</f>
        <v>EQP-LAWPACK1</v>
      </c>
      <c r="M341" s="14"/>
      <c r="N341" s="15"/>
      <c r="O341" s="12"/>
      <c r="P341" s="34"/>
      <c r="Q341" s="37"/>
      <c r="R341" s="47"/>
      <c r="S341" s="46"/>
    </row>
    <row r="342" spans="1:19" ht="15.6" hidden="1" customHeight="1" thickBot="1" x14ac:dyDescent="0.3">
      <c r="A342" t="s">
        <v>23</v>
      </c>
      <c r="B342" s="60" t="str">
        <f t="shared" ref="B342:B344" si="237">IF(K342=0,"hide","")</f>
        <v>hide</v>
      </c>
      <c r="D342" s="48" t="str">
        <f>D341</f>
        <v>02673</v>
      </c>
      <c r="E342" s="7"/>
      <c r="F342" s="27">
        <v>0</v>
      </c>
      <c r="G342" s="27">
        <v>0</v>
      </c>
      <c r="H342" s="27">
        <v>0</v>
      </c>
      <c r="I342" s="27">
        <v>0</v>
      </c>
      <c r="J342" s="27">
        <v>0</v>
      </c>
      <c r="K342" s="63">
        <f>AVERAGE(I342:J342)</f>
        <v>0</v>
      </c>
      <c r="L342" s="56" t="str">
        <f>"EQP-LAWPACK2"</f>
        <v>EQP-LAWPACK2</v>
      </c>
      <c r="M342" s="14"/>
      <c r="N342" s="15"/>
      <c r="O342" s="12"/>
      <c r="P342" s="34"/>
      <c r="Q342" s="37"/>
      <c r="R342" s="47"/>
      <c r="S342" s="46"/>
    </row>
    <row r="343" spans="1:19" ht="15.6" hidden="1" customHeight="1" thickBot="1" x14ac:dyDescent="0.3">
      <c r="A343" t="s">
        <v>23</v>
      </c>
      <c r="B343" s="60" t="str">
        <f t="shared" si="237"/>
        <v>hide</v>
      </c>
      <c r="D343" s="48" t="str">
        <f>D342</f>
        <v>02673</v>
      </c>
      <c r="E343" s="7"/>
      <c r="F343" s="27">
        <v>0</v>
      </c>
      <c r="G343" s="27">
        <v>0</v>
      </c>
      <c r="H343" s="27">
        <v>0</v>
      </c>
      <c r="I343" s="27">
        <v>0</v>
      </c>
      <c r="J343" s="27">
        <v>0</v>
      </c>
      <c r="K343" s="63">
        <f>AVERAGE(I343:J343)</f>
        <v>0</v>
      </c>
      <c r="L343" s="56" t="str">
        <f>"SW-COMAS-PACKL"</f>
        <v>SW-COMAS-PACKL</v>
      </c>
      <c r="M343" s="14"/>
      <c r="N343" s="15"/>
      <c r="O343" s="12"/>
      <c r="P343" s="34"/>
      <c r="Q343" s="37"/>
      <c r="R343" s="47"/>
      <c r="S343" s="46"/>
    </row>
    <row r="344" spans="1:19" ht="15.6" hidden="1" customHeight="1" thickBot="1" x14ac:dyDescent="0.3">
      <c r="A344" t="s">
        <v>23</v>
      </c>
      <c r="B344" s="60" t="str">
        <f t="shared" si="237"/>
        <v>hide</v>
      </c>
      <c r="D344" s="48" t="str">
        <f>D343</f>
        <v>02673</v>
      </c>
      <c r="E344" s="7"/>
      <c r="F344" s="27">
        <v>0</v>
      </c>
      <c r="G344" s="27">
        <v>0</v>
      </c>
      <c r="H344" s="27">
        <v>0</v>
      </c>
      <c r="I344" s="27">
        <v>0</v>
      </c>
      <c r="J344" s="27">
        <v>0</v>
      </c>
      <c r="K344" s="63">
        <f>AVERAGE(I344:J344)</f>
        <v>0</v>
      </c>
      <c r="L344" s="56" t="str">
        <f>"SW-RISER-PACK"</f>
        <v>SW-RISER-PACK</v>
      </c>
      <c r="M344" s="14"/>
      <c r="N344" s="15"/>
      <c r="O344" s="12"/>
      <c r="P344" s="34"/>
      <c r="Q344" s="37"/>
      <c r="R344" s="47"/>
      <c r="S344" s="46"/>
    </row>
    <row r="345" spans="1:19" ht="12" hidden="1" customHeight="1" x14ac:dyDescent="0.3">
      <c r="A345" s="35" t="s">
        <v>908</v>
      </c>
      <c r="B345" s="49" t="str">
        <f>B341</f>
        <v>hide</v>
      </c>
      <c r="N345"/>
      <c r="Q345" s="33"/>
    </row>
    <row r="346" spans="1:19" ht="13.8" hidden="1" thickBot="1" x14ac:dyDescent="0.3">
      <c r="A346" t="s">
        <v>23</v>
      </c>
      <c r="B346" s="49" t="str">
        <f t="shared" ref="B346" si="238">B345</f>
        <v>hide</v>
      </c>
      <c r="D346" s="58"/>
      <c r="E346" s="58"/>
      <c r="F346" s="52">
        <f>SUM(F341:F345)</f>
        <v>-27.352500000000003</v>
      </c>
      <c r="G346" s="52">
        <f>SUM(G341:G345)</f>
        <v>0</v>
      </c>
      <c r="H346" s="52">
        <f>SUM(H341:H345)</f>
        <v>0</v>
      </c>
      <c r="I346" s="52">
        <f>SUM(I341:I345)</f>
        <v>0</v>
      </c>
      <c r="J346" s="52">
        <f>SUM(J341:J345)</f>
        <v>0</v>
      </c>
      <c r="K346" s="52"/>
      <c r="L346" s="51" t="s">
        <v>4</v>
      </c>
      <c r="M346" s="58"/>
      <c r="N346" s="58"/>
      <c r="O346" s="58"/>
      <c r="P346" s="58"/>
      <c r="Q346" s="58"/>
      <c r="R346" s="58"/>
      <c r="S346" s="58"/>
    </row>
    <row r="347" spans="1:19" s="59" customFormat="1" ht="18.75" customHeight="1" thickBot="1" x14ac:dyDescent="0.3">
      <c r="A347" s="59" t="s">
        <v>23</v>
      </c>
      <c r="B347" s="60" t="str">
        <f t="shared" ref="B347:B348" si="239">IF(K347=0,"hide","")</f>
        <v/>
      </c>
      <c r="D347" s="61" t="str">
        <f>"02675"</f>
        <v>02675</v>
      </c>
      <c r="E347" s="62" t="str">
        <f>"7"</f>
        <v>7</v>
      </c>
      <c r="F347" s="63">
        <v>2194.7500000000005</v>
      </c>
      <c r="G347" s="63">
        <v>2365.1666666666665</v>
      </c>
      <c r="H347" s="63">
        <v>3152.0833333333335</v>
      </c>
      <c r="I347" s="63">
        <v>3422.4166666666665</v>
      </c>
      <c r="J347" s="63">
        <v>2751.3055421686749</v>
      </c>
      <c r="K347" s="63">
        <f>AVERAGE(I347:J347)</f>
        <v>3086.8611044176705</v>
      </c>
      <c r="L347" s="64" t="str">
        <f>"SMART CHOICE BANANA MUFFINS"</f>
        <v>SMART CHOICE BANANA MUFFINS</v>
      </c>
      <c r="M347" s="65" t="str">
        <f>"96-2 oz. I.W."</f>
        <v>96-2 oz. I.W.</v>
      </c>
      <c r="N347" s="66">
        <v>96</v>
      </c>
      <c r="O347" s="67">
        <v>4.5999999999999999E-3</v>
      </c>
      <c r="P347" s="68">
        <f>1/O347</f>
        <v>217.39130434782609</v>
      </c>
      <c r="Q347" s="53">
        <v>4.5999999999999999E-3</v>
      </c>
      <c r="R347" s="69">
        <f t="shared" ref="R347" si="240">1/Q347</f>
        <v>217.39130434782609</v>
      </c>
      <c r="S347" s="70">
        <f t="shared" ref="S347" si="241">R347*N347</f>
        <v>20869.565217391304</v>
      </c>
    </row>
    <row r="348" spans="1:19" ht="15.6" customHeight="1" thickBot="1" x14ac:dyDescent="0.3">
      <c r="A348" t="s">
        <v>23</v>
      </c>
      <c r="B348" s="60" t="str">
        <f t="shared" si="239"/>
        <v/>
      </c>
      <c r="D348" s="48" t="str">
        <f>D347</f>
        <v>02675</v>
      </c>
      <c r="E348" s="7"/>
      <c r="F348" s="27">
        <v>-1867.6083333333333</v>
      </c>
      <c r="G348" s="27">
        <v>-1805.7341666666669</v>
      </c>
      <c r="H348" s="27">
        <v>-1904.6816666666666</v>
      </c>
      <c r="I348" s="27">
        <v>-998.33333333333337</v>
      </c>
      <c r="J348" s="27">
        <v>-1188.7363855421688</v>
      </c>
      <c r="K348" s="63">
        <f>AVERAGE(I348:J348)</f>
        <v>-1093.534859437751</v>
      </c>
      <c r="L348" s="56" t="str">
        <f>"EQP-LAWPACK1"</f>
        <v>EQP-LAWPACK1</v>
      </c>
      <c r="M348" s="14"/>
      <c r="N348" s="15"/>
      <c r="O348" s="12"/>
      <c r="P348" s="34"/>
      <c r="Q348" s="37"/>
      <c r="R348" s="47"/>
      <c r="S348" s="46"/>
    </row>
    <row r="349" spans="1:19" ht="15.6" customHeight="1" thickBot="1" x14ac:dyDescent="0.3">
      <c r="A349" t="s">
        <v>23</v>
      </c>
      <c r="B349" s="60" t="str">
        <f t="shared" ref="B349:B351" si="242">IF(K349=0,"hide","")</f>
        <v/>
      </c>
      <c r="D349" s="48" t="str">
        <f>D348</f>
        <v>02675</v>
      </c>
      <c r="E349" s="7"/>
      <c r="F349" s="27">
        <v>0</v>
      </c>
      <c r="G349" s="27">
        <v>0</v>
      </c>
      <c r="H349" s="27">
        <v>0</v>
      </c>
      <c r="I349" s="27">
        <v>0</v>
      </c>
      <c r="J349" s="27">
        <v>-230.08240963855422</v>
      </c>
      <c r="K349" s="63">
        <f>AVERAGE(I349:J349)</f>
        <v>-115.04120481927711</v>
      </c>
      <c r="L349" s="56" t="str">
        <f>"EQP-LAWPACK2"</f>
        <v>EQP-LAWPACK2</v>
      </c>
      <c r="M349" s="14"/>
      <c r="N349" s="15"/>
      <c r="O349" s="12"/>
      <c r="P349" s="34"/>
      <c r="Q349" s="37"/>
      <c r="R349" s="47"/>
      <c r="S349" s="46"/>
    </row>
    <row r="350" spans="1:19" ht="15.6" hidden="1" customHeight="1" thickBot="1" x14ac:dyDescent="0.3">
      <c r="A350" t="s">
        <v>23</v>
      </c>
      <c r="B350" s="60" t="str">
        <f t="shared" si="242"/>
        <v>hide</v>
      </c>
      <c r="D350" s="48" t="str">
        <f>D349</f>
        <v>02675</v>
      </c>
      <c r="E350" s="7"/>
      <c r="F350" s="27">
        <v>0</v>
      </c>
      <c r="G350" s="27">
        <v>0</v>
      </c>
      <c r="H350" s="27">
        <v>0</v>
      </c>
      <c r="I350" s="27">
        <v>0</v>
      </c>
      <c r="J350" s="27">
        <v>0</v>
      </c>
      <c r="K350" s="63">
        <f>AVERAGE(I350:J350)</f>
        <v>0</v>
      </c>
      <c r="L350" s="56" t="str">
        <f>"SW-COMAS-PACKL"</f>
        <v>SW-COMAS-PACKL</v>
      </c>
      <c r="M350" s="14"/>
      <c r="N350" s="15"/>
      <c r="O350" s="12"/>
      <c r="P350" s="34"/>
      <c r="Q350" s="37"/>
      <c r="R350" s="47"/>
      <c r="S350" s="46"/>
    </row>
    <row r="351" spans="1:19" ht="15.6" hidden="1" customHeight="1" thickBot="1" x14ac:dyDescent="0.3">
      <c r="A351" t="s">
        <v>23</v>
      </c>
      <c r="B351" s="60" t="str">
        <f t="shared" si="242"/>
        <v>hide</v>
      </c>
      <c r="D351" s="48" t="str">
        <f>D350</f>
        <v>02675</v>
      </c>
      <c r="E351" s="7"/>
      <c r="F351" s="27">
        <v>0</v>
      </c>
      <c r="G351" s="27">
        <v>0</v>
      </c>
      <c r="H351" s="27">
        <v>0</v>
      </c>
      <c r="I351" s="27">
        <v>0</v>
      </c>
      <c r="J351" s="27">
        <v>0</v>
      </c>
      <c r="K351" s="63">
        <f>AVERAGE(I351:J351)</f>
        <v>0</v>
      </c>
      <c r="L351" s="56" t="str">
        <f>"SW-RISER-PACK"</f>
        <v>SW-RISER-PACK</v>
      </c>
      <c r="M351" s="14"/>
      <c r="N351" s="15"/>
      <c r="O351" s="12"/>
      <c r="P351" s="34"/>
      <c r="Q351" s="37"/>
      <c r="R351" s="47"/>
      <c r="S351" s="46"/>
    </row>
    <row r="352" spans="1:19" ht="12" hidden="1" customHeight="1" x14ac:dyDescent="0.25">
      <c r="A352" s="35" t="s">
        <v>908</v>
      </c>
      <c r="B352" s="49" t="str">
        <f>B348</f>
        <v/>
      </c>
      <c r="N352"/>
      <c r="Q352" s="33"/>
    </row>
    <row r="353" spans="1:19" ht="13.8" thickBot="1" x14ac:dyDescent="0.3">
      <c r="A353" t="s">
        <v>23</v>
      </c>
      <c r="B353" s="49" t="str">
        <f t="shared" ref="B353" si="243">B352</f>
        <v/>
      </c>
      <c r="D353" s="58"/>
      <c r="E353" s="58"/>
      <c r="F353" s="52">
        <f>SUM(F348:F352)</f>
        <v>-1867.6083333333333</v>
      </c>
      <c r="G353" s="52">
        <f>SUM(G348:G352)</f>
        <v>-1805.7341666666669</v>
      </c>
      <c r="H353" s="52">
        <f>SUM(H348:H352)</f>
        <v>-1904.6816666666666</v>
      </c>
      <c r="I353" s="52">
        <f>SUM(I348:I352)</f>
        <v>-998.33333333333337</v>
      </c>
      <c r="J353" s="52">
        <f>SUM(J348:J352)</f>
        <v>-1418.8187951807231</v>
      </c>
      <c r="K353" s="52"/>
      <c r="L353" s="51" t="s">
        <v>4</v>
      </c>
      <c r="M353" s="58"/>
      <c r="N353" s="58"/>
      <c r="O353" s="58"/>
      <c r="P353" s="58"/>
      <c r="Q353" s="58"/>
      <c r="R353" s="58"/>
      <c r="S353" s="58"/>
    </row>
    <row r="354" spans="1:19" s="59" customFormat="1" ht="18.75" hidden="1" customHeight="1" thickBot="1" x14ac:dyDescent="0.3">
      <c r="A354" s="59" t="s">
        <v>23</v>
      </c>
      <c r="B354" s="60" t="str">
        <f t="shared" ref="B354:B355" si="244">IF(K354=0,"hide","")</f>
        <v>hide</v>
      </c>
      <c r="D354" s="61" t="str">
        <f>"02801"</f>
        <v>02801</v>
      </c>
      <c r="E354" s="62" t="str">
        <f>"2"</f>
        <v>2</v>
      </c>
      <c r="F354" s="63">
        <v>0</v>
      </c>
      <c r="G354" s="63">
        <v>0</v>
      </c>
      <c r="H354" s="63">
        <v>0</v>
      </c>
      <c r="I354" s="63">
        <v>0</v>
      </c>
      <c r="J354" s="63">
        <v>0</v>
      </c>
      <c r="K354" s="63">
        <f>AVERAGE(I354:J354)</f>
        <v>0</v>
      </c>
      <c r="L354" s="64" t="str">
        <f>"Blueberry Muffins"</f>
        <v>Blueberry Muffins</v>
      </c>
      <c r="M354" s="65" t="str">
        <f>"96-2 oz. I.W."</f>
        <v>96-2 oz. I.W.</v>
      </c>
      <c r="N354" s="66">
        <v>96</v>
      </c>
      <c r="O354" s="67" t="str">
        <f>""</f>
        <v/>
      </c>
      <c r="P354" s="68" t="e">
        <f>1/O354</f>
        <v>#VALUE!</v>
      </c>
      <c r="Q354" s="53">
        <v>1</v>
      </c>
      <c r="R354" s="69">
        <f t="shared" ref="R354" si="245">1/Q354</f>
        <v>1</v>
      </c>
      <c r="S354" s="70">
        <f t="shared" ref="S354" si="246">R354*N354</f>
        <v>96</v>
      </c>
    </row>
    <row r="355" spans="1:19" ht="15.6" hidden="1" customHeight="1" thickBot="1" x14ac:dyDescent="0.3">
      <c r="A355" t="s">
        <v>23</v>
      </c>
      <c r="B355" s="60" t="str">
        <f t="shared" si="244"/>
        <v>hide</v>
      </c>
      <c r="D355" s="48" t="str">
        <f>D354</f>
        <v>02801</v>
      </c>
      <c r="E355" s="7"/>
      <c r="F355" s="27">
        <v>0</v>
      </c>
      <c r="G355" s="27">
        <v>0</v>
      </c>
      <c r="H355" s="27">
        <v>0</v>
      </c>
      <c r="I355" s="27">
        <v>0</v>
      </c>
      <c r="J355" s="27">
        <v>0</v>
      </c>
      <c r="K355" s="63">
        <f>AVERAGE(I355:J355)</f>
        <v>0</v>
      </c>
      <c r="L355" s="56" t="str">
        <f>"EQP-LAWPACK1"</f>
        <v>EQP-LAWPACK1</v>
      </c>
      <c r="M355" s="14"/>
      <c r="N355" s="15"/>
      <c r="O355" s="12"/>
      <c r="P355" s="34"/>
      <c r="Q355" s="37"/>
      <c r="R355" s="47"/>
      <c r="S355" s="46"/>
    </row>
    <row r="356" spans="1:19" ht="15.6" hidden="1" customHeight="1" thickBot="1" x14ac:dyDescent="0.3">
      <c r="A356" t="s">
        <v>23</v>
      </c>
      <c r="B356" s="60" t="str">
        <f t="shared" ref="B356:B358" si="247">IF(K356=0,"hide","")</f>
        <v>hide</v>
      </c>
      <c r="D356" s="48" t="str">
        <f>D355</f>
        <v>02801</v>
      </c>
      <c r="E356" s="7"/>
      <c r="F356" s="27">
        <v>0</v>
      </c>
      <c r="G356" s="27">
        <v>0</v>
      </c>
      <c r="H356" s="27">
        <v>0</v>
      </c>
      <c r="I356" s="27">
        <v>0</v>
      </c>
      <c r="J356" s="27">
        <v>0</v>
      </c>
      <c r="K356" s="63">
        <f>AVERAGE(I356:J356)</f>
        <v>0</v>
      </c>
      <c r="L356" s="56" t="str">
        <f>"EQP-LAWPACK2"</f>
        <v>EQP-LAWPACK2</v>
      </c>
      <c r="M356" s="14"/>
      <c r="N356" s="15"/>
      <c r="O356" s="12"/>
      <c r="P356" s="34"/>
      <c r="Q356" s="37"/>
      <c r="R356" s="47"/>
      <c r="S356" s="46"/>
    </row>
    <row r="357" spans="1:19" ht="15.6" hidden="1" customHeight="1" thickBot="1" x14ac:dyDescent="0.3">
      <c r="A357" t="s">
        <v>23</v>
      </c>
      <c r="B357" s="60" t="str">
        <f t="shared" si="247"/>
        <v>hide</v>
      </c>
      <c r="D357" s="48" t="str">
        <f>D356</f>
        <v>02801</v>
      </c>
      <c r="E357" s="7"/>
      <c r="F357" s="27">
        <v>0</v>
      </c>
      <c r="G357" s="27">
        <v>0</v>
      </c>
      <c r="H357" s="27">
        <v>0</v>
      </c>
      <c r="I357" s="27">
        <v>0</v>
      </c>
      <c r="J357" s="27">
        <v>0</v>
      </c>
      <c r="K357" s="63">
        <f>AVERAGE(I357:J357)</f>
        <v>0</v>
      </c>
      <c r="L357" s="56" t="str">
        <f>"SW-COMAS-PACKL"</f>
        <v>SW-COMAS-PACKL</v>
      </c>
      <c r="M357" s="14"/>
      <c r="N357" s="15"/>
      <c r="O357" s="12"/>
      <c r="P357" s="34"/>
      <c r="Q357" s="37"/>
      <c r="R357" s="47"/>
      <c r="S357" s="46"/>
    </row>
    <row r="358" spans="1:19" ht="15.6" hidden="1" customHeight="1" thickBot="1" x14ac:dyDescent="0.3">
      <c r="A358" t="s">
        <v>23</v>
      </c>
      <c r="B358" s="60" t="str">
        <f t="shared" si="247"/>
        <v>hide</v>
      </c>
      <c r="D358" s="48" t="str">
        <f>D357</f>
        <v>02801</v>
      </c>
      <c r="E358" s="7"/>
      <c r="F358" s="27">
        <v>0</v>
      </c>
      <c r="G358" s="27">
        <v>0</v>
      </c>
      <c r="H358" s="27">
        <v>0</v>
      </c>
      <c r="I358" s="27">
        <v>0</v>
      </c>
      <c r="J358" s="27">
        <v>0</v>
      </c>
      <c r="K358" s="63">
        <f>AVERAGE(I358:J358)</f>
        <v>0</v>
      </c>
      <c r="L358" s="56" t="str">
        <f>"SW-RISER-PACK"</f>
        <v>SW-RISER-PACK</v>
      </c>
      <c r="M358" s="14"/>
      <c r="N358" s="15"/>
      <c r="O358" s="12"/>
      <c r="P358" s="34"/>
      <c r="Q358" s="37"/>
      <c r="R358" s="47"/>
      <c r="S358" s="46"/>
    </row>
    <row r="359" spans="1:19" ht="12" hidden="1" customHeight="1" x14ac:dyDescent="0.3">
      <c r="A359" s="35" t="s">
        <v>908</v>
      </c>
      <c r="B359" s="49" t="str">
        <f>B355</f>
        <v>hide</v>
      </c>
      <c r="N359"/>
      <c r="Q359" s="33"/>
    </row>
    <row r="360" spans="1:19" ht="13.8" hidden="1" thickBot="1" x14ac:dyDescent="0.3">
      <c r="A360" t="s">
        <v>23</v>
      </c>
      <c r="B360" s="49" t="str">
        <f t="shared" ref="B360" si="248">B359</f>
        <v>hide</v>
      </c>
      <c r="D360" s="58"/>
      <c r="E360" s="58"/>
      <c r="F360" s="52">
        <f>SUM(F355:F359)</f>
        <v>0</v>
      </c>
      <c r="G360" s="52">
        <f>SUM(G355:G359)</f>
        <v>0</v>
      </c>
      <c r="H360" s="52">
        <f>SUM(H355:H359)</f>
        <v>0</v>
      </c>
      <c r="I360" s="52">
        <f>SUM(I355:I359)</f>
        <v>0</v>
      </c>
      <c r="J360" s="52">
        <f>SUM(J355:J359)</f>
        <v>0</v>
      </c>
      <c r="K360" s="52"/>
      <c r="L360" s="51" t="s">
        <v>4</v>
      </c>
      <c r="M360" s="58"/>
      <c r="N360" s="58"/>
      <c r="O360" s="58"/>
      <c r="P360" s="58"/>
      <c r="Q360" s="58"/>
      <c r="R360" s="58"/>
      <c r="S360" s="58"/>
    </row>
    <row r="361" spans="1:19" s="59" customFormat="1" ht="18.75" hidden="1" customHeight="1" thickBot="1" x14ac:dyDescent="0.3">
      <c r="A361" s="59" t="s">
        <v>23</v>
      </c>
      <c r="B361" s="60" t="str">
        <f t="shared" ref="B361:B362" si="249">IF(K361=0,"hide","")</f>
        <v>hide</v>
      </c>
      <c r="D361" s="61" t="str">
        <f>"02806"</f>
        <v>02806</v>
      </c>
      <c r="E361" s="62" t="str">
        <f>"2"</f>
        <v>2</v>
      </c>
      <c r="F361" s="63">
        <v>0</v>
      </c>
      <c r="G361" s="63">
        <v>0</v>
      </c>
      <c r="H361" s="63">
        <v>0</v>
      </c>
      <c r="I361" s="63">
        <v>0</v>
      </c>
      <c r="J361" s="63">
        <v>0</v>
      </c>
      <c r="K361" s="63">
        <f>AVERAGE(I361:J361)</f>
        <v>0</v>
      </c>
      <c r="L361" s="64" t="str">
        <f>"Apple Cinnamon Muffins"</f>
        <v>Apple Cinnamon Muffins</v>
      </c>
      <c r="M361" s="65" t="str">
        <f>"96-2 oz. I.W."</f>
        <v>96-2 oz. I.W.</v>
      </c>
      <c r="N361" s="66">
        <v>96</v>
      </c>
      <c r="O361" s="67" t="str">
        <f>""</f>
        <v/>
      </c>
      <c r="P361" s="68" t="e">
        <f>1/O361</f>
        <v>#VALUE!</v>
      </c>
      <c r="Q361" s="53">
        <v>1</v>
      </c>
      <c r="R361" s="69">
        <f t="shared" ref="R361" si="250">1/Q361</f>
        <v>1</v>
      </c>
      <c r="S361" s="70">
        <f t="shared" ref="S361" si="251">R361*N361</f>
        <v>96</v>
      </c>
    </row>
    <row r="362" spans="1:19" ht="15.6" hidden="1" customHeight="1" thickBot="1" x14ac:dyDescent="0.3">
      <c r="A362" t="s">
        <v>23</v>
      </c>
      <c r="B362" s="60" t="str">
        <f t="shared" si="249"/>
        <v>hide</v>
      </c>
      <c r="D362" s="48" t="str">
        <f>D361</f>
        <v>02806</v>
      </c>
      <c r="E362" s="7"/>
      <c r="F362" s="27">
        <v>0</v>
      </c>
      <c r="G362" s="27">
        <v>0</v>
      </c>
      <c r="H362" s="27">
        <v>0</v>
      </c>
      <c r="I362" s="27">
        <v>0</v>
      </c>
      <c r="J362" s="27">
        <v>0</v>
      </c>
      <c r="K362" s="63">
        <f>AVERAGE(I362:J362)</f>
        <v>0</v>
      </c>
      <c r="L362" s="56" t="str">
        <f>"EQP-LAWPACK1"</f>
        <v>EQP-LAWPACK1</v>
      </c>
      <c r="M362" s="14"/>
      <c r="N362" s="15"/>
      <c r="O362" s="12"/>
      <c r="P362" s="34"/>
      <c r="Q362" s="37"/>
      <c r="R362" s="47"/>
      <c r="S362" s="46"/>
    </row>
    <row r="363" spans="1:19" ht="15.6" hidden="1" customHeight="1" thickBot="1" x14ac:dyDescent="0.3">
      <c r="A363" t="s">
        <v>23</v>
      </c>
      <c r="B363" s="60" t="str">
        <f t="shared" ref="B363:B365" si="252">IF(K363=0,"hide","")</f>
        <v>hide</v>
      </c>
      <c r="D363" s="48" t="str">
        <f>D362</f>
        <v>02806</v>
      </c>
      <c r="E363" s="7"/>
      <c r="F363" s="27">
        <v>0</v>
      </c>
      <c r="G363" s="27">
        <v>0</v>
      </c>
      <c r="H363" s="27">
        <v>0</v>
      </c>
      <c r="I363" s="27">
        <v>0</v>
      </c>
      <c r="J363" s="27">
        <v>0</v>
      </c>
      <c r="K363" s="63">
        <f>AVERAGE(I363:J363)</f>
        <v>0</v>
      </c>
      <c r="L363" s="56" t="str">
        <f>"EQP-LAWPACK2"</f>
        <v>EQP-LAWPACK2</v>
      </c>
      <c r="M363" s="14"/>
      <c r="N363" s="15"/>
      <c r="O363" s="12"/>
      <c r="P363" s="34"/>
      <c r="Q363" s="37"/>
      <c r="R363" s="47"/>
      <c r="S363" s="46"/>
    </row>
    <row r="364" spans="1:19" ht="15.6" hidden="1" customHeight="1" thickBot="1" x14ac:dyDescent="0.3">
      <c r="A364" t="s">
        <v>23</v>
      </c>
      <c r="B364" s="60" t="str">
        <f t="shared" si="252"/>
        <v>hide</v>
      </c>
      <c r="D364" s="48" t="str">
        <f>D363</f>
        <v>02806</v>
      </c>
      <c r="E364" s="7"/>
      <c r="F364" s="27">
        <v>0</v>
      </c>
      <c r="G364" s="27">
        <v>0</v>
      </c>
      <c r="H364" s="27">
        <v>0</v>
      </c>
      <c r="I364" s="27">
        <v>0</v>
      </c>
      <c r="J364" s="27">
        <v>0</v>
      </c>
      <c r="K364" s="63">
        <f>AVERAGE(I364:J364)</f>
        <v>0</v>
      </c>
      <c r="L364" s="56" t="str">
        <f>"SW-COMAS-PACKL"</f>
        <v>SW-COMAS-PACKL</v>
      </c>
      <c r="M364" s="14"/>
      <c r="N364" s="15"/>
      <c r="O364" s="12"/>
      <c r="P364" s="34"/>
      <c r="Q364" s="37"/>
      <c r="R364" s="47"/>
      <c r="S364" s="46"/>
    </row>
    <row r="365" spans="1:19" ht="15.6" hidden="1" customHeight="1" thickBot="1" x14ac:dyDescent="0.3">
      <c r="A365" t="s">
        <v>23</v>
      </c>
      <c r="B365" s="60" t="str">
        <f t="shared" si="252"/>
        <v>hide</v>
      </c>
      <c r="D365" s="48" t="str">
        <f>D364</f>
        <v>02806</v>
      </c>
      <c r="E365" s="7"/>
      <c r="F365" s="27">
        <v>0</v>
      </c>
      <c r="G365" s="27">
        <v>0</v>
      </c>
      <c r="H365" s="27">
        <v>0</v>
      </c>
      <c r="I365" s="27">
        <v>0</v>
      </c>
      <c r="J365" s="27">
        <v>0</v>
      </c>
      <c r="K365" s="63">
        <f>AVERAGE(I365:J365)</f>
        <v>0</v>
      </c>
      <c r="L365" s="56" t="str">
        <f>"SW-RISER-PACK"</f>
        <v>SW-RISER-PACK</v>
      </c>
      <c r="M365" s="14"/>
      <c r="N365" s="15"/>
      <c r="O365" s="12"/>
      <c r="P365" s="34"/>
      <c r="Q365" s="37"/>
      <c r="R365" s="47"/>
      <c r="S365" s="46"/>
    </row>
    <row r="366" spans="1:19" ht="12" hidden="1" customHeight="1" x14ac:dyDescent="0.3">
      <c r="A366" s="35" t="s">
        <v>908</v>
      </c>
      <c r="B366" s="49" t="str">
        <f>B362</f>
        <v>hide</v>
      </c>
      <c r="N366"/>
      <c r="Q366" s="33"/>
    </row>
    <row r="367" spans="1:19" ht="13.8" hidden="1" thickBot="1" x14ac:dyDescent="0.3">
      <c r="A367" t="s">
        <v>23</v>
      </c>
      <c r="B367" s="49" t="str">
        <f t="shared" ref="B367" si="253">B366</f>
        <v>hide</v>
      </c>
      <c r="D367" s="58"/>
      <c r="E367" s="58"/>
      <c r="F367" s="52">
        <f>SUM(F362:F366)</f>
        <v>0</v>
      </c>
      <c r="G367" s="52">
        <f>SUM(G362:G366)</f>
        <v>0</v>
      </c>
      <c r="H367" s="52">
        <f>SUM(H362:H366)</f>
        <v>0</v>
      </c>
      <c r="I367" s="52">
        <f>SUM(I362:I366)</f>
        <v>0</v>
      </c>
      <c r="J367" s="52">
        <f>SUM(J362:J366)</f>
        <v>0</v>
      </c>
      <c r="K367" s="52"/>
      <c r="L367" s="51" t="s">
        <v>4</v>
      </c>
      <c r="M367" s="58"/>
      <c r="N367" s="58"/>
      <c r="O367" s="58"/>
      <c r="P367" s="58"/>
      <c r="Q367" s="58"/>
      <c r="R367" s="58"/>
      <c r="S367" s="58"/>
    </row>
    <row r="368" spans="1:19" s="59" customFormat="1" ht="18.75" hidden="1" customHeight="1" thickBot="1" x14ac:dyDescent="0.3">
      <c r="A368" s="59" t="s">
        <v>23</v>
      </c>
      <c r="B368" s="60" t="str">
        <f t="shared" ref="B368:B369" si="254">IF(K368=0,"hide","")</f>
        <v>hide</v>
      </c>
      <c r="D368" s="61" t="str">
        <f>"02807"</f>
        <v>02807</v>
      </c>
      <c r="E368" s="62" t="str">
        <f>"2"</f>
        <v>2</v>
      </c>
      <c r="F368" s="63">
        <v>0</v>
      </c>
      <c r="G368" s="63">
        <v>0</v>
      </c>
      <c r="H368" s="63">
        <v>0</v>
      </c>
      <c r="I368" s="63">
        <v>0</v>
      </c>
      <c r="J368" s="63">
        <v>0</v>
      </c>
      <c r="K368" s="63">
        <f>AVERAGE(I368:J368)</f>
        <v>0</v>
      </c>
      <c r="L368" s="64" t="str">
        <f>"Banana Nut Muffin"</f>
        <v>Banana Nut Muffin</v>
      </c>
      <c r="M368" s="65" t="str">
        <f>"96-2 oz. I.W."</f>
        <v>96-2 oz. I.W.</v>
      </c>
      <c r="N368" s="66">
        <v>96</v>
      </c>
      <c r="O368" s="67" t="str">
        <f>""</f>
        <v/>
      </c>
      <c r="P368" s="68" t="e">
        <f>1/O368</f>
        <v>#VALUE!</v>
      </c>
      <c r="Q368" s="53">
        <v>1</v>
      </c>
      <c r="R368" s="69">
        <f t="shared" ref="R368" si="255">1/Q368</f>
        <v>1</v>
      </c>
      <c r="S368" s="70">
        <f t="shared" ref="S368" si="256">R368*N368</f>
        <v>96</v>
      </c>
    </row>
    <row r="369" spans="1:19" ht="15.6" hidden="1" customHeight="1" thickBot="1" x14ac:dyDescent="0.3">
      <c r="A369" t="s">
        <v>23</v>
      </c>
      <c r="B369" s="60" t="str">
        <f t="shared" si="254"/>
        <v>hide</v>
      </c>
      <c r="D369" s="48" t="str">
        <f>D368</f>
        <v>02807</v>
      </c>
      <c r="E369" s="7"/>
      <c r="F369" s="27">
        <v>0</v>
      </c>
      <c r="G369" s="27">
        <v>0</v>
      </c>
      <c r="H369" s="27">
        <v>0</v>
      </c>
      <c r="I369" s="27">
        <v>0</v>
      </c>
      <c r="J369" s="27">
        <v>0</v>
      </c>
      <c r="K369" s="63">
        <f>AVERAGE(I369:J369)</f>
        <v>0</v>
      </c>
      <c r="L369" s="56" t="str">
        <f>"EQP-LAWPACK1"</f>
        <v>EQP-LAWPACK1</v>
      </c>
      <c r="M369" s="14"/>
      <c r="N369" s="15"/>
      <c r="O369" s="12"/>
      <c r="P369" s="34"/>
      <c r="Q369" s="37"/>
      <c r="R369" s="47"/>
      <c r="S369" s="46"/>
    </row>
    <row r="370" spans="1:19" ht="15.6" hidden="1" customHeight="1" thickBot="1" x14ac:dyDescent="0.3">
      <c r="A370" t="s">
        <v>23</v>
      </c>
      <c r="B370" s="60" t="str">
        <f t="shared" ref="B370:B372" si="257">IF(K370=0,"hide","")</f>
        <v>hide</v>
      </c>
      <c r="D370" s="48" t="str">
        <f>D369</f>
        <v>02807</v>
      </c>
      <c r="E370" s="7"/>
      <c r="F370" s="27">
        <v>0</v>
      </c>
      <c r="G370" s="27">
        <v>0</v>
      </c>
      <c r="H370" s="27">
        <v>0</v>
      </c>
      <c r="I370" s="27">
        <v>0</v>
      </c>
      <c r="J370" s="27">
        <v>0</v>
      </c>
      <c r="K370" s="63">
        <f>AVERAGE(I370:J370)</f>
        <v>0</v>
      </c>
      <c r="L370" s="56" t="str">
        <f>"EQP-LAWPACK2"</f>
        <v>EQP-LAWPACK2</v>
      </c>
      <c r="M370" s="14"/>
      <c r="N370" s="15"/>
      <c r="O370" s="12"/>
      <c r="P370" s="34"/>
      <c r="Q370" s="37"/>
      <c r="R370" s="47"/>
      <c r="S370" s="46"/>
    </row>
    <row r="371" spans="1:19" ht="15.6" hidden="1" customHeight="1" thickBot="1" x14ac:dyDescent="0.3">
      <c r="A371" t="s">
        <v>23</v>
      </c>
      <c r="B371" s="60" t="str">
        <f t="shared" si="257"/>
        <v>hide</v>
      </c>
      <c r="D371" s="48" t="str">
        <f>D370</f>
        <v>02807</v>
      </c>
      <c r="E371" s="7"/>
      <c r="F371" s="27">
        <v>0</v>
      </c>
      <c r="G371" s="27">
        <v>0</v>
      </c>
      <c r="H371" s="27">
        <v>0</v>
      </c>
      <c r="I371" s="27">
        <v>0</v>
      </c>
      <c r="J371" s="27">
        <v>0</v>
      </c>
      <c r="K371" s="63">
        <f>AVERAGE(I371:J371)</f>
        <v>0</v>
      </c>
      <c r="L371" s="56" t="str">
        <f>"SW-COMAS-PACKL"</f>
        <v>SW-COMAS-PACKL</v>
      </c>
      <c r="M371" s="14"/>
      <c r="N371" s="15"/>
      <c r="O371" s="12"/>
      <c r="P371" s="34"/>
      <c r="Q371" s="37"/>
      <c r="R371" s="47"/>
      <c r="S371" s="46"/>
    </row>
    <row r="372" spans="1:19" ht="15.6" hidden="1" customHeight="1" thickBot="1" x14ac:dyDescent="0.3">
      <c r="A372" t="s">
        <v>23</v>
      </c>
      <c r="B372" s="60" t="str">
        <f t="shared" si="257"/>
        <v>hide</v>
      </c>
      <c r="D372" s="48" t="str">
        <f>D371</f>
        <v>02807</v>
      </c>
      <c r="E372" s="7"/>
      <c r="F372" s="27">
        <v>0</v>
      </c>
      <c r="G372" s="27">
        <v>0</v>
      </c>
      <c r="H372" s="27">
        <v>0</v>
      </c>
      <c r="I372" s="27">
        <v>0</v>
      </c>
      <c r="J372" s="27">
        <v>0</v>
      </c>
      <c r="K372" s="63">
        <f>AVERAGE(I372:J372)</f>
        <v>0</v>
      </c>
      <c r="L372" s="56" t="str">
        <f>"SW-RISER-PACK"</f>
        <v>SW-RISER-PACK</v>
      </c>
      <c r="M372" s="14"/>
      <c r="N372" s="15"/>
      <c r="O372" s="12"/>
      <c r="P372" s="34"/>
      <c r="Q372" s="37"/>
      <c r="R372" s="47"/>
      <c r="S372" s="46"/>
    </row>
    <row r="373" spans="1:19" ht="12" hidden="1" customHeight="1" x14ac:dyDescent="0.3">
      <c r="A373" s="35" t="s">
        <v>908</v>
      </c>
      <c r="B373" s="49" t="str">
        <f>B369</f>
        <v>hide</v>
      </c>
      <c r="N373"/>
      <c r="Q373" s="33"/>
    </row>
    <row r="374" spans="1:19" ht="13.8" hidden="1" thickBot="1" x14ac:dyDescent="0.3">
      <c r="A374" t="s">
        <v>23</v>
      </c>
      <c r="B374" s="49" t="str">
        <f t="shared" ref="B374" si="258">B373</f>
        <v>hide</v>
      </c>
      <c r="D374" s="58"/>
      <c r="E374" s="58"/>
      <c r="F374" s="52">
        <f>SUM(F369:F373)</f>
        <v>0</v>
      </c>
      <c r="G374" s="52">
        <f>SUM(G369:G373)</f>
        <v>0</v>
      </c>
      <c r="H374" s="52">
        <f>SUM(H369:H373)</f>
        <v>0</v>
      </c>
      <c r="I374" s="52">
        <f>SUM(I369:I373)</f>
        <v>0</v>
      </c>
      <c r="J374" s="52">
        <f>SUM(J369:J373)</f>
        <v>0</v>
      </c>
      <c r="K374" s="52"/>
      <c r="L374" s="51" t="s">
        <v>4</v>
      </c>
      <c r="M374" s="58"/>
      <c r="N374" s="58"/>
      <c r="O374" s="58"/>
      <c r="P374" s="58"/>
      <c r="Q374" s="58"/>
      <c r="R374" s="58"/>
      <c r="S374" s="58"/>
    </row>
    <row r="375" spans="1:19" s="59" customFormat="1" ht="18.75" hidden="1" customHeight="1" thickBot="1" x14ac:dyDescent="0.3">
      <c r="A375" s="59" t="s">
        <v>23</v>
      </c>
      <c r="B375" s="60" t="str">
        <f t="shared" ref="B375:B376" si="259">IF(K375=0,"hide","")</f>
        <v>hide</v>
      </c>
      <c r="D375" s="61" t="str">
        <f>"02811"</f>
        <v>02811</v>
      </c>
      <c r="E375" s="62" t="str">
        <f>"1"</f>
        <v>1</v>
      </c>
      <c r="F375" s="63">
        <v>0</v>
      </c>
      <c r="G375" s="63">
        <v>0</v>
      </c>
      <c r="H375" s="63">
        <v>0</v>
      </c>
      <c r="I375" s="63">
        <v>0</v>
      </c>
      <c r="J375" s="63">
        <v>0</v>
      </c>
      <c r="K375" s="63">
        <f>AVERAGE(I375:J375)</f>
        <v>0</v>
      </c>
      <c r="L375" s="64" t="str">
        <f>"CARROT MUFFINS"</f>
        <v>CARROT MUFFINS</v>
      </c>
      <c r="M375" s="65" t="str">
        <f>"96-2 oz. I.W."</f>
        <v>96-2 oz. I.W.</v>
      </c>
      <c r="N375" s="66">
        <v>96</v>
      </c>
      <c r="O375" s="67" t="str">
        <f>""</f>
        <v/>
      </c>
      <c r="P375" s="68" t="e">
        <f>1/O375</f>
        <v>#VALUE!</v>
      </c>
      <c r="Q375" s="53">
        <v>1</v>
      </c>
      <c r="R375" s="69">
        <f t="shared" ref="R375" si="260">1/Q375</f>
        <v>1</v>
      </c>
      <c r="S375" s="70">
        <f t="shared" ref="S375" si="261">R375*N375</f>
        <v>96</v>
      </c>
    </row>
    <row r="376" spans="1:19" ht="15.6" hidden="1" customHeight="1" thickBot="1" x14ac:dyDescent="0.3">
      <c r="A376" t="s">
        <v>23</v>
      </c>
      <c r="B376" s="60" t="str">
        <f t="shared" si="259"/>
        <v>hide</v>
      </c>
      <c r="D376" s="48" t="str">
        <f>D375</f>
        <v>02811</v>
      </c>
      <c r="E376" s="7"/>
      <c r="F376" s="27">
        <v>0</v>
      </c>
      <c r="G376" s="27">
        <v>0</v>
      </c>
      <c r="H376" s="27">
        <v>0</v>
      </c>
      <c r="I376" s="27">
        <v>0</v>
      </c>
      <c r="J376" s="27">
        <v>0</v>
      </c>
      <c r="K376" s="63">
        <f>AVERAGE(I376:J376)</f>
        <v>0</v>
      </c>
      <c r="L376" s="56" t="str">
        <f>"EQP-LAWPACK1"</f>
        <v>EQP-LAWPACK1</v>
      </c>
      <c r="M376" s="14"/>
      <c r="N376" s="15"/>
      <c r="O376" s="12"/>
      <c r="P376" s="34"/>
      <c r="Q376" s="37"/>
      <c r="R376" s="47"/>
      <c r="S376" s="46"/>
    </row>
    <row r="377" spans="1:19" ht="15.6" hidden="1" customHeight="1" thickBot="1" x14ac:dyDescent="0.3">
      <c r="A377" t="s">
        <v>23</v>
      </c>
      <c r="B377" s="60" t="str">
        <f t="shared" ref="B377:B379" si="262">IF(K377=0,"hide","")</f>
        <v>hide</v>
      </c>
      <c r="D377" s="48" t="str">
        <f>D376</f>
        <v>02811</v>
      </c>
      <c r="E377" s="7"/>
      <c r="F377" s="27">
        <v>0</v>
      </c>
      <c r="G377" s="27">
        <v>0</v>
      </c>
      <c r="H377" s="27">
        <v>0</v>
      </c>
      <c r="I377" s="27">
        <v>0</v>
      </c>
      <c r="J377" s="27">
        <v>0</v>
      </c>
      <c r="K377" s="63">
        <f>AVERAGE(I377:J377)</f>
        <v>0</v>
      </c>
      <c r="L377" s="56" t="str">
        <f>"EQP-LAWPACK2"</f>
        <v>EQP-LAWPACK2</v>
      </c>
      <c r="M377" s="14"/>
      <c r="N377" s="15"/>
      <c r="O377" s="12"/>
      <c r="P377" s="34"/>
      <c r="Q377" s="37"/>
      <c r="R377" s="47"/>
      <c r="S377" s="46"/>
    </row>
    <row r="378" spans="1:19" ht="15.6" hidden="1" customHeight="1" thickBot="1" x14ac:dyDescent="0.3">
      <c r="A378" t="s">
        <v>23</v>
      </c>
      <c r="B378" s="60" t="str">
        <f t="shared" si="262"/>
        <v>hide</v>
      </c>
      <c r="D378" s="48" t="str">
        <f>D377</f>
        <v>02811</v>
      </c>
      <c r="E378" s="7"/>
      <c r="F378" s="27">
        <v>0</v>
      </c>
      <c r="G378" s="27">
        <v>0</v>
      </c>
      <c r="H378" s="27">
        <v>0</v>
      </c>
      <c r="I378" s="27">
        <v>0</v>
      </c>
      <c r="J378" s="27">
        <v>0</v>
      </c>
      <c r="K378" s="63">
        <f>AVERAGE(I378:J378)</f>
        <v>0</v>
      </c>
      <c r="L378" s="56" t="str">
        <f>"SW-COMAS-PACKL"</f>
        <v>SW-COMAS-PACKL</v>
      </c>
      <c r="M378" s="14"/>
      <c r="N378" s="15"/>
      <c r="O378" s="12"/>
      <c r="P378" s="34"/>
      <c r="Q378" s="37"/>
      <c r="R378" s="47"/>
      <c r="S378" s="46"/>
    </row>
    <row r="379" spans="1:19" ht="15.6" hidden="1" customHeight="1" thickBot="1" x14ac:dyDescent="0.3">
      <c r="A379" t="s">
        <v>23</v>
      </c>
      <c r="B379" s="60" t="str">
        <f t="shared" si="262"/>
        <v>hide</v>
      </c>
      <c r="D379" s="48" t="str">
        <f>D378</f>
        <v>02811</v>
      </c>
      <c r="E379" s="7"/>
      <c r="F379" s="27">
        <v>0</v>
      </c>
      <c r="G379" s="27">
        <v>0</v>
      </c>
      <c r="H379" s="27">
        <v>0</v>
      </c>
      <c r="I379" s="27">
        <v>0</v>
      </c>
      <c r="J379" s="27">
        <v>0</v>
      </c>
      <c r="K379" s="63">
        <f>AVERAGE(I379:J379)</f>
        <v>0</v>
      </c>
      <c r="L379" s="56" t="str">
        <f>"SW-RISER-PACK"</f>
        <v>SW-RISER-PACK</v>
      </c>
      <c r="M379" s="14"/>
      <c r="N379" s="15"/>
      <c r="O379" s="12"/>
      <c r="P379" s="34"/>
      <c r="Q379" s="37"/>
      <c r="R379" s="47"/>
      <c r="S379" s="46"/>
    </row>
    <row r="380" spans="1:19" ht="12" hidden="1" customHeight="1" x14ac:dyDescent="0.3">
      <c r="A380" s="35" t="s">
        <v>908</v>
      </c>
      <c r="B380" s="49" t="str">
        <f>B376</f>
        <v>hide</v>
      </c>
      <c r="N380"/>
      <c r="Q380" s="33"/>
    </row>
    <row r="381" spans="1:19" ht="13.8" hidden="1" thickBot="1" x14ac:dyDescent="0.3">
      <c r="A381" t="s">
        <v>23</v>
      </c>
      <c r="B381" s="49" t="str">
        <f t="shared" ref="B381" si="263">B380</f>
        <v>hide</v>
      </c>
      <c r="D381" s="58"/>
      <c r="E381" s="58"/>
      <c r="F381" s="52">
        <f>SUM(F376:F380)</f>
        <v>0</v>
      </c>
      <c r="G381" s="52">
        <f>SUM(G376:G380)</f>
        <v>0</v>
      </c>
      <c r="H381" s="52">
        <f>SUM(H376:H380)</f>
        <v>0</v>
      </c>
      <c r="I381" s="52">
        <f>SUM(I376:I380)</f>
        <v>0</v>
      </c>
      <c r="J381" s="52">
        <f>SUM(J376:J380)</f>
        <v>0</v>
      </c>
      <c r="K381" s="52"/>
      <c r="L381" s="51" t="s">
        <v>4</v>
      </c>
      <c r="M381" s="58"/>
      <c r="N381" s="58"/>
      <c r="O381" s="58"/>
      <c r="P381" s="58"/>
      <c r="Q381" s="58"/>
      <c r="R381" s="58"/>
      <c r="S381" s="58"/>
    </row>
    <row r="382" spans="1:19" s="59" customFormat="1" ht="18.75" hidden="1" customHeight="1" thickBot="1" x14ac:dyDescent="0.3">
      <c r="A382" s="59" t="s">
        <v>23</v>
      </c>
      <c r="B382" s="60" t="str">
        <f t="shared" ref="B382:B383" si="264">IF(K382=0,"hide","")</f>
        <v>hide</v>
      </c>
      <c r="D382" s="61" t="str">
        <f>"02851"</f>
        <v>02851</v>
      </c>
      <c r="E382" s="62" t="str">
        <f>"1"</f>
        <v>1</v>
      </c>
      <c r="F382" s="63">
        <v>0</v>
      </c>
      <c r="G382" s="63">
        <v>0</v>
      </c>
      <c r="H382" s="63">
        <v>0</v>
      </c>
      <c r="I382" s="63">
        <v>0</v>
      </c>
      <c r="J382" s="63">
        <v>0</v>
      </c>
      <c r="K382" s="63">
        <f>AVERAGE(I382:J382)</f>
        <v>0</v>
      </c>
      <c r="L382" s="64" t="str">
        <f>"Banana Muffin"</f>
        <v>Banana Muffin</v>
      </c>
      <c r="M382" s="65" t="str">
        <f>"96-2 oz. I.W."</f>
        <v>96-2 oz. I.W.</v>
      </c>
      <c r="N382" s="66">
        <v>96</v>
      </c>
      <c r="O382" s="67" t="str">
        <f>""</f>
        <v/>
      </c>
      <c r="P382" s="68" t="e">
        <f>1/O382</f>
        <v>#VALUE!</v>
      </c>
      <c r="Q382" s="53">
        <v>1</v>
      </c>
      <c r="R382" s="69">
        <f t="shared" ref="R382" si="265">1/Q382</f>
        <v>1</v>
      </c>
      <c r="S382" s="70">
        <f t="shared" ref="S382" si="266">R382*N382</f>
        <v>96</v>
      </c>
    </row>
    <row r="383" spans="1:19" ht="15.6" hidden="1" customHeight="1" thickBot="1" x14ac:dyDescent="0.3">
      <c r="A383" t="s">
        <v>23</v>
      </c>
      <c r="B383" s="60" t="str">
        <f t="shared" si="264"/>
        <v>hide</v>
      </c>
      <c r="D383" s="48" t="str">
        <f>D382</f>
        <v>02851</v>
      </c>
      <c r="E383" s="7"/>
      <c r="F383" s="27">
        <v>0</v>
      </c>
      <c r="G383" s="27">
        <v>0</v>
      </c>
      <c r="H383" s="27">
        <v>0</v>
      </c>
      <c r="I383" s="27">
        <v>0</v>
      </c>
      <c r="J383" s="27">
        <v>0</v>
      </c>
      <c r="K383" s="63">
        <f>AVERAGE(I383:J383)</f>
        <v>0</v>
      </c>
      <c r="L383" s="56" t="str">
        <f>"EQP-LAWPACK1"</f>
        <v>EQP-LAWPACK1</v>
      </c>
      <c r="M383" s="14"/>
      <c r="N383" s="15"/>
      <c r="O383" s="12"/>
      <c r="P383" s="34"/>
      <c r="Q383" s="37"/>
      <c r="R383" s="47"/>
      <c r="S383" s="46"/>
    </row>
    <row r="384" spans="1:19" ht="15.6" hidden="1" customHeight="1" thickBot="1" x14ac:dyDescent="0.3">
      <c r="A384" t="s">
        <v>23</v>
      </c>
      <c r="B384" s="60" t="str">
        <f t="shared" ref="B384:B386" si="267">IF(K384=0,"hide","")</f>
        <v>hide</v>
      </c>
      <c r="D384" s="48" t="str">
        <f>D383</f>
        <v>02851</v>
      </c>
      <c r="E384" s="7"/>
      <c r="F384" s="27">
        <v>0</v>
      </c>
      <c r="G384" s="27">
        <v>0</v>
      </c>
      <c r="H384" s="27">
        <v>0</v>
      </c>
      <c r="I384" s="27">
        <v>0</v>
      </c>
      <c r="J384" s="27">
        <v>0</v>
      </c>
      <c r="K384" s="63">
        <f>AVERAGE(I384:J384)</f>
        <v>0</v>
      </c>
      <c r="L384" s="56" t="str">
        <f>"EQP-LAWPACK2"</f>
        <v>EQP-LAWPACK2</v>
      </c>
      <c r="M384" s="14"/>
      <c r="N384" s="15"/>
      <c r="O384" s="12"/>
      <c r="P384" s="34"/>
      <c r="Q384" s="37"/>
      <c r="R384" s="47"/>
      <c r="S384" s="46"/>
    </row>
    <row r="385" spans="1:19" ht="15.6" hidden="1" customHeight="1" thickBot="1" x14ac:dyDescent="0.3">
      <c r="A385" t="s">
        <v>23</v>
      </c>
      <c r="B385" s="60" t="str">
        <f t="shared" si="267"/>
        <v>hide</v>
      </c>
      <c r="D385" s="48" t="str">
        <f>D384</f>
        <v>02851</v>
      </c>
      <c r="E385" s="7"/>
      <c r="F385" s="27">
        <v>0</v>
      </c>
      <c r="G385" s="27">
        <v>0</v>
      </c>
      <c r="H385" s="27">
        <v>0</v>
      </c>
      <c r="I385" s="27">
        <v>0</v>
      </c>
      <c r="J385" s="27">
        <v>0</v>
      </c>
      <c r="K385" s="63">
        <f>AVERAGE(I385:J385)</f>
        <v>0</v>
      </c>
      <c r="L385" s="56" t="str">
        <f>"SW-COMAS-PACKL"</f>
        <v>SW-COMAS-PACKL</v>
      </c>
      <c r="M385" s="14"/>
      <c r="N385" s="15"/>
      <c r="O385" s="12"/>
      <c r="P385" s="34"/>
      <c r="Q385" s="37"/>
      <c r="R385" s="47"/>
      <c r="S385" s="46"/>
    </row>
    <row r="386" spans="1:19" ht="15.6" hidden="1" customHeight="1" thickBot="1" x14ac:dyDescent="0.3">
      <c r="A386" t="s">
        <v>23</v>
      </c>
      <c r="B386" s="60" t="str">
        <f t="shared" si="267"/>
        <v>hide</v>
      </c>
      <c r="D386" s="48" t="str">
        <f>D385</f>
        <v>02851</v>
      </c>
      <c r="E386" s="7"/>
      <c r="F386" s="27">
        <v>0</v>
      </c>
      <c r="G386" s="27">
        <v>0</v>
      </c>
      <c r="H386" s="27">
        <v>0</v>
      </c>
      <c r="I386" s="27">
        <v>0</v>
      </c>
      <c r="J386" s="27">
        <v>0</v>
      </c>
      <c r="K386" s="63">
        <f>AVERAGE(I386:J386)</f>
        <v>0</v>
      </c>
      <c r="L386" s="56" t="str">
        <f>"SW-RISER-PACK"</f>
        <v>SW-RISER-PACK</v>
      </c>
      <c r="M386" s="14"/>
      <c r="N386" s="15"/>
      <c r="O386" s="12"/>
      <c r="P386" s="34"/>
      <c r="Q386" s="37"/>
      <c r="R386" s="47"/>
      <c r="S386" s="46"/>
    </row>
    <row r="387" spans="1:19" ht="12" hidden="1" customHeight="1" x14ac:dyDescent="0.3">
      <c r="A387" s="35" t="s">
        <v>908</v>
      </c>
      <c r="B387" s="49" t="str">
        <f>B383</f>
        <v>hide</v>
      </c>
      <c r="N387"/>
      <c r="Q387" s="33"/>
    </row>
    <row r="388" spans="1:19" ht="13.8" hidden="1" thickBot="1" x14ac:dyDescent="0.3">
      <c r="A388" t="s">
        <v>23</v>
      </c>
      <c r="B388" s="49" t="str">
        <f t="shared" ref="B388" si="268">B387</f>
        <v>hide</v>
      </c>
      <c r="D388" s="58"/>
      <c r="E388" s="58"/>
      <c r="F388" s="52">
        <f>SUM(F383:F387)</f>
        <v>0</v>
      </c>
      <c r="G388" s="52">
        <f>SUM(G383:G387)</f>
        <v>0</v>
      </c>
      <c r="H388" s="52">
        <f>SUM(H383:H387)</f>
        <v>0</v>
      </c>
      <c r="I388" s="52">
        <f>SUM(I383:I387)</f>
        <v>0</v>
      </c>
      <c r="J388" s="52">
        <f>SUM(J383:J387)</f>
        <v>0</v>
      </c>
      <c r="K388" s="52"/>
      <c r="L388" s="51" t="s">
        <v>4</v>
      </c>
      <c r="M388" s="58"/>
      <c r="N388" s="58"/>
      <c r="O388" s="58"/>
      <c r="P388" s="58"/>
      <c r="Q388" s="58"/>
      <c r="R388" s="58"/>
      <c r="S388" s="58"/>
    </row>
    <row r="389" spans="1:19" s="59" customFormat="1" ht="18.75" customHeight="1" thickBot="1" x14ac:dyDescent="0.3">
      <c r="A389" s="59" t="s">
        <v>23</v>
      </c>
      <c r="B389" s="60" t="str">
        <f t="shared" ref="B389:B390" si="269">IF(K389=0,"hide","")</f>
        <v/>
      </c>
      <c r="D389" s="61" t="str">
        <f>"02901"</f>
        <v>02901</v>
      </c>
      <c r="E389" s="62" t="str">
        <f>"13"</f>
        <v>13</v>
      </c>
      <c r="F389" s="63">
        <v>417.41666666666669</v>
      </c>
      <c r="G389" s="63">
        <v>486.58333333333331</v>
      </c>
      <c r="H389" s="63">
        <v>476.41666666666669</v>
      </c>
      <c r="I389" s="63">
        <v>72.750000000000014</v>
      </c>
      <c r="J389" s="63">
        <v>0</v>
      </c>
      <c r="K389" s="63">
        <f>AVERAGE(I389:J389)</f>
        <v>36.375000000000007</v>
      </c>
      <c r="L389" s="64" t="str">
        <f>"1343 Muffins, Wild Blueberry, IW"</f>
        <v>1343 Muffins, Wild Blueberry, IW</v>
      </c>
      <c r="M389" s="65" t="str">
        <f>"96/2 oz"</f>
        <v>96/2 oz</v>
      </c>
      <c r="N389" s="66">
        <v>96</v>
      </c>
      <c r="O389" s="67">
        <v>4.5999999999999999E-3</v>
      </c>
      <c r="P389" s="68">
        <f>1/O389</f>
        <v>217.39130434782609</v>
      </c>
      <c r="Q389" s="53">
        <v>4.5999999999999999E-3</v>
      </c>
      <c r="R389" s="69">
        <f t="shared" ref="R389" si="270">1/Q389</f>
        <v>217.39130434782609</v>
      </c>
      <c r="S389" s="70">
        <f t="shared" ref="S389" si="271">R389*N389</f>
        <v>20869.565217391304</v>
      </c>
    </row>
    <row r="390" spans="1:19" ht="15.6" hidden="1" customHeight="1" thickBot="1" x14ac:dyDescent="0.3">
      <c r="A390" t="s">
        <v>23</v>
      </c>
      <c r="B390" s="60" t="str">
        <f t="shared" si="269"/>
        <v>hide</v>
      </c>
      <c r="D390" s="48" t="str">
        <f>D389</f>
        <v>02901</v>
      </c>
      <c r="E390" s="7"/>
      <c r="F390" s="27">
        <v>-134.04249999999999</v>
      </c>
      <c r="G390" s="27">
        <v>-140.30833333333334</v>
      </c>
      <c r="H390" s="27">
        <v>-108</v>
      </c>
      <c r="I390" s="27">
        <v>0</v>
      </c>
      <c r="J390" s="27">
        <v>0</v>
      </c>
      <c r="K390" s="63">
        <f>AVERAGE(I390:J390)</f>
        <v>0</v>
      </c>
      <c r="L390" s="56" t="str">
        <f>"EQP-LAWPACK1"</f>
        <v>EQP-LAWPACK1</v>
      </c>
      <c r="M390" s="14"/>
      <c r="N390" s="15"/>
      <c r="O390" s="12"/>
      <c r="P390" s="34"/>
      <c r="Q390" s="37"/>
      <c r="R390" s="47"/>
      <c r="S390" s="46"/>
    </row>
    <row r="391" spans="1:19" ht="15.6" hidden="1" customHeight="1" thickBot="1" x14ac:dyDescent="0.3">
      <c r="A391" t="s">
        <v>23</v>
      </c>
      <c r="B391" s="60" t="str">
        <f t="shared" ref="B391:B393" si="272">IF(K391=0,"hide","")</f>
        <v>hide</v>
      </c>
      <c r="D391" s="48" t="str">
        <f>D390</f>
        <v>02901</v>
      </c>
      <c r="E391" s="7"/>
      <c r="F391" s="27">
        <v>0</v>
      </c>
      <c r="G391" s="27">
        <v>0</v>
      </c>
      <c r="H391" s="27">
        <v>0</v>
      </c>
      <c r="I391" s="27">
        <v>0</v>
      </c>
      <c r="J391" s="27">
        <v>0</v>
      </c>
      <c r="K391" s="63">
        <f>AVERAGE(I391:J391)</f>
        <v>0</v>
      </c>
      <c r="L391" s="56" t="str">
        <f>"EQP-LAWPACK2"</f>
        <v>EQP-LAWPACK2</v>
      </c>
      <c r="M391" s="14"/>
      <c r="N391" s="15"/>
      <c r="O391" s="12"/>
      <c r="P391" s="34"/>
      <c r="Q391" s="37"/>
      <c r="R391" s="47"/>
      <c r="S391" s="46"/>
    </row>
    <row r="392" spans="1:19" ht="15.6" hidden="1" customHeight="1" thickBot="1" x14ac:dyDescent="0.3">
      <c r="A392" t="s">
        <v>23</v>
      </c>
      <c r="B392" s="60" t="str">
        <f t="shared" si="272"/>
        <v>hide</v>
      </c>
      <c r="D392" s="48" t="str">
        <f>D391</f>
        <v>02901</v>
      </c>
      <c r="E392" s="7"/>
      <c r="F392" s="27">
        <v>0</v>
      </c>
      <c r="G392" s="27">
        <v>0</v>
      </c>
      <c r="H392" s="27">
        <v>0</v>
      </c>
      <c r="I392" s="27">
        <v>0</v>
      </c>
      <c r="J392" s="27">
        <v>0</v>
      </c>
      <c r="K392" s="63">
        <f>AVERAGE(I392:J392)</f>
        <v>0</v>
      </c>
      <c r="L392" s="56" t="str">
        <f>"SW-COMAS-PACKL"</f>
        <v>SW-COMAS-PACKL</v>
      </c>
      <c r="M392" s="14"/>
      <c r="N392" s="15"/>
      <c r="O392" s="12"/>
      <c r="P392" s="34"/>
      <c r="Q392" s="37"/>
      <c r="R392" s="47"/>
      <c r="S392" s="46"/>
    </row>
    <row r="393" spans="1:19" ht="15.6" hidden="1" customHeight="1" thickBot="1" x14ac:dyDescent="0.3">
      <c r="A393" t="s">
        <v>23</v>
      </c>
      <c r="B393" s="60" t="str">
        <f t="shared" si="272"/>
        <v>hide</v>
      </c>
      <c r="D393" s="48" t="str">
        <f>D392</f>
        <v>02901</v>
      </c>
      <c r="E393" s="7"/>
      <c r="F393" s="27">
        <v>0</v>
      </c>
      <c r="G393" s="27">
        <v>0</v>
      </c>
      <c r="H393" s="27">
        <v>0</v>
      </c>
      <c r="I393" s="27">
        <v>0</v>
      </c>
      <c r="J393" s="27">
        <v>0</v>
      </c>
      <c r="K393" s="63">
        <f>AVERAGE(I393:J393)</f>
        <v>0</v>
      </c>
      <c r="L393" s="56" t="str">
        <f>"SW-RISER-PACK"</f>
        <v>SW-RISER-PACK</v>
      </c>
      <c r="M393" s="14"/>
      <c r="N393" s="15"/>
      <c r="O393" s="12"/>
      <c r="P393" s="34"/>
      <c r="Q393" s="37"/>
      <c r="R393" s="47"/>
      <c r="S393" s="46"/>
    </row>
    <row r="394" spans="1:19" ht="12" hidden="1" customHeight="1" x14ac:dyDescent="0.3">
      <c r="A394" s="35" t="s">
        <v>908</v>
      </c>
      <c r="B394" s="49" t="str">
        <f>B390</f>
        <v>hide</v>
      </c>
      <c r="N394"/>
      <c r="Q394" s="33"/>
    </row>
    <row r="395" spans="1:19" ht="13.8" hidden="1" thickBot="1" x14ac:dyDescent="0.3">
      <c r="A395" t="s">
        <v>23</v>
      </c>
      <c r="B395" s="49" t="str">
        <f t="shared" ref="B395" si="273">B394</f>
        <v>hide</v>
      </c>
      <c r="D395" s="58"/>
      <c r="E395" s="58"/>
      <c r="F395" s="52">
        <f>SUM(F390:F394)</f>
        <v>-134.04249999999999</v>
      </c>
      <c r="G395" s="52">
        <f>SUM(G390:G394)</f>
        <v>-140.30833333333334</v>
      </c>
      <c r="H395" s="52">
        <f>SUM(H390:H394)</f>
        <v>-108</v>
      </c>
      <c r="I395" s="52">
        <f>SUM(I390:I394)</f>
        <v>0</v>
      </c>
      <c r="J395" s="52">
        <f>SUM(J390:J394)</f>
        <v>0</v>
      </c>
      <c r="K395" s="52"/>
      <c r="L395" s="51" t="s">
        <v>4</v>
      </c>
      <c r="M395" s="58"/>
      <c r="N395" s="58"/>
      <c r="O395" s="58"/>
      <c r="P395" s="58"/>
      <c r="Q395" s="58"/>
      <c r="R395" s="58"/>
      <c r="S395" s="58"/>
    </row>
    <row r="396" spans="1:19" s="59" customFormat="1" ht="18.75" hidden="1" customHeight="1" thickBot="1" x14ac:dyDescent="0.3">
      <c r="A396" s="59" t="s">
        <v>23</v>
      </c>
      <c r="B396" s="60" t="str">
        <f t="shared" ref="B396:B397" si="274">IF(K396=0,"hide","")</f>
        <v>hide</v>
      </c>
      <c r="D396" s="61" t="str">
        <f>"02906"</f>
        <v>02906</v>
      </c>
      <c r="E396" s="62" t="str">
        <f>"6"</f>
        <v>6</v>
      </c>
      <c r="F396" s="63">
        <v>74.166666666666671</v>
      </c>
      <c r="G396" s="63">
        <v>99.166666666666671</v>
      </c>
      <c r="H396" s="63">
        <v>108.41666666666667</v>
      </c>
      <c r="I396" s="63">
        <v>0</v>
      </c>
      <c r="J396" s="63">
        <v>0</v>
      </c>
      <c r="K396" s="63">
        <f>AVERAGE(I396:J396)</f>
        <v>0</v>
      </c>
      <c r="L396" s="64" t="str">
        <f>"1380 Muffins, Apple Cinnamon, IW"</f>
        <v>1380 Muffins, Apple Cinnamon, IW</v>
      </c>
      <c r="M396" s="65" t="str">
        <f>"96/2 oz"</f>
        <v>96/2 oz</v>
      </c>
      <c r="N396" s="66">
        <v>96</v>
      </c>
      <c r="O396" s="67">
        <v>4.5999999999999999E-3</v>
      </c>
      <c r="P396" s="68">
        <f>1/O396</f>
        <v>217.39130434782609</v>
      </c>
      <c r="Q396" s="53">
        <v>4.5999999999999999E-3</v>
      </c>
      <c r="R396" s="69">
        <f t="shared" ref="R396" si="275">1/Q396</f>
        <v>217.39130434782609</v>
      </c>
      <c r="S396" s="70">
        <f t="shared" ref="S396" si="276">R396*N396</f>
        <v>20869.565217391304</v>
      </c>
    </row>
    <row r="397" spans="1:19" ht="15.6" hidden="1" customHeight="1" thickBot="1" x14ac:dyDescent="0.3">
      <c r="A397" t="s">
        <v>23</v>
      </c>
      <c r="B397" s="60" t="str">
        <f t="shared" si="274"/>
        <v>hide</v>
      </c>
      <c r="D397" s="48" t="str">
        <f>D396</f>
        <v>02906</v>
      </c>
      <c r="E397" s="7"/>
      <c r="F397" s="27">
        <v>0</v>
      </c>
      <c r="G397" s="27">
        <v>0</v>
      </c>
      <c r="H397" s="27">
        <v>0</v>
      </c>
      <c r="I397" s="27">
        <v>0</v>
      </c>
      <c r="J397" s="27">
        <v>0</v>
      </c>
      <c r="K397" s="63">
        <f>AVERAGE(I397:J397)</f>
        <v>0</v>
      </c>
      <c r="L397" s="56" t="str">
        <f>"EQP-LAWPACK1"</f>
        <v>EQP-LAWPACK1</v>
      </c>
      <c r="M397" s="14"/>
      <c r="N397" s="15"/>
      <c r="O397" s="12"/>
      <c r="P397" s="34"/>
      <c r="Q397" s="37"/>
      <c r="R397" s="47"/>
      <c r="S397" s="46"/>
    </row>
    <row r="398" spans="1:19" ht="15.6" hidden="1" customHeight="1" thickBot="1" x14ac:dyDescent="0.3">
      <c r="A398" t="s">
        <v>23</v>
      </c>
      <c r="B398" s="60" t="str">
        <f t="shared" ref="B398:B400" si="277">IF(K398=0,"hide","")</f>
        <v>hide</v>
      </c>
      <c r="D398" s="48" t="str">
        <f>D397</f>
        <v>02906</v>
      </c>
      <c r="E398" s="7"/>
      <c r="F398" s="27">
        <v>0</v>
      </c>
      <c r="G398" s="27">
        <v>0</v>
      </c>
      <c r="H398" s="27">
        <v>0</v>
      </c>
      <c r="I398" s="27">
        <v>0</v>
      </c>
      <c r="J398" s="27">
        <v>0</v>
      </c>
      <c r="K398" s="63">
        <f>AVERAGE(I398:J398)</f>
        <v>0</v>
      </c>
      <c r="L398" s="56" t="str">
        <f>"EQP-LAWPACK2"</f>
        <v>EQP-LAWPACK2</v>
      </c>
      <c r="M398" s="14"/>
      <c r="N398" s="15"/>
      <c r="O398" s="12"/>
      <c r="P398" s="34"/>
      <c r="Q398" s="37"/>
      <c r="R398" s="47"/>
      <c r="S398" s="46"/>
    </row>
    <row r="399" spans="1:19" ht="15.6" hidden="1" customHeight="1" thickBot="1" x14ac:dyDescent="0.3">
      <c r="A399" t="s">
        <v>23</v>
      </c>
      <c r="B399" s="60" t="str">
        <f t="shared" si="277"/>
        <v>hide</v>
      </c>
      <c r="D399" s="48" t="str">
        <f>D398</f>
        <v>02906</v>
      </c>
      <c r="E399" s="7"/>
      <c r="F399" s="27">
        <v>0</v>
      </c>
      <c r="G399" s="27">
        <v>0</v>
      </c>
      <c r="H399" s="27">
        <v>0</v>
      </c>
      <c r="I399" s="27">
        <v>0</v>
      </c>
      <c r="J399" s="27">
        <v>0</v>
      </c>
      <c r="K399" s="63">
        <f>AVERAGE(I399:J399)</f>
        <v>0</v>
      </c>
      <c r="L399" s="56" t="str">
        <f>"SW-COMAS-PACKL"</f>
        <v>SW-COMAS-PACKL</v>
      </c>
      <c r="M399" s="14"/>
      <c r="N399" s="15"/>
      <c r="O399" s="12"/>
      <c r="P399" s="34"/>
      <c r="Q399" s="37"/>
      <c r="R399" s="47"/>
      <c r="S399" s="46"/>
    </row>
    <row r="400" spans="1:19" ht="15.6" hidden="1" customHeight="1" thickBot="1" x14ac:dyDescent="0.3">
      <c r="A400" t="s">
        <v>23</v>
      </c>
      <c r="B400" s="60" t="str">
        <f t="shared" si="277"/>
        <v>hide</v>
      </c>
      <c r="D400" s="48" t="str">
        <f>D399</f>
        <v>02906</v>
      </c>
      <c r="E400" s="7"/>
      <c r="F400" s="27">
        <v>0</v>
      </c>
      <c r="G400" s="27">
        <v>0</v>
      </c>
      <c r="H400" s="27">
        <v>0</v>
      </c>
      <c r="I400" s="27">
        <v>0</v>
      </c>
      <c r="J400" s="27">
        <v>0</v>
      </c>
      <c r="K400" s="63">
        <f>AVERAGE(I400:J400)</f>
        <v>0</v>
      </c>
      <c r="L400" s="56" t="str">
        <f>"SW-RISER-PACK"</f>
        <v>SW-RISER-PACK</v>
      </c>
      <c r="M400" s="14"/>
      <c r="N400" s="15"/>
      <c r="O400" s="12"/>
      <c r="P400" s="34"/>
      <c r="Q400" s="37"/>
      <c r="R400" s="47"/>
      <c r="S400" s="46"/>
    </row>
    <row r="401" spans="1:19" ht="12" hidden="1" customHeight="1" x14ac:dyDescent="0.3">
      <c r="A401" s="35" t="s">
        <v>908</v>
      </c>
      <c r="B401" s="49" t="str">
        <f>B397</f>
        <v>hide</v>
      </c>
      <c r="N401"/>
      <c r="Q401" s="33"/>
    </row>
    <row r="402" spans="1:19" ht="13.8" hidden="1" thickBot="1" x14ac:dyDescent="0.3">
      <c r="A402" t="s">
        <v>23</v>
      </c>
      <c r="B402" s="49" t="str">
        <f t="shared" ref="B402" si="278">B401</f>
        <v>hide</v>
      </c>
      <c r="D402" s="58"/>
      <c r="E402" s="58"/>
      <c r="F402" s="52">
        <f>SUM(F397:F401)</f>
        <v>0</v>
      </c>
      <c r="G402" s="52">
        <f>SUM(G397:G401)</f>
        <v>0</v>
      </c>
      <c r="H402" s="52">
        <f>SUM(H397:H401)</f>
        <v>0</v>
      </c>
      <c r="I402" s="52">
        <f>SUM(I397:I401)</f>
        <v>0</v>
      </c>
      <c r="J402" s="52">
        <f>SUM(J397:J401)</f>
        <v>0</v>
      </c>
      <c r="K402" s="52"/>
      <c r="L402" s="51" t="s">
        <v>4</v>
      </c>
      <c r="M402" s="58"/>
      <c r="N402" s="58"/>
      <c r="O402" s="58"/>
      <c r="P402" s="58"/>
      <c r="Q402" s="58"/>
      <c r="R402" s="58"/>
      <c r="S402" s="58"/>
    </row>
    <row r="403" spans="1:19" s="59" customFormat="1" ht="18.75" customHeight="1" thickBot="1" x14ac:dyDescent="0.3">
      <c r="A403" s="59" t="s">
        <v>23</v>
      </c>
      <c r="B403" s="60" t="str">
        <f t="shared" ref="B403:B404" si="279">IF(K403=0,"hide","")</f>
        <v/>
      </c>
      <c r="D403" s="61" t="str">
        <f>"02910"</f>
        <v>02910</v>
      </c>
      <c r="E403" s="62" t="str">
        <f>"7"</f>
        <v>7</v>
      </c>
      <c r="F403" s="63">
        <v>271</v>
      </c>
      <c r="G403" s="63">
        <v>284.08333333333331</v>
      </c>
      <c r="H403" s="63">
        <v>866.83333333333337</v>
      </c>
      <c r="I403" s="63">
        <v>503.91666666666669</v>
      </c>
      <c r="J403" s="63">
        <v>115.65493975903615</v>
      </c>
      <c r="K403" s="63">
        <f>AVERAGE(I403:J403)</f>
        <v>309.78580321285142</v>
      </c>
      <c r="L403" s="64" t="str">
        <f>"1345 Muffins, Chocolate Chip, IW"</f>
        <v>1345 Muffins, Chocolate Chip, IW</v>
      </c>
      <c r="M403" s="65" t="str">
        <f>"96/2 oz"</f>
        <v>96/2 oz</v>
      </c>
      <c r="N403" s="66">
        <v>96</v>
      </c>
      <c r="O403" s="67">
        <v>4.5999999999999999E-3</v>
      </c>
      <c r="P403" s="68">
        <f>1/O403</f>
        <v>217.39130434782609</v>
      </c>
      <c r="Q403" s="53">
        <v>4.5999999999999999E-3</v>
      </c>
      <c r="R403" s="69">
        <f t="shared" ref="R403" si="280">1/Q403</f>
        <v>217.39130434782609</v>
      </c>
      <c r="S403" s="70">
        <f t="shared" ref="S403" si="281">R403*N403</f>
        <v>20869.565217391304</v>
      </c>
    </row>
    <row r="404" spans="1:19" ht="15.6" customHeight="1" thickBot="1" x14ac:dyDescent="0.3">
      <c r="A404" t="s">
        <v>23</v>
      </c>
      <c r="B404" s="60" t="str">
        <f t="shared" si="279"/>
        <v/>
      </c>
      <c r="D404" s="48" t="str">
        <f>D403</f>
        <v>02910</v>
      </c>
      <c r="E404" s="7"/>
      <c r="F404" s="27">
        <v>-50.655000000000001</v>
      </c>
      <c r="G404" s="27">
        <v>0</v>
      </c>
      <c r="H404" s="27">
        <v>-374.25</v>
      </c>
      <c r="I404" s="27">
        <v>-43.416666666666664</v>
      </c>
      <c r="J404" s="27">
        <v>0</v>
      </c>
      <c r="K404" s="63">
        <f>AVERAGE(I404:J404)</f>
        <v>-21.708333333333332</v>
      </c>
      <c r="L404" s="56" t="str">
        <f>"EQP-LAWPACK1"</f>
        <v>EQP-LAWPACK1</v>
      </c>
      <c r="M404" s="14"/>
      <c r="N404" s="15"/>
      <c r="O404" s="12"/>
      <c r="P404" s="34"/>
      <c r="Q404" s="37"/>
      <c r="R404" s="47"/>
      <c r="S404" s="46"/>
    </row>
    <row r="405" spans="1:19" ht="15.6" hidden="1" customHeight="1" thickBot="1" x14ac:dyDescent="0.3">
      <c r="A405" t="s">
        <v>23</v>
      </c>
      <c r="B405" s="60" t="str">
        <f t="shared" ref="B405:B407" si="282">IF(K405=0,"hide","")</f>
        <v>hide</v>
      </c>
      <c r="D405" s="48" t="str">
        <f>D404</f>
        <v>02910</v>
      </c>
      <c r="E405" s="7"/>
      <c r="F405" s="27">
        <v>0</v>
      </c>
      <c r="G405" s="27">
        <v>0</v>
      </c>
      <c r="H405" s="27">
        <v>0</v>
      </c>
      <c r="I405" s="27">
        <v>0</v>
      </c>
      <c r="J405" s="27">
        <v>0</v>
      </c>
      <c r="K405" s="63">
        <f>AVERAGE(I405:J405)</f>
        <v>0</v>
      </c>
      <c r="L405" s="56" t="str">
        <f>"EQP-LAWPACK2"</f>
        <v>EQP-LAWPACK2</v>
      </c>
      <c r="M405" s="14"/>
      <c r="N405" s="15"/>
      <c r="O405" s="12"/>
      <c r="P405" s="34"/>
      <c r="Q405" s="37"/>
      <c r="R405" s="47"/>
      <c r="S405" s="46"/>
    </row>
    <row r="406" spans="1:19" ht="15.6" hidden="1" customHeight="1" thickBot="1" x14ac:dyDescent="0.3">
      <c r="A406" t="s">
        <v>23</v>
      </c>
      <c r="B406" s="60" t="str">
        <f t="shared" si="282"/>
        <v>hide</v>
      </c>
      <c r="D406" s="48" t="str">
        <f>D405</f>
        <v>02910</v>
      </c>
      <c r="E406" s="7"/>
      <c r="F406" s="27">
        <v>0</v>
      </c>
      <c r="G406" s="27">
        <v>0</v>
      </c>
      <c r="H406" s="27">
        <v>0</v>
      </c>
      <c r="I406" s="27">
        <v>0</v>
      </c>
      <c r="J406" s="27">
        <v>0</v>
      </c>
      <c r="K406" s="63">
        <f>AVERAGE(I406:J406)</f>
        <v>0</v>
      </c>
      <c r="L406" s="56" t="str">
        <f>"SW-COMAS-PACKL"</f>
        <v>SW-COMAS-PACKL</v>
      </c>
      <c r="M406" s="14"/>
      <c r="N406" s="15"/>
      <c r="O406" s="12"/>
      <c r="P406" s="34"/>
      <c r="Q406" s="37"/>
      <c r="R406" s="47"/>
      <c r="S406" s="46"/>
    </row>
    <row r="407" spans="1:19" ht="15.6" hidden="1" customHeight="1" thickBot="1" x14ac:dyDescent="0.3">
      <c r="A407" t="s">
        <v>23</v>
      </c>
      <c r="B407" s="60" t="str">
        <f t="shared" si="282"/>
        <v>hide</v>
      </c>
      <c r="D407" s="48" t="str">
        <f>D406</f>
        <v>02910</v>
      </c>
      <c r="E407" s="7"/>
      <c r="F407" s="27">
        <v>0</v>
      </c>
      <c r="G407" s="27">
        <v>0</v>
      </c>
      <c r="H407" s="27">
        <v>0</v>
      </c>
      <c r="I407" s="27">
        <v>0</v>
      </c>
      <c r="J407" s="27">
        <v>0</v>
      </c>
      <c r="K407" s="63">
        <f>AVERAGE(I407:J407)</f>
        <v>0</v>
      </c>
      <c r="L407" s="56" t="str">
        <f>"SW-RISER-PACK"</f>
        <v>SW-RISER-PACK</v>
      </c>
      <c r="M407" s="14"/>
      <c r="N407" s="15"/>
      <c r="O407" s="12"/>
      <c r="P407" s="34"/>
      <c r="Q407" s="37"/>
      <c r="R407" s="47"/>
      <c r="S407" s="46"/>
    </row>
    <row r="408" spans="1:19" ht="12" hidden="1" customHeight="1" x14ac:dyDescent="0.25">
      <c r="A408" s="35" t="s">
        <v>908</v>
      </c>
      <c r="B408" s="49" t="str">
        <f>B404</f>
        <v/>
      </c>
      <c r="N408"/>
      <c r="Q408" s="33"/>
    </row>
    <row r="409" spans="1:19" ht="13.8" thickBot="1" x14ac:dyDescent="0.3">
      <c r="A409" t="s">
        <v>23</v>
      </c>
      <c r="B409" s="49" t="str">
        <f t="shared" ref="B409" si="283">B408</f>
        <v/>
      </c>
      <c r="D409" s="58"/>
      <c r="E409" s="58"/>
      <c r="F409" s="52">
        <f>SUM(F404:F408)</f>
        <v>-50.655000000000001</v>
      </c>
      <c r="G409" s="52">
        <f>SUM(G404:G408)</f>
        <v>0</v>
      </c>
      <c r="H409" s="52">
        <f>SUM(H404:H408)</f>
        <v>-374.25</v>
      </c>
      <c r="I409" s="52">
        <f>SUM(I404:I408)</f>
        <v>-43.416666666666664</v>
      </c>
      <c r="J409" s="52">
        <f>SUM(J404:J408)</f>
        <v>0</v>
      </c>
      <c r="K409" s="52"/>
      <c r="L409" s="51" t="s">
        <v>4</v>
      </c>
      <c r="M409" s="58"/>
      <c r="N409" s="58"/>
      <c r="O409" s="58"/>
      <c r="P409" s="58"/>
      <c r="Q409" s="58"/>
      <c r="R409" s="58"/>
      <c r="S409" s="58"/>
    </row>
    <row r="410" spans="1:19" s="59" customFormat="1" ht="18.75" hidden="1" customHeight="1" thickBot="1" x14ac:dyDescent="0.3">
      <c r="A410" s="59" t="s">
        <v>23</v>
      </c>
      <c r="B410" s="60" t="str">
        <f t="shared" ref="B410:B411" si="284">IF(K410=0,"hide","")</f>
        <v>hide</v>
      </c>
      <c r="D410" s="61" t="str">
        <f>"02912"</f>
        <v>02912</v>
      </c>
      <c r="E410" s="62" t="str">
        <f>"7"</f>
        <v>7</v>
      </c>
      <c r="F410" s="63">
        <v>17.916666666666668</v>
      </c>
      <c r="G410" s="63">
        <v>5.833333333333333</v>
      </c>
      <c r="H410" s="63">
        <v>0</v>
      </c>
      <c r="I410" s="63">
        <v>0</v>
      </c>
      <c r="J410" s="63">
        <v>0</v>
      </c>
      <c r="K410" s="63">
        <f>AVERAGE(I410:J410)</f>
        <v>0</v>
      </c>
      <c r="L410" s="64" t="str">
        <f>"1337 Muffins, Honey Bran, IW"</f>
        <v>1337 Muffins, Honey Bran, IW</v>
      </c>
      <c r="M410" s="65" t="str">
        <f>"96/2 oz"</f>
        <v>96/2 oz</v>
      </c>
      <c r="N410" s="66">
        <v>96</v>
      </c>
      <c r="O410" s="67">
        <v>4.5999999999999999E-3</v>
      </c>
      <c r="P410" s="68">
        <f>1/O410</f>
        <v>217.39130434782609</v>
      </c>
      <c r="Q410" s="53">
        <v>4.5999999999999999E-3</v>
      </c>
      <c r="R410" s="69">
        <f t="shared" ref="R410" si="285">1/Q410</f>
        <v>217.39130434782609</v>
      </c>
      <c r="S410" s="70">
        <f t="shared" ref="S410" si="286">R410*N410</f>
        <v>20869.565217391304</v>
      </c>
    </row>
    <row r="411" spans="1:19" ht="15.6" hidden="1" customHeight="1" thickBot="1" x14ac:dyDescent="0.3">
      <c r="A411" t="s">
        <v>23</v>
      </c>
      <c r="B411" s="60" t="str">
        <f t="shared" si="284"/>
        <v>hide</v>
      </c>
      <c r="D411" s="48" t="str">
        <f>D410</f>
        <v>02912</v>
      </c>
      <c r="E411" s="7"/>
      <c r="F411" s="27">
        <v>0</v>
      </c>
      <c r="G411" s="27">
        <v>0</v>
      </c>
      <c r="H411" s="27">
        <v>0</v>
      </c>
      <c r="I411" s="27">
        <v>0</v>
      </c>
      <c r="J411" s="27">
        <v>0</v>
      </c>
      <c r="K411" s="63">
        <f>AVERAGE(I411:J411)</f>
        <v>0</v>
      </c>
      <c r="L411" s="56" t="str">
        <f>"EQP-LAWPACK1"</f>
        <v>EQP-LAWPACK1</v>
      </c>
      <c r="M411" s="14"/>
      <c r="N411" s="15"/>
      <c r="O411" s="12"/>
      <c r="P411" s="34"/>
      <c r="Q411" s="37"/>
      <c r="R411" s="47"/>
      <c r="S411" s="46"/>
    </row>
    <row r="412" spans="1:19" ht="15.6" hidden="1" customHeight="1" thickBot="1" x14ac:dyDescent="0.3">
      <c r="A412" t="s">
        <v>23</v>
      </c>
      <c r="B412" s="60" t="str">
        <f t="shared" ref="B412:B414" si="287">IF(K412=0,"hide","")</f>
        <v>hide</v>
      </c>
      <c r="D412" s="48" t="str">
        <f>D411</f>
        <v>02912</v>
      </c>
      <c r="E412" s="7"/>
      <c r="F412" s="27">
        <v>0</v>
      </c>
      <c r="G412" s="27">
        <v>0</v>
      </c>
      <c r="H412" s="27">
        <v>0</v>
      </c>
      <c r="I412" s="27">
        <v>0</v>
      </c>
      <c r="J412" s="27">
        <v>0</v>
      </c>
      <c r="K412" s="63">
        <f>AVERAGE(I412:J412)</f>
        <v>0</v>
      </c>
      <c r="L412" s="56" t="str">
        <f>"EQP-LAWPACK2"</f>
        <v>EQP-LAWPACK2</v>
      </c>
      <c r="M412" s="14"/>
      <c r="N412" s="15"/>
      <c r="O412" s="12"/>
      <c r="P412" s="34"/>
      <c r="Q412" s="37"/>
      <c r="R412" s="47"/>
      <c r="S412" s="46"/>
    </row>
    <row r="413" spans="1:19" ht="15.6" hidden="1" customHeight="1" thickBot="1" x14ac:dyDescent="0.3">
      <c r="A413" t="s">
        <v>23</v>
      </c>
      <c r="B413" s="60" t="str">
        <f t="shared" si="287"/>
        <v>hide</v>
      </c>
      <c r="D413" s="48" t="str">
        <f>D412</f>
        <v>02912</v>
      </c>
      <c r="E413" s="7"/>
      <c r="F413" s="27">
        <v>0</v>
      </c>
      <c r="G413" s="27">
        <v>0</v>
      </c>
      <c r="H413" s="27">
        <v>0</v>
      </c>
      <c r="I413" s="27">
        <v>0</v>
      </c>
      <c r="J413" s="27">
        <v>0</v>
      </c>
      <c r="K413" s="63">
        <f>AVERAGE(I413:J413)</f>
        <v>0</v>
      </c>
      <c r="L413" s="56" t="str">
        <f>"SW-COMAS-PACKL"</f>
        <v>SW-COMAS-PACKL</v>
      </c>
      <c r="M413" s="14"/>
      <c r="N413" s="15"/>
      <c r="O413" s="12"/>
      <c r="P413" s="34"/>
      <c r="Q413" s="37"/>
      <c r="R413" s="47"/>
      <c r="S413" s="46"/>
    </row>
    <row r="414" spans="1:19" ht="15.6" hidden="1" customHeight="1" thickBot="1" x14ac:dyDescent="0.3">
      <c r="A414" t="s">
        <v>23</v>
      </c>
      <c r="B414" s="60" t="str">
        <f t="shared" si="287"/>
        <v>hide</v>
      </c>
      <c r="D414" s="48" t="str">
        <f>D413</f>
        <v>02912</v>
      </c>
      <c r="E414" s="7"/>
      <c r="F414" s="27">
        <v>0</v>
      </c>
      <c r="G414" s="27">
        <v>0</v>
      </c>
      <c r="H414" s="27">
        <v>0</v>
      </c>
      <c r="I414" s="27">
        <v>0</v>
      </c>
      <c r="J414" s="27">
        <v>0</v>
      </c>
      <c r="K414" s="63">
        <f>AVERAGE(I414:J414)</f>
        <v>0</v>
      </c>
      <c r="L414" s="56" t="str">
        <f>"SW-RISER-PACK"</f>
        <v>SW-RISER-PACK</v>
      </c>
      <c r="M414" s="14"/>
      <c r="N414" s="15"/>
      <c r="O414" s="12"/>
      <c r="P414" s="34"/>
      <c r="Q414" s="37"/>
      <c r="R414" s="47"/>
      <c r="S414" s="46"/>
    </row>
    <row r="415" spans="1:19" ht="12" hidden="1" customHeight="1" x14ac:dyDescent="0.3">
      <c r="A415" s="35" t="s">
        <v>908</v>
      </c>
      <c r="B415" s="49" t="str">
        <f>B411</f>
        <v>hide</v>
      </c>
      <c r="N415"/>
      <c r="Q415" s="33"/>
    </row>
    <row r="416" spans="1:19" ht="13.8" hidden="1" thickBot="1" x14ac:dyDescent="0.3">
      <c r="A416" t="s">
        <v>23</v>
      </c>
      <c r="B416" s="49" t="str">
        <f t="shared" ref="B416" si="288">B415</f>
        <v>hide</v>
      </c>
      <c r="D416" s="58"/>
      <c r="E416" s="58"/>
      <c r="F416" s="52">
        <f>SUM(F411:F415)</f>
        <v>0</v>
      </c>
      <c r="G416" s="52">
        <f>SUM(G411:G415)</f>
        <v>0</v>
      </c>
      <c r="H416" s="52">
        <f>SUM(H411:H415)</f>
        <v>0</v>
      </c>
      <c r="I416" s="52">
        <f>SUM(I411:I415)</f>
        <v>0</v>
      </c>
      <c r="J416" s="52">
        <f>SUM(J411:J415)</f>
        <v>0</v>
      </c>
      <c r="K416" s="52"/>
      <c r="L416" s="51" t="s">
        <v>4</v>
      </c>
      <c r="M416" s="58"/>
      <c r="N416" s="58"/>
      <c r="O416" s="58"/>
      <c r="P416" s="58"/>
      <c r="Q416" s="58"/>
      <c r="R416" s="58"/>
      <c r="S416" s="58"/>
    </row>
    <row r="417" spans="1:19" s="59" customFormat="1" ht="18.75" hidden="1" customHeight="1" thickBot="1" x14ac:dyDescent="0.3">
      <c r="A417" s="59" t="s">
        <v>23</v>
      </c>
      <c r="B417" s="60" t="str">
        <f t="shared" ref="B417:B418" si="289">IF(K417=0,"hide","")</f>
        <v>hide</v>
      </c>
      <c r="D417" s="61" t="str">
        <f>"02919"</f>
        <v>02919</v>
      </c>
      <c r="E417" s="62" t="str">
        <f>"7"</f>
        <v>7</v>
      </c>
      <c r="F417" s="63">
        <v>21.166666666666668</v>
      </c>
      <c r="G417" s="63">
        <v>13.333333333333334</v>
      </c>
      <c r="H417" s="63">
        <v>0</v>
      </c>
      <c r="I417" s="63">
        <v>0</v>
      </c>
      <c r="J417" s="63">
        <v>0</v>
      </c>
      <c r="K417" s="63">
        <f>AVERAGE(I417:J417)</f>
        <v>0</v>
      </c>
      <c r="L417" s="64" t="str">
        <f>"1307 Muffins, Orange Dream, IW"</f>
        <v>1307 Muffins, Orange Dream, IW</v>
      </c>
      <c r="M417" s="65" t="str">
        <f>"96/2 oz"</f>
        <v>96/2 oz</v>
      </c>
      <c r="N417" s="66">
        <v>96</v>
      </c>
      <c r="O417" s="67" t="str">
        <f>""</f>
        <v/>
      </c>
      <c r="P417" s="68" t="e">
        <f>1/O417</f>
        <v>#VALUE!</v>
      </c>
      <c r="Q417" s="53">
        <v>1</v>
      </c>
      <c r="R417" s="69">
        <f t="shared" ref="R417" si="290">1/Q417</f>
        <v>1</v>
      </c>
      <c r="S417" s="70">
        <f t="shared" ref="S417" si="291">R417*N417</f>
        <v>96</v>
      </c>
    </row>
    <row r="418" spans="1:19" ht="15.6" hidden="1" customHeight="1" thickBot="1" x14ac:dyDescent="0.3">
      <c r="A418" t="s">
        <v>23</v>
      </c>
      <c r="B418" s="60" t="str">
        <f t="shared" si="289"/>
        <v>hide</v>
      </c>
      <c r="D418" s="48" t="str">
        <f>D417</f>
        <v>02919</v>
      </c>
      <c r="E418" s="7"/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63">
        <f>AVERAGE(I418:J418)</f>
        <v>0</v>
      </c>
      <c r="L418" s="56" t="str">
        <f>"EQP-LAWPACK1"</f>
        <v>EQP-LAWPACK1</v>
      </c>
      <c r="M418" s="14"/>
      <c r="N418" s="15"/>
      <c r="O418" s="12"/>
      <c r="P418" s="34"/>
      <c r="Q418" s="37"/>
      <c r="R418" s="47"/>
      <c r="S418" s="46"/>
    </row>
    <row r="419" spans="1:19" ht="15.6" hidden="1" customHeight="1" thickBot="1" x14ac:dyDescent="0.3">
      <c r="A419" t="s">
        <v>23</v>
      </c>
      <c r="B419" s="60" t="str">
        <f t="shared" ref="B419:B421" si="292">IF(K419=0,"hide","")</f>
        <v>hide</v>
      </c>
      <c r="D419" s="48" t="str">
        <f>D418</f>
        <v>02919</v>
      </c>
      <c r="E419" s="7"/>
      <c r="F419" s="27">
        <v>0</v>
      </c>
      <c r="G419" s="27">
        <v>0</v>
      </c>
      <c r="H419" s="27">
        <v>0</v>
      </c>
      <c r="I419" s="27">
        <v>0</v>
      </c>
      <c r="J419" s="27">
        <v>0</v>
      </c>
      <c r="K419" s="63">
        <f>AVERAGE(I419:J419)</f>
        <v>0</v>
      </c>
      <c r="L419" s="56" t="str">
        <f>"EQP-LAWPACK2"</f>
        <v>EQP-LAWPACK2</v>
      </c>
      <c r="M419" s="14"/>
      <c r="N419" s="15"/>
      <c r="O419" s="12"/>
      <c r="P419" s="34"/>
      <c r="Q419" s="37"/>
      <c r="R419" s="47"/>
      <c r="S419" s="46"/>
    </row>
    <row r="420" spans="1:19" ht="15.6" hidden="1" customHeight="1" thickBot="1" x14ac:dyDescent="0.3">
      <c r="A420" t="s">
        <v>23</v>
      </c>
      <c r="B420" s="60" t="str">
        <f t="shared" si="292"/>
        <v>hide</v>
      </c>
      <c r="D420" s="48" t="str">
        <f>D419</f>
        <v>02919</v>
      </c>
      <c r="E420" s="7"/>
      <c r="F420" s="27">
        <v>0</v>
      </c>
      <c r="G420" s="27">
        <v>0</v>
      </c>
      <c r="H420" s="27">
        <v>0</v>
      </c>
      <c r="I420" s="27">
        <v>0</v>
      </c>
      <c r="J420" s="27">
        <v>0</v>
      </c>
      <c r="K420" s="63">
        <f>AVERAGE(I420:J420)</f>
        <v>0</v>
      </c>
      <c r="L420" s="56" t="str">
        <f>"SW-COMAS-PACKL"</f>
        <v>SW-COMAS-PACKL</v>
      </c>
      <c r="M420" s="14"/>
      <c r="N420" s="15"/>
      <c r="O420" s="12"/>
      <c r="P420" s="34"/>
      <c r="Q420" s="37"/>
      <c r="R420" s="47"/>
      <c r="S420" s="46"/>
    </row>
    <row r="421" spans="1:19" ht="15.6" hidden="1" customHeight="1" thickBot="1" x14ac:dyDescent="0.3">
      <c r="A421" t="s">
        <v>23</v>
      </c>
      <c r="B421" s="60" t="str">
        <f t="shared" si="292"/>
        <v>hide</v>
      </c>
      <c r="D421" s="48" t="str">
        <f>D420</f>
        <v>02919</v>
      </c>
      <c r="E421" s="7"/>
      <c r="F421" s="27">
        <v>0</v>
      </c>
      <c r="G421" s="27">
        <v>0</v>
      </c>
      <c r="H421" s="27">
        <v>0</v>
      </c>
      <c r="I421" s="27">
        <v>0</v>
      </c>
      <c r="J421" s="27">
        <v>0</v>
      </c>
      <c r="K421" s="63">
        <f>AVERAGE(I421:J421)</f>
        <v>0</v>
      </c>
      <c r="L421" s="56" t="str">
        <f>"SW-RISER-PACK"</f>
        <v>SW-RISER-PACK</v>
      </c>
      <c r="M421" s="14"/>
      <c r="N421" s="15"/>
      <c r="O421" s="12"/>
      <c r="P421" s="34"/>
      <c r="Q421" s="37"/>
      <c r="R421" s="47"/>
      <c r="S421" s="46"/>
    </row>
    <row r="422" spans="1:19" ht="12" hidden="1" customHeight="1" x14ac:dyDescent="0.3">
      <c r="A422" s="35" t="s">
        <v>908</v>
      </c>
      <c r="B422" s="49" t="str">
        <f>B418</f>
        <v>hide</v>
      </c>
      <c r="N422"/>
      <c r="Q422" s="33"/>
    </row>
    <row r="423" spans="1:19" ht="13.8" hidden="1" thickBot="1" x14ac:dyDescent="0.3">
      <c r="A423" t="s">
        <v>23</v>
      </c>
      <c r="B423" s="49" t="str">
        <f t="shared" ref="B423" si="293">B422</f>
        <v>hide</v>
      </c>
      <c r="D423" s="58"/>
      <c r="E423" s="58"/>
      <c r="F423" s="52">
        <f>SUM(F418:F422)</f>
        <v>0</v>
      </c>
      <c r="G423" s="52">
        <f>SUM(G418:G422)</f>
        <v>0</v>
      </c>
      <c r="H423" s="52">
        <f>SUM(H418:H422)</f>
        <v>0</v>
      </c>
      <c r="I423" s="52">
        <f>SUM(I418:I422)</f>
        <v>0</v>
      </c>
      <c r="J423" s="52">
        <f>SUM(J418:J422)</f>
        <v>0</v>
      </c>
      <c r="K423" s="52"/>
      <c r="L423" s="51" t="s">
        <v>4</v>
      </c>
      <c r="M423" s="58"/>
      <c r="N423" s="58"/>
      <c r="O423" s="58"/>
      <c r="P423" s="58"/>
      <c r="Q423" s="58"/>
      <c r="R423" s="58"/>
      <c r="S423" s="58"/>
    </row>
    <row r="424" spans="1:19" s="59" customFormat="1" ht="18.75" hidden="1" customHeight="1" thickBot="1" x14ac:dyDescent="0.3">
      <c r="A424" s="59" t="s">
        <v>23</v>
      </c>
      <c r="B424" s="60" t="str">
        <f t="shared" ref="B424:B425" si="294">IF(K424=0,"hide","")</f>
        <v>hide</v>
      </c>
      <c r="D424" s="61" t="str">
        <f>"02921"</f>
        <v>02921</v>
      </c>
      <c r="E424" s="62" t="str">
        <f>"5"</f>
        <v>5</v>
      </c>
      <c r="F424" s="63">
        <v>0</v>
      </c>
      <c r="G424" s="63">
        <v>0</v>
      </c>
      <c r="H424" s="63">
        <v>0</v>
      </c>
      <c r="I424" s="63">
        <v>0</v>
      </c>
      <c r="J424" s="63">
        <v>0</v>
      </c>
      <c r="K424" s="63">
        <f>AVERAGE(I424:J424)</f>
        <v>0</v>
      </c>
      <c r="L424" s="64" t="str">
        <f>"1413 Muffin, WG, Blueberry, IW"</f>
        <v>1413 Muffin, WG, Blueberry, IW</v>
      </c>
      <c r="M424" s="65" t="str">
        <f>"96/2 oz"</f>
        <v>96/2 oz</v>
      </c>
      <c r="N424" s="66">
        <v>96</v>
      </c>
      <c r="O424" s="67">
        <v>4.5999999999999999E-3</v>
      </c>
      <c r="P424" s="68">
        <f>1/O424</f>
        <v>217.39130434782609</v>
      </c>
      <c r="Q424" s="53">
        <v>4.5999999999999999E-3</v>
      </c>
      <c r="R424" s="69">
        <f t="shared" ref="R424" si="295">1/Q424</f>
        <v>217.39130434782609</v>
      </c>
      <c r="S424" s="70">
        <f t="shared" ref="S424" si="296">R424*N424</f>
        <v>20869.565217391304</v>
      </c>
    </row>
    <row r="425" spans="1:19" ht="15.6" hidden="1" customHeight="1" thickBot="1" x14ac:dyDescent="0.3">
      <c r="A425" t="s">
        <v>23</v>
      </c>
      <c r="B425" s="60" t="str">
        <f t="shared" si="294"/>
        <v>hide</v>
      </c>
      <c r="D425" s="48" t="str">
        <f>D424</f>
        <v>02921</v>
      </c>
      <c r="E425" s="7"/>
      <c r="F425" s="27">
        <v>0</v>
      </c>
      <c r="G425" s="27">
        <v>0</v>
      </c>
      <c r="H425" s="27">
        <v>0</v>
      </c>
      <c r="I425" s="27">
        <v>0</v>
      </c>
      <c r="J425" s="27">
        <v>0</v>
      </c>
      <c r="K425" s="63">
        <f>AVERAGE(I425:J425)</f>
        <v>0</v>
      </c>
      <c r="L425" s="56" t="str">
        <f>"EQP-LAWPACK1"</f>
        <v>EQP-LAWPACK1</v>
      </c>
      <c r="M425" s="14"/>
      <c r="N425" s="15"/>
      <c r="O425" s="12"/>
      <c r="P425" s="34"/>
      <c r="Q425" s="37"/>
      <c r="R425" s="47"/>
      <c r="S425" s="46"/>
    </row>
    <row r="426" spans="1:19" ht="15.6" hidden="1" customHeight="1" thickBot="1" x14ac:dyDescent="0.3">
      <c r="A426" t="s">
        <v>23</v>
      </c>
      <c r="B426" s="60" t="str">
        <f t="shared" ref="B426:B428" si="297">IF(K426=0,"hide","")</f>
        <v>hide</v>
      </c>
      <c r="D426" s="48" t="str">
        <f>D425</f>
        <v>02921</v>
      </c>
      <c r="E426" s="7"/>
      <c r="F426" s="27">
        <v>0</v>
      </c>
      <c r="G426" s="27">
        <v>0</v>
      </c>
      <c r="H426" s="27">
        <v>0</v>
      </c>
      <c r="I426" s="27">
        <v>0</v>
      </c>
      <c r="J426" s="27">
        <v>0</v>
      </c>
      <c r="K426" s="63">
        <f>AVERAGE(I426:J426)</f>
        <v>0</v>
      </c>
      <c r="L426" s="56" t="str">
        <f>"EQP-LAWPACK2"</f>
        <v>EQP-LAWPACK2</v>
      </c>
      <c r="M426" s="14"/>
      <c r="N426" s="15"/>
      <c r="O426" s="12"/>
      <c r="P426" s="34"/>
      <c r="Q426" s="37"/>
      <c r="R426" s="47"/>
      <c r="S426" s="46"/>
    </row>
    <row r="427" spans="1:19" ht="15.6" hidden="1" customHeight="1" thickBot="1" x14ac:dyDescent="0.3">
      <c r="A427" t="s">
        <v>23</v>
      </c>
      <c r="B427" s="60" t="str">
        <f t="shared" si="297"/>
        <v>hide</v>
      </c>
      <c r="D427" s="48" t="str">
        <f>D426</f>
        <v>02921</v>
      </c>
      <c r="E427" s="7"/>
      <c r="F427" s="27">
        <v>0</v>
      </c>
      <c r="G427" s="27">
        <v>0</v>
      </c>
      <c r="H427" s="27">
        <v>0</v>
      </c>
      <c r="I427" s="27">
        <v>0</v>
      </c>
      <c r="J427" s="27">
        <v>0</v>
      </c>
      <c r="K427" s="63">
        <f>AVERAGE(I427:J427)</f>
        <v>0</v>
      </c>
      <c r="L427" s="56" t="str">
        <f>"SW-COMAS-PACKL"</f>
        <v>SW-COMAS-PACKL</v>
      </c>
      <c r="M427" s="14"/>
      <c r="N427" s="15"/>
      <c r="O427" s="12"/>
      <c r="P427" s="34"/>
      <c r="Q427" s="37"/>
      <c r="R427" s="47"/>
      <c r="S427" s="46"/>
    </row>
    <row r="428" spans="1:19" ht="15.6" hidden="1" customHeight="1" thickBot="1" x14ac:dyDescent="0.3">
      <c r="A428" t="s">
        <v>23</v>
      </c>
      <c r="B428" s="60" t="str">
        <f t="shared" si="297"/>
        <v>hide</v>
      </c>
      <c r="D428" s="48" t="str">
        <f>D427</f>
        <v>02921</v>
      </c>
      <c r="E428" s="7"/>
      <c r="F428" s="27">
        <v>0</v>
      </c>
      <c r="G428" s="27">
        <v>0</v>
      </c>
      <c r="H428" s="27">
        <v>0</v>
      </c>
      <c r="I428" s="27">
        <v>0</v>
      </c>
      <c r="J428" s="27">
        <v>0</v>
      </c>
      <c r="K428" s="63">
        <f>AVERAGE(I428:J428)</f>
        <v>0</v>
      </c>
      <c r="L428" s="56" t="str">
        <f>"SW-RISER-PACK"</f>
        <v>SW-RISER-PACK</v>
      </c>
      <c r="M428" s="14"/>
      <c r="N428" s="15"/>
      <c r="O428" s="12"/>
      <c r="P428" s="34"/>
      <c r="Q428" s="37"/>
      <c r="R428" s="47"/>
      <c r="S428" s="46"/>
    </row>
    <row r="429" spans="1:19" ht="12" hidden="1" customHeight="1" x14ac:dyDescent="0.3">
      <c r="A429" s="35" t="s">
        <v>908</v>
      </c>
      <c r="B429" s="49" t="str">
        <f>B425</f>
        <v>hide</v>
      </c>
      <c r="N429"/>
      <c r="Q429" s="33"/>
    </row>
    <row r="430" spans="1:19" ht="13.8" hidden="1" thickBot="1" x14ac:dyDescent="0.3">
      <c r="A430" t="s">
        <v>23</v>
      </c>
      <c r="B430" s="49" t="str">
        <f t="shared" ref="B430" si="298">B429</f>
        <v>hide</v>
      </c>
      <c r="D430" s="58"/>
      <c r="E430" s="58"/>
      <c r="F430" s="52">
        <f>SUM(F425:F429)</f>
        <v>0</v>
      </c>
      <c r="G430" s="52">
        <f>SUM(G425:G429)</f>
        <v>0</v>
      </c>
      <c r="H430" s="52">
        <f>SUM(H425:H429)</f>
        <v>0</v>
      </c>
      <c r="I430" s="52">
        <f>SUM(I425:I429)</f>
        <v>0</v>
      </c>
      <c r="J430" s="52">
        <f>SUM(J425:J429)</f>
        <v>0</v>
      </c>
      <c r="K430" s="52"/>
      <c r="L430" s="51" t="s">
        <v>4</v>
      </c>
      <c r="M430" s="58"/>
      <c r="N430" s="58"/>
      <c r="O430" s="58"/>
      <c r="P430" s="58"/>
      <c r="Q430" s="58"/>
      <c r="R430" s="58"/>
      <c r="S430" s="58"/>
    </row>
    <row r="431" spans="1:19" s="59" customFormat="1" ht="18.75" hidden="1" customHeight="1" thickBot="1" x14ac:dyDescent="0.3">
      <c r="A431" s="59" t="s">
        <v>23</v>
      </c>
      <c r="B431" s="60" t="str">
        <f t="shared" ref="B431:B432" si="299">IF(K431=0,"hide","")</f>
        <v>hide</v>
      </c>
      <c r="D431" s="61" t="str">
        <f>"02926"</f>
        <v>02926</v>
      </c>
      <c r="E431" s="62" t="str">
        <f>"5"</f>
        <v>5</v>
      </c>
      <c r="F431" s="63">
        <v>0</v>
      </c>
      <c r="G431" s="63">
        <v>0</v>
      </c>
      <c r="H431" s="63">
        <v>0</v>
      </c>
      <c r="I431" s="63">
        <v>0</v>
      </c>
      <c r="J431" s="63">
        <v>0</v>
      </c>
      <c r="K431" s="63">
        <f>AVERAGE(I431:J431)</f>
        <v>0</v>
      </c>
      <c r="L431" s="64" t="str">
        <f>"1386 WG Apple Cinnamon"</f>
        <v>1386 WG Apple Cinnamon</v>
      </c>
      <c r="M431" s="65" t="str">
        <f>"96-2 oz. I.W. Muffins"</f>
        <v>96-2 oz. I.W. Muffins</v>
      </c>
      <c r="N431" s="66">
        <v>96</v>
      </c>
      <c r="O431" s="67">
        <v>4.5999999999999999E-3</v>
      </c>
      <c r="P431" s="68">
        <f>1/O431</f>
        <v>217.39130434782609</v>
      </c>
      <c r="Q431" s="53">
        <v>4.5999999999999999E-3</v>
      </c>
      <c r="R431" s="69">
        <f t="shared" ref="R431" si="300">1/Q431</f>
        <v>217.39130434782609</v>
      </c>
      <c r="S431" s="70">
        <f t="shared" ref="S431" si="301">R431*N431</f>
        <v>20869.565217391304</v>
      </c>
    </row>
    <row r="432" spans="1:19" ht="15.6" hidden="1" customHeight="1" thickBot="1" x14ac:dyDescent="0.3">
      <c r="A432" t="s">
        <v>23</v>
      </c>
      <c r="B432" s="60" t="str">
        <f t="shared" si="299"/>
        <v>hide</v>
      </c>
      <c r="D432" s="48" t="str">
        <f>D431</f>
        <v>02926</v>
      </c>
      <c r="E432" s="7"/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63">
        <f>AVERAGE(I432:J432)</f>
        <v>0</v>
      </c>
      <c r="L432" s="56" t="str">
        <f>"EQP-LAWPACK1"</f>
        <v>EQP-LAWPACK1</v>
      </c>
      <c r="M432" s="14"/>
      <c r="N432" s="15"/>
      <c r="O432" s="12"/>
      <c r="P432" s="34"/>
      <c r="Q432" s="37"/>
      <c r="R432" s="47"/>
      <c r="S432" s="46"/>
    </row>
    <row r="433" spans="1:19" ht="15.6" hidden="1" customHeight="1" thickBot="1" x14ac:dyDescent="0.3">
      <c r="A433" t="s">
        <v>23</v>
      </c>
      <c r="B433" s="60" t="str">
        <f t="shared" ref="B433:B435" si="302">IF(K433=0,"hide","")</f>
        <v>hide</v>
      </c>
      <c r="D433" s="48" t="str">
        <f>D432</f>
        <v>02926</v>
      </c>
      <c r="E433" s="7"/>
      <c r="F433" s="27">
        <v>0</v>
      </c>
      <c r="G433" s="27">
        <v>0</v>
      </c>
      <c r="H433" s="27">
        <v>0</v>
      </c>
      <c r="I433" s="27">
        <v>0</v>
      </c>
      <c r="J433" s="27">
        <v>0</v>
      </c>
      <c r="K433" s="63">
        <f>AVERAGE(I433:J433)</f>
        <v>0</v>
      </c>
      <c r="L433" s="56" t="str">
        <f>"EQP-LAWPACK2"</f>
        <v>EQP-LAWPACK2</v>
      </c>
      <c r="M433" s="14"/>
      <c r="N433" s="15"/>
      <c r="O433" s="12"/>
      <c r="P433" s="34"/>
      <c r="Q433" s="37"/>
      <c r="R433" s="47"/>
      <c r="S433" s="46"/>
    </row>
    <row r="434" spans="1:19" ht="15.6" hidden="1" customHeight="1" thickBot="1" x14ac:dyDescent="0.3">
      <c r="A434" t="s">
        <v>23</v>
      </c>
      <c r="B434" s="60" t="str">
        <f t="shared" si="302"/>
        <v>hide</v>
      </c>
      <c r="D434" s="48" t="str">
        <f>D433</f>
        <v>02926</v>
      </c>
      <c r="E434" s="7"/>
      <c r="F434" s="27">
        <v>0</v>
      </c>
      <c r="G434" s="27">
        <v>0</v>
      </c>
      <c r="H434" s="27">
        <v>0</v>
      </c>
      <c r="I434" s="27">
        <v>0</v>
      </c>
      <c r="J434" s="27">
        <v>0</v>
      </c>
      <c r="K434" s="63">
        <f>AVERAGE(I434:J434)</f>
        <v>0</v>
      </c>
      <c r="L434" s="56" t="str">
        <f>"SW-COMAS-PACKL"</f>
        <v>SW-COMAS-PACKL</v>
      </c>
      <c r="M434" s="14"/>
      <c r="N434" s="15"/>
      <c r="O434" s="12"/>
      <c r="P434" s="34"/>
      <c r="Q434" s="37"/>
      <c r="R434" s="47"/>
      <c r="S434" s="46"/>
    </row>
    <row r="435" spans="1:19" ht="15.6" hidden="1" customHeight="1" thickBot="1" x14ac:dyDescent="0.3">
      <c r="A435" t="s">
        <v>23</v>
      </c>
      <c r="B435" s="60" t="str">
        <f t="shared" si="302"/>
        <v>hide</v>
      </c>
      <c r="D435" s="48" t="str">
        <f>D434</f>
        <v>02926</v>
      </c>
      <c r="E435" s="7"/>
      <c r="F435" s="27">
        <v>0</v>
      </c>
      <c r="G435" s="27">
        <v>0</v>
      </c>
      <c r="H435" s="27">
        <v>0</v>
      </c>
      <c r="I435" s="27">
        <v>0</v>
      </c>
      <c r="J435" s="27">
        <v>0</v>
      </c>
      <c r="K435" s="63">
        <f>AVERAGE(I435:J435)</f>
        <v>0</v>
      </c>
      <c r="L435" s="56" t="str">
        <f>"SW-RISER-PACK"</f>
        <v>SW-RISER-PACK</v>
      </c>
      <c r="M435" s="14"/>
      <c r="N435" s="15"/>
      <c r="O435" s="12"/>
      <c r="P435" s="34"/>
      <c r="Q435" s="37"/>
      <c r="R435" s="47"/>
      <c r="S435" s="46"/>
    </row>
    <row r="436" spans="1:19" ht="12" hidden="1" customHeight="1" x14ac:dyDescent="0.3">
      <c r="A436" s="35" t="s">
        <v>908</v>
      </c>
      <c r="B436" s="49" t="str">
        <f>B432</f>
        <v>hide</v>
      </c>
      <c r="N436"/>
      <c r="Q436" s="33"/>
    </row>
    <row r="437" spans="1:19" ht="13.8" hidden="1" thickBot="1" x14ac:dyDescent="0.3">
      <c r="A437" t="s">
        <v>23</v>
      </c>
      <c r="B437" s="49" t="str">
        <f t="shared" ref="B437" si="303">B436</f>
        <v>hide</v>
      </c>
      <c r="D437" s="58"/>
      <c r="E437" s="58"/>
      <c r="F437" s="52">
        <f>SUM(F432:F436)</f>
        <v>0</v>
      </c>
      <c r="G437" s="52">
        <f>SUM(G432:G436)</f>
        <v>0</v>
      </c>
      <c r="H437" s="52">
        <f>SUM(H432:H436)</f>
        <v>0</v>
      </c>
      <c r="I437" s="52">
        <f>SUM(I432:I436)</f>
        <v>0</v>
      </c>
      <c r="J437" s="52">
        <f>SUM(J432:J436)</f>
        <v>0</v>
      </c>
      <c r="K437" s="52"/>
      <c r="L437" s="51" t="s">
        <v>4</v>
      </c>
      <c r="M437" s="58"/>
      <c r="N437" s="58"/>
      <c r="O437" s="58"/>
      <c r="P437" s="58"/>
      <c r="Q437" s="58"/>
      <c r="R437" s="58"/>
      <c r="S437" s="58"/>
    </row>
    <row r="438" spans="1:19" s="59" customFormat="1" ht="18.75" customHeight="1" thickBot="1" x14ac:dyDescent="0.3">
      <c r="A438" s="59" t="s">
        <v>23</v>
      </c>
      <c r="B438" s="60" t="str">
        <f t="shared" ref="B438:B439" si="304">IF(K438=0,"hide","")</f>
        <v/>
      </c>
      <c r="D438" s="61" t="str">
        <f>"02940"</f>
        <v>02940</v>
      </c>
      <c r="E438" s="62" t="str">
        <f>"10"</f>
        <v>10</v>
      </c>
      <c r="F438" s="63">
        <v>1112.8333333333333</v>
      </c>
      <c r="G438" s="63">
        <v>949.33333333333337</v>
      </c>
      <c r="H438" s="63">
        <v>1161.6666666666667</v>
      </c>
      <c r="I438" s="63">
        <v>1329.9166666666667</v>
      </c>
      <c r="J438" s="63">
        <v>1449.4373493975904</v>
      </c>
      <c r="K438" s="63">
        <f>AVERAGE(I438:J438)</f>
        <v>1389.6770080321285</v>
      </c>
      <c r="L438" s="64" t="str">
        <f>"1204 Muffin, WG, Choc Chip, IW"</f>
        <v>1204 Muffin, WG, Choc Chip, IW</v>
      </c>
      <c r="M438" s="65" t="str">
        <f>"96/2 oz"</f>
        <v>96/2 oz</v>
      </c>
      <c r="N438" s="66">
        <v>96</v>
      </c>
      <c r="O438" s="67">
        <v>4.5999999999999999E-3</v>
      </c>
      <c r="P438" s="68">
        <f>1/O438</f>
        <v>217.39130434782609</v>
      </c>
      <c r="Q438" s="53">
        <v>4.5999999999999999E-3</v>
      </c>
      <c r="R438" s="69">
        <f t="shared" ref="R438" si="305">1/Q438</f>
        <v>217.39130434782609</v>
      </c>
      <c r="S438" s="70">
        <f t="shared" ref="S438" si="306">R438*N438</f>
        <v>20869.565217391304</v>
      </c>
    </row>
    <row r="439" spans="1:19" ht="15.6" customHeight="1" thickBot="1" x14ac:dyDescent="0.3">
      <c r="A439" t="s">
        <v>23</v>
      </c>
      <c r="B439" s="60" t="str">
        <f t="shared" si="304"/>
        <v/>
      </c>
      <c r="D439" s="48" t="str">
        <f>D438</f>
        <v>02940</v>
      </c>
      <c r="E439" s="7"/>
      <c r="F439" s="27">
        <v>-861.69500000000005</v>
      </c>
      <c r="G439" s="27">
        <v>-527.55833333333328</v>
      </c>
      <c r="H439" s="27">
        <v>-1012.9283333333333</v>
      </c>
      <c r="I439" s="27">
        <v>-795.33333333333337</v>
      </c>
      <c r="J439" s="27">
        <v>-1125.4534939759037</v>
      </c>
      <c r="K439" s="63">
        <f>AVERAGE(I439:J439)</f>
        <v>-960.3934136546186</v>
      </c>
      <c r="L439" s="56" t="str">
        <f>"EQP-LAWPACK1"</f>
        <v>EQP-LAWPACK1</v>
      </c>
      <c r="M439" s="14"/>
      <c r="N439" s="15"/>
      <c r="O439" s="12"/>
      <c r="P439" s="34"/>
      <c r="Q439" s="37"/>
      <c r="R439" s="47"/>
      <c r="S439" s="46"/>
    </row>
    <row r="440" spans="1:19" ht="15.6" customHeight="1" thickBot="1" x14ac:dyDescent="0.3">
      <c r="A440" t="s">
        <v>23</v>
      </c>
      <c r="B440" s="60" t="str">
        <f t="shared" ref="B440:B442" si="307">IF(K440=0,"hide","")</f>
        <v/>
      </c>
      <c r="D440" s="48" t="str">
        <f>D439</f>
        <v>02940</v>
      </c>
      <c r="E440" s="7"/>
      <c r="F440" s="27">
        <v>0</v>
      </c>
      <c r="G440" s="27">
        <v>0</v>
      </c>
      <c r="H440" s="27">
        <v>0</v>
      </c>
      <c r="I440" s="27">
        <v>0</v>
      </c>
      <c r="J440" s="27">
        <v>-51.553734939759039</v>
      </c>
      <c r="K440" s="63">
        <f>AVERAGE(I440:J440)</f>
        <v>-25.776867469879519</v>
      </c>
      <c r="L440" s="56" t="str">
        <f>"EQP-LAWPACK2"</f>
        <v>EQP-LAWPACK2</v>
      </c>
      <c r="M440" s="14"/>
      <c r="N440" s="15"/>
      <c r="O440" s="12"/>
      <c r="P440" s="34"/>
      <c r="Q440" s="37"/>
      <c r="R440" s="47"/>
      <c r="S440" s="46"/>
    </row>
    <row r="441" spans="1:19" ht="15.6" hidden="1" customHeight="1" thickBot="1" x14ac:dyDescent="0.3">
      <c r="A441" t="s">
        <v>23</v>
      </c>
      <c r="B441" s="60" t="str">
        <f t="shared" si="307"/>
        <v>hide</v>
      </c>
      <c r="D441" s="48" t="str">
        <f>D440</f>
        <v>02940</v>
      </c>
      <c r="E441" s="7"/>
      <c r="F441" s="27">
        <v>0</v>
      </c>
      <c r="G441" s="27">
        <v>0</v>
      </c>
      <c r="H441" s="27">
        <v>0</v>
      </c>
      <c r="I441" s="27">
        <v>0</v>
      </c>
      <c r="J441" s="27">
        <v>0</v>
      </c>
      <c r="K441" s="63">
        <f>AVERAGE(I441:J441)</f>
        <v>0</v>
      </c>
      <c r="L441" s="56" t="str">
        <f>"SW-COMAS-PACKL"</f>
        <v>SW-COMAS-PACKL</v>
      </c>
      <c r="M441" s="14"/>
      <c r="N441" s="15"/>
      <c r="O441" s="12"/>
      <c r="P441" s="34"/>
      <c r="Q441" s="37"/>
      <c r="R441" s="47"/>
      <c r="S441" s="46"/>
    </row>
    <row r="442" spans="1:19" ht="15.6" hidden="1" customHeight="1" thickBot="1" x14ac:dyDescent="0.3">
      <c r="A442" t="s">
        <v>23</v>
      </c>
      <c r="B442" s="60" t="str">
        <f t="shared" si="307"/>
        <v>hide</v>
      </c>
      <c r="D442" s="48" t="str">
        <f>D441</f>
        <v>02940</v>
      </c>
      <c r="E442" s="7"/>
      <c r="F442" s="27">
        <v>0</v>
      </c>
      <c r="G442" s="27">
        <v>0</v>
      </c>
      <c r="H442" s="27">
        <v>0</v>
      </c>
      <c r="I442" s="27">
        <v>0</v>
      </c>
      <c r="J442" s="27">
        <v>0</v>
      </c>
      <c r="K442" s="63">
        <f>AVERAGE(I442:J442)</f>
        <v>0</v>
      </c>
      <c r="L442" s="56" t="str">
        <f>"SW-RISER-PACK"</f>
        <v>SW-RISER-PACK</v>
      </c>
      <c r="M442" s="14"/>
      <c r="N442" s="15"/>
      <c r="O442" s="12"/>
      <c r="P442" s="34"/>
      <c r="Q442" s="37"/>
      <c r="R442" s="47"/>
      <c r="S442" s="46"/>
    </row>
    <row r="443" spans="1:19" ht="12" hidden="1" customHeight="1" x14ac:dyDescent="0.25">
      <c r="A443" s="35" t="s">
        <v>908</v>
      </c>
      <c r="B443" s="49" t="str">
        <f>B439</f>
        <v/>
      </c>
      <c r="N443"/>
      <c r="Q443" s="33"/>
    </row>
    <row r="444" spans="1:19" ht="13.8" thickBot="1" x14ac:dyDescent="0.3">
      <c r="A444" t="s">
        <v>23</v>
      </c>
      <c r="B444" s="49" t="str">
        <f t="shared" ref="B444" si="308">B443</f>
        <v/>
      </c>
      <c r="D444" s="58"/>
      <c r="E444" s="58"/>
      <c r="F444" s="52">
        <f>SUM(F439:F443)</f>
        <v>-861.69500000000005</v>
      </c>
      <c r="G444" s="52">
        <f>SUM(G439:G443)</f>
        <v>-527.55833333333328</v>
      </c>
      <c r="H444" s="52">
        <f>SUM(H439:H443)</f>
        <v>-1012.9283333333333</v>
      </c>
      <c r="I444" s="52">
        <f>SUM(I439:I443)</f>
        <v>-795.33333333333337</v>
      </c>
      <c r="J444" s="52">
        <f>SUM(J439:J443)</f>
        <v>-1177.0072289156628</v>
      </c>
      <c r="K444" s="52"/>
      <c r="L444" s="51" t="s">
        <v>4</v>
      </c>
      <c r="M444" s="58"/>
      <c r="N444" s="58"/>
      <c r="O444" s="58"/>
      <c r="P444" s="58"/>
      <c r="Q444" s="58"/>
      <c r="R444" s="58"/>
      <c r="S444" s="58"/>
    </row>
    <row r="445" spans="1:19" s="59" customFormat="1" ht="18.75" customHeight="1" thickBot="1" x14ac:dyDescent="0.3">
      <c r="A445" s="59" t="s">
        <v>23</v>
      </c>
      <c r="B445" s="60" t="str">
        <f t="shared" ref="B445:B446" si="309">IF(K445=0,"hide","")</f>
        <v/>
      </c>
      <c r="D445" s="61" t="str">
        <f>"02941"</f>
        <v>02941</v>
      </c>
      <c r="E445" s="62" t="str">
        <f>"10"</f>
        <v>10</v>
      </c>
      <c r="F445" s="63">
        <v>2494.1666666666665</v>
      </c>
      <c r="G445" s="63">
        <v>2485.4999999999995</v>
      </c>
      <c r="H445" s="63">
        <v>2746.5</v>
      </c>
      <c r="I445" s="63">
        <v>3400.1666666666665</v>
      </c>
      <c r="J445" s="63">
        <v>2977.4327710843377</v>
      </c>
      <c r="K445" s="63">
        <f>AVERAGE(I445:J445)</f>
        <v>3188.7997188755021</v>
      </c>
      <c r="L445" s="64" t="str">
        <f>"1201 Muffins, WG, Blueberry, RF, IW"</f>
        <v>1201 Muffins, WG, Blueberry, RF, IW</v>
      </c>
      <c r="M445" s="65" t="str">
        <f>"96/2 oz"</f>
        <v>96/2 oz</v>
      </c>
      <c r="N445" s="66">
        <v>96</v>
      </c>
      <c r="O445" s="67">
        <v>4.5999999999999999E-3</v>
      </c>
      <c r="P445" s="68">
        <f>1/O445</f>
        <v>217.39130434782609</v>
      </c>
      <c r="Q445" s="53">
        <v>4.5999999999999999E-3</v>
      </c>
      <c r="R445" s="69">
        <f t="shared" ref="R445" si="310">1/Q445</f>
        <v>217.39130434782609</v>
      </c>
      <c r="S445" s="70">
        <f t="shared" ref="S445" si="311">R445*N445</f>
        <v>20869.565217391304</v>
      </c>
    </row>
    <row r="446" spans="1:19" ht="15.6" customHeight="1" thickBot="1" x14ac:dyDescent="0.3">
      <c r="A446" t="s">
        <v>23</v>
      </c>
      <c r="B446" s="60" t="str">
        <f t="shared" si="309"/>
        <v/>
      </c>
      <c r="D446" s="48" t="str">
        <f>D445</f>
        <v>02941</v>
      </c>
      <c r="E446" s="7"/>
      <c r="F446" s="27">
        <v>-2194.7825000000003</v>
      </c>
      <c r="G446" s="27">
        <v>-1907.2074999999998</v>
      </c>
      <c r="H446" s="27">
        <v>-2644.8308333333334</v>
      </c>
      <c r="I446" s="27">
        <v>-2736.4166666666665</v>
      </c>
      <c r="J446" s="27">
        <v>-2298.7783132530121</v>
      </c>
      <c r="K446" s="63">
        <f>AVERAGE(I446:J446)</f>
        <v>-2517.5974899598395</v>
      </c>
      <c r="L446" s="56" t="str">
        <f>"EQP-LAWPACK1"</f>
        <v>EQP-LAWPACK1</v>
      </c>
      <c r="M446" s="14"/>
      <c r="N446" s="15"/>
      <c r="O446" s="12"/>
      <c r="P446" s="34"/>
      <c r="Q446" s="37"/>
      <c r="R446" s="47"/>
      <c r="S446" s="46"/>
    </row>
    <row r="447" spans="1:19" ht="15.6" hidden="1" customHeight="1" thickBot="1" x14ac:dyDescent="0.3">
      <c r="A447" t="s">
        <v>23</v>
      </c>
      <c r="B447" s="60" t="str">
        <f t="shared" ref="B447:B449" si="312">IF(K447=0,"hide","")</f>
        <v>hide</v>
      </c>
      <c r="D447" s="48" t="str">
        <f>D446</f>
        <v>02941</v>
      </c>
      <c r="E447" s="7"/>
      <c r="F447" s="27">
        <v>0</v>
      </c>
      <c r="G447" s="27">
        <v>0</v>
      </c>
      <c r="H447" s="27">
        <v>0</v>
      </c>
      <c r="I447" s="27">
        <v>0</v>
      </c>
      <c r="J447" s="27">
        <v>0</v>
      </c>
      <c r="K447" s="63">
        <f>AVERAGE(I447:J447)</f>
        <v>0</v>
      </c>
      <c r="L447" s="56" t="str">
        <f>"EQP-LAWPACK2"</f>
        <v>EQP-LAWPACK2</v>
      </c>
      <c r="M447" s="14"/>
      <c r="N447" s="15"/>
      <c r="O447" s="12"/>
      <c r="P447" s="34"/>
      <c r="Q447" s="37"/>
      <c r="R447" s="47"/>
      <c r="S447" s="46"/>
    </row>
    <row r="448" spans="1:19" ht="15.6" hidden="1" customHeight="1" thickBot="1" x14ac:dyDescent="0.3">
      <c r="A448" t="s">
        <v>23</v>
      </c>
      <c r="B448" s="60" t="str">
        <f t="shared" si="312"/>
        <v>hide</v>
      </c>
      <c r="D448" s="48" t="str">
        <f>D447</f>
        <v>02941</v>
      </c>
      <c r="E448" s="7"/>
      <c r="F448" s="27">
        <v>0</v>
      </c>
      <c r="G448" s="27">
        <v>0</v>
      </c>
      <c r="H448" s="27">
        <v>0</v>
      </c>
      <c r="I448" s="27">
        <v>0</v>
      </c>
      <c r="J448" s="27">
        <v>0</v>
      </c>
      <c r="K448" s="63">
        <f>AVERAGE(I448:J448)</f>
        <v>0</v>
      </c>
      <c r="L448" s="56" t="str">
        <f>"SW-COMAS-PACKL"</f>
        <v>SW-COMAS-PACKL</v>
      </c>
      <c r="M448" s="14"/>
      <c r="N448" s="15"/>
      <c r="O448" s="12"/>
      <c r="P448" s="34"/>
      <c r="Q448" s="37"/>
      <c r="R448" s="47"/>
      <c r="S448" s="46"/>
    </row>
    <row r="449" spans="1:19" ht="15.6" hidden="1" customHeight="1" thickBot="1" x14ac:dyDescent="0.3">
      <c r="A449" t="s">
        <v>23</v>
      </c>
      <c r="B449" s="60" t="str">
        <f t="shared" si="312"/>
        <v>hide</v>
      </c>
      <c r="D449" s="48" t="str">
        <f>D448</f>
        <v>02941</v>
      </c>
      <c r="E449" s="7"/>
      <c r="F449" s="27">
        <v>0</v>
      </c>
      <c r="G449" s="27">
        <v>0</v>
      </c>
      <c r="H449" s="27">
        <v>0</v>
      </c>
      <c r="I449" s="27">
        <v>0</v>
      </c>
      <c r="J449" s="27">
        <v>0</v>
      </c>
      <c r="K449" s="63">
        <f>AVERAGE(I449:J449)</f>
        <v>0</v>
      </c>
      <c r="L449" s="56" t="str">
        <f>"SW-RISER-PACK"</f>
        <v>SW-RISER-PACK</v>
      </c>
      <c r="M449" s="14"/>
      <c r="N449" s="15"/>
      <c r="O449" s="12"/>
      <c r="P449" s="34"/>
      <c r="Q449" s="37"/>
      <c r="R449" s="47"/>
      <c r="S449" s="46"/>
    </row>
    <row r="450" spans="1:19" ht="12" hidden="1" customHeight="1" x14ac:dyDescent="0.25">
      <c r="A450" s="35" t="s">
        <v>908</v>
      </c>
      <c r="B450" s="49" t="str">
        <f>B446</f>
        <v/>
      </c>
      <c r="N450"/>
      <c r="Q450" s="33"/>
    </row>
    <row r="451" spans="1:19" ht="13.8" thickBot="1" x14ac:dyDescent="0.3">
      <c r="A451" t="s">
        <v>23</v>
      </c>
      <c r="B451" s="49" t="str">
        <f t="shared" ref="B451" si="313">B450</f>
        <v/>
      </c>
      <c r="D451" s="58"/>
      <c r="E451" s="58"/>
      <c r="F451" s="52">
        <f>SUM(F446:F450)</f>
        <v>-2194.7825000000003</v>
      </c>
      <c r="G451" s="52">
        <f>SUM(G446:G450)</f>
        <v>-1907.2074999999998</v>
      </c>
      <c r="H451" s="52">
        <f>SUM(H446:H450)</f>
        <v>-2644.8308333333334</v>
      </c>
      <c r="I451" s="52">
        <f>SUM(I446:I450)</f>
        <v>-2736.4166666666665</v>
      </c>
      <c r="J451" s="52">
        <f>SUM(J446:J450)</f>
        <v>-2298.7783132530121</v>
      </c>
      <c r="K451" s="52"/>
      <c r="L451" s="51" t="s">
        <v>4</v>
      </c>
      <c r="M451" s="58"/>
      <c r="N451" s="58"/>
      <c r="O451" s="58"/>
      <c r="P451" s="58"/>
      <c r="Q451" s="58"/>
      <c r="R451" s="58"/>
      <c r="S451" s="58"/>
    </row>
    <row r="452" spans="1:19" s="59" customFormat="1" ht="18.75" customHeight="1" thickBot="1" x14ac:dyDescent="0.3">
      <c r="A452" s="59" t="s">
        <v>23</v>
      </c>
      <c r="B452" s="60" t="str">
        <f t="shared" ref="B452:B453" si="314">IF(K452=0,"hide","")</f>
        <v/>
      </c>
      <c r="D452" s="61" t="str">
        <f>"02946"</f>
        <v>02946</v>
      </c>
      <c r="E452" s="62" t="str">
        <f>"10"</f>
        <v>10</v>
      </c>
      <c r="F452" s="63">
        <v>1201.25</v>
      </c>
      <c r="G452" s="63">
        <v>920.08333333333337</v>
      </c>
      <c r="H452" s="63">
        <v>1041.0833333333333</v>
      </c>
      <c r="I452" s="63">
        <v>1735.4166666666667</v>
      </c>
      <c r="J452" s="63">
        <v>1269.4084337349398</v>
      </c>
      <c r="K452" s="63">
        <f>AVERAGE(I452:J452)</f>
        <v>1502.4125502008033</v>
      </c>
      <c r="L452" s="64" t="str">
        <f>"1203 Muffin, WG, Apple Cinn, IW"</f>
        <v>1203 Muffin, WG, Apple Cinn, IW</v>
      </c>
      <c r="M452" s="65" t="str">
        <f>"96/2 oz"</f>
        <v>96/2 oz</v>
      </c>
      <c r="N452" s="66">
        <v>96</v>
      </c>
      <c r="O452" s="67">
        <v>4.5999999999999999E-3</v>
      </c>
      <c r="P452" s="68">
        <f>1/O452</f>
        <v>217.39130434782609</v>
      </c>
      <c r="Q452" s="53">
        <v>4.5999999999999999E-3</v>
      </c>
      <c r="R452" s="69">
        <f t="shared" ref="R452" si="315">1/Q452</f>
        <v>217.39130434782609</v>
      </c>
      <c r="S452" s="70">
        <f t="shared" ref="S452" si="316">R452*N452</f>
        <v>20869.565217391304</v>
      </c>
    </row>
    <row r="453" spans="1:19" ht="15.6" customHeight="1" thickBot="1" x14ac:dyDescent="0.3">
      <c r="A453" t="s">
        <v>23</v>
      </c>
      <c r="B453" s="60" t="str">
        <f t="shared" si="314"/>
        <v/>
      </c>
      <c r="D453" s="48" t="str">
        <f>D452</f>
        <v>02946</v>
      </c>
      <c r="E453" s="7"/>
      <c r="F453" s="27">
        <v>-996.41083333333336</v>
      </c>
      <c r="G453" s="27">
        <v>-394.38166666666666</v>
      </c>
      <c r="H453" s="27">
        <v>-844.46833333333325</v>
      </c>
      <c r="I453" s="27">
        <v>-933.33333333333337</v>
      </c>
      <c r="J453" s="27">
        <v>-692.70216867469878</v>
      </c>
      <c r="K453" s="63">
        <f>AVERAGE(I453:J453)</f>
        <v>-813.01775100401608</v>
      </c>
      <c r="L453" s="56" t="str">
        <f>"EQP-LAWPACK1"</f>
        <v>EQP-LAWPACK1</v>
      </c>
      <c r="M453" s="14"/>
      <c r="N453" s="15"/>
      <c r="O453" s="12"/>
      <c r="P453" s="34"/>
      <c r="Q453" s="37"/>
      <c r="R453" s="47"/>
      <c r="S453" s="46"/>
    </row>
    <row r="454" spans="1:19" ht="15.6" customHeight="1" thickBot="1" x14ac:dyDescent="0.3">
      <c r="A454" t="s">
        <v>23</v>
      </c>
      <c r="B454" s="60" t="str">
        <f t="shared" ref="B454:B456" si="317">IF(K454=0,"hide","")</f>
        <v/>
      </c>
      <c r="D454" s="48" t="str">
        <f>D453</f>
        <v>02946</v>
      </c>
      <c r="E454" s="7"/>
      <c r="F454" s="27">
        <v>0</v>
      </c>
      <c r="G454" s="27">
        <v>0</v>
      </c>
      <c r="H454" s="27">
        <v>0</v>
      </c>
      <c r="I454" s="27">
        <v>0</v>
      </c>
      <c r="J454" s="27">
        <v>-54.076867469879531</v>
      </c>
      <c r="K454" s="63">
        <f>AVERAGE(I454:J454)</f>
        <v>-27.038433734939765</v>
      </c>
      <c r="L454" s="56" t="str">
        <f>"EQP-LAWPACK2"</f>
        <v>EQP-LAWPACK2</v>
      </c>
      <c r="M454" s="14"/>
      <c r="N454" s="15"/>
      <c r="O454" s="12"/>
      <c r="P454" s="34"/>
      <c r="Q454" s="37"/>
      <c r="R454" s="47"/>
      <c r="S454" s="46"/>
    </row>
    <row r="455" spans="1:19" ht="15.6" hidden="1" customHeight="1" thickBot="1" x14ac:dyDescent="0.3">
      <c r="A455" t="s">
        <v>23</v>
      </c>
      <c r="B455" s="60" t="str">
        <f t="shared" si="317"/>
        <v>hide</v>
      </c>
      <c r="D455" s="48" t="str">
        <f>D454</f>
        <v>02946</v>
      </c>
      <c r="E455" s="7"/>
      <c r="F455" s="27">
        <v>0</v>
      </c>
      <c r="G455" s="27">
        <v>0</v>
      </c>
      <c r="H455" s="27">
        <v>0</v>
      </c>
      <c r="I455" s="27">
        <v>0</v>
      </c>
      <c r="J455" s="27">
        <v>0</v>
      </c>
      <c r="K455" s="63">
        <f>AVERAGE(I455:J455)</f>
        <v>0</v>
      </c>
      <c r="L455" s="56" t="str">
        <f>"SW-COMAS-PACKL"</f>
        <v>SW-COMAS-PACKL</v>
      </c>
      <c r="M455" s="14"/>
      <c r="N455" s="15"/>
      <c r="O455" s="12"/>
      <c r="P455" s="34"/>
      <c r="Q455" s="37"/>
      <c r="R455" s="47"/>
      <c r="S455" s="46"/>
    </row>
    <row r="456" spans="1:19" ht="15.6" hidden="1" customHeight="1" thickBot="1" x14ac:dyDescent="0.3">
      <c r="A456" t="s">
        <v>23</v>
      </c>
      <c r="B456" s="60" t="str">
        <f t="shared" si="317"/>
        <v>hide</v>
      </c>
      <c r="D456" s="48" t="str">
        <f>D455</f>
        <v>02946</v>
      </c>
      <c r="E456" s="7"/>
      <c r="F456" s="27">
        <v>0</v>
      </c>
      <c r="G456" s="27">
        <v>0</v>
      </c>
      <c r="H456" s="27">
        <v>0</v>
      </c>
      <c r="I456" s="27">
        <v>0</v>
      </c>
      <c r="J456" s="27">
        <v>0</v>
      </c>
      <c r="K456" s="63">
        <f>AVERAGE(I456:J456)</f>
        <v>0</v>
      </c>
      <c r="L456" s="56" t="str">
        <f>"SW-RISER-PACK"</f>
        <v>SW-RISER-PACK</v>
      </c>
      <c r="M456" s="14"/>
      <c r="N456" s="15"/>
      <c r="O456" s="12"/>
      <c r="P456" s="34"/>
      <c r="Q456" s="37"/>
      <c r="R456" s="47"/>
      <c r="S456" s="46"/>
    </row>
    <row r="457" spans="1:19" ht="12" hidden="1" customHeight="1" x14ac:dyDescent="0.25">
      <c r="A457" s="35" t="s">
        <v>908</v>
      </c>
      <c r="B457" s="49" t="str">
        <f>B453</f>
        <v/>
      </c>
      <c r="N457"/>
      <c r="Q457" s="33"/>
    </row>
    <row r="458" spans="1:19" ht="13.8" thickBot="1" x14ac:dyDescent="0.3">
      <c r="A458" t="s">
        <v>23</v>
      </c>
      <c r="B458" s="49" t="str">
        <f t="shared" ref="B458" si="318">B457</f>
        <v/>
      </c>
      <c r="D458" s="58"/>
      <c r="E458" s="58"/>
      <c r="F458" s="52">
        <f>SUM(F453:F457)</f>
        <v>-996.41083333333336</v>
      </c>
      <c r="G458" s="52">
        <f>SUM(G453:G457)</f>
        <v>-394.38166666666666</v>
      </c>
      <c r="H458" s="52">
        <f>SUM(H453:H457)</f>
        <v>-844.46833333333325</v>
      </c>
      <c r="I458" s="52">
        <f>SUM(I453:I457)</f>
        <v>-933.33333333333337</v>
      </c>
      <c r="J458" s="52">
        <f>SUM(J453:J457)</f>
        <v>-746.7790361445783</v>
      </c>
      <c r="K458" s="52"/>
      <c r="L458" s="51" t="s">
        <v>4</v>
      </c>
      <c r="M458" s="58"/>
      <c r="N458" s="58"/>
      <c r="O458" s="58"/>
      <c r="P458" s="58"/>
      <c r="Q458" s="58"/>
      <c r="R458" s="58"/>
      <c r="S458" s="58"/>
    </row>
    <row r="459" spans="1:19" s="59" customFormat="1" ht="18.75" customHeight="1" thickBot="1" x14ac:dyDescent="0.3">
      <c r="A459" s="59" t="s">
        <v>23</v>
      </c>
      <c r="B459" s="60" t="str">
        <f t="shared" ref="B459:B460" si="319">IF(K459=0,"hide","")</f>
        <v/>
      </c>
      <c r="D459" s="61" t="str">
        <f>"02949"</f>
        <v>02949</v>
      </c>
      <c r="E459" s="62" t="str">
        <f>"7"</f>
        <v>7</v>
      </c>
      <c r="F459" s="63">
        <v>419.75</v>
      </c>
      <c r="G459" s="63">
        <v>355.41666666666669</v>
      </c>
      <c r="H459" s="63">
        <v>324.16666666666669</v>
      </c>
      <c r="I459" s="63">
        <v>350.75</v>
      </c>
      <c r="J459" s="63">
        <v>220.94457831325306</v>
      </c>
      <c r="K459" s="63">
        <f>AVERAGE(I459:J459)</f>
        <v>285.84728915662652</v>
      </c>
      <c r="L459" s="64" t="str">
        <f>"2113 Muffins, WG, Orange Dream, IW"</f>
        <v>2113 Muffins, WG, Orange Dream, IW</v>
      </c>
      <c r="M459" s="65" t="str">
        <f>"96/2 oz"</f>
        <v>96/2 oz</v>
      </c>
      <c r="N459" s="66">
        <v>96</v>
      </c>
      <c r="O459" s="67">
        <v>4.5999999999999999E-3</v>
      </c>
      <c r="P459" s="68">
        <f>1/O459</f>
        <v>217.39130434782609</v>
      </c>
      <c r="Q459" s="53">
        <v>4.5999999999999999E-3</v>
      </c>
      <c r="R459" s="69">
        <f t="shared" ref="R459" si="320">1/Q459</f>
        <v>217.39130434782609</v>
      </c>
      <c r="S459" s="70">
        <f t="shared" ref="S459" si="321">R459*N459</f>
        <v>20869.565217391304</v>
      </c>
    </row>
    <row r="460" spans="1:19" ht="15.6" hidden="1" customHeight="1" thickBot="1" x14ac:dyDescent="0.3">
      <c r="A460" t="s">
        <v>23</v>
      </c>
      <c r="B460" s="60" t="str">
        <f t="shared" si="319"/>
        <v>hide</v>
      </c>
      <c r="D460" s="48" t="str">
        <f>D459</f>
        <v>02949</v>
      </c>
      <c r="E460" s="7"/>
      <c r="F460" s="27">
        <v>-47.81583333333333</v>
      </c>
      <c r="G460" s="27">
        <v>0</v>
      </c>
      <c r="H460" s="27">
        <v>0</v>
      </c>
      <c r="I460" s="27">
        <v>0</v>
      </c>
      <c r="J460" s="27">
        <v>0</v>
      </c>
      <c r="K460" s="63">
        <f>AVERAGE(I460:J460)</f>
        <v>0</v>
      </c>
      <c r="L460" s="56" t="str">
        <f>"EQP-LAWPACK1"</f>
        <v>EQP-LAWPACK1</v>
      </c>
      <c r="M460" s="14"/>
      <c r="N460" s="15"/>
      <c r="O460" s="12"/>
      <c r="P460" s="34"/>
      <c r="Q460" s="37"/>
      <c r="R460" s="47"/>
      <c r="S460" s="46"/>
    </row>
    <row r="461" spans="1:19" ht="15.6" hidden="1" customHeight="1" thickBot="1" x14ac:dyDescent="0.3">
      <c r="A461" t="s">
        <v>23</v>
      </c>
      <c r="B461" s="60" t="str">
        <f t="shared" ref="B461:B463" si="322">IF(K461=0,"hide","")</f>
        <v>hide</v>
      </c>
      <c r="D461" s="48" t="str">
        <f>D460</f>
        <v>02949</v>
      </c>
      <c r="E461" s="7"/>
      <c r="F461" s="27">
        <v>0</v>
      </c>
      <c r="G461" s="27">
        <v>0</v>
      </c>
      <c r="H461" s="27">
        <v>0</v>
      </c>
      <c r="I461" s="27">
        <v>0</v>
      </c>
      <c r="J461" s="27">
        <v>0</v>
      </c>
      <c r="K461" s="63">
        <f>AVERAGE(I461:J461)</f>
        <v>0</v>
      </c>
      <c r="L461" s="56" t="str">
        <f>"EQP-LAWPACK2"</f>
        <v>EQP-LAWPACK2</v>
      </c>
      <c r="M461" s="14"/>
      <c r="N461" s="15"/>
      <c r="O461" s="12"/>
      <c r="P461" s="34"/>
      <c r="Q461" s="37"/>
      <c r="R461" s="47"/>
      <c r="S461" s="46"/>
    </row>
    <row r="462" spans="1:19" ht="15.6" hidden="1" customHeight="1" thickBot="1" x14ac:dyDescent="0.3">
      <c r="A462" t="s">
        <v>23</v>
      </c>
      <c r="B462" s="60" t="str">
        <f t="shared" si="322"/>
        <v>hide</v>
      </c>
      <c r="D462" s="48" t="str">
        <f>D461</f>
        <v>02949</v>
      </c>
      <c r="E462" s="7"/>
      <c r="F462" s="27">
        <v>0</v>
      </c>
      <c r="G462" s="27">
        <v>0</v>
      </c>
      <c r="H462" s="27">
        <v>0</v>
      </c>
      <c r="I462" s="27">
        <v>0</v>
      </c>
      <c r="J462" s="27">
        <v>0</v>
      </c>
      <c r="K462" s="63">
        <f>AVERAGE(I462:J462)</f>
        <v>0</v>
      </c>
      <c r="L462" s="56" t="str">
        <f>"SW-COMAS-PACKL"</f>
        <v>SW-COMAS-PACKL</v>
      </c>
      <c r="M462" s="14"/>
      <c r="N462" s="15"/>
      <c r="O462" s="12"/>
      <c r="P462" s="34"/>
      <c r="Q462" s="37"/>
      <c r="R462" s="47"/>
      <c r="S462" s="46"/>
    </row>
    <row r="463" spans="1:19" ht="15.6" hidden="1" customHeight="1" thickBot="1" x14ac:dyDescent="0.3">
      <c r="A463" t="s">
        <v>23</v>
      </c>
      <c r="B463" s="60" t="str">
        <f t="shared" si="322"/>
        <v>hide</v>
      </c>
      <c r="D463" s="48" t="str">
        <f>D462</f>
        <v>02949</v>
      </c>
      <c r="E463" s="7"/>
      <c r="F463" s="27">
        <v>0</v>
      </c>
      <c r="G463" s="27">
        <v>0</v>
      </c>
      <c r="H463" s="27">
        <v>0</v>
      </c>
      <c r="I463" s="27">
        <v>0</v>
      </c>
      <c r="J463" s="27">
        <v>0</v>
      </c>
      <c r="K463" s="63">
        <f>AVERAGE(I463:J463)</f>
        <v>0</v>
      </c>
      <c r="L463" s="56" t="str">
        <f>"SW-RISER-PACK"</f>
        <v>SW-RISER-PACK</v>
      </c>
      <c r="M463" s="14"/>
      <c r="N463" s="15"/>
      <c r="O463" s="12"/>
      <c r="P463" s="34"/>
      <c r="Q463" s="37"/>
      <c r="R463" s="47"/>
      <c r="S463" s="46"/>
    </row>
    <row r="464" spans="1:19" ht="12" hidden="1" customHeight="1" x14ac:dyDescent="0.3">
      <c r="A464" s="35" t="s">
        <v>908</v>
      </c>
      <c r="B464" s="49" t="str">
        <f>B460</f>
        <v>hide</v>
      </c>
      <c r="N464"/>
      <c r="Q464" s="33"/>
    </row>
    <row r="465" spans="1:19" ht="13.8" hidden="1" thickBot="1" x14ac:dyDescent="0.3">
      <c r="A465" t="s">
        <v>23</v>
      </c>
      <c r="B465" s="49" t="str">
        <f t="shared" ref="B465" si="323">B464</f>
        <v>hide</v>
      </c>
      <c r="D465" s="58"/>
      <c r="E465" s="58"/>
      <c r="F465" s="52">
        <f>SUM(F460:F464)</f>
        <v>-47.81583333333333</v>
      </c>
      <c r="G465" s="52">
        <f>SUM(G460:G464)</f>
        <v>0</v>
      </c>
      <c r="H465" s="52">
        <f>SUM(H460:H464)</f>
        <v>0</v>
      </c>
      <c r="I465" s="52">
        <f>SUM(I460:I464)</f>
        <v>0</v>
      </c>
      <c r="J465" s="52">
        <f>SUM(J460:J464)</f>
        <v>0</v>
      </c>
      <c r="K465" s="52"/>
      <c r="L465" s="51" t="s">
        <v>4</v>
      </c>
      <c r="M465" s="58"/>
      <c r="N465" s="58"/>
      <c r="O465" s="58"/>
      <c r="P465" s="58"/>
      <c r="Q465" s="58"/>
      <c r="R465" s="58"/>
      <c r="S465" s="58"/>
    </row>
    <row r="466" spans="1:19" s="59" customFormat="1" ht="18.75" hidden="1" customHeight="1" thickBot="1" x14ac:dyDescent="0.3">
      <c r="A466" s="59" t="s">
        <v>23</v>
      </c>
      <c r="B466" s="60" t="str">
        <f t="shared" ref="B466:B467" si="324">IF(K466=0,"hide","")</f>
        <v>hide</v>
      </c>
      <c r="D466" s="61" t="str">
        <f>"02951"</f>
        <v>02951</v>
      </c>
      <c r="E466" s="62" t="str">
        <f>"6"</f>
        <v>6</v>
      </c>
      <c r="F466" s="63">
        <v>11.75</v>
      </c>
      <c r="G466" s="63">
        <v>0</v>
      </c>
      <c r="H466" s="63">
        <v>0</v>
      </c>
      <c r="I466" s="63">
        <v>0</v>
      </c>
      <c r="J466" s="63">
        <v>0</v>
      </c>
      <c r="K466" s="63">
        <f>AVERAGE(I466:J466)</f>
        <v>0</v>
      </c>
      <c r="L466" s="64" t="str">
        <f>"1306 Muffins, Banana, IW"</f>
        <v>1306 Muffins, Banana, IW</v>
      </c>
      <c r="M466" s="65" t="str">
        <f>"96/2 oz"</f>
        <v>96/2 oz</v>
      </c>
      <c r="N466" s="66">
        <v>96</v>
      </c>
      <c r="O466" s="67" t="str">
        <f>""</f>
        <v/>
      </c>
      <c r="P466" s="68" t="e">
        <f>1/O466</f>
        <v>#VALUE!</v>
      </c>
      <c r="Q466" s="53">
        <v>1</v>
      </c>
      <c r="R466" s="69">
        <f t="shared" ref="R466" si="325">1/Q466</f>
        <v>1</v>
      </c>
      <c r="S466" s="70">
        <f t="shared" ref="S466" si="326">R466*N466</f>
        <v>96</v>
      </c>
    </row>
    <row r="467" spans="1:19" ht="15.6" hidden="1" customHeight="1" thickBot="1" x14ac:dyDescent="0.3">
      <c r="A467" t="s">
        <v>23</v>
      </c>
      <c r="B467" s="60" t="str">
        <f t="shared" si="324"/>
        <v>hide</v>
      </c>
      <c r="D467" s="48" t="str">
        <f>D466</f>
        <v>02951</v>
      </c>
      <c r="E467" s="7"/>
      <c r="F467" s="27">
        <v>0</v>
      </c>
      <c r="G467" s="27">
        <v>0</v>
      </c>
      <c r="H467" s="27">
        <v>0</v>
      </c>
      <c r="I467" s="27">
        <v>0</v>
      </c>
      <c r="J467" s="27">
        <v>0</v>
      </c>
      <c r="K467" s="63">
        <f>AVERAGE(I467:J467)</f>
        <v>0</v>
      </c>
      <c r="L467" s="56" t="str">
        <f>"EQP-LAWPACK1"</f>
        <v>EQP-LAWPACK1</v>
      </c>
      <c r="M467" s="14"/>
      <c r="N467" s="15"/>
      <c r="O467" s="12"/>
      <c r="P467" s="34"/>
      <c r="Q467" s="37"/>
      <c r="R467" s="47"/>
      <c r="S467" s="46"/>
    </row>
    <row r="468" spans="1:19" ht="15.6" hidden="1" customHeight="1" thickBot="1" x14ac:dyDescent="0.3">
      <c r="A468" t="s">
        <v>23</v>
      </c>
      <c r="B468" s="60" t="str">
        <f t="shared" ref="B468:B470" si="327">IF(K468=0,"hide","")</f>
        <v>hide</v>
      </c>
      <c r="D468" s="48" t="str">
        <f>D467</f>
        <v>02951</v>
      </c>
      <c r="E468" s="7"/>
      <c r="F468" s="27">
        <v>0</v>
      </c>
      <c r="G468" s="27">
        <v>0</v>
      </c>
      <c r="H468" s="27">
        <v>0</v>
      </c>
      <c r="I468" s="27">
        <v>0</v>
      </c>
      <c r="J468" s="27">
        <v>0</v>
      </c>
      <c r="K468" s="63">
        <f>AVERAGE(I468:J468)</f>
        <v>0</v>
      </c>
      <c r="L468" s="56" t="str">
        <f>"EQP-LAWPACK2"</f>
        <v>EQP-LAWPACK2</v>
      </c>
      <c r="M468" s="14"/>
      <c r="N468" s="15"/>
      <c r="O468" s="12"/>
      <c r="P468" s="34"/>
      <c r="Q468" s="37"/>
      <c r="R468" s="47"/>
      <c r="S468" s="46"/>
    </row>
    <row r="469" spans="1:19" ht="15.6" hidden="1" customHeight="1" thickBot="1" x14ac:dyDescent="0.3">
      <c r="A469" t="s">
        <v>23</v>
      </c>
      <c r="B469" s="60" t="str">
        <f t="shared" si="327"/>
        <v>hide</v>
      </c>
      <c r="D469" s="48" t="str">
        <f>D468</f>
        <v>02951</v>
      </c>
      <c r="E469" s="7"/>
      <c r="F469" s="27">
        <v>0</v>
      </c>
      <c r="G469" s="27">
        <v>0</v>
      </c>
      <c r="H469" s="27">
        <v>0</v>
      </c>
      <c r="I469" s="27">
        <v>0</v>
      </c>
      <c r="J469" s="27">
        <v>0</v>
      </c>
      <c r="K469" s="63">
        <f>AVERAGE(I469:J469)</f>
        <v>0</v>
      </c>
      <c r="L469" s="56" t="str">
        <f>"SW-COMAS-PACKL"</f>
        <v>SW-COMAS-PACKL</v>
      </c>
      <c r="M469" s="14"/>
      <c r="N469" s="15"/>
      <c r="O469" s="12"/>
      <c r="P469" s="34"/>
      <c r="Q469" s="37"/>
      <c r="R469" s="47"/>
      <c r="S469" s="46"/>
    </row>
    <row r="470" spans="1:19" ht="15.6" hidden="1" customHeight="1" thickBot="1" x14ac:dyDescent="0.3">
      <c r="A470" t="s">
        <v>23</v>
      </c>
      <c r="B470" s="60" t="str">
        <f t="shared" si="327"/>
        <v>hide</v>
      </c>
      <c r="D470" s="48" t="str">
        <f>D469</f>
        <v>02951</v>
      </c>
      <c r="E470" s="7"/>
      <c r="F470" s="27">
        <v>0</v>
      </c>
      <c r="G470" s="27">
        <v>0</v>
      </c>
      <c r="H470" s="27">
        <v>0</v>
      </c>
      <c r="I470" s="27">
        <v>0</v>
      </c>
      <c r="J470" s="27">
        <v>0</v>
      </c>
      <c r="K470" s="63">
        <f>AVERAGE(I470:J470)</f>
        <v>0</v>
      </c>
      <c r="L470" s="56" t="str">
        <f>"SW-RISER-PACK"</f>
        <v>SW-RISER-PACK</v>
      </c>
      <c r="M470" s="14"/>
      <c r="N470" s="15"/>
      <c r="O470" s="12"/>
      <c r="P470" s="34"/>
      <c r="Q470" s="37"/>
      <c r="R470" s="47"/>
      <c r="S470" s="46"/>
    </row>
    <row r="471" spans="1:19" ht="12" hidden="1" customHeight="1" x14ac:dyDescent="0.3">
      <c r="A471" s="35" t="s">
        <v>908</v>
      </c>
      <c r="B471" s="49" t="str">
        <f>B467</f>
        <v>hide</v>
      </c>
      <c r="N471"/>
      <c r="Q471" s="33"/>
    </row>
    <row r="472" spans="1:19" ht="13.8" hidden="1" thickBot="1" x14ac:dyDescent="0.3">
      <c r="A472" t="s">
        <v>23</v>
      </c>
      <c r="B472" s="49" t="str">
        <f t="shared" ref="B472" si="328">B471</f>
        <v>hide</v>
      </c>
      <c r="D472" s="58"/>
      <c r="E472" s="58"/>
      <c r="F472" s="52">
        <f>SUM(F467:F471)</f>
        <v>0</v>
      </c>
      <c r="G472" s="52">
        <f>SUM(G467:G471)</f>
        <v>0</v>
      </c>
      <c r="H472" s="52">
        <f>SUM(H467:H471)</f>
        <v>0</v>
      </c>
      <c r="I472" s="52">
        <f>SUM(I467:I471)</f>
        <v>0</v>
      </c>
      <c r="J472" s="52">
        <f>SUM(J467:J471)</f>
        <v>0</v>
      </c>
      <c r="K472" s="52"/>
      <c r="L472" s="51" t="s">
        <v>4</v>
      </c>
      <c r="M472" s="58"/>
      <c r="N472" s="58"/>
      <c r="O472" s="58"/>
      <c r="P472" s="58"/>
      <c r="Q472" s="58"/>
      <c r="R472" s="58"/>
      <c r="S472" s="58"/>
    </row>
    <row r="473" spans="1:19" s="59" customFormat="1" ht="18.75" hidden="1" customHeight="1" thickBot="1" x14ac:dyDescent="0.3">
      <c r="A473" s="59" t="s">
        <v>23</v>
      </c>
      <c r="B473" s="60" t="str">
        <f t="shared" ref="B473:B474" si="329">IF(K473=0,"hide","")</f>
        <v>hide</v>
      </c>
      <c r="D473" s="61" t="str">
        <f>"02961"</f>
        <v>02961</v>
      </c>
      <c r="E473" s="62" t="str">
        <f>"1"</f>
        <v>1</v>
      </c>
      <c r="F473" s="63">
        <v>0</v>
      </c>
      <c r="G473" s="63">
        <v>0</v>
      </c>
      <c r="H473" s="63">
        <v>0</v>
      </c>
      <c r="I473" s="63">
        <v>0</v>
      </c>
      <c r="J473" s="63">
        <v>0</v>
      </c>
      <c r="K473" s="63">
        <f>AVERAGE(I473:J473)</f>
        <v>0</v>
      </c>
      <c r="L473" s="64" t="str">
        <f>"BLUEBERRY (LOW FAT) MUFFINS"</f>
        <v>BLUEBERRY (LOW FAT) MUFFINS</v>
      </c>
      <c r="M473" s="65" t="str">
        <f>"96-2 oz. I.W."</f>
        <v>96-2 oz. I.W.</v>
      </c>
      <c r="N473" s="66">
        <v>96</v>
      </c>
      <c r="O473" s="67" t="str">
        <f>""</f>
        <v/>
      </c>
      <c r="P473" s="68" t="e">
        <f>1/O473</f>
        <v>#VALUE!</v>
      </c>
      <c r="Q473" s="53">
        <v>1</v>
      </c>
      <c r="R473" s="69">
        <f t="shared" ref="R473" si="330">1/Q473</f>
        <v>1</v>
      </c>
      <c r="S473" s="70">
        <f t="shared" ref="S473" si="331">R473*N473</f>
        <v>96</v>
      </c>
    </row>
    <row r="474" spans="1:19" ht="15.6" hidden="1" customHeight="1" thickBot="1" x14ac:dyDescent="0.3">
      <c r="A474" t="s">
        <v>23</v>
      </c>
      <c r="B474" s="60" t="str">
        <f t="shared" si="329"/>
        <v>hide</v>
      </c>
      <c r="D474" s="48" t="str">
        <f>D473</f>
        <v>02961</v>
      </c>
      <c r="E474" s="7"/>
      <c r="F474" s="27">
        <v>0</v>
      </c>
      <c r="G474" s="27">
        <v>0</v>
      </c>
      <c r="H474" s="27">
        <v>0</v>
      </c>
      <c r="I474" s="27">
        <v>0</v>
      </c>
      <c r="J474" s="27">
        <v>0</v>
      </c>
      <c r="K474" s="63">
        <f>AVERAGE(I474:J474)</f>
        <v>0</v>
      </c>
      <c r="L474" s="56" t="str">
        <f>"EQP-LAWPACK1"</f>
        <v>EQP-LAWPACK1</v>
      </c>
      <c r="M474" s="14"/>
      <c r="N474" s="15"/>
      <c r="O474" s="12"/>
      <c r="P474" s="34"/>
      <c r="Q474" s="37"/>
      <c r="R474" s="47"/>
      <c r="S474" s="46"/>
    </row>
    <row r="475" spans="1:19" ht="15.6" hidden="1" customHeight="1" thickBot="1" x14ac:dyDescent="0.3">
      <c r="A475" t="s">
        <v>23</v>
      </c>
      <c r="B475" s="60" t="str">
        <f t="shared" ref="B475:B477" si="332">IF(K475=0,"hide","")</f>
        <v>hide</v>
      </c>
      <c r="D475" s="48" t="str">
        <f>D474</f>
        <v>02961</v>
      </c>
      <c r="E475" s="7"/>
      <c r="F475" s="27">
        <v>0</v>
      </c>
      <c r="G475" s="27">
        <v>0</v>
      </c>
      <c r="H475" s="27">
        <v>0</v>
      </c>
      <c r="I475" s="27">
        <v>0</v>
      </c>
      <c r="J475" s="27">
        <v>0</v>
      </c>
      <c r="K475" s="63">
        <f>AVERAGE(I475:J475)</f>
        <v>0</v>
      </c>
      <c r="L475" s="56" t="str">
        <f>"EQP-LAWPACK2"</f>
        <v>EQP-LAWPACK2</v>
      </c>
      <c r="M475" s="14"/>
      <c r="N475" s="15"/>
      <c r="O475" s="12"/>
      <c r="P475" s="34"/>
      <c r="Q475" s="37"/>
      <c r="R475" s="47"/>
      <c r="S475" s="46"/>
    </row>
    <row r="476" spans="1:19" ht="15.6" hidden="1" customHeight="1" thickBot="1" x14ac:dyDescent="0.3">
      <c r="A476" t="s">
        <v>23</v>
      </c>
      <c r="B476" s="60" t="str">
        <f t="shared" si="332"/>
        <v>hide</v>
      </c>
      <c r="D476" s="48" t="str">
        <f>D475</f>
        <v>02961</v>
      </c>
      <c r="E476" s="7"/>
      <c r="F476" s="27">
        <v>0</v>
      </c>
      <c r="G476" s="27">
        <v>0</v>
      </c>
      <c r="H476" s="27">
        <v>0</v>
      </c>
      <c r="I476" s="27">
        <v>0</v>
      </c>
      <c r="J476" s="27">
        <v>0</v>
      </c>
      <c r="K476" s="63">
        <f>AVERAGE(I476:J476)</f>
        <v>0</v>
      </c>
      <c r="L476" s="56" t="str">
        <f>"SW-COMAS-PACKL"</f>
        <v>SW-COMAS-PACKL</v>
      </c>
      <c r="M476" s="14"/>
      <c r="N476" s="15"/>
      <c r="O476" s="12"/>
      <c r="P476" s="34"/>
      <c r="Q476" s="37"/>
      <c r="R476" s="47"/>
      <c r="S476" s="46"/>
    </row>
    <row r="477" spans="1:19" ht="15.6" hidden="1" customHeight="1" thickBot="1" x14ac:dyDescent="0.3">
      <c r="A477" t="s">
        <v>23</v>
      </c>
      <c r="B477" s="60" t="str">
        <f t="shared" si="332"/>
        <v>hide</v>
      </c>
      <c r="D477" s="48" t="str">
        <f>D476</f>
        <v>02961</v>
      </c>
      <c r="E477" s="7"/>
      <c r="F477" s="27">
        <v>0</v>
      </c>
      <c r="G477" s="27">
        <v>0</v>
      </c>
      <c r="H477" s="27">
        <v>0</v>
      </c>
      <c r="I477" s="27">
        <v>0</v>
      </c>
      <c r="J477" s="27">
        <v>0</v>
      </c>
      <c r="K477" s="63">
        <f>AVERAGE(I477:J477)</f>
        <v>0</v>
      </c>
      <c r="L477" s="56" t="str">
        <f>"SW-RISER-PACK"</f>
        <v>SW-RISER-PACK</v>
      </c>
      <c r="M477" s="14"/>
      <c r="N477" s="15"/>
      <c r="O477" s="12"/>
      <c r="P477" s="34"/>
      <c r="Q477" s="37"/>
      <c r="R477" s="47"/>
      <c r="S477" s="46"/>
    </row>
    <row r="478" spans="1:19" ht="12" hidden="1" customHeight="1" x14ac:dyDescent="0.3">
      <c r="A478" s="35" t="s">
        <v>908</v>
      </c>
      <c r="B478" s="49" t="str">
        <f>B474</f>
        <v>hide</v>
      </c>
      <c r="N478"/>
      <c r="Q478" s="33"/>
    </row>
    <row r="479" spans="1:19" ht="13.8" hidden="1" thickBot="1" x14ac:dyDescent="0.3">
      <c r="A479" t="s">
        <v>23</v>
      </c>
      <c r="B479" s="49" t="str">
        <f t="shared" ref="B479" si="333">B478</f>
        <v>hide</v>
      </c>
      <c r="D479" s="58"/>
      <c r="E479" s="58"/>
      <c r="F479" s="52">
        <f>SUM(F474:F478)</f>
        <v>0</v>
      </c>
      <c r="G479" s="52">
        <f>SUM(G474:G478)</f>
        <v>0</v>
      </c>
      <c r="H479" s="52">
        <f>SUM(H474:H478)</f>
        <v>0</v>
      </c>
      <c r="I479" s="52">
        <f>SUM(I474:I478)</f>
        <v>0</v>
      </c>
      <c r="J479" s="52">
        <f>SUM(J474:J478)</f>
        <v>0</v>
      </c>
      <c r="K479" s="52"/>
      <c r="L479" s="51" t="s">
        <v>4</v>
      </c>
      <c r="M479" s="58"/>
      <c r="N479" s="58"/>
      <c r="O479" s="58"/>
      <c r="P479" s="58"/>
      <c r="Q479" s="58"/>
      <c r="R479" s="58"/>
      <c r="S479" s="58"/>
    </row>
    <row r="480" spans="1:19" s="59" customFormat="1" ht="18.75" customHeight="1" thickBot="1" x14ac:dyDescent="0.3">
      <c r="A480" s="59" t="s">
        <v>23</v>
      </c>
      <c r="B480" s="60" t="str">
        <f t="shared" ref="B480:B481" si="334">IF(K480=0,"hide","")</f>
        <v/>
      </c>
      <c r="D480" s="61" t="str">
        <f>"02965"</f>
        <v>02965</v>
      </c>
      <c r="E480" s="62" t="str">
        <f>"5"</f>
        <v>5</v>
      </c>
      <c r="F480" s="63">
        <v>73.166666666666671</v>
      </c>
      <c r="G480" s="63">
        <v>72.750000000000014</v>
      </c>
      <c r="H480" s="63">
        <v>144.58333333333334</v>
      </c>
      <c r="I480" s="63">
        <v>4.166666666666667</v>
      </c>
      <c r="J480" s="63">
        <v>0</v>
      </c>
      <c r="K480" s="63">
        <f>AVERAGE(I480:J480)</f>
        <v>2.0833333333333335</v>
      </c>
      <c r="L480" s="64" t="str">
        <f>"1364 Muffin, Crnbrd, Low Fat, IW"</f>
        <v>1364 Muffin, Crnbrd, Low Fat, IW</v>
      </c>
      <c r="M480" s="65" t="str">
        <f>"96-2 oz. I.W."</f>
        <v>96-2 oz. I.W.</v>
      </c>
      <c r="N480" s="66">
        <v>96</v>
      </c>
      <c r="O480" s="67" t="str">
        <f>""</f>
        <v/>
      </c>
      <c r="P480" s="68" t="e">
        <f>1/O480</f>
        <v>#VALUE!</v>
      </c>
      <c r="Q480" s="53">
        <v>1</v>
      </c>
      <c r="R480" s="69">
        <f t="shared" ref="R480" si="335">1/Q480</f>
        <v>1</v>
      </c>
      <c r="S480" s="70">
        <f t="shared" ref="S480" si="336">R480*N480</f>
        <v>96</v>
      </c>
    </row>
    <row r="481" spans="1:19" ht="15.6" hidden="1" customHeight="1" thickBot="1" x14ac:dyDescent="0.3">
      <c r="A481" t="s">
        <v>23</v>
      </c>
      <c r="B481" s="60" t="str">
        <f t="shared" si="334"/>
        <v>hide</v>
      </c>
      <c r="D481" s="48" t="str">
        <f>D480</f>
        <v>02965</v>
      </c>
      <c r="E481" s="7"/>
      <c r="F481" s="27">
        <v>0</v>
      </c>
      <c r="G481" s="27">
        <v>0</v>
      </c>
      <c r="H481" s="27">
        <v>0</v>
      </c>
      <c r="I481" s="27">
        <v>0</v>
      </c>
      <c r="J481" s="27">
        <v>0</v>
      </c>
      <c r="K481" s="63">
        <f>AVERAGE(I481:J481)</f>
        <v>0</v>
      </c>
      <c r="L481" s="56" t="str">
        <f>"EQP-LAWPACK1"</f>
        <v>EQP-LAWPACK1</v>
      </c>
      <c r="M481" s="14"/>
      <c r="N481" s="15"/>
      <c r="O481" s="12"/>
      <c r="P481" s="34"/>
      <c r="Q481" s="37"/>
      <c r="R481" s="47"/>
      <c r="S481" s="46"/>
    </row>
    <row r="482" spans="1:19" ht="15.6" hidden="1" customHeight="1" thickBot="1" x14ac:dyDescent="0.3">
      <c r="A482" t="s">
        <v>23</v>
      </c>
      <c r="B482" s="60" t="str">
        <f t="shared" ref="B482:B484" si="337">IF(K482=0,"hide","")</f>
        <v>hide</v>
      </c>
      <c r="D482" s="48" t="str">
        <f>D481</f>
        <v>02965</v>
      </c>
      <c r="E482" s="7"/>
      <c r="F482" s="27">
        <v>0</v>
      </c>
      <c r="G482" s="27">
        <v>0</v>
      </c>
      <c r="H482" s="27">
        <v>0</v>
      </c>
      <c r="I482" s="27">
        <v>0</v>
      </c>
      <c r="J482" s="27">
        <v>0</v>
      </c>
      <c r="K482" s="63">
        <f>AVERAGE(I482:J482)</f>
        <v>0</v>
      </c>
      <c r="L482" s="56" t="str">
        <f>"EQP-LAWPACK2"</f>
        <v>EQP-LAWPACK2</v>
      </c>
      <c r="M482" s="14"/>
      <c r="N482" s="15"/>
      <c r="O482" s="12"/>
      <c r="P482" s="34"/>
      <c r="Q482" s="37"/>
      <c r="R482" s="47"/>
      <c r="S482" s="46"/>
    </row>
    <row r="483" spans="1:19" ht="15.6" hidden="1" customHeight="1" thickBot="1" x14ac:dyDescent="0.3">
      <c r="A483" t="s">
        <v>23</v>
      </c>
      <c r="B483" s="60" t="str">
        <f t="shared" si="337"/>
        <v>hide</v>
      </c>
      <c r="D483" s="48" t="str">
        <f>D482</f>
        <v>02965</v>
      </c>
      <c r="E483" s="7"/>
      <c r="F483" s="27">
        <v>0</v>
      </c>
      <c r="G483" s="27">
        <v>0</v>
      </c>
      <c r="H483" s="27">
        <v>0</v>
      </c>
      <c r="I483" s="27">
        <v>0</v>
      </c>
      <c r="J483" s="27">
        <v>0</v>
      </c>
      <c r="K483" s="63">
        <f>AVERAGE(I483:J483)</f>
        <v>0</v>
      </c>
      <c r="L483" s="56" t="str">
        <f>"SW-COMAS-PACKL"</f>
        <v>SW-COMAS-PACKL</v>
      </c>
      <c r="M483" s="14"/>
      <c r="N483" s="15"/>
      <c r="O483" s="12"/>
      <c r="P483" s="34"/>
      <c r="Q483" s="37"/>
      <c r="R483" s="47"/>
      <c r="S483" s="46"/>
    </row>
    <row r="484" spans="1:19" ht="15.6" hidden="1" customHeight="1" thickBot="1" x14ac:dyDescent="0.3">
      <c r="A484" t="s">
        <v>23</v>
      </c>
      <c r="B484" s="60" t="str">
        <f t="shared" si="337"/>
        <v>hide</v>
      </c>
      <c r="D484" s="48" t="str">
        <f>D483</f>
        <v>02965</v>
      </c>
      <c r="E484" s="7"/>
      <c r="F484" s="27">
        <v>0</v>
      </c>
      <c r="G484" s="27">
        <v>0</v>
      </c>
      <c r="H484" s="27">
        <v>0</v>
      </c>
      <c r="I484" s="27">
        <v>0</v>
      </c>
      <c r="J484" s="27">
        <v>0</v>
      </c>
      <c r="K484" s="63">
        <f>AVERAGE(I484:J484)</f>
        <v>0</v>
      </c>
      <c r="L484" s="56" t="str">
        <f>"SW-RISER-PACK"</f>
        <v>SW-RISER-PACK</v>
      </c>
      <c r="M484" s="14"/>
      <c r="N484" s="15"/>
      <c r="O484" s="12"/>
      <c r="P484" s="34"/>
      <c r="Q484" s="37"/>
      <c r="R484" s="47"/>
      <c r="S484" s="46"/>
    </row>
    <row r="485" spans="1:19" ht="12" hidden="1" customHeight="1" x14ac:dyDescent="0.3">
      <c r="A485" s="35" t="s">
        <v>908</v>
      </c>
      <c r="B485" s="49" t="str">
        <f>B481</f>
        <v>hide</v>
      </c>
      <c r="N485"/>
      <c r="Q485" s="33"/>
    </row>
    <row r="486" spans="1:19" ht="13.8" hidden="1" thickBot="1" x14ac:dyDescent="0.3">
      <c r="A486" t="s">
        <v>23</v>
      </c>
      <c r="B486" s="49" t="str">
        <f t="shared" ref="B486" si="338">B485</f>
        <v>hide</v>
      </c>
      <c r="D486" s="58"/>
      <c r="E486" s="58"/>
      <c r="F486" s="52">
        <f>SUM(F481:F485)</f>
        <v>0</v>
      </c>
      <c r="G486" s="52">
        <f>SUM(G481:G485)</f>
        <v>0</v>
      </c>
      <c r="H486" s="52">
        <f>SUM(H481:H485)</f>
        <v>0</v>
      </c>
      <c r="I486" s="52">
        <f>SUM(I481:I485)</f>
        <v>0</v>
      </c>
      <c r="J486" s="52">
        <f>SUM(J481:J485)</f>
        <v>0</v>
      </c>
      <c r="K486" s="52"/>
      <c r="L486" s="51" t="s">
        <v>4</v>
      </c>
      <c r="M486" s="58"/>
      <c r="N486" s="58"/>
      <c r="O486" s="58"/>
      <c r="P486" s="58"/>
      <c r="Q486" s="58"/>
      <c r="R486" s="58"/>
      <c r="S486" s="58"/>
    </row>
    <row r="487" spans="1:19" s="59" customFormat="1" ht="18.75" hidden="1" customHeight="1" thickBot="1" x14ac:dyDescent="0.3">
      <c r="A487" s="59" t="s">
        <v>23</v>
      </c>
      <c r="B487" s="60" t="str">
        <f t="shared" ref="B487:B488" si="339">IF(K487=0,"hide","")</f>
        <v>hide</v>
      </c>
      <c r="D487" s="61" t="str">
        <f>"02966"</f>
        <v>02966</v>
      </c>
      <c r="E487" s="62" t="str">
        <f>"5"</f>
        <v>5</v>
      </c>
      <c r="F487" s="63">
        <v>0</v>
      </c>
      <c r="G487" s="63">
        <v>0</v>
      </c>
      <c r="H487" s="63">
        <v>0</v>
      </c>
      <c r="I487" s="63">
        <v>0</v>
      </c>
      <c r="J487" s="63">
        <v>0</v>
      </c>
      <c r="K487" s="63">
        <f>AVERAGE(I487:J487)</f>
        <v>0</v>
      </c>
      <c r="L487" s="64" t="str">
        <f>"1362 Muffin, Apple Cinn, Low Fat, IW"</f>
        <v>1362 Muffin, Apple Cinn, Low Fat, IW</v>
      </c>
      <c r="M487" s="65" t="str">
        <f>"96/2 oz"</f>
        <v>96/2 oz</v>
      </c>
      <c r="N487" s="66">
        <v>96</v>
      </c>
      <c r="O487" s="67" t="str">
        <f>""</f>
        <v/>
      </c>
      <c r="P487" s="68" t="e">
        <f>1/O487</f>
        <v>#VALUE!</v>
      </c>
      <c r="Q487" s="53">
        <v>1</v>
      </c>
      <c r="R487" s="69">
        <f t="shared" ref="R487" si="340">1/Q487</f>
        <v>1</v>
      </c>
      <c r="S487" s="70">
        <f t="shared" ref="S487" si="341">R487*N487</f>
        <v>96</v>
      </c>
    </row>
    <row r="488" spans="1:19" ht="15.6" hidden="1" customHeight="1" thickBot="1" x14ac:dyDescent="0.3">
      <c r="A488" t="s">
        <v>23</v>
      </c>
      <c r="B488" s="60" t="str">
        <f t="shared" si="339"/>
        <v>hide</v>
      </c>
      <c r="D488" s="48" t="str">
        <f>D487</f>
        <v>02966</v>
      </c>
      <c r="E488" s="7"/>
      <c r="F488" s="27">
        <v>0</v>
      </c>
      <c r="G488" s="27">
        <v>0</v>
      </c>
      <c r="H488" s="27">
        <v>0</v>
      </c>
      <c r="I488" s="27">
        <v>0</v>
      </c>
      <c r="J488" s="27">
        <v>0</v>
      </c>
      <c r="K488" s="63">
        <f>AVERAGE(I488:J488)</f>
        <v>0</v>
      </c>
      <c r="L488" s="56" t="str">
        <f>"EQP-LAWPACK1"</f>
        <v>EQP-LAWPACK1</v>
      </c>
      <c r="M488" s="14"/>
      <c r="N488" s="15"/>
      <c r="O488" s="12"/>
      <c r="P488" s="34"/>
      <c r="Q488" s="37"/>
      <c r="R488" s="47"/>
      <c r="S488" s="46"/>
    </row>
    <row r="489" spans="1:19" ht="15.6" hidden="1" customHeight="1" thickBot="1" x14ac:dyDescent="0.3">
      <c r="A489" t="s">
        <v>23</v>
      </c>
      <c r="B489" s="60" t="str">
        <f t="shared" ref="B489:B491" si="342">IF(K489=0,"hide","")</f>
        <v>hide</v>
      </c>
      <c r="D489" s="48" t="str">
        <f>D488</f>
        <v>02966</v>
      </c>
      <c r="E489" s="7"/>
      <c r="F489" s="27">
        <v>0</v>
      </c>
      <c r="G489" s="27">
        <v>0</v>
      </c>
      <c r="H489" s="27">
        <v>0</v>
      </c>
      <c r="I489" s="27">
        <v>0</v>
      </c>
      <c r="J489" s="27">
        <v>0</v>
      </c>
      <c r="K489" s="63">
        <f>AVERAGE(I489:J489)</f>
        <v>0</v>
      </c>
      <c r="L489" s="56" t="str">
        <f>"EQP-LAWPACK2"</f>
        <v>EQP-LAWPACK2</v>
      </c>
      <c r="M489" s="14"/>
      <c r="N489" s="15"/>
      <c r="O489" s="12"/>
      <c r="P489" s="34"/>
      <c r="Q489" s="37"/>
      <c r="R489" s="47"/>
      <c r="S489" s="46"/>
    </row>
    <row r="490" spans="1:19" ht="15.6" hidden="1" customHeight="1" thickBot="1" x14ac:dyDescent="0.3">
      <c r="A490" t="s">
        <v>23</v>
      </c>
      <c r="B490" s="60" t="str">
        <f t="shared" si="342"/>
        <v>hide</v>
      </c>
      <c r="D490" s="48" t="str">
        <f>D489</f>
        <v>02966</v>
      </c>
      <c r="E490" s="7"/>
      <c r="F490" s="27">
        <v>0</v>
      </c>
      <c r="G490" s="27">
        <v>0</v>
      </c>
      <c r="H490" s="27">
        <v>0</v>
      </c>
      <c r="I490" s="27">
        <v>0</v>
      </c>
      <c r="J490" s="27">
        <v>0</v>
      </c>
      <c r="K490" s="63">
        <f>AVERAGE(I490:J490)</f>
        <v>0</v>
      </c>
      <c r="L490" s="56" t="str">
        <f>"SW-COMAS-PACKL"</f>
        <v>SW-COMAS-PACKL</v>
      </c>
      <c r="M490" s="14"/>
      <c r="N490" s="15"/>
      <c r="O490" s="12"/>
      <c r="P490" s="34"/>
      <c r="Q490" s="37"/>
      <c r="R490" s="47"/>
      <c r="S490" s="46"/>
    </row>
    <row r="491" spans="1:19" ht="15.6" hidden="1" customHeight="1" thickBot="1" x14ac:dyDescent="0.3">
      <c r="A491" t="s">
        <v>23</v>
      </c>
      <c r="B491" s="60" t="str">
        <f t="shared" si="342"/>
        <v>hide</v>
      </c>
      <c r="D491" s="48" t="str">
        <f>D490</f>
        <v>02966</v>
      </c>
      <c r="E491" s="7"/>
      <c r="F491" s="27">
        <v>0</v>
      </c>
      <c r="G491" s="27">
        <v>0</v>
      </c>
      <c r="H491" s="27">
        <v>0</v>
      </c>
      <c r="I491" s="27">
        <v>0</v>
      </c>
      <c r="J491" s="27">
        <v>0</v>
      </c>
      <c r="K491" s="63">
        <f>AVERAGE(I491:J491)</f>
        <v>0</v>
      </c>
      <c r="L491" s="56" t="str">
        <f>"SW-RISER-PACK"</f>
        <v>SW-RISER-PACK</v>
      </c>
      <c r="M491" s="14"/>
      <c r="N491" s="15"/>
      <c r="O491" s="12"/>
      <c r="P491" s="34"/>
      <c r="Q491" s="37"/>
      <c r="R491" s="47"/>
      <c r="S491" s="46"/>
    </row>
    <row r="492" spans="1:19" ht="12" hidden="1" customHeight="1" x14ac:dyDescent="0.3">
      <c r="A492" s="35" t="s">
        <v>908</v>
      </c>
      <c r="B492" s="49" t="str">
        <f>B488</f>
        <v>hide</v>
      </c>
      <c r="N492"/>
      <c r="Q492" s="33"/>
    </row>
    <row r="493" spans="1:19" ht="13.8" hidden="1" thickBot="1" x14ac:dyDescent="0.3">
      <c r="A493" t="s">
        <v>23</v>
      </c>
      <c r="B493" s="49" t="str">
        <f t="shared" ref="B493" si="343">B492</f>
        <v>hide</v>
      </c>
      <c r="D493" s="58"/>
      <c r="E493" s="58"/>
      <c r="F493" s="52">
        <f>SUM(F488:F492)</f>
        <v>0</v>
      </c>
      <c r="G493" s="52">
        <f>SUM(G488:G492)</f>
        <v>0</v>
      </c>
      <c r="H493" s="52">
        <f>SUM(H488:H492)</f>
        <v>0</v>
      </c>
      <c r="I493" s="52">
        <f>SUM(I488:I492)</f>
        <v>0</v>
      </c>
      <c r="J493" s="52">
        <f>SUM(J488:J492)</f>
        <v>0</v>
      </c>
      <c r="K493" s="52"/>
      <c r="L493" s="51" t="s">
        <v>4</v>
      </c>
      <c r="M493" s="58"/>
      <c r="N493" s="58"/>
      <c r="O493" s="58"/>
      <c r="P493" s="58"/>
      <c r="Q493" s="58"/>
      <c r="R493" s="58"/>
      <c r="S493" s="58"/>
    </row>
    <row r="494" spans="1:19" s="59" customFormat="1" ht="18.75" hidden="1" customHeight="1" thickBot="1" x14ac:dyDescent="0.3">
      <c r="A494" s="59" t="s">
        <v>23</v>
      </c>
      <c r="B494" s="60" t="str">
        <f t="shared" ref="B494:B495" si="344">IF(K494=0,"hide","")</f>
        <v>hide</v>
      </c>
      <c r="D494" s="61" t="str">
        <f>"02975"</f>
        <v>02975</v>
      </c>
      <c r="E494" s="62" t="str">
        <f>"5"</f>
        <v>5</v>
      </c>
      <c r="F494" s="63">
        <v>153.25</v>
      </c>
      <c r="G494" s="63">
        <v>204.58333333333334</v>
      </c>
      <c r="H494" s="63">
        <v>110.75</v>
      </c>
      <c r="I494" s="63">
        <v>0</v>
      </c>
      <c r="J494" s="63">
        <v>0</v>
      </c>
      <c r="K494" s="63">
        <f>AVERAGE(I494:J494)</f>
        <v>0</v>
      </c>
      <c r="L494" s="64" t="str">
        <f>"1361 Muffins, Banana, Low Fat, IW"</f>
        <v>1361 Muffins, Banana, Low Fat, IW</v>
      </c>
      <c r="M494" s="65" t="str">
        <f>"96/2 oz"</f>
        <v>96/2 oz</v>
      </c>
      <c r="N494" s="66">
        <v>96</v>
      </c>
      <c r="O494" s="67">
        <v>0</v>
      </c>
      <c r="P494" s="68" t="e">
        <f>1/O494</f>
        <v>#DIV/0!</v>
      </c>
      <c r="Q494" s="53">
        <v>3.5000000000000001E-3</v>
      </c>
      <c r="R494" s="69">
        <f t="shared" ref="R494" si="345">1/Q494</f>
        <v>285.71428571428572</v>
      </c>
      <c r="S494" s="70">
        <f t="shared" ref="S494" si="346">R494*N494</f>
        <v>27428.571428571428</v>
      </c>
    </row>
    <row r="495" spans="1:19" ht="15.6" hidden="1" customHeight="1" thickBot="1" x14ac:dyDescent="0.3">
      <c r="A495" t="s">
        <v>23</v>
      </c>
      <c r="B495" s="60" t="str">
        <f t="shared" si="344"/>
        <v>hide</v>
      </c>
      <c r="D495" s="48" t="str">
        <f>D494</f>
        <v>02975</v>
      </c>
      <c r="E495" s="7"/>
      <c r="F495" s="27">
        <v>0</v>
      </c>
      <c r="G495" s="27">
        <v>-65.562499999999986</v>
      </c>
      <c r="H495" s="27">
        <v>0</v>
      </c>
      <c r="I495" s="27">
        <v>0</v>
      </c>
      <c r="J495" s="27">
        <v>0</v>
      </c>
      <c r="K495" s="63">
        <f>AVERAGE(I495:J495)</f>
        <v>0</v>
      </c>
      <c r="L495" s="56" t="str">
        <f>"EQP-LAWPACK1"</f>
        <v>EQP-LAWPACK1</v>
      </c>
      <c r="M495" s="14"/>
      <c r="N495" s="15"/>
      <c r="O495" s="12"/>
      <c r="P495" s="34"/>
      <c r="Q495" s="37"/>
      <c r="R495" s="47"/>
      <c r="S495" s="46"/>
    </row>
    <row r="496" spans="1:19" ht="15.6" hidden="1" customHeight="1" thickBot="1" x14ac:dyDescent="0.3">
      <c r="A496" t="s">
        <v>23</v>
      </c>
      <c r="B496" s="60" t="str">
        <f t="shared" ref="B496:B498" si="347">IF(K496=0,"hide","")</f>
        <v>hide</v>
      </c>
      <c r="D496" s="48" t="str">
        <f>D495</f>
        <v>02975</v>
      </c>
      <c r="E496" s="7"/>
      <c r="F496" s="27">
        <v>0</v>
      </c>
      <c r="G496" s="27">
        <v>0</v>
      </c>
      <c r="H496" s="27">
        <v>0</v>
      </c>
      <c r="I496" s="27">
        <v>0</v>
      </c>
      <c r="J496" s="27">
        <v>0</v>
      </c>
      <c r="K496" s="63">
        <f>AVERAGE(I496:J496)</f>
        <v>0</v>
      </c>
      <c r="L496" s="56" t="str">
        <f>"EQP-LAWPACK2"</f>
        <v>EQP-LAWPACK2</v>
      </c>
      <c r="M496" s="14"/>
      <c r="N496" s="15"/>
      <c r="O496" s="12"/>
      <c r="P496" s="34"/>
      <c r="Q496" s="37"/>
      <c r="R496" s="47"/>
      <c r="S496" s="46"/>
    </row>
    <row r="497" spans="1:19" ht="15.6" hidden="1" customHeight="1" thickBot="1" x14ac:dyDescent="0.3">
      <c r="A497" t="s">
        <v>23</v>
      </c>
      <c r="B497" s="60" t="str">
        <f t="shared" si="347"/>
        <v>hide</v>
      </c>
      <c r="D497" s="48" t="str">
        <f>D496</f>
        <v>02975</v>
      </c>
      <c r="E497" s="7"/>
      <c r="F497" s="27">
        <v>0</v>
      </c>
      <c r="G497" s="27">
        <v>0</v>
      </c>
      <c r="H497" s="27">
        <v>0</v>
      </c>
      <c r="I497" s="27">
        <v>0</v>
      </c>
      <c r="J497" s="27">
        <v>0</v>
      </c>
      <c r="K497" s="63">
        <f>AVERAGE(I497:J497)</f>
        <v>0</v>
      </c>
      <c r="L497" s="56" t="str">
        <f>"SW-COMAS-PACKL"</f>
        <v>SW-COMAS-PACKL</v>
      </c>
      <c r="M497" s="14"/>
      <c r="N497" s="15"/>
      <c r="O497" s="12"/>
      <c r="P497" s="34"/>
      <c r="Q497" s="37"/>
      <c r="R497" s="47"/>
      <c r="S497" s="46"/>
    </row>
    <row r="498" spans="1:19" ht="15.6" hidden="1" customHeight="1" thickBot="1" x14ac:dyDescent="0.3">
      <c r="A498" t="s">
        <v>23</v>
      </c>
      <c r="B498" s="60" t="str">
        <f t="shared" si="347"/>
        <v>hide</v>
      </c>
      <c r="D498" s="48" t="str">
        <f>D497</f>
        <v>02975</v>
      </c>
      <c r="E498" s="7"/>
      <c r="F498" s="27">
        <v>0</v>
      </c>
      <c r="G498" s="27">
        <v>0</v>
      </c>
      <c r="H498" s="27">
        <v>0</v>
      </c>
      <c r="I498" s="27">
        <v>0</v>
      </c>
      <c r="J498" s="27">
        <v>0</v>
      </c>
      <c r="K498" s="63">
        <f>AVERAGE(I498:J498)</f>
        <v>0</v>
      </c>
      <c r="L498" s="56" t="str">
        <f>"SW-RISER-PACK"</f>
        <v>SW-RISER-PACK</v>
      </c>
      <c r="M498" s="14"/>
      <c r="N498" s="15"/>
      <c r="O498" s="12"/>
      <c r="P498" s="34"/>
      <c r="Q498" s="37"/>
      <c r="R498" s="47"/>
      <c r="S498" s="46"/>
    </row>
    <row r="499" spans="1:19" ht="12" hidden="1" customHeight="1" x14ac:dyDescent="0.3">
      <c r="A499" s="35" t="s">
        <v>908</v>
      </c>
      <c r="B499" s="49" t="str">
        <f>B495</f>
        <v>hide</v>
      </c>
      <c r="N499"/>
      <c r="Q499" s="33"/>
    </row>
    <row r="500" spans="1:19" ht="13.8" hidden="1" thickBot="1" x14ac:dyDescent="0.3">
      <c r="A500" t="s">
        <v>23</v>
      </c>
      <c r="B500" s="49" t="str">
        <f t="shared" ref="B500" si="348">B499</f>
        <v>hide</v>
      </c>
      <c r="D500" s="58"/>
      <c r="E500" s="58"/>
      <c r="F500" s="52">
        <f>SUM(F495:F499)</f>
        <v>0</v>
      </c>
      <c r="G500" s="52">
        <f>SUM(G495:G499)</f>
        <v>-65.562499999999986</v>
      </c>
      <c r="H500" s="52">
        <f>SUM(H495:H499)</f>
        <v>0</v>
      </c>
      <c r="I500" s="52">
        <f>SUM(I495:I499)</f>
        <v>0</v>
      </c>
      <c r="J500" s="52">
        <f>SUM(J495:J499)</f>
        <v>0</v>
      </c>
      <c r="K500" s="52"/>
      <c r="L500" s="51" t="s">
        <v>4</v>
      </c>
      <c r="M500" s="58"/>
      <c r="N500" s="58"/>
      <c r="O500" s="58"/>
      <c r="P500" s="58"/>
      <c r="Q500" s="58"/>
      <c r="R500" s="58"/>
      <c r="S500" s="58"/>
    </row>
    <row r="501" spans="1:19" s="59" customFormat="1" ht="18.75" customHeight="1" thickBot="1" x14ac:dyDescent="0.3">
      <c r="A501" s="59" t="s">
        <v>23</v>
      </c>
      <c r="B501" s="60" t="str">
        <f t="shared" ref="B501:B502" si="349">IF(K501=0,"hide","")</f>
        <v/>
      </c>
      <c r="D501" s="61" t="str">
        <f>"02991"</f>
        <v>02991</v>
      </c>
      <c r="E501" s="62" t="str">
        <f>"10"</f>
        <v>10</v>
      </c>
      <c r="F501" s="63">
        <v>1564.9166666666667</v>
      </c>
      <c r="G501" s="63">
        <v>1350.6666666666667</v>
      </c>
      <c r="H501" s="63">
        <v>1954.75</v>
      </c>
      <c r="I501" s="63">
        <v>2807</v>
      </c>
      <c r="J501" s="63">
        <v>2251.0433734939761</v>
      </c>
      <c r="K501" s="63">
        <f>AVERAGE(I501:J501)</f>
        <v>2529.0216867469881</v>
      </c>
      <c r="L501" s="64" t="str">
        <f>"1202 Muffins, WG, Banana, RF, IW"</f>
        <v>1202 Muffins, WG, Banana, RF, IW</v>
      </c>
      <c r="M501" s="65" t="str">
        <f>"96/2 oz"</f>
        <v>96/2 oz</v>
      </c>
      <c r="N501" s="66">
        <v>96</v>
      </c>
      <c r="O501" s="67">
        <v>4.5999999999999999E-3</v>
      </c>
      <c r="P501" s="68">
        <f>1/O501</f>
        <v>217.39130434782609</v>
      </c>
      <c r="Q501" s="53">
        <v>4.5999999999999999E-3</v>
      </c>
      <c r="R501" s="69">
        <f t="shared" ref="R501" si="350">1/Q501</f>
        <v>217.39130434782609</v>
      </c>
      <c r="S501" s="70">
        <f t="shared" ref="S501" si="351">R501*N501</f>
        <v>20869.565217391304</v>
      </c>
    </row>
    <row r="502" spans="1:19" ht="15.6" customHeight="1" thickBot="1" x14ac:dyDescent="0.3">
      <c r="A502" t="s">
        <v>23</v>
      </c>
      <c r="B502" s="60" t="str">
        <f t="shared" si="349"/>
        <v/>
      </c>
      <c r="D502" s="48" t="str">
        <f>D501</f>
        <v>02991</v>
      </c>
      <c r="E502" s="7"/>
      <c r="F502" s="27">
        <v>-1386.2524999999998</v>
      </c>
      <c r="G502" s="27">
        <v>-1048.3491666666666</v>
      </c>
      <c r="H502" s="27">
        <v>-1725.4458333333332</v>
      </c>
      <c r="I502" s="27">
        <v>-2003.5</v>
      </c>
      <c r="J502" s="27">
        <v>-1717.8440963855423</v>
      </c>
      <c r="K502" s="63">
        <f>AVERAGE(I502:J502)</f>
        <v>-1860.6720481927712</v>
      </c>
      <c r="L502" s="56" t="str">
        <f>"EQP-LAWPACK1"</f>
        <v>EQP-LAWPACK1</v>
      </c>
      <c r="M502" s="14"/>
      <c r="N502" s="15"/>
      <c r="O502" s="12"/>
      <c r="P502" s="34"/>
      <c r="Q502" s="37"/>
      <c r="R502" s="47"/>
      <c r="S502" s="46"/>
    </row>
    <row r="503" spans="1:19" ht="15.6" customHeight="1" thickBot="1" x14ac:dyDescent="0.3">
      <c r="A503" t="s">
        <v>23</v>
      </c>
      <c r="B503" s="60" t="str">
        <f t="shared" ref="B503:B505" si="352">IF(K503=0,"hide","")</f>
        <v/>
      </c>
      <c r="D503" s="48" t="str">
        <f>D502</f>
        <v>02991</v>
      </c>
      <c r="E503" s="7"/>
      <c r="F503" s="27">
        <v>0</v>
      </c>
      <c r="G503" s="27">
        <v>0</v>
      </c>
      <c r="H503" s="27">
        <v>0</v>
      </c>
      <c r="I503" s="27">
        <v>0</v>
      </c>
      <c r="J503" s="27">
        <v>-73.239036144578321</v>
      </c>
      <c r="K503" s="63">
        <f>AVERAGE(I503:J503)</f>
        <v>-36.619518072289161</v>
      </c>
      <c r="L503" s="56" t="str">
        <f>"EQP-LAWPACK2"</f>
        <v>EQP-LAWPACK2</v>
      </c>
      <c r="M503" s="14"/>
      <c r="N503" s="15"/>
      <c r="O503" s="12"/>
      <c r="P503" s="34"/>
      <c r="Q503" s="37"/>
      <c r="R503" s="47"/>
      <c r="S503" s="46"/>
    </row>
    <row r="504" spans="1:19" ht="15.6" hidden="1" customHeight="1" thickBot="1" x14ac:dyDescent="0.3">
      <c r="A504" t="s">
        <v>23</v>
      </c>
      <c r="B504" s="60" t="str">
        <f t="shared" si="352"/>
        <v>hide</v>
      </c>
      <c r="D504" s="48" t="str">
        <f>D503</f>
        <v>02991</v>
      </c>
      <c r="E504" s="7"/>
      <c r="F504" s="27">
        <v>0</v>
      </c>
      <c r="G504" s="27">
        <v>0</v>
      </c>
      <c r="H504" s="27">
        <v>0</v>
      </c>
      <c r="I504" s="27">
        <v>0</v>
      </c>
      <c r="J504" s="27">
        <v>0</v>
      </c>
      <c r="K504" s="63">
        <f>AVERAGE(I504:J504)</f>
        <v>0</v>
      </c>
      <c r="L504" s="56" t="str">
        <f>"SW-COMAS-PACKL"</f>
        <v>SW-COMAS-PACKL</v>
      </c>
      <c r="M504" s="14"/>
      <c r="N504" s="15"/>
      <c r="O504" s="12"/>
      <c r="P504" s="34"/>
      <c r="Q504" s="37"/>
      <c r="R504" s="47"/>
      <c r="S504" s="46"/>
    </row>
    <row r="505" spans="1:19" ht="15.6" hidden="1" customHeight="1" thickBot="1" x14ac:dyDescent="0.3">
      <c r="A505" t="s">
        <v>23</v>
      </c>
      <c r="B505" s="60" t="str">
        <f t="shared" si="352"/>
        <v>hide</v>
      </c>
      <c r="D505" s="48" t="str">
        <f>D504</f>
        <v>02991</v>
      </c>
      <c r="E505" s="7"/>
      <c r="F505" s="27">
        <v>0</v>
      </c>
      <c r="G505" s="27">
        <v>0</v>
      </c>
      <c r="H505" s="27">
        <v>0</v>
      </c>
      <c r="I505" s="27">
        <v>0</v>
      </c>
      <c r="J505" s="27">
        <v>0</v>
      </c>
      <c r="K505" s="63">
        <f>AVERAGE(I505:J505)</f>
        <v>0</v>
      </c>
      <c r="L505" s="56" t="str">
        <f>"SW-RISER-PACK"</f>
        <v>SW-RISER-PACK</v>
      </c>
      <c r="M505" s="14"/>
      <c r="N505" s="15"/>
      <c r="O505" s="12"/>
      <c r="P505" s="34"/>
      <c r="Q505" s="37"/>
      <c r="R505" s="47"/>
      <c r="S505" s="46"/>
    </row>
    <row r="506" spans="1:19" ht="12" hidden="1" customHeight="1" x14ac:dyDescent="0.25">
      <c r="A506" s="35" t="s">
        <v>908</v>
      </c>
      <c r="B506" s="49" t="str">
        <f>B502</f>
        <v/>
      </c>
      <c r="N506"/>
      <c r="Q506" s="33"/>
    </row>
    <row r="507" spans="1:19" ht="13.8" thickBot="1" x14ac:dyDescent="0.3">
      <c r="A507" t="s">
        <v>23</v>
      </c>
      <c r="B507" s="49" t="str">
        <f t="shared" ref="B507" si="353">B506</f>
        <v/>
      </c>
      <c r="D507" s="58"/>
      <c r="E507" s="58"/>
      <c r="F507" s="52">
        <f>SUM(F502:F506)</f>
        <v>-1386.2524999999998</v>
      </c>
      <c r="G507" s="52">
        <f>SUM(G502:G506)</f>
        <v>-1048.3491666666666</v>
      </c>
      <c r="H507" s="52">
        <f>SUM(H502:H506)</f>
        <v>-1725.4458333333332</v>
      </c>
      <c r="I507" s="52">
        <f>SUM(I502:I506)</f>
        <v>-2003.5</v>
      </c>
      <c r="J507" s="52">
        <f>SUM(J502:J506)</f>
        <v>-1791.0831325301206</v>
      </c>
      <c r="K507" s="52"/>
      <c r="L507" s="51" t="s">
        <v>4</v>
      </c>
      <c r="M507" s="58"/>
      <c r="N507" s="58"/>
      <c r="O507" s="58"/>
      <c r="P507" s="58"/>
      <c r="Q507" s="58"/>
      <c r="R507" s="58"/>
      <c r="S507" s="58"/>
    </row>
    <row r="508" spans="1:19" s="59" customFormat="1" ht="18.75" customHeight="1" thickBot="1" x14ac:dyDescent="0.3">
      <c r="A508" s="59" t="s">
        <v>23</v>
      </c>
      <c r="B508" s="60" t="str">
        <f t="shared" ref="B508:B509" si="354">IF(K508=0,"hide","")</f>
        <v/>
      </c>
      <c r="D508" s="61" t="str">
        <f>"02993"</f>
        <v>02993</v>
      </c>
      <c r="E508" s="62" t="str">
        <f>"9"</f>
        <v>9</v>
      </c>
      <c r="F508" s="63">
        <v>558.58333333333337</v>
      </c>
      <c r="G508" s="63">
        <v>532.99999999999989</v>
      </c>
      <c r="H508" s="63">
        <v>824.58333333333337</v>
      </c>
      <c r="I508" s="63">
        <v>1050.0833333333333</v>
      </c>
      <c r="J508" s="63">
        <v>1121.9074698795182</v>
      </c>
      <c r="K508" s="63">
        <f>AVERAGE(I508:J508)</f>
        <v>1085.9954016064257</v>
      </c>
      <c r="L508" s="64" t="str">
        <f>"2156 Muffin, WG, Choc Choc Chip, IW"</f>
        <v>2156 Muffin, WG, Choc Choc Chip, IW</v>
      </c>
      <c r="M508" s="65" t="str">
        <f>"96/2 oz"</f>
        <v>96/2 oz</v>
      </c>
      <c r="N508" s="66">
        <v>96</v>
      </c>
      <c r="O508" s="67">
        <v>4.5999999999999999E-3</v>
      </c>
      <c r="P508" s="68">
        <f>1/O508</f>
        <v>217.39130434782609</v>
      </c>
      <c r="Q508" s="53">
        <v>4.5999999999999999E-3</v>
      </c>
      <c r="R508" s="69">
        <f t="shared" ref="R508" si="355">1/Q508</f>
        <v>217.39130434782609</v>
      </c>
      <c r="S508" s="70">
        <f t="shared" ref="S508" si="356">R508*N508</f>
        <v>20869.565217391304</v>
      </c>
    </row>
    <row r="509" spans="1:19" ht="15.6" customHeight="1" thickBot="1" x14ac:dyDescent="0.3">
      <c r="A509" t="s">
        <v>23</v>
      </c>
      <c r="B509" s="60" t="str">
        <f t="shared" si="354"/>
        <v/>
      </c>
      <c r="D509" s="48" t="str">
        <f>D508</f>
        <v>02993</v>
      </c>
      <c r="E509" s="7"/>
      <c r="F509" s="27">
        <v>-102.35250000000001</v>
      </c>
      <c r="G509" s="27">
        <v>-118.83583333333333</v>
      </c>
      <c r="H509" s="27">
        <v>-227.41666666666666</v>
      </c>
      <c r="I509" s="27">
        <v>-578.33333333333337</v>
      </c>
      <c r="J509" s="27">
        <v>-329.9166265060241</v>
      </c>
      <c r="K509" s="63">
        <f>AVERAGE(I509:J509)</f>
        <v>-454.12497991967871</v>
      </c>
      <c r="L509" s="56" t="str">
        <f>"EQP-LAWPACK1"</f>
        <v>EQP-LAWPACK1</v>
      </c>
      <c r="M509" s="14"/>
      <c r="N509" s="15"/>
      <c r="O509" s="12"/>
      <c r="P509" s="34"/>
      <c r="Q509" s="37"/>
      <c r="R509" s="47"/>
      <c r="S509" s="46"/>
    </row>
    <row r="510" spans="1:19" ht="15.6" hidden="1" customHeight="1" thickBot="1" x14ac:dyDescent="0.3">
      <c r="A510" t="s">
        <v>23</v>
      </c>
      <c r="B510" s="60" t="str">
        <f t="shared" ref="B510:B512" si="357">IF(K510=0,"hide","")</f>
        <v>hide</v>
      </c>
      <c r="D510" s="48" t="str">
        <f>D509</f>
        <v>02993</v>
      </c>
      <c r="E510" s="7"/>
      <c r="F510" s="27">
        <v>0</v>
      </c>
      <c r="G510" s="27">
        <v>0</v>
      </c>
      <c r="H510" s="27">
        <v>0</v>
      </c>
      <c r="I510" s="27">
        <v>0</v>
      </c>
      <c r="J510" s="27">
        <v>0</v>
      </c>
      <c r="K510" s="63">
        <f>AVERAGE(I510:J510)</f>
        <v>0</v>
      </c>
      <c r="L510" s="56" t="str">
        <f>"EQP-LAWPACK2"</f>
        <v>EQP-LAWPACK2</v>
      </c>
      <c r="M510" s="14"/>
      <c r="N510" s="15"/>
      <c r="O510" s="12"/>
      <c r="P510" s="34"/>
      <c r="Q510" s="37"/>
      <c r="R510" s="47"/>
      <c r="S510" s="46"/>
    </row>
    <row r="511" spans="1:19" ht="15.6" hidden="1" customHeight="1" thickBot="1" x14ac:dyDescent="0.3">
      <c r="A511" t="s">
        <v>23</v>
      </c>
      <c r="B511" s="60" t="str">
        <f t="shared" si="357"/>
        <v>hide</v>
      </c>
      <c r="D511" s="48" t="str">
        <f>D510</f>
        <v>02993</v>
      </c>
      <c r="E511" s="7"/>
      <c r="F511" s="27">
        <v>0</v>
      </c>
      <c r="G511" s="27">
        <v>0</v>
      </c>
      <c r="H511" s="27">
        <v>0</v>
      </c>
      <c r="I511" s="27">
        <v>0</v>
      </c>
      <c r="J511" s="27">
        <v>0</v>
      </c>
      <c r="K511" s="63">
        <f>AVERAGE(I511:J511)</f>
        <v>0</v>
      </c>
      <c r="L511" s="56" t="str">
        <f>"SW-COMAS-PACKL"</f>
        <v>SW-COMAS-PACKL</v>
      </c>
      <c r="M511" s="14"/>
      <c r="N511" s="15"/>
      <c r="O511" s="12"/>
      <c r="P511" s="34"/>
      <c r="Q511" s="37"/>
      <c r="R511" s="47"/>
      <c r="S511" s="46"/>
    </row>
    <row r="512" spans="1:19" ht="15.6" hidden="1" customHeight="1" thickBot="1" x14ac:dyDescent="0.3">
      <c r="A512" t="s">
        <v>23</v>
      </c>
      <c r="B512" s="60" t="str">
        <f t="shared" si="357"/>
        <v>hide</v>
      </c>
      <c r="D512" s="48" t="str">
        <f>D511</f>
        <v>02993</v>
      </c>
      <c r="E512" s="7"/>
      <c r="F512" s="27">
        <v>0</v>
      </c>
      <c r="G512" s="27">
        <v>0</v>
      </c>
      <c r="H512" s="27">
        <v>0</v>
      </c>
      <c r="I512" s="27">
        <v>0</v>
      </c>
      <c r="J512" s="27">
        <v>0</v>
      </c>
      <c r="K512" s="63">
        <f>AVERAGE(I512:J512)</f>
        <v>0</v>
      </c>
      <c r="L512" s="56" t="str">
        <f>"SW-RISER-PACK"</f>
        <v>SW-RISER-PACK</v>
      </c>
      <c r="M512" s="14"/>
      <c r="N512" s="15"/>
      <c r="O512" s="12"/>
      <c r="P512" s="34"/>
      <c r="Q512" s="37"/>
      <c r="R512" s="47"/>
      <c r="S512" s="46"/>
    </row>
    <row r="513" spans="1:19" ht="12" hidden="1" customHeight="1" x14ac:dyDescent="0.25">
      <c r="A513" s="35" t="s">
        <v>908</v>
      </c>
      <c r="B513" s="49" t="str">
        <f>B509</f>
        <v/>
      </c>
      <c r="N513"/>
      <c r="Q513" s="33"/>
    </row>
    <row r="514" spans="1:19" ht="13.8" thickBot="1" x14ac:dyDescent="0.3">
      <c r="A514" t="s">
        <v>23</v>
      </c>
      <c r="B514" s="49" t="str">
        <f t="shared" ref="B514" si="358">B513</f>
        <v/>
      </c>
      <c r="D514" s="58"/>
      <c r="E514" s="58"/>
      <c r="F514" s="52">
        <f>SUM(F509:F513)</f>
        <v>-102.35250000000001</v>
      </c>
      <c r="G514" s="52">
        <f>SUM(G509:G513)</f>
        <v>-118.83583333333333</v>
      </c>
      <c r="H514" s="52">
        <f>SUM(H509:H513)</f>
        <v>-227.41666666666666</v>
      </c>
      <c r="I514" s="52">
        <f>SUM(I509:I513)</f>
        <v>-578.33333333333337</v>
      </c>
      <c r="J514" s="52">
        <f>SUM(J509:J513)</f>
        <v>-329.9166265060241</v>
      </c>
      <c r="K514" s="52"/>
      <c r="L514" s="51" t="s">
        <v>4</v>
      </c>
      <c r="M514" s="58"/>
      <c r="N514" s="58"/>
      <c r="O514" s="58"/>
      <c r="P514" s="58"/>
      <c r="Q514" s="58"/>
      <c r="R514" s="58"/>
      <c r="S514" s="58"/>
    </row>
    <row r="515" spans="1:19" s="59" customFormat="1" ht="18.75" hidden="1" customHeight="1" thickBot="1" x14ac:dyDescent="0.3">
      <c r="A515" s="59" t="s">
        <v>23</v>
      </c>
      <c r="B515" s="60" t="str">
        <f t="shared" ref="B515:B516" si="359">IF(K515=0,"hide","")</f>
        <v>hide</v>
      </c>
      <c r="D515" s="61" t="str">
        <f>"02998"</f>
        <v>02998</v>
      </c>
      <c r="E515" s="62" t="str">
        <f>"4"</f>
        <v>4</v>
      </c>
      <c r="F515" s="63">
        <v>40</v>
      </c>
      <c r="G515" s="63">
        <v>0</v>
      </c>
      <c r="H515" s="63">
        <v>0</v>
      </c>
      <c r="I515" s="63">
        <v>0</v>
      </c>
      <c r="J515" s="63">
        <v>0</v>
      </c>
      <c r="K515" s="63">
        <f>AVERAGE(I515:J515)</f>
        <v>0</v>
      </c>
      <c r="L515" s="64" t="str">
        <f>"1298 Muffin, WG, Swt Potato, IW"</f>
        <v>1298 Muffin, WG, Swt Potato, IW</v>
      </c>
      <c r="M515" s="65" t="str">
        <f>"96/2 oz"</f>
        <v>96/2 oz</v>
      </c>
      <c r="N515" s="66">
        <v>96</v>
      </c>
      <c r="O515" s="67">
        <v>4.5999999999999999E-3</v>
      </c>
      <c r="P515" s="68">
        <f>1/O515</f>
        <v>217.39130434782609</v>
      </c>
      <c r="Q515" s="53">
        <v>4.5999999999999999E-3</v>
      </c>
      <c r="R515" s="69">
        <f t="shared" ref="R515" si="360">1/Q515</f>
        <v>217.39130434782609</v>
      </c>
      <c r="S515" s="70">
        <f t="shared" ref="S515" si="361">R515*N515</f>
        <v>20869.565217391304</v>
      </c>
    </row>
    <row r="516" spans="1:19" ht="15.6" hidden="1" customHeight="1" thickBot="1" x14ac:dyDescent="0.3">
      <c r="A516" t="s">
        <v>23</v>
      </c>
      <c r="B516" s="60" t="str">
        <f t="shared" si="359"/>
        <v>hide</v>
      </c>
      <c r="D516" s="48" t="str">
        <f>D515</f>
        <v>02998</v>
      </c>
      <c r="E516" s="7"/>
      <c r="F516" s="27">
        <v>0</v>
      </c>
      <c r="G516" s="27">
        <v>0</v>
      </c>
      <c r="H516" s="27">
        <v>0</v>
      </c>
      <c r="I516" s="27">
        <v>0</v>
      </c>
      <c r="J516" s="27">
        <v>0</v>
      </c>
      <c r="K516" s="63">
        <f>AVERAGE(I516:J516)</f>
        <v>0</v>
      </c>
      <c r="L516" s="56" t="str">
        <f>"EQP-LAWPACK1"</f>
        <v>EQP-LAWPACK1</v>
      </c>
      <c r="M516" s="14"/>
      <c r="N516" s="15"/>
      <c r="O516" s="12"/>
      <c r="P516" s="34"/>
      <c r="Q516" s="37"/>
      <c r="R516" s="47"/>
      <c r="S516" s="46"/>
    </row>
    <row r="517" spans="1:19" ht="15.6" hidden="1" customHeight="1" thickBot="1" x14ac:dyDescent="0.3">
      <c r="A517" t="s">
        <v>23</v>
      </c>
      <c r="B517" s="60" t="str">
        <f t="shared" ref="B517:B519" si="362">IF(K517=0,"hide","")</f>
        <v>hide</v>
      </c>
      <c r="D517" s="48" t="str">
        <f>D516</f>
        <v>02998</v>
      </c>
      <c r="E517" s="7"/>
      <c r="F517" s="27">
        <v>0</v>
      </c>
      <c r="G517" s="27">
        <v>0</v>
      </c>
      <c r="H517" s="27">
        <v>0</v>
      </c>
      <c r="I517" s="27">
        <v>0</v>
      </c>
      <c r="J517" s="27">
        <v>0</v>
      </c>
      <c r="K517" s="63">
        <f>AVERAGE(I517:J517)</f>
        <v>0</v>
      </c>
      <c r="L517" s="56" t="str">
        <f>"EQP-LAWPACK2"</f>
        <v>EQP-LAWPACK2</v>
      </c>
      <c r="M517" s="14"/>
      <c r="N517" s="15"/>
      <c r="O517" s="12"/>
      <c r="P517" s="34"/>
      <c r="Q517" s="37"/>
      <c r="R517" s="47"/>
      <c r="S517" s="46"/>
    </row>
    <row r="518" spans="1:19" ht="15.6" hidden="1" customHeight="1" thickBot="1" x14ac:dyDescent="0.3">
      <c r="A518" t="s">
        <v>23</v>
      </c>
      <c r="B518" s="60" t="str">
        <f t="shared" si="362"/>
        <v>hide</v>
      </c>
      <c r="D518" s="48" t="str">
        <f>D517</f>
        <v>02998</v>
      </c>
      <c r="E518" s="7"/>
      <c r="F518" s="27">
        <v>0</v>
      </c>
      <c r="G518" s="27">
        <v>0</v>
      </c>
      <c r="H518" s="27">
        <v>0</v>
      </c>
      <c r="I518" s="27">
        <v>0</v>
      </c>
      <c r="J518" s="27">
        <v>0</v>
      </c>
      <c r="K518" s="63">
        <f>AVERAGE(I518:J518)</f>
        <v>0</v>
      </c>
      <c r="L518" s="56" t="str">
        <f>"SW-COMAS-PACKL"</f>
        <v>SW-COMAS-PACKL</v>
      </c>
      <c r="M518" s="14"/>
      <c r="N518" s="15"/>
      <c r="O518" s="12"/>
      <c r="P518" s="34"/>
      <c r="Q518" s="37"/>
      <c r="R518" s="47"/>
      <c r="S518" s="46"/>
    </row>
    <row r="519" spans="1:19" ht="15.6" hidden="1" customHeight="1" thickBot="1" x14ac:dyDescent="0.3">
      <c r="A519" t="s">
        <v>23</v>
      </c>
      <c r="B519" s="60" t="str">
        <f t="shared" si="362"/>
        <v>hide</v>
      </c>
      <c r="D519" s="48" t="str">
        <f>D518</f>
        <v>02998</v>
      </c>
      <c r="E519" s="7"/>
      <c r="F519" s="27">
        <v>0</v>
      </c>
      <c r="G519" s="27">
        <v>0</v>
      </c>
      <c r="H519" s="27">
        <v>0</v>
      </c>
      <c r="I519" s="27">
        <v>0</v>
      </c>
      <c r="J519" s="27">
        <v>0</v>
      </c>
      <c r="K519" s="63">
        <f>AVERAGE(I519:J519)</f>
        <v>0</v>
      </c>
      <c r="L519" s="56" t="str">
        <f>"SW-RISER-PACK"</f>
        <v>SW-RISER-PACK</v>
      </c>
      <c r="M519" s="14"/>
      <c r="N519" s="15"/>
      <c r="O519" s="12"/>
      <c r="P519" s="34"/>
      <c r="Q519" s="37"/>
      <c r="R519" s="47"/>
      <c r="S519" s="46"/>
    </row>
    <row r="520" spans="1:19" ht="12" hidden="1" customHeight="1" x14ac:dyDescent="0.3">
      <c r="A520" s="35" t="s">
        <v>908</v>
      </c>
      <c r="B520" s="49" t="str">
        <f>B516</f>
        <v>hide</v>
      </c>
      <c r="N520"/>
      <c r="Q520" s="33"/>
    </row>
    <row r="521" spans="1:19" ht="13.8" hidden="1" thickBot="1" x14ac:dyDescent="0.3">
      <c r="A521" t="s">
        <v>23</v>
      </c>
      <c r="B521" s="49" t="str">
        <f t="shared" ref="B521" si="363">B520</f>
        <v>hide</v>
      </c>
      <c r="D521" s="58"/>
      <c r="E521" s="58"/>
      <c r="F521" s="52">
        <f>SUM(F516:F520)</f>
        <v>0</v>
      </c>
      <c r="G521" s="52">
        <f>SUM(G516:G520)</f>
        <v>0</v>
      </c>
      <c r="H521" s="52">
        <f>SUM(H516:H520)</f>
        <v>0</v>
      </c>
      <c r="I521" s="52">
        <f>SUM(I516:I520)</f>
        <v>0</v>
      </c>
      <c r="J521" s="52">
        <f>SUM(J516:J520)</f>
        <v>0</v>
      </c>
      <c r="K521" s="52"/>
      <c r="L521" s="51" t="s">
        <v>4</v>
      </c>
      <c r="M521" s="58"/>
      <c r="N521" s="58"/>
      <c r="O521" s="58"/>
      <c r="P521" s="58"/>
      <c r="Q521" s="58"/>
      <c r="R521" s="58"/>
      <c r="S521" s="58"/>
    </row>
    <row r="522" spans="1:19" s="59" customFormat="1" ht="18.75" customHeight="1" thickBot="1" x14ac:dyDescent="0.3">
      <c r="A522" s="59" t="s">
        <v>23</v>
      </c>
      <c r="B522" s="60" t="str">
        <f t="shared" ref="B522:B523" si="364">IF(K522=0,"hide","")</f>
        <v/>
      </c>
      <c r="D522" s="61" t="str">
        <f>"03499"</f>
        <v>03499</v>
      </c>
      <c r="E522" s="62" t="str">
        <f>"3"</f>
        <v>3</v>
      </c>
      <c r="F522" s="63">
        <v>0</v>
      </c>
      <c r="G522" s="63">
        <v>0</v>
      </c>
      <c r="H522" s="63">
        <v>0</v>
      </c>
      <c r="I522" s="63">
        <v>0</v>
      </c>
      <c r="J522" s="63">
        <v>14.184096385542169</v>
      </c>
      <c r="K522" s="63">
        <f>AVERAGE(I522:J522)</f>
        <v>7.0920481927710846</v>
      </c>
      <c r="L522" s="64" t="str">
        <f>"RICH's Chocolate Cupcake NatArt Flavored"</f>
        <v>RICH's Chocolate Cupcake NatArt Flavored</v>
      </c>
      <c r="M522" s="65" t="str">
        <f>"144-1.15 oz. 4 trays of 36"</f>
        <v>144-1.15 oz. 4 trays of 36</v>
      </c>
      <c r="N522" s="66">
        <v>144</v>
      </c>
      <c r="O522" s="67" t="str">
        <f>""</f>
        <v/>
      </c>
      <c r="P522" s="68" t="e">
        <f>1/O522</f>
        <v>#VALUE!</v>
      </c>
      <c r="Q522" s="53">
        <v>1</v>
      </c>
      <c r="R522" s="69">
        <f t="shared" ref="R522" si="365">1/Q522</f>
        <v>1</v>
      </c>
      <c r="S522" s="70">
        <f t="shared" ref="S522" si="366">R522*N522</f>
        <v>144</v>
      </c>
    </row>
    <row r="523" spans="1:19" ht="15.6" hidden="1" customHeight="1" thickBot="1" x14ac:dyDescent="0.3">
      <c r="A523" t="s">
        <v>23</v>
      </c>
      <c r="B523" s="60" t="str">
        <f t="shared" si="364"/>
        <v>hide</v>
      </c>
      <c r="D523" s="48" t="str">
        <f>D522</f>
        <v>03499</v>
      </c>
      <c r="E523" s="7"/>
      <c r="F523" s="27">
        <v>0</v>
      </c>
      <c r="G523" s="27">
        <v>0</v>
      </c>
      <c r="H523" s="27">
        <v>0</v>
      </c>
      <c r="I523" s="27">
        <v>0</v>
      </c>
      <c r="J523" s="27">
        <v>0</v>
      </c>
      <c r="K523" s="63">
        <f>AVERAGE(I523:J523)</f>
        <v>0</v>
      </c>
      <c r="L523" s="56" t="str">
        <f>"EQP-LAWPACK1"</f>
        <v>EQP-LAWPACK1</v>
      </c>
      <c r="M523" s="14"/>
      <c r="N523" s="15"/>
      <c r="O523" s="12"/>
      <c r="P523" s="34"/>
      <c r="Q523" s="37"/>
      <c r="R523" s="47"/>
      <c r="S523" s="46"/>
    </row>
    <row r="524" spans="1:19" ht="15.6" customHeight="1" thickBot="1" x14ac:dyDescent="0.3">
      <c r="A524" t="s">
        <v>23</v>
      </c>
      <c r="B524" s="60" t="str">
        <f t="shared" ref="B524:B526" si="367">IF(K524=0,"hide","")</f>
        <v/>
      </c>
      <c r="D524" s="48" t="str">
        <f>D523</f>
        <v>03499</v>
      </c>
      <c r="E524" s="7"/>
      <c r="F524" s="27">
        <v>0</v>
      </c>
      <c r="G524" s="27">
        <v>0</v>
      </c>
      <c r="H524" s="27">
        <v>0</v>
      </c>
      <c r="I524" s="27">
        <v>0</v>
      </c>
      <c r="J524" s="27">
        <v>-27.277108433734941</v>
      </c>
      <c r="K524" s="63">
        <f>AVERAGE(I524:J524)</f>
        <v>-13.638554216867471</v>
      </c>
      <c r="L524" s="56" t="str">
        <f>"EQP-LAWPACK2"</f>
        <v>EQP-LAWPACK2</v>
      </c>
      <c r="M524" s="14"/>
      <c r="N524" s="15"/>
      <c r="O524" s="12"/>
      <c r="P524" s="34"/>
      <c r="Q524" s="37"/>
      <c r="R524" s="47"/>
      <c r="S524" s="46"/>
    </row>
    <row r="525" spans="1:19" ht="15.6" hidden="1" customHeight="1" thickBot="1" x14ac:dyDescent="0.3">
      <c r="A525" t="s">
        <v>23</v>
      </c>
      <c r="B525" s="60" t="str">
        <f t="shared" si="367"/>
        <v>hide</v>
      </c>
      <c r="D525" s="48" t="str">
        <f>D524</f>
        <v>03499</v>
      </c>
      <c r="E525" s="7"/>
      <c r="F525" s="27">
        <v>0</v>
      </c>
      <c r="G525" s="27">
        <v>0</v>
      </c>
      <c r="H525" s="27">
        <v>0</v>
      </c>
      <c r="I525" s="27">
        <v>0</v>
      </c>
      <c r="J525" s="27">
        <v>0</v>
      </c>
      <c r="K525" s="63">
        <f>AVERAGE(I525:J525)</f>
        <v>0</v>
      </c>
      <c r="L525" s="56" t="str">
        <f>"SW-COMAS-PACKL"</f>
        <v>SW-COMAS-PACKL</v>
      </c>
      <c r="M525" s="14"/>
      <c r="N525" s="15"/>
      <c r="O525" s="12"/>
      <c r="P525" s="34"/>
      <c r="Q525" s="37"/>
      <c r="R525" s="47"/>
      <c r="S525" s="46"/>
    </row>
    <row r="526" spans="1:19" ht="15.6" hidden="1" customHeight="1" thickBot="1" x14ac:dyDescent="0.3">
      <c r="A526" t="s">
        <v>23</v>
      </c>
      <c r="B526" s="60" t="str">
        <f t="shared" si="367"/>
        <v>hide</v>
      </c>
      <c r="D526" s="48" t="str">
        <f>D525</f>
        <v>03499</v>
      </c>
      <c r="E526" s="7"/>
      <c r="F526" s="27">
        <v>0</v>
      </c>
      <c r="G526" s="27">
        <v>0</v>
      </c>
      <c r="H526" s="27">
        <v>0</v>
      </c>
      <c r="I526" s="27">
        <v>0</v>
      </c>
      <c r="J526" s="27">
        <v>0</v>
      </c>
      <c r="K526" s="63">
        <f>AVERAGE(I526:J526)</f>
        <v>0</v>
      </c>
      <c r="L526" s="56" t="str">
        <f>"SW-RISER-PACK"</f>
        <v>SW-RISER-PACK</v>
      </c>
      <c r="M526" s="14"/>
      <c r="N526" s="15"/>
      <c r="O526" s="12"/>
      <c r="P526" s="34"/>
      <c r="Q526" s="37"/>
      <c r="R526" s="47"/>
      <c r="S526" s="46"/>
    </row>
    <row r="527" spans="1:19" ht="12" hidden="1" customHeight="1" x14ac:dyDescent="0.3">
      <c r="A527" s="35" t="s">
        <v>908</v>
      </c>
      <c r="B527" s="49" t="str">
        <f>B523</f>
        <v>hide</v>
      </c>
      <c r="N527"/>
      <c r="Q527" s="33"/>
    </row>
    <row r="528" spans="1:19" ht="13.8" hidden="1" thickBot="1" x14ac:dyDescent="0.3">
      <c r="A528" t="s">
        <v>23</v>
      </c>
      <c r="B528" s="49" t="str">
        <f t="shared" ref="B528" si="368">B527</f>
        <v>hide</v>
      </c>
      <c r="D528" s="58"/>
      <c r="E528" s="58"/>
      <c r="F528" s="52">
        <f>SUM(F523:F527)</f>
        <v>0</v>
      </c>
      <c r="G528" s="52">
        <f>SUM(G523:G527)</f>
        <v>0</v>
      </c>
      <c r="H528" s="52">
        <f>SUM(H523:H527)</f>
        <v>0</v>
      </c>
      <c r="I528" s="52">
        <f>SUM(I523:I527)</f>
        <v>0</v>
      </c>
      <c r="J528" s="52">
        <f>SUM(J523:J527)</f>
        <v>-27.277108433734941</v>
      </c>
      <c r="K528" s="52"/>
      <c r="L528" s="51" t="s">
        <v>4</v>
      </c>
      <c r="M528" s="58"/>
      <c r="N528" s="58"/>
      <c r="O528" s="58"/>
      <c r="P528" s="58"/>
      <c r="Q528" s="58"/>
      <c r="R528" s="58"/>
      <c r="S528" s="58"/>
    </row>
    <row r="529" spans="1:19" s="59" customFormat="1" ht="18.75" hidden="1" customHeight="1" thickBot="1" x14ac:dyDescent="0.3">
      <c r="A529" s="59" t="s">
        <v>23</v>
      </c>
      <c r="B529" s="60" t="str">
        <f t="shared" ref="B529:B530" si="369">IF(K529=0,"hide","")</f>
        <v>hide</v>
      </c>
      <c r="D529" s="61" t="str">
        <f>"03501"</f>
        <v>03501</v>
      </c>
      <c r="E529" s="62" t="str">
        <f>"8"</f>
        <v>8</v>
      </c>
      <c r="F529" s="63">
        <v>99.166666666666671</v>
      </c>
      <c r="G529" s="63">
        <v>0</v>
      </c>
      <c r="H529" s="63">
        <v>0</v>
      </c>
      <c r="I529" s="63">
        <v>0</v>
      </c>
      <c r="J529" s="63">
        <v>0</v>
      </c>
      <c r="K529" s="63">
        <f>AVERAGE(I529:J529)</f>
        <v>0</v>
      </c>
      <c r="L529" s="64" t="str">
        <f>"BLUEBERRY MUFFINS"</f>
        <v>BLUEBERRY MUFFINS</v>
      </c>
      <c r="M529" s="65" t="str">
        <f>"192-2 oz. I.W."</f>
        <v>192-2 oz. I.W.</v>
      </c>
      <c r="N529" s="66">
        <v>192</v>
      </c>
      <c r="O529" s="67" t="str">
        <f>""</f>
        <v/>
      </c>
      <c r="P529" s="68" t="e">
        <f>1/O529</f>
        <v>#VALUE!</v>
      </c>
      <c r="Q529" s="53">
        <v>1</v>
      </c>
      <c r="R529" s="69">
        <f t="shared" ref="R529" si="370">1/Q529</f>
        <v>1</v>
      </c>
      <c r="S529" s="70">
        <f t="shared" ref="S529" si="371">R529*N529</f>
        <v>192</v>
      </c>
    </row>
    <row r="530" spans="1:19" ht="15.6" hidden="1" customHeight="1" thickBot="1" x14ac:dyDescent="0.3">
      <c r="A530" t="s">
        <v>23</v>
      </c>
      <c r="B530" s="60" t="str">
        <f t="shared" si="369"/>
        <v>hide</v>
      </c>
      <c r="D530" s="48" t="str">
        <f>D529</f>
        <v>03501</v>
      </c>
      <c r="E530" s="7"/>
      <c r="F530" s="27">
        <v>0</v>
      </c>
      <c r="G530" s="27">
        <v>0</v>
      </c>
      <c r="H530" s="27">
        <v>0</v>
      </c>
      <c r="I530" s="27">
        <v>0</v>
      </c>
      <c r="J530" s="27">
        <v>0</v>
      </c>
      <c r="K530" s="63">
        <f>AVERAGE(I530:J530)</f>
        <v>0</v>
      </c>
      <c r="L530" s="56" t="str">
        <f>"EQP-LAWPACK1"</f>
        <v>EQP-LAWPACK1</v>
      </c>
      <c r="M530" s="14"/>
      <c r="N530" s="15"/>
      <c r="O530" s="12"/>
      <c r="P530" s="34"/>
      <c r="Q530" s="37"/>
      <c r="R530" s="47"/>
      <c r="S530" s="46"/>
    </row>
    <row r="531" spans="1:19" ht="15.6" hidden="1" customHeight="1" thickBot="1" x14ac:dyDescent="0.3">
      <c r="A531" t="s">
        <v>23</v>
      </c>
      <c r="B531" s="60" t="str">
        <f t="shared" ref="B531:B533" si="372">IF(K531=0,"hide","")</f>
        <v>hide</v>
      </c>
      <c r="D531" s="48" t="str">
        <f>D530</f>
        <v>03501</v>
      </c>
      <c r="E531" s="7"/>
      <c r="F531" s="27">
        <v>0</v>
      </c>
      <c r="G531" s="27">
        <v>0</v>
      </c>
      <c r="H531" s="27">
        <v>0</v>
      </c>
      <c r="I531" s="27">
        <v>0</v>
      </c>
      <c r="J531" s="27">
        <v>0</v>
      </c>
      <c r="K531" s="63">
        <f>AVERAGE(I531:J531)</f>
        <v>0</v>
      </c>
      <c r="L531" s="56" t="str">
        <f>"EQP-LAWPACK2"</f>
        <v>EQP-LAWPACK2</v>
      </c>
      <c r="M531" s="14"/>
      <c r="N531" s="15"/>
      <c r="O531" s="12"/>
      <c r="P531" s="34"/>
      <c r="Q531" s="37"/>
      <c r="R531" s="47"/>
      <c r="S531" s="46"/>
    </row>
    <row r="532" spans="1:19" ht="15.6" hidden="1" customHeight="1" thickBot="1" x14ac:dyDescent="0.3">
      <c r="A532" t="s">
        <v>23</v>
      </c>
      <c r="B532" s="60" t="str">
        <f t="shared" si="372"/>
        <v>hide</v>
      </c>
      <c r="D532" s="48" t="str">
        <f>D531</f>
        <v>03501</v>
      </c>
      <c r="E532" s="7"/>
      <c r="F532" s="27">
        <v>0</v>
      </c>
      <c r="G532" s="27">
        <v>0</v>
      </c>
      <c r="H532" s="27">
        <v>0</v>
      </c>
      <c r="I532" s="27">
        <v>0</v>
      </c>
      <c r="J532" s="27">
        <v>0</v>
      </c>
      <c r="K532" s="63">
        <f>AVERAGE(I532:J532)</f>
        <v>0</v>
      </c>
      <c r="L532" s="56" t="str">
        <f>"SW-COMAS-PACKL"</f>
        <v>SW-COMAS-PACKL</v>
      </c>
      <c r="M532" s="14"/>
      <c r="N532" s="15"/>
      <c r="O532" s="12"/>
      <c r="P532" s="34"/>
      <c r="Q532" s="37"/>
      <c r="R532" s="47"/>
      <c r="S532" s="46"/>
    </row>
    <row r="533" spans="1:19" ht="15.6" hidden="1" customHeight="1" thickBot="1" x14ac:dyDescent="0.3">
      <c r="A533" t="s">
        <v>23</v>
      </c>
      <c r="B533" s="60" t="str">
        <f t="shared" si="372"/>
        <v>hide</v>
      </c>
      <c r="D533" s="48" t="str">
        <f>D532</f>
        <v>03501</v>
      </c>
      <c r="E533" s="7"/>
      <c r="F533" s="27">
        <v>0</v>
      </c>
      <c r="G533" s="27">
        <v>0</v>
      </c>
      <c r="H533" s="27">
        <v>0</v>
      </c>
      <c r="I533" s="27">
        <v>0</v>
      </c>
      <c r="J533" s="27">
        <v>0</v>
      </c>
      <c r="K533" s="63">
        <f>AVERAGE(I533:J533)</f>
        <v>0</v>
      </c>
      <c r="L533" s="56" t="str">
        <f>"SW-RISER-PACK"</f>
        <v>SW-RISER-PACK</v>
      </c>
      <c r="M533" s="14"/>
      <c r="N533" s="15"/>
      <c r="O533" s="12"/>
      <c r="P533" s="34"/>
      <c r="Q533" s="37"/>
      <c r="R533" s="47"/>
      <c r="S533" s="46"/>
    </row>
    <row r="534" spans="1:19" ht="12" hidden="1" customHeight="1" x14ac:dyDescent="0.3">
      <c r="A534" s="35" t="s">
        <v>908</v>
      </c>
      <c r="B534" s="49" t="str">
        <f>B530</f>
        <v>hide</v>
      </c>
      <c r="N534"/>
      <c r="Q534" s="33"/>
    </row>
    <row r="535" spans="1:19" ht="13.8" hidden="1" thickBot="1" x14ac:dyDescent="0.3">
      <c r="A535" t="s">
        <v>23</v>
      </c>
      <c r="B535" s="49" t="str">
        <f t="shared" ref="B535" si="373">B534</f>
        <v>hide</v>
      </c>
      <c r="D535" s="58"/>
      <c r="E535" s="58"/>
      <c r="F535" s="52">
        <f>SUM(F530:F534)</f>
        <v>0</v>
      </c>
      <c r="G535" s="52">
        <f>SUM(G530:G534)</f>
        <v>0</v>
      </c>
      <c r="H535" s="52">
        <f>SUM(H530:H534)</f>
        <v>0</v>
      </c>
      <c r="I535" s="52">
        <f>SUM(I530:I534)</f>
        <v>0</v>
      </c>
      <c r="J535" s="52">
        <f>SUM(J530:J534)</f>
        <v>0</v>
      </c>
      <c r="K535" s="52"/>
      <c r="L535" s="51" t="s">
        <v>4</v>
      </c>
      <c r="M535" s="58"/>
      <c r="N535" s="58"/>
      <c r="O535" s="58"/>
      <c r="P535" s="58"/>
      <c r="Q535" s="58"/>
      <c r="R535" s="58"/>
      <c r="S535" s="58"/>
    </row>
    <row r="536" spans="1:19" s="59" customFormat="1" ht="18.75" hidden="1" customHeight="1" thickBot="1" x14ac:dyDescent="0.3">
      <c r="A536" s="59" t="s">
        <v>23</v>
      </c>
      <c r="B536" s="60" t="str">
        <f t="shared" ref="B536:B537" si="374">IF(K536=0,"hide","")</f>
        <v>hide</v>
      </c>
      <c r="D536" s="61" t="str">
        <f>"03503"</f>
        <v>03503</v>
      </c>
      <c r="E536" s="62" t="str">
        <f>"5"</f>
        <v>5</v>
      </c>
      <c r="F536" s="63">
        <v>0</v>
      </c>
      <c r="G536" s="63">
        <v>0</v>
      </c>
      <c r="H536" s="63">
        <v>0</v>
      </c>
      <c r="I536" s="63">
        <v>0</v>
      </c>
      <c r="J536" s="63">
        <v>0</v>
      </c>
      <c r="K536" s="63">
        <f>AVERAGE(I536:J536)</f>
        <v>0</v>
      </c>
      <c r="L536" s="64" t="str">
        <f>"CRANBERRY ORANGE MUFFINS"</f>
        <v>CRANBERRY ORANGE MUFFINS</v>
      </c>
      <c r="M536" s="65" t="str">
        <f>"192-2 oz. I.W."</f>
        <v>192-2 oz. I.W.</v>
      </c>
      <c r="N536" s="66">
        <v>192</v>
      </c>
      <c r="O536" s="67" t="str">
        <f>""</f>
        <v/>
      </c>
      <c r="P536" s="68" t="e">
        <f>1/O536</f>
        <v>#VALUE!</v>
      </c>
      <c r="Q536" s="53">
        <v>1</v>
      </c>
      <c r="R536" s="69">
        <f t="shared" ref="R536" si="375">1/Q536</f>
        <v>1</v>
      </c>
      <c r="S536" s="70">
        <f t="shared" ref="S536" si="376">R536*N536</f>
        <v>192</v>
      </c>
    </row>
    <row r="537" spans="1:19" ht="15.6" hidden="1" customHeight="1" thickBot="1" x14ac:dyDescent="0.3">
      <c r="A537" t="s">
        <v>23</v>
      </c>
      <c r="B537" s="60" t="str">
        <f t="shared" si="374"/>
        <v>hide</v>
      </c>
      <c r="D537" s="48" t="str">
        <f>D536</f>
        <v>03503</v>
      </c>
      <c r="E537" s="7"/>
      <c r="F537" s="27">
        <v>0</v>
      </c>
      <c r="G537" s="27">
        <v>0</v>
      </c>
      <c r="H537" s="27">
        <v>0</v>
      </c>
      <c r="I537" s="27">
        <v>0</v>
      </c>
      <c r="J537" s="27">
        <v>0</v>
      </c>
      <c r="K537" s="63">
        <f>AVERAGE(I537:J537)</f>
        <v>0</v>
      </c>
      <c r="L537" s="56" t="str">
        <f>"EQP-LAWPACK1"</f>
        <v>EQP-LAWPACK1</v>
      </c>
      <c r="M537" s="14"/>
      <c r="N537" s="15"/>
      <c r="O537" s="12"/>
      <c r="P537" s="34"/>
      <c r="Q537" s="37"/>
      <c r="R537" s="47"/>
      <c r="S537" s="46"/>
    </row>
    <row r="538" spans="1:19" ht="15.6" hidden="1" customHeight="1" thickBot="1" x14ac:dyDescent="0.3">
      <c r="A538" t="s">
        <v>23</v>
      </c>
      <c r="B538" s="60" t="str">
        <f t="shared" ref="B538:B540" si="377">IF(K538=0,"hide","")</f>
        <v>hide</v>
      </c>
      <c r="D538" s="48" t="str">
        <f>D537</f>
        <v>03503</v>
      </c>
      <c r="E538" s="7"/>
      <c r="F538" s="27">
        <v>0</v>
      </c>
      <c r="G538" s="27">
        <v>0</v>
      </c>
      <c r="H538" s="27">
        <v>0</v>
      </c>
      <c r="I538" s="27">
        <v>0</v>
      </c>
      <c r="J538" s="27">
        <v>0</v>
      </c>
      <c r="K538" s="63">
        <f>AVERAGE(I538:J538)</f>
        <v>0</v>
      </c>
      <c r="L538" s="56" t="str">
        <f>"EQP-LAWPACK2"</f>
        <v>EQP-LAWPACK2</v>
      </c>
      <c r="M538" s="14"/>
      <c r="N538" s="15"/>
      <c r="O538" s="12"/>
      <c r="P538" s="34"/>
      <c r="Q538" s="37"/>
      <c r="R538" s="47"/>
      <c r="S538" s="46"/>
    </row>
    <row r="539" spans="1:19" ht="15.6" hidden="1" customHeight="1" thickBot="1" x14ac:dyDescent="0.3">
      <c r="A539" t="s">
        <v>23</v>
      </c>
      <c r="B539" s="60" t="str">
        <f t="shared" si="377"/>
        <v>hide</v>
      </c>
      <c r="D539" s="48" t="str">
        <f>D538</f>
        <v>03503</v>
      </c>
      <c r="E539" s="7"/>
      <c r="F539" s="27">
        <v>0</v>
      </c>
      <c r="G539" s="27">
        <v>0</v>
      </c>
      <c r="H539" s="27">
        <v>0</v>
      </c>
      <c r="I539" s="27">
        <v>0</v>
      </c>
      <c r="J539" s="27">
        <v>0</v>
      </c>
      <c r="K539" s="63">
        <f>AVERAGE(I539:J539)</f>
        <v>0</v>
      </c>
      <c r="L539" s="56" t="str">
        <f>"SW-COMAS-PACKL"</f>
        <v>SW-COMAS-PACKL</v>
      </c>
      <c r="M539" s="14"/>
      <c r="N539" s="15"/>
      <c r="O539" s="12"/>
      <c r="P539" s="34"/>
      <c r="Q539" s="37"/>
      <c r="R539" s="47"/>
      <c r="S539" s="46"/>
    </row>
    <row r="540" spans="1:19" ht="15.6" hidden="1" customHeight="1" thickBot="1" x14ac:dyDescent="0.3">
      <c r="A540" t="s">
        <v>23</v>
      </c>
      <c r="B540" s="60" t="str">
        <f t="shared" si="377"/>
        <v>hide</v>
      </c>
      <c r="D540" s="48" t="str">
        <f>D539</f>
        <v>03503</v>
      </c>
      <c r="E540" s="7"/>
      <c r="F540" s="27">
        <v>0</v>
      </c>
      <c r="G540" s="27">
        <v>0</v>
      </c>
      <c r="H540" s="27">
        <v>0</v>
      </c>
      <c r="I540" s="27">
        <v>0</v>
      </c>
      <c r="J540" s="27">
        <v>0</v>
      </c>
      <c r="K540" s="63">
        <f>AVERAGE(I540:J540)</f>
        <v>0</v>
      </c>
      <c r="L540" s="56" t="str">
        <f>"SW-RISER-PACK"</f>
        <v>SW-RISER-PACK</v>
      </c>
      <c r="M540" s="14"/>
      <c r="N540" s="15"/>
      <c r="O540" s="12"/>
      <c r="P540" s="34"/>
      <c r="Q540" s="37"/>
      <c r="R540" s="47"/>
      <c r="S540" s="46"/>
    </row>
    <row r="541" spans="1:19" ht="12" hidden="1" customHeight="1" x14ac:dyDescent="0.3">
      <c r="A541" s="35" t="s">
        <v>908</v>
      </c>
      <c r="B541" s="49" t="str">
        <f>B537</f>
        <v>hide</v>
      </c>
      <c r="N541"/>
      <c r="Q541" s="33"/>
    </row>
    <row r="542" spans="1:19" ht="13.8" hidden="1" thickBot="1" x14ac:dyDescent="0.3">
      <c r="A542" t="s">
        <v>23</v>
      </c>
      <c r="B542" s="49" t="str">
        <f t="shared" ref="B542" si="378">B541</f>
        <v>hide</v>
      </c>
      <c r="D542" s="58"/>
      <c r="E542" s="58"/>
      <c r="F542" s="52">
        <f>SUM(F537:F541)</f>
        <v>0</v>
      </c>
      <c r="G542" s="52">
        <f>SUM(G537:G541)</f>
        <v>0</v>
      </c>
      <c r="H542" s="52">
        <f>SUM(H537:H541)</f>
        <v>0</v>
      </c>
      <c r="I542" s="52">
        <f>SUM(I537:I541)</f>
        <v>0</v>
      </c>
      <c r="J542" s="52">
        <f>SUM(J537:J541)</f>
        <v>0</v>
      </c>
      <c r="K542" s="52"/>
      <c r="L542" s="51" t="s">
        <v>4</v>
      </c>
      <c r="M542" s="58"/>
      <c r="N542" s="58"/>
      <c r="O542" s="58"/>
      <c r="P542" s="58"/>
      <c r="Q542" s="58"/>
      <c r="R542" s="58"/>
      <c r="S542" s="58"/>
    </row>
    <row r="543" spans="1:19" s="59" customFormat="1" ht="18.75" hidden="1" customHeight="1" thickBot="1" x14ac:dyDescent="0.3">
      <c r="A543" s="59" t="s">
        <v>23</v>
      </c>
      <c r="B543" s="60" t="str">
        <f t="shared" ref="B543:B544" si="379">IF(K543=0,"hide","")</f>
        <v>hide</v>
      </c>
      <c r="D543" s="61" t="str">
        <f>"03506"</f>
        <v>03506</v>
      </c>
      <c r="E543" s="62" t="str">
        <f>"2"</f>
        <v>2</v>
      </c>
      <c r="F543" s="63">
        <v>96.25</v>
      </c>
      <c r="G543" s="63">
        <v>0</v>
      </c>
      <c r="H543" s="63">
        <v>0</v>
      </c>
      <c r="I543" s="63">
        <v>0</v>
      </c>
      <c r="J543" s="63">
        <v>0</v>
      </c>
      <c r="K543" s="63">
        <f>AVERAGE(I543:J543)</f>
        <v>0</v>
      </c>
      <c r="L543" s="64" t="str">
        <f>"APPLE MUFFINS"</f>
        <v>APPLE MUFFINS</v>
      </c>
      <c r="M543" s="65" t="str">
        <f>"192-2 oz. I.W."</f>
        <v>192-2 oz. I.W.</v>
      </c>
      <c r="N543" s="66">
        <v>192</v>
      </c>
      <c r="O543" s="67" t="str">
        <f>""</f>
        <v/>
      </c>
      <c r="P543" s="68" t="e">
        <f>1/O543</f>
        <v>#VALUE!</v>
      </c>
      <c r="Q543" s="53">
        <v>1</v>
      </c>
      <c r="R543" s="69">
        <f t="shared" ref="R543" si="380">1/Q543</f>
        <v>1</v>
      </c>
      <c r="S543" s="70">
        <f t="shared" ref="S543" si="381">R543*N543</f>
        <v>192</v>
      </c>
    </row>
    <row r="544" spans="1:19" ht="15.6" hidden="1" customHeight="1" thickBot="1" x14ac:dyDescent="0.3">
      <c r="A544" t="s">
        <v>23</v>
      </c>
      <c r="B544" s="60" t="str">
        <f t="shared" si="379"/>
        <v>hide</v>
      </c>
      <c r="D544" s="48" t="str">
        <f>D543</f>
        <v>03506</v>
      </c>
      <c r="E544" s="7"/>
      <c r="F544" s="27">
        <v>0</v>
      </c>
      <c r="G544" s="27">
        <v>0</v>
      </c>
      <c r="H544" s="27">
        <v>0</v>
      </c>
      <c r="I544" s="27">
        <v>0</v>
      </c>
      <c r="J544" s="27">
        <v>0</v>
      </c>
      <c r="K544" s="63">
        <f>AVERAGE(I544:J544)</f>
        <v>0</v>
      </c>
      <c r="L544" s="56" t="str">
        <f>"EQP-LAWPACK1"</f>
        <v>EQP-LAWPACK1</v>
      </c>
      <c r="M544" s="14"/>
      <c r="N544" s="15"/>
      <c r="O544" s="12"/>
      <c r="P544" s="34"/>
      <c r="Q544" s="37"/>
      <c r="R544" s="47"/>
      <c r="S544" s="46"/>
    </row>
    <row r="545" spans="1:19" ht="15.6" hidden="1" customHeight="1" thickBot="1" x14ac:dyDescent="0.3">
      <c r="A545" t="s">
        <v>23</v>
      </c>
      <c r="B545" s="60" t="str">
        <f t="shared" ref="B545:B547" si="382">IF(K545=0,"hide","")</f>
        <v>hide</v>
      </c>
      <c r="D545" s="48" t="str">
        <f>D544</f>
        <v>03506</v>
      </c>
      <c r="E545" s="7"/>
      <c r="F545" s="27">
        <v>0</v>
      </c>
      <c r="G545" s="27">
        <v>0</v>
      </c>
      <c r="H545" s="27">
        <v>0</v>
      </c>
      <c r="I545" s="27">
        <v>0</v>
      </c>
      <c r="J545" s="27">
        <v>0</v>
      </c>
      <c r="K545" s="63">
        <f>AVERAGE(I545:J545)</f>
        <v>0</v>
      </c>
      <c r="L545" s="56" t="str">
        <f>"EQP-LAWPACK2"</f>
        <v>EQP-LAWPACK2</v>
      </c>
      <c r="M545" s="14"/>
      <c r="N545" s="15"/>
      <c r="O545" s="12"/>
      <c r="P545" s="34"/>
      <c r="Q545" s="37"/>
      <c r="R545" s="47"/>
      <c r="S545" s="46"/>
    </row>
    <row r="546" spans="1:19" ht="15.6" hidden="1" customHeight="1" thickBot="1" x14ac:dyDescent="0.3">
      <c r="A546" t="s">
        <v>23</v>
      </c>
      <c r="B546" s="60" t="str">
        <f t="shared" si="382"/>
        <v>hide</v>
      </c>
      <c r="D546" s="48" t="str">
        <f>D545</f>
        <v>03506</v>
      </c>
      <c r="E546" s="7"/>
      <c r="F546" s="27">
        <v>0</v>
      </c>
      <c r="G546" s="27">
        <v>0</v>
      </c>
      <c r="H546" s="27">
        <v>0</v>
      </c>
      <c r="I546" s="27">
        <v>0</v>
      </c>
      <c r="J546" s="27">
        <v>0</v>
      </c>
      <c r="K546" s="63">
        <f>AVERAGE(I546:J546)</f>
        <v>0</v>
      </c>
      <c r="L546" s="56" t="str">
        <f>"SW-COMAS-PACKL"</f>
        <v>SW-COMAS-PACKL</v>
      </c>
      <c r="M546" s="14"/>
      <c r="N546" s="15"/>
      <c r="O546" s="12"/>
      <c r="P546" s="34"/>
      <c r="Q546" s="37"/>
      <c r="R546" s="47"/>
      <c r="S546" s="46"/>
    </row>
    <row r="547" spans="1:19" ht="15.6" hidden="1" customHeight="1" thickBot="1" x14ac:dyDescent="0.3">
      <c r="A547" t="s">
        <v>23</v>
      </c>
      <c r="B547" s="60" t="str">
        <f t="shared" si="382"/>
        <v>hide</v>
      </c>
      <c r="D547" s="48" t="str">
        <f>D546</f>
        <v>03506</v>
      </c>
      <c r="E547" s="7"/>
      <c r="F547" s="27">
        <v>0</v>
      </c>
      <c r="G547" s="27">
        <v>0</v>
      </c>
      <c r="H547" s="27">
        <v>0</v>
      </c>
      <c r="I547" s="27">
        <v>0</v>
      </c>
      <c r="J547" s="27">
        <v>0</v>
      </c>
      <c r="K547" s="63">
        <f>AVERAGE(I547:J547)</f>
        <v>0</v>
      </c>
      <c r="L547" s="56" t="str">
        <f>"SW-RISER-PACK"</f>
        <v>SW-RISER-PACK</v>
      </c>
      <c r="M547" s="14"/>
      <c r="N547" s="15"/>
      <c r="O547" s="12"/>
      <c r="P547" s="34"/>
      <c r="Q547" s="37"/>
      <c r="R547" s="47"/>
      <c r="S547" s="46"/>
    </row>
    <row r="548" spans="1:19" ht="12" hidden="1" customHeight="1" x14ac:dyDescent="0.3">
      <c r="A548" s="35" t="s">
        <v>908</v>
      </c>
      <c r="B548" s="49" t="str">
        <f>B544</f>
        <v>hide</v>
      </c>
      <c r="N548"/>
      <c r="Q548" s="33"/>
    </row>
    <row r="549" spans="1:19" ht="13.8" hidden="1" thickBot="1" x14ac:dyDescent="0.3">
      <c r="A549" t="s">
        <v>23</v>
      </c>
      <c r="B549" s="49" t="str">
        <f t="shared" ref="B549" si="383">B548</f>
        <v>hide</v>
      </c>
      <c r="D549" s="58"/>
      <c r="E549" s="58"/>
      <c r="F549" s="52">
        <f>SUM(F544:F548)</f>
        <v>0</v>
      </c>
      <c r="G549" s="52">
        <f>SUM(G544:G548)</f>
        <v>0</v>
      </c>
      <c r="H549" s="52">
        <f>SUM(H544:H548)</f>
        <v>0</v>
      </c>
      <c r="I549" s="52">
        <f>SUM(I544:I548)</f>
        <v>0</v>
      </c>
      <c r="J549" s="52">
        <f>SUM(J544:J548)</f>
        <v>0</v>
      </c>
      <c r="K549" s="52"/>
      <c r="L549" s="51" t="s">
        <v>4</v>
      </c>
      <c r="M549" s="58"/>
      <c r="N549" s="58"/>
      <c r="O549" s="58"/>
      <c r="P549" s="58"/>
      <c r="Q549" s="58"/>
      <c r="R549" s="58"/>
      <c r="S549" s="58"/>
    </row>
    <row r="550" spans="1:19" s="59" customFormat="1" ht="18.75" hidden="1" customHeight="1" thickBot="1" x14ac:dyDescent="0.3">
      <c r="A550" s="59" t="s">
        <v>23</v>
      </c>
      <c r="B550" s="60" t="str">
        <f t="shared" ref="B550:B551" si="384">IF(K550=0,"hide","")</f>
        <v>hide</v>
      </c>
      <c r="D550" s="61" t="str">
        <f>"035405"</f>
        <v>035405</v>
      </c>
      <c r="E550" s="62" t="str">
        <f>"1"</f>
        <v>1</v>
      </c>
      <c r="F550" s="63">
        <v>0</v>
      </c>
      <c r="G550" s="63">
        <v>0</v>
      </c>
      <c r="H550" s="63">
        <v>0</v>
      </c>
      <c r="I550" s="63">
        <v>0</v>
      </c>
      <c r="J550" s="63">
        <v>0</v>
      </c>
      <c r="K550" s="63">
        <f>AVERAGE(I550:J550)</f>
        <v>0</v>
      </c>
      <c r="L550" s="64" t="str">
        <f>"CORNBREAD LOAVES"</f>
        <v>CORNBREAD LOAVES</v>
      </c>
      <c r="M550" s="65" t="str">
        <f>"20-3oz. IW for Internet"</f>
        <v>20-3oz. IW for Internet</v>
      </c>
      <c r="N550" s="66">
        <v>20</v>
      </c>
      <c r="O550" s="67" t="str">
        <f>""</f>
        <v/>
      </c>
      <c r="P550" s="68" t="e">
        <f>1/O550</f>
        <v>#VALUE!</v>
      </c>
      <c r="Q550" s="53">
        <v>1</v>
      </c>
      <c r="R550" s="69">
        <f t="shared" ref="R550" si="385">1/Q550</f>
        <v>1</v>
      </c>
      <c r="S550" s="70">
        <f t="shared" ref="S550" si="386">R550*N550</f>
        <v>20</v>
      </c>
    </row>
    <row r="551" spans="1:19" ht="15.6" hidden="1" customHeight="1" thickBot="1" x14ac:dyDescent="0.3">
      <c r="A551" t="s">
        <v>23</v>
      </c>
      <c r="B551" s="60" t="str">
        <f t="shared" si="384"/>
        <v>hide</v>
      </c>
      <c r="D551" s="48" t="str">
        <f>D550</f>
        <v>035405</v>
      </c>
      <c r="E551" s="7"/>
      <c r="F551" s="27">
        <v>0</v>
      </c>
      <c r="G551" s="27">
        <v>0</v>
      </c>
      <c r="H551" s="27">
        <v>0</v>
      </c>
      <c r="I551" s="27">
        <v>0</v>
      </c>
      <c r="J551" s="27">
        <v>0</v>
      </c>
      <c r="K551" s="63">
        <f>AVERAGE(I551:J551)</f>
        <v>0</v>
      </c>
      <c r="L551" s="56" t="str">
        <f>"EQP-LAWPACK1"</f>
        <v>EQP-LAWPACK1</v>
      </c>
      <c r="M551" s="14"/>
      <c r="N551" s="15"/>
      <c r="O551" s="12"/>
      <c r="P551" s="34"/>
      <c r="Q551" s="37"/>
      <c r="R551" s="47"/>
      <c r="S551" s="46"/>
    </row>
    <row r="552" spans="1:19" ht="15.6" hidden="1" customHeight="1" thickBot="1" x14ac:dyDescent="0.3">
      <c r="A552" t="s">
        <v>23</v>
      </c>
      <c r="B552" s="60" t="str">
        <f t="shared" ref="B552:B554" si="387">IF(K552=0,"hide","")</f>
        <v>hide</v>
      </c>
      <c r="D552" s="48" t="str">
        <f>D551</f>
        <v>035405</v>
      </c>
      <c r="E552" s="7"/>
      <c r="F552" s="27">
        <v>0</v>
      </c>
      <c r="G552" s="27">
        <v>0</v>
      </c>
      <c r="H552" s="27">
        <v>0</v>
      </c>
      <c r="I552" s="27">
        <v>0</v>
      </c>
      <c r="J552" s="27">
        <v>0</v>
      </c>
      <c r="K552" s="63">
        <f>AVERAGE(I552:J552)</f>
        <v>0</v>
      </c>
      <c r="L552" s="56" t="str">
        <f>"EQP-LAWPACK2"</f>
        <v>EQP-LAWPACK2</v>
      </c>
      <c r="M552" s="14"/>
      <c r="N552" s="15"/>
      <c r="O552" s="12"/>
      <c r="P552" s="34"/>
      <c r="Q552" s="37"/>
      <c r="R552" s="47"/>
      <c r="S552" s="46"/>
    </row>
    <row r="553" spans="1:19" ht="15.6" hidden="1" customHeight="1" thickBot="1" x14ac:dyDescent="0.3">
      <c r="A553" t="s">
        <v>23</v>
      </c>
      <c r="B553" s="60" t="str">
        <f t="shared" si="387"/>
        <v>hide</v>
      </c>
      <c r="D553" s="48" t="str">
        <f>D552</f>
        <v>035405</v>
      </c>
      <c r="E553" s="7"/>
      <c r="F553" s="27">
        <v>0</v>
      </c>
      <c r="G553" s="27">
        <v>0</v>
      </c>
      <c r="H553" s="27">
        <v>0</v>
      </c>
      <c r="I553" s="27">
        <v>0</v>
      </c>
      <c r="J553" s="27">
        <v>0</v>
      </c>
      <c r="K553" s="63">
        <f>AVERAGE(I553:J553)</f>
        <v>0</v>
      </c>
      <c r="L553" s="56" t="str">
        <f>"SW-COMAS-PACKL"</f>
        <v>SW-COMAS-PACKL</v>
      </c>
      <c r="M553" s="14"/>
      <c r="N553" s="15"/>
      <c r="O553" s="12"/>
      <c r="P553" s="34"/>
      <c r="Q553" s="37"/>
      <c r="R553" s="47"/>
      <c r="S553" s="46"/>
    </row>
    <row r="554" spans="1:19" ht="15.6" hidden="1" customHeight="1" thickBot="1" x14ac:dyDescent="0.3">
      <c r="A554" t="s">
        <v>23</v>
      </c>
      <c r="B554" s="60" t="str">
        <f t="shared" si="387"/>
        <v>hide</v>
      </c>
      <c r="D554" s="48" t="str">
        <f>D553</f>
        <v>035405</v>
      </c>
      <c r="E554" s="7"/>
      <c r="F554" s="27">
        <v>0</v>
      </c>
      <c r="G554" s="27">
        <v>0</v>
      </c>
      <c r="H554" s="27">
        <v>0</v>
      </c>
      <c r="I554" s="27">
        <v>0</v>
      </c>
      <c r="J554" s="27">
        <v>0</v>
      </c>
      <c r="K554" s="63">
        <f>AVERAGE(I554:J554)</f>
        <v>0</v>
      </c>
      <c r="L554" s="56" t="str">
        <f>"SW-RISER-PACK"</f>
        <v>SW-RISER-PACK</v>
      </c>
      <c r="M554" s="14"/>
      <c r="N554" s="15"/>
      <c r="O554" s="12"/>
      <c r="P554" s="34"/>
      <c r="Q554" s="37"/>
      <c r="R554" s="47"/>
      <c r="S554" s="46"/>
    </row>
    <row r="555" spans="1:19" ht="12" hidden="1" customHeight="1" x14ac:dyDescent="0.3">
      <c r="A555" s="35" t="s">
        <v>908</v>
      </c>
      <c r="B555" s="49" t="str">
        <f>B551</f>
        <v>hide</v>
      </c>
      <c r="N555"/>
      <c r="Q555" s="33"/>
    </row>
    <row r="556" spans="1:19" ht="13.8" hidden="1" thickBot="1" x14ac:dyDescent="0.3">
      <c r="A556" t="s">
        <v>23</v>
      </c>
      <c r="B556" s="49" t="str">
        <f t="shared" ref="B556" si="388">B555</f>
        <v>hide</v>
      </c>
      <c r="D556" s="58"/>
      <c r="E556" s="58"/>
      <c r="F556" s="52">
        <f>SUM(F551:F555)</f>
        <v>0</v>
      </c>
      <c r="G556" s="52">
        <f>SUM(G551:G555)</f>
        <v>0</v>
      </c>
      <c r="H556" s="52">
        <f>SUM(H551:H555)</f>
        <v>0</v>
      </c>
      <c r="I556" s="52">
        <f>SUM(I551:I555)</f>
        <v>0</v>
      </c>
      <c r="J556" s="52">
        <f>SUM(J551:J555)</f>
        <v>0</v>
      </c>
      <c r="K556" s="52"/>
      <c r="L556" s="51" t="s">
        <v>4</v>
      </c>
      <c r="M556" s="58"/>
      <c r="N556" s="58"/>
      <c r="O556" s="58"/>
      <c r="P556" s="58"/>
      <c r="Q556" s="58"/>
      <c r="R556" s="58"/>
      <c r="S556" s="58"/>
    </row>
    <row r="557" spans="1:19" s="59" customFormat="1" ht="18.75" hidden="1" customHeight="1" thickBot="1" x14ac:dyDescent="0.3">
      <c r="A557" s="59" t="s">
        <v>23</v>
      </c>
      <c r="B557" s="60" t="str">
        <f t="shared" ref="B557:B558" si="389">IF(K557=0,"hide","")</f>
        <v>hide</v>
      </c>
      <c r="D557" s="61" t="str">
        <f>"035425"</f>
        <v>035425</v>
      </c>
      <c r="E557" s="62" t="str">
        <f>"1"</f>
        <v>1</v>
      </c>
      <c r="F557" s="63">
        <v>0</v>
      </c>
      <c r="G557" s="63">
        <v>0</v>
      </c>
      <c r="H557" s="63">
        <v>0</v>
      </c>
      <c r="I557" s="63">
        <v>0</v>
      </c>
      <c r="J557" s="63">
        <v>0</v>
      </c>
      <c r="K557" s="63">
        <f>AVERAGE(I557:J557)</f>
        <v>0</v>
      </c>
      <c r="L557" s="64" t="str">
        <f>"Jalapeno Cornbread"</f>
        <v>Jalapeno Cornbread</v>
      </c>
      <c r="M557" s="65" t="str">
        <f>"20-3oz. IW for Internet"</f>
        <v>20-3oz. IW for Internet</v>
      </c>
      <c r="N557" s="66">
        <v>20</v>
      </c>
      <c r="O557" s="67" t="str">
        <f>""</f>
        <v/>
      </c>
      <c r="P557" s="68" t="e">
        <f>1/O557</f>
        <v>#VALUE!</v>
      </c>
      <c r="Q557" s="53">
        <v>1</v>
      </c>
      <c r="R557" s="69">
        <f t="shared" ref="R557" si="390">1/Q557</f>
        <v>1</v>
      </c>
      <c r="S557" s="70">
        <f t="shared" ref="S557" si="391">R557*N557</f>
        <v>20</v>
      </c>
    </row>
    <row r="558" spans="1:19" ht="15.6" hidden="1" customHeight="1" thickBot="1" x14ac:dyDescent="0.3">
      <c r="A558" t="s">
        <v>23</v>
      </c>
      <c r="B558" s="60" t="str">
        <f t="shared" si="389"/>
        <v>hide</v>
      </c>
      <c r="D558" s="48" t="str">
        <f>D557</f>
        <v>035425</v>
      </c>
      <c r="E558" s="7"/>
      <c r="F558" s="27">
        <v>0</v>
      </c>
      <c r="G558" s="27">
        <v>0</v>
      </c>
      <c r="H558" s="27">
        <v>0</v>
      </c>
      <c r="I558" s="27">
        <v>0</v>
      </c>
      <c r="J558" s="27">
        <v>0</v>
      </c>
      <c r="K558" s="63">
        <f>AVERAGE(I558:J558)</f>
        <v>0</v>
      </c>
      <c r="L558" s="56" t="str">
        <f>"EQP-LAWPACK1"</f>
        <v>EQP-LAWPACK1</v>
      </c>
      <c r="M558" s="14"/>
      <c r="N558" s="15"/>
      <c r="O558" s="12"/>
      <c r="P558" s="34"/>
      <c r="Q558" s="37"/>
      <c r="R558" s="47"/>
      <c r="S558" s="46"/>
    </row>
    <row r="559" spans="1:19" ht="15.6" hidden="1" customHeight="1" thickBot="1" x14ac:dyDescent="0.3">
      <c r="A559" t="s">
        <v>23</v>
      </c>
      <c r="B559" s="60" t="str">
        <f t="shared" ref="B559:B561" si="392">IF(K559=0,"hide","")</f>
        <v>hide</v>
      </c>
      <c r="D559" s="48" t="str">
        <f>D558</f>
        <v>035425</v>
      </c>
      <c r="E559" s="7"/>
      <c r="F559" s="27">
        <v>0</v>
      </c>
      <c r="G559" s="27">
        <v>0</v>
      </c>
      <c r="H559" s="27">
        <v>0</v>
      </c>
      <c r="I559" s="27">
        <v>0</v>
      </c>
      <c r="J559" s="27">
        <v>0</v>
      </c>
      <c r="K559" s="63">
        <f>AVERAGE(I559:J559)</f>
        <v>0</v>
      </c>
      <c r="L559" s="56" t="str">
        <f>"EQP-LAWPACK2"</f>
        <v>EQP-LAWPACK2</v>
      </c>
      <c r="M559" s="14"/>
      <c r="N559" s="15"/>
      <c r="O559" s="12"/>
      <c r="P559" s="34"/>
      <c r="Q559" s="37"/>
      <c r="R559" s="47"/>
      <c r="S559" s="46"/>
    </row>
    <row r="560" spans="1:19" ht="15.6" hidden="1" customHeight="1" thickBot="1" x14ac:dyDescent="0.3">
      <c r="A560" t="s">
        <v>23</v>
      </c>
      <c r="B560" s="60" t="str">
        <f t="shared" si="392"/>
        <v>hide</v>
      </c>
      <c r="D560" s="48" t="str">
        <f>D559</f>
        <v>035425</v>
      </c>
      <c r="E560" s="7"/>
      <c r="F560" s="27">
        <v>0</v>
      </c>
      <c r="G560" s="27">
        <v>0</v>
      </c>
      <c r="H560" s="27">
        <v>0</v>
      </c>
      <c r="I560" s="27">
        <v>0</v>
      </c>
      <c r="J560" s="27">
        <v>0</v>
      </c>
      <c r="K560" s="63">
        <f>AVERAGE(I560:J560)</f>
        <v>0</v>
      </c>
      <c r="L560" s="56" t="str">
        <f>"SW-COMAS-PACKL"</f>
        <v>SW-COMAS-PACKL</v>
      </c>
      <c r="M560" s="14"/>
      <c r="N560" s="15"/>
      <c r="O560" s="12"/>
      <c r="P560" s="34"/>
      <c r="Q560" s="37"/>
      <c r="R560" s="47"/>
      <c r="S560" s="46"/>
    </row>
    <row r="561" spans="1:19" ht="15.6" hidden="1" customHeight="1" thickBot="1" x14ac:dyDescent="0.3">
      <c r="A561" t="s">
        <v>23</v>
      </c>
      <c r="B561" s="60" t="str">
        <f t="shared" si="392"/>
        <v>hide</v>
      </c>
      <c r="D561" s="48" t="str">
        <f>D560</f>
        <v>035425</v>
      </c>
      <c r="E561" s="7"/>
      <c r="F561" s="27">
        <v>0</v>
      </c>
      <c r="G561" s="27">
        <v>0</v>
      </c>
      <c r="H561" s="27">
        <v>0</v>
      </c>
      <c r="I561" s="27">
        <v>0</v>
      </c>
      <c r="J561" s="27">
        <v>0</v>
      </c>
      <c r="K561" s="63">
        <f>AVERAGE(I561:J561)</f>
        <v>0</v>
      </c>
      <c r="L561" s="56" t="str">
        <f>"SW-RISER-PACK"</f>
        <v>SW-RISER-PACK</v>
      </c>
      <c r="M561" s="14"/>
      <c r="N561" s="15"/>
      <c r="O561" s="12"/>
      <c r="P561" s="34"/>
      <c r="Q561" s="37"/>
      <c r="R561" s="47"/>
      <c r="S561" s="46"/>
    </row>
    <row r="562" spans="1:19" ht="12" hidden="1" customHeight="1" x14ac:dyDescent="0.3">
      <c r="A562" s="35" t="s">
        <v>908</v>
      </c>
      <c r="B562" s="49" t="str">
        <f>B558</f>
        <v>hide</v>
      </c>
      <c r="N562"/>
      <c r="Q562" s="33"/>
    </row>
    <row r="563" spans="1:19" ht="13.8" hidden="1" thickBot="1" x14ac:dyDescent="0.3">
      <c r="A563" t="s">
        <v>23</v>
      </c>
      <c r="B563" s="49" t="str">
        <f t="shared" ref="B563" si="393">B562</f>
        <v>hide</v>
      </c>
      <c r="D563" s="58"/>
      <c r="E563" s="58"/>
      <c r="F563" s="52">
        <f>SUM(F558:F562)</f>
        <v>0</v>
      </c>
      <c r="G563" s="52">
        <f>SUM(G558:G562)</f>
        <v>0</v>
      </c>
      <c r="H563" s="52">
        <f>SUM(H558:H562)</f>
        <v>0</v>
      </c>
      <c r="I563" s="52">
        <f>SUM(I558:I562)</f>
        <v>0</v>
      </c>
      <c r="J563" s="52">
        <f>SUM(J558:J562)</f>
        <v>0</v>
      </c>
      <c r="K563" s="52"/>
      <c r="L563" s="51" t="s">
        <v>4</v>
      </c>
      <c r="M563" s="58"/>
      <c r="N563" s="58"/>
      <c r="O563" s="58"/>
      <c r="P563" s="58"/>
      <c r="Q563" s="58"/>
      <c r="R563" s="58"/>
      <c r="S563" s="58"/>
    </row>
    <row r="564" spans="1:19" s="59" customFormat="1" ht="18.75" hidden="1" customHeight="1" thickBot="1" x14ac:dyDescent="0.3">
      <c r="A564" s="59" t="s">
        <v>23</v>
      </c>
      <c r="B564" s="60" t="str">
        <f t="shared" ref="B564:B565" si="394">IF(K564=0,"hide","")</f>
        <v>hide</v>
      </c>
      <c r="D564" s="61" t="str">
        <f>"03702"</f>
        <v>03702</v>
      </c>
      <c r="E564" s="62" t="str">
        <f>""</f>
        <v/>
      </c>
      <c r="F564" s="63">
        <v>0</v>
      </c>
      <c r="G564" s="63">
        <v>0</v>
      </c>
      <c r="H564" s="63">
        <v>0</v>
      </c>
      <c r="I564" s="63">
        <v>0</v>
      </c>
      <c r="J564" s="63">
        <v>0</v>
      </c>
      <c r="K564" s="63">
        <f>AVERAGE(I564:J564)</f>
        <v>0</v>
      </c>
      <c r="L564" s="64" t="str">
        <f>"CRANBERRY MUFFIN"</f>
        <v>CRANBERRY MUFFIN</v>
      </c>
      <c r="M564" s="65" t="str">
        <f>"192-2 oz. I.W."</f>
        <v>192-2 oz. I.W.</v>
      </c>
      <c r="N564" s="66">
        <v>192</v>
      </c>
      <c r="O564" s="67" t="e">
        <v>#VALUE!</v>
      </c>
      <c r="P564" s="68" t="e">
        <f>1/O564</f>
        <v>#VALUE!</v>
      </c>
      <c r="Q564" s="53" t="e">
        <v>#VALUE!</v>
      </c>
      <c r="R564" s="69" t="e">
        <f t="shared" ref="R564" si="395">1/Q564</f>
        <v>#VALUE!</v>
      </c>
      <c r="S564" s="70" t="e">
        <f t="shared" ref="S564" si="396">R564*N564</f>
        <v>#VALUE!</v>
      </c>
    </row>
    <row r="565" spans="1:19" ht="15.6" hidden="1" customHeight="1" thickBot="1" x14ac:dyDescent="0.3">
      <c r="A565" t="s">
        <v>23</v>
      </c>
      <c r="B565" s="60" t="str">
        <f t="shared" si="394"/>
        <v>hide</v>
      </c>
      <c r="D565" s="48" t="str">
        <f>D564</f>
        <v>03702</v>
      </c>
      <c r="E565" s="7"/>
      <c r="F565" s="27">
        <v>0</v>
      </c>
      <c r="G565" s="27">
        <v>0</v>
      </c>
      <c r="H565" s="27">
        <v>0</v>
      </c>
      <c r="I565" s="27">
        <v>0</v>
      </c>
      <c r="J565" s="27">
        <v>0</v>
      </c>
      <c r="K565" s="63">
        <f>AVERAGE(I565:J565)</f>
        <v>0</v>
      </c>
      <c r="L565" s="56" t="str">
        <f>"EQP-LAWPACK1"</f>
        <v>EQP-LAWPACK1</v>
      </c>
      <c r="M565" s="14"/>
      <c r="N565" s="15"/>
      <c r="O565" s="12"/>
      <c r="P565" s="34"/>
      <c r="Q565" s="37"/>
      <c r="R565" s="47"/>
      <c r="S565" s="46"/>
    </row>
    <row r="566" spans="1:19" ht="15.6" hidden="1" customHeight="1" thickBot="1" x14ac:dyDescent="0.3">
      <c r="A566" t="s">
        <v>23</v>
      </c>
      <c r="B566" s="60" t="str">
        <f t="shared" ref="B566:B568" si="397">IF(K566=0,"hide","")</f>
        <v>hide</v>
      </c>
      <c r="D566" s="48" t="str">
        <f>D565</f>
        <v>03702</v>
      </c>
      <c r="E566" s="7"/>
      <c r="F566" s="27">
        <v>0</v>
      </c>
      <c r="G566" s="27">
        <v>0</v>
      </c>
      <c r="H566" s="27">
        <v>0</v>
      </c>
      <c r="I566" s="27">
        <v>0</v>
      </c>
      <c r="J566" s="27">
        <v>0</v>
      </c>
      <c r="K566" s="63">
        <f>AVERAGE(I566:J566)</f>
        <v>0</v>
      </c>
      <c r="L566" s="56" t="str">
        <f>"EQP-LAWPACK2"</f>
        <v>EQP-LAWPACK2</v>
      </c>
      <c r="M566" s="14"/>
      <c r="N566" s="15"/>
      <c r="O566" s="12"/>
      <c r="P566" s="34"/>
      <c r="Q566" s="37"/>
      <c r="R566" s="47"/>
      <c r="S566" s="46"/>
    </row>
    <row r="567" spans="1:19" ht="15.6" hidden="1" customHeight="1" thickBot="1" x14ac:dyDescent="0.3">
      <c r="A567" t="s">
        <v>23</v>
      </c>
      <c r="B567" s="60" t="str">
        <f t="shared" si="397"/>
        <v>hide</v>
      </c>
      <c r="D567" s="48" t="str">
        <f>D566</f>
        <v>03702</v>
      </c>
      <c r="E567" s="7"/>
      <c r="F567" s="27">
        <v>0</v>
      </c>
      <c r="G567" s="27">
        <v>0</v>
      </c>
      <c r="H567" s="27">
        <v>0</v>
      </c>
      <c r="I567" s="27">
        <v>0</v>
      </c>
      <c r="J567" s="27">
        <v>0</v>
      </c>
      <c r="K567" s="63">
        <f>AVERAGE(I567:J567)</f>
        <v>0</v>
      </c>
      <c r="L567" s="56" t="str">
        <f>"SW-COMAS-PACKL"</f>
        <v>SW-COMAS-PACKL</v>
      </c>
      <c r="M567" s="14"/>
      <c r="N567" s="15"/>
      <c r="O567" s="12"/>
      <c r="P567" s="34"/>
      <c r="Q567" s="37"/>
      <c r="R567" s="47"/>
      <c r="S567" s="46"/>
    </row>
    <row r="568" spans="1:19" ht="15.6" hidden="1" customHeight="1" thickBot="1" x14ac:dyDescent="0.3">
      <c r="A568" t="s">
        <v>23</v>
      </c>
      <c r="B568" s="60" t="str">
        <f t="shared" si="397"/>
        <v>hide</v>
      </c>
      <c r="D568" s="48" t="str">
        <f>D567</f>
        <v>03702</v>
      </c>
      <c r="E568" s="7"/>
      <c r="F568" s="27">
        <v>0</v>
      </c>
      <c r="G568" s="27">
        <v>0</v>
      </c>
      <c r="H568" s="27">
        <v>0</v>
      </c>
      <c r="I568" s="27">
        <v>0</v>
      </c>
      <c r="J568" s="27">
        <v>0</v>
      </c>
      <c r="K568" s="63">
        <f>AVERAGE(I568:J568)</f>
        <v>0</v>
      </c>
      <c r="L568" s="56" t="str">
        <f>"SW-RISER-PACK"</f>
        <v>SW-RISER-PACK</v>
      </c>
      <c r="M568" s="14"/>
      <c r="N568" s="15"/>
      <c r="O568" s="12"/>
      <c r="P568" s="34"/>
      <c r="Q568" s="37"/>
      <c r="R568" s="47"/>
      <c r="S568" s="46"/>
    </row>
    <row r="569" spans="1:19" ht="12" hidden="1" customHeight="1" x14ac:dyDescent="0.3">
      <c r="A569" s="35" t="s">
        <v>908</v>
      </c>
      <c r="B569" s="49" t="str">
        <f>B565</f>
        <v>hide</v>
      </c>
      <c r="N569"/>
      <c r="Q569" s="33"/>
    </row>
    <row r="570" spans="1:19" ht="13.8" hidden="1" thickBot="1" x14ac:dyDescent="0.3">
      <c r="A570" t="s">
        <v>23</v>
      </c>
      <c r="B570" s="49" t="str">
        <f t="shared" ref="B570" si="398">B569</f>
        <v>hide</v>
      </c>
      <c r="D570" s="58"/>
      <c r="E570" s="58"/>
      <c r="F570" s="52">
        <f>SUM(F565:F569)</f>
        <v>0</v>
      </c>
      <c r="G570" s="52">
        <f>SUM(G565:G569)</f>
        <v>0</v>
      </c>
      <c r="H570" s="52">
        <f>SUM(H565:H569)</f>
        <v>0</v>
      </c>
      <c r="I570" s="52">
        <f>SUM(I565:I569)</f>
        <v>0</v>
      </c>
      <c r="J570" s="52">
        <f>SUM(J565:J569)</f>
        <v>0</v>
      </c>
      <c r="K570" s="52"/>
      <c r="L570" s="51" t="s">
        <v>4</v>
      </c>
      <c r="M570" s="58"/>
      <c r="N570" s="58"/>
      <c r="O570" s="58"/>
      <c r="P570" s="58"/>
      <c r="Q570" s="58"/>
      <c r="R570" s="58"/>
      <c r="S570" s="58"/>
    </row>
    <row r="571" spans="1:19" s="59" customFormat="1" ht="18.75" hidden="1" customHeight="1" thickBot="1" x14ac:dyDescent="0.3">
      <c r="A571" s="59" t="s">
        <v>23</v>
      </c>
      <c r="B571" s="60" t="str">
        <f t="shared" ref="B571:B572" si="399">IF(K571=0,"hide","")</f>
        <v>hide</v>
      </c>
      <c r="D571" s="61" t="str">
        <f>"03706"</f>
        <v>03706</v>
      </c>
      <c r="E571" s="62" t="str">
        <f>"2"</f>
        <v>2</v>
      </c>
      <c r="F571" s="63">
        <v>0</v>
      </c>
      <c r="G571" s="63">
        <v>0</v>
      </c>
      <c r="H571" s="63">
        <v>0</v>
      </c>
      <c r="I571" s="63">
        <v>0</v>
      </c>
      <c r="J571" s="63">
        <v>0</v>
      </c>
      <c r="K571" s="63">
        <f>AVERAGE(I571:J571)</f>
        <v>0</v>
      </c>
      <c r="L571" s="64" t="str">
        <f>"Apple Round Muffin"</f>
        <v>Apple Round Muffin</v>
      </c>
      <c r="M571" s="65" t="str">
        <f>"192-2 oz. I.W."</f>
        <v>192-2 oz. I.W.</v>
      </c>
      <c r="N571" s="66">
        <v>192</v>
      </c>
      <c r="O571" s="67" t="str">
        <f>""</f>
        <v/>
      </c>
      <c r="P571" s="68" t="e">
        <f>1/O571</f>
        <v>#VALUE!</v>
      </c>
      <c r="Q571" s="53">
        <v>1</v>
      </c>
      <c r="R571" s="69">
        <f t="shared" ref="R571" si="400">1/Q571</f>
        <v>1</v>
      </c>
      <c r="S571" s="70">
        <f t="shared" ref="S571" si="401">R571*N571</f>
        <v>192</v>
      </c>
    </row>
    <row r="572" spans="1:19" ht="15.6" hidden="1" customHeight="1" thickBot="1" x14ac:dyDescent="0.3">
      <c r="A572" t="s">
        <v>23</v>
      </c>
      <c r="B572" s="60" t="str">
        <f t="shared" si="399"/>
        <v>hide</v>
      </c>
      <c r="D572" s="48" t="str">
        <f>D571</f>
        <v>03706</v>
      </c>
      <c r="E572" s="7"/>
      <c r="F572" s="27">
        <v>0</v>
      </c>
      <c r="G572" s="27">
        <v>0</v>
      </c>
      <c r="H572" s="27">
        <v>0</v>
      </c>
      <c r="I572" s="27">
        <v>0</v>
      </c>
      <c r="J572" s="27">
        <v>0</v>
      </c>
      <c r="K572" s="63">
        <f>AVERAGE(I572:J572)</f>
        <v>0</v>
      </c>
      <c r="L572" s="56" t="str">
        <f>"EQP-LAWPACK1"</f>
        <v>EQP-LAWPACK1</v>
      </c>
      <c r="M572" s="14"/>
      <c r="N572" s="15"/>
      <c r="O572" s="12"/>
      <c r="P572" s="34"/>
      <c r="Q572" s="37"/>
      <c r="R572" s="47"/>
      <c r="S572" s="46"/>
    </row>
    <row r="573" spans="1:19" ht="15.6" hidden="1" customHeight="1" thickBot="1" x14ac:dyDescent="0.3">
      <c r="A573" t="s">
        <v>23</v>
      </c>
      <c r="B573" s="60" t="str">
        <f t="shared" ref="B573:B575" si="402">IF(K573=0,"hide","")</f>
        <v>hide</v>
      </c>
      <c r="D573" s="48" t="str">
        <f>D572</f>
        <v>03706</v>
      </c>
      <c r="E573" s="7"/>
      <c r="F573" s="27">
        <v>0</v>
      </c>
      <c r="G573" s="27">
        <v>0</v>
      </c>
      <c r="H573" s="27">
        <v>0</v>
      </c>
      <c r="I573" s="27">
        <v>0</v>
      </c>
      <c r="J573" s="27">
        <v>0</v>
      </c>
      <c r="K573" s="63">
        <f>AVERAGE(I573:J573)</f>
        <v>0</v>
      </c>
      <c r="L573" s="56" t="str">
        <f>"EQP-LAWPACK2"</f>
        <v>EQP-LAWPACK2</v>
      </c>
      <c r="M573" s="14"/>
      <c r="N573" s="15"/>
      <c r="O573" s="12"/>
      <c r="P573" s="34"/>
      <c r="Q573" s="37"/>
      <c r="R573" s="47"/>
      <c r="S573" s="46"/>
    </row>
    <row r="574" spans="1:19" ht="15.6" hidden="1" customHeight="1" thickBot="1" x14ac:dyDescent="0.3">
      <c r="A574" t="s">
        <v>23</v>
      </c>
      <c r="B574" s="60" t="str">
        <f t="shared" si="402"/>
        <v>hide</v>
      </c>
      <c r="D574" s="48" t="str">
        <f>D573</f>
        <v>03706</v>
      </c>
      <c r="E574" s="7"/>
      <c r="F574" s="27">
        <v>0</v>
      </c>
      <c r="G574" s="27">
        <v>0</v>
      </c>
      <c r="H574" s="27">
        <v>0</v>
      </c>
      <c r="I574" s="27">
        <v>0</v>
      </c>
      <c r="J574" s="27">
        <v>0</v>
      </c>
      <c r="K574" s="63">
        <f>AVERAGE(I574:J574)</f>
        <v>0</v>
      </c>
      <c r="L574" s="56" t="str">
        <f>"SW-COMAS-PACKL"</f>
        <v>SW-COMAS-PACKL</v>
      </c>
      <c r="M574" s="14"/>
      <c r="N574" s="15"/>
      <c r="O574" s="12"/>
      <c r="P574" s="34"/>
      <c r="Q574" s="37"/>
      <c r="R574" s="47"/>
      <c r="S574" s="46"/>
    </row>
    <row r="575" spans="1:19" ht="15.6" hidden="1" customHeight="1" thickBot="1" x14ac:dyDescent="0.3">
      <c r="A575" t="s">
        <v>23</v>
      </c>
      <c r="B575" s="60" t="str">
        <f t="shared" si="402"/>
        <v>hide</v>
      </c>
      <c r="D575" s="48" t="str">
        <f>D574</f>
        <v>03706</v>
      </c>
      <c r="E575" s="7"/>
      <c r="F575" s="27">
        <v>0</v>
      </c>
      <c r="G575" s="27">
        <v>0</v>
      </c>
      <c r="H575" s="27">
        <v>0</v>
      </c>
      <c r="I575" s="27">
        <v>0</v>
      </c>
      <c r="J575" s="27">
        <v>0</v>
      </c>
      <c r="K575" s="63">
        <f>AVERAGE(I575:J575)</f>
        <v>0</v>
      </c>
      <c r="L575" s="56" t="str">
        <f>"SW-RISER-PACK"</f>
        <v>SW-RISER-PACK</v>
      </c>
      <c r="M575" s="14"/>
      <c r="N575" s="15"/>
      <c r="O575" s="12"/>
      <c r="P575" s="34"/>
      <c r="Q575" s="37"/>
      <c r="R575" s="47"/>
      <c r="S575" s="46"/>
    </row>
    <row r="576" spans="1:19" ht="12" hidden="1" customHeight="1" x14ac:dyDescent="0.3">
      <c r="A576" s="35" t="s">
        <v>908</v>
      </c>
      <c r="B576" s="49" t="str">
        <f>B572</f>
        <v>hide</v>
      </c>
      <c r="N576"/>
      <c r="Q576" s="33"/>
    </row>
    <row r="577" spans="1:19" ht="13.8" hidden="1" thickBot="1" x14ac:dyDescent="0.3">
      <c r="A577" t="s">
        <v>23</v>
      </c>
      <c r="B577" s="49" t="str">
        <f t="shared" ref="B577" si="403">B576</f>
        <v>hide</v>
      </c>
      <c r="D577" s="58"/>
      <c r="E577" s="58"/>
      <c r="F577" s="52">
        <f>SUM(F572:F576)</f>
        <v>0</v>
      </c>
      <c r="G577" s="52">
        <f>SUM(G572:G576)</f>
        <v>0</v>
      </c>
      <c r="H577" s="52">
        <f>SUM(H572:H576)</f>
        <v>0</v>
      </c>
      <c r="I577" s="52">
        <f>SUM(I572:I576)</f>
        <v>0</v>
      </c>
      <c r="J577" s="52">
        <f>SUM(J572:J576)</f>
        <v>0</v>
      </c>
      <c r="K577" s="52"/>
      <c r="L577" s="51" t="s">
        <v>4</v>
      </c>
      <c r="M577" s="58"/>
      <c r="N577" s="58"/>
      <c r="O577" s="58"/>
      <c r="P577" s="58"/>
      <c r="Q577" s="58"/>
      <c r="R577" s="58"/>
      <c r="S577" s="58"/>
    </row>
    <row r="578" spans="1:19" s="59" customFormat="1" ht="18.75" customHeight="1" thickBot="1" x14ac:dyDescent="0.3">
      <c r="A578" s="59" t="s">
        <v>23</v>
      </c>
      <c r="B578" s="60" t="str">
        <f t="shared" ref="B578:B579" si="404">IF(K578=0,"hide","")</f>
        <v/>
      </c>
      <c r="D578" s="61" t="str">
        <f>"04200"</f>
        <v>04200</v>
      </c>
      <c r="E578" s="62" t="str">
        <f>"3"</f>
        <v>3</v>
      </c>
      <c r="F578" s="63">
        <v>1302.0000000000002</v>
      </c>
      <c r="G578" s="63">
        <v>728</v>
      </c>
      <c r="H578" s="63">
        <v>294.83333333333331</v>
      </c>
      <c r="I578" s="63">
        <v>428.33333333333331</v>
      </c>
      <c r="J578" s="63">
        <v>297.86602409638556</v>
      </c>
      <c r="K578" s="63">
        <f>AVERAGE(I578:J578)</f>
        <v>363.09967871485946</v>
      </c>
      <c r="L578" s="64" t="str">
        <f>"SMART CHOICE ASST MUFFINS"</f>
        <v>SMART CHOICE ASST MUFFINS</v>
      </c>
      <c r="M578" s="65" t="str">
        <f>"GTIN01003354704200 72-2oz IW"</f>
        <v>GTIN01003354704200 72-2oz IW</v>
      </c>
      <c r="N578" s="66">
        <v>72</v>
      </c>
      <c r="O578" s="67" t="str">
        <f>""</f>
        <v/>
      </c>
      <c r="P578" s="68" t="e">
        <f>1/O578</f>
        <v>#VALUE!</v>
      </c>
      <c r="Q578" s="53">
        <v>1</v>
      </c>
      <c r="R578" s="69">
        <f t="shared" ref="R578" si="405">1/Q578</f>
        <v>1</v>
      </c>
      <c r="S578" s="70">
        <f t="shared" ref="S578" si="406">R578*N578</f>
        <v>72</v>
      </c>
    </row>
    <row r="579" spans="1:19" ht="15.6" hidden="1" customHeight="1" thickBot="1" x14ac:dyDescent="0.3">
      <c r="A579" t="s">
        <v>23</v>
      </c>
      <c r="B579" s="60" t="str">
        <f t="shared" si="404"/>
        <v>hide</v>
      </c>
      <c r="D579" s="48" t="str">
        <f>D578</f>
        <v>04200</v>
      </c>
      <c r="E579" s="7"/>
      <c r="F579" s="27">
        <v>0</v>
      </c>
      <c r="G579" s="27">
        <v>0</v>
      </c>
      <c r="H579" s="27">
        <v>0</v>
      </c>
      <c r="I579" s="27">
        <v>0</v>
      </c>
      <c r="J579" s="27">
        <v>0</v>
      </c>
      <c r="K579" s="63">
        <f>AVERAGE(I579:J579)</f>
        <v>0</v>
      </c>
      <c r="L579" s="56" t="str">
        <f>"EQP-LAWPACK1"</f>
        <v>EQP-LAWPACK1</v>
      </c>
      <c r="M579" s="14"/>
      <c r="N579" s="15"/>
      <c r="O579" s="12"/>
      <c r="P579" s="34"/>
      <c r="Q579" s="37"/>
      <c r="R579" s="47"/>
      <c r="S579" s="46"/>
    </row>
    <row r="580" spans="1:19" ht="15.6" hidden="1" customHeight="1" thickBot="1" x14ac:dyDescent="0.3">
      <c r="A580" t="s">
        <v>23</v>
      </c>
      <c r="B580" s="60" t="str">
        <f t="shared" ref="B580:B582" si="407">IF(K580=0,"hide","")</f>
        <v>hide</v>
      </c>
      <c r="D580" s="48" t="str">
        <f>D579</f>
        <v>04200</v>
      </c>
      <c r="E580" s="7"/>
      <c r="F580" s="27">
        <v>0</v>
      </c>
      <c r="G580" s="27">
        <v>0</v>
      </c>
      <c r="H580" s="27">
        <v>0</v>
      </c>
      <c r="I580" s="27">
        <v>0</v>
      </c>
      <c r="J580" s="27">
        <v>0</v>
      </c>
      <c r="K580" s="63">
        <f>AVERAGE(I580:J580)</f>
        <v>0</v>
      </c>
      <c r="L580" s="56" t="str">
        <f>"EQP-LAWPACK2"</f>
        <v>EQP-LAWPACK2</v>
      </c>
      <c r="M580" s="14"/>
      <c r="N580" s="15"/>
      <c r="O580" s="12"/>
      <c r="P580" s="34"/>
      <c r="Q580" s="37"/>
      <c r="R580" s="47"/>
      <c r="S580" s="46"/>
    </row>
    <row r="581" spans="1:19" ht="15.6" hidden="1" customHeight="1" thickBot="1" x14ac:dyDescent="0.3">
      <c r="A581" t="s">
        <v>23</v>
      </c>
      <c r="B581" s="60" t="str">
        <f t="shared" si="407"/>
        <v>hide</v>
      </c>
      <c r="D581" s="48" t="str">
        <f>D580</f>
        <v>04200</v>
      </c>
      <c r="E581" s="7"/>
      <c r="F581" s="27">
        <v>0</v>
      </c>
      <c r="G581" s="27">
        <v>0</v>
      </c>
      <c r="H581" s="27">
        <v>0</v>
      </c>
      <c r="I581" s="27">
        <v>0</v>
      </c>
      <c r="J581" s="27">
        <v>0</v>
      </c>
      <c r="K581" s="63">
        <f>AVERAGE(I581:J581)</f>
        <v>0</v>
      </c>
      <c r="L581" s="56" t="str">
        <f>"SW-COMAS-PACKL"</f>
        <v>SW-COMAS-PACKL</v>
      </c>
      <c r="M581" s="14"/>
      <c r="N581" s="15"/>
      <c r="O581" s="12"/>
      <c r="P581" s="34"/>
      <c r="Q581" s="37"/>
      <c r="R581" s="47"/>
      <c r="S581" s="46"/>
    </row>
    <row r="582" spans="1:19" ht="15.6" hidden="1" customHeight="1" thickBot="1" x14ac:dyDescent="0.3">
      <c r="A582" t="s">
        <v>23</v>
      </c>
      <c r="B582" s="60" t="str">
        <f t="shared" si="407"/>
        <v>hide</v>
      </c>
      <c r="D582" s="48" t="str">
        <f>D581</f>
        <v>04200</v>
      </c>
      <c r="E582" s="7"/>
      <c r="F582" s="27">
        <v>0</v>
      </c>
      <c r="G582" s="27">
        <v>0</v>
      </c>
      <c r="H582" s="27">
        <v>0</v>
      </c>
      <c r="I582" s="27">
        <v>0</v>
      </c>
      <c r="J582" s="27">
        <v>0</v>
      </c>
      <c r="K582" s="63">
        <f>AVERAGE(I582:J582)</f>
        <v>0</v>
      </c>
      <c r="L582" s="56" t="str">
        <f>"SW-RISER-PACK"</f>
        <v>SW-RISER-PACK</v>
      </c>
      <c r="M582" s="14"/>
      <c r="N582" s="15"/>
      <c r="O582" s="12"/>
      <c r="P582" s="34"/>
      <c r="Q582" s="37"/>
      <c r="R582" s="47"/>
      <c r="S582" s="46"/>
    </row>
    <row r="583" spans="1:19" ht="12" hidden="1" customHeight="1" x14ac:dyDescent="0.3">
      <c r="A583" s="35" t="s">
        <v>908</v>
      </c>
      <c r="B583" s="49" t="str">
        <f>B579</f>
        <v>hide</v>
      </c>
      <c r="N583"/>
      <c r="Q583" s="33"/>
    </row>
    <row r="584" spans="1:19" ht="13.8" hidden="1" thickBot="1" x14ac:dyDescent="0.3">
      <c r="A584" t="s">
        <v>23</v>
      </c>
      <c r="B584" s="49" t="str">
        <f t="shared" ref="B584" si="408">B583</f>
        <v>hide</v>
      </c>
      <c r="D584" s="58"/>
      <c r="E584" s="58"/>
      <c r="F584" s="52">
        <f>SUM(F579:F583)</f>
        <v>0</v>
      </c>
      <c r="G584" s="52">
        <f>SUM(G579:G583)</f>
        <v>0</v>
      </c>
      <c r="H584" s="52">
        <f>SUM(H579:H583)</f>
        <v>0</v>
      </c>
      <c r="I584" s="52">
        <f>SUM(I579:I583)</f>
        <v>0</v>
      </c>
      <c r="J584" s="52">
        <f>SUM(J579:J583)</f>
        <v>0</v>
      </c>
      <c r="K584" s="52"/>
      <c r="L584" s="51" t="s">
        <v>4</v>
      </c>
      <c r="M584" s="58"/>
      <c r="N584" s="58"/>
      <c r="O584" s="58"/>
      <c r="P584" s="58"/>
      <c r="Q584" s="58"/>
      <c r="R584" s="58"/>
      <c r="S584" s="58"/>
    </row>
    <row r="585" spans="1:19" s="59" customFormat="1" ht="18.75" hidden="1" customHeight="1" thickBot="1" x14ac:dyDescent="0.3">
      <c r="A585" s="59" t="s">
        <v>23</v>
      </c>
      <c r="B585" s="60" t="str">
        <f t="shared" ref="B585:B586" si="409">IF(K585=0,"hide","")</f>
        <v>hide</v>
      </c>
      <c r="D585" s="61" t="str">
        <f>"04501"</f>
        <v>04501</v>
      </c>
      <c r="E585" s="62" t="str">
        <f>"2"</f>
        <v>2</v>
      </c>
      <c r="F585" s="63">
        <v>1178.3333333333333</v>
      </c>
      <c r="G585" s="63">
        <v>618.16666666666663</v>
      </c>
      <c r="H585" s="63">
        <v>0</v>
      </c>
      <c r="I585" s="63">
        <v>0</v>
      </c>
      <c r="J585" s="63">
        <v>0</v>
      </c>
      <c r="K585" s="63">
        <f>AVERAGE(I585:J585)</f>
        <v>0</v>
      </c>
      <c r="L585" s="64" t="str">
        <f>"Blueberry WG Mini Loaves"</f>
        <v>Blueberry WG Mini Loaves</v>
      </c>
      <c r="M585" s="65" t="str">
        <f>"48-2oz. I.W."</f>
        <v>48-2oz. I.W.</v>
      </c>
      <c r="N585" s="66">
        <v>48</v>
      </c>
      <c r="O585" s="67" t="str">
        <f>""</f>
        <v/>
      </c>
      <c r="P585" s="68" t="e">
        <f>1/O585</f>
        <v>#VALUE!</v>
      </c>
      <c r="Q585" s="53">
        <v>1</v>
      </c>
      <c r="R585" s="69">
        <f t="shared" ref="R585" si="410">1/Q585</f>
        <v>1</v>
      </c>
      <c r="S585" s="70">
        <f t="shared" ref="S585" si="411">R585*N585</f>
        <v>48</v>
      </c>
    </row>
    <row r="586" spans="1:19" ht="15.6" hidden="1" customHeight="1" thickBot="1" x14ac:dyDescent="0.3">
      <c r="A586" t="s">
        <v>23</v>
      </c>
      <c r="B586" s="60" t="str">
        <f t="shared" si="409"/>
        <v>hide</v>
      </c>
      <c r="D586" s="48" t="str">
        <f>D585</f>
        <v>04501</v>
      </c>
      <c r="E586" s="7"/>
      <c r="F586" s="27">
        <v>0</v>
      </c>
      <c r="G586" s="27">
        <v>0</v>
      </c>
      <c r="H586" s="27">
        <v>0</v>
      </c>
      <c r="I586" s="27">
        <v>0</v>
      </c>
      <c r="J586" s="27">
        <v>0</v>
      </c>
      <c r="K586" s="63">
        <f>AVERAGE(I586:J586)</f>
        <v>0</v>
      </c>
      <c r="L586" s="56" t="str">
        <f>"EQP-LAWPACK1"</f>
        <v>EQP-LAWPACK1</v>
      </c>
      <c r="M586" s="14"/>
      <c r="N586" s="15"/>
      <c r="O586" s="12"/>
      <c r="P586" s="34"/>
      <c r="Q586" s="37"/>
      <c r="R586" s="47"/>
      <c r="S586" s="46"/>
    </row>
    <row r="587" spans="1:19" ht="15.6" hidden="1" customHeight="1" thickBot="1" x14ac:dyDescent="0.3">
      <c r="A587" t="s">
        <v>23</v>
      </c>
      <c r="B587" s="60" t="str">
        <f t="shared" ref="B587:B589" si="412">IF(K587=0,"hide","")</f>
        <v>hide</v>
      </c>
      <c r="D587" s="48" t="str">
        <f>D586</f>
        <v>04501</v>
      </c>
      <c r="E587" s="7"/>
      <c r="F587" s="27">
        <v>0</v>
      </c>
      <c r="G587" s="27">
        <v>0</v>
      </c>
      <c r="H587" s="27">
        <v>0</v>
      </c>
      <c r="I587" s="27">
        <v>0</v>
      </c>
      <c r="J587" s="27">
        <v>0</v>
      </c>
      <c r="K587" s="63">
        <f>AVERAGE(I587:J587)</f>
        <v>0</v>
      </c>
      <c r="L587" s="56" t="str">
        <f>"EQP-LAWPACK2"</f>
        <v>EQP-LAWPACK2</v>
      </c>
      <c r="M587" s="14"/>
      <c r="N587" s="15"/>
      <c r="O587" s="12"/>
      <c r="P587" s="34"/>
      <c r="Q587" s="37"/>
      <c r="R587" s="47"/>
      <c r="S587" s="46"/>
    </row>
    <row r="588" spans="1:19" ht="15.6" hidden="1" customHeight="1" thickBot="1" x14ac:dyDescent="0.3">
      <c r="A588" t="s">
        <v>23</v>
      </c>
      <c r="B588" s="60" t="str">
        <f t="shared" si="412"/>
        <v>hide</v>
      </c>
      <c r="D588" s="48" t="str">
        <f>D587</f>
        <v>04501</v>
      </c>
      <c r="E588" s="7"/>
      <c r="F588" s="27">
        <v>0</v>
      </c>
      <c r="G588" s="27">
        <v>0</v>
      </c>
      <c r="H588" s="27">
        <v>0</v>
      </c>
      <c r="I588" s="27">
        <v>0</v>
      </c>
      <c r="J588" s="27">
        <v>0</v>
      </c>
      <c r="K588" s="63">
        <f>AVERAGE(I588:J588)</f>
        <v>0</v>
      </c>
      <c r="L588" s="56" t="str">
        <f>"SW-COMAS-PACKL"</f>
        <v>SW-COMAS-PACKL</v>
      </c>
      <c r="M588" s="14"/>
      <c r="N588" s="15"/>
      <c r="O588" s="12"/>
      <c r="P588" s="34"/>
      <c r="Q588" s="37"/>
      <c r="R588" s="47"/>
      <c r="S588" s="46"/>
    </row>
    <row r="589" spans="1:19" ht="15.6" hidden="1" customHeight="1" thickBot="1" x14ac:dyDescent="0.3">
      <c r="A589" t="s">
        <v>23</v>
      </c>
      <c r="B589" s="60" t="str">
        <f t="shared" si="412"/>
        <v>hide</v>
      </c>
      <c r="D589" s="48" t="str">
        <f>D588</f>
        <v>04501</v>
      </c>
      <c r="E589" s="7"/>
      <c r="F589" s="27">
        <v>0</v>
      </c>
      <c r="G589" s="27">
        <v>0</v>
      </c>
      <c r="H589" s="27">
        <v>0</v>
      </c>
      <c r="I589" s="27">
        <v>0</v>
      </c>
      <c r="J589" s="27">
        <v>0</v>
      </c>
      <c r="K589" s="63">
        <f>AVERAGE(I589:J589)</f>
        <v>0</v>
      </c>
      <c r="L589" s="56" t="str">
        <f>"SW-RISER-PACK"</f>
        <v>SW-RISER-PACK</v>
      </c>
      <c r="M589" s="14"/>
      <c r="N589" s="15"/>
      <c r="O589" s="12"/>
      <c r="P589" s="34"/>
      <c r="Q589" s="37"/>
      <c r="R589" s="47"/>
      <c r="S589" s="46"/>
    </row>
    <row r="590" spans="1:19" ht="12" hidden="1" customHeight="1" x14ac:dyDescent="0.3">
      <c r="A590" s="35" t="s">
        <v>908</v>
      </c>
      <c r="B590" s="49" t="str">
        <f>B586</f>
        <v>hide</v>
      </c>
      <c r="N590"/>
      <c r="Q590" s="33"/>
    </row>
    <row r="591" spans="1:19" ht="13.8" hidden="1" thickBot="1" x14ac:dyDescent="0.3">
      <c r="A591" t="s">
        <v>23</v>
      </c>
      <c r="B591" s="49" t="str">
        <f t="shared" ref="B591" si="413">B590</f>
        <v>hide</v>
      </c>
      <c r="D591" s="58"/>
      <c r="E591" s="58"/>
      <c r="F591" s="52">
        <f>SUM(F586:F590)</f>
        <v>0</v>
      </c>
      <c r="G591" s="52">
        <f>SUM(G586:G590)</f>
        <v>0</v>
      </c>
      <c r="H591" s="52">
        <f>SUM(H586:H590)</f>
        <v>0</v>
      </c>
      <c r="I591" s="52">
        <f>SUM(I586:I590)</f>
        <v>0</v>
      </c>
      <c r="J591" s="52">
        <f>SUM(J586:J590)</f>
        <v>0</v>
      </c>
      <c r="K591" s="52"/>
      <c r="L591" s="51" t="s">
        <v>4</v>
      </c>
      <c r="M591" s="58"/>
      <c r="N591" s="58"/>
      <c r="O591" s="58"/>
      <c r="P591" s="58"/>
      <c r="Q591" s="58"/>
      <c r="R591" s="58"/>
      <c r="S591" s="58"/>
    </row>
    <row r="592" spans="1:19" s="59" customFormat="1" ht="18.75" customHeight="1" thickBot="1" x14ac:dyDescent="0.3">
      <c r="A592" s="59" t="s">
        <v>23</v>
      </c>
      <c r="B592" s="60" t="str">
        <f t="shared" ref="B592:B593" si="414">IF(K592=0,"hide","")</f>
        <v/>
      </c>
      <c r="D592" s="61" t="str">
        <f>"04503"</f>
        <v>04503</v>
      </c>
      <c r="E592" s="62" t="str">
        <f>"1"</f>
        <v>1</v>
      </c>
      <c r="F592" s="63">
        <v>0</v>
      </c>
      <c r="G592" s="63">
        <v>145.33333333333331</v>
      </c>
      <c r="H592" s="63">
        <v>721.83333333333337</v>
      </c>
      <c r="I592" s="63">
        <v>1284.0833333333333</v>
      </c>
      <c r="J592" s="63">
        <v>842.45349397590383</v>
      </c>
      <c r="K592" s="63">
        <f>AVERAGE(I592:J592)</f>
        <v>1063.2684136546186</v>
      </c>
      <c r="L592" s="64" t="str">
        <f>"WG Cranberry Orange Mini Loaves"</f>
        <v>WG Cranberry Orange Mini Loaves</v>
      </c>
      <c r="M592" s="65" t="str">
        <f>"48-2oz. I.W."</f>
        <v>48-2oz. I.W.</v>
      </c>
      <c r="N592" s="66">
        <v>48</v>
      </c>
      <c r="O592" s="67" t="str">
        <f>""</f>
        <v/>
      </c>
      <c r="P592" s="68" t="e">
        <f>1/O592</f>
        <v>#VALUE!</v>
      </c>
      <c r="Q592" s="53">
        <v>1</v>
      </c>
      <c r="R592" s="69">
        <f t="shared" ref="R592" si="415">1/Q592</f>
        <v>1</v>
      </c>
      <c r="S592" s="70">
        <f t="shared" ref="S592" si="416">R592*N592</f>
        <v>48</v>
      </c>
    </row>
    <row r="593" spans="1:19" ht="15.6" hidden="1" customHeight="1" thickBot="1" x14ac:dyDescent="0.3">
      <c r="A593" t="s">
        <v>23</v>
      </c>
      <c r="B593" s="60" t="str">
        <f t="shared" si="414"/>
        <v>hide</v>
      </c>
      <c r="D593" s="48" t="str">
        <f>D592</f>
        <v>04503</v>
      </c>
      <c r="E593" s="7"/>
      <c r="F593" s="27">
        <v>0</v>
      </c>
      <c r="G593" s="27">
        <v>0</v>
      </c>
      <c r="H593" s="27">
        <v>0</v>
      </c>
      <c r="I593" s="27">
        <v>0</v>
      </c>
      <c r="J593" s="27">
        <v>0</v>
      </c>
      <c r="K593" s="63">
        <f>AVERAGE(I593:J593)</f>
        <v>0</v>
      </c>
      <c r="L593" s="56" t="str">
        <f>"EQP-LAWPACK1"</f>
        <v>EQP-LAWPACK1</v>
      </c>
      <c r="M593" s="14"/>
      <c r="N593" s="15"/>
      <c r="O593" s="12"/>
      <c r="P593" s="34"/>
      <c r="Q593" s="37"/>
      <c r="R593" s="47"/>
      <c r="S593" s="46"/>
    </row>
    <row r="594" spans="1:19" ht="15.6" hidden="1" customHeight="1" thickBot="1" x14ac:dyDescent="0.3">
      <c r="A594" t="s">
        <v>23</v>
      </c>
      <c r="B594" s="60" t="str">
        <f t="shared" ref="B594:B596" si="417">IF(K594=0,"hide","")</f>
        <v>hide</v>
      </c>
      <c r="D594" s="48" t="str">
        <f>D593</f>
        <v>04503</v>
      </c>
      <c r="E594" s="7"/>
      <c r="F594" s="27">
        <v>0</v>
      </c>
      <c r="G594" s="27">
        <v>0</v>
      </c>
      <c r="H594" s="27">
        <v>0</v>
      </c>
      <c r="I594" s="27">
        <v>0</v>
      </c>
      <c r="J594" s="27">
        <v>0</v>
      </c>
      <c r="K594" s="63">
        <f>AVERAGE(I594:J594)</f>
        <v>0</v>
      </c>
      <c r="L594" s="56" t="str">
        <f>"EQP-LAWPACK2"</f>
        <v>EQP-LAWPACK2</v>
      </c>
      <c r="M594" s="14"/>
      <c r="N594" s="15"/>
      <c r="O594" s="12"/>
      <c r="P594" s="34"/>
      <c r="Q594" s="37"/>
      <c r="R594" s="47"/>
      <c r="S594" s="46"/>
    </row>
    <row r="595" spans="1:19" ht="15.6" hidden="1" customHeight="1" thickBot="1" x14ac:dyDescent="0.3">
      <c r="A595" t="s">
        <v>23</v>
      </c>
      <c r="B595" s="60" t="str">
        <f t="shared" si="417"/>
        <v>hide</v>
      </c>
      <c r="D595" s="48" t="str">
        <f>D594</f>
        <v>04503</v>
      </c>
      <c r="E595" s="7"/>
      <c r="F595" s="27">
        <v>0</v>
      </c>
      <c r="G595" s="27">
        <v>0</v>
      </c>
      <c r="H595" s="27">
        <v>0</v>
      </c>
      <c r="I595" s="27">
        <v>0</v>
      </c>
      <c r="J595" s="27">
        <v>0</v>
      </c>
      <c r="K595" s="63">
        <f>AVERAGE(I595:J595)</f>
        <v>0</v>
      </c>
      <c r="L595" s="56" t="str">
        <f>"SW-COMAS-PACKL"</f>
        <v>SW-COMAS-PACKL</v>
      </c>
      <c r="M595" s="14"/>
      <c r="N595" s="15"/>
      <c r="O595" s="12"/>
      <c r="P595" s="34"/>
      <c r="Q595" s="37"/>
      <c r="R595" s="47"/>
      <c r="S595" s="46"/>
    </row>
    <row r="596" spans="1:19" ht="15.6" hidden="1" customHeight="1" thickBot="1" x14ac:dyDescent="0.3">
      <c r="A596" t="s">
        <v>23</v>
      </c>
      <c r="B596" s="60" t="str">
        <f t="shared" si="417"/>
        <v>hide</v>
      </c>
      <c r="D596" s="48" t="str">
        <f>D595</f>
        <v>04503</v>
      </c>
      <c r="E596" s="7"/>
      <c r="F596" s="27">
        <v>0</v>
      </c>
      <c r="G596" s="27">
        <v>0</v>
      </c>
      <c r="H596" s="27">
        <v>0</v>
      </c>
      <c r="I596" s="27">
        <v>0</v>
      </c>
      <c r="J596" s="27">
        <v>0</v>
      </c>
      <c r="K596" s="63">
        <f>AVERAGE(I596:J596)</f>
        <v>0</v>
      </c>
      <c r="L596" s="56" t="str">
        <f>"SW-RISER-PACK"</f>
        <v>SW-RISER-PACK</v>
      </c>
      <c r="M596" s="14"/>
      <c r="N596" s="15"/>
      <c r="O596" s="12"/>
      <c r="P596" s="34"/>
      <c r="Q596" s="37"/>
      <c r="R596" s="47"/>
      <c r="S596" s="46"/>
    </row>
    <row r="597" spans="1:19" ht="12" hidden="1" customHeight="1" x14ac:dyDescent="0.3">
      <c r="A597" s="35" t="s">
        <v>908</v>
      </c>
      <c r="B597" s="49" t="str">
        <f>B593</f>
        <v>hide</v>
      </c>
      <c r="N597"/>
      <c r="Q597" s="33"/>
    </row>
    <row r="598" spans="1:19" ht="13.8" hidden="1" thickBot="1" x14ac:dyDescent="0.3">
      <c r="A598" t="s">
        <v>23</v>
      </c>
      <c r="B598" s="49" t="str">
        <f t="shared" ref="B598" si="418">B597</f>
        <v>hide</v>
      </c>
      <c r="D598" s="58"/>
      <c r="E598" s="58"/>
      <c r="F598" s="52">
        <f>SUM(F593:F597)</f>
        <v>0</v>
      </c>
      <c r="G598" s="52">
        <f>SUM(G593:G597)</f>
        <v>0</v>
      </c>
      <c r="H598" s="52">
        <f>SUM(H593:H597)</f>
        <v>0</v>
      </c>
      <c r="I598" s="52">
        <f>SUM(I593:I597)</f>
        <v>0</v>
      </c>
      <c r="J598" s="52">
        <f>SUM(J593:J597)</f>
        <v>0</v>
      </c>
      <c r="K598" s="52"/>
      <c r="L598" s="51" t="s">
        <v>4</v>
      </c>
      <c r="M598" s="58"/>
      <c r="N598" s="58"/>
      <c r="O598" s="58"/>
      <c r="P598" s="58"/>
      <c r="Q598" s="58"/>
      <c r="R598" s="58"/>
      <c r="S598" s="58"/>
    </row>
    <row r="599" spans="1:19" s="59" customFormat="1" ht="18.75" hidden="1" customHeight="1" thickBot="1" x14ac:dyDescent="0.3">
      <c r="A599" s="59" t="s">
        <v>23</v>
      </c>
      <c r="B599" s="60" t="str">
        <f t="shared" ref="B599:B600" si="419">IF(K599=0,"hide","")</f>
        <v>hide</v>
      </c>
      <c r="D599" s="61" t="str">
        <f>"04530"</f>
        <v>04530</v>
      </c>
      <c r="E599" s="62" t="str">
        <f>"7"</f>
        <v>7</v>
      </c>
      <c r="F599" s="63">
        <v>0</v>
      </c>
      <c r="G599" s="63">
        <v>0</v>
      </c>
      <c r="H599" s="63">
        <v>0</v>
      </c>
      <c r="I599" s="63">
        <v>0</v>
      </c>
      <c r="J599" s="63">
        <v>0</v>
      </c>
      <c r="K599" s="63">
        <f>AVERAGE(I599:J599)</f>
        <v>0</v>
      </c>
      <c r="L599" s="64" t="str">
        <f>"Fudgy Brownie"</f>
        <v>Fudgy Brownie</v>
      </c>
      <c r="M599" s="65" t="str">
        <f>"36-1.5 oz. I.W."</f>
        <v>36-1.5 oz. I.W.</v>
      </c>
      <c r="N599" s="66">
        <v>36</v>
      </c>
      <c r="O599" s="67" t="str">
        <f>""</f>
        <v/>
      </c>
      <c r="P599" s="68" t="e">
        <f>1/O599</f>
        <v>#VALUE!</v>
      </c>
      <c r="Q599" s="53">
        <v>1</v>
      </c>
      <c r="R599" s="69">
        <f t="shared" ref="R599" si="420">1/Q599</f>
        <v>1</v>
      </c>
      <c r="S599" s="70">
        <f t="shared" ref="S599" si="421">R599*N599</f>
        <v>36</v>
      </c>
    </row>
    <row r="600" spans="1:19" ht="15.6" hidden="1" customHeight="1" thickBot="1" x14ac:dyDescent="0.3">
      <c r="A600" t="s">
        <v>23</v>
      </c>
      <c r="B600" s="60" t="str">
        <f t="shared" si="419"/>
        <v>hide</v>
      </c>
      <c r="D600" s="48" t="str">
        <f>D599</f>
        <v>04530</v>
      </c>
      <c r="E600" s="7"/>
      <c r="F600" s="27">
        <v>0</v>
      </c>
      <c r="G600" s="27">
        <v>0</v>
      </c>
      <c r="H600" s="27">
        <v>0</v>
      </c>
      <c r="I600" s="27">
        <v>0</v>
      </c>
      <c r="J600" s="27">
        <v>0</v>
      </c>
      <c r="K600" s="63">
        <f>AVERAGE(I600:J600)</f>
        <v>0</v>
      </c>
      <c r="L600" s="56" t="str">
        <f>"EQP-LAWPACK1"</f>
        <v>EQP-LAWPACK1</v>
      </c>
      <c r="M600" s="14"/>
      <c r="N600" s="15"/>
      <c r="O600" s="12"/>
      <c r="P600" s="34"/>
      <c r="Q600" s="37"/>
      <c r="R600" s="47"/>
      <c r="S600" s="46"/>
    </row>
    <row r="601" spans="1:19" ht="15.6" hidden="1" customHeight="1" thickBot="1" x14ac:dyDescent="0.3">
      <c r="A601" t="s">
        <v>23</v>
      </c>
      <c r="B601" s="60" t="str">
        <f t="shared" ref="B601:B603" si="422">IF(K601=0,"hide","")</f>
        <v>hide</v>
      </c>
      <c r="D601" s="48" t="str">
        <f>D600</f>
        <v>04530</v>
      </c>
      <c r="E601" s="7"/>
      <c r="F601" s="27">
        <v>0</v>
      </c>
      <c r="G601" s="27">
        <v>0</v>
      </c>
      <c r="H601" s="27">
        <v>0</v>
      </c>
      <c r="I601" s="27">
        <v>0</v>
      </c>
      <c r="J601" s="27">
        <v>0</v>
      </c>
      <c r="K601" s="63">
        <f>AVERAGE(I601:J601)</f>
        <v>0</v>
      </c>
      <c r="L601" s="56" t="str">
        <f>"EQP-LAWPACK2"</f>
        <v>EQP-LAWPACK2</v>
      </c>
      <c r="M601" s="14"/>
      <c r="N601" s="15"/>
      <c r="O601" s="12"/>
      <c r="P601" s="34"/>
      <c r="Q601" s="37"/>
      <c r="R601" s="47"/>
      <c r="S601" s="46"/>
    </row>
    <row r="602" spans="1:19" ht="15.6" hidden="1" customHeight="1" thickBot="1" x14ac:dyDescent="0.3">
      <c r="A602" t="s">
        <v>23</v>
      </c>
      <c r="B602" s="60" t="str">
        <f t="shared" si="422"/>
        <v>hide</v>
      </c>
      <c r="D602" s="48" t="str">
        <f>D601</f>
        <v>04530</v>
      </c>
      <c r="E602" s="7"/>
      <c r="F602" s="27">
        <v>0</v>
      </c>
      <c r="G602" s="27">
        <v>0</v>
      </c>
      <c r="H602" s="27">
        <v>0</v>
      </c>
      <c r="I602" s="27">
        <v>0</v>
      </c>
      <c r="J602" s="27">
        <v>0</v>
      </c>
      <c r="K602" s="63">
        <f>AVERAGE(I602:J602)</f>
        <v>0</v>
      </c>
      <c r="L602" s="56" t="str">
        <f>"SW-COMAS-PACKL"</f>
        <v>SW-COMAS-PACKL</v>
      </c>
      <c r="M602" s="14"/>
      <c r="N602" s="15"/>
      <c r="O602" s="12"/>
      <c r="P602" s="34"/>
      <c r="Q602" s="37"/>
      <c r="R602" s="47"/>
      <c r="S602" s="46"/>
    </row>
    <row r="603" spans="1:19" ht="15.6" hidden="1" customHeight="1" thickBot="1" x14ac:dyDescent="0.3">
      <c r="A603" t="s">
        <v>23</v>
      </c>
      <c r="B603" s="60" t="str">
        <f t="shared" si="422"/>
        <v>hide</v>
      </c>
      <c r="D603" s="48" t="str">
        <f>D602</f>
        <v>04530</v>
      </c>
      <c r="E603" s="7"/>
      <c r="F603" s="27">
        <v>0</v>
      </c>
      <c r="G603" s="27">
        <v>0</v>
      </c>
      <c r="H603" s="27">
        <v>0</v>
      </c>
      <c r="I603" s="27">
        <v>0</v>
      </c>
      <c r="J603" s="27">
        <v>0</v>
      </c>
      <c r="K603" s="63">
        <f>AVERAGE(I603:J603)</f>
        <v>0</v>
      </c>
      <c r="L603" s="56" t="str">
        <f>"SW-RISER-PACK"</f>
        <v>SW-RISER-PACK</v>
      </c>
      <c r="M603" s="14"/>
      <c r="N603" s="15"/>
      <c r="O603" s="12"/>
      <c r="P603" s="34"/>
      <c r="Q603" s="37"/>
      <c r="R603" s="47"/>
      <c r="S603" s="46"/>
    </row>
    <row r="604" spans="1:19" ht="12" hidden="1" customHeight="1" x14ac:dyDescent="0.3">
      <c r="A604" s="35" t="s">
        <v>908</v>
      </c>
      <c r="B604" s="49" t="str">
        <f>B600</f>
        <v>hide</v>
      </c>
      <c r="N604"/>
      <c r="Q604" s="33"/>
    </row>
    <row r="605" spans="1:19" ht="13.8" hidden="1" thickBot="1" x14ac:dyDescent="0.3">
      <c r="A605" t="s">
        <v>23</v>
      </c>
      <c r="B605" s="49" t="str">
        <f t="shared" ref="B605" si="423">B604</f>
        <v>hide</v>
      </c>
      <c r="D605" s="58"/>
      <c r="E605" s="58"/>
      <c r="F605" s="52">
        <f>SUM(F600:F604)</f>
        <v>0</v>
      </c>
      <c r="G605" s="52">
        <f>SUM(G600:G604)</f>
        <v>0</v>
      </c>
      <c r="H605" s="52">
        <f>SUM(H600:H604)</f>
        <v>0</v>
      </c>
      <c r="I605" s="52">
        <f>SUM(I600:I604)</f>
        <v>0</v>
      </c>
      <c r="J605" s="52">
        <f>SUM(J600:J604)</f>
        <v>0</v>
      </c>
      <c r="K605" s="52"/>
      <c r="L605" s="51" t="s">
        <v>4</v>
      </c>
      <c r="M605" s="58"/>
      <c r="N605" s="58"/>
      <c r="O605" s="58"/>
      <c r="P605" s="58"/>
      <c r="Q605" s="58"/>
      <c r="R605" s="58"/>
      <c r="S605" s="58"/>
    </row>
    <row r="606" spans="1:19" s="59" customFormat="1" ht="18.75" customHeight="1" thickBot="1" x14ac:dyDescent="0.3">
      <c r="A606" s="59" t="s">
        <v>23</v>
      </c>
      <c r="B606" s="60" t="str">
        <f t="shared" ref="B606:B607" si="424">IF(K606=0,"hide","")</f>
        <v/>
      </c>
      <c r="D606" s="61" t="str">
        <f>"04569"</f>
        <v>04569</v>
      </c>
      <c r="E606" s="62" t="str">
        <f>"2"</f>
        <v>2</v>
      </c>
      <c r="F606" s="63">
        <v>0</v>
      </c>
      <c r="G606" s="63">
        <v>0</v>
      </c>
      <c r="H606" s="63">
        <v>0</v>
      </c>
      <c r="I606" s="63">
        <v>158.41666666666666</v>
      </c>
      <c r="J606" s="63">
        <v>522.97036144578317</v>
      </c>
      <c r="K606" s="63">
        <f>AVERAGE(I606:J606)</f>
        <v>340.6935140562249</v>
      </c>
      <c r="L606" s="64" t="str">
        <f>"Veggie Cornbread Loaves"</f>
        <v>Veggie Cornbread Loaves</v>
      </c>
      <c r="M606" s="65" t="str">
        <f>"48-2oz. I.W."</f>
        <v>48-2oz. I.W.</v>
      </c>
      <c r="N606" s="66">
        <v>48</v>
      </c>
      <c r="O606" s="67" t="str">
        <f>""</f>
        <v/>
      </c>
      <c r="P606" s="68" t="e">
        <f>1/O606</f>
        <v>#VALUE!</v>
      </c>
      <c r="Q606" s="53">
        <v>1</v>
      </c>
      <c r="R606" s="69">
        <f t="shared" ref="R606" si="425">1/Q606</f>
        <v>1</v>
      </c>
      <c r="S606" s="70">
        <f t="shared" ref="S606" si="426">R606*N606</f>
        <v>48</v>
      </c>
    </row>
    <row r="607" spans="1:19" ht="15.6" hidden="1" customHeight="1" thickBot="1" x14ac:dyDescent="0.3">
      <c r="A607" t="s">
        <v>23</v>
      </c>
      <c r="B607" s="60" t="str">
        <f t="shared" si="424"/>
        <v>hide</v>
      </c>
      <c r="D607" s="48" t="str">
        <f>D606</f>
        <v>04569</v>
      </c>
      <c r="E607" s="7"/>
      <c r="F607" s="27">
        <v>0</v>
      </c>
      <c r="G607" s="27">
        <v>0</v>
      </c>
      <c r="H607" s="27">
        <v>0</v>
      </c>
      <c r="I607" s="27">
        <v>0</v>
      </c>
      <c r="J607" s="27">
        <v>0</v>
      </c>
      <c r="K607" s="63">
        <f>AVERAGE(I607:J607)</f>
        <v>0</v>
      </c>
      <c r="L607" s="56" t="str">
        <f>"EQP-LAWPACK1"</f>
        <v>EQP-LAWPACK1</v>
      </c>
      <c r="M607" s="14"/>
      <c r="N607" s="15"/>
      <c r="O607" s="12"/>
      <c r="P607" s="34"/>
      <c r="Q607" s="37"/>
      <c r="R607" s="47"/>
      <c r="S607" s="46"/>
    </row>
    <row r="608" spans="1:19" ht="15.6" hidden="1" customHeight="1" thickBot="1" x14ac:dyDescent="0.3">
      <c r="A608" t="s">
        <v>23</v>
      </c>
      <c r="B608" s="60" t="str">
        <f t="shared" ref="B608:B610" si="427">IF(K608=0,"hide","")</f>
        <v>hide</v>
      </c>
      <c r="D608" s="48" t="str">
        <f>D607</f>
        <v>04569</v>
      </c>
      <c r="E608" s="7"/>
      <c r="F608" s="27">
        <v>0</v>
      </c>
      <c r="G608" s="27">
        <v>0</v>
      </c>
      <c r="H608" s="27">
        <v>0</v>
      </c>
      <c r="I608" s="27">
        <v>0</v>
      </c>
      <c r="J608" s="27">
        <v>0</v>
      </c>
      <c r="K608" s="63">
        <f>AVERAGE(I608:J608)</f>
        <v>0</v>
      </c>
      <c r="L608" s="56" t="str">
        <f>"EQP-LAWPACK2"</f>
        <v>EQP-LAWPACK2</v>
      </c>
      <c r="M608" s="14"/>
      <c r="N608" s="15"/>
      <c r="O608" s="12"/>
      <c r="P608" s="34"/>
      <c r="Q608" s="37"/>
      <c r="R608" s="47"/>
      <c r="S608" s="46"/>
    </row>
    <row r="609" spans="1:19" ht="15.6" hidden="1" customHeight="1" thickBot="1" x14ac:dyDescent="0.3">
      <c r="A609" t="s">
        <v>23</v>
      </c>
      <c r="B609" s="60" t="str">
        <f t="shared" si="427"/>
        <v>hide</v>
      </c>
      <c r="D609" s="48" t="str">
        <f>D608</f>
        <v>04569</v>
      </c>
      <c r="E609" s="7"/>
      <c r="F609" s="27">
        <v>0</v>
      </c>
      <c r="G609" s="27">
        <v>0</v>
      </c>
      <c r="H609" s="27">
        <v>0</v>
      </c>
      <c r="I609" s="27">
        <v>0</v>
      </c>
      <c r="J609" s="27">
        <v>0</v>
      </c>
      <c r="K609" s="63">
        <f>AVERAGE(I609:J609)</f>
        <v>0</v>
      </c>
      <c r="L609" s="56" t="str">
        <f>"SW-COMAS-PACKL"</f>
        <v>SW-COMAS-PACKL</v>
      </c>
      <c r="M609" s="14"/>
      <c r="N609" s="15"/>
      <c r="O609" s="12"/>
      <c r="P609" s="34"/>
      <c r="Q609" s="37"/>
      <c r="R609" s="47"/>
      <c r="S609" s="46"/>
    </row>
    <row r="610" spans="1:19" ht="15.6" hidden="1" customHeight="1" thickBot="1" x14ac:dyDescent="0.3">
      <c r="A610" t="s">
        <v>23</v>
      </c>
      <c r="B610" s="60" t="str">
        <f t="shared" si="427"/>
        <v>hide</v>
      </c>
      <c r="D610" s="48" t="str">
        <f>D609</f>
        <v>04569</v>
      </c>
      <c r="E610" s="7"/>
      <c r="F610" s="27">
        <v>0</v>
      </c>
      <c r="G610" s="27">
        <v>0</v>
      </c>
      <c r="H610" s="27">
        <v>0</v>
      </c>
      <c r="I610" s="27">
        <v>0</v>
      </c>
      <c r="J610" s="27">
        <v>0</v>
      </c>
      <c r="K610" s="63">
        <f>AVERAGE(I610:J610)</f>
        <v>0</v>
      </c>
      <c r="L610" s="56" t="str">
        <f>"SW-RISER-PACK"</f>
        <v>SW-RISER-PACK</v>
      </c>
      <c r="M610" s="14"/>
      <c r="N610" s="15"/>
      <c r="O610" s="12"/>
      <c r="P610" s="34"/>
      <c r="Q610" s="37"/>
      <c r="R610" s="47"/>
      <c r="S610" s="46"/>
    </row>
    <row r="611" spans="1:19" ht="12" hidden="1" customHeight="1" x14ac:dyDescent="0.3">
      <c r="A611" s="35" t="s">
        <v>908</v>
      </c>
      <c r="B611" s="49" t="str">
        <f>B607</f>
        <v>hide</v>
      </c>
      <c r="N611"/>
      <c r="Q611" s="33"/>
    </row>
    <row r="612" spans="1:19" ht="13.8" hidden="1" thickBot="1" x14ac:dyDescent="0.3">
      <c r="A612" t="s">
        <v>23</v>
      </c>
      <c r="B612" s="49" t="str">
        <f t="shared" ref="B612" si="428">B611</f>
        <v>hide</v>
      </c>
      <c r="D612" s="58"/>
      <c r="E612" s="58"/>
      <c r="F612" s="52">
        <f>SUM(F607:F611)</f>
        <v>0</v>
      </c>
      <c r="G612" s="52">
        <f>SUM(G607:G611)</f>
        <v>0</v>
      </c>
      <c r="H612" s="52">
        <f>SUM(H607:H611)</f>
        <v>0</v>
      </c>
      <c r="I612" s="52">
        <f>SUM(I607:I611)</f>
        <v>0</v>
      </c>
      <c r="J612" s="52">
        <f>SUM(J607:J611)</f>
        <v>0</v>
      </c>
      <c r="K612" s="52"/>
      <c r="L612" s="51" t="s">
        <v>4</v>
      </c>
      <c r="M612" s="58"/>
      <c r="N612" s="58"/>
      <c r="O612" s="58"/>
      <c r="P612" s="58"/>
      <c r="Q612" s="58"/>
      <c r="R612" s="58"/>
      <c r="S612" s="58"/>
    </row>
    <row r="613" spans="1:19" s="59" customFormat="1" ht="18.75" hidden="1" customHeight="1" thickBot="1" x14ac:dyDescent="0.3">
      <c r="A613" s="59" t="s">
        <v>23</v>
      </c>
      <c r="B613" s="60" t="str">
        <f t="shared" ref="B613:B614" si="429">IF(K613=0,"hide","")</f>
        <v>hide</v>
      </c>
      <c r="D613" s="61" t="str">
        <f>"04605"</f>
        <v>04605</v>
      </c>
      <c r="E613" s="62" t="str">
        <f>"4"</f>
        <v>4</v>
      </c>
      <c r="F613" s="63">
        <v>765</v>
      </c>
      <c r="G613" s="63">
        <v>377.08333333333331</v>
      </c>
      <c r="H613" s="63">
        <v>0</v>
      </c>
      <c r="I613" s="63">
        <v>0</v>
      </c>
      <c r="J613" s="63">
        <v>0</v>
      </c>
      <c r="K613" s="63">
        <f>AVERAGE(I613:J613)</f>
        <v>0</v>
      </c>
      <c r="L613" s="64" t="str">
        <f>"CORNBREAD"</f>
        <v>CORNBREAD</v>
      </c>
      <c r="M613" s="65" t="str">
        <f>"24-2 oz. I.W."</f>
        <v>24-2 oz. I.W.</v>
      </c>
      <c r="N613" s="66">
        <v>24</v>
      </c>
      <c r="O613" s="67" t="str">
        <f>""</f>
        <v/>
      </c>
      <c r="P613" s="68" t="e">
        <f>1/O613</f>
        <v>#VALUE!</v>
      </c>
      <c r="Q613" s="53">
        <v>1</v>
      </c>
      <c r="R613" s="69">
        <f t="shared" ref="R613" si="430">1/Q613</f>
        <v>1</v>
      </c>
      <c r="S613" s="70">
        <f t="shared" ref="S613" si="431">R613*N613</f>
        <v>24</v>
      </c>
    </row>
    <row r="614" spans="1:19" ht="15.6" hidden="1" customHeight="1" thickBot="1" x14ac:dyDescent="0.3">
      <c r="A614" t="s">
        <v>23</v>
      </c>
      <c r="B614" s="60" t="str">
        <f t="shared" si="429"/>
        <v>hide</v>
      </c>
      <c r="D614" s="48" t="str">
        <f>D613</f>
        <v>04605</v>
      </c>
      <c r="E614" s="7"/>
      <c r="F614" s="27">
        <v>0</v>
      </c>
      <c r="G614" s="27">
        <v>0</v>
      </c>
      <c r="H614" s="27">
        <v>0</v>
      </c>
      <c r="I614" s="27">
        <v>0</v>
      </c>
      <c r="J614" s="27">
        <v>0</v>
      </c>
      <c r="K614" s="63">
        <f>AVERAGE(I614:J614)</f>
        <v>0</v>
      </c>
      <c r="L614" s="56" t="str">
        <f>"EQP-LAWPACK1"</f>
        <v>EQP-LAWPACK1</v>
      </c>
      <c r="M614" s="14"/>
      <c r="N614" s="15"/>
      <c r="O614" s="12"/>
      <c r="P614" s="34"/>
      <c r="Q614" s="37"/>
      <c r="R614" s="47"/>
      <c r="S614" s="46"/>
    </row>
    <row r="615" spans="1:19" ht="15.6" hidden="1" customHeight="1" thickBot="1" x14ac:dyDescent="0.3">
      <c r="A615" t="s">
        <v>23</v>
      </c>
      <c r="B615" s="60" t="str">
        <f t="shared" ref="B615:B617" si="432">IF(K615=0,"hide","")</f>
        <v>hide</v>
      </c>
      <c r="D615" s="48" t="str">
        <f>D614</f>
        <v>04605</v>
      </c>
      <c r="E615" s="7"/>
      <c r="F615" s="27">
        <v>0</v>
      </c>
      <c r="G615" s="27">
        <v>0</v>
      </c>
      <c r="H615" s="27">
        <v>0</v>
      </c>
      <c r="I615" s="27">
        <v>0</v>
      </c>
      <c r="J615" s="27">
        <v>0</v>
      </c>
      <c r="K615" s="63">
        <f>AVERAGE(I615:J615)</f>
        <v>0</v>
      </c>
      <c r="L615" s="56" t="str">
        <f>"EQP-LAWPACK2"</f>
        <v>EQP-LAWPACK2</v>
      </c>
      <c r="M615" s="14"/>
      <c r="N615" s="15"/>
      <c r="O615" s="12"/>
      <c r="P615" s="34"/>
      <c r="Q615" s="37"/>
      <c r="R615" s="47"/>
      <c r="S615" s="46"/>
    </row>
    <row r="616" spans="1:19" ht="15.6" hidden="1" customHeight="1" thickBot="1" x14ac:dyDescent="0.3">
      <c r="A616" t="s">
        <v>23</v>
      </c>
      <c r="B616" s="60" t="str">
        <f t="shared" si="432"/>
        <v>hide</v>
      </c>
      <c r="D616" s="48" t="str">
        <f>D615</f>
        <v>04605</v>
      </c>
      <c r="E616" s="7"/>
      <c r="F616" s="27">
        <v>0</v>
      </c>
      <c r="G616" s="27">
        <v>0</v>
      </c>
      <c r="H616" s="27">
        <v>0</v>
      </c>
      <c r="I616" s="27">
        <v>0</v>
      </c>
      <c r="J616" s="27">
        <v>0</v>
      </c>
      <c r="K616" s="63">
        <f>AVERAGE(I616:J616)</f>
        <v>0</v>
      </c>
      <c r="L616" s="56" t="str">
        <f>"SW-COMAS-PACKL"</f>
        <v>SW-COMAS-PACKL</v>
      </c>
      <c r="M616" s="14"/>
      <c r="N616" s="15"/>
      <c r="O616" s="12"/>
      <c r="P616" s="34"/>
      <c r="Q616" s="37"/>
      <c r="R616" s="47"/>
      <c r="S616" s="46"/>
    </row>
    <row r="617" spans="1:19" ht="15.6" hidden="1" customHeight="1" thickBot="1" x14ac:dyDescent="0.3">
      <c r="A617" t="s">
        <v>23</v>
      </c>
      <c r="B617" s="60" t="str">
        <f t="shared" si="432"/>
        <v>hide</v>
      </c>
      <c r="D617" s="48" t="str">
        <f>D616</f>
        <v>04605</v>
      </c>
      <c r="E617" s="7"/>
      <c r="F617" s="27">
        <v>0</v>
      </c>
      <c r="G617" s="27">
        <v>0</v>
      </c>
      <c r="H617" s="27">
        <v>0</v>
      </c>
      <c r="I617" s="27">
        <v>0</v>
      </c>
      <c r="J617" s="27">
        <v>0</v>
      </c>
      <c r="K617" s="63">
        <f>AVERAGE(I617:J617)</f>
        <v>0</v>
      </c>
      <c r="L617" s="56" t="str">
        <f>"SW-RISER-PACK"</f>
        <v>SW-RISER-PACK</v>
      </c>
      <c r="M617" s="14"/>
      <c r="N617" s="15"/>
      <c r="O617" s="12"/>
      <c r="P617" s="34"/>
      <c r="Q617" s="37"/>
      <c r="R617" s="47"/>
      <c r="S617" s="46"/>
    </row>
    <row r="618" spans="1:19" ht="12" hidden="1" customHeight="1" x14ac:dyDescent="0.3">
      <c r="A618" s="35" t="s">
        <v>908</v>
      </c>
      <c r="B618" s="49" t="str">
        <f>B614</f>
        <v>hide</v>
      </c>
      <c r="N618"/>
      <c r="Q618" s="33"/>
    </row>
    <row r="619" spans="1:19" ht="13.8" hidden="1" thickBot="1" x14ac:dyDescent="0.3">
      <c r="A619" t="s">
        <v>23</v>
      </c>
      <c r="B619" s="49" t="str">
        <f t="shared" ref="B619" si="433">B618</f>
        <v>hide</v>
      </c>
      <c r="D619" s="58"/>
      <c r="E619" s="58"/>
      <c r="F619" s="52">
        <f>SUM(F614:F618)</f>
        <v>0</v>
      </c>
      <c r="G619" s="52">
        <f>SUM(G614:G618)</f>
        <v>0</v>
      </c>
      <c r="H619" s="52">
        <f>SUM(H614:H618)</f>
        <v>0</v>
      </c>
      <c r="I619" s="52">
        <f>SUM(I614:I618)</f>
        <v>0</v>
      </c>
      <c r="J619" s="52">
        <f>SUM(J614:J618)</f>
        <v>0</v>
      </c>
      <c r="K619" s="52"/>
      <c r="L619" s="51" t="s">
        <v>4</v>
      </c>
      <c r="M619" s="58"/>
      <c r="N619" s="58"/>
      <c r="O619" s="58"/>
      <c r="P619" s="58"/>
      <c r="Q619" s="58"/>
      <c r="R619" s="58"/>
      <c r="S619" s="58"/>
    </row>
    <row r="620" spans="1:19" s="59" customFormat="1" ht="18.75" hidden="1" customHeight="1" thickBot="1" x14ac:dyDescent="0.3">
      <c r="A620" s="59" t="s">
        <v>23</v>
      </c>
      <c r="B620" s="60" t="str">
        <f t="shared" ref="B620:B622" si="434">IF(K620=0,"hide","")</f>
        <v>hide</v>
      </c>
      <c r="D620" s="61" t="str">
        <f>"04625"</f>
        <v>04625</v>
      </c>
      <c r="E620" s="62" t="str">
        <f>"1"</f>
        <v>1</v>
      </c>
      <c r="F620" s="63">
        <v>765</v>
      </c>
      <c r="G620" s="63">
        <v>372.25</v>
      </c>
      <c r="H620" s="63">
        <v>0</v>
      </c>
      <c r="I620" s="63">
        <v>0</v>
      </c>
      <c r="J620" s="63">
        <v>0</v>
      </c>
      <c r="K620" s="63">
        <f t="shared" ref="K620:K625" si="435">AVERAGE(I620:J620)</f>
        <v>0</v>
      </c>
      <c r="L620" s="64" t="str">
        <f>"JALAPENO CORNBREAD"</f>
        <v>JALAPENO CORNBREAD</v>
      </c>
      <c r="M620" s="65" t="str">
        <f>"24-2 oz. I.W."</f>
        <v>24-2 oz. I.W.</v>
      </c>
      <c r="N620" s="66">
        <v>24</v>
      </c>
      <c r="O620" s="67" t="str">
        <f>""</f>
        <v/>
      </c>
      <c r="P620" s="68" t="e">
        <f>1/O620</f>
        <v>#VALUE!</v>
      </c>
      <c r="Q620" s="53">
        <v>1</v>
      </c>
      <c r="R620" s="69">
        <f t="shared" ref="R620:R621" si="436">1/Q620</f>
        <v>1</v>
      </c>
      <c r="S620" s="70">
        <f t="shared" ref="S620" si="437">R620*N620</f>
        <v>24</v>
      </c>
    </row>
    <row r="621" spans="1:19" s="59" customFormat="1" ht="18.75" hidden="1" customHeight="1" thickBot="1" x14ac:dyDescent="0.3">
      <c r="A621" s="59" t="s">
        <v>23</v>
      </c>
      <c r="B621" s="60" t="str">
        <f t="shared" ref="B621" si="438">IF(K621=0,"hide","")</f>
        <v>hide</v>
      </c>
      <c r="D621" s="61" t="str">
        <f>"04625"</f>
        <v>04625</v>
      </c>
      <c r="E621" s="62" t="str">
        <f>"2"</f>
        <v>2</v>
      </c>
      <c r="F621" s="63">
        <v>765</v>
      </c>
      <c r="G621" s="63">
        <v>372.25</v>
      </c>
      <c r="H621" s="63">
        <v>0</v>
      </c>
      <c r="I621" s="63">
        <v>0</v>
      </c>
      <c r="J621" s="63">
        <v>0</v>
      </c>
      <c r="K621" s="63">
        <f t="shared" si="435"/>
        <v>0</v>
      </c>
      <c r="L621" s="64" t="str">
        <f>"JALAPENO CORNBREAD"</f>
        <v>JALAPENO CORNBREAD</v>
      </c>
      <c r="M621" s="65" t="str">
        <f>"24-2 oz. I.W."</f>
        <v>24-2 oz. I.W.</v>
      </c>
      <c r="N621" s="66">
        <v>24</v>
      </c>
      <c r="O621" s="67" t="str">
        <f>""</f>
        <v/>
      </c>
      <c r="P621" s="68" t="e">
        <f>1/O621</f>
        <v>#VALUE!</v>
      </c>
      <c r="Q621" s="53">
        <v>1</v>
      </c>
      <c r="R621" s="69">
        <f t="shared" si="436"/>
        <v>1</v>
      </c>
      <c r="S621" s="70">
        <f t="shared" ref="S621" si="439">R621*N621</f>
        <v>24</v>
      </c>
    </row>
    <row r="622" spans="1:19" ht="15.6" hidden="1" customHeight="1" thickBot="1" x14ac:dyDescent="0.3">
      <c r="A622" t="s">
        <v>23</v>
      </c>
      <c r="B622" s="60" t="str">
        <f t="shared" si="434"/>
        <v>hide</v>
      </c>
      <c r="D622" s="48" t="str">
        <f>D620</f>
        <v>04625</v>
      </c>
      <c r="E622" s="7"/>
      <c r="F622" s="27">
        <v>0</v>
      </c>
      <c r="G622" s="27">
        <v>0</v>
      </c>
      <c r="H622" s="27">
        <v>0</v>
      </c>
      <c r="I622" s="27">
        <v>0</v>
      </c>
      <c r="J622" s="27">
        <v>0</v>
      </c>
      <c r="K622" s="63">
        <f t="shared" si="435"/>
        <v>0</v>
      </c>
      <c r="L622" s="56" t="str">
        <f>"EQP-LAWPACK1"</f>
        <v>EQP-LAWPACK1</v>
      </c>
      <c r="M622" s="14"/>
      <c r="N622" s="15"/>
      <c r="O622" s="12"/>
      <c r="P622" s="34"/>
      <c r="Q622" s="37"/>
      <c r="R622" s="47"/>
      <c r="S622" s="46"/>
    </row>
    <row r="623" spans="1:19" ht="15.6" hidden="1" customHeight="1" thickBot="1" x14ac:dyDescent="0.3">
      <c r="A623" t="s">
        <v>23</v>
      </c>
      <c r="B623" s="60" t="str">
        <f t="shared" ref="B623:B625" si="440">IF(K623=0,"hide","")</f>
        <v>hide</v>
      </c>
      <c r="D623" s="48" t="str">
        <f>D621</f>
        <v>04625</v>
      </c>
      <c r="E623" s="7"/>
      <c r="F623" s="27">
        <v>0</v>
      </c>
      <c r="G623" s="27">
        <v>0</v>
      </c>
      <c r="H623" s="27">
        <v>0</v>
      </c>
      <c r="I623" s="27">
        <v>0</v>
      </c>
      <c r="J623" s="27">
        <v>0</v>
      </c>
      <c r="K623" s="63">
        <f t="shared" si="435"/>
        <v>0</v>
      </c>
      <c r="L623" s="56" t="str">
        <f>"EQP-LAWPACK2"</f>
        <v>EQP-LAWPACK2</v>
      </c>
      <c r="M623" s="14"/>
      <c r="N623" s="15"/>
      <c r="O623" s="12"/>
      <c r="P623" s="34"/>
      <c r="Q623" s="37"/>
      <c r="R623" s="47"/>
      <c r="S623" s="46"/>
    </row>
    <row r="624" spans="1:19" ht="15.6" hidden="1" customHeight="1" thickBot="1" x14ac:dyDescent="0.3">
      <c r="A624" t="s">
        <v>23</v>
      </c>
      <c r="B624" s="60" t="str">
        <f t="shared" si="440"/>
        <v>hide</v>
      </c>
      <c r="D624" s="48" t="str">
        <f>D622</f>
        <v>04625</v>
      </c>
      <c r="E624" s="7"/>
      <c r="F624" s="27">
        <v>0</v>
      </c>
      <c r="G624" s="27">
        <v>0</v>
      </c>
      <c r="H624" s="27">
        <v>0</v>
      </c>
      <c r="I624" s="27">
        <v>0</v>
      </c>
      <c r="J624" s="27">
        <v>0</v>
      </c>
      <c r="K624" s="63">
        <f t="shared" si="435"/>
        <v>0</v>
      </c>
      <c r="L624" s="56" t="str">
        <f>"SW-COMAS-PACKL"</f>
        <v>SW-COMAS-PACKL</v>
      </c>
      <c r="M624" s="14"/>
      <c r="N624" s="15"/>
      <c r="O624" s="12"/>
      <c r="P624" s="34"/>
      <c r="Q624" s="37"/>
      <c r="R624" s="47"/>
      <c r="S624" s="46"/>
    </row>
    <row r="625" spans="1:19" ht="15.6" hidden="1" customHeight="1" thickBot="1" x14ac:dyDescent="0.3">
      <c r="A625" t="s">
        <v>23</v>
      </c>
      <c r="B625" s="60" t="str">
        <f t="shared" si="440"/>
        <v>hide</v>
      </c>
      <c r="D625" s="48" t="str">
        <f>D623</f>
        <v>04625</v>
      </c>
      <c r="E625" s="7"/>
      <c r="F625" s="27">
        <v>0</v>
      </c>
      <c r="G625" s="27">
        <v>0</v>
      </c>
      <c r="H625" s="27">
        <v>0</v>
      </c>
      <c r="I625" s="27">
        <v>0</v>
      </c>
      <c r="J625" s="27">
        <v>0</v>
      </c>
      <c r="K625" s="63">
        <f t="shared" si="435"/>
        <v>0</v>
      </c>
      <c r="L625" s="56" t="str">
        <f>"SW-RISER-PACK"</f>
        <v>SW-RISER-PACK</v>
      </c>
      <c r="M625" s="14"/>
      <c r="N625" s="15"/>
      <c r="O625" s="12"/>
      <c r="P625" s="34"/>
      <c r="Q625" s="37"/>
      <c r="R625" s="47"/>
      <c r="S625" s="46"/>
    </row>
    <row r="626" spans="1:19" ht="12" hidden="1" customHeight="1" x14ac:dyDescent="0.3">
      <c r="A626" s="35" t="s">
        <v>908</v>
      </c>
      <c r="B626" s="49" t="str">
        <f>B622</f>
        <v>hide</v>
      </c>
      <c r="N626"/>
      <c r="Q626" s="33"/>
    </row>
    <row r="627" spans="1:19" ht="13.8" hidden="1" thickBot="1" x14ac:dyDescent="0.3">
      <c r="A627" t="s">
        <v>23</v>
      </c>
      <c r="B627" s="49" t="str">
        <f t="shared" ref="B627" si="441">B626</f>
        <v>hide</v>
      </c>
      <c r="D627" s="58"/>
      <c r="E627" s="58"/>
      <c r="F627" s="52">
        <f>SUM(F622:F626)</f>
        <v>0</v>
      </c>
      <c r="G627" s="52">
        <f>SUM(G622:G626)</f>
        <v>0</v>
      </c>
      <c r="H627" s="52">
        <f>SUM(H622:H626)</f>
        <v>0</v>
      </c>
      <c r="I627" s="52">
        <f>SUM(I622:I626)</f>
        <v>0</v>
      </c>
      <c r="J627" s="52">
        <f>SUM(J622:J626)</f>
        <v>0</v>
      </c>
      <c r="K627" s="52"/>
      <c r="L627" s="51" t="s">
        <v>4</v>
      </c>
      <c r="M627" s="58"/>
      <c r="N627" s="58"/>
      <c r="O627" s="58"/>
      <c r="P627" s="58"/>
      <c r="Q627" s="58"/>
      <c r="R627" s="58"/>
      <c r="S627" s="58"/>
    </row>
    <row r="628" spans="1:19" s="59" customFormat="1" ht="18.75" customHeight="1" thickBot="1" x14ac:dyDescent="0.3">
      <c r="A628" s="59" t="s">
        <v>23</v>
      </c>
      <c r="B628" s="60" t="str">
        <f t="shared" ref="B628:B629" si="442">IF(K628=0,"hide","")</f>
        <v/>
      </c>
      <c r="D628" s="61" t="str">
        <f>"04635"</f>
        <v>04635</v>
      </c>
      <c r="E628" s="62" t="str">
        <f>"1"</f>
        <v>1</v>
      </c>
      <c r="F628" s="63">
        <v>0</v>
      </c>
      <c r="G628" s="63">
        <v>135.00000000000003</v>
      </c>
      <c r="H628" s="63">
        <v>450</v>
      </c>
      <c r="I628" s="63">
        <v>610.91666666666663</v>
      </c>
      <c r="J628" s="63">
        <v>0</v>
      </c>
      <c r="K628" s="63">
        <f>AVERAGE(I628:J628)</f>
        <v>305.45833333333331</v>
      </c>
      <c r="L628" s="64" t="str">
        <f>"Jalapeno Cheddar Cornbread Mini Loaves"</f>
        <v>Jalapeno Cheddar Cornbread Mini Loaves</v>
      </c>
      <c r="M628" s="65" t="str">
        <f>"24-2 oz. I.W."</f>
        <v>24-2 oz. I.W.</v>
      </c>
      <c r="N628" s="66">
        <v>24</v>
      </c>
      <c r="O628" s="67" t="str">
        <f>""</f>
        <v/>
      </c>
      <c r="P628" s="68" t="e">
        <f>1/O628</f>
        <v>#VALUE!</v>
      </c>
      <c r="Q628" s="53">
        <v>1</v>
      </c>
      <c r="R628" s="69">
        <f t="shared" ref="R628" si="443">1/Q628</f>
        <v>1</v>
      </c>
      <c r="S628" s="70">
        <f t="shared" ref="S628" si="444">R628*N628</f>
        <v>24</v>
      </c>
    </row>
    <row r="629" spans="1:19" ht="15.6" hidden="1" customHeight="1" thickBot="1" x14ac:dyDescent="0.3">
      <c r="A629" t="s">
        <v>23</v>
      </c>
      <c r="B629" s="60" t="str">
        <f t="shared" si="442"/>
        <v>hide</v>
      </c>
      <c r="D629" s="48" t="str">
        <f>D628</f>
        <v>04635</v>
      </c>
      <c r="E629" s="7"/>
      <c r="F629" s="27">
        <v>0</v>
      </c>
      <c r="G629" s="27">
        <v>0</v>
      </c>
      <c r="H629" s="27">
        <v>0</v>
      </c>
      <c r="I629" s="27">
        <v>0</v>
      </c>
      <c r="J629" s="27">
        <v>0</v>
      </c>
      <c r="K629" s="63">
        <f>AVERAGE(I629:J629)</f>
        <v>0</v>
      </c>
      <c r="L629" s="56" t="str">
        <f>"EQP-LAWPACK1"</f>
        <v>EQP-LAWPACK1</v>
      </c>
      <c r="M629" s="14"/>
      <c r="N629" s="15"/>
      <c r="O629" s="12"/>
      <c r="P629" s="34"/>
      <c r="Q629" s="37"/>
      <c r="R629" s="47"/>
      <c r="S629" s="46"/>
    </row>
    <row r="630" spans="1:19" ht="15.6" hidden="1" customHeight="1" thickBot="1" x14ac:dyDescent="0.3">
      <c r="A630" t="s">
        <v>23</v>
      </c>
      <c r="B630" s="60" t="str">
        <f t="shared" ref="B630:B632" si="445">IF(K630=0,"hide","")</f>
        <v>hide</v>
      </c>
      <c r="D630" s="48" t="str">
        <f>D629</f>
        <v>04635</v>
      </c>
      <c r="E630" s="7"/>
      <c r="F630" s="27">
        <v>0</v>
      </c>
      <c r="G630" s="27">
        <v>0</v>
      </c>
      <c r="H630" s="27">
        <v>0</v>
      </c>
      <c r="I630" s="27">
        <v>0</v>
      </c>
      <c r="J630" s="27">
        <v>0</v>
      </c>
      <c r="K630" s="63">
        <f>AVERAGE(I630:J630)</f>
        <v>0</v>
      </c>
      <c r="L630" s="56" t="str">
        <f>"EQP-LAWPACK2"</f>
        <v>EQP-LAWPACK2</v>
      </c>
      <c r="M630" s="14"/>
      <c r="N630" s="15"/>
      <c r="O630" s="12"/>
      <c r="P630" s="34"/>
      <c r="Q630" s="37"/>
      <c r="R630" s="47"/>
      <c r="S630" s="46"/>
    </row>
    <row r="631" spans="1:19" ht="15.6" hidden="1" customHeight="1" thickBot="1" x14ac:dyDescent="0.3">
      <c r="A631" t="s">
        <v>23</v>
      </c>
      <c r="B631" s="60" t="str">
        <f t="shared" si="445"/>
        <v>hide</v>
      </c>
      <c r="D631" s="48" t="str">
        <f>D630</f>
        <v>04635</v>
      </c>
      <c r="E631" s="7"/>
      <c r="F631" s="27">
        <v>0</v>
      </c>
      <c r="G631" s="27">
        <v>0</v>
      </c>
      <c r="H631" s="27">
        <v>0</v>
      </c>
      <c r="I631" s="27">
        <v>0</v>
      </c>
      <c r="J631" s="27">
        <v>0</v>
      </c>
      <c r="K631" s="63">
        <f>AVERAGE(I631:J631)</f>
        <v>0</v>
      </c>
      <c r="L631" s="56" t="str">
        <f>"SW-COMAS-PACKL"</f>
        <v>SW-COMAS-PACKL</v>
      </c>
      <c r="M631" s="14"/>
      <c r="N631" s="15"/>
      <c r="O631" s="12"/>
      <c r="P631" s="34"/>
      <c r="Q631" s="37"/>
      <c r="R631" s="47"/>
      <c r="S631" s="46"/>
    </row>
    <row r="632" spans="1:19" ht="15.6" hidden="1" customHeight="1" thickBot="1" x14ac:dyDescent="0.3">
      <c r="A632" t="s">
        <v>23</v>
      </c>
      <c r="B632" s="60" t="str">
        <f t="shared" si="445"/>
        <v>hide</v>
      </c>
      <c r="D632" s="48" t="str">
        <f>D631</f>
        <v>04635</v>
      </c>
      <c r="E632" s="7"/>
      <c r="F632" s="27">
        <v>0</v>
      </c>
      <c r="G632" s="27">
        <v>0</v>
      </c>
      <c r="H632" s="27">
        <v>0</v>
      </c>
      <c r="I632" s="27">
        <v>0</v>
      </c>
      <c r="J632" s="27">
        <v>0</v>
      </c>
      <c r="K632" s="63">
        <f>AVERAGE(I632:J632)</f>
        <v>0</v>
      </c>
      <c r="L632" s="56" t="str">
        <f>"SW-RISER-PACK"</f>
        <v>SW-RISER-PACK</v>
      </c>
      <c r="M632" s="14"/>
      <c r="N632" s="15"/>
      <c r="O632" s="12"/>
      <c r="P632" s="34"/>
      <c r="Q632" s="37"/>
      <c r="R632" s="47"/>
      <c r="S632" s="46"/>
    </row>
    <row r="633" spans="1:19" ht="12" hidden="1" customHeight="1" x14ac:dyDescent="0.3">
      <c r="A633" s="35" t="s">
        <v>908</v>
      </c>
      <c r="B633" s="49" t="str">
        <f>B629</f>
        <v>hide</v>
      </c>
      <c r="N633"/>
      <c r="Q633" s="33"/>
    </row>
    <row r="634" spans="1:19" ht="13.8" hidden="1" thickBot="1" x14ac:dyDescent="0.3">
      <c r="A634" t="s">
        <v>23</v>
      </c>
      <c r="B634" s="49" t="str">
        <f t="shared" ref="B634" si="446">B633</f>
        <v>hide</v>
      </c>
      <c r="D634" s="58"/>
      <c r="E634" s="58"/>
      <c r="F634" s="52">
        <f>SUM(F629:F633)</f>
        <v>0</v>
      </c>
      <c r="G634" s="52">
        <f>SUM(G629:G633)</f>
        <v>0</v>
      </c>
      <c r="H634" s="52">
        <f>SUM(H629:H633)</f>
        <v>0</v>
      </c>
      <c r="I634" s="52">
        <f>SUM(I629:I633)</f>
        <v>0</v>
      </c>
      <c r="J634" s="52">
        <f>SUM(J629:J633)</f>
        <v>0</v>
      </c>
      <c r="K634" s="52"/>
      <c r="L634" s="51" t="s">
        <v>4</v>
      </c>
      <c r="M634" s="58"/>
      <c r="N634" s="58"/>
      <c r="O634" s="58"/>
      <c r="P634" s="58"/>
      <c r="Q634" s="58"/>
      <c r="R634" s="58"/>
      <c r="S634" s="58"/>
    </row>
    <row r="635" spans="1:19" s="59" customFormat="1" ht="18.75" customHeight="1" thickBot="1" x14ac:dyDescent="0.3">
      <c r="A635" s="59" t="s">
        <v>23</v>
      </c>
      <c r="B635" s="60" t="str">
        <f t="shared" ref="B635:B636" si="447">IF(K635=0,"hide","")</f>
        <v/>
      </c>
      <c r="D635" s="61" t="str">
        <f>"04685"</f>
        <v>04685</v>
      </c>
      <c r="E635" s="62" t="str">
        <f>"1"</f>
        <v>1</v>
      </c>
      <c r="F635" s="63">
        <v>0</v>
      </c>
      <c r="G635" s="63">
        <v>135.00000000000003</v>
      </c>
      <c r="H635" s="63">
        <v>450</v>
      </c>
      <c r="I635" s="63">
        <v>619.08333333333337</v>
      </c>
      <c r="J635" s="63">
        <v>0</v>
      </c>
      <c r="K635" s="63">
        <f>AVERAGE(I635:J635)</f>
        <v>309.54166666666669</v>
      </c>
      <c r="L635" s="64" t="str">
        <f>"Cheddar Cheese Cornbread Mini Loaves"</f>
        <v>Cheddar Cheese Cornbread Mini Loaves</v>
      </c>
      <c r="M635" s="65" t="str">
        <f>"24-2 oz. I.W."</f>
        <v>24-2 oz. I.W.</v>
      </c>
      <c r="N635" s="66">
        <v>24</v>
      </c>
      <c r="O635" s="67" t="str">
        <f>""</f>
        <v/>
      </c>
      <c r="P635" s="68" t="e">
        <f>1/O635</f>
        <v>#VALUE!</v>
      </c>
      <c r="Q635" s="53">
        <v>1</v>
      </c>
      <c r="R635" s="69">
        <f t="shared" ref="R635" si="448">1/Q635</f>
        <v>1</v>
      </c>
      <c r="S635" s="70">
        <f t="shared" ref="S635" si="449">R635*N635</f>
        <v>24</v>
      </c>
    </row>
    <row r="636" spans="1:19" ht="15.6" hidden="1" customHeight="1" thickBot="1" x14ac:dyDescent="0.3">
      <c r="A636" t="s">
        <v>23</v>
      </c>
      <c r="B636" s="60" t="str">
        <f t="shared" si="447"/>
        <v>hide</v>
      </c>
      <c r="D636" s="48" t="str">
        <f>D635</f>
        <v>04685</v>
      </c>
      <c r="E636" s="7"/>
      <c r="F636" s="27">
        <v>0</v>
      </c>
      <c r="G636" s="27">
        <v>0</v>
      </c>
      <c r="H636" s="27">
        <v>0</v>
      </c>
      <c r="I636" s="27">
        <v>0</v>
      </c>
      <c r="J636" s="27">
        <v>0</v>
      </c>
      <c r="K636" s="63">
        <f>AVERAGE(I636:J636)</f>
        <v>0</v>
      </c>
      <c r="L636" s="56" t="str">
        <f>"EQP-LAWPACK1"</f>
        <v>EQP-LAWPACK1</v>
      </c>
      <c r="M636" s="14"/>
      <c r="N636" s="15"/>
      <c r="O636" s="12"/>
      <c r="P636" s="34"/>
      <c r="Q636" s="37"/>
      <c r="R636" s="47"/>
      <c r="S636" s="46"/>
    </row>
    <row r="637" spans="1:19" ht="15.6" hidden="1" customHeight="1" thickBot="1" x14ac:dyDescent="0.3">
      <c r="A637" t="s">
        <v>23</v>
      </c>
      <c r="B637" s="60" t="str">
        <f t="shared" ref="B637:B639" si="450">IF(K637=0,"hide","")</f>
        <v>hide</v>
      </c>
      <c r="D637" s="48" t="str">
        <f>D636</f>
        <v>04685</v>
      </c>
      <c r="E637" s="7"/>
      <c r="F637" s="27">
        <v>0</v>
      </c>
      <c r="G637" s="27">
        <v>0</v>
      </c>
      <c r="H637" s="27">
        <v>0</v>
      </c>
      <c r="I637" s="27">
        <v>0</v>
      </c>
      <c r="J637" s="27">
        <v>0</v>
      </c>
      <c r="K637" s="63">
        <f>AVERAGE(I637:J637)</f>
        <v>0</v>
      </c>
      <c r="L637" s="56" t="str">
        <f>"EQP-LAWPACK2"</f>
        <v>EQP-LAWPACK2</v>
      </c>
      <c r="M637" s="14"/>
      <c r="N637" s="15"/>
      <c r="O637" s="12"/>
      <c r="P637" s="34"/>
      <c r="Q637" s="37"/>
      <c r="R637" s="47"/>
      <c r="S637" s="46"/>
    </row>
    <row r="638" spans="1:19" ht="15.6" hidden="1" customHeight="1" thickBot="1" x14ac:dyDescent="0.3">
      <c r="A638" t="s">
        <v>23</v>
      </c>
      <c r="B638" s="60" t="str">
        <f t="shared" si="450"/>
        <v>hide</v>
      </c>
      <c r="D638" s="48" t="str">
        <f>D637</f>
        <v>04685</v>
      </c>
      <c r="E638" s="7"/>
      <c r="F638" s="27">
        <v>0</v>
      </c>
      <c r="G638" s="27">
        <v>0</v>
      </c>
      <c r="H638" s="27">
        <v>0</v>
      </c>
      <c r="I638" s="27">
        <v>0</v>
      </c>
      <c r="J638" s="27">
        <v>0</v>
      </c>
      <c r="K638" s="63">
        <f>AVERAGE(I638:J638)</f>
        <v>0</v>
      </c>
      <c r="L638" s="56" t="str">
        <f>"SW-COMAS-PACKL"</f>
        <v>SW-COMAS-PACKL</v>
      </c>
      <c r="M638" s="14"/>
      <c r="N638" s="15"/>
      <c r="O638" s="12"/>
      <c r="P638" s="34"/>
      <c r="Q638" s="37"/>
      <c r="R638" s="47"/>
      <c r="S638" s="46"/>
    </row>
    <row r="639" spans="1:19" ht="15.6" hidden="1" customHeight="1" thickBot="1" x14ac:dyDescent="0.3">
      <c r="A639" t="s">
        <v>23</v>
      </c>
      <c r="B639" s="60" t="str">
        <f t="shared" si="450"/>
        <v>hide</v>
      </c>
      <c r="D639" s="48" t="str">
        <f>D638</f>
        <v>04685</v>
      </c>
      <c r="E639" s="7"/>
      <c r="F639" s="27">
        <v>0</v>
      </c>
      <c r="G639" s="27">
        <v>0</v>
      </c>
      <c r="H639" s="27">
        <v>0</v>
      </c>
      <c r="I639" s="27">
        <v>0</v>
      </c>
      <c r="J639" s="27">
        <v>0</v>
      </c>
      <c r="K639" s="63">
        <f>AVERAGE(I639:J639)</f>
        <v>0</v>
      </c>
      <c r="L639" s="56" t="str">
        <f>"SW-RISER-PACK"</f>
        <v>SW-RISER-PACK</v>
      </c>
      <c r="M639" s="14"/>
      <c r="N639" s="15"/>
      <c r="O639" s="12"/>
      <c r="P639" s="34"/>
      <c r="Q639" s="37"/>
      <c r="R639" s="47"/>
      <c r="S639" s="46"/>
    </row>
    <row r="640" spans="1:19" ht="12" hidden="1" customHeight="1" x14ac:dyDescent="0.3">
      <c r="A640" s="35" t="s">
        <v>908</v>
      </c>
      <c r="B640" s="49" t="str">
        <f>B636</f>
        <v>hide</v>
      </c>
      <c r="N640"/>
      <c r="Q640" s="33"/>
    </row>
    <row r="641" spans="1:19" ht="13.8" hidden="1" thickBot="1" x14ac:dyDescent="0.3">
      <c r="A641" t="s">
        <v>23</v>
      </c>
      <c r="B641" s="49" t="str">
        <f t="shared" ref="B641" si="451">B640</f>
        <v>hide</v>
      </c>
      <c r="D641" s="58"/>
      <c r="E641" s="58"/>
      <c r="F641" s="52">
        <f>SUM(F636:F640)</f>
        <v>0</v>
      </c>
      <c r="G641" s="52">
        <f>SUM(G636:G640)</f>
        <v>0</v>
      </c>
      <c r="H641" s="52">
        <f>SUM(H636:H640)</f>
        <v>0</v>
      </c>
      <c r="I641" s="52">
        <f>SUM(I636:I640)</f>
        <v>0</v>
      </c>
      <c r="J641" s="52">
        <f>SUM(J636:J640)</f>
        <v>0</v>
      </c>
      <c r="K641" s="52"/>
      <c r="L641" s="51" t="s">
        <v>4</v>
      </c>
      <c r="M641" s="58"/>
      <c r="N641" s="58"/>
      <c r="O641" s="58"/>
      <c r="P641" s="58"/>
      <c r="Q641" s="58"/>
      <c r="R641" s="58"/>
      <c r="S641" s="58"/>
    </row>
    <row r="642" spans="1:19" s="59" customFormat="1" ht="18.75" customHeight="1" thickBot="1" x14ac:dyDescent="0.3">
      <c r="A642" s="59" t="s">
        <v>23</v>
      </c>
      <c r="B642" s="60" t="str">
        <f t="shared" ref="B642:B643" si="452">IF(K642=0,"hide","")</f>
        <v/>
      </c>
      <c r="D642" s="61" t="str">
        <f>"04804"</f>
        <v>04804</v>
      </c>
      <c r="E642" s="62" t="str">
        <f>"5"</f>
        <v>5</v>
      </c>
      <c r="F642" s="63">
        <v>0</v>
      </c>
      <c r="G642" s="63">
        <v>0</v>
      </c>
      <c r="H642" s="63">
        <v>0</v>
      </c>
      <c r="I642" s="63">
        <v>183.5</v>
      </c>
      <c r="J642" s="63">
        <v>804.87927710843371</v>
      </c>
      <c r="K642" s="63">
        <f>AVERAGE(I642:J642)</f>
        <v>494.18963855421686</v>
      </c>
      <c r="L642" s="64" t="str">
        <f>"WG Mixed Berry Muffins"</f>
        <v>WG Mixed Berry Muffins</v>
      </c>
      <c r="M642" s="65" t="str">
        <f>"48-2 oz. I.W."</f>
        <v>48-2 oz. I.W.</v>
      </c>
      <c r="N642" s="66">
        <v>48</v>
      </c>
      <c r="O642" s="67">
        <v>2.3E-3</v>
      </c>
      <c r="P642" s="68">
        <f>1/O642</f>
        <v>434.78260869565219</v>
      </c>
      <c r="Q642" s="53">
        <v>2.3E-3</v>
      </c>
      <c r="R642" s="69">
        <f t="shared" ref="R642" si="453">1/Q642</f>
        <v>434.78260869565219</v>
      </c>
      <c r="S642" s="70">
        <f t="shared" ref="S642" si="454">R642*N642</f>
        <v>20869.565217391304</v>
      </c>
    </row>
    <row r="643" spans="1:19" ht="15.6" hidden="1" customHeight="1" thickBot="1" x14ac:dyDescent="0.3">
      <c r="A643" t="s">
        <v>23</v>
      </c>
      <c r="B643" s="60" t="str">
        <f t="shared" si="452"/>
        <v>hide</v>
      </c>
      <c r="D643" s="48" t="str">
        <f>D642</f>
        <v>04804</v>
      </c>
      <c r="E643" s="7"/>
      <c r="F643" s="27">
        <v>0</v>
      </c>
      <c r="G643" s="27">
        <v>0</v>
      </c>
      <c r="H643" s="27">
        <v>0</v>
      </c>
      <c r="I643" s="27">
        <v>0</v>
      </c>
      <c r="J643" s="27">
        <v>0</v>
      </c>
      <c r="K643" s="63">
        <f>AVERAGE(I643:J643)</f>
        <v>0</v>
      </c>
      <c r="L643" s="56" t="str">
        <f>"EQP-LAWPACK1"</f>
        <v>EQP-LAWPACK1</v>
      </c>
      <c r="M643" s="14"/>
      <c r="N643" s="15"/>
      <c r="O643" s="12"/>
      <c r="P643" s="34"/>
      <c r="Q643" s="37"/>
      <c r="R643" s="47"/>
      <c r="S643" s="46"/>
    </row>
    <row r="644" spans="1:19" ht="15.6" hidden="1" customHeight="1" thickBot="1" x14ac:dyDescent="0.3">
      <c r="A644" t="s">
        <v>23</v>
      </c>
      <c r="B644" s="60" t="str">
        <f t="shared" ref="B644:B646" si="455">IF(K644=0,"hide","")</f>
        <v>hide</v>
      </c>
      <c r="D644" s="48" t="str">
        <f>D643</f>
        <v>04804</v>
      </c>
      <c r="E644" s="7"/>
      <c r="F644" s="27">
        <v>0</v>
      </c>
      <c r="G644" s="27">
        <v>0</v>
      </c>
      <c r="H644" s="27">
        <v>0</v>
      </c>
      <c r="I644" s="27">
        <v>0</v>
      </c>
      <c r="J644" s="27">
        <v>0</v>
      </c>
      <c r="K644" s="63">
        <f>AVERAGE(I644:J644)</f>
        <v>0</v>
      </c>
      <c r="L644" s="56" t="str">
        <f>"EQP-LAWPACK2"</f>
        <v>EQP-LAWPACK2</v>
      </c>
      <c r="M644" s="14"/>
      <c r="N644" s="15"/>
      <c r="O644" s="12"/>
      <c r="P644" s="34"/>
      <c r="Q644" s="37"/>
      <c r="R644" s="47"/>
      <c r="S644" s="46"/>
    </row>
    <row r="645" spans="1:19" ht="15.6" hidden="1" customHeight="1" thickBot="1" x14ac:dyDescent="0.3">
      <c r="A645" t="s">
        <v>23</v>
      </c>
      <c r="B645" s="60" t="str">
        <f t="shared" si="455"/>
        <v>hide</v>
      </c>
      <c r="D645" s="48" t="str">
        <f>D644</f>
        <v>04804</v>
      </c>
      <c r="E645" s="7"/>
      <c r="F645" s="27">
        <v>0</v>
      </c>
      <c r="G645" s="27">
        <v>0</v>
      </c>
      <c r="H645" s="27">
        <v>0</v>
      </c>
      <c r="I645" s="27">
        <v>0</v>
      </c>
      <c r="J645" s="27">
        <v>0</v>
      </c>
      <c r="K645" s="63">
        <f>AVERAGE(I645:J645)</f>
        <v>0</v>
      </c>
      <c r="L645" s="56" t="str">
        <f>"SW-COMAS-PACKL"</f>
        <v>SW-COMAS-PACKL</v>
      </c>
      <c r="M645" s="14"/>
      <c r="N645" s="15"/>
      <c r="O645" s="12"/>
      <c r="P645" s="34"/>
      <c r="Q645" s="37"/>
      <c r="R645" s="47"/>
      <c r="S645" s="46"/>
    </row>
    <row r="646" spans="1:19" ht="15.6" hidden="1" customHeight="1" thickBot="1" x14ac:dyDescent="0.3">
      <c r="A646" t="s">
        <v>23</v>
      </c>
      <c r="B646" s="60" t="str">
        <f t="shared" si="455"/>
        <v>hide</v>
      </c>
      <c r="D646" s="48" t="str">
        <f>D645</f>
        <v>04804</v>
      </c>
      <c r="E646" s="7"/>
      <c r="F646" s="27">
        <v>0</v>
      </c>
      <c r="G646" s="27">
        <v>0</v>
      </c>
      <c r="H646" s="27">
        <v>0</v>
      </c>
      <c r="I646" s="27">
        <v>0</v>
      </c>
      <c r="J646" s="27">
        <v>0</v>
      </c>
      <c r="K646" s="63">
        <f>AVERAGE(I646:J646)</f>
        <v>0</v>
      </c>
      <c r="L646" s="56" t="str">
        <f>"SW-RISER-PACK"</f>
        <v>SW-RISER-PACK</v>
      </c>
      <c r="M646" s="14"/>
      <c r="N646" s="15"/>
      <c r="O646" s="12"/>
      <c r="P646" s="34"/>
      <c r="Q646" s="37"/>
      <c r="R646" s="47"/>
      <c r="S646" s="46"/>
    </row>
    <row r="647" spans="1:19" ht="12" hidden="1" customHeight="1" x14ac:dyDescent="0.3">
      <c r="A647" s="35" t="s">
        <v>908</v>
      </c>
      <c r="B647" s="49" t="str">
        <f>B643</f>
        <v>hide</v>
      </c>
      <c r="N647"/>
      <c r="Q647" s="33"/>
    </row>
    <row r="648" spans="1:19" ht="13.8" hidden="1" thickBot="1" x14ac:dyDescent="0.3">
      <c r="A648" t="s">
        <v>23</v>
      </c>
      <c r="B648" s="49" t="str">
        <f t="shared" ref="B648" si="456">B647</f>
        <v>hide</v>
      </c>
      <c r="D648" s="58"/>
      <c r="E648" s="58"/>
      <c r="F648" s="52">
        <f>SUM(F643:F647)</f>
        <v>0</v>
      </c>
      <c r="G648" s="52">
        <f>SUM(G643:G647)</f>
        <v>0</v>
      </c>
      <c r="H648" s="52">
        <f>SUM(H643:H647)</f>
        <v>0</v>
      </c>
      <c r="I648" s="52">
        <f>SUM(I643:I647)</f>
        <v>0</v>
      </c>
      <c r="J648" s="52">
        <f>SUM(J643:J647)</f>
        <v>0</v>
      </c>
      <c r="K648" s="52"/>
      <c r="L648" s="51" t="s">
        <v>4</v>
      </c>
      <c r="M648" s="58"/>
      <c r="N648" s="58"/>
      <c r="O648" s="58"/>
      <c r="P648" s="58"/>
      <c r="Q648" s="58"/>
      <c r="R648" s="58"/>
      <c r="S648" s="58"/>
    </row>
    <row r="649" spans="1:19" s="59" customFormat="1" ht="18.75" hidden="1" customHeight="1" thickBot="1" x14ac:dyDescent="0.3">
      <c r="A649" s="59" t="s">
        <v>23</v>
      </c>
      <c r="B649" s="60" t="str">
        <f t="shared" ref="B649:B650" si="457">IF(K649=0,"hide","")</f>
        <v>hide</v>
      </c>
      <c r="D649" s="61" t="str">
        <f>"05101"</f>
        <v>05101</v>
      </c>
      <c r="E649" s="62" t="str">
        <f>"3"</f>
        <v>3</v>
      </c>
      <c r="F649" s="63">
        <v>99</v>
      </c>
      <c r="G649" s="63">
        <v>15.333333333333334</v>
      </c>
      <c r="H649" s="63">
        <v>0</v>
      </c>
      <c r="I649" s="63">
        <v>0</v>
      </c>
      <c r="J649" s="63">
        <v>0</v>
      </c>
      <c r="K649" s="63">
        <f>AVERAGE(I649:J649)</f>
        <v>0</v>
      </c>
      <c r="L649" s="64" t="str">
        <f>"BLUEBERRY MUFFINS"</f>
        <v>BLUEBERRY MUFFINS</v>
      </c>
      <c r="M649" s="65" t="str">
        <f>"48-3.6 oz. 8-6 pack"</f>
        <v>48-3.6 oz. 8-6 pack</v>
      </c>
      <c r="N649" s="66">
        <v>48</v>
      </c>
      <c r="O649" s="67" t="str">
        <f>""</f>
        <v/>
      </c>
      <c r="P649" s="68" t="e">
        <f>1/O649</f>
        <v>#VALUE!</v>
      </c>
      <c r="Q649" s="53">
        <v>1</v>
      </c>
      <c r="R649" s="69">
        <f t="shared" ref="R649" si="458">1/Q649</f>
        <v>1</v>
      </c>
      <c r="S649" s="70">
        <f t="shared" ref="S649" si="459">R649*N649</f>
        <v>48</v>
      </c>
    </row>
    <row r="650" spans="1:19" ht="15.6" hidden="1" customHeight="1" thickBot="1" x14ac:dyDescent="0.3">
      <c r="A650" t="s">
        <v>23</v>
      </c>
      <c r="B650" s="60" t="str">
        <f t="shared" si="457"/>
        <v>hide</v>
      </c>
      <c r="D650" s="48" t="str">
        <f>D649</f>
        <v>05101</v>
      </c>
      <c r="E650" s="7"/>
      <c r="F650" s="27">
        <v>0</v>
      </c>
      <c r="G650" s="27">
        <v>0</v>
      </c>
      <c r="H650" s="27">
        <v>0</v>
      </c>
      <c r="I650" s="27">
        <v>0</v>
      </c>
      <c r="J650" s="27">
        <v>0</v>
      </c>
      <c r="K650" s="63">
        <f>AVERAGE(I650:J650)</f>
        <v>0</v>
      </c>
      <c r="L650" s="56" t="str">
        <f>"EQP-LAWPACK1"</f>
        <v>EQP-LAWPACK1</v>
      </c>
      <c r="M650" s="14"/>
      <c r="N650" s="15"/>
      <c r="O650" s="12"/>
      <c r="P650" s="34"/>
      <c r="Q650" s="37"/>
      <c r="R650" s="47"/>
      <c r="S650" s="46"/>
    </row>
    <row r="651" spans="1:19" ht="15.6" hidden="1" customHeight="1" thickBot="1" x14ac:dyDescent="0.3">
      <c r="A651" t="s">
        <v>23</v>
      </c>
      <c r="B651" s="60" t="str">
        <f t="shared" ref="B651:B653" si="460">IF(K651=0,"hide","")</f>
        <v>hide</v>
      </c>
      <c r="D651" s="48" t="str">
        <f>D650</f>
        <v>05101</v>
      </c>
      <c r="E651" s="7"/>
      <c r="F651" s="27">
        <v>0</v>
      </c>
      <c r="G651" s="27">
        <v>0</v>
      </c>
      <c r="H651" s="27">
        <v>0</v>
      </c>
      <c r="I651" s="27">
        <v>0</v>
      </c>
      <c r="J651" s="27">
        <v>0</v>
      </c>
      <c r="K651" s="63">
        <f>AVERAGE(I651:J651)</f>
        <v>0</v>
      </c>
      <c r="L651" s="56" t="str">
        <f>"EQP-LAWPACK2"</f>
        <v>EQP-LAWPACK2</v>
      </c>
      <c r="M651" s="14"/>
      <c r="N651" s="15"/>
      <c r="O651" s="12"/>
      <c r="P651" s="34"/>
      <c r="Q651" s="37"/>
      <c r="R651" s="47"/>
      <c r="S651" s="46"/>
    </row>
    <row r="652" spans="1:19" ht="15.6" hidden="1" customHeight="1" thickBot="1" x14ac:dyDescent="0.3">
      <c r="A652" t="s">
        <v>23</v>
      </c>
      <c r="B652" s="60" t="str">
        <f t="shared" si="460"/>
        <v>hide</v>
      </c>
      <c r="D652" s="48" t="str">
        <f>D651</f>
        <v>05101</v>
      </c>
      <c r="E652" s="7"/>
      <c r="F652" s="27">
        <v>0</v>
      </c>
      <c r="G652" s="27">
        <v>0</v>
      </c>
      <c r="H652" s="27">
        <v>0</v>
      </c>
      <c r="I652" s="27">
        <v>0</v>
      </c>
      <c r="J652" s="27">
        <v>0</v>
      </c>
      <c r="K652" s="63">
        <f>AVERAGE(I652:J652)</f>
        <v>0</v>
      </c>
      <c r="L652" s="56" t="str">
        <f>"SW-COMAS-PACKL"</f>
        <v>SW-COMAS-PACKL</v>
      </c>
      <c r="M652" s="14"/>
      <c r="N652" s="15"/>
      <c r="O652" s="12"/>
      <c r="P652" s="34"/>
      <c r="Q652" s="37"/>
      <c r="R652" s="47"/>
      <c r="S652" s="46"/>
    </row>
    <row r="653" spans="1:19" ht="15.6" hidden="1" customHeight="1" thickBot="1" x14ac:dyDescent="0.3">
      <c r="A653" t="s">
        <v>23</v>
      </c>
      <c r="B653" s="60" t="str">
        <f t="shared" si="460"/>
        <v>hide</v>
      </c>
      <c r="D653" s="48" t="str">
        <f>D652</f>
        <v>05101</v>
      </c>
      <c r="E653" s="7"/>
      <c r="F653" s="27">
        <v>0</v>
      </c>
      <c r="G653" s="27">
        <v>0</v>
      </c>
      <c r="H653" s="27">
        <v>0</v>
      </c>
      <c r="I653" s="27">
        <v>0</v>
      </c>
      <c r="J653" s="27">
        <v>0</v>
      </c>
      <c r="K653" s="63">
        <f>AVERAGE(I653:J653)</f>
        <v>0</v>
      </c>
      <c r="L653" s="56" t="str">
        <f>"SW-RISER-PACK"</f>
        <v>SW-RISER-PACK</v>
      </c>
      <c r="M653" s="14"/>
      <c r="N653" s="15"/>
      <c r="O653" s="12"/>
      <c r="P653" s="34"/>
      <c r="Q653" s="37"/>
      <c r="R653" s="47"/>
      <c r="S653" s="46"/>
    </row>
    <row r="654" spans="1:19" ht="12" hidden="1" customHeight="1" x14ac:dyDescent="0.3">
      <c r="A654" s="35" t="s">
        <v>908</v>
      </c>
      <c r="B654" s="49" t="str">
        <f>B650</f>
        <v>hide</v>
      </c>
      <c r="N654"/>
      <c r="Q654" s="33"/>
    </row>
    <row r="655" spans="1:19" ht="13.8" hidden="1" thickBot="1" x14ac:dyDescent="0.3">
      <c r="A655" t="s">
        <v>23</v>
      </c>
      <c r="B655" s="49" t="str">
        <f t="shared" ref="B655" si="461">B654</f>
        <v>hide</v>
      </c>
      <c r="D655" s="58"/>
      <c r="E655" s="58"/>
      <c r="F655" s="52">
        <f>SUM(F650:F654)</f>
        <v>0</v>
      </c>
      <c r="G655" s="52">
        <f>SUM(G650:G654)</f>
        <v>0</v>
      </c>
      <c r="H655" s="52">
        <f>SUM(H650:H654)</f>
        <v>0</v>
      </c>
      <c r="I655" s="52">
        <f>SUM(I650:I654)</f>
        <v>0</v>
      </c>
      <c r="J655" s="52">
        <f>SUM(J650:J654)</f>
        <v>0</v>
      </c>
      <c r="K655" s="52"/>
      <c r="L655" s="51" t="s">
        <v>4</v>
      </c>
      <c r="M655" s="58"/>
      <c r="N655" s="58"/>
      <c r="O655" s="58"/>
      <c r="P655" s="58"/>
      <c r="Q655" s="58"/>
      <c r="R655" s="58"/>
      <c r="S655" s="58"/>
    </row>
    <row r="656" spans="1:19" s="59" customFormat="1" ht="18.75" hidden="1" customHeight="1" thickBot="1" x14ac:dyDescent="0.3">
      <c r="A656" s="59" t="s">
        <v>23</v>
      </c>
      <c r="B656" s="60" t="str">
        <f t="shared" ref="B656:B657" si="462">IF(K656=0,"hide","")</f>
        <v>hide</v>
      </c>
      <c r="D656" s="61" t="str">
        <f>"05102"</f>
        <v>05102</v>
      </c>
      <c r="E656" s="62" t="str">
        <f>"3"</f>
        <v>3</v>
      </c>
      <c r="F656" s="63">
        <v>4.5</v>
      </c>
      <c r="G656" s="63">
        <v>0</v>
      </c>
      <c r="H656" s="63">
        <v>0</v>
      </c>
      <c r="I656" s="63">
        <v>0</v>
      </c>
      <c r="J656" s="63">
        <v>0</v>
      </c>
      <c r="K656" s="63">
        <f>AVERAGE(I656:J656)</f>
        <v>0</v>
      </c>
      <c r="L656" s="64" t="str">
        <f>"CRANBERRY MUFFINS"</f>
        <v>CRANBERRY MUFFINS</v>
      </c>
      <c r="M656" s="65" t="str">
        <f>"48-3.6 oz. 8-6 pack"</f>
        <v>48-3.6 oz. 8-6 pack</v>
      </c>
      <c r="N656" s="66">
        <v>48</v>
      </c>
      <c r="O656" s="67" t="str">
        <f>""</f>
        <v/>
      </c>
      <c r="P656" s="68" t="e">
        <f>1/O656</f>
        <v>#VALUE!</v>
      </c>
      <c r="Q656" s="53">
        <v>1</v>
      </c>
      <c r="R656" s="69">
        <f t="shared" ref="R656" si="463">1/Q656</f>
        <v>1</v>
      </c>
      <c r="S656" s="70">
        <f t="shared" ref="S656" si="464">R656*N656</f>
        <v>48</v>
      </c>
    </row>
    <row r="657" spans="1:19" ht="15.6" hidden="1" customHeight="1" thickBot="1" x14ac:dyDescent="0.3">
      <c r="A657" t="s">
        <v>23</v>
      </c>
      <c r="B657" s="60" t="str">
        <f t="shared" si="462"/>
        <v>hide</v>
      </c>
      <c r="D657" s="48" t="str">
        <f>D656</f>
        <v>05102</v>
      </c>
      <c r="E657" s="7"/>
      <c r="F657" s="27">
        <v>0</v>
      </c>
      <c r="G657" s="27">
        <v>0</v>
      </c>
      <c r="H657" s="27">
        <v>0</v>
      </c>
      <c r="I657" s="27">
        <v>0</v>
      </c>
      <c r="J657" s="27">
        <v>0</v>
      </c>
      <c r="K657" s="63">
        <f>AVERAGE(I657:J657)</f>
        <v>0</v>
      </c>
      <c r="L657" s="56" t="str">
        <f>"EQP-LAWPACK1"</f>
        <v>EQP-LAWPACK1</v>
      </c>
      <c r="M657" s="14"/>
      <c r="N657" s="15"/>
      <c r="O657" s="12"/>
      <c r="P657" s="34"/>
      <c r="Q657" s="37"/>
      <c r="R657" s="47"/>
      <c r="S657" s="46"/>
    </row>
    <row r="658" spans="1:19" ht="15.6" hidden="1" customHeight="1" thickBot="1" x14ac:dyDescent="0.3">
      <c r="A658" t="s">
        <v>23</v>
      </c>
      <c r="B658" s="60" t="str">
        <f t="shared" ref="B658:B660" si="465">IF(K658=0,"hide","")</f>
        <v>hide</v>
      </c>
      <c r="D658" s="48" t="str">
        <f>D657</f>
        <v>05102</v>
      </c>
      <c r="E658" s="7"/>
      <c r="F658" s="27">
        <v>0</v>
      </c>
      <c r="G658" s="27">
        <v>0</v>
      </c>
      <c r="H658" s="27">
        <v>0</v>
      </c>
      <c r="I658" s="27">
        <v>0</v>
      </c>
      <c r="J658" s="27">
        <v>0</v>
      </c>
      <c r="K658" s="63">
        <f>AVERAGE(I658:J658)</f>
        <v>0</v>
      </c>
      <c r="L658" s="56" t="str">
        <f>"EQP-LAWPACK2"</f>
        <v>EQP-LAWPACK2</v>
      </c>
      <c r="M658" s="14"/>
      <c r="N658" s="15"/>
      <c r="O658" s="12"/>
      <c r="P658" s="34"/>
      <c r="Q658" s="37"/>
      <c r="R658" s="47"/>
      <c r="S658" s="46"/>
    </row>
    <row r="659" spans="1:19" ht="15.6" hidden="1" customHeight="1" thickBot="1" x14ac:dyDescent="0.3">
      <c r="A659" t="s">
        <v>23</v>
      </c>
      <c r="B659" s="60" t="str">
        <f t="shared" si="465"/>
        <v>hide</v>
      </c>
      <c r="D659" s="48" t="str">
        <f>D658</f>
        <v>05102</v>
      </c>
      <c r="E659" s="7"/>
      <c r="F659" s="27">
        <v>0</v>
      </c>
      <c r="G659" s="27">
        <v>0</v>
      </c>
      <c r="H659" s="27">
        <v>0</v>
      </c>
      <c r="I659" s="27">
        <v>0</v>
      </c>
      <c r="J659" s="27">
        <v>0</v>
      </c>
      <c r="K659" s="63">
        <f>AVERAGE(I659:J659)</f>
        <v>0</v>
      </c>
      <c r="L659" s="56" t="str">
        <f>"SW-COMAS-PACKL"</f>
        <v>SW-COMAS-PACKL</v>
      </c>
      <c r="M659" s="14"/>
      <c r="N659" s="15"/>
      <c r="O659" s="12"/>
      <c r="P659" s="34"/>
      <c r="Q659" s="37"/>
      <c r="R659" s="47"/>
      <c r="S659" s="46"/>
    </row>
    <row r="660" spans="1:19" ht="15.6" hidden="1" customHeight="1" thickBot="1" x14ac:dyDescent="0.3">
      <c r="A660" t="s">
        <v>23</v>
      </c>
      <c r="B660" s="60" t="str">
        <f t="shared" si="465"/>
        <v>hide</v>
      </c>
      <c r="D660" s="48" t="str">
        <f>D659</f>
        <v>05102</v>
      </c>
      <c r="E660" s="7"/>
      <c r="F660" s="27">
        <v>0</v>
      </c>
      <c r="G660" s="27">
        <v>0</v>
      </c>
      <c r="H660" s="27">
        <v>0</v>
      </c>
      <c r="I660" s="27">
        <v>0</v>
      </c>
      <c r="J660" s="27">
        <v>0</v>
      </c>
      <c r="K660" s="63">
        <f>AVERAGE(I660:J660)</f>
        <v>0</v>
      </c>
      <c r="L660" s="56" t="str">
        <f>"SW-RISER-PACK"</f>
        <v>SW-RISER-PACK</v>
      </c>
      <c r="M660" s="14"/>
      <c r="N660" s="15"/>
      <c r="O660" s="12"/>
      <c r="P660" s="34"/>
      <c r="Q660" s="37"/>
      <c r="R660" s="47"/>
      <c r="S660" s="46"/>
    </row>
    <row r="661" spans="1:19" ht="12" hidden="1" customHeight="1" x14ac:dyDescent="0.3">
      <c r="A661" s="35" t="s">
        <v>908</v>
      </c>
      <c r="B661" s="49" t="str">
        <f>B657</f>
        <v>hide</v>
      </c>
      <c r="N661"/>
      <c r="Q661" s="33"/>
    </row>
    <row r="662" spans="1:19" ht="13.8" hidden="1" thickBot="1" x14ac:dyDescent="0.3">
      <c r="A662" t="s">
        <v>23</v>
      </c>
      <c r="B662" s="49" t="str">
        <f t="shared" ref="B662" si="466">B661</f>
        <v>hide</v>
      </c>
      <c r="D662" s="58"/>
      <c r="E662" s="58"/>
      <c r="F662" s="52">
        <f>SUM(F657:F661)</f>
        <v>0</v>
      </c>
      <c r="G662" s="52">
        <f>SUM(G657:G661)</f>
        <v>0</v>
      </c>
      <c r="H662" s="52">
        <f>SUM(H657:H661)</f>
        <v>0</v>
      </c>
      <c r="I662" s="52">
        <f>SUM(I657:I661)</f>
        <v>0</v>
      </c>
      <c r="J662" s="52">
        <f>SUM(J657:J661)</f>
        <v>0</v>
      </c>
      <c r="K662" s="52"/>
      <c r="L662" s="51" t="s">
        <v>4</v>
      </c>
      <c r="M662" s="58"/>
      <c r="N662" s="58"/>
      <c r="O662" s="58"/>
      <c r="P662" s="58"/>
      <c r="Q662" s="58"/>
      <c r="R662" s="58"/>
      <c r="S662" s="58"/>
    </row>
    <row r="663" spans="1:19" s="59" customFormat="1" ht="18.75" hidden="1" customHeight="1" thickBot="1" x14ac:dyDescent="0.3">
      <c r="A663" s="59" t="s">
        <v>23</v>
      </c>
      <c r="B663" s="60" t="str">
        <f t="shared" ref="B663:B664" si="467">IF(K663=0,"hide","")</f>
        <v>hide</v>
      </c>
      <c r="D663" s="61" t="str">
        <f>"05105"</f>
        <v>05105</v>
      </c>
      <c r="E663" s="62" t="str">
        <f>"3"</f>
        <v>3</v>
      </c>
      <c r="F663" s="63">
        <v>2.0833333333333335</v>
      </c>
      <c r="G663" s="63">
        <v>0</v>
      </c>
      <c r="H663" s="63">
        <v>0</v>
      </c>
      <c r="I663" s="63">
        <v>0</v>
      </c>
      <c r="J663" s="63">
        <v>0</v>
      </c>
      <c r="K663" s="63">
        <f>AVERAGE(I663:J663)</f>
        <v>0</v>
      </c>
      <c r="L663" s="64" t="str">
        <f>"CORN MUFFINS"</f>
        <v>CORN MUFFINS</v>
      </c>
      <c r="M663" s="65" t="str">
        <f>"48-3.6 oz. 8-6 pack"</f>
        <v>48-3.6 oz. 8-6 pack</v>
      </c>
      <c r="N663" s="66">
        <v>48</v>
      </c>
      <c r="O663" s="67" t="str">
        <f>""</f>
        <v/>
      </c>
      <c r="P663" s="68" t="e">
        <f>1/O663</f>
        <v>#VALUE!</v>
      </c>
      <c r="Q663" s="53">
        <v>1</v>
      </c>
      <c r="R663" s="69">
        <f t="shared" ref="R663" si="468">1/Q663</f>
        <v>1</v>
      </c>
      <c r="S663" s="70">
        <f t="shared" ref="S663" si="469">R663*N663</f>
        <v>48</v>
      </c>
    </row>
    <row r="664" spans="1:19" ht="15.6" hidden="1" customHeight="1" thickBot="1" x14ac:dyDescent="0.3">
      <c r="A664" t="s">
        <v>23</v>
      </c>
      <c r="B664" s="60" t="str">
        <f t="shared" si="467"/>
        <v>hide</v>
      </c>
      <c r="D664" s="48" t="str">
        <f>D663</f>
        <v>05105</v>
      </c>
      <c r="E664" s="7"/>
      <c r="F664" s="27">
        <v>0</v>
      </c>
      <c r="G664" s="27">
        <v>0</v>
      </c>
      <c r="H664" s="27">
        <v>0</v>
      </c>
      <c r="I664" s="27">
        <v>0</v>
      </c>
      <c r="J664" s="27">
        <v>0</v>
      </c>
      <c r="K664" s="63">
        <f>AVERAGE(I664:J664)</f>
        <v>0</v>
      </c>
      <c r="L664" s="56" t="str">
        <f>"EQP-LAWPACK1"</f>
        <v>EQP-LAWPACK1</v>
      </c>
      <c r="M664" s="14"/>
      <c r="N664" s="15"/>
      <c r="O664" s="12"/>
      <c r="P664" s="34"/>
      <c r="Q664" s="37"/>
      <c r="R664" s="47"/>
      <c r="S664" s="46"/>
    </row>
    <row r="665" spans="1:19" ht="15.6" hidden="1" customHeight="1" thickBot="1" x14ac:dyDescent="0.3">
      <c r="A665" t="s">
        <v>23</v>
      </c>
      <c r="B665" s="60" t="str">
        <f t="shared" ref="B665:B667" si="470">IF(K665=0,"hide","")</f>
        <v>hide</v>
      </c>
      <c r="D665" s="48" t="str">
        <f>D664</f>
        <v>05105</v>
      </c>
      <c r="E665" s="7"/>
      <c r="F665" s="27">
        <v>0</v>
      </c>
      <c r="G665" s="27">
        <v>0</v>
      </c>
      <c r="H665" s="27">
        <v>0</v>
      </c>
      <c r="I665" s="27">
        <v>0</v>
      </c>
      <c r="J665" s="27">
        <v>0</v>
      </c>
      <c r="K665" s="63">
        <f>AVERAGE(I665:J665)</f>
        <v>0</v>
      </c>
      <c r="L665" s="56" t="str">
        <f>"EQP-LAWPACK2"</f>
        <v>EQP-LAWPACK2</v>
      </c>
      <c r="M665" s="14"/>
      <c r="N665" s="15"/>
      <c r="O665" s="12"/>
      <c r="P665" s="34"/>
      <c r="Q665" s="37"/>
      <c r="R665" s="47"/>
      <c r="S665" s="46"/>
    </row>
    <row r="666" spans="1:19" ht="15.6" hidden="1" customHeight="1" thickBot="1" x14ac:dyDescent="0.3">
      <c r="A666" t="s">
        <v>23</v>
      </c>
      <c r="B666" s="60" t="str">
        <f t="shared" si="470"/>
        <v>hide</v>
      </c>
      <c r="D666" s="48" t="str">
        <f>D665</f>
        <v>05105</v>
      </c>
      <c r="E666" s="7"/>
      <c r="F666" s="27">
        <v>0</v>
      </c>
      <c r="G666" s="27">
        <v>0</v>
      </c>
      <c r="H666" s="27">
        <v>0</v>
      </c>
      <c r="I666" s="27">
        <v>0</v>
      </c>
      <c r="J666" s="27">
        <v>0</v>
      </c>
      <c r="K666" s="63">
        <f>AVERAGE(I666:J666)</f>
        <v>0</v>
      </c>
      <c r="L666" s="56" t="str">
        <f>"SW-COMAS-PACKL"</f>
        <v>SW-COMAS-PACKL</v>
      </c>
      <c r="M666" s="14"/>
      <c r="N666" s="15"/>
      <c r="O666" s="12"/>
      <c r="P666" s="34"/>
      <c r="Q666" s="37"/>
      <c r="R666" s="47"/>
      <c r="S666" s="46"/>
    </row>
    <row r="667" spans="1:19" ht="15.6" hidden="1" customHeight="1" thickBot="1" x14ac:dyDescent="0.3">
      <c r="A667" t="s">
        <v>23</v>
      </c>
      <c r="B667" s="60" t="str">
        <f t="shared" si="470"/>
        <v>hide</v>
      </c>
      <c r="D667" s="48" t="str">
        <f>D666</f>
        <v>05105</v>
      </c>
      <c r="E667" s="7"/>
      <c r="F667" s="27">
        <v>0</v>
      </c>
      <c r="G667" s="27">
        <v>0</v>
      </c>
      <c r="H667" s="27">
        <v>0</v>
      </c>
      <c r="I667" s="27">
        <v>0</v>
      </c>
      <c r="J667" s="27">
        <v>0</v>
      </c>
      <c r="K667" s="63">
        <f>AVERAGE(I667:J667)</f>
        <v>0</v>
      </c>
      <c r="L667" s="56" t="str">
        <f>"SW-RISER-PACK"</f>
        <v>SW-RISER-PACK</v>
      </c>
      <c r="M667" s="14"/>
      <c r="N667" s="15"/>
      <c r="O667" s="12"/>
      <c r="P667" s="34"/>
      <c r="Q667" s="37"/>
      <c r="R667" s="47"/>
      <c r="S667" s="46"/>
    </row>
    <row r="668" spans="1:19" ht="12" hidden="1" customHeight="1" x14ac:dyDescent="0.3">
      <c r="A668" s="35" t="s">
        <v>908</v>
      </c>
      <c r="B668" s="49" t="str">
        <f>B664</f>
        <v>hide</v>
      </c>
      <c r="N668"/>
      <c r="Q668" s="33"/>
    </row>
    <row r="669" spans="1:19" ht="13.8" hidden="1" thickBot="1" x14ac:dyDescent="0.3">
      <c r="A669" t="s">
        <v>23</v>
      </c>
      <c r="B669" s="49" t="str">
        <f t="shared" ref="B669" si="471">B668</f>
        <v>hide</v>
      </c>
      <c r="D669" s="58"/>
      <c r="E669" s="58"/>
      <c r="F669" s="52">
        <f>SUM(F664:F668)</f>
        <v>0</v>
      </c>
      <c r="G669" s="52">
        <f>SUM(G664:G668)</f>
        <v>0</v>
      </c>
      <c r="H669" s="52">
        <f>SUM(H664:H668)</f>
        <v>0</v>
      </c>
      <c r="I669" s="52">
        <f>SUM(I664:I668)</f>
        <v>0</v>
      </c>
      <c r="J669" s="52">
        <f>SUM(J664:J668)</f>
        <v>0</v>
      </c>
      <c r="K669" s="52"/>
      <c r="L669" s="51" t="s">
        <v>4</v>
      </c>
      <c r="M669" s="58"/>
      <c r="N669" s="58"/>
      <c r="O669" s="58"/>
      <c r="P669" s="58"/>
      <c r="Q669" s="58"/>
      <c r="R669" s="58"/>
      <c r="S669" s="58"/>
    </row>
    <row r="670" spans="1:19" s="59" customFormat="1" ht="18.75" hidden="1" customHeight="1" thickBot="1" x14ac:dyDescent="0.3">
      <c r="A670" s="59" t="s">
        <v>23</v>
      </c>
      <c r="B670" s="60" t="str">
        <f t="shared" ref="B670:B671" si="472">IF(K670=0,"hide","")</f>
        <v>hide</v>
      </c>
      <c r="D670" s="61" t="str">
        <f>"05110"</f>
        <v>05110</v>
      </c>
      <c r="E670" s="62" t="str">
        <f>"3"</f>
        <v>3</v>
      </c>
      <c r="F670" s="63">
        <v>109.25</v>
      </c>
      <c r="G670" s="63">
        <v>16.500000000000004</v>
      </c>
      <c r="H670" s="63">
        <v>0</v>
      </c>
      <c r="I670" s="63">
        <v>0</v>
      </c>
      <c r="J670" s="63">
        <v>0</v>
      </c>
      <c r="K670" s="63">
        <f>AVERAGE(I670:J670)</f>
        <v>0</v>
      </c>
      <c r="L670" s="64" t="str">
        <f>"CHOCOLATE CHIP MUFFINS"</f>
        <v>CHOCOLATE CHIP MUFFINS</v>
      </c>
      <c r="M670" s="65" t="str">
        <f>"48-3.6 oz. 8-6 pack"</f>
        <v>48-3.6 oz. 8-6 pack</v>
      </c>
      <c r="N670" s="66">
        <v>48</v>
      </c>
      <c r="O670" s="67" t="str">
        <f>""</f>
        <v/>
      </c>
      <c r="P670" s="68" t="e">
        <f>1/O670</f>
        <v>#VALUE!</v>
      </c>
      <c r="Q670" s="53">
        <v>1</v>
      </c>
      <c r="R670" s="69">
        <f t="shared" ref="R670" si="473">1/Q670</f>
        <v>1</v>
      </c>
      <c r="S670" s="70">
        <f t="shared" ref="S670" si="474">R670*N670</f>
        <v>48</v>
      </c>
    </row>
    <row r="671" spans="1:19" ht="15.6" hidden="1" customHeight="1" thickBot="1" x14ac:dyDescent="0.3">
      <c r="A671" t="s">
        <v>23</v>
      </c>
      <c r="B671" s="60" t="str">
        <f t="shared" si="472"/>
        <v>hide</v>
      </c>
      <c r="D671" s="48" t="str">
        <f>D670</f>
        <v>05110</v>
      </c>
      <c r="E671" s="7"/>
      <c r="F671" s="27">
        <v>0</v>
      </c>
      <c r="G671" s="27">
        <v>0</v>
      </c>
      <c r="H671" s="27">
        <v>0</v>
      </c>
      <c r="I671" s="27">
        <v>0</v>
      </c>
      <c r="J671" s="27">
        <v>0</v>
      </c>
      <c r="K671" s="63">
        <f>AVERAGE(I671:J671)</f>
        <v>0</v>
      </c>
      <c r="L671" s="56" t="str">
        <f>"EQP-LAWPACK1"</f>
        <v>EQP-LAWPACK1</v>
      </c>
      <c r="M671" s="14"/>
      <c r="N671" s="15"/>
      <c r="O671" s="12"/>
      <c r="P671" s="34"/>
      <c r="Q671" s="37"/>
      <c r="R671" s="47"/>
      <c r="S671" s="46"/>
    </row>
    <row r="672" spans="1:19" ht="15.6" hidden="1" customHeight="1" thickBot="1" x14ac:dyDescent="0.3">
      <c r="A672" t="s">
        <v>23</v>
      </c>
      <c r="B672" s="60" t="str">
        <f t="shared" ref="B672:B674" si="475">IF(K672=0,"hide","")</f>
        <v>hide</v>
      </c>
      <c r="D672" s="48" t="str">
        <f>D671</f>
        <v>05110</v>
      </c>
      <c r="E672" s="7"/>
      <c r="F672" s="27">
        <v>0</v>
      </c>
      <c r="G672" s="27">
        <v>0</v>
      </c>
      <c r="H672" s="27">
        <v>0</v>
      </c>
      <c r="I672" s="27">
        <v>0</v>
      </c>
      <c r="J672" s="27">
        <v>0</v>
      </c>
      <c r="K672" s="63">
        <f>AVERAGE(I672:J672)</f>
        <v>0</v>
      </c>
      <c r="L672" s="56" t="str">
        <f>"EQP-LAWPACK2"</f>
        <v>EQP-LAWPACK2</v>
      </c>
      <c r="M672" s="14"/>
      <c r="N672" s="15"/>
      <c r="O672" s="12"/>
      <c r="P672" s="34"/>
      <c r="Q672" s="37"/>
      <c r="R672" s="47"/>
      <c r="S672" s="46"/>
    </row>
    <row r="673" spans="1:19" ht="15.6" hidden="1" customHeight="1" thickBot="1" x14ac:dyDescent="0.3">
      <c r="A673" t="s">
        <v>23</v>
      </c>
      <c r="B673" s="60" t="str">
        <f t="shared" si="475"/>
        <v>hide</v>
      </c>
      <c r="D673" s="48" t="str">
        <f>D672</f>
        <v>05110</v>
      </c>
      <c r="E673" s="7"/>
      <c r="F673" s="27">
        <v>0</v>
      </c>
      <c r="G673" s="27">
        <v>0</v>
      </c>
      <c r="H673" s="27">
        <v>0</v>
      </c>
      <c r="I673" s="27">
        <v>0</v>
      </c>
      <c r="J673" s="27">
        <v>0</v>
      </c>
      <c r="K673" s="63">
        <f>AVERAGE(I673:J673)</f>
        <v>0</v>
      </c>
      <c r="L673" s="56" t="str">
        <f>"SW-COMAS-PACKL"</f>
        <v>SW-COMAS-PACKL</v>
      </c>
      <c r="M673" s="14"/>
      <c r="N673" s="15"/>
      <c r="O673" s="12"/>
      <c r="P673" s="34"/>
      <c r="Q673" s="37"/>
      <c r="R673" s="47"/>
      <c r="S673" s="46"/>
    </row>
    <row r="674" spans="1:19" ht="15.6" hidden="1" customHeight="1" thickBot="1" x14ac:dyDescent="0.3">
      <c r="A674" t="s">
        <v>23</v>
      </c>
      <c r="B674" s="60" t="str">
        <f t="shared" si="475"/>
        <v>hide</v>
      </c>
      <c r="D674" s="48" t="str">
        <f>D673</f>
        <v>05110</v>
      </c>
      <c r="E674" s="7"/>
      <c r="F674" s="27">
        <v>0</v>
      </c>
      <c r="G674" s="27">
        <v>0</v>
      </c>
      <c r="H674" s="27">
        <v>0</v>
      </c>
      <c r="I674" s="27">
        <v>0</v>
      </c>
      <c r="J674" s="27">
        <v>0</v>
      </c>
      <c r="K674" s="63">
        <f>AVERAGE(I674:J674)</f>
        <v>0</v>
      </c>
      <c r="L674" s="56" t="str">
        <f>"SW-RISER-PACK"</f>
        <v>SW-RISER-PACK</v>
      </c>
      <c r="M674" s="14"/>
      <c r="N674" s="15"/>
      <c r="O674" s="12"/>
      <c r="P674" s="34"/>
      <c r="Q674" s="37"/>
      <c r="R674" s="47"/>
      <c r="S674" s="46"/>
    </row>
    <row r="675" spans="1:19" ht="12" hidden="1" customHeight="1" x14ac:dyDescent="0.3">
      <c r="A675" s="35" t="s">
        <v>908</v>
      </c>
      <c r="B675" s="49" t="str">
        <f>B671</f>
        <v>hide</v>
      </c>
      <c r="N675"/>
      <c r="Q675" s="33"/>
    </row>
    <row r="676" spans="1:19" ht="13.8" hidden="1" thickBot="1" x14ac:dyDescent="0.3">
      <c r="A676" t="s">
        <v>23</v>
      </c>
      <c r="B676" s="49" t="str">
        <f t="shared" ref="B676" si="476">B675</f>
        <v>hide</v>
      </c>
      <c r="D676" s="58"/>
      <c r="E676" s="58"/>
      <c r="F676" s="52">
        <f>SUM(F671:F675)</f>
        <v>0</v>
      </c>
      <c r="G676" s="52">
        <f>SUM(G671:G675)</f>
        <v>0</v>
      </c>
      <c r="H676" s="52">
        <f>SUM(H671:H675)</f>
        <v>0</v>
      </c>
      <c r="I676" s="52">
        <f>SUM(I671:I675)</f>
        <v>0</v>
      </c>
      <c r="J676" s="52">
        <f>SUM(J671:J675)</f>
        <v>0</v>
      </c>
      <c r="K676" s="52"/>
      <c r="L676" s="51" t="s">
        <v>4</v>
      </c>
      <c r="M676" s="58"/>
      <c r="N676" s="58"/>
      <c r="O676" s="58"/>
      <c r="P676" s="58"/>
      <c r="Q676" s="58"/>
      <c r="R676" s="58"/>
      <c r="S676" s="58"/>
    </row>
    <row r="677" spans="1:19" s="59" customFormat="1" ht="18.75" hidden="1" customHeight="1" thickBot="1" x14ac:dyDescent="0.3">
      <c r="A677" s="59" t="s">
        <v>23</v>
      </c>
      <c r="B677" s="60" t="str">
        <f t="shared" ref="B677:B678" si="477">IF(K677=0,"hide","")</f>
        <v>hide</v>
      </c>
      <c r="D677" s="61" t="str">
        <f>"05112"</f>
        <v>05112</v>
      </c>
      <c r="E677" s="62" t="str">
        <f>"2"</f>
        <v>2</v>
      </c>
      <c r="F677" s="63">
        <v>0</v>
      </c>
      <c r="G677" s="63">
        <v>0</v>
      </c>
      <c r="H677" s="63">
        <v>0</v>
      </c>
      <c r="I677" s="63">
        <v>0</v>
      </c>
      <c r="J677" s="63">
        <v>0</v>
      </c>
      <c r="K677" s="63">
        <f>AVERAGE(I677:J677)</f>
        <v>0</v>
      </c>
      <c r="L677" s="64" t="str">
        <f>"BRAN MUFFINS"</f>
        <v>BRAN MUFFINS</v>
      </c>
      <c r="M677" s="65" t="str">
        <f>"48-3.6 oz. 8-6 pack"</f>
        <v>48-3.6 oz. 8-6 pack</v>
      </c>
      <c r="N677" s="66">
        <v>48</v>
      </c>
      <c r="O677" s="67" t="str">
        <f>""</f>
        <v/>
      </c>
      <c r="P677" s="68" t="e">
        <f>1/O677</f>
        <v>#VALUE!</v>
      </c>
      <c r="Q677" s="53">
        <v>1</v>
      </c>
      <c r="R677" s="69">
        <f t="shared" ref="R677" si="478">1/Q677</f>
        <v>1</v>
      </c>
      <c r="S677" s="70">
        <f t="shared" ref="S677" si="479">R677*N677</f>
        <v>48</v>
      </c>
    </row>
    <row r="678" spans="1:19" ht="15.6" hidden="1" customHeight="1" thickBot="1" x14ac:dyDescent="0.3">
      <c r="A678" t="s">
        <v>23</v>
      </c>
      <c r="B678" s="60" t="str">
        <f t="shared" si="477"/>
        <v>hide</v>
      </c>
      <c r="D678" s="48" t="str">
        <f>D677</f>
        <v>05112</v>
      </c>
      <c r="E678" s="7"/>
      <c r="F678" s="27">
        <v>0</v>
      </c>
      <c r="G678" s="27">
        <v>0</v>
      </c>
      <c r="H678" s="27">
        <v>0</v>
      </c>
      <c r="I678" s="27">
        <v>0</v>
      </c>
      <c r="J678" s="27">
        <v>0</v>
      </c>
      <c r="K678" s="63">
        <f>AVERAGE(I678:J678)</f>
        <v>0</v>
      </c>
      <c r="L678" s="56" t="str">
        <f>"EQP-LAWPACK1"</f>
        <v>EQP-LAWPACK1</v>
      </c>
      <c r="M678" s="14"/>
      <c r="N678" s="15"/>
      <c r="O678" s="12"/>
      <c r="P678" s="34"/>
      <c r="Q678" s="37"/>
      <c r="R678" s="47"/>
      <c r="S678" s="46"/>
    </row>
    <row r="679" spans="1:19" ht="15.6" hidden="1" customHeight="1" thickBot="1" x14ac:dyDescent="0.3">
      <c r="A679" t="s">
        <v>23</v>
      </c>
      <c r="B679" s="60" t="str">
        <f t="shared" ref="B679:B681" si="480">IF(K679=0,"hide","")</f>
        <v>hide</v>
      </c>
      <c r="D679" s="48" t="str">
        <f>D678</f>
        <v>05112</v>
      </c>
      <c r="E679" s="7"/>
      <c r="F679" s="27">
        <v>0</v>
      </c>
      <c r="G679" s="27">
        <v>0</v>
      </c>
      <c r="H679" s="27">
        <v>0</v>
      </c>
      <c r="I679" s="27">
        <v>0</v>
      </c>
      <c r="J679" s="27">
        <v>0</v>
      </c>
      <c r="K679" s="63">
        <f>AVERAGE(I679:J679)</f>
        <v>0</v>
      </c>
      <c r="L679" s="56" t="str">
        <f>"EQP-LAWPACK2"</f>
        <v>EQP-LAWPACK2</v>
      </c>
      <c r="M679" s="14"/>
      <c r="N679" s="15"/>
      <c r="O679" s="12"/>
      <c r="P679" s="34"/>
      <c r="Q679" s="37"/>
      <c r="R679" s="47"/>
      <c r="S679" s="46"/>
    </row>
    <row r="680" spans="1:19" ht="15.6" hidden="1" customHeight="1" thickBot="1" x14ac:dyDescent="0.3">
      <c r="A680" t="s">
        <v>23</v>
      </c>
      <c r="B680" s="60" t="str">
        <f t="shared" si="480"/>
        <v>hide</v>
      </c>
      <c r="D680" s="48" t="str">
        <f>D679</f>
        <v>05112</v>
      </c>
      <c r="E680" s="7"/>
      <c r="F680" s="27">
        <v>0</v>
      </c>
      <c r="G680" s="27">
        <v>0</v>
      </c>
      <c r="H680" s="27">
        <v>0</v>
      </c>
      <c r="I680" s="27">
        <v>0</v>
      </c>
      <c r="J680" s="27">
        <v>0</v>
      </c>
      <c r="K680" s="63">
        <f>AVERAGE(I680:J680)</f>
        <v>0</v>
      </c>
      <c r="L680" s="56" t="str">
        <f>"SW-COMAS-PACKL"</f>
        <v>SW-COMAS-PACKL</v>
      </c>
      <c r="M680" s="14"/>
      <c r="N680" s="15"/>
      <c r="O680" s="12"/>
      <c r="P680" s="34"/>
      <c r="Q680" s="37"/>
      <c r="R680" s="47"/>
      <c r="S680" s="46"/>
    </row>
    <row r="681" spans="1:19" ht="15.6" hidden="1" customHeight="1" thickBot="1" x14ac:dyDescent="0.3">
      <c r="A681" t="s">
        <v>23</v>
      </c>
      <c r="B681" s="60" t="str">
        <f t="shared" si="480"/>
        <v>hide</v>
      </c>
      <c r="D681" s="48" t="str">
        <f>D680</f>
        <v>05112</v>
      </c>
      <c r="E681" s="7"/>
      <c r="F681" s="27">
        <v>0</v>
      </c>
      <c r="G681" s="27">
        <v>0</v>
      </c>
      <c r="H681" s="27">
        <v>0</v>
      </c>
      <c r="I681" s="27">
        <v>0</v>
      </c>
      <c r="J681" s="27">
        <v>0</v>
      </c>
      <c r="K681" s="63">
        <f>AVERAGE(I681:J681)</f>
        <v>0</v>
      </c>
      <c r="L681" s="56" t="str">
        <f>"SW-RISER-PACK"</f>
        <v>SW-RISER-PACK</v>
      </c>
      <c r="M681" s="14"/>
      <c r="N681" s="15"/>
      <c r="O681" s="12"/>
      <c r="P681" s="34"/>
      <c r="Q681" s="37"/>
      <c r="R681" s="47"/>
      <c r="S681" s="46"/>
    </row>
    <row r="682" spans="1:19" ht="12" hidden="1" customHeight="1" x14ac:dyDescent="0.3">
      <c r="A682" s="35" t="s">
        <v>908</v>
      </c>
      <c r="B682" s="49" t="str">
        <f>B678</f>
        <v>hide</v>
      </c>
      <c r="N682"/>
      <c r="Q682" s="33"/>
    </row>
    <row r="683" spans="1:19" ht="13.8" hidden="1" thickBot="1" x14ac:dyDescent="0.3">
      <c r="A683" t="s">
        <v>23</v>
      </c>
      <c r="B683" s="49" t="str">
        <f t="shared" ref="B683" si="481">B682</f>
        <v>hide</v>
      </c>
      <c r="D683" s="58"/>
      <c r="E683" s="58"/>
      <c r="F683" s="52">
        <f>SUM(F678:F682)</f>
        <v>0</v>
      </c>
      <c r="G683" s="52">
        <f>SUM(G678:G682)</f>
        <v>0</v>
      </c>
      <c r="H683" s="52">
        <f>SUM(H678:H682)</f>
        <v>0</v>
      </c>
      <c r="I683" s="52">
        <f>SUM(I678:I682)</f>
        <v>0</v>
      </c>
      <c r="J683" s="52">
        <f>SUM(J678:J682)</f>
        <v>0</v>
      </c>
      <c r="K683" s="52"/>
      <c r="L683" s="51" t="s">
        <v>4</v>
      </c>
      <c r="M683" s="58"/>
      <c r="N683" s="58"/>
      <c r="O683" s="58"/>
      <c r="P683" s="58"/>
      <c r="Q683" s="58"/>
      <c r="R683" s="58"/>
      <c r="S683" s="58"/>
    </row>
    <row r="684" spans="1:19" s="59" customFormat="1" ht="18.75" customHeight="1" thickBot="1" x14ac:dyDescent="0.3">
      <c r="A684" s="59" t="s">
        <v>23</v>
      </c>
      <c r="B684" s="60" t="str">
        <f t="shared" ref="B684:B685" si="482">IF(K684=0,"hide","")</f>
        <v/>
      </c>
      <c r="D684" s="61" t="str">
        <f>"05371"</f>
        <v>05371</v>
      </c>
      <c r="E684" s="62" t="str">
        <f>"2"</f>
        <v>2</v>
      </c>
      <c r="F684" s="63">
        <v>0</v>
      </c>
      <c r="G684" s="63">
        <v>0</v>
      </c>
      <c r="H684" s="63">
        <v>0</v>
      </c>
      <c r="I684" s="63">
        <v>0</v>
      </c>
      <c r="J684" s="63">
        <v>108.42650602409638</v>
      </c>
      <c r="K684" s="63">
        <f>AVERAGE(I684:J684)</f>
        <v>54.213253012048192</v>
      </c>
      <c r="L684" s="64" t="str">
        <f>"RICH's White Cupcake"</f>
        <v>RICH's White Cupcake</v>
      </c>
      <c r="M684" s="65" t="str">
        <f>"144-1.15 oz. 4 trays of 36"</f>
        <v>144-1.15 oz. 4 trays of 36</v>
      </c>
      <c r="N684" s="66">
        <v>144</v>
      </c>
      <c r="O684" s="67" t="str">
        <f>""</f>
        <v/>
      </c>
      <c r="P684" s="68" t="e">
        <f>1/O684</f>
        <v>#VALUE!</v>
      </c>
      <c r="Q684" s="53">
        <v>1</v>
      </c>
      <c r="R684" s="69">
        <f t="shared" ref="R684" si="483">1/Q684</f>
        <v>1</v>
      </c>
      <c r="S684" s="70">
        <f t="shared" ref="S684" si="484">R684*N684</f>
        <v>144</v>
      </c>
    </row>
    <row r="685" spans="1:19" ht="15.6" hidden="1" customHeight="1" thickBot="1" x14ac:dyDescent="0.3">
      <c r="A685" t="s">
        <v>23</v>
      </c>
      <c r="B685" s="60" t="str">
        <f t="shared" si="482"/>
        <v>hide</v>
      </c>
      <c r="D685" s="48" t="str">
        <f>D684</f>
        <v>05371</v>
      </c>
      <c r="E685" s="7"/>
      <c r="F685" s="27">
        <v>0</v>
      </c>
      <c r="G685" s="27">
        <v>0</v>
      </c>
      <c r="H685" s="27">
        <v>0</v>
      </c>
      <c r="I685" s="27">
        <v>0</v>
      </c>
      <c r="J685" s="27">
        <v>0</v>
      </c>
      <c r="K685" s="63">
        <f>AVERAGE(I685:J685)</f>
        <v>0</v>
      </c>
      <c r="L685" s="56" t="str">
        <f>"EQP-LAWPACK1"</f>
        <v>EQP-LAWPACK1</v>
      </c>
      <c r="M685" s="14"/>
      <c r="N685" s="15"/>
      <c r="O685" s="12"/>
      <c r="P685" s="34"/>
      <c r="Q685" s="37"/>
      <c r="R685" s="47"/>
      <c r="S685" s="46"/>
    </row>
    <row r="686" spans="1:19" ht="15.6" customHeight="1" thickBot="1" x14ac:dyDescent="0.3">
      <c r="A686" t="s">
        <v>23</v>
      </c>
      <c r="B686" s="60" t="str">
        <f t="shared" ref="B686:B688" si="485">IF(K686=0,"hide","")</f>
        <v/>
      </c>
      <c r="D686" s="48" t="str">
        <f>D685</f>
        <v>05371</v>
      </c>
      <c r="E686" s="7"/>
      <c r="F686" s="27">
        <v>0</v>
      </c>
      <c r="G686" s="27">
        <v>0</v>
      </c>
      <c r="H686" s="27">
        <v>0</v>
      </c>
      <c r="I686" s="27">
        <v>0</v>
      </c>
      <c r="J686" s="27">
        <v>-27.277108433734941</v>
      </c>
      <c r="K686" s="63">
        <f>AVERAGE(I686:J686)</f>
        <v>-13.638554216867471</v>
      </c>
      <c r="L686" s="56" t="str">
        <f>"EQP-LAWPACK2"</f>
        <v>EQP-LAWPACK2</v>
      </c>
      <c r="M686" s="14"/>
      <c r="N686" s="15"/>
      <c r="O686" s="12"/>
      <c r="P686" s="34"/>
      <c r="Q686" s="37"/>
      <c r="R686" s="47"/>
      <c r="S686" s="46"/>
    </row>
    <row r="687" spans="1:19" ht="15.6" hidden="1" customHeight="1" thickBot="1" x14ac:dyDescent="0.3">
      <c r="A687" t="s">
        <v>23</v>
      </c>
      <c r="B687" s="60" t="str">
        <f t="shared" si="485"/>
        <v>hide</v>
      </c>
      <c r="D687" s="48" t="str">
        <f>D686</f>
        <v>05371</v>
      </c>
      <c r="E687" s="7"/>
      <c r="F687" s="27">
        <v>0</v>
      </c>
      <c r="G687" s="27">
        <v>0</v>
      </c>
      <c r="H687" s="27">
        <v>0</v>
      </c>
      <c r="I687" s="27">
        <v>0</v>
      </c>
      <c r="J687" s="27">
        <v>0</v>
      </c>
      <c r="K687" s="63">
        <f>AVERAGE(I687:J687)</f>
        <v>0</v>
      </c>
      <c r="L687" s="56" t="str">
        <f>"SW-COMAS-PACKL"</f>
        <v>SW-COMAS-PACKL</v>
      </c>
      <c r="M687" s="14"/>
      <c r="N687" s="15"/>
      <c r="O687" s="12"/>
      <c r="P687" s="34"/>
      <c r="Q687" s="37"/>
      <c r="R687" s="47"/>
      <c r="S687" s="46"/>
    </row>
    <row r="688" spans="1:19" ht="15.6" hidden="1" customHeight="1" thickBot="1" x14ac:dyDescent="0.3">
      <c r="A688" t="s">
        <v>23</v>
      </c>
      <c r="B688" s="60" t="str">
        <f t="shared" si="485"/>
        <v>hide</v>
      </c>
      <c r="D688" s="48" t="str">
        <f>D687</f>
        <v>05371</v>
      </c>
      <c r="E688" s="7"/>
      <c r="F688" s="27">
        <v>0</v>
      </c>
      <c r="G688" s="27">
        <v>0</v>
      </c>
      <c r="H688" s="27">
        <v>0</v>
      </c>
      <c r="I688" s="27">
        <v>0</v>
      </c>
      <c r="J688" s="27">
        <v>0</v>
      </c>
      <c r="K688" s="63">
        <f>AVERAGE(I688:J688)</f>
        <v>0</v>
      </c>
      <c r="L688" s="56" t="str">
        <f>"SW-RISER-PACK"</f>
        <v>SW-RISER-PACK</v>
      </c>
      <c r="M688" s="14"/>
      <c r="N688" s="15"/>
      <c r="O688" s="12"/>
      <c r="P688" s="34"/>
      <c r="Q688" s="37"/>
      <c r="R688" s="47"/>
      <c r="S688" s="46"/>
    </row>
    <row r="689" spans="1:19" ht="12" hidden="1" customHeight="1" x14ac:dyDescent="0.3">
      <c r="A689" s="35" t="s">
        <v>908</v>
      </c>
      <c r="B689" s="49" t="str">
        <f>B685</f>
        <v>hide</v>
      </c>
      <c r="N689"/>
      <c r="Q689" s="33"/>
    </row>
    <row r="690" spans="1:19" ht="13.8" hidden="1" thickBot="1" x14ac:dyDescent="0.3">
      <c r="A690" t="s">
        <v>23</v>
      </c>
      <c r="B690" s="49" t="str">
        <f t="shared" ref="B690" si="486">B689</f>
        <v>hide</v>
      </c>
      <c r="D690" s="58"/>
      <c r="E690" s="58"/>
      <c r="F690" s="52">
        <f>SUM(F685:F689)</f>
        <v>0</v>
      </c>
      <c r="G690" s="52">
        <f>SUM(G685:G689)</f>
        <v>0</v>
      </c>
      <c r="H690" s="52">
        <f>SUM(H685:H689)</f>
        <v>0</v>
      </c>
      <c r="I690" s="52">
        <f>SUM(I685:I689)</f>
        <v>0</v>
      </c>
      <c r="J690" s="52">
        <f>SUM(J685:J689)</f>
        <v>-27.277108433734941</v>
      </c>
      <c r="K690" s="52"/>
      <c r="L690" s="51" t="s">
        <v>4</v>
      </c>
      <c r="M690" s="58"/>
      <c r="N690" s="58"/>
      <c r="O690" s="58"/>
      <c r="P690" s="58"/>
      <c r="Q690" s="58"/>
      <c r="R690" s="58"/>
      <c r="S690" s="58"/>
    </row>
    <row r="691" spans="1:19" s="59" customFormat="1" ht="18.75" hidden="1" customHeight="1" thickBot="1" x14ac:dyDescent="0.3">
      <c r="A691" s="59" t="s">
        <v>23</v>
      </c>
      <c r="B691" s="60" t="str">
        <f t="shared" ref="B691:B692" si="487">IF(K691=0,"hide","")</f>
        <v>hide</v>
      </c>
      <c r="D691" s="61" t="str">
        <f>"06061"</f>
        <v>06061</v>
      </c>
      <c r="E691" s="62" t="str">
        <f>"6"</f>
        <v>6</v>
      </c>
      <c r="F691" s="63">
        <v>0</v>
      </c>
      <c r="G691" s="63">
        <v>0</v>
      </c>
      <c r="H691" s="63">
        <v>0</v>
      </c>
      <c r="I691" s="63">
        <v>0</v>
      </c>
      <c r="J691" s="63">
        <v>0</v>
      </c>
      <c r="K691" s="63">
        <f>AVERAGE(I691:J691)</f>
        <v>0</v>
      </c>
      <c r="L691" s="64" t="str">
        <f>"Smart Choice Blueberry Muffin"</f>
        <v>Smart Choice Blueberry Muffin</v>
      </c>
      <c r="M691" s="65" t="str">
        <f>"48-3.6 oz. I.W. (clear film)"</f>
        <v>48-3.6 oz. I.W. (clear film)</v>
      </c>
      <c r="N691" s="66">
        <v>48</v>
      </c>
      <c r="O691" s="67">
        <v>1E-3</v>
      </c>
      <c r="P691" s="68">
        <f>1/O691</f>
        <v>1000</v>
      </c>
      <c r="Q691" s="53">
        <v>2.8400000000000001E-3</v>
      </c>
      <c r="R691" s="69">
        <f t="shared" ref="R691" si="488">1/Q691</f>
        <v>352.11267605633805</v>
      </c>
      <c r="S691" s="70">
        <f t="shared" ref="S691" si="489">R691*N691</f>
        <v>16901.408450704228</v>
      </c>
    </row>
    <row r="692" spans="1:19" ht="15.6" hidden="1" customHeight="1" thickBot="1" x14ac:dyDescent="0.3">
      <c r="A692" t="s">
        <v>23</v>
      </c>
      <c r="B692" s="60" t="str">
        <f t="shared" si="487"/>
        <v>hide</v>
      </c>
      <c r="D692" s="48" t="str">
        <f>D691</f>
        <v>06061</v>
      </c>
      <c r="E692" s="7"/>
      <c r="F692" s="27">
        <v>0</v>
      </c>
      <c r="G692" s="27">
        <v>0</v>
      </c>
      <c r="H692" s="27">
        <v>0</v>
      </c>
      <c r="I692" s="27">
        <v>0</v>
      </c>
      <c r="J692" s="27">
        <v>0</v>
      </c>
      <c r="K692" s="63">
        <f>AVERAGE(I692:J692)</f>
        <v>0</v>
      </c>
      <c r="L692" s="56" t="str">
        <f>"EQP-LAWPACK1"</f>
        <v>EQP-LAWPACK1</v>
      </c>
      <c r="M692" s="14"/>
      <c r="N692" s="15"/>
      <c r="O692" s="12"/>
      <c r="P692" s="34"/>
      <c r="Q692" s="37"/>
      <c r="R692" s="47"/>
      <c r="S692" s="46"/>
    </row>
    <row r="693" spans="1:19" ht="15.6" hidden="1" customHeight="1" thickBot="1" x14ac:dyDescent="0.3">
      <c r="A693" t="s">
        <v>23</v>
      </c>
      <c r="B693" s="60" t="str">
        <f t="shared" ref="B693:B695" si="490">IF(K693=0,"hide","")</f>
        <v>hide</v>
      </c>
      <c r="D693" s="48" t="str">
        <f>D692</f>
        <v>06061</v>
      </c>
      <c r="E693" s="7"/>
      <c r="F693" s="27">
        <v>0</v>
      </c>
      <c r="G693" s="27">
        <v>0</v>
      </c>
      <c r="H693" s="27">
        <v>0</v>
      </c>
      <c r="I693" s="27">
        <v>0</v>
      </c>
      <c r="J693" s="27">
        <v>0</v>
      </c>
      <c r="K693" s="63">
        <f>AVERAGE(I693:J693)</f>
        <v>0</v>
      </c>
      <c r="L693" s="56" t="str">
        <f>"EQP-LAWPACK2"</f>
        <v>EQP-LAWPACK2</v>
      </c>
      <c r="M693" s="14"/>
      <c r="N693" s="15"/>
      <c r="O693" s="12"/>
      <c r="P693" s="34"/>
      <c r="Q693" s="37"/>
      <c r="R693" s="47"/>
      <c r="S693" s="46"/>
    </row>
    <row r="694" spans="1:19" ht="15.6" hidden="1" customHeight="1" thickBot="1" x14ac:dyDescent="0.3">
      <c r="A694" t="s">
        <v>23</v>
      </c>
      <c r="B694" s="60" t="str">
        <f t="shared" si="490"/>
        <v>hide</v>
      </c>
      <c r="D694" s="48" t="str">
        <f>D693</f>
        <v>06061</v>
      </c>
      <c r="E694" s="7"/>
      <c r="F694" s="27">
        <v>0</v>
      </c>
      <c r="G694" s="27">
        <v>0</v>
      </c>
      <c r="H694" s="27">
        <v>0</v>
      </c>
      <c r="I694" s="27">
        <v>0</v>
      </c>
      <c r="J694" s="27">
        <v>0</v>
      </c>
      <c r="K694" s="63">
        <f>AVERAGE(I694:J694)</f>
        <v>0</v>
      </c>
      <c r="L694" s="56" t="str">
        <f>"SW-COMAS-PACKL"</f>
        <v>SW-COMAS-PACKL</v>
      </c>
      <c r="M694" s="14"/>
      <c r="N694" s="15"/>
      <c r="O694" s="12"/>
      <c r="P694" s="34"/>
      <c r="Q694" s="37"/>
      <c r="R694" s="47"/>
      <c r="S694" s="46"/>
    </row>
    <row r="695" spans="1:19" ht="15.6" hidden="1" customHeight="1" thickBot="1" x14ac:dyDescent="0.3">
      <c r="A695" t="s">
        <v>23</v>
      </c>
      <c r="B695" s="60" t="str">
        <f t="shared" si="490"/>
        <v>hide</v>
      </c>
      <c r="D695" s="48" t="str">
        <f>D694</f>
        <v>06061</v>
      </c>
      <c r="E695" s="7"/>
      <c r="F695" s="27">
        <v>0</v>
      </c>
      <c r="G695" s="27">
        <v>0</v>
      </c>
      <c r="H695" s="27">
        <v>0</v>
      </c>
      <c r="I695" s="27">
        <v>0</v>
      </c>
      <c r="J695" s="27">
        <v>0</v>
      </c>
      <c r="K695" s="63">
        <f>AVERAGE(I695:J695)</f>
        <v>0</v>
      </c>
      <c r="L695" s="56" t="str">
        <f>"SW-RISER-PACK"</f>
        <v>SW-RISER-PACK</v>
      </c>
      <c r="M695" s="14"/>
      <c r="N695" s="15"/>
      <c r="O695" s="12"/>
      <c r="P695" s="34"/>
      <c r="Q695" s="37"/>
      <c r="R695" s="47"/>
      <c r="S695" s="46"/>
    </row>
    <row r="696" spans="1:19" ht="12" hidden="1" customHeight="1" x14ac:dyDescent="0.3">
      <c r="A696" s="35" t="s">
        <v>908</v>
      </c>
      <c r="B696" s="49" t="str">
        <f>B692</f>
        <v>hide</v>
      </c>
      <c r="N696"/>
      <c r="Q696" s="33"/>
    </row>
    <row r="697" spans="1:19" ht="13.8" hidden="1" thickBot="1" x14ac:dyDescent="0.3">
      <c r="A697" t="s">
        <v>23</v>
      </c>
      <c r="B697" s="49" t="str">
        <f t="shared" ref="B697" si="491">B696</f>
        <v>hide</v>
      </c>
      <c r="D697" s="58"/>
      <c r="E697" s="58"/>
      <c r="F697" s="52">
        <f>SUM(F692:F696)</f>
        <v>0</v>
      </c>
      <c r="G697" s="52">
        <f>SUM(G692:G696)</f>
        <v>0</v>
      </c>
      <c r="H697" s="52">
        <f>SUM(H692:H696)</f>
        <v>0</v>
      </c>
      <c r="I697" s="52">
        <f>SUM(I692:I696)</f>
        <v>0</v>
      </c>
      <c r="J697" s="52">
        <f>SUM(J692:J696)</f>
        <v>0</v>
      </c>
      <c r="K697" s="52"/>
      <c r="L697" s="51" t="s">
        <v>4</v>
      </c>
      <c r="M697" s="58"/>
      <c r="N697" s="58"/>
      <c r="O697" s="58"/>
      <c r="P697" s="58"/>
      <c r="Q697" s="58"/>
      <c r="R697" s="58"/>
      <c r="S697" s="58"/>
    </row>
    <row r="698" spans="1:19" s="59" customFormat="1" ht="18.75" hidden="1" customHeight="1" thickBot="1" x14ac:dyDescent="0.3">
      <c r="A698" s="59" t="s">
        <v>23</v>
      </c>
      <c r="B698" s="60" t="str">
        <f t="shared" ref="B698:B699" si="492">IF(K698=0,"hide","")</f>
        <v>hide</v>
      </c>
      <c r="D698" s="61" t="str">
        <f>"06070"</f>
        <v>06070</v>
      </c>
      <c r="E698" s="62" t="str">
        <f>"4"</f>
        <v>4</v>
      </c>
      <c r="F698" s="63">
        <v>0</v>
      </c>
      <c r="G698" s="63">
        <v>0</v>
      </c>
      <c r="H698" s="63">
        <v>0</v>
      </c>
      <c r="I698" s="63">
        <v>0</v>
      </c>
      <c r="J698" s="63">
        <v>0</v>
      </c>
      <c r="K698" s="63">
        <f>AVERAGE(I698:J698)</f>
        <v>0</v>
      </c>
      <c r="L698" s="64" t="str">
        <f>"Smart Choice Chocolate Chip"</f>
        <v>Smart Choice Chocolate Chip</v>
      </c>
      <c r="M698" s="65" t="str">
        <f>"48-3.6 oz. I.W. (clear film)"</f>
        <v>48-3.6 oz. I.W. (clear film)</v>
      </c>
      <c r="N698" s="66">
        <v>48</v>
      </c>
      <c r="O698" s="67">
        <v>1E-3</v>
      </c>
      <c r="P698" s="68">
        <f>1/O698</f>
        <v>1000</v>
      </c>
      <c r="Q698" s="53">
        <v>2.8400000000000001E-3</v>
      </c>
      <c r="R698" s="69">
        <f t="shared" ref="R698" si="493">1/Q698</f>
        <v>352.11267605633805</v>
      </c>
      <c r="S698" s="70">
        <f t="shared" ref="S698" si="494">R698*N698</f>
        <v>16901.408450704228</v>
      </c>
    </row>
    <row r="699" spans="1:19" ht="15.6" hidden="1" customHeight="1" thickBot="1" x14ac:dyDescent="0.3">
      <c r="A699" t="s">
        <v>23</v>
      </c>
      <c r="B699" s="60" t="str">
        <f t="shared" si="492"/>
        <v>hide</v>
      </c>
      <c r="D699" s="48" t="str">
        <f>D698</f>
        <v>06070</v>
      </c>
      <c r="E699" s="7"/>
      <c r="F699" s="27">
        <v>0</v>
      </c>
      <c r="G699" s="27">
        <v>0</v>
      </c>
      <c r="H699" s="27">
        <v>0</v>
      </c>
      <c r="I699" s="27">
        <v>0</v>
      </c>
      <c r="J699" s="27">
        <v>0</v>
      </c>
      <c r="K699" s="63">
        <f>AVERAGE(I699:J699)</f>
        <v>0</v>
      </c>
      <c r="L699" s="56" t="str">
        <f>"EQP-LAWPACK1"</f>
        <v>EQP-LAWPACK1</v>
      </c>
      <c r="M699" s="14"/>
      <c r="N699" s="15"/>
      <c r="O699" s="12"/>
      <c r="P699" s="34"/>
      <c r="Q699" s="37"/>
      <c r="R699" s="47"/>
      <c r="S699" s="46"/>
    </row>
    <row r="700" spans="1:19" ht="15.6" hidden="1" customHeight="1" thickBot="1" x14ac:dyDescent="0.3">
      <c r="A700" t="s">
        <v>23</v>
      </c>
      <c r="B700" s="60" t="str">
        <f t="shared" ref="B700:B702" si="495">IF(K700=0,"hide","")</f>
        <v>hide</v>
      </c>
      <c r="D700" s="48" t="str">
        <f>D699</f>
        <v>06070</v>
      </c>
      <c r="E700" s="7"/>
      <c r="F700" s="27">
        <v>0</v>
      </c>
      <c r="G700" s="27">
        <v>0</v>
      </c>
      <c r="H700" s="27">
        <v>0</v>
      </c>
      <c r="I700" s="27">
        <v>0</v>
      </c>
      <c r="J700" s="27">
        <v>0</v>
      </c>
      <c r="K700" s="63">
        <f>AVERAGE(I700:J700)</f>
        <v>0</v>
      </c>
      <c r="L700" s="56" t="str">
        <f>"EQP-LAWPACK2"</f>
        <v>EQP-LAWPACK2</v>
      </c>
      <c r="M700" s="14"/>
      <c r="N700" s="15"/>
      <c r="O700" s="12"/>
      <c r="P700" s="34"/>
      <c r="Q700" s="37"/>
      <c r="R700" s="47"/>
      <c r="S700" s="46"/>
    </row>
    <row r="701" spans="1:19" ht="15.6" hidden="1" customHeight="1" thickBot="1" x14ac:dyDescent="0.3">
      <c r="A701" t="s">
        <v>23</v>
      </c>
      <c r="B701" s="60" t="str">
        <f t="shared" si="495"/>
        <v>hide</v>
      </c>
      <c r="D701" s="48" t="str">
        <f>D700</f>
        <v>06070</v>
      </c>
      <c r="E701" s="7"/>
      <c r="F701" s="27">
        <v>0</v>
      </c>
      <c r="G701" s="27">
        <v>0</v>
      </c>
      <c r="H701" s="27">
        <v>0</v>
      </c>
      <c r="I701" s="27">
        <v>0</v>
      </c>
      <c r="J701" s="27">
        <v>0</v>
      </c>
      <c r="K701" s="63">
        <f>AVERAGE(I701:J701)</f>
        <v>0</v>
      </c>
      <c r="L701" s="56" t="str">
        <f>"SW-COMAS-PACKL"</f>
        <v>SW-COMAS-PACKL</v>
      </c>
      <c r="M701" s="14"/>
      <c r="N701" s="15"/>
      <c r="O701" s="12"/>
      <c r="P701" s="34"/>
      <c r="Q701" s="37"/>
      <c r="R701" s="47"/>
      <c r="S701" s="46"/>
    </row>
    <row r="702" spans="1:19" ht="15.6" hidden="1" customHeight="1" thickBot="1" x14ac:dyDescent="0.3">
      <c r="A702" t="s">
        <v>23</v>
      </c>
      <c r="B702" s="60" t="str">
        <f t="shared" si="495"/>
        <v>hide</v>
      </c>
      <c r="D702" s="48" t="str">
        <f>D701</f>
        <v>06070</v>
      </c>
      <c r="E702" s="7"/>
      <c r="F702" s="27">
        <v>0</v>
      </c>
      <c r="G702" s="27">
        <v>0</v>
      </c>
      <c r="H702" s="27">
        <v>0</v>
      </c>
      <c r="I702" s="27">
        <v>0</v>
      </c>
      <c r="J702" s="27">
        <v>0</v>
      </c>
      <c r="K702" s="63">
        <f>AVERAGE(I702:J702)</f>
        <v>0</v>
      </c>
      <c r="L702" s="56" t="str">
        <f>"SW-RISER-PACK"</f>
        <v>SW-RISER-PACK</v>
      </c>
      <c r="M702" s="14"/>
      <c r="N702" s="15"/>
      <c r="O702" s="12"/>
      <c r="P702" s="34"/>
      <c r="Q702" s="37"/>
      <c r="R702" s="47"/>
      <c r="S702" s="46"/>
    </row>
    <row r="703" spans="1:19" ht="12" hidden="1" customHeight="1" x14ac:dyDescent="0.3">
      <c r="A703" s="35" t="s">
        <v>908</v>
      </c>
      <c r="B703" s="49" t="str">
        <f>B699</f>
        <v>hide</v>
      </c>
      <c r="N703"/>
      <c r="Q703" s="33"/>
    </row>
    <row r="704" spans="1:19" ht="13.8" hidden="1" thickBot="1" x14ac:dyDescent="0.3">
      <c r="A704" t="s">
        <v>23</v>
      </c>
      <c r="B704" s="49" t="str">
        <f t="shared" ref="B704" si="496">B703</f>
        <v>hide</v>
      </c>
      <c r="D704" s="58"/>
      <c r="E704" s="58"/>
      <c r="F704" s="52">
        <f>SUM(F699:F703)</f>
        <v>0</v>
      </c>
      <c r="G704" s="52">
        <f>SUM(G699:G703)</f>
        <v>0</v>
      </c>
      <c r="H704" s="52">
        <f>SUM(H699:H703)</f>
        <v>0</v>
      </c>
      <c r="I704" s="52">
        <f>SUM(I699:I703)</f>
        <v>0</v>
      </c>
      <c r="J704" s="52">
        <f>SUM(J699:J703)</f>
        <v>0</v>
      </c>
      <c r="K704" s="52"/>
      <c r="L704" s="51" t="s">
        <v>4</v>
      </c>
      <c r="M704" s="58"/>
      <c r="N704" s="58"/>
      <c r="O704" s="58"/>
      <c r="P704" s="58"/>
      <c r="Q704" s="58"/>
      <c r="R704" s="58"/>
      <c r="S704" s="58"/>
    </row>
    <row r="705" spans="1:19" s="59" customFormat="1" ht="18.75" hidden="1" customHeight="1" thickBot="1" x14ac:dyDescent="0.3">
      <c r="A705" s="59" t="s">
        <v>23</v>
      </c>
      <c r="B705" s="60" t="str">
        <f t="shared" ref="B705:B706" si="497">IF(K705=0,"hide","")</f>
        <v>hide</v>
      </c>
      <c r="D705" s="61" t="str">
        <f>"06073"</f>
        <v>06073</v>
      </c>
      <c r="E705" s="62" t="str">
        <f>"3"</f>
        <v>3</v>
      </c>
      <c r="F705" s="63">
        <v>0</v>
      </c>
      <c r="G705" s="63">
        <v>0</v>
      </c>
      <c r="H705" s="63">
        <v>0</v>
      </c>
      <c r="I705" s="63">
        <v>0</v>
      </c>
      <c r="J705" s="63">
        <v>0</v>
      </c>
      <c r="K705" s="63">
        <f>AVERAGE(I705:J705)</f>
        <v>0</v>
      </c>
      <c r="L705" s="64" t="str">
        <f>"WG Chocolate Choc Chip Muffin"</f>
        <v>WG Chocolate Choc Chip Muffin</v>
      </c>
      <c r="M705" s="65" t="str">
        <f>"48-3.6 oz. I.W."</f>
        <v>48-3.6 oz. I.W.</v>
      </c>
      <c r="N705" s="66">
        <v>48</v>
      </c>
      <c r="O705" s="67" t="str">
        <f>""</f>
        <v/>
      </c>
      <c r="P705" s="68" t="e">
        <f>1/O705</f>
        <v>#VALUE!</v>
      </c>
      <c r="Q705" s="53">
        <v>1</v>
      </c>
      <c r="R705" s="69">
        <f t="shared" ref="R705" si="498">1/Q705</f>
        <v>1</v>
      </c>
      <c r="S705" s="70">
        <f t="shared" ref="S705" si="499">R705*N705</f>
        <v>48</v>
      </c>
    </row>
    <row r="706" spans="1:19" ht="15.6" hidden="1" customHeight="1" thickBot="1" x14ac:dyDescent="0.3">
      <c r="A706" t="s">
        <v>23</v>
      </c>
      <c r="B706" s="60" t="str">
        <f t="shared" si="497"/>
        <v>hide</v>
      </c>
      <c r="D706" s="48" t="str">
        <f>D705</f>
        <v>06073</v>
      </c>
      <c r="E706" s="7"/>
      <c r="F706" s="27">
        <v>0</v>
      </c>
      <c r="G706" s="27">
        <v>0</v>
      </c>
      <c r="H706" s="27">
        <v>0</v>
      </c>
      <c r="I706" s="27">
        <v>0</v>
      </c>
      <c r="J706" s="27">
        <v>0</v>
      </c>
      <c r="K706" s="63">
        <f>AVERAGE(I706:J706)</f>
        <v>0</v>
      </c>
      <c r="L706" s="56" t="str">
        <f>"EQP-LAWPACK1"</f>
        <v>EQP-LAWPACK1</v>
      </c>
      <c r="M706" s="14"/>
      <c r="N706" s="15"/>
      <c r="O706" s="12"/>
      <c r="P706" s="34"/>
      <c r="Q706" s="37"/>
      <c r="R706" s="47"/>
      <c r="S706" s="46"/>
    </row>
    <row r="707" spans="1:19" ht="15.6" hidden="1" customHeight="1" thickBot="1" x14ac:dyDescent="0.3">
      <c r="A707" t="s">
        <v>23</v>
      </c>
      <c r="B707" s="60" t="str">
        <f t="shared" ref="B707:B709" si="500">IF(K707=0,"hide","")</f>
        <v>hide</v>
      </c>
      <c r="D707" s="48" t="str">
        <f>D706</f>
        <v>06073</v>
      </c>
      <c r="E707" s="7"/>
      <c r="F707" s="27">
        <v>0</v>
      </c>
      <c r="G707" s="27">
        <v>0</v>
      </c>
      <c r="H707" s="27">
        <v>0</v>
      </c>
      <c r="I707" s="27">
        <v>0</v>
      </c>
      <c r="J707" s="27">
        <v>0</v>
      </c>
      <c r="K707" s="63">
        <f>AVERAGE(I707:J707)</f>
        <v>0</v>
      </c>
      <c r="L707" s="56" t="str">
        <f>"EQP-LAWPACK2"</f>
        <v>EQP-LAWPACK2</v>
      </c>
      <c r="M707" s="14"/>
      <c r="N707" s="15"/>
      <c r="O707" s="12"/>
      <c r="P707" s="34"/>
      <c r="Q707" s="37"/>
      <c r="R707" s="47"/>
      <c r="S707" s="46"/>
    </row>
    <row r="708" spans="1:19" ht="15.6" hidden="1" customHeight="1" thickBot="1" x14ac:dyDescent="0.3">
      <c r="A708" t="s">
        <v>23</v>
      </c>
      <c r="B708" s="60" t="str">
        <f t="shared" si="500"/>
        <v>hide</v>
      </c>
      <c r="D708" s="48" t="str">
        <f>D707</f>
        <v>06073</v>
      </c>
      <c r="E708" s="7"/>
      <c r="F708" s="27">
        <v>0</v>
      </c>
      <c r="G708" s="27">
        <v>0</v>
      </c>
      <c r="H708" s="27">
        <v>0</v>
      </c>
      <c r="I708" s="27">
        <v>0</v>
      </c>
      <c r="J708" s="27">
        <v>0</v>
      </c>
      <c r="K708" s="63">
        <f>AVERAGE(I708:J708)</f>
        <v>0</v>
      </c>
      <c r="L708" s="56" t="str">
        <f>"SW-COMAS-PACKL"</f>
        <v>SW-COMAS-PACKL</v>
      </c>
      <c r="M708" s="14"/>
      <c r="N708" s="15"/>
      <c r="O708" s="12"/>
      <c r="P708" s="34"/>
      <c r="Q708" s="37"/>
      <c r="R708" s="47"/>
      <c r="S708" s="46"/>
    </row>
    <row r="709" spans="1:19" ht="15.6" hidden="1" customHeight="1" thickBot="1" x14ac:dyDescent="0.3">
      <c r="A709" t="s">
        <v>23</v>
      </c>
      <c r="B709" s="60" t="str">
        <f t="shared" si="500"/>
        <v>hide</v>
      </c>
      <c r="D709" s="48" t="str">
        <f>D708</f>
        <v>06073</v>
      </c>
      <c r="E709" s="7"/>
      <c r="F709" s="27">
        <v>0</v>
      </c>
      <c r="G709" s="27">
        <v>0</v>
      </c>
      <c r="H709" s="27">
        <v>0</v>
      </c>
      <c r="I709" s="27">
        <v>0</v>
      </c>
      <c r="J709" s="27">
        <v>0</v>
      </c>
      <c r="K709" s="63">
        <f>AVERAGE(I709:J709)</f>
        <v>0</v>
      </c>
      <c r="L709" s="56" t="str">
        <f>"SW-RISER-PACK"</f>
        <v>SW-RISER-PACK</v>
      </c>
      <c r="M709" s="14"/>
      <c r="N709" s="15"/>
      <c r="O709" s="12"/>
      <c r="P709" s="34"/>
      <c r="Q709" s="37"/>
      <c r="R709" s="47"/>
      <c r="S709" s="46"/>
    </row>
    <row r="710" spans="1:19" ht="12" hidden="1" customHeight="1" x14ac:dyDescent="0.3">
      <c r="A710" s="35" t="s">
        <v>908</v>
      </c>
      <c r="B710" s="49" t="str">
        <f>B706</f>
        <v>hide</v>
      </c>
      <c r="N710"/>
      <c r="Q710" s="33"/>
    </row>
    <row r="711" spans="1:19" ht="13.8" hidden="1" thickBot="1" x14ac:dyDescent="0.3">
      <c r="A711" t="s">
        <v>23</v>
      </c>
      <c r="B711" s="49" t="str">
        <f t="shared" ref="B711" si="501">B710</f>
        <v>hide</v>
      </c>
      <c r="D711" s="58"/>
      <c r="E711" s="58"/>
      <c r="F711" s="52">
        <f>SUM(F706:F710)</f>
        <v>0</v>
      </c>
      <c r="G711" s="52">
        <f>SUM(G706:G710)</f>
        <v>0</v>
      </c>
      <c r="H711" s="52">
        <f>SUM(H706:H710)</f>
        <v>0</v>
      </c>
      <c r="I711" s="52">
        <f>SUM(I706:I710)</f>
        <v>0</v>
      </c>
      <c r="J711" s="52">
        <f>SUM(J706:J710)</f>
        <v>0</v>
      </c>
      <c r="K711" s="52"/>
      <c r="L711" s="51" t="s">
        <v>4</v>
      </c>
      <c r="M711" s="58"/>
      <c r="N711" s="58"/>
      <c r="O711" s="58"/>
      <c r="P711" s="58"/>
      <c r="Q711" s="58"/>
      <c r="R711" s="58"/>
      <c r="S711" s="58"/>
    </row>
    <row r="712" spans="1:19" s="59" customFormat="1" ht="18.75" customHeight="1" thickBot="1" x14ac:dyDescent="0.3">
      <c r="A712" s="59" t="s">
        <v>23</v>
      </c>
      <c r="B712" s="60" t="str">
        <f t="shared" ref="B712:B713" si="502">IF(K712=0,"hide","")</f>
        <v/>
      </c>
      <c r="D712" s="61" t="str">
        <f>"06101"</f>
        <v>06101</v>
      </c>
      <c r="E712" s="62" t="str">
        <f>"7"</f>
        <v>7</v>
      </c>
      <c r="F712" s="63">
        <v>77</v>
      </c>
      <c r="G712" s="63">
        <v>42</v>
      </c>
      <c r="H712" s="63">
        <v>61.75</v>
      </c>
      <c r="I712" s="63">
        <v>49</v>
      </c>
      <c r="J712" s="63">
        <v>44.598072289156626</v>
      </c>
      <c r="K712" s="63">
        <f>AVERAGE(I712:J712)</f>
        <v>46.799036144578309</v>
      </c>
      <c r="L712" s="64" t="str">
        <f>"BLUEBERRY MUFFINS"</f>
        <v>BLUEBERRY MUFFINS</v>
      </c>
      <c r="M712" s="65" t="str">
        <f>"48-3.6 oz. I.W."</f>
        <v>48-3.6 oz. I.W.</v>
      </c>
      <c r="N712" s="66">
        <v>48</v>
      </c>
      <c r="O712" s="67" t="str">
        <f>""</f>
        <v/>
      </c>
      <c r="P712" s="68" t="e">
        <f>1/O712</f>
        <v>#VALUE!</v>
      </c>
      <c r="Q712" s="53">
        <v>1</v>
      </c>
      <c r="R712" s="69">
        <f t="shared" ref="R712" si="503">1/Q712</f>
        <v>1</v>
      </c>
      <c r="S712" s="70">
        <f t="shared" ref="S712" si="504">R712*N712</f>
        <v>48</v>
      </c>
    </row>
    <row r="713" spans="1:19" ht="15.6" hidden="1" customHeight="1" thickBot="1" x14ac:dyDescent="0.3">
      <c r="A713" t="s">
        <v>23</v>
      </c>
      <c r="B713" s="60" t="str">
        <f t="shared" si="502"/>
        <v>hide</v>
      </c>
      <c r="D713" s="48" t="str">
        <f>D712</f>
        <v>06101</v>
      </c>
      <c r="E713" s="7"/>
      <c r="F713" s="27">
        <v>0</v>
      </c>
      <c r="G713" s="27">
        <v>0</v>
      </c>
      <c r="H713" s="27">
        <v>0</v>
      </c>
      <c r="I713" s="27">
        <v>0</v>
      </c>
      <c r="J713" s="27">
        <v>0</v>
      </c>
      <c r="K713" s="63">
        <f>AVERAGE(I713:J713)</f>
        <v>0</v>
      </c>
      <c r="L713" s="56" t="str">
        <f>"EQP-LAWPACK1"</f>
        <v>EQP-LAWPACK1</v>
      </c>
      <c r="M713" s="14"/>
      <c r="N713" s="15"/>
      <c r="O713" s="12"/>
      <c r="P713" s="34"/>
      <c r="Q713" s="37"/>
      <c r="R713" s="47"/>
      <c r="S713" s="46"/>
    </row>
    <row r="714" spans="1:19" ht="15.6" hidden="1" customHeight="1" thickBot="1" x14ac:dyDescent="0.3">
      <c r="A714" t="s">
        <v>23</v>
      </c>
      <c r="B714" s="60" t="str">
        <f t="shared" ref="B714:B716" si="505">IF(K714=0,"hide","")</f>
        <v>hide</v>
      </c>
      <c r="D714" s="48" t="str">
        <f>D713</f>
        <v>06101</v>
      </c>
      <c r="E714" s="7"/>
      <c r="F714" s="27">
        <v>0</v>
      </c>
      <c r="G714" s="27">
        <v>0</v>
      </c>
      <c r="H714" s="27">
        <v>0</v>
      </c>
      <c r="I714" s="27">
        <v>0</v>
      </c>
      <c r="J714" s="27">
        <v>0</v>
      </c>
      <c r="K714" s="63">
        <f>AVERAGE(I714:J714)</f>
        <v>0</v>
      </c>
      <c r="L714" s="56" t="str">
        <f>"EQP-LAWPACK2"</f>
        <v>EQP-LAWPACK2</v>
      </c>
      <c r="M714" s="14"/>
      <c r="N714" s="15"/>
      <c r="O714" s="12"/>
      <c r="P714" s="34"/>
      <c r="Q714" s="37"/>
      <c r="R714" s="47"/>
      <c r="S714" s="46"/>
    </row>
    <row r="715" spans="1:19" ht="15.6" hidden="1" customHeight="1" thickBot="1" x14ac:dyDescent="0.3">
      <c r="A715" t="s">
        <v>23</v>
      </c>
      <c r="B715" s="60" t="str">
        <f t="shared" si="505"/>
        <v>hide</v>
      </c>
      <c r="D715" s="48" t="str">
        <f>D714</f>
        <v>06101</v>
      </c>
      <c r="E715" s="7"/>
      <c r="F715" s="27">
        <v>0</v>
      </c>
      <c r="G715" s="27">
        <v>0</v>
      </c>
      <c r="H715" s="27">
        <v>0</v>
      </c>
      <c r="I715" s="27">
        <v>0</v>
      </c>
      <c r="J715" s="27">
        <v>0</v>
      </c>
      <c r="K715" s="63">
        <f>AVERAGE(I715:J715)</f>
        <v>0</v>
      </c>
      <c r="L715" s="56" t="str">
        <f>"SW-COMAS-PACKL"</f>
        <v>SW-COMAS-PACKL</v>
      </c>
      <c r="M715" s="14"/>
      <c r="N715" s="15"/>
      <c r="O715" s="12"/>
      <c r="P715" s="34"/>
      <c r="Q715" s="37"/>
      <c r="R715" s="47"/>
      <c r="S715" s="46"/>
    </row>
    <row r="716" spans="1:19" ht="15.6" hidden="1" customHeight="1" thickBot="1" x14ac:dyDescent="0.3">
      <c r="A716" t="s">
        <v>23</v>
      </c>
      <c r="B716" s="60" t="str">
        <f t="shared" si="505"/>
        <v>hide</v>
      </c>
      <c r="D716" s="48" t="str">
        <f>D715</f>
        <v>06101</v>
      </c>
      <c r="E716" s="7"/>
      <c r="F716" s="27">
        <v>0</v>
      </c>
      <c r="G716" s="27">
        <v>0</v>
      </c>
      <c r="H716" s="27">
        <v>0</v>
      </c>
      <c r="I716" s="27">
        <v>0</v>
      </c>
      <c r="J716" s="27">
        <v>0</v>
      </c>
      <c r="K716" s="63">
        <f>AVERAGE(I716:J716)</f>
        <v>0</v>
      </c>
      <c r="L716" s="56" t="str">
        <f>"SW-RISER-PACK"</f>
        <v>SW-RISER-PACK</v>
      </c>
      <c r="M716" s="14"/>
      <c r="N716" s="15"/>
      <c r="O716" s="12"/>
      <c r="P716" s="34"/>
      <c r="Q716" s="37"/>
      <c r="R716" s="47"/>
      <c r="S716" s="46"/>
    </row>
    <row r="717" spans="1:19" ht="12" hidden="1" customHeight="1" x14ac:dyDescent="0.3">
      <c r="A717" s="35" t="s">
        <v>908</v>
      </c>
      <c r="B717" s="49" t="str">
        <f>B713</f>
        <v>hide</v>
      </c>
      <c r="N717"/>
      <c r="Q717" s="33"/>
    </row>
    <row r="718" spans="1:19" ht="13.8" hidden="1" thickBot="1" x14ac:dyDescent="0.3">
      <c r="A718" t="s">
        <v>23</v>
      </c>
      <c r="B718" s="49" t="str">
        <f t="shared" ref="B718" si="506">B717</f>
        <v>hide</v>
      </c>
      <c r="D718" s="58"/>
      <c r="E718" s="58"/>
      <c r="F718" s="52">
        <f>SUM(F713:F717)</f>
        <v>0</v>
      </c>
      <c r="G718" s="52">
        <f>SUM(G713:G717)</f>
        <v>0</v>
      </c>
      <c r="H718" s="52">
        <f>SUM(H713:H717)</f>
        <v>0</v>
      </c>
      <c r="I718" s="52">
        <f>SUM(I713:I717)</f>
        <v>0</v>
      </c>
      <c r="J718" s="52">
        <f>SUM(J713:J717)</f>
        <v>0</v>
      </c>
      <c r="K718" s="52"/>
      <c r="L718" s="51" t="s">
        <v>4</v>
      </c>
      <c r="M718" s="58"/>
      <c r="N718" s="58"/>
      <c r="O718" s="58"/>
      <c r="P718" s="58"/>
      <c r="Q718" s="58"/>
      <c r="R718" s="58"/>
      <c r="S718" s="58"/>
    </row>
    <row r="719" spans="1:19" s="59" customFormat="1" ht="18.75" customHeight="1" thickBot="1" x14ac:dyDescent="0.3">
      <c r="A719" s="59" t="s">
        <v>23</v>
      </c>
      <c r="B719" s="60" t="str">
        <f t="shared" ref="B719:B720" si="507">IF(K719=0,"hide","")</f>
        <v/>
      </c>
      <c r="D719" s="61" t="str">
        <f>"06106"</f>
        <v>06106</v>
      </c>
      <c r="E719" s="62" t="str">
        <f>"5"</f>
        <v>5</v>
      </c>
      <c r="F719" s="63">
        <v>249.16666666666666</v>
      </c>
      <c r="G719" s="63">
        <v>148.33333333333334</v>
      </c>
      <c r="H719" s="63">
        <v>108.5</v>
      </c>
      <c r="I719" s="63">
        <v>141.5</v>
      </c>
      <c r="J719" s="63">
        <v>103.03927710843374</v>
      </c>
      <c r="K719" s="63">
        <f>AVERAGE(I719:J719)</f>
        <v>122.26963855421687</v>
      </c>
      <c r="L719" s="64" t="str">
        <f>"APPLE CINNAMON MUFFINS"</f>
        <v>APPLE CINNAMON MUFFINS</v>
      </c>
      <c r="M719" s="65" t="str">
        <f>"48-3.6 oz. I.W."</f>
        <v>48-3.6 oz. I.W.</v>
      </c>
      <c r="N719" s="66">
        <v>48</v>
      </c>
      <c r="O719" s="67" t="str">
        <f>""</f>
        <v/>
      </c>
      <c r="P719" s="68" t="e">
        <f>1/O719</f>
        <v>#VALUE!</v>
      </c>
      <c r="Q719" s="53">
        <v>1</v>
      </c>
      <c r="R719" s="69">
        <f t="shared" ref="R719" si="508">1/Q719</f>
        <v>1</v>
      </c>
      <c r="S719" s="70">
        <f t="shared" ref="S719" si="509">R719*N719</f>
        <v>48</v>
      </c>
    </row>
    <row r="720" spans="1:19" ht="15.6" hidden="1" customHeight="1" thickBot="1" x14ac:dyDescent="0.3">
      <c r="A720" t="s">
        <v>23</v>
      </c>
      <c r="B720" s="60" t="str">
        <f t="shared" si="507"/>
        <v>hide</v>
      </c>
      <c r="D720" s="48" t="str">
        <f>D719</f>
        <v>06106</v>
      </c>
      <c r="E720" s="7"/>
      <c r="F720" s="27">
        <v>0</v>
      </c>
      <c r="G720" s="27">
        <v>0</v>
      </c>
      <c r="H720" s="27">
        <v>0</v>
      </c>
      <c r="I720" s="27">
        <v>0</v>
      </c>
      <c r="J720" s="27">
        <v>0</v>
      </c>
      <c r="K720" s="63">
        <f>AVERAGE(I720:J720)</f>
        <v>0</v>
      </c>
      <c r="L720" s="56" t="str">
        <f>"EQP-LAWPACK1"</f>
        <v>EQP-LAWPACK1</v>
      </c>
      <c r="M720" s="14"/>
      <c r="N720" s="15"/>
      <c r="O720" s="12"/>
      <c r="P720" s="34"/>
      <c r="Q720" s="37"/>
      <c r="R720" s="47"/>
      <c r="S720" s="46"/>
    </row>
    <row r="721" spans="1:19" ht="15.6" hidden="1" customHeight="1" thickBot="1" x14ac:dyDescent="0.3">
      <c r="A721" t="s">
        <v>23</v>
      </c>
      <c r="B721" s="60" t="str">
        <f t="shared" ref="B721:B723" si="510">IF(K721=0,"hide","")</f>
        <v>hide</v>
      </c>
      <c r="D721" s="48" t="str">
        <f>D720</f>
        <v>06106</v>
      </c>
      <c r="E721" s="7"/>
      <c r="F721" s="27">
        <v>0</v>
      </c>
      <c r="G721" s="27">
        <v>0</v>
      </c>
      <c r="H721" s="27">
        <v>0</v>
      </c>
      <c r="I721" s="27">
        <v>0</v>
      </c>
      <c r="J721" s="27">
        <v>0</v>
      </c>
      <c r="K721" s="63">
        <f>AVERAGE(I721:J721)</f>
        <v>0</v>
      </c>
      <c r="L721" s="56" t="str">
        <f>"EQP-LAWPACK2"</f>
        <v>EQP-LAWPACK2</v>
      </c>
      <c r="M721" s="14"/>
      <c r="N721" s="15"/>
      <c r="O721" s="12"/>
      <c r="P721" s="34"/>
      <c r="Q721" s="37"/>
      <c r="R721" s="47"/>
      <c r="S721" s="46"/>
    </row>
    <row r="722" spans="1:19" ht="15.6" hidden="1" customHeight="1" thickBot="1" x14ac:dyDescent="0.3">
      <c r="A722" t="s">
        <v>23</v>
      </c>
      <c r="B722" s="60" t="str">
        <f t="shared" si="510"/>
        <v>hide</v>
      </c>
      <c r="D722" s="48" t="str">
        <f>D721</f>
        <v>06106</v>
      </c>
      <c r="E722" s="7"/>
      <c r="F722" s="27">
        <v>0</v>
      </c>
      <c r="G722" s="27">
        <v>0</v>
      </c>
      <c r="H722" s="27">
        <v>0</v>
      </c>
      <c r="I722" s="27">
        <v>0</v>
      </c>
      <c r="J722" s="27">
        <v>0</v>
      </c>
      <c r="K722" s="63">
        <f>AVERAGE(I722:J722)</f>
        <v>0</v>
      </c>
      <c r="L722" s="56" t="str">
        <f>"SW-COMAS-PACKL"</f>
        <v>SW-COMAS-PACKL</v>
      </c>
      <c r="M722" s="14"/>
      <c r="N722" s="15"/>
      <c r="O722" s="12"/>
      <c r="P722" s="34"/>
      <c r="Q722" s="37"/>
      <c r="R722" s="47"/>
      <c r="S722" s="46"/>
    </row>
    <row r="723" spans="1:19" ht="15.6" hidden="1" customHeight="1" thickBot="1" x14ac:dyDescent="0.3">
      <c r="A723" t="s">
        <v>23</v>
      </c>
      <c r="B723" s="60" t="str">
        <f t="shared" si="510"/>
        <v>hide</v>
      </c>
      <c r="D723" s="48" t="str">
        <f>D722</f>
        <v>06106</v>
      </c>
      <c r="E723" s="7"/>
      <c r="F723" s="27">
        <v>0</v>
      </c>
      <c r="G723" s="27">
        <v>0</v>
      </c>
      <c r="H723" s="27">
        <v>0</v>
      </c>
      <c r="I723" s="27">
        <v>0</v>
      </c>
      <c r="J723" s="27">
        <v>0</v>
      </c>
      <c r="K723" s="63">
        <f>AVERAGE(I723:J723)</f>
        <v>0</v>
      </c>
      <c r="L723" s="56" t="str">
        <f>"SW-RISER-PACK"</f>
        <v>SW-RISER-PACK</v>
      </c>
      <c r="M723" s="14"/>
      <c r="N723" s="15"/>
      <c r="O723" s="12"/>
      <c r="P723" s="34"/>
      <c r="Q723" s="37"/>
      <c r="R723" s="47"/>
      <c r="S723" s="46"/>
    </row>
    <row r="724" spans="1:19" ht="12" hidden="1" customHeight="1" x14ac:dyDescent="0.3">
      <c r="A724" s="35" t="s">
        <v>908</v>
      </c>
      <c r="B724" s="49" t="str">
        <f>B720</f>
        <v>hide</v>
      </c>
      <c r="N724"/>
      <c r="Q724" s="33"/>
    </row>
    <row r="725" spans="1:19" ht="13.8" hidden="1" thickBot="1" x14ac:dyDescent="0.3">
      <c r="A725" t="s">
        <v>23</v>
      </c>
      <c r="B725" s="49" t="str">
        <f t="shared" ref="B725" si="511">B724</f>
        <v>hide</v>
      </c>
      <c r="D725" s="58"/>
      <c r="E725" s="58"/>
      <c r="F725" s="52">
        <f>SUM(F720:F724)</f>
        <v>0</v>
      </c>
      <c r="G725" s="52">
        <f>SUM(G720:G724)</f>
        <v>0</v>
      </c>
      <c r="H725" s="52">
        <f>SUM(H720:H724)</f>
        <v>0</v>
      </c>
      <c r="I725" s="52">
        <f>SUM(I720:I724)</f>
        <v>0</v>
      </c>
      <c r="J725" s="52">
        <f>SUM(J720:J724)</f>
        <v>0</v>
      </c>
      <c r="K725" s="52"/>
      <c r="L725" s="51" t="s">
        <v>4</v>
      </c>
      <c r="M725" s="58"/>
      <c r="N725" s="58"/>
      <c r="O725" s="58"/>
      <c r="P725" s="58"/>
      <c r="Q725" s="58"/>
      <c r="R725" s="58"/>
      <c r="S725" s="58"/>
    </row>
    <row r="726" spans="1:19" s="59" customFormat="1" ht="18.75" customHeight="1" thickBot="1" x14ac:dyDescent="0.3">
      <c r="A726" s="59" t="s">
        <v>23</v>
      </c>
      <c r="B726" s="60" t="str">
        <f t="shared" ref="B726:B727" si="512">IF(K726=0,"hide","")</f>
        <v/>
      </c>
      <c r="D726" s="61" t="str">
        <f>"06110"</f>
        <v>06110</v>
      </c>
      <c r="E726" s="62" t="str">
        <f>"5"</f>
        <v>5</v>
      </c>
      <c r="F726" s="63">
        <v>121.16666666666667</v>
      </c>
      <c r="G726" s="63">
        <v>72.833333333333343</v>
      </c>
      <c r="H726" s="63">
        <v>66.666666666666671</v>
      </c>
      <c r="I726" s="63">
        <v>36.5</v>
      </c>
      <c r="J726" s="63">
        <v>22.776385542168676</v>
      </c>
      <c r="K726" s="63">
        <f>AVERAGE(I726:J726)</f>
        <v>29.638192771084338</v>
      </c>
      <c r="L726" s="64" t="str">
        <f>"CHOCOLATE CHIP MUFFINS"</f>
        <v>CHOCOLATE CHIP MUFFINS</v>
      </c>
      <c r="M726" s="65" t="str">
        <f>"48-3.6 oz. I.W."</f>
        <v>48-3.6 oz. I.W.</v>
      </c>
      <c r="N726" s="66">
        <v>48</v>
      </c>
      <c r="O726" s="67" t="str">
        <f>""</f>
        <v/>
      </c>
      <c r="P726" s="68" t="e">
        <f>1/O726</f>
        <v>#VALUE!</v>
      </c>
      <c r="Q726" s="53">
        <v>1</v>
      </c>
      <c r="R726" s="69">
        <f t="shared" ref="R726" si="513">1/Q726</f>
        <v>1</v>
      </c>
      <c r="S726" s="70">
        <f t="shared" ref="S726" si="514">R726*N726</f>
        <v>48</v>
      </c>
    </row>
    <row r="727" spans="1:19" ht="15.6" hidden="1" customHeight="1" thickBot="1" x14ac:dyDescent="0.3">
      <c r="A727" t="s">
        <v>23</v>
      </c>
      <c r="B727" s="60" t="str">
        <f t="shared" si="512"/>
        <v>hide</v>
      </c>
      <c r="D727" s="48" t="str">
        <f>D726</f>
        <v>06110</v>
      </c>
      <c r="E727" s="7"/>
      <c r="F727" s="27">
        <v>0</v>
      </c>
      <c r="G727" s="27">
        <v>0</v>
      </c>
      <c r="H727" s="27">
        <v>0</v>
      </c>
      <c r="I727" s="27">
        <v>0</v>
      </c>
      <c r="J727" s="27">
        <v>0</v>
      </c>
      <c r="K727" s="63">
        <f>AVERAGE(I727:J727)</f>
        <v>0</v>
      </c>
      <c r="L727" s="56" t="str">
        <f>"EQP-LAWPACK1"</f>
        <v>EQP-LAWPACK1</v>
      </c>
      <c r="M727" s="14"/>
      <c r="N727" s="15"/>
      <c r="O727" s="12"/>
      <c r="P727" s="34"/>
      <c r="Q727" s="37"/>
      <c r="R727" s="47"/>
      <c r="S727" s="46"/>
    </row>
    <row r="728" spans="1:19" ht="15.6" hidden="1" customHeight="1" thickBot="1" x14ac:dyDescent="0.3">
      <c r="A728" t="s">
        <v>23</v>
      </c>
      <c r="B728" s="60" t="str">
        <f t="shared" ref="B728:B730" si="515">IF(K728=0,"hide","")</f>
        <v>hide</v>
      </c>
      <c r="D728" s="48" t="str">
        <f>D727</f>
        <v>06110</v>
      </c>
      <c r="E728" s="7"/>
      <c r="F728" s="27">
        <v>0</v>
      </c>
      <c r="G728" s="27">
        <v>0</v>
      </c>
      <c r="H728" s="27">
        <v>0</v>
      </c>
      <c r="I728" s="27">
        <v>0</v>
      </c>
      <c r="J728" s="27">
        <v>0</v>
      </c>
      <c r="K728" s="63">
        <f>AVERAGE(I728:J728)</f>
        <v>0</v>
      </c>
      <c r="L728" s="56" t="str">
        <f>"EQP-LAWPACK2"</f>
        <v>EQP-LAWPACK2</v>
      </c>
      <c r="M728" s="14"/>
      <c r="N728" s="15"/>
      <c r="O728" s="12"/>
      <c r="P728" s="34"/>
      <c r="Q728" s="37"/>
      <c r="R728" s="47"/>
      <c r="S728" s="46"/>
    </row>
    <row r="729" spans="1:19" ht="15.6" hidden="1" customHeight="1" thickBot="1" x14ac:dyDescent="0.3">
      <c r="A729" t="s">
        <v>23</v>
      </c>
      <c r="B729" s="60" t="str">
        <f t="shared" si="515"/>
        <v>hide</v>
      </c>
      <c r="D729" s="48" t="str">
        <f>D728</f>
        <v>06110</v>
      </c>
      <c r="E729" s="7"/>
      <c r="F729" s="27">
        <v>0</v>
      </c>
      <c r="G729" s="27">
        <v>0</v>
      </c>
      <c r="H729" s="27">
        <v>0</v>
      </c>
      <c r="I729" s="27">
        <v>0</v>
      </c>
      <c r="J729" s="27">
        <v>0</v>
      </c>
      <c r="K729" s="63">
        <f>AVERAGE(I729:J729)</f>
        <v>0</v>
      </c>
      <c r="L729" s="56" t="str">
        <f>"SW-COMAS-PACKL"</f>
        <v>SW-COMAS-PACKL</v>
      </c>
      <c r="M729" s="14"/>
      <c r="N729" s="15"/>
      <c r="O729" s="12"/>
      <c r="P729" s="34"/>
      <c r="Q729" s="37"/>
      <c r="R729" s="47"/>
      <c r="S729" s="46"/>
    </row>
    <row r="730" spans="1:19" ht="15.6" hidden="1" customHeight="1" thickBot="1" x14ac:dyDescent="0.3">
      <c r="A730" t="s">
        <v>23</v>
      </c>
      <c r="B730" s="60" t="str">
        <f t="shared" si="515"/>
        <v>hide</v>
      </c>
      <c r="D730" s="48" t="str">
        <f>D729</f>
        <v>06110</v>
      </c>
      <c r="E730" s="7"/>
      <c r="F730" s="27">
        <v>0</v>
      </c>
      <c r="G730" s="27">
        <v>0</v>
      </c>
      <c r="H730" s="27">
        <v>0</v>
      </c>
      <c r="I730" s="27">
        <v>0</v>
      </c>
      <c r="J730" s="27">
        <v>0</v>
      </c>
      <c r="K730" s="63">
        <f>AVERAGE(I730:J730)</f>
        <v>0</v>
      </c>
      <c r="L730" s="56" t="str">
        <f>"SW-RISER-PACK"</f>
        <v>SW-RISER-PACK</v>
      </c>
      <c r="M730" s="14"/>
      <c r="N730" s="15"/>
      <c r="O730" s="12"/>
      <c r="P730" s="34"/>
      <c r="Q730" s="37"/>
      <c r="R730" s="47"/>
      <c r="S730" s="46"/>
    </row>
    <row r="731" spans="1:19" ht="12" hidden="1" customHeight="1" x14ac:dyDescent="0.3">
      <c r="A731" s="35" t="s">
        <v>908</v>
      </c>
      <c r="B731" s="49" t="str">
        <f>B727</f>
        <v>hide</v>
      </c>
      <c r="N731"/>
      <c r="Q731" s="33"/>
    </row>
    <row r="732" spans="1:19" ht="13.8" hidden="1" thickBot="1" x14ac:dyDescent="0.3">
      <c r="A732" t="s">
        <v>23</v>
      </c>
      <c r="B732" s="49" t="str">
        <f t="shared" ref="B732" si="516">B731</f>
        <v>hide</v>
      </c>
      <c r="D732" s="58"/>
      <c r="E732" s="58"/>
      <c r="F732" s="52">
        <f>SUM(F727:F731)</f>
        <v>0</v>
      </c>
      <c r="G732" s="52">
        <f>SUM(G727:G731)</f>
        <v>0</v>
      </c>
      <c r="H732" s="52">
        <f>SUM(H727:H731)</f>
        <v>0</v>
      </c>
      <c r="I732" s="52">
        <f>SUM(I727:I731)</f>
        <v>0</v>
      </c>
      <c r="J732" s="52">
        <f>SUM(J727:J731)</f>
        <v>0</v>
      </c>
      <c r="K732" s="52"/>
      <c r="L732" s="51" t="s">
        <v>4</v>
      </c>
      <c r="M732" s="58"/>
      <c r="N732" s="58"/>
      <c r="O732" s="58"/>
      <c r="P732" s="58"/>
      <c r="Q732" s="58"/>
      <c r="R732" s="58"/>
      <c r="S732" s="58"/>
    </row>
    <row r="733" spans="1:19" s="59" customFormat="1" ht="18.75" hidden="1" customHeight="1" thickBot="1" x14ac:dyDescent="0.3">
      <c r="A733" s="59" t="s">
        <v>23</v>
      </c>
      <c r="B733" s="60" t="str">
        <f t="shared" ref="B733:B735" si="517">IF(K733=0,"hide","")</f>
        <v>hide</v>
      </c>
      <c r="D733" s="61" t="str">
        <f>"06151"</f>
        <v>06151</v>
      </c>
      <c r="E733" s="62" t="str">
        <f>"4"</f>
        <v>4</v>
      </c>
      <c r="F733" s="63">
        <v>0</v>
      </c>
      <c r="G733" s="63">
        <v>0</v>
      </c>
      <c r="H733" s="63">
        <v>0</v>
      </c>
      <c r="I733" s="63">
        <v>0</v>
      </c>
      <c r="J733" s="63">
        <v>0</v>
      </c>
      <c r="K733" s="63">
        <f t="shared" ref="K733:K738" si="518">AVERAGE(I733:J733)</f>
        <v>0</v>
      </c>
      <c r="L733" s="64" t="str">
        <f>"BANANA MUFFINS"</f>
        <v>BANANA MUFFINS</v>
      </c>
      <c r="M733" s="65" t="str">
        <f>"48-3.6 oz. I.W."</f>
        <v>48-3.6 oz. I.W.</v>
      </c>
      <c r="N733" s="66">
        <v>48</v>
      </c>
      <c r="O733" s="67" t="str">
        <f>""</f>
        <v/>
      </c>
      <c r="P733" s="68" t="e">
        <f>1/O733</f>
        <v>#VALUE!</v>
      </c>
      <c r="Q733" s="53">
        <v>1</v>
      </c>
      <c r="R733" s="69">
        <f t="shared" ref="R733:R734" si="519">1/Q733</f>
        <v>1</v>
      </c>
      <c r="S733" s="70">
        <f t="shared" ref="S733" si="520">R733*N733</f>
        <v>48</v>
      </c>
    </row>
    <row r="734" spans="1:19" s="59" customFormat="1" ht="18.75" hidden="1" customHeight="1" thickBot="1" x14ac:dyDescent="0.3">
      <c r="A734" s="59" t="s">
        <v>23</v>
      </c>
      <c r="B734" s="60" t="str">
        <f t="shared" ref="B734" si="521">IF(K734=0,"hide","")</f>
        <v>hide</v>
      </c>
      <c r="D734" s="61" t="str">
        <f>"06151"</f>
        <v>06151</v>
      </c>
      <c r="E734" s="62" t="str">
        <f>"6"</f>
        <v>6</v>
      </c>
      <c r="F734" s="63">
        <v>0</v>
      </c>
      <c r="G734" s="63">
        <v>0</v>
      </c>
      <c r="H734" s="63">
        <v>0</v>
      </c>
      <c r="I734" s="63">
        <v>0</v>
      </c>
      <c r="J734" s="63">
        <v>0</v>
      </c>
      <c r="K734" s="63">
        <f t="shared" si="518"/>
        <v>0</v>
      </c>
      <c r="L734" s="64" t="str">
        <f>"BANANA MUFFINS"</f>
        <v>BANANA MUFFINS</v>
      </c>
      <c r="M734" s="65" t="str">
        <f>"48-3.6 oz. I.W."</f>
        <v>48-3.6 oz. I.W.</v>
      </c>
      <c r="N734" s="66">
        <v>48</v>
      </c>
      <c r="O734" s="67" t="str">
        <f>""</f>
        <v/>
      </c>
      <c r="P734" s="68" t="e">
        <f>1/O734</f>
        <v>#VALUE!</v>
      </c>
      <c r="Q734" s="53">
        <v>1</v>
      </c>
      <c r="R734" s="69">
        <f t="shared" si="519"/>
        <v>1</v>
      </c>
      <c r="S734" s="70">
        <f t="shared" ref="S734" si="522">R734*N734</f>
        <v>48</v>
      </c>
    </row>
    <row r="735" spans="1:19" ht="15.6" hidden="1" customHeight="1" thickBot="1" x14ac:dyDescent="0.3">
      <c r="A735" t="s">
        <v>23</v>
      </c>
      <c r="B735" s="60" t="str">
        <f t="shared" si="517"/>
        <v>hide</v>
      </c>
      <c r="D735" s="48" t="str">
        <f>D733</f>
        <v>06151</v>
      </c>
      <c r="E735" s="7"/>
      <c r="F735" s="27">
        <v>0</v>
      </c>
      <c r="G735" s="27">
        <v>0</v>
      </c>
      <c r="H735" s="27">
        <v>0</v>
      </c>
      <c r="I735" s="27">
        <v>0</v>
      </c>
      <c r="J735" s="27">
        <v>0</v>
      </c>
      <c r="K735" s="63">
        <f t="shared" si="518"/>
        <v>0</v>
      </c>
      <c r="L735" s="56" t="str">
        <f>"EQP-LAWPACK1"</f>
        <v>EQP-LAWPACK1</v>
      </c>
      <c r="M735" s="14"/>
      <c r="N735" s="15"/>
      <c r="O735" s="12"/>
      <c r="P735" s="34"/>
      <c r="Q735" s="37"/>
      <c r="R735" s="47"/>
      <c r="S735" s="46"/>
    </row>
    <row r="736" spans="1:19" ht="15.6" hidden="1" customHeight="1" thickBot="1" x14ac:dyDescent="0.3">
      <c r="A736" t="s">
        <v>23</v>
      </c>
      <c r="B736" s="60" t="str">
        <f t="shared" ref="B736:B738" si="523">IF(K736=0,"hide","")</f>
        <v>hide</v>
      </c>
      <c r="D736" s="48" t="str">
        <f>D734</f>
        <v>06151</v>
      </c>
      <c r="E736" s="7"/>
      <c r="F736" s="27">
        <v>0</v>
      </c>
      <c r="G736" s="27">
        <v>0</v>
      </c>
      <c r="H736" s="27">
        <v>0</v>
      </c>
      <c r="I736" s="27">
        <v>0</v>
      </c>
      <c r="J736" s="27">
        <v>0</v>
      </c>
      <c r="K736" s="63">
        <f t="shared" si="518"/>
        <v>0</v>
      </c>
      <c r="L736" s="56" t="str">
        <f>"EQP-LAWPACK2"</f>
        <v>EQP-LAWPACK2</v>
      </c>
      <c r="M736" s="14"/>
      <c r="N736" s="15"/>
      <c r="O736" s="12"/>
      <c r="P736" s="34"/>
      <c r="Q736" s="37"/>
      <c r="R736" s="47"/>
      <c r="S736" s="46"/>
    </row>
    <row r="737" spans="1:19" ht="15.6" hidden="1" customHeight="1" thickBot="1" x14ac:dyDescent="0.3">
      <c r="A737" t="s">
        <v>23</v>
      </c>
      <c r="B737" s="60" t="str">
        <f t="shared" si="523"/>
        <v>hide</v>
      </c>
      <c r="D737" s="48" t="str">
        <f>D735</f>
        <v>06151</v>
      </c>
      <c r="E737" s="7"/>
      <c r="F737" s="27">
        <v>0</v>
      </c>
      <c r="G737" s="27">
        <v>0</v>
      </c>
      <c r="H737" s="27">
        <v>0</v>
      </c>
      <c r="I737" s="27">
        <v>0</v>
      </c>
      <c r="J737" s="27">
        <v>0</v>
      </c>
      <c r="K737" s="63">
        <f t="shared" si="518"/>
        <v>0</v>
      </c>
      <c r="L737" s="56" t="str">
        <f>"SW-COMAS-PACKL"</f>
        <v>SW-COMAS-PACKL</v>
      </c>
      <c r="M737" s="14"/>
      <c r="N737" s="15"/>
      <c r="O737" s="12"/>
      <c r="P737" s="34"/>
      <c r="Q737" s="37"/>
      <c r="R737" s="47"/>
      <c r="S737" s="46"/>
    </row>
    <row r="738" spans="1:19" ht="15.6" hidden="1" customHeight="1" thickBot="1" x14ac:dyDescent="0.3">
      <c r="A738" t="s">
        <v>23</v>
      </c>
      <c r="B738" s="60" t="str">
        <f t="shared" si="523"/>
        <v>hide</v>
      </c>
      <c r="D738" s="48" t="str">
        <f>D736</f>
        <v>06151</v>
      </c>
      <c r="E738" s="7"/>
      <c r="F738" s="27">
        <v>0</v>
      </c>
      <c r="G738" s="27">
        <v>0</v>
      </c>
      <c r="H738" s="27">
        <v>0</v>
      </c>
      <c r="I738" s="27">
        <v>0</v>
      </c>
      <c r="J738" s="27">
        <v>0</v>
      </c>
      <c r="K738" s="63">
        <f t="shared" si="518"/>
        <v>0</v>
      </c>
      <c r="L738" s="56" t="str">
        <f>"SW-RISER-PACK"</f>
        <v>SW-RISER-PACK</v>
      </c>
      <c r="M738" s="14"/>
      <c r="N738" s="15"/>
      <c r="O738" s="12"/>
      <c r="P738" s="34"/>
      <c r="Q738" s="37"/>
      <c r="R738" s="47"/>
      <c r="S738" s="46"/>
    </row>
    <row r="739" spans="1:19" ht="12" hidden="1" customHeight="1" x14ac:dyDescent="0.3">
      <c r="A739" s="35" t="s">
        <v>908</v>
      </c>
      <c r="B739" s="49" t="str">
        <f>B735</f>
        <v>hide</v>
      </c>
      <c r="N739"/>
      <c r="Q739" s="33"/>
    </row>
    <row r="740" spans="1:19" ht="13.8" hidden="1" thickBot="1" x14ac:dyDescent="0.3">
      <c r="A740" t="s">
        <v>23</v>
      </c>
      <c r="B740" s="49" t="str">
        <f t="shared" ref="B740" si="524">B739</f>
        <v>hide</v>
      </c>
      <c r="D740" s="58"/>
      <c r="E740" s="58"/>
      <c r="F740" s="52">
        <f>SUM(F735:F739)</f>
        <v>0</v>
      </c>
      <c r="G740" s="52">
        <f>SUM(G735:G739)</f>
        <v>0</v>
      </c>
      <c r="H740" s="52">
        <f>SUM(H735:H739)</f>
        <v>0</v>
      </c>
      <c r="I740" s="52">
        <f>SUM(I735:I739)</f>
        <v>0</v>
      </c>
      <c r="J740" s="52">
        <f>SUM(J735:J739)</f>
        <v>0</v>
      </c>
      <c r="K740" s="52"/>
      <c r="L740" s="51" t="s">
        <v>4</v>
      </c>
      <c r="M740" s="58"/>
      <c r="N740" s="58"/>
      <c r="O740" s="58"/>
      <c r="P740" s="58"/>
      <c r="Q740" s="58"/>
      <c r="R740" s="58"/>
      <c r="S740" s="58"/>
    </row>
    <row r="741" spans="1:19" s="59" customFormat="1" ht="18.75" hidden="1" customHeight="1" thickBot="1" x14ac:dyDescent="0.3">
      <c r="A741" s="59" t="s">
        <v>23</v>
      </c>
      <c r="B741" s="60" t="str">
        <f t="shared" ref="B741:B742" si="525">IF(K741=0,"hide","")</f>
        <v>hide</v>
      </c>
      <c r="D741" s="61" t="str">
        <f>"06261"</f>
        <v>06261</v>
      </c>
      <c r="E741" s="62" t="str">
        <f>"1"</f>
        <v>1</v>
      </c>
      <c r="F741" s="63">
        <v>0</v>
      </c>
      <c r="G741" s="63">
        <v>0</v>
      </c>
      <c r="H741" s="63">
        <v>0</v>
      </c>
      <c r="I741" s="63">
        <v>0</v>
      </c>
      <c r="J741" s="63">
        <v>0</v>
      </c>
      <c r="K741" s="63">
        <f>AVERAGE(I741:J741)</f>
        <v>0</v>
      </c>
      <c r="L741" s="64" t="str">
        <f>""</f>
        <v/>
      </c>
      <c r="M741" s="65" t="str">
        <f>""</f>
        <v/>
      </c>
      <c r="N741" s="66" t="str">
        <f>""</f>
        <v/>
      </c>
      <c r="O741" s="67" t="str">
        <f>""</f>
        <v/>
      </c>
      <c r="P741" s="68" t="e">
        <f>1/O741</f>
        <v>#VALUE!</v>
      </c>
      <c r="Q741" s="53">
        <v>1</v>
      </c>
      <c r="R741" s="69">
        <f t="shared" ref="R741" si="526">1/Q741</f>
        <v>1</v>
      </c>
      <c r="S741" s="70" t="e">
        <f t="shared" ref="S741" si="527">R741*N741</f>
        <v>#VALUE!</v>
      </c>
    </row>
    <row r="742" spans="1:19" ht="15.6" hidden="1" customHeight="1" thickBot="1" x14ac:dyDescent="0.3">
      <c r="A742" t="s">
        <v>23</v>
      </c>
      <c r="B742" s="60" t="str">
        <f t="shared" si="525"/>
        <v>hide</v>
      </c>
      <c r="D742" s="48" t="str">
        <f>D741</f>
        <v>06261</v>
      </c>
      <c r="E742" s="7"/>
      <c r="F742" s="27">
        <v>0</v>
      </c>
      <c r="G742" s="27">
        <v>0</v>
      </c>
      <c r="H742" s="27">
        <v>0</v>
      </c>
      <c r="I742" s="27">
        <v>0</v>
      </c>
      <c r="J742" s="27">
        <v>0</v>
      </c>
      <c r="K742" s="63">
        <f>AVERAGE(I742:J742)</f>
        <v>0</v>
      </c>
      <c r="L742" s="56" t="str">
        <f>"EQP-LAWPACK1"</f>
        <v>EQP-LAWPACK1</v>
      </c>
      <c r="M742" s="14"/>
      <c r="N742" s="15"/>
      <c r="O742" s="12"/>
      <c r="P742" s="34"/>
      <c r="Q742" s="37"/>
      <c r="R742" s="47"/>
      <c r="S742" s="46"/>
    </row>
    <row r="743" spans="1:19" ht="15.6" hidden="1" customHeight="1" thickBot="1" x14ac:dyDescent="0.3">
      <c r="A743" t="s">
        <v>23</v>
      </c>
      <c r="B743" s="60" t="str">
        <f t="shared" ref="B743:B745" si="528">IF(K743=0,"hide","")</f>
        <v>hide</v>
      </c>
      <c r="D743" s="48" t="str">
        <f>D742</f>
        <v>06261</v>
      </c>
      <c r="E743" s="7"/>
      <c r="F743" s="27">
        <v>0</v>
      </c>
      <c r="G743" s="27">
        <v>0</v>
      </c>
      <c r="H743" s="27">
        <v>0</v>
      </c>
      <c r="I743" s="27">
        <v>0</v>
      </c>
      <c r="J743" s="27">
        <v>0</v>
      </c>
      <c r="K743" s="63">
        <f>AVERAGE(I743:J743)</f>
        <v>0</v>
      </c>
      <c r="L743" s="56" t="str">
        <f>"EQP-LAWPACK2"</f>
        <v>EQP-LAWPACK2</v>
      </c>
      <c r="M743" s="14"/>
      <c r="N743" s="15"/>
      <c r="O743" s="12"/>
      <c r="P743" s="34"/>
      <c r="Q743" s="37"/>
      <c r="R743" s="47"/>
      <c r="S743" s="46"/>
    </row>
    <row r="744" spans="1:19" ht="15.6" hidden="1" customHeight="1" thickBot="1" x14ac:dyDescent="0.3">
      <c r="A744" t="s">
        <v>23</v>
      </c>
      <c r="B744" s="60" t="str">
        <f t="shared" si="528"/>
        <v>hide</v>
      </c>
      <c r="D744" s="48" t="str">
        <f>D743</f>
        <v>06261</v>
      </c>
      <c r="E744" s="7"/>
      <c r="F744" s="27">
        <v>0</v>
      </c>
      <c r="G744" s="27">
        <v>0</v>
      </c>
      <c r="H744" s="27">
        <v>0</v>
      </c>
      <c r="I744" s="27">
        <v>0</v>
      </c>
      <c r="J744" s="27">
        <v>0</v>
      </c>
      <c r="K744" s="63">
        <f>AVERAGE(I744:J744)</f>
        <v>0</v>
      </c>
      <c r="L744" s="56" t="str">
        <f>"SW-COMAS-PACKL"</f>
        <v>SW-COMAS-PACKL</v>
      </c>
      <c r="M744" s="14"/>
      <c r="N744" s="15"/>
      <c r="O744" s="12"/>
      <c r="P744" s="34"/>
      <c r="Q744" s="37"/>
      <c r="R744" s="47"/>
      <c r="S744" s="46"/>
    </row>
    <row r="745" spans="1:19" ht="15.6" hidden="1" customHeight="1" thickBot="1" x14ac:dyDescent="0.3">
      <c r="A745" t="s">
        <v>23</v>
      </c>
      <c r="B745" s="60" t="str">
        <f t="shared" si="528"/>
        <v>hide</v>
      </c>
      <c r="D745" s="48" t="str">
        <f>D744</f>
        <v>06261</v>
      </c>
      <c r="E745" s="7"/>
      <c r="F745" s="27">
        <v>0</v>
      </c>
      <c r="G745" s="27">
        <v>0</v>
      </c>
      <c r="H745" s="27">
        <v>0</v>
      </c>
      <c r="I745" s="27">
        <v>0</v>
      </c>
      <c r="J745" s="27">
        <v>0</v>
      </c>
      <c r="K745" s="63">
        <f>AVERAGE(I745:J745)</f>
        <v>0</v>
      </c>
      <c r="L745" s="56" t="str">
        <f>"SW-RISER-PACK"</f>
        <v>SW-RISER-PACK</v>
      </c>
      <c r="M745" s="14"/>
      <c r="N745" s="15"/>
      <c r="O745" s="12"/>
      <c r="P745" s="34"/>
      <c r="Q745" s="37"/>
      <c r="R745" s="47"/>
      <c r="S745" s="46"/>
    </row>
    <row r="746" spans="1:19" ht="12" hidden="1" customHeight="1" x14ac:dyDescent="0.3">
      <c r="A746" s="35" t="s">
        <v>908</v>
      </c>
      <c r="B746" s="49" t="str">
        <f>B742</f>
        <v>hide</v>
      </c>
      <c r="N746"/>
      <c r="Q746" s="33"/>
    </row>
    <row r="747" spans="1:19" ht="13.8" hidden="1" thickBot="1" x14ac:dyDescent="0.3">
      <c r="A747" t="s">
        <v>23</v>
      </c>
      <c r="B747" s="49" t="str">
        <f t="shared" ref="B747" si="529">B746</f>
        <v>hide</v>
      </c>
      <c r="D747" s="58"/>
      <c r="E747" s="58"/>
      <c r="F747" s="52">
        <f>SUM(F742:F746)</f>
        <v>0</v>
      </c>
      <c r="G747" s="52">
        <f>SUM(G742:G746)</f>
        <v>0</v>
      </c>
      <c r="H747" s="52">
        <f>SUM(H742:H746)</f>
        <v>0</v>
      </c>
      <c r="I747" s="52">
        <f>SUM(I742:I746)</f>
        <v>0</v>
      </c>
      <c r="J747" s="52">
        <f>SUM(J742:J746)</f>
        <v>0</v>
      </c>
      <c r="K747" s="52"/>
      <c r="L747" s="51" t="s">
        <v>4</v>
      </c>
      <c r="M747" s="58"/>
      <c r="N747" s="58"/>
      <c r="O747" s="58"/>
      <c r="P747" s="58"/>
      <c r="Q747" s="58"/>
      <c r="R747" s="58"/>
      <c r="S747" s="58"/>
    </row>
    <row r="748" spans="1:19" s="59" customFormat="1" ht="18.75" hidden="1" customHeight="1" thickBot="1" x14ac:dyDescent="0.3">
      <c r="A748" s="59" t="s">
        <v>23</v>
      </c>
      <c r="B748" s="60" t="str">
        <f t="shared" ref="B748:B749" si="530">IF(K748=0,"hide","")</f>
        <v>hide</v>
      </c>
      <c r="D748" s="61" t="str">
        <f>"06301"</f>
        <v>06301</v>
      </c>
      <c r="E748" s="62" t="str">
        <f>"1"</f>
        <v>1</v>
      </c>
      <c r="F748" s="63">
        <v>0</v>
      </c>
      <c r="G748" s="63">
        <v>0</v>
      </c>
      <c r="H748" s="63">
        <v>0</v>
      </c>
      <c r="I748" s="63">
        <v>0</v>
      </c>
      <c r="J748" s="63">
        <v>0</v>
      </c>
      <c r="K748" s="63">
        <f>AVERAGE(I748:J748)</f>
        <v>0</v>
      </c>
      <c r="L748" s="64" t="str">
        <f>""</f>
        <v/>
      </c>
      <c r="M748" s="65" t="str">
        <f>""</f>
        <v/>
      </c>
      <c r="N748" s="66" t="str">
        <f>""</f>
        <v/>
      </c>
      <c r="O748" s="67" t="str">
        <f>""</f>
        <v/>
      </c>
      <c r="P748" s="68" t="e">
        <f>1/O748</f>
        <v>#VALUE!</v>
      </c>
      <c r="Q748" s="53">
        <v>1</v>
      </c>
      <c r="R748" s="69">
        <f t="shared" ref="R748" si="531">1/Q748</f>
        <v>1</v>
      </c>
      <c r="S748" s="70" t="e">
        <f t="shared" ref="S748" si="532">R748*N748</f>
        <v>#VALUE!</v>
      </c>
    </row>
    <row r="749" spans="1:19" ht="15.6" hidden="1" customHeight="1" thickBot="1" x14ac:dyDescent="0.3">
      <c r="A749" t="s">
        <v>23</v>
      </c>
      <c r="B749" s="60" t="str">
        <f t="shared" si="530"/>
        <v>hide</v>
      </c>
      <c r="D749" s="48" t="str">
        <f>D748</f>
        <v>06301</v>
      </c>
      <c r="E749" s="7"/>
      <c r="F749" s="27">
        <v>0</v>
      </c>
      <c r="G749" s="27">
        <v>0</v>
      </c>
      <c r="H749" s="27">
        <v>0</v>
      </c>
      <c r="I749" s="27">
        <v>0</v>
      </c>
      <c r="J749" s="27">
        <v>0</v>
      </c>
      <c r="K749" s="63">
        <f>AVERAGE(I749:J749)</f>
        <v>0</v>
      </c>
      <c r="L749" s="56" t="str">
        <f>"EQP-LAWPACK1"</f>
        <v>EQP-LAWPACK1</v>
      </c>
      <c r="M749" s="14"/>
      <c r="N749" s="15"/>
      <c r="O749" s="12"/>
      <c r="P749" s="34"/>
      <c r="Q749" s="37"/>
      <c r="R749" s="47"/>
      <c r="S749" s="46"/>
    </row>
    <row r="750" spans="1:19" ht="15.6" hidden="1" customHeight="1" thickBot="1" x14ac:dyDescent="0.3">
      <c r="A750" t="s">
        <v>23</v>
      </c>
      <c r="B750" s="60" t="str">
        <f t="shared" ref="B750:B752" si="533">IF(K750=0,"hide","")</f>
        <v>hide</v>
      </c>
      <c r="D750" s="48" t="str">
        <f>D749</f>
        <v>06301</v>
      </c>
      <c r="E750" s="7"/>
      <c r="F750" s="27">
        <v>0</v>
      </c>
      <c r="G750" s="27">
        <v>0</v>
      </c>
      <c r="H750" s="27">
        <v>0</v>
      </c>
      <c r="I750" s="27">
        <v>0</v>
      </c>
      <c r="J750" s="27">
        <v>0</v>
      </c>
      <c r="K750" s="63">
        <f>AVERAGE(I750:J750)</f>
        <v>0</v>
      </c>
      <c r="L750" s="56" t="str">
        <f>"EQP-LAWPACK2"</f>
        <v>EQP-LAWPACK2</v>
      </c>
      <c r="M750" s="14"/>
      <c r="N750" s="15"/>
      <c r="O750" s="12"/>
      <c r="P750" s="34"/>
      <c r="Q750" s="37"/>
      <c r="R750" s="47"/>
      <c r="S750" s="46"/>
    </row>
    <row r="751" spans="1:19" ht="15.6" hidden="1" customHeight="1" thickBot="1" x14ac:dyDescent="0.3">
      <c r="A751" t="s">
        <v>23</v>
      </c>
      <c r="B751" s="60" t="str">
        <f t="shared" si="533"/>
        <v>hide</v>
      </c>
      <c r="D751" s="48" t="str">
        <f>D750</f>
        <v>06301</v>
      </c>
      <c r="E751" s="7"/>
      <c r="F751" s="27">
        <v>0</v>
      </c>
      <c r="G751" s="27">
        <v>0</v>
      </c>
      <c r="H751" s="27">
        <v>0</v>
      </c>
      <c r="I751" s="27">
        <v>0</v>
      </c>
      <c r="J751" s="27">
        <v>0</v>
      </c>
      <c r="K751" s="63">
        <f>AVERAGE(I751:J751)</f>
        <v>0</v>
      </c>
      <c r="L751" s="56" t="str">
        <f>"SW-COMAS-PACKL"</f>
        <v>SW-COMAS-PACKL</v>
      </c>
      <c r="M751" s="14"/>
      <c r="N751" s="15"/>
      <c r="O751" s="12"/>
      <c r="P751" s="34"/>
      <c r="Q751" s="37"/>
      <c r="R751" s="47"/>
      <c r="S751" s="46"/>
    </row>
    <row r="752" spans="1:19" ht="15.6" hidden="1" customHeight="1" thickBot="1" x14ac:dyDescent="0.3">
      <c r="A752" t="s">
        <v>23</v>
      </c>
      <c r="B752" s="60" t="str">
        <f t="shared" si="533"/>
        <v>hide</v>
      </c>
      <c r="D752" s="48" t="str">
        <f>D751</f>
        <v>06301</v>
      </c>
      <c r="E752" s="7"/>
      <c r="F752" s="27">
        <v>0</v>
      </c>
      <c r="G752" s="27">
        <v>0</v>
      </c>
      <c r="H752" s="27">
        <v>0</v>
      </c>
      <c r="I752" s="27">
        <v>0</v>
      </c>
      <c r="J752" s="27">
        <v>0</v>
      </c>
      <c r="K752" s="63">
        <f>AVERAGE(I752:J752)</f>
        <v>0</v>
      </c>
      <c r="L752" s="56" t="str">
        <f>"SW-RISER-PACK"</f>
        <v>SW-RISER-PACK</v>
      </c>
      <c r="M752" s="14"/>
      <c r="N752" s="15"/>
      <c r="O752" s="12"/>
      <c r="P752" s="34"/>
      <c r="Q752" s="37"/>
      <c r="R752" s="47"/>
      <c r="S752" s="46"/>
    </row>
    <row r="753" spans="1:19" ht="12" hidden="1" customHeight="1" x14ac:dyDescent="0.3">
      <c r="A753" s="35" t="s">
        <v>908</v>
      </c>
      <c r="B753" s="49" t="str">
        <f>B749</f>
        <v>hide</v>
      </c>
      <c r="N753"/>
      <c r="Q753" s="33"/>
    </row>
    <row r="754" spans="1:19" ht="13.8" hidden="1" thickBot="1" x14ac:dyDescent="0.3">
      <c r="A754" t="s">
        <v>23</v>
      </c>
      <c r="B754" s="49" t="str">
        <f t="shared" ref="B754" si="534">B753</f>
        <v>hide</v>
      </c>
      <c r="D754" s="58"/>
      <c r="E754" s="58"/>
      <c r="F754" s="52">
        <f>SUM(F749:F753)</f>
        <v>0</v>
      </c>
      <c r="G754" s="52">
        <f>SUM(G749:G753)</f>
        <v>0</v>
      </c>
      <c r="H754" s="52">
        <f>SUM(H749:H753)</f>
        <v>0</v>
      </c>
      <c r="I754" s="52">
        <f>SUM(I749:I753)</f>
        <v>0</v>
      </c>
      <c r="J754" s="52">
        <f>SUM(J749:J753)</f>
        <v>0</v>
      </c>
      <c r="K754" s="52"/>
      <c r="L754" s="51" t="s">
        <v>4</v>
      </c>
      <c r="M754" s="58"/>
      <c r="N754" s="58"/>
      <c r="O754" s="58"/>
      <c r="P754" s="58"/>
      <c r="Q754" s="58"/>
      <c r="R754" s="58"/>
      <c r="S754" s="58"/>
    </row>
    <row r="755" spans="1:19" s="59" customFormat="1" ht="18.75" hidden="1" customHeight="1" thickBot="1" x14ac:dyDescent="0.3">
      <c r="A755" s="59" t="s">
        <v>23</v>
      </c>
      <c r="B755" s="60" t="str">
        <f t="shared" ref="B755:B756" si="535">IF(K755=0,"hide","")</f>
        <v>hide</v>
      </c>
      <c r="D755" s="61" t="str">
        <f>"06400"</f>
        <v>06400</v>
      </c>
      <c r="E755" s="62" t="str">
        <f>"1"</f>
        <v>1</v>
      </c>
      <c r="F755" s="63">
        <v>0</v>
      </c>
      <c r="G755" s="63">
        <v>0</v>
      </c>
      <c r="H755" s="63">
        <v>0</v>
      </c>
      <c r="I755" s="63">
        <v>0</v>
      </c>
      <c r="J755" s="63">
        <v>0</v>
      </c>
      <c r="K755" s="63">
        <f>AVERAGE(I755:J755)</f>
        <v>0</v>
      </c>
      <c r="L755" s="64" t="str">
        <f>""</f>
        <v/>
      </c>
      <c r="M755" s="65" t="str">
        <f>""</f>
        <v/>
      </c>
      <c r="N755" s="66" t="str">
        <f>""</f>
        <v/>
      </c>
      <c r="O755" s="67" t="str">
        <f>""</f>
        <v/>
      </c>
      <c r="P755" s="68" t="e">
        <f>1/O755</f>
        <v>#VALUE!</v>
      </c>
      <c r="Q755" s="53">
        <v>1</v>
      </c>
      <c r="R755" s="69">
        <f t="shared" ref="R755" si="536">1/Q755</f>
        <v>1</v>
      </c>
      <c r="S755" s="70" t="e">
        <f t="shared" ref="S755" si="537">R755*N755</f>
        <v>#VALUE!</v>
      </c>
    </row>
    <row r="756" spans="1:19" ht="15.6" hidden="1" customHeight="1" thickBot="1" x14ac:dyDescent="0.3">
      <c r="A756" t="s">
        <v>23</v>
      </c>
      <c r="B756" s="60" t="str">
        <f t="shared" si="535"/>
        <v>hide</v>
      </c>
      <c r="D756" s="48" t="str">
        <f>D755</f>
        <v>06400</v>
      </c>
      <c r="E756" s="7"/>
      <c r="F756" s="27">
        <v>0</v>
      </c>
      <c r="G756" s="27">
        <v>0</v>
      </c>
      <c r="H756" s="27">
        <v>0</v>
      </c>
      <c r="I756" s="27">
        <v>0</v>
      </c>
      <c r="J756" s="27">
        <v>0</v>
      </c>
      <c r="K756" s="63">
        <f>AVERAGE(I756:J756)</f>
        <v>0</v>
      </c>
      <c r="L756" s="56" t="str">
        <f>"EQP-LAWPACK1"</f>
        <v>EQP-LAWPACK1</v>
      </c>
      <c r="M756" s="14"/>
      <c r="N756" s="15"/>
      <c r="O756" s="12"/>
      <c r="P756" s="34"/>
      <c r="Q756" s="37"/>
      <c r="R756" s="47"/>
      <c r="S756" s="46"/>
    </row>
    <row r="757" spans="1:19" ht="15.6" hidden="1" customHeight="1" thickBot="1" x14ac:dyDescent="0.3">
      <c r="A757" t="s">
        <v>23</v>
      </c>
      <c r="B757" s="60" t="str">
        <f t="shared" ref="B757:B759" si="538">IF(K757=0,"hide","")</f>
        <v>hide</v>
      </c>
      <c r="D757" s="48" t="str">
        <f>D756</f>
        <v>06400</v>
      </c>
      <c r="E757" s="7"/>
      <c r="F757" s="27">
        <v>0</v>
      </c>
      <c r="G757" s="27">
        <v>0</v>
      </c>
      <c r="H757" s="27">
        <v>0</v>
      </c>
      <c r="I757" s="27">
        <v>0</v>
      </c>
      <c r="J757" s="27">
        <v>0</v>
      </c>
      <c r="K757" s="63">
        <f>AVERAGE(I757:J757)</f>
        <v>0</v>
      </c>
      <c r="L757" s="56" t="str">
        <f>"EQP-LAWPACK2"</f>
        <v>EQP-LAWPACK2</v>
      </c>
      <c r="M757" s="14"/>
      <c r="N757" s="15"/>
      <c r="O757" s="12"/>
      <c r="P757" s="34"/>
      <c r="Q757" s="37"/>
      <c r="R757" s="47"/>
      <c r="S757" s="46"/>
    </row>
    <row r="758" spans="1:19" ht="15.6" hidden="1" customHeight="1" thickBot="1" x14ac:dyDescent="0.3">
      <c r="A758" t="s">
        <v>23</v>
      </c>
      <c r="B758" s="60" t="str">
        <f t="shared" si="538"/>
        <v>hide</v>
      </c>
      <c r="D758" s="48" t="str">
        <f>D757</f>
        <v>06400</v>
      </c>
      <c r="E758" s="7"/>
      <c r="F758" s="27">
        <v>0</v>
      </c>
      <c r="G758" s="27">
        <v>0</v>
      </c>
      <c r="H758" s="27">
        <v>0</v>
      </c>
      <c r="I758" s="27">
        <v>0</v>
      </c>
      <c r="J758" s="27">
        <v>0</v>
      </c>
      <c r="K758" s="63">
        <f>AVERAGE(I758:J758)</f>
        <v>0</v>
      </c>
      <c r="L758" s="56" t="str">
        <f>"SW-COMAS-PACKL"</f>
        <v>SW-COMAS-PACKL</v>
      </c>
      <c r="M758" s="14"/>
      <c r="N758" s="15"/>
      <c r="O758" s="12"/>
      <c r="P758" s="34"/>
      <c r="Q758" s="37"/>
      <c r="R758" s="47"/>
      <c r="S758" s="46"/>
    </row>
    <row r="759" spans="1:19" ht="15.6" hidden="1" customHeight="1" thickBot="1" x14ac:dyDescent="0.3">
      <c r="A759" t="s">
        <v>23</v>
      </c>
      <c r="B759" s="60" t="str">
        <f t="shared" si="538"/>
        <v>hide</v>
      </c>
      <c r="D759" s="48" t="str">
        <f>D758</f>
        <v>06400</v>
      </c>
      <c r="E759" s="7"/>
      <c r="F759" s="27">
        <v>0</v>
      </c>
      <c r="G759" s="27">
        <v>0</v>
      </c>
      <c r="H759" s="27">
        <v>0</v>
      </c>
      <c r="I759" s="27">
        <v>0</v>
      </c>
      <c r="J759" s="27">
        <v>0</v>
      </c>
      <c r="K759" s="63">
        <f>AVERAGE(I759:J759)</f>
        <v>0</v>
      </c>
      <c r="L759" s="56" t="str">
        <f>"SW-RISER-PACK"</f>
        <v>SW-RISER-PACK</v>
      </c>
      <c r="M759" s="14"/>
      <c r="N759" s="15"/>
      <c r="O759" s="12"/>
      <c r="P759" s="34"/>
      <c r="Q759" s="37"/>
      <c r="R759" s="47"/>
      <c r="S759" s="46"/>
    </row>
    <row r="760" spans="1:19" ht="12" hidden="1" customHeight="1" x14ac:dyDescent="0.3">
      <c r="A760" s="35" t="s">
        <v>908</v>
      </c>
      <c r="B760" s="49" t="str">
        <f>B756</f>
        <v>hide</v>
      </c>
      <c r="N760"/>
      <c r="Q760" s="33"/>
    </row>
    <row r="761" spans="1:19" ht="13.8" hidden="1" thickBot="1" x14ac:dyDescent="0.3">
      <c r="A761" t="s">
        <v>23</v>
      </c>
      <c r="B761" s="49" t="str">
        <f t="shared" ref="B761" si="539">B760</f>
        <v>hide</v>
      </c>
      <c r="D761" s="58"/>
      <c r="E761" s="58"/>
      <c r="F761" s="52">
        <f>SUM(F756:F760)</f>
        <v>0</v>
      </c>
      <c r="G761" s="52">
        <f>SUM(G756:G760)</f>
        <v>0</v>
      </c>
      <c r="H761" s="52">
        <f>SUM(H756:H760)</f>
        <v>0</v>
      </c>
      <c r="I761" s="52">
        <f>SUM(I756:I760)</f>
        <v>0</v>
      </c>
      <c r="J761" s="52">
        <f>SUM(J756:J760)</f>
        <v>0</v>
      </c>
      <c r="K761" s="52"/>
      <c r="L761" s="51" t="s">
        <v>4</v>
      </c>
      <c r="M761" s="58"/>
      <c r="N761" s="58"/>
      <c r="O761" s="58"/>
      <c r="P761" s="58"/>
      <c r="Q761" s="58"/>
      <c r="R761" s="58"/>
      <c r="S761" s="58"/>
    </row>
    <row r="762" spans="1:19" s="59" customFormat="1" ht="18.75" customHeight="1" thickBot="1" x14ac:dyDescent="0.3">
      <c r="A762" s="59" t="s">
        <v>23</v>
      </c>
      <c r="B762" s="60" t="str">
        <f t="shared" ref="B762:B763" si="540">IF(K762=0,"hide","")</f>
        <v/>
      </c>
      <c r="D762" s="61" t="str">
        <f>"06605"</f>
        <v>06605</v>
      </c>
      <c r="E762" s="62" t="str">
        <f>"2"</f>
        <v>2</v>
      </c>
      <c r="F762" s="63">
        <v>218.58333333333334</v>
      </c>
      <c r="G762" s="63">
        <v>229.25</v>
      </c>
      <c r="H762" s="63">
        <v>343.5</v>
      </c>
      <c r="I762" s="63">
        <v>454.75</v>
      </c>
      <c r="J762" s="63">
        <v>188.4166265060241</v>
      </c>
      <c r="K762" s="63">
        <f>AVERAGE(I762:J762)</f>
        <v>321.58331325301208</v>
      </c>
      <c r="L762" s="64" t="str">
        <f>"Whole Grain Corn Muffin"</f>
        <v>Whole Grain Corn Muffin</v>
      </c>
      <c r="M762" s="65" t="str">
        <f>"48-3.6 oz. I.W."</f>
        <v>48-3.6 oz. I.W.</v>
      </c>
      <c r="N762" s="66">
        <v>48</v>
      </c>
      <c r="O762" s="67" t="str">
        <f>""</f>
        <v/>
      </c>
      <c r="P762" s="68" t="e">
        <f>1/O762</f>
        <v>#VALUE!</v>
      </c>
      <c r="Q762" s="53">
        <v>1</v>
      </c>
      <c r="R762" s="69">
        <f t="shared" ref="R762" si="541">1/Q762</f>
        <v>1</v>
      </c>
      <c r="S762" s="70">
        <f t="shared" ref="S762" si="542">R762*N762</f>
        <v>48</v>
      </c>
    </row>
    <row r="763" spans="1:19" ht="15.6" hidden="1" customHeight="1" thickBot="1" x14ac:dyDescent="0.3">
      <c r="A763" t="s">
        <v>23</v>
      </c>
      <c r="B763" s="60" t="str">
        <f t="shared" si="540"/>
        <v>hide</v>
      </c>
      <c r="D763" s="48" t="str">
        <f>D762</f>
        <v>06605</v>
      </c>
      <c r="E763" s="7"/>
      <c r="F763" s="27">
        <v>0</v>
      </c>
      <c r="G763" s="27">
        <v>0</v>
      </c>
      <c r="H763" s="27">
        <v>0</v>
      </c>
      <c r="I763" s="27">
        <v>0</v>
      </c>
      <c r="J763" s="27">
        <v>0</v>
      </c>
      <c r="K763" s="63">
        <f>AVERAGE(I763:J763)</f>
        <v>0</v>
      </c>
      <c r="L763" s="56" t="str">
        <f>"EQP-LAWPACK1"</f>
        <v>EQP-LAWPACK1</v>
      </c>
      <c r="M763" s="14"/>
      <c r="N763" s="15"/>
      <c r="O763" s="12"/>
      <c r="P763" s="34"/>
      <c r="Q763" s="37"/>
      <c r="R763" s="47"/>
      <c r="S763" s="46"/>
    </row>
    <row r="764" spans="1:19" ht="15.6" hidden="1" customHeight="1" thickBot="1" x14ac:dyDescent="0.3">
      <c r="A764" t="s">
        <v>23</v>
      </c>
      <c r="B764" s="60" t="str">
        <f t="shared" ref="B764:B766" si="543">IF(K764=0,"hide","")</f>
        <v>hide</v>
      </c>
      <c r="D764" s="48" t="str">
        <f>D763</f>
        <v>06605</v>
      </c>
      <c r="E764" s="7"/>
      <c r="F764" s="27">
        <v>0</v>
      </c>
      <c r="G764" s="27">
        <v>0</v>
      </c>
      <c r="H764" s="27">
        <v>0</v>
      </c>
      <c r="I764" s="27">
        <v>0</v>
      </c>
      <c r="J764" s="27">
        <v>0</v>
      </c>
      <c r="K764" s="63">
        <f>AVERAGE(I764:J764)</f>
        <v>0</v>
      </c>
      <c r="L764" s="56" t="str">
        <f>"EQP-LAWPACK2"</f>
        <v>EQP-LAWPACK2</v>
      </c>
      <c r="M764" s="14"/>
      <c r="N764" s="15"/>
      <c r="O764" s="12"/>
      <c r="P764" s="34"/>
      <c r="Q764" s="37"/>
      <c r="R764" s="47"/>
      <c r="S764" s="46"/>
    </row>
    <row r="765" spans="1:19" ht="15.6" hidden="1" customHeight="1" thickBot="1" x14ac:dyDescent="0.3">
      <c r="A765" t="s">
        <v>23</v>
      </c>
      <c r="B765" s="60" t="str">
        <f t="shared" si="543"/>
        <v>hide</v>
      </c>
      <c r="D765" s="48" t="str">
        <f>D764</f>
        <v>06605</v>
      </c>
      <c r="E765" s="7"/>
      <c r="F765" s="27">
        <v>0</v>
      </c>
      <c r="G765" s="27">
        <v>0</v>
      </c>
      <c r="H765" s="27">
        <v>0</v>
      </c>
      <c r="I765" s="27">
        <v>0</v>
      </c>
      <c r="J765" s="27">
        <v>0</v>
      </c>
      <c r="K765" s="63">
        <f>AVERAGE(I765:J765)</f>
        <v>0</v>
      </c>
      <c r="L765" s="56" t="str">
        <f>"SW-COMAS-PACKL"</f>
        <v>SW-COMAS-PACKL</v>
      </c>
      <c r="M765" s="14"/>
      <c r="N765" s="15"/>
      <c r="O765" s="12"/>
      <c r="P765" s="34"/>
      <c r="Q765" s="37"/>
      <c r="R765" s="47"/>
      <c r="S765" s="46"/>
    </row>
    <row r="766" spans="1:19" ht="15.6" hidden="1" customHeight="1" thickBot="1" x14ac:dyDescent="0.3">
      <c r="A766" t="s">
        <v>23</v>
      </c>
      <c r="B766" s="60" t="str">
        <f t="shared" si="543"/>
        <v>hide</v>
      </c>
      <c r="D766" s="48" t="str">
        <f>D765</f>
        <v>06605</v>
      </c>
      <c r="E766" s="7"/>
      <c r="F766" s="27">
        <v>0</v>
      </c>
      <c r="G766" s="27">
        <v>0</v>
      </c>
      <c r="H766" s="27">
        <v>0</v>
      </c>
      <c r="I766" s="27">
        <v>0</v>
      </c>
      <c r="J766" s="27">
        <v>0</v>
      </c>
      <c r="K766" s="63">
        <f>AVERAGE(I766:J766)</f>
        <v>0</v>
      </c>
      <c r="L766" s="56" t="str">
        <f>"SW-RISER-PACK"</f>
        <v>SW-RISER-PACK</v>
      </c>
      <c r="M766" s="14"/>
      <c r="N766" s="15"/>
      <c r="O766" s="12"/>
      <c r="P766" s="34"/>
      <c r="Q766" s="37"/>
      <c r="R766" s="47"/>
      <c r="S766" s="46"/>
    </row>
    <row r="767" spans="1:19" ht="12" hidden="1" customHeight="1" x14ac:dyDescent="0.3">
      <c r="A767" s="35" t="s">
        <v>908</v>
      </c>
      <c r="B767" s="49" t="str">
        <f>B763</f>
        <v>hide</v>
      </c>
      <c r="N767"/>
      <c r="Q767" s="33"/>
    </row>
    <row r="768" spans="1:19" ht="13.8" hidden="1" thickBot="1" x14ac:dyDescent="0.3">
      <c r="A768" t="s">
        <v>23</v>
      </c>
      <c r="B768" s="49" t="str">
        <f t="shared" ref="B768" si="544">B767</f>
        <v>hide</v>
      </c>
      <c r="D768" s="58"/>
      <c r="E768" s="58"/>
      <c r="F768" s="52">
        <f>SUM(F763:F767)</f>
        <v>0</v>
      </c>
      <c r="G768" s="52">
        <f>SUM(G763:G767)</f>
        <v>0</v>
      </c>
      <c r="H768" s="52">
        <f>SUM(H763:H767)</f>
        <v>0</v>
      </c>
      <c r="I768" s="52">
        <f>SUM(I763:I767)</f>
        <v>0</v>
      </c>
      <c r="J768" s="52">
        <f>SUM(J763:J767)</f>
        <v>0</v>
      </c>
      <c r="K768" s="52"/>
      <c r="L768" s="51" t="s">
        <v>4</v>
      </c>
      <c r="M768" s="58"/>
      <c r="N768" s="58"/>
      <c r="O768" s="58"/>
      <c r="P768" s="58"/>
      <c r="Q768" s="58"/>
      <c r="R768" s="58"/>
      <c r="S768" s="58"/>
    </row>
    <row r="769" spans="1:19" s="59" customFormat="1" ht="18.75" hidden="1" customHeight="1" thickBot="1" x14ac:dyDescent="0.3">
      <c r="A769" s="59" t="s">
        <v>23</v>
      </c>
      <c r="B769" s="60" t="str">
        <f t="shared" ref="B769:B770" si="545">IF(K769=0,"hide","")</f>
        <v>hide</v>
      </c>
      <c r="D769" s="61" t="str">
        <f>"06620"</f>
        <v>06620</v>
      </c>
      <c r="E769" s="62" t="str">
        <f>"1"</f>
        <v>1</v>
      </c>
      <c r="F769" s="63">
        <v>18.500000000000004</v>
      </c>
      <c r="G769" s="63">
        <v>0</v>
      </c>
      <c r="H769" s="63">
        <v>0</v>
      </c>
      <c r="I769" s="63">
        <v>0</v>
      </c>
      <c r="J769" s="63">
        <v>0</v>
      </c>
      <c r="K769" s="63">
        <f>AVERAGE(I769:J769)</f>
        <v>0</v>
      </c>
      <c r="L769" s="64" t="str">
        <f>"SC Orange Pineapple  Muffin"</f>
        <v>SC Orange Pineapple  Muffin</v>
      </c>
      <c r="M769" s="65" t="str">
        <f>"48-3.6 oz. I.W."</f>
        <v>48-3.6 oz. I.W.</v>
      </c>
      <c r="N769" s="66">
        <v>48</v>
      </c>
      <c r="O769" s="67" t="str">
        <f>""</f>
        <v/>
      </c>
      <c r="P769" s="68" t="e">
        <f>1/O769</f>
        <v>#VALUE!</v>
      </c>
      <c r="Q769" s="53">
        <v>1</v>
      </c>
      <c r="R769" s="69">
        <f t="shared" ref="R769" si="546">1/Q769</f>
        <v>1</v>
      </c>
      <c r="S769" s="70">
        <f t="shared" ref="S769" si="547">R769*N769</f>
        <v>48</v>
      </c>
    </row>
    <row r="770" spans="1:19" ht="15.6" hidden="1" customHeight="1" thickBot="1" x14ac:dyDescent="0.3">
      <c r="A770" t="s">
        <v>23</v>
      </c>
      <c r="B770" s="60" t="str">
        <f t="shared" si="545"/>
        <v>hide</v>
      </c>
      <c r="D770" s="48" t="str">
        <f>D769</f>
        <v>06620</v>
      </c>
      <c r="E770" s="7"/>
      <c r="F770" s="27">
        <v>0</v>
      </c>
      <c r="G770" s="27">
        <v>0</v>
      </c>
      <c r="H770" s="27">
        <v>0</v>
      </c>
      <c r="I770" s="27">
        <v>0</v>
      </c>
      <c r="J770" s="27">
        <v>0</v>
      </c>
      <c r="K770" s="63">
        <f>AVERAGE(I770:J770)</f>
        <v>0</v>
      </c>
      <c r="L770" s="56" t="str">
        <f>"EQP-LAWPACK1"</f>
        <v>EQP-LAWPACK1</v>
      </c>
      <c r="M770" s="14"/>
      <c r="N770" s="15"/>
      <c r="O770" s="12"/>
      <c r="P770" s="34"/>
      <c r="Q770" s="37"/>
      <c r="R770" s="47"/>
      <c r="S770" s="46"/>
    </row>
    <row r="771" spans="1:19" ht="15.6" hidden="1" customHeight="1" thickBot="1" x14ac:dyDescent="0.3">
      <c r="A771" t="s">
        <v>23</v>
      </c>
      <c r="B771" s="60" t="str">
        <f t="shared" ref="B771:B773" si="548">IF(K771=0,"hide","")</f>
        <v>hide</v>
      </c>
      <c r="D771" s="48" t="str">
        <f>D770</f>
        <v>06620</v>
      </c>
      <c r="E771" s="7"/>
      <c r="F771" s="27">
        <v>0</v>
      </c>
      <c r="G771" s="27">
        <v>0</v>
      </c>
      <c r="H771" s="27">
        <v>0</v>
      </c>
      <c r="I771" s="27">
        <v>0</v>
      </c>
      <c r="J771" s="27">
        <v>0</v>
      </c>
      <c r="K771" s="63">
        <f>AVERAGE(I771:J771)</f>
        <v>0</v>
      </c>
      <c r="L771" s="56" t="str">
        <f>"EQP-LAWPACK2"</f>
        <v>EQP-LAWPACK2</v>
      </c>
      <c r="M771" s="14"/>
      <c r="N771" s="15"/>
      <c r="O771" s="12"/>
      <c r="P771" s="34"/>
      <c r="Q771" s="37"/>
      <c r="R771" s="47"/>
      <c r="S771" s="46"/>
    </row>
    <row r="772" spans="1:19" ht="15.6" hidden="1" customHeight="1" thickBot="1" x14ac:dyDescent="0.3">
      <c r="A772" t="s">
        <v>23</v>
      </c>
      <c r="B772" s="60" t="str">
        <f t="shared" si="548"/>
        <v>hide</v>
      </c>
      <c r="D772" s="48" t="str">
        <f>D771</f>
        <v>06620</v>
      </c>
      <c r="E772" s="7"/>
      <c r="F772" s="27">
        <v>0</v>
      </c>
      <c r="G772" s="27">
        <v>0</v>
      </c>
      <c r="H772" s="27">
        <v>0</v>
      </c>
      <c r="I772" s="27">
        <v>0</v>
      </c>
      <c r="J772" s="27">
        <v>0</v>
      </c>
      <c r="K772" s="63">
        <f>AVERAGE(I772:J772)</f>
        <v>0</v>
      </c>
      <c r="L772" s="56" t="str">
        <f>"SW-COMAS-PACKL"</f>
        <v>SW-COMAS-PACKL</v>
      </c>
      <c r="M772" s="14"/>
      <c r="N772" s="15"/>
      <c r="O772" s="12"/>
      <c r="P772" s="34"/>
      <c r="Q772" s="37"/>
      <c r="R772" s="47"/>
      <c r="S772" s="46"/>
    </row>
    <row r="773" spans="1:19" ht="15.6" hidden="1" customHeight="1" thickBot="1" x14ac:dyDescent="0.3">
      <c r="A773" t="s">
        <v>23</v>
      </c>
      <c r="B773" s="60" t="str">
        <f t="shared" si="548"/>
        <v>hide</v>
      </c>
      <c r="D773" s="48" t="str">
        <f>D772</f>
        <v>06620</v>
      </c>
      <c r="E773" s="7"/>
      <c r="F773" s="27">
        <v>0</v>
      </c>
      <c r="G773" s="27">
        <v>0</v>
      </c>
      <c r="H773" s="27">
        <v>0</v>
      </c>
      <c r="I773" s="27">
        <v>0</v>
      </c>
      <c r="J773" s="27">
        <v>0</v>
      </c>
      <c r="K773" s="63">
        <f>AVERAGE(I773:J773)</f>
        <v>0</v>
      </c>
      <c r="L773" s="56" t="str">
        <f>"SW-RISER-PACK"</f>
        <v>SW-RISER-PACK</v>
      </c>
      <c r="M773" s="14"/>
      <c r="N773" s="15"/>
      <c r="O773" s="12"/>
      <c r="P773" s="34"/>
      <c r="Q773" s="37"/>
      <c r="R773" s="47"/>
      <c r="S773" s="46"/>
    </row>
    <row r="774" spans="1:19" ht="12" hidden="1" customHeight="1" x14ac:dyDescent="0.3">
      <c r="A774" s="35" t="s">
        <v>908</v>
      </c>
      <c r="B774" s="49" t="str">
        <f>B770</f>
        <v>hide</v>
      </c>
      <c r="N774"/>
      <c r="Q774" s="33"/>
    </row>
    <row r="775" spans="1:19" ht="13.8" hidden="1" thickBot="1" x14ac:dyDescent="0.3">
      <c r="A775" t="s">
        <v>23</v>
      </c>
      <c r="B775" s="49" t="str">
        <f t="shared" ref="B775" si="549">B774</f>
        <v>hide</v>
      </c>
      <c r="D775" s="58"/>
      <c r="E775" s="58"/>
      <c r="F775" s="52">
        <f>SUM(F770:F774)</f>
        <v>0</v>
      </c>
      <c r="G775" s="52">
        <f>SUM(G770:G774)</f>
        <v>0</v>
      </c>
      <c r="H775" s="52">
        <f>SUM(H770:H774)</f>
        <v>0</v>
      </c>
      <c r="I775" s="52">
        <f>SUM(I770:I774)</f>
        <v>0</v>
      </c>
      <c r="J775" s="52">
        <f>SUM(J770:J774)</f>
        <v>0</v>
      </c>
      <c r="K775" s="52"/>
      <c r="L775" s="51" t="s">
        <v>4</v>
      </c>
      <c r="M775" s="58"/>
      <c r="N775" s="58"/>
      <c r="O775" s="58"/>
      <c r="P775" s="58"/>
      <c r="Q775" s="58"/>
      <c r="R775" s="58"/>
      <c r="S775" s="58"/>
    </row>
    <row r="776" spans="1:19" s="59" customFormat="1" ht="18.75" hidden="1" customHeight="1" thickBot="1" x14ac:dyDescent="0.3">
      <c r="A776" s="59" t="s">
        <v>23</v>
      </c>
      <c r="B776" s="60" t="str">
        <f t="shared" ref="B776:B777" si="550">IF(K776=0,"hide","")</f>
        <v>hide</v>
      </c>
      <c r="D776" s="61" t="str">
        <f>"06630"</f>
        <v>06630</v>
      </c>
      <c r="E776" s="62" t="str">
        <f>"3"</f>
        <v>3</v>
      </c>
      <c r="F776" s="63">
        <v>0.41666666666666669</v>
      </c>
      <c r="G776" s="63">
        <v>0</v>
      </c>
      <c r="H776" s="63">
        <v>0</v>
      </c>
      <c r="I776" s="63">
        <v>0</v>
      </c>
      <c r="J776" s="63">
        <v>0</v>
      </c>
      <c r="K776" s="63">
        <f>AVERAGE(I776:J776)</f>
        <v>0</v>
      </c>
      <c r="L776" s="64" t="str">
        <f>"SC Double Chocolate Muffin"</f>
        <v>SC Double Chocolate Muffin</v>
      </c>
      <c r="M776" s="65" t="str">
        <f>"48-3.6 oz. I.W."</f>
        <v>48-3.6 oz. I.W.</v>
      </c>
      <c r="N776" s="66">
        <v>48</v>
      </c>
      <c r="O776" s="67">
        <v>2.8400000000000001E-3</v>
      </c>
      <c r="P776" s="68">
        <f>1/O776</f>
        <v>352.11267605633805</v>
      </c>
      <c r="Q776" s="53">
        <v>2.8400000000000001E-3</v>
      </c>
      <c r="R776" s="69">
        <f t="shared" ref="R776" si="551">1/Q776</f>
        <v>352.11267605633805</v>
      </c>
      <c r="S776" s="70">
        <f t="shared" ref="S776" si="552">R776*N776</f>
        <v>16901.408450704228</v>
      </c>
    </row>
    <row r="777" spans="1:19" ht="15.6" hidden="1" customHeight="1" thickBot="1" x14ac:dyDescent="0.3">
      <c r="A777" t="s">
        <v>23</v>
      </c>
      <c r="B777" s="60" t="str">
        <f t="shared" si="550"/>
        <v>hide</v>
      </c>
      <c r="D777" s="48" t="str">
        <f>D776</f>
        <v>06630</v>
      </c>
      <c r="E777" s="7"/>
      <c r="F777" s="27">
        <v>0</v>
      </c>
      <c r="G777" s="27">
        <v>0</v>
      </c>
      <c r="H777" s="27">
        <v>0</v>
      </c>
      <c r="I777" s="27">
        <v>0</v>
      </c>
      <c r="J777" s="27">
        <v>0</v>
      </c>
      <c r="K777" s="63">
        <f>AVERAGE(I777:J777)</f>
        <v>0</v>
      </c>
      <c r="L777" s="56" t="str">
        <f>"EQP-LAWPACK1"</f>
        <v>EQP-LAWPACK1</v>
      </c>
      <c r="M777" s="14"/>
      <c r="N777" s="15"/>
      <c r="O777" s="12"/>
      <c r="P777" s="34"/>
      <c r="Q777" s="37"/>
      <c r="R777" s="47"/>
      <c r="S777" s="46"/>
    </row>
    <row r="778" spans="1:19" ht="15.6" hidden="1" customHeight="1" thickBot="1" x14ac:dyDescent="0.3">
      <c r="A778" t="s">
        <v>23</v>
      </c>
      <c r="B778" s="60" t="str">
        <f t="shared" ref="B778:B780" si="553">IF(K778=0,"hide","")</f>
        <v>hide</v>
      </c>
      <c r="D778" s="48" t="str">
        <f>D777</f>
        <v>06630</v>
      </c>
      <c r="E778" s="7"/>
      <c r="F778" s="27">
        <v>0</v>
      </c>
      <c r="G778" s="27">
        <v>0</v>
      </c>
      <c r="H778" s="27">
        <v>0</v>
      </c>
      <c r="I778" s="27">
        <v>0</v>
      </c>
      <c r="J778" s="27">
        <v>0</v>
      </c>
      <c r="K778" s="63">
        <f>AVERAGE(I778:J778)</f>
        <v>0</v>
      </c>
      <c r="L778" s="56" t="str">
        <f>"EQP-LAWPACK2"</f>
        <v>EQP-LAWPACK2</v>
      </c>
      <c r="M778" s="14"/>
      <c r="N778" s="15"/>
      <c r="O778" s="12"/>
      <c r="P778" s="34"/>
      <c r="Q778" s="37"/>
      <c r="R778" s="47"/>
      <c r="S778" s="46"/>
    </row>
    <row r="779" spans="1:19" ht="15.6" hidden="1" customHeight="1" thickBot="1" x14ac:dyDescent="0.3">
      <c r="A779" t="s">
        <v>23</v>
      </c>
      <c r="B779" s="60" t="str">
        <f t="shared" si="553"/>
        <v>hide</v>
      </c>
      <c r="D779" s="48" t="str">
        <f>D778</f>
        <v>06630</v>
      </c>
      <c r="E779" s="7"/>
      <c r="F779" s="27">
        <v>0</v>
      </c>
      <c r="G779" s="27">
        <v>0</v>
      </c>
      <c r="H779" s="27">
        <v>0</v>
      </c>
      <c r="I779" s="27">
        <v>0</v>
      </c>
      <c r="J779" s="27">
        <v>0</v>
      </c>
      <c r="K779" s="63">
        <f>AVERAGE(I779:J779)</f>
        <v>0</v>
      </c>
      <c r="L779" s="56" t="str">
        <f>"SW-COMAS-PACKL"</f>
        <v>SW-COMAS-PACKL</v>
      </c>
      <c r="M779" s="14"/>
      <c r="N779" s="15"/>
      <c r="O779" s="12"/>
      <c r="P779" s="34"/>
      <c r="Q779" s="37"/>
      <c r="R779" s="47"/>
      <c r="S779" s="46"/>
    </row>
    <row r="780" spans="1:19" ht="15.6" hidden="1" customHeight="1" thickBot="1" x14ac:dyDescent="0.3">
      <c r="A780" t="s">
        <v>23</v>
      </c>
      <c r="B780" s="60" t="str">
        <f t="shared" si="553"/>
        <v>hide</v>
      </c>
      <c r="D780" s="48" t="str">
        <f>D779</f>
        <v>06630</v>
      </c>
      <c r="E780" s="7"/>
      <c r="F780" s="27">
        <v>0</v>
      </c>
      <c r="G780" s="27">
        <v>0</v>
      </c>
      <c r="H780" s="27">
        <v>0</v>
      </c>
      <c r="I780" s="27">
        <v>0</v>
      </c>
      <c r="J780" s="27">
        <v>0</v>
      </c>
      <c r="K780" s="63">
        <f>AVERAGE(I780:J780)</f>
        <v>0</v>
      </c>
      <c r="L780" s="56" t="str">
        <f>"SW-RISER-PACK"</f>
        <v>SW-RISER-PACK</v>
      </c>
      <c r="M780" s="14"/>
      <c r="N780" s="15"/>
      <c r="O780" s="12"/>
      <c r="P780" s="34"/>
      <c r="Q780" s="37"/>
      <c r="R780" s="47"/>
      <c r="S780" s="46"/>
    </row>
    <row r="781" spans="1:19" ht="12" hidden="1" customHeight="1" x14ac:dyDescent="0.3">
      <c r="A781" s="35" t="s">
        <v>908</v>
      </c>
      <c r="B781" s="49" t="str">
        <f>B777</f>
        <v>hide</v>
      </c>
      <c r="N781"/>
      <c r="Q781" s="33"/>
    </row>
    <row r="782" spans="1:19" ht="13.8" hidden="1" thickBot="1" x14ac:dyDescent="0.3">
      <c r="A782" t="s">
        <v>23</v>
      </c>
      <c r="B782" s="49" t="str">
        <f t="shared" ref="B782" si="554">B781</f>
        <v>hide</v>
      </c>
      <c r="D782" s="58"/>
      <c r="E782" s="58"/>
      <c r="F782" s="52">
        <f>SUM(F777:F781)</f>
        <v>0</v>
      </c>
      <c r="G782" s="52">
        <f>SUM(G777:G781)</f>
        <v>0</v>
      </c>
      <c r="H782" s="52">
        <f>SUM(H777:H781)</f>
        <v>0</v>
      </c>
      <c r="I782" s="52">
        <f>SUM(I777:I781)</f>
        <v>0</v>
      </c>
      <c r="J782" s="52">
        <f>SUM(J777:J781)</f>
        <v>0</v>
      </c>
      <c r="K782" s="52"/>
      <c r="L782" s="51" t="s">
        <v>4</v>
      </c>
      <c r="M782" s="58"/>
      <c r="N782" s="58"/>
      <c r="O782" s="58"/>
      <c r="P782" s="58"/>
      <c r="Q782" s="58"/>
      <c r="R782" s="58"/>
      <c r="S782" s="58"/>
    </row>
    <row r="783" spans="1:19" s="59" customFormat="1" ht="18.75" customHeight="1" thickBot="1" x14ac:dyDescent="0.3">
      <c r="A783" s="59" t="s">
        <v>23</v>
      </c>
      <c r="B783" s="60" t="str">
        <f t="shared" ref="B783:B784" si="555">IF(K783=0,"hide","")</f>
        <v/>
      </c>
      <c r="D783" s="61" t="str">
        <f>"06661"</f>
        <v>06661</v>
      </c>
      <c r="E783" s="62" t="str">
        <f>"6"</f>
        <v>6</v>
      </c>
      <c r="F783" s="63">
        <v>1374.25</v>
      </c>
      <c r="G783" s="63">
        <v>2028.6666666666667</v>
      </c>
      <c r="H783" s="63">
        <v>2103.1666666666665</v>
      </c>
      <c r="I783" s="63">
        <v>2173.7499999999995</v>
      </c>
      <c r="J783" s="63">
        <v>1661.9942168674697</v>
      </c>
      <c r="K783" s="63">
        <f>AVERAGE(I783:J783)</f>
        <v>1917.8721084337346</v>
      </c>
      <c r="L783" s="64" t="str">
        <f>"Smart Choice Blueberry Muffin"</f>
        <v>Smart Choice Blueberry Muffin</v>
      </c>
      <c r="M783" s="65" t="str">
        <f>"48-3.6 oz. I.W."</f>
        <v>48-3.6 oz. I.W.</v>
      </c>
      <c r="N783" s="66">
        <v>48</v>
      </c>
      <c r="O783" s="67">
        <v>1E-3</v>
      </c>
      <c r="P783" s="68">
        <f>1/O783</f>
        <v>1000</v>
      </c>
      <c r="Q783" s="53">
        <v>2.8400000000000001E-3</v>
      </c>
      <c r="R783" s="69">
        <f t="shared" ref="R783" si="556">1/Q783</f>
        <v>352.11267605633805</v>
      </c>
      <c r="S783" s="70">
        <f t="shared" ref="S783" si="557">R783*N783</f>
        <v>16901.408450704228</v>
      </c>
    </row>
    <row r="784" spans="1:19" ht="15.6" customHeight="1" thickBot="1" x14ac:dyDescent="0.3">
      <c r="A784" t="s">
        <v>23</v>
      </c>
      <c r="B784" s="60" t="str">
        <f t="shared" si="555"/>
        <v/>
      </c>
      <c r="D784" s="48" t="str">
        <f>D783</f>
        <v>06661</v>
      </c>
      <c r="E784" s="7"/>
      <c r="F784" s="27">
        <v>-627.71333333333325</v>
      </c>
      <c r="G784" s="27">
        <v>-631.02416666666659</v>
      </c>
      <c r="H784" s="27">
        <v>-624.52</v>
      </c>
      <c r="I784" s="27">
        <v>-385.83333333333331</v>
      </c>
      <c r="J784" s="27">
        <v>-214.73903614457834</v>
      </c>
      <c r="K784" s="63">
        <f>AVERAGE(I784:J784)</f>
        <v>-300.28618473895585</v>
      </c>
      <c r="L784" s="56" t="str">
        <f>"EQP-LAWPACK1"</f>
        <v>EQP-LAWPACK1</v>
      </c>
      <c r="M784" s="14"/>
      <c r="N784" s="15"/>
      <c r="O784" s="12"/>
      <c r="P784" s="34"/>
      <c r="Q784" s="37"/>
      <c r="R784" s="47"/>
      <c r="S784" s="46"/>
    </row>
    <row r="785" spans="1:19" ht="15.6" customHeight="1" thickBot="1" x14ac:dyDescent="0.3">
      <c r="A785" t="s">
        <v>23</v>
      </c>
      <c r="B785" s="60" t="str">
        <f t="shared" ref="B785:B787" si="558">IF(K785=0,"hide","")</f>
        <v/>
      </c>
      <c r="D785" s="48" t="str">
        <f>D784</f>
        <v>06661</v>
      </c>
      <c r="E785" s="7"/>
      <c r="F785" s="27">
        <v>0</v>
      </c>
      <c r="G785" s="27">
        <v>0</v>
      </c>
      <c r="H785" s="27">
        <v>0</v>
      </c>
      <c r="I785" s="27">
        <v>0</v>
      </c>
      <c r="J785" s="27">
        <v>-80.467469879518077</v>
      </c>
      <c r="K785" s="63">
        <f>AVERAGE(I785:J785)</f>
        <v>-40.233734939759039</v>
      </c>
      <c r="L785" s="56" t="str">
        <f>"EQP-LAWPACK2"</f>
        <v>EQP-LAWPACK2</v>
      </c>
      <c r="M785" s="14"/>
      <c r="N785" s="15"/>
      <c r="O785" s="12"/>
      <c r="P785" s="34"/>
      <c r="Q785" s="37"/>
      <c r="R785" s="47"/>
      <c r="S785" s="46"/>
    </row>
    <row r="786" spans="1:19" ht="15.6" hidden="1" customHeight="1" thickBot="1" x14ac:dyDescent="0.3">
      <c r="A786" t="s">
        <v>23</v>
      </c>
      <c r="B786" s="60" t="str">
        <f t="shared" si="558"/>
        <v>hide</v>
      </c>
      <c r="D786" s="48" t="str">
        <f>D785</f>
        <v>06661</v>
      </c>
      <c r="E786" s="7"/>
      <c r="F786" s="27">
        <v>0</v>
      </c>
      <c r="G786" s="27">
        <v>0</v>
      </c>
      <c r="H786" s="27">
        <v>0</v>
      </c>
      <c r="I786" s="27">
        <v>0</v>
      </c>
      <c r="J786" s="27">
        <v>0</v>
      </c>
      <c r="K786" s="63">
        <f>AVERAGE(I786:J786)</f>
        <v>0</v>
      </c>
      <c r="L786" s="56" t="str">
        <f>"SW-COMAS-PACKL"</f>
        <v>SW-COMAS-PACKL</v>
      </c>
      <c r="M786" s="14"/>
      <c r="N786" s="15"/>
      <c r="O786" s="12"/>
      <c r="P786" s="34"/>
      <c r="Q786" s="37"/>
      <c r="R786" s="47"/>
      <c r="S786" s="46"/>
    </row>
    <row r="787" spans="1:19" ht="15.6" hidden="1" customHeight="1" thickBot="1" x14ac:dyDescent="0.3">
      <c r="A787" t="s">
        <v>23</v>
      </c>
      <c r="B787" s="60" t="str">
        <f t="shared" si="558"/>
        <v>hide</v>
      </c>
      <c r="D787" s="48" t="str">
        <f>D786</f>
        <v>06661</v>
      </c>
      <c r="E787" s="7"/>
      <c r="F787" s="27">
        <v>0</v>
      </c>
      <c r="G787" s="27">
        <v>0</v>
      </c>
      <c r="H787" s="27">
        <v>0</v>
      </c>
      <c r="I787" s="27">
        <v>0</v>
      </c>
      <c r="J787" s="27">
        <v>0</v>
      </c>
      <c r="K787" s="63">
        <f>AVERAGE(I787:J787)</f>
        <v>0</v>
      </c>
      <c r="L787" s="56" t="str">
        <f>"SW-RISER-PACK"</f>
        <v>SW-RISER-PACK</v>
      </c>
      <c r="M787" s="14"/>
      <c r="N787" s="15"/>
      <c r="O787" s="12"/>
      <c r="P787" s="34"/>
      <c r="Q787" s="37"/>
      <c r="R787" s="47"/>
      <c r="S787" s="46"/>
    </row>
    <row r="788" spans="1:19" ht="12" hidden="1" customHeight="1" x14ac:dyDescent="0.25">
      <c r="A788" s="35" t="s">
        <v>908</v>
      </c>
      <c r="B788" s="49" t="str">
        <f>B784</f>
        <v/>
      </c>
      <c r="N788"/>
      <c r="Q788" s="33"/>
    </row>
    <row r="789" spans="1:19" ht="13.8" thickBot="1" x14ac:dyDescent="0.3">
      <c r="A789" t="s">
        <v>23</v>
      </c>
      <c r="B789" s="49" t="str">
        <f t="shared" ref="B789" si="559">B788</f>
        <v/>
      </c>
      <c r="D789" s="58"/>
      <c r="E789" s="58"/>
      <c r="F789" s="52">
        <f>SUM(F784:F788)</f>
        <v>-627.71333333333325</v>
      </c>
      <c r="G789" s="52">
        <f>SUM(G784:G788)</f>
        <v>-631.02416666666659</v>
      </c>
      <c r="H789" s="52">
        <f>SUM(H784:H788)</f>
        <v>-624.52</v>
      </c>
      <c r="I789" s="52">
        <f>SUM(I784:I788)</f>
        <v>-385.83333333333331</v>
      </c>
      <c r="J789" s="52">
        <f>SUM(J784:J788)</f>
        <v>-295.20650602409643</v>
      </c>
      <c r="K789" s="52"/>
      <c r="L789" s="51" t="s">
        <v>4</v>
      </c>
      <c r="M789" s="58"/>
      <c r="N789" s="58"/>
      <c r="O789" s="58"/>
      <c r="P789" s="58"/>
      <c r="Q789" s="58"/>
      <c r="R789" s="58"/>
      <c r="S789" s="58"/>
    </row>
    <row r="790" spans="1:19" s="59" customFormat="1" ht="18.75" customHeight="1" thickBot="1" x14ac:dyDescent="0.3">
      <c r="A790" s="59" t="s">
        <v>23</v>
      </c>
      <c r="B790" s="60" t="str">
        <f t="shared" ref="B790:B791" si="560">IF(K790=0,"hide","")</f>
        <v/>
      </c>
      <c r="D790" s="61" t="str">
        <f>"06663"</f>
        <v>06663</v>
      </c>
      <c r="E790" s="62" t="str">
        <f>"4"</f>
        <v>4</v>
      </c>
      <c r="F790" s="63">
        <v>220.58333333333334</v>
      </c>
      <c r="G790" s="63">
        <v>28</v>
      </c>
      <c r="H790" s="63">
        <v>63</v>
      </c>
      <c r="I790" s="63">
        <v>152.99999999999997</v>
      </c>
      <c r="J790" s="63">
        <v>69.69301204819277</v>
      </c>
      <c r="K790" s="63">
        <f>AVERAGE(I790:J790)</f>
        <v>111.34650602409637</v>
      </c>
      <c r="L790" s="64" t="str">
        <f>"Smart Choice Org. Cranberry"</f>
        <v>Smart Choice Org. Cranberry</v>
      </c>
      <c r="M790" s="65" t="str">
        <f>"48-3.6 oz. I.W."</f>
        <v>48-3.6 oz. I.W.</v>
      </c>
      <c r="N790" s="66">
        <v>48</v>
      </c>
      <c r="O790" s="67">
        <v>1E-3</v>
      </c>
      <c r="P790" s="68">
        <f>1/O790</f>
        <v>1000</v>
      </c>
      <c r="Q790" s="53">
        <v>2.8400000000000001E-3</v>
      </c>
      <c r="R790" s="69">
        <f t="shared" ref="R790" si="561">1/Q790</f>
        <v>352.11267605633805</v>
      </c>
      <c r="S790" s="70">
        <f t="shared" ref="S790" si="562">R790*N790</f>
        <v>16901.408450704228</v>
      </c>
    </row>
    <row r="791" spans="1:19" ht="15.6" hidden="1" customHeight="1" thickBot="1" x14ac:dyDescent="0.3">
      <c r="A791" t="s">
        <v>23</v>
      </c>
      <c r="B791" s="60" t="str">
        <f t="shared" si="560"/>
        <v>hide</v>
      </c>
      <c r="D791" s="48" t="str">
        <f>D790</f>
        <v>06663</v>
      </c>
      <c r="E791" s="7"/>
      <c r="F791" s="27">
        <v>-25.395833333333332</v>
      </c>
      <c r="G791" s="27">
        <v>0</v>
      </c>
      <c r="H791" s="27">
        <v>0</v>
      </c>
      <c r="I791" s="27">
        <v>0</v>
      </c>
      <c r="J791" s="27">
        <v>0</v>
      </c>
      <c r="K791" s="63">
        <f>AVERAGE(I791:J791)</f>
        <v>0</v>
      </c>
      <c r="L791" s="56" t="str">
        <f>"EQP-LAWPACK1"</f>
        <v>EQP-LAWPACK1</v>
      </c>
      <c r="M791" s="14"/>
      <c r="N791" s="15"/>
      <c r="O791" s="12"/>
      <c r="P791" s="34"/>
      <c r="Q791" s="37"/>
      <c r="R791" s="47"/>
      <c r="S791" s="46"/>
    </row>
    <row r="792" spans="1:19" ht="15.6" hidden="1" customHeight="1" thickBot="1" x14ac:dyDescent="0.3">
      <c r="A792" t="s">
        <v>23</v>
      </c>
      <c r="B792" s="60" t="str">
        <f t="shared" ref="B792:B794" si="563">IF(K792=0,"hide","")</f>
        <v>hide</v>
      </c>
      <c r="D792" s="48" t="str">
        <f>D791</f>
        <v>06663</v>
      </c>
      <c r="E792" s="7"/>
      <c r="F792" s="27">
        <v>0</v>
      </c>
      <c r="G792" s="27">
        <v>0</v>
      </c>
      <c r="H792" s="27">
        <v>0</v>
      </c>
      <c r="I792" s="27">
        <v>0</v>
      </c>
      <c r="J792" s="27">
        <v>0</v>
      </c>
      <c r="K792" s="63">
        <f>AVERAGE(I792:J792)</f>
        <v>0</v>
      </c>
      <c r="L792" s="56" t="str">
        <f>"EQP-LAWPACK2"</f>
        <v>EQP-LAWPACK2</v>
      </c>
      <c r="M792" s="14"/>
      <c r="N792" s="15"/>
      <c r="O792" s="12"/>
      <c r="P792" s="34"/>
      <c r="Q792" s="37"/>
      <c r="R792" s="47"/>
      <c r="S792" s="46"/>
    </row>
    <row r="793" spans="1:19" ht="15.6" hidden="1" customHeight="1" thickBot="1" x14ac:dyDescent="0.3">
      <c r="A793" t="s">
        <v>23</v>
      </c>
      <c r="B793" s="60" t="str">
        <f t="shared" si="563"/>
        <v>hide</v>
      </c>
      <c r="D793" s="48" t="str">
        <f>D792</f>
        <v>06663</v>
      </c>
      <c r="E793" s="7"/>
      <c r="F793" s="27">
        <v>0</v>
      </c>
      <c r="G793" s="27">
        <v>0</v>
      </c>
      <c r="H793" s="27">
        <v>0</v>
      </c>
      <c r="I793" s="27">
        <v>0</v>
      </c>
      <c r="J793" s="27">
        <v>0</v>
      </c>
      <c r="K793" s="63">
        <f>AVERAGE(I793:J793)</f>
        <v>0</v>
      </c>
      <c r="L793" s="56" t="str">
        <f>"SW-COMAS-PACKL"</f>
        <v>SW-COMAS-PACKL</v>
      </c>
      <c r="M793" s="14"/>
      <c r="N793" s="15"/>
      <c r="O793" s="12"/>
      <c r="P793" s="34"/>
      <c r="Q793" s="37"/>
      <c r="R793" s="47"/>
      <c r="S793" s="46"/>
    </row>
    <row r="794" spans="1:19" ht="15.6" hidden="1" customHeight="1" thickBot="1" x14ac:dyDescent="0.3">
      <c r="A794" t="s">
        <v>23</v>
      </c>
      <c r="B794" s="60" t="str">
        <f t="shared" si="563"/>
        <v>hide</v>
      </c>
      <c r="D794" s="48" t="str">
        <f>D793</f>
        <v>06663</v>
      </c>
      <c r="E794" s="7"/>
      <c r="F794" s="27">
        <v>0</v>
      </c>
      <c r="G794" s="27">
        <v>0</v>
      </c>
      <c r="H794" s="27">
        <v>0</v>
      </c>
      <c r="I794" s="27">
        <v>0</v>
      </c>
      <c r="J794" s="27">
        <v>0</v>
      </c>
      <c r="K794" s="63">
        <f>AVERAGE(I794:J794)</f>
        <v>0</v>
      </c>
      <c r="L794" s="56" t="str">
        <f>"SW-RISER-PACK"</f>
        <v>SW-RISER-PACK</v>
      </c>
      <c r="M794" s="14"/>
      <c r="N794" s="15"/>
      <c r="O794" s="12"/>
      <c r="P794" s="34"/>
      <c r="Q794" s="37"/>
      <c r="R794" s="47"/>
      <c r="S794" s="46"/>
    </row>
    <row r="795" spans="1:19" ht="12" hidden="1" customHeight="1" x14ac:dyDescent="0.3">
      <c r="A795" s="35" t="s">
        <v>908</v>
      </c>
      <c r="B795" s="49" t="str">
        <f>B791</f>
        <v>hide</v>
      </c>
      <c r="N795"/>
      <c r="Q795" s="33"/>
    </row>
    <row r="796" spans="1:19" ht="13.8" hidden="1" thickBot="1" x14ac:dyDescent="0.3">
      <c r="A796" t="s">
        <v>23</v>
      </c>
      <c r="B796" s="49" t="str">
        <f t="shared" ref="B796" si="564">B795</f>
        <v>hide</v>
      </c>
      <c r="D796" s="58"/>
      <c r="E796" s="58"/>
      <c r="F796" s="52">
        <f>SUM(F791:F795)</f>
        <v>-25.395833333333332</v>
      </c>
      <c r="G796" s="52">
        <f>SUM(G791:G795)</f>
        <v>0</v>
      </c>
      <c r="H796" s="52">
        <f>SUM(H791:H795)</f>
        <v>0</v>
      </c>
      <c r="I796" s="52">
        <f>SUM(I791:I795)</f>
        <v>0</v>
      </c>
      <c r="J796" s="52">
        <f>SUM(J791:J795)</f>
        <v>0</v>
      </c>
      <c r="K796" s="52"/>
      <c r="L796" s="51" t="s">
        <v>4</v>
      </c>
      <c r="M796" s="58"/>
      <c r="N796" s="58"/>
      <c r="O796" s="58"/>
      <c r="P796" s="58"/>
      <c r="Q796" s="58"/>
      <c r="R796" s="58"/>
      <c r="S796" s="58"/>
    </row>
    <row r="797" spans="1:19" s="59" customFormat="1" ht="18.75" customHeight="1" thickBot="1" x14ac:dyDescent="0.3">
      <c r="A797" s="59" t="s">
        <v>23</v>
      </c>
      <c r="B797" s="60" t="str">
        <f t="shared" ref="B797:B798" si="565">IF(K797=0,"hide","")</f>
        <v/>
      </c>
      <c r="D797" s="61" t="str">
        <f>"06666"</f>
        <v>06666</v>
      </c>
      <c r="E797" s="62" t="str">
        <f>"6"</f>
        <v>6</v>
      </c>
      <c r="F797" s="63">
        <v>790.25</v>
      </c>
      <c r="G797" s="63">
        <v>1137.1666666666667</v>
      </c>
      <c r="H797" s="63">
        <v>947.83333333333337</v>
      </c>
      <c r="I797" s="63">
        <v>1210.5833333333335</v>
      </c>
      <c r="J797" s="63">
        <v>826.76915662650617</v>
      </c>
      <c r="K797" s="63">
        <f>AVERAGE(I797:J797)</f>
        <v>1018.6762449799198</v>
      </c>
      <c r="L797" s="64" t="str">
        <f>"Smart Choice Apple Cinn Muffin"</f>
        <v>Smart Choice Apple Cinn Muffin</v>
      </c>
      <c r="M797" s="65" t="str">
        <f>"48-3.6 oz. I.W."</f>
        <v>48-3.6 oz. I.W.</v>
      </c>
      <c r="N797" s="66">
        <v>48</v>
      </c>
      <c r="O797" s="67">
        <v>1E-3</v>
      </c>
      <c r="P797" s="68">
        <f>1/O797</f>
        <v>1000</v>
      </c>
      <c r="Q797" s="53">
        <v>2.8400000000000001E-3</v>
      </c>
      <c r="R797" s="69">
        <f t="shared" ref="R797" si="566">1/Q797</f>
        <v>352.11267605633805</v>
      </c>
      <c r="S797" s="70">
        <f t="shared" ref="S797" si="567">R797*N797</f>
        <v>16901.408450704228</v>
      </c>
    </row>
    <row r="798" spans="1:19" ht="15.6" hidden="1" customHeight="1" thickBot="1" x14ac:dyDescent="0.3">
      <c r="A798" t="s">
        <v>23</v>
      </c>
      <c r="B798" s="60" t="str">
        <f t="shared" si="565"/>
        <v>hide</v>
      </c>
      <c r="D798" s="48" t="str">
        <f>D797</f>
        <v>06666</v>
      </c>
      <c r="E798" s="7"/>
      <c r="F798" s="27">
        <v>-418.06083333333328</v>
      </c>
      <c r="G798" s="27">
        <v>-509.64833333333331</v>
      </c>
      <c r="H798" s="27">
        <v>-111.83333333333333</v>
      </c>
      <c r="I798" s="27">
        <v>0</v>
      </c>
      <c r="J798" s="27">
        <v>0</v>
      </c>
      <c r="K798" s="63">
        <f>AVERAGE(I798:J798)</f>
        <v>0</v>
      </c>
      <c r="L798" s="56" t="str">
        <f>"EQP-LAWPACK1"</f>
        <v>EQP-LAWPACK1</v>
      </c>
      <c r="M798" s="14"/>
      <c r="N798" s="15"/>
      <c r="O798" s="12"/>
      <c r="P798" s="34"/>
      <c r="Q798" s="37"/>
      <c r="R798" s="47"/>
      <c r="S798" s="46"/>
    </row>
    <row r="799" spans="1:19" ht="15.6" hidden="1" customHeight="1" thickBot="1" x14ac:dyDescent="0.3">
      <c r="A799" t="s">
        <v>23</v>
      </c>
      <c r="B799" s="60" t="str">
        <f t="shared" ref="B799:B801" si="568">IF(K799=0,"hide","")</f>
        <v>hide</v>
      </c>
      <c r="D799" s="48" t="str">
        <f>D798</f>
        <v>06666</v>
      </c>
      <c r="E799" s="7"/>
      <c r="F799" s="27">
        <v>0</v>
      </c>
      <c r="G799" s="27">
        <v>0</v>
      </c>
      <c r="H799" s="27">
        <v>0</v>
      </c>
      <c r="I799" s="27">
        <v>0</v>
      </c>
      <c r="J799" s="27">
        <v>0</v>
      </c>
      <c r="K799" s="63">
        <f>AVERAGE(I799:J799)</f>
        <v>0</v>
      </c>
      <c r="L799" s="56" t="str">
        <f>"EQP-LAWPACK2"</f>
        <v>EQP-LAWPACK2</v>
      </c>
      <c r="M799" s="14"/>
      <c r="N799" s="15"/>
      <c r="O799" s="12"/>
      <c r="P799" s="34"/>
      <c r="Q799" s="37"/>
      <c r="R799" s="47"/>
      <c r="S799" s="46"/>
    </row>
    <row r="800" spans="1:19" ht="15.6" hidden="1" customHeight="1" thickBot="1" x14ac:dyDescent="0.3">
      <c r="A800" t="s">
        <v>23</v>
      </c>
      <c r="B800" s="60" t="str">
        <f t="shared" si="568"/>
        <v>hide</v>
      </c>
      <c r="D800" s="48" t="str">
        <f>D799</f>
        <v>06666</v>
      </c>
      <c r="E800" s="7"/>
      <c r="F800" s="27">
        <v>0</v>
      </c>
      <c r="G800" s="27">
        <v>0</v>
      </c>
      <c r="H800" s="27">
        <v>0</v>
      </c>
      <c r="I800" s="27">
        <v>0</v>
      </c>
      <c r="J800" s="27">
        <v>0</v>
      </c>
      <c r="K800" s="63">
        <f>AVERAGE(I800:J800)</f>
        <v>0</v>
      </c>
      <c r="L800" s="56" t="str">
        <f>"SW-COMAS-PACKL"</f>
        <v>SW-COMAS-PACKL</v>
      </c>
      <c r="M800" s="14"/>
      <c r="N800" s="15"/>
      <c r="O800" s="12"/>
      <c r="P800" s="34"/>
      <c r="Q800" s="37"/>
      <c r="R800" s="47"/>
      <c r="S800" s="46"/>
    </row>
    <row r="801" spans="1:19" ht="15.6" hidden="1" customHeight="1" thickBot="1" x14ac:dyDescent="0.3">
      <c r="A801" t="s">
        <v>23</v>
      </c>
      <c r="B801" s="60" t="str">
        <f t="shared" si="568"/>
        <v>hide</v>
      </c>
      <c r="D801" s="48" t="str">
        <f>D800</f>
        <v>06666</v>
      </c>
      <c r="E801" s="7"/>
      <c r="F801" s="27">
        <v>0</v>
      </c>
      <c r="G801" s="27">
        <v>0</v>
      </c>
      <c r="H801" s="27">
        <v>0</v>
      </c>
      <c r="I801" s="27">
        <v>0</v>
      </c>
      <c r="J801" s="27">
        <v>0</v>
      </c>
      <c r="K801" s="63">
        <f>AVERAGE(I801:J801)</f>
        <v>0</v>
      </c>
      <c r="L801" s="56" t="str">
        <f>"SW-RISER-PACK"</f>
        <v>SW-RISER-PACK</v>
      </c>
      <c r="M801" s="14"/>
      <c r="N801" s="15"/>
      <c r="O801" s="12"/>
      <c r="P801" s="34"/>
      <c r="Q801" s="37"/>
      <c r="R801" s="47"/>
      <c r="S801" s="46"/>
    </row>
    <row r="802" spans="1:19" ht="12" hidden="1" customHeight="1" x14ac:dyDescent="0.3">
      <c r="A802" s="35" t="s">
        <v>908</v>
      </c>
      <c r="B802" s="49" t="str">
        <f>B798</f>
        <v>hide</v>
      </c>
      <c r="N802"/>
      <c r="Q802" s="33"/>
    </row>
    <row r="803" spans="1:19" ht="13.8" hidden="1" thickBot="1" x14ac:dyDescent="0.3">
      <c r="A803" t="s">
        <v>23</v>
      </c>
      <c r="B803" s="49" t="str">
        <f t="shared" ref="B803" si="569">B802</f>
        <v>hide</v>
      </c>
      <c r="D803" s="58"/>
      <c r="E803" s="58"/>
      <c r="F803" s="52">
        <f>SUM(F798:F802)</f>
        <v>-418.06083333333328</v>
      </c>
      <c r="G803" s="52">
        <f>SUM(G798:G802)</f>
        <v>-509.64833333333331</v>
      </c>
      <c r="H803" s="52">
        <f>SUM(H798:H802)</f>
        <v>-111.83333333333333</v>
      </c>
      <c r="I803" s="52">
        <f>SUM(I798:I802)</f>
        <v>0</v>
      </c>
      <c r="J803" s="52">
        <f>SUM(J798:J802)</f>
        <v>0</v>
      </c>
      <c r="K803" s="52"/>
      <c r="L803" s="51" t="s">
        <v>4</v>
      </c>
      <c r="M803" s="58"/>
      <c r="N803" s="58"/>
      <c r="O803" s="58"/>
      <c r="P803" s="58"/>
      <c r="Q803" s="58"/>
      <c r="R803" s="58"/>
      <c r="S803" s="58"/>
    </row>
    <row r="804" spans="1:19" s="59" customFormat="1" ht="18.75" customHeight="1" thickBot="1" x14ac:dyDescent="0.3">
      <c r="A804" s="59" t="s">
        <v>23</v>
      </c>
      <c r="B804" s="60" t="str">
        <f t="shared" ref="B804:B805" si="570">IF(K804=0,"hide","")</f>
        <v/>
      </c>
      <c r="D804" s="61" t="str">
        <f>"06670"</f>
        <v>06670</v>
      </c>
      <c r="E804" s="62" t="str">
        <f>"7"</f>
        <v>7</v>
      </c>
      <c r="F804" s="63">
        <v>1980.4166666666667</v>
      </c>
      <c r="G804" s="63">
        <v>1894.5</v>
      </c>
      <c r="H804" s="63">
        <v>2963</v>
      </c>
      <c r="I804" s="63">
        <v>3565.25</v>
      </c>
      <c r="J804" s="63">
        <v>3215.0163855421688</v>
      </c>
      <c r="K804" s="63">
        <f>AVERAGE(I804:J804)</f>
        <v>3390.1331927710844</v>
      </c>
      <c r="L804" s="64" t="str">
        <f>"Smart Choice Choc Chip Muffin"</f>
        <v>Smart Choice Choc Chip Muffin</v>
      </c>
      <c r="M804" s="65" t="str">
        <f>"48-3.6 oz. I.W."</f>
        <v>48-3.6 oz. I.W.</v>
      </c>
      <c r="N804" s="66">
        <v>48</v>
      </c>
      <c r="O804" s="67">
        <v>2.8400000000000001E-3</v>
      </c>
      <c r="P804" s="68">
        <f>1/O804</f>
        <v>352.11267605633805</v>
      </c>
      <c r="Q804" s="53">
        <v>2.8400000000000001E-3</v>
      </c>
      <c r="R804" s="69">
        <f t="shared" ref="R804" si="571">1/Q804</f>
        <v>352.11267605633805</v>
      </c>
      <c r="S804" s="70">
        <f t="shared" ref="S804" si="572">R804*N804</f>
        <v>16901.408450704228</v>
      </c>
    </row>
    <row r="805" spans="1:19" ht="15.6" customHeight="1" thickBot="1" x14ac:dyDescent="0.3">
      <c r="A805" t="s">
        <v>23</v>
      </c>
      <c r="B805" s="60" t="str">
        <f t="shared" si="570"/>
        <v/>
      </c>
      <c r="D805" s="48" t="str">
        <f>D804</f>
        <v>06670</v>
      </c>
      <c r="E805" s="7"/>
      <c r="F805" s="27">
        <v>-1249.6141666666665</v>
      </c>
      <c r="G805" s="27">
        <v>-876.9083333333333</v>
      </c>
      <c r="H805" s="27">
        <v>-1193.0191666666667</v>
      </c>
      <c r="I805" s="27">
        <v>-391.5</v>
      </c>
      <c r="J805" s="27">
        <v>-595.93662650602414</v>
      </c>
      <c r="K805" s="63">
        <f>AVERAGE(I805:J805)</f>
        <v>-493.71831325301207</v>
      </c>
      <c r="L805" s="56" t="str">
        <f>"EQP-LAWPACK1"</f>
        <v>EQP-LAWPACK1</v>
      </c>
      <c r="M805" s="14"/>
      <c r="N805" s="15"/>
      <c r="O805" s="12"/>
      <c r="P805" s="34"/>
      <c r="Q805" s="37"/>
      <c r="R805" s="47"/>
      <c r="S805" s="46"/>
    </row>
    <row r="806" spans="1:19" ht="15.6" customHeight="1" thickBot="1" x14ac:dyDescent="0.3">
      <c r="A806" t="s">
        <v>23</v>
      </c>
      <c r="B806" s="60" t="str">
        <f t="shared" ref="B806:B808" si="573">IF(K806=0,"hide","")</f>
        <v/>
      </c>
      <c r="D806" s="48" t="str">
        <f>D805</f>
        <v>06670</v>
      </c>
      <c r="E806" s="7"/>
      <c r="F806" s="27">
        <v>0</v>
      </c>
      <c r="G806" s="27">
        <v>0</v>
      </c>
      <c r="H806" s="27">
        <v>0</v>
      </c>
      <c r="I806" s="27">
        <v>0</v>
      </c>
      <c r="J806" s="27">
        <v>-446.52626506024103</v>
      </c>
      <c r="K806" s="63">
        <f>AVERAGE(I806:J806)</f>
        <v>-223.26313253012052</v>
      </c>
      <c r="L806" s="56" t="str">
        <f>"EQP-LAWPACK2"</f>
        <v>EQP-LAWPACK2</v>
      </c>
      <c r="M806" s="14"/>
      <c r="N806" s="15"/>
      <c r="O806" s="12"/>
      <c r="P806" s="34"/>
      <c r="Q806" s="37"/>
      <c r="R806" s="47"/>
      <c r="S806" s="46"/>
    </row>
    <row r="807" spans="1:19" ht="15.6" hidden="1" customHeight="1" thickBot="1" x14ac:dyDescent="0.3">
      <c r="A807" t="s">
        <v>23</v>
      </c>
      <c r="B807" s="60" t="str">
        <f t="shared" si="573"/>
        <v>hide</v>
      </c>
      <c r="D807" s="48" t="str">
        <f>D806</f>
        <v>06670</v>
      </c>
      <c r="E807" s="7"/>
      <c r="F807" s="27">
        <v>0</v>
      </c>
      <c r="G807" s="27">
        <v>0</v>
      </c>
      <c r="H807" s="27">
        <v>0</v>
      </c>
      <c r="I807" s="27">
        <v>0</v>
      </c>
      <c r="J807" s="27">
        <v>0</v>
      </c>
      <c r="K807" s="63">
        <f>AVERAGE(I807:J807)</f>
        <v>0</v>
      </c>
      <c r="L807" s="56" t="str">
        <f>"SW-COMAS-PACKL"</f>
        <v>SW-COMAS-PACKL</v>
      </c>
      <c r="M807" s="14"/>
      <c r="N807" s="15"/>
      <c r="O807" s="12"/>
      <c r="P807" s="34"/>
      <c r="Q807" s="37"/>
      <c r="R807" s="47"/>
      <c r="S807" s="46"/>
    </row>
    <row r="808" spans="1:19" ht="15.6" hidden="1" customHeight="1" thickBot="1" x14ac:dyDescent="0.3">
      <c r="A808" t="s">
        <v>23</v>
      </c>
      <c r="B808" s="60" t="str">
        <f t="shared" si="573"/>
        <v>hide</v>
      </c>
      <c r="D808" s="48" t="str">
        <f>D807</f>
        <v>06670</v>
      </c>
      <c r="E808" s="7"/>
      <c r="F808" s="27">
        <v>0</v>
      </c>
      <c r="G808" s="27">
        <v>0</v>
      </c>
      <c r="H808" s="27">
        <v>0</v>
      </c>
      <c r="I808" s="27">
        <v>0</v>
      </c>
      <c r="J808" s="27">
        <v>0</v>
      </c>
      <c r="K808" s="63">
        <f>AVERAGE(I808:J808)</f>
        <v>0</v>
      </c>
      <c r="L808" s="56" t="str">
        <f>"SW-RISER-PACK"</f>
        <v>SW-RISER-PACK</v>
      </c>
      <c r="M808" s="14"/>
      <c r="N808" s="15"/>
      <c r="O808" s="12"/>
      <c r="P808" s="34"/>
      <c r="Q808" s="37"/>
      <c r="R808" s="47"/>
      <c r="S808" s="46"/>
    </row>
    <row r="809" spans="1:19" ht="12" hidden="1" customHeight="1" x14ac:dyDescent="0.25">
      <c r="A809" s="35" t="s">
        <v>908</v>
      </c>
      <c r="B809" s="49" t="str">
        <f>B805</f>
        <v/>
      </c>
      <c r="N809"/>
      <c r="Q809" s="33"/>
    </row>
    <row r="810" spans="1:19" ht="13.8" thickBot="1" x14ac:dyDescent="0.3">
      <c r="A810" t="s">
        <v>23</v>
      </c>
      <c r="B810" s="49" t="str">
        <f t="shared" ref="B810" si="574">B809</f>
        <v/>
      </c>
      <c r="D810" s="58"/>
      <c r="E810" s="58"/>
      <c r="F810" s="52">
        <f>SUM(F805:F809)</f>
        <v>-1249.6141666666665</v>
      </c>
      <c r="G810" s="52">
        <f>SUM(G805:G809)</f>
        <v>-876.9083333333333</v>
      </c>
      <c r="H810" s="52">
        <f>SUM(H805:H809)</f>
        <v>-1193.0191666666667</v>
      </c>
      <c r="I810" s="52">
        <f>SUM(I805:I809)</f>
        <v>-391.5</v>
      </c>
      <c r="J810" s="52">
        <f>SUM(J805:J809)</f>
        <v>-1042.4628915662652</v>
      </c>
      <c r="K810" s="52"/>
      <c r="L810" s="51" t="s">
        <v>4</v>
      </c>
      <c r="M810" s="58"/>
      <c r="N810" s="58"/>
      <c r="O810" s="58"/>
      <c r="P810" s="58"/>
      <c r="Q810" s="58"/>
      <c r="R810" s="58"/>
      <c r="S810" s="58"/>
    </row>
    <row r="811" spans="1:19" s="59" customFormat="1" ht="18.75" customHeight="1" thickBot="1" x14ac:dyDescent="0.3">
      <c r="A811" s="59" t="s">
        <v>23</v>
      </c>
      <c r="B811" s="60" t="str">
        <f t="shared" ref="B811:B812" si="575">IF(K811=0,"hide","")</f>
        <v/>
      </c>
      <c r="D811" s="61" t="str">
        <f>"06675"</f>
        <v>06675</v>
      </c>
      <c r="E811" s="62" t="str">
        <f>"3"</f>
        <v>3</v>
      </c>
      <c r="F811" s="63">
        <v>720.16666666666663</v>
      </c>
      <c r="G811" s="63">
        <v>1249.0833333333333</v>
      </c>
      <c r="H811" s="63">
        <v>606.91666666666663</v>
      </c>
      <c r="I811" s="63">
        <v>1012.4166666666665</v>
      </c>
      <c r="J811" s="63">
        <v>580.18409638554215</v>
      </c>
      <c r="K811" s="63">
        <f>AVERAGE(I811:J811)</f>
        <v>796.30038152610427</v>
      </c>
      <c r="L811" s="64" t="str">
        <f>"Smart Choice Banana Muffin"</f>
        <v>Smart Choice Banana Muffin</v>
      </c>
      <c r="M811" s="65" t="str">
        <f>"48-3.6 oz. I.W."</f>
        <v>48-3.6 oz. I.W.</v>
      </c>
      <c r="N811" s="66">
        <v>48</v>
      </c>
      <c r="O811" s="67">
        <v>1E-3</v>
      </c>
      <c r="P811" s="68">
        <f>1/O811</f>
        <v>1000</v>
      </c>
      <c r="Q811" s="53">
        <v>2.8400000000000001E-3</v>
      </c>
      <c r="R811" s="69">
        <f t="shared" ref="R811" si="576">1/Q811</f>
        <v>352.11267605633805</v>
      </c>
      <c r="S811" s="70">
        <f t="shared" ref="S811" si="577">R811*N811</f>
        <v>16901.408450704228</v>
      </c>
    </row>
    <row r="812" spans="1:19" ht="15.6" customHeight="1" thickBot="1" x14ac:dyDescent="0.3">
      <c r="A812" t="s">
        <v>23</v>
      </c>
      <c r="B812" s="60" t="str">
        <f t="shared" si="575"/>
        <v/>
      </c>
      <c r="D812" s="48" t="str">
        <f>D811</f>
        <v>06675</v>
      </c>
      <c r="E812" s="7"/>
      <c r="F812" s="27">
        <v>-378.72916666666669</v>
      </c>
      <c r="G812" s="27">
        <v>-447.06333333333333</v>
      </c>
      <c r="H812" s="27">
        <v>-151.44083333333333</v>
      </c>
      <c r="I812" s="27">
        <v>-48.333333333333336</v>
      </c>
      <c r="J812" s="27">
        <v>0</v>
      </c>
      <c r="K812" s="63">
        <f>AVERAGE(I812:J812)</f>
        <v>-24.166666666666668</v>
      </c>
      <c r="L812" s="56" t="str">
        <f>"EQP-LAWPACK1"</f>
        <v>EQP-LAWPACK1</v>
      </c>
      <c r="M812" s="14"/>
      <c r="N812" s="15"/>
      <c r="O812" s="12"/>
      <c r="P812" s="34"/>
      <c r="Q812" s="37"/>
      <c r="R812" s="47"/>
      <c r="S812" s="46"/>
    </row>
    <row r="813" spans="1:19" ht="15.6" hidden="1" customHeight="1" thickBot="1" x14ac:dyDescent="0.3">
      <c r="A813" t="s">
        <v>23</v>
      </c>
      <c r="B813" s="60" t="str">
        <f t="shared" ref="B813:B815" si="578">IF(K813=0,"hide","")</f>
        <v>hide</v>
      </c>
      <c r="D813" s="48" t="str">
        <f>D812</f>
        <v>06675</v>
      </c>
      <c r="E813" s="7"/>
      <c r="F813" s="27">
        <v>0</v>
      </c>
      <c r="G813" s="27">
        <v>0</v>
      </c>
      <c r="H813" s="27">
        <v>0</v>
      </c>
      <c r="I813" s="27">
        <v>0</v>
      </c>
      <c r="J813" s="27">
        <v>0</v>
      </c>
      <c r="K813" s="63">
        <f>AVERAGE(I813:J813)</f>
        <v>0</v>
      </c>
      <c r="L813" s="56" t="str">
        <f>"EQP-LAWPACK2"</f>
        <v>EQP-LAWPACK2</v>
      </c>
      <c r="M813" s="14"/>
      <c r="N813" s="15"/>
      <c r="O813" s="12"/>
      <c r="P813" s="34"/>
      <c r="Q813" s="37"/>
      <c r="R813" s="47"/>
      <c r="S813" s="46"/>
    </row>
    <row r="814" spans="1:19" ht="15.6" hidden="1" customHeight="1" thickBot="1" x14ac:dyDescent="0.3">
      <c r="A814" t="s">
        <v>23</v>
      </c>
      <c r="B814" s="60" t="str">
        <f t="shared" si="578"/>
        <v>hide</v>
      </c>
      <c r="D814" s="48" t="str">
        <f>D813</f>
        <v>06675</v>
      </c>
      <c r="E814" s="7"/>
      <c r="F814" s="27">
        <v>0</v>
      </c>
      <c r="G814" s="27">
        <v>0</v>
      </c>
      <c r="H814" s="27">
        <v>0</v>
      </c>
      <c r="I814" s="27">
        <v>0</v>
      </c>
      <c r="J814" s="27">
        <v>0</v>
      </c>
      <c r="K814" s="63">
        <f>AVERAGE(I814:J814)</f>
        <v>0</v>
      </c>
      <c r="L814" s="56" t="str">
        <f>"SW-COMAS-PACKL"</f>
        <v>SW-COMAS-PACKL</v>
      </c>
      <c r="M814" s="14"/>
      <c r="N814" s="15"/>
      <c r="O814" s="12"/>
      <c r="P814" s="34"/>
      <c r="Q814" s="37"/>
      <c r="R814" s="47"/>
      <c r="S814" s="46"/>
    </row>
    <row r="815" spans="1:19" ht="15.6" hidden="1" customHeight="1" thickBot="1" x14ac:dyDescent="0.3">
      <c r="A815" t="s">
        <v>23</v>
      </c>
      <c r="B815" s="60" t="str">
        <f t="shared" si="578"/>
        <v>hide</v>
      </c>
      <c r="D815" s="48" t="str">
        <f>D814</f>
        <v>06675</v>
      </c>
      <c r="E815" s="7"/>
      <c r="F815" s="27">
        <v>0</v>
      </c>
      <c r="G815" s="27">
        <v>0</v>
      </c>
      <c r="H815" s="27">
        <v>0</v>
      </c>
      <c r="I815" s="27">
        <v>0</v>
      </c>
      <c r="J815" s="27">
        <v>0</v>
      </c>
      <c r="K815" s="63">
        <f>AVERAGE(I815:J815)</f>
        <v>0</v>
      </c>
      <c r="L815" s="56" t="str">
        <f>"SW-RISER-PACK"</f>
        <v>SW-RISER-PACK</v>
      </c>
      <c r="M815" s="14"/>
      <c r="N815" s="15"/>
      <c r="O815" s="12"/>
      <c r="P815" s="34"/>
      <c r="Q815" s="37"/>
      <c r="R815" s="47"/>
      <c r="S815" s="46"/>
    </row>
    <row r="816" spans="1:19" ht="12" hidden="1" customHeight="1" x14ac:dyDescent="0.25">
      <c r="A816" s="35" t="s">
        <v>908</v>
      </c>
      <c r="B816" s="49" t="str">
        <f>B812</f>
        <v/>
      </c>
      <c r="N816"/>
      <c r="Q816" s="33"/>
    </row>
    <row r="817" spans="1:19" ht="13.8" thickBot="1" x14ac:dyDescent="0.3">
      <c r="A817" t="s">
        <v>23</v>
      </c>
      <c r="B817" s="49" t="str">
        <f t="shared" ref="B817" si="579">B816</f>
        <v/>
      </c>
      <c r="D817" s="58"/>
      <c r="E817" s="58"/>
      <c r="F817" s="52">
        <f>SUM(F812:F816)</f>
        <v>-378.72916666666669</v>
      </c>
      <c r="G817" s="52">
        <f>SUM(G812:G816)</f>
        <v>-447.06333333333333</v>
      </c>
      <c r="H817" s="52">
        <f>SUM(H812:H816)</f>
        <v>-151.44083333333333</v>
      </c>
      <c r="I817" s="52">
        <f>SUM(I812:I816)</f>
        <v>-48.333333333333336</v>
      </c>
      <c r="J817" s="52">
        <f>SUM(J812:J816)</f>
        <v>0</v>
      </c>
      <c r="K817" s="52"/>
      <c r="L817" s="51" t="s">
        <v>4</v>
      </c>
      <c r="M817" s="58"/>
      <c r="N817" s="58"/>
      <c r="O817" s="58"/>
      <c r="P817" s="58"/>
      <c r="Q817" s="58"/>
      <c r="R817" s="58"/>
      <c r="S817" s="58"/>
    </row>
    <row r="818" spans="1:19" s="59" customFormat="1" ht="18.75" hidden="1" customHeight="1" thickBot="1" x14ac:dyDescent="0.3">
      <c r="A818" s="59" t="s">
        <v>23</v>
      </c>
      <c r="B818" s="60" t="str">
        <f t="shared" ref="B818:B819" si="580">IF(K818=0,"hide","")</f>
        <v>hide</v>
      </c>
      <c r="D818" s="61" t="str">
        <f>"06861"</f>
        <v>06861</v>
      </c>
      <c r="E818" s="62" t="str">
        <f>"1"</f>
        <v>1</v>
      </c>
      <c r="F818" s="63">
        <v>0</v>
      </c>
      <c r="G818" s="63">
        <v>0</v>
      </c>
      <c r="H818" s="63">
        <v>0</v>
      </c>
      <c r="I818" s="63">
        <v>0</v>
      </c>
      <c r="J818" s="63">
        <v>0</v>
      </c>
      <c r="K818" s="63">
        <f>AVERAGE(I818:J818)</f>
        <v>0</v>
      </c>
      <c r="L818" s="64" t="str">
        <f>"WG Blueberry Muffin(National)"</f>
        <v>WG Blueberry Muffin(National)</v>
      </c>
      <c r="M818" s="65" t="str">
        <f>"48-3.6 oz. I.W."</f>
        <v>48-3.6 oz. I.W.</v>
      </c>
      <c r="N818" s="66">
        <v>48</v>
      </c>
      <c r="O818" s="67" t="str">
        <f>""</f>
        <v/>
      </c>
      <c r="P818" s="68" t="e">
        <f>1/O818</f>
        <v>#VALUE!</v>
      </c>
      <c r="Q818" s="53">
        <v>1</v>
      </c>
      <c r="R818" s="69">
        <f t="shared" ref="R818" si="581">1/Q818</f>
        <v>1</v>
      </c>
      <c r="S818" s="70">
        <f t="shared" ref="S818" si="582">R818*N818</f>
        <v>48</v>
      </c>
    </row>
    <row r="819" spans="1:19" ht="15.6" hidden="1" customHeight="1" thickBot="1" x14ac:dyDescent="0.3">
      <c r="A819" t="s">
        <v>23</v>
      </c>
      <c r="B819" s="60" t="str">
        <f t="shared" si="580"/>
        <v>hide</v>
      </c>
      <c r="D819" s="48" t="str">
        <f>D818</f>
        <v>06861</v>
      </c>
      <c r="E819" s="7"/>
      <c r="F819" s="27">
        <v>0</v>
      </c>
      <c r="G819" s="27">
        <v>0</v>
      </c>
      <c r="H819" s="27">
        <v>0</v>
      </c>
      <c r="I819" s="27">
        <v>0</v>
      </c>
      <c r="J819" s="27">
        <v>0</v>
      </c>
      <c r="K819" s="63">
        <f>AVERAGE(I819:J819)</f>
        <v>0</v>
      </c>
      <c r="L819" s="56" t="str">
        <f>"EQP-LAWPACK1"</f>
        <v>EQP-LAWPACK1</v>
      </c>
      <c r="M819" s="14"/>
      <c r="N819" s="15"/>
      <c r="O819" s="12"/>
      <c r="P819" s="34"/>
      <c r="Q819" s="37"/>
      <c r="R819" s="47"/>
      <c r="S819" s="46"/>
    </row>
    <row r="820" spans="1:19" ht="15.6" hidden="1" customHeight="1" thickBot="1" x14ac:dyDescent="0.3">
      <c r="A820" t="s">
        <v>23</v>
      </c>
      <c r="B820" s="60" t="str">
        <f t="shared" ref="B820:B822" si="583">IF(K820=0,"hide","")</f>
        <v>hide</v>
      </c>
      <c r="D820" s="48" t="str">
        <f>D819</f>
        <v>06861</v>
      </c>
      <c r="E820" s="7"/>
      <c r="F820" s="27">
        <v>0</v>
      </c>
      <c r="G820" s="27">
        <v>0</v>
      </c>
      <c r="H820" s="27">
        <v>0</v>
      </c>
      <c r="I820" s="27">
        <v>0</v>
      </c>
      <c r="J820" s="27">
        <v>0</v>
      </c>
      <c r="K820" s="63">
        <f>AVERAGE(I820:J820)</f>
        <v>0</v>
      </c>
      <c r="L820" s="56" t="str">
        <f>"EQP-LAWPACK2"</f>
        <v>EQP-LAWPACK2</v>
      </c>
      <c r="M820" s="14"/>
      <c r="N820" s="15"/>
      <c r="O820" s="12"/>
      <c r="P820" s="34"/>
      <c r="Q820" s="37"/>
      <c r="R820" s="47"/>
      <c r="S820" s="46"/>
    </row>
    <row r="821" spans="1:19" ht="15.6" hidden="1" customHeight="1" thickBot="1" x14ac:dyDescent="0.3">
      <c r="A821" t="s">
        <v>23</v>
      </c>
      <c r="B821" s="60" t="str">
        <f t="shared" si="583"/>
        <v>hide</v>
      </c>
      <c r="D821" s="48" t="str">
        <f>D820</f>
        <v>06861</v>
      </c>
      <c r="E821" s="7"/>
      <c r="F821" s="27">
        <v>0</v>
      </c>
      <c r="G821" s="27">
        <v>0</v>
      </c>
      <c r="H821" s="27">
        <v>0</v>
      </c>
      <c r="I821" s="27">
        <v>0</v>
      </c>
      <c r="J821" s="27">
        <v>0</v>
      </c>
      <c r="K821" s="63">
        <f>AVERAGE(I821:J821)</f>
        <v>0</v>
      </c>
      <c r="L821" s="56" t="str">
        <f>"SW-COMAS-PACKL"</f>
        <v>SW-COMAS-PACKL</v>
      </c>
      <c r="M821" s="14"/>
      <c r="N821" s="15"/>
      <c r="O821" s="12"/>
      <c r="P821" s="34"/>
      <c r="Q821" s="37"/>
      <c r="R821" s="47"/>
      <c r="S821" s="46"/>
    </row>
    <row r="822" spans="1:19" ht="15.6" hidden="1" customHeight="1" thickBot="1" x14ac:dyDescent="0.3">
      <c r="A822" t="s">
        <v>23</v>
      </c>
      <c r="B822" s="60" t="str">
        <f t="shared" si="583"/>
        <v>hide</v>
      </c>
      <c r="D822" s="48" t="str">
        <f>D821</f>
        <v>06861</v>
      </c>
      <c r="E822" s="7"/>
      <c r="F822" s="27">
        <v>0</v>
      </c>
      <c r="G822" s="27">
        <v>0</v>
      </c>
      <c r="H822" s="27">
        <v>0</v>
      </c>
      <c r="I822" s="27">
        <v>0</v>
      </c>
      <c r="J822" s="27">
        <v>0</v>
      </c>
      <c r="K822" s="63">
        <f>AVERAGE(I822:J822)</f>
        <v>0</v>
      </c>
      <c r="L822" s="56" t="str">
        <f>"SW-RISER-PACK"</f>
        <v>SW-RISER-PACK</v>
      </c>
      <c r="M822" s="14"/>
      <c r="N822" s="15"/>
      <c r="O822" s="12"/>
      <c r="P822" s="34"/>
      <c r="Q822" s="37"/>
      <c r="R822" s="47"/>
      <c r="S822" s="46"/>
    </row>
    <row r="823" spans="1:19" ht="12" hidden="1" customHeight="1" x14ac:dyDescent="0.3">
      <c r="A823" s="35" t="s">
        <v>908</v>
      </c>
      <c r="B823" s="49" t="str">
        <f>B819</f>
        <v>hide</v>
      </c>
      <c r="N823"/>
      <c r="Q823" s="33"/>
    </row>
    <row r="824" spans="1:19" ht="13.8" hidden="1" thickBot="1" x14ac:dyDescent="0.3">
      <c r="A824" t="s">
        <v>23</v>
      </c>
      <c r="B824" s="49" t="str">
        <f t="shared" ref="B824" si="584">B823</f>
        <v>hide</v>
      </c>
      <c r="D824" s="58"/>
      <c r="E824" s="58"/>
      <c r="F824" s="52">
        <f>SUM(F819:F823)</f>
        <v>0</v>
      </c>
      <c r="G824" s="52">
        <f>SUM(G819:G823)</f>
        <v>0</v>
      </c>
      <c r="H824" s="52">
        <f>SUM(H819:H823)</f>
        <v>0</v>
      </c>
      <c r="I824" s="52">
        <f>SUM(I819:I823)</f>
        <v>0</v>
      </c>
      <c r="J824" s="52">
        <f>SUM(J819:J823)</f>
        <v>0</v>
      </c>
      <c r="K824" s="52"/>
      <c r="L824" s="51" t="s">
        <v>4</v>
      </c>
      <c r="M824" s="58"/>
      <c r="N824" s="58"/>
      <c r="O824" s="58"/>
      <c r="P824" s="58"/>
      <c r="Q824" s="58"/>
      <c r="R824" s="58"/>
      <c r="S824" s="58"/>
    </row>
    <row r="825" spans="1:19" s="59" customFormat="1" ht="18.75" hidden="1" customHeight="1" thickBot="1" x14ac:dyDescent="0.3">
      <c r="A825" s="59" t="s">
        <v>23</v>
      </c>
      <c r="B825" s="60" t="str">
        <f t="shared" ref="B825:B826" si="585">IF(K825=0,"hide","")</f>
        <v>hide</v>
      </c>
      <c r="D825" s="61" t="str">
        <f>"06870"</f>
        <v>06870</v>
      </c>
      <c r="E825" s="62" t="str">
        <f>"2"</f>
        <v>2</v>
      </c>
      <c r="F825" s="63">
        <v>69.333333333333329</v>
      </c>
      <c r="G825" s="63">
        <v>0</v>
      </c>
      <c r="H825" s="63">
        <v>0</v>
      </c>
      <c r="I825" s="63">
        <v>0</v>
      </c>
      <c r="J825" s="63">
        <v>0</v>
      </c>
      <c r="K825" s="63">
        <f>AVERAGE(I825:J825)</f>
        <v>0</v>
      </c>
      <c r="L825" s="64" t="str">
        <f>"WG Choc Chip Muffin (national)"</f>
        <v>WG Choc Chip Muffin (national)</v>
      </c>
      <c r="M825" s="65" t="str">
        <f>"48-3.6 oz. I.W."</f>
        <v>48-3.6 oz. I.W.</v>
      </c>
      <c r="N825" s="66">
        <v>48</v>
      </c>
      <c r="O825" s="67">
        <v>0</v>
      </c>
      <c r="P825" s="68" t="e">
        <f>1/O825</f>
        <v>#DIV/0!</v>
      </c>
      <c r="Q825" s="53">
        <v>2.5999999999999999E-3</v>
      </c>
      <c r="R825" s="69">
        <f t="shared" ref="R825" si="586">1/Q825</f>
        <v>384.61538461538464</v>
      </c>
      <c r="S825" s="70">
        <f t="shared" ref="S825" si="587">R825*N825</f>
        <v>18461.538461538461</v>
      </c>
    </row>
    <row r="826" spans="1:19" ht="15.6" hidden="1" customHeight="1" thickBot="1" x14ac:dyDescent="0.3">
      <c r="A826" t="s">
        <v>23</v>
      </c>
      <c r="B826" s="60" t="str">
        <f t="shared" si="585"/>
        <v>hide</v>
      </c>
      <c r="D826" s="48" t="str">
        <f>D825</f>
        <v>06870</v>
      </c>
      <c r="E826" s="7"/>
      <c r="F826" s="27">
        <v>-35.416666666666664</v>
      </c>
      <c r="G826" s="27">
        <v>0</v>
      </c>
      <c r="H826" s="27">
        <v>0</v>
      </c>
      <c r="I826" s="27">
        <v>0</v>
      </c>
      <c r="J826" s="27">
        <v>0</v>
      </c>
      <c r="K826" s="63">
        <f>AVERAGE(I826:J826)</f>
        <v>0</v>
      </c>
      <c r="L826" s="56" t="str">
        <f>"EQP-LAWPACK1"</f>
        <v>EQP-LAWPACK1</v>
      </c>
      <c r="M826" s="14"/>
      <c r="N826" s="15"/>
      <c r="O826" s="12"/>
      <c r="P826" s="34"/>
      <c r="Q826" s="37"/>
      <c r="R826" s="47"/>
      <c r="S826" s="46"/>
    </row>
    <row r="827" spans="1:19" ht="15.6" hidden="1" customHeight="1" thickBot="1" x14ac:dyDescent="0.3">
      <c r="A827" t="s">
        <v>23</v>
      </c>
      <c r="B827" s="60" t="str">
        <f t="shared" ref="B827:B829" si="588">IF(K827=0,"hide","")</f>
        <v>hide</v>
      </c>
      <c r="D827" s="48" t="str">
        <f>D826</f>
        <v>06870</v>
      </c>
      <c r="E827" s="7"/>
      <c r="F827" s="27">
        <v>0</v>
      </c>
      <c r="G827" s="27">
        <v>0</v>
      </c>
      <c r="H827" s="27">
        <v>0</v>
      </c>
      <c r="I827" s="27">
        <v>0</v>
      </c>
      <c r="J827" s="27">
        <v>0</v>
      </c>
      <c r="K827" s="63">
        <f>AVERAGE(I827:J827)</f>
        <v>0</v>
      </c>
      <c r="L827" s="56" t="str">
        <f>"EQP-LAWPACK2"</f>
        <v>EQP-LAWPACK2</v>
      </c>
      <c r="M827" s="14"/>
      <c r="N827" s="15"/>
      <c r="O827" s="12"/>
      <c r="P827" s="34"/>
      <c r="Q827" s="37"/>
      <c r="R827" s="47"/>
      <c r="S827" s="46"/>
    </row>
    <row r="828" spans="1:19" ht="15.6" hidden="1" customHeight="1" thickBot="1" x14ac:dyDescent="0.3">
      <c r="A828" t="s">
        <v>23</v>
      </c>
      <c r="B828" s="60" t="str">
        <f t="shared" si="588"/>
        <v>hide</v>
      </c>
      <c r="D828" s="48" t="str">
        <f>D827</f>
        <v>06870</v>
      </c>
      <c r="E828" s="7"/>
      <c r="F828" s="27">
        <v>0</v>
      </c>
      <c r="G828" s="27">
        <v>0</v>
      </c>
      <c r="H828" s="27">
        <v>0</v>
      </c>
      <c r="I828" s="27">
        <v>0</v>
      </c>
      <c r="J828" s="27">
        <v>0</v>
      </c>
      <c r="K828" s="63">
        <f>AVERAGE(I828:J828)</f>
        <v>0</v>
      </c>
      <c r="L828" s="56" t="str">
        <f>"SW-COMAS-PACKL"</f>
        <v>SW-COMAS-PACKL</v>
      </c>
      <c r="M828" s="14"/>
      <c r="N828" s="15"/>
      <c r="O828" s="12"/>
      <c r="P828" s="34"/>
      <c r="Q828" s="37"/>
      <c r="R828" s="47"/>
      <c r="S828" s="46"/>
    </row>
    <row r="829" spans="1:19" ht="15.6" hidden="1" customHeight="1" thickBot="1" x14ac:dyDescent="0.3">
      <c r="A829" t="s">
        <v>23</v>
      </c>
      <c r="B829" s="60" t="str">
        <f t="shared" si="588"/>
        <v>hide</v>
      </c>
      <c r="D829" s="48" t="str">
        <f>D828</f>
        <v>06870</v>
      </c>
      <c r="E829" s="7"/>
      <c r="F829" s="27">
        <v>0</v>
      </c>
      <c r="G829" s="27">
        <v>0</v>
      </c>
      <c r="H829" s="27">
        <v>0</v>
      </c>
      <c r="I829" s="27">
        <v>0</v>
      </c>
      <c r="J829" s="27">
        <v>0</v>
      </c>
      <c r="K829" s="63">
        <f>AVERAGE(I829:J829)</f>
        <v>0</v>
      </c>
      <c r="L829" s="56" t="str">
        <f>"SW-RISER-PACK"</f>
        <v>SW-RISER-PACK</v>
      </c>
      <c r="M829" s="14"/>
      <c r="N829" s="15"/>
      <c r="O829" s="12"/>
      <c r="P829" s="34"/>
      <c r="Q829" s="37"/>
      <c r="R829" s="47"/>
      <c r="S829" s="46"/>
    </row>
    <row r="830" spans="1:19" ht="12" hidden="1" customHeight="1" x14ac:dyDescent="0.3">
      <c r="A830" s="35" t="s">
        <v>908</v>
      </c>
      <c r="B830" s="49" t="str">
        <f>B826</f>
        <v>hide</v>
      </c>
      <c r="N830"/>
      <c r="Q830" s="33"/>
    </row>
    <row r="831" spans="1:19" ht="13.8" hidden="1" thickBot="1" x14ac:dyDescent="0.3">
      <c r="A831" t="s">
        <v>23</v>
      </c>
      <c r="B831" s="49" t="str">
        <f t="shared" ref="B831" si="589">B830</f>
        <v>hide</v>
      </c>
      <c r="D831" s="58"/>
      <c r="E831" s="58"/>
      <c r="F831" s="52">
        <f>SUM(F826:F830)</f>
        <v>-35.416666666666664</v>
      </c>
      <c r="G831" s="52">
        <f>SUM(G826:G830)</f>
        <v>0</v>
      </c>
      <c r="H831" s="52">
        <f>SUM(H826:H830)</f>
        <v>0</v>
      </c>
      <c r="I831" s="52">
        <f>SUM(I826:I830)</f>
        <v>0</v>
      </c>
      <c r="J831" s="52">
        <f>SUM(J826:J830)</f>
        <v>0</v>
      </c>
      <c r="K831" s="52"/>
      <c r="L831" s="51" t="s">
        <v>4</v>
      </c>
      <c r="M831" s="58"/>
      <c r="N831" s="58"/>
      <c r="O831" s="58"/>
      <c r="P831" s="58"/>
      <c r="Q831" s="58"/>
      <c r="R831" s="58"/>
      <c r="S831" s="58"/>
    </row>
    <row r="832" spans="1:19" s="59" customFormat="1" ht="18.75" hidden="1" customHeight="1" thickBot="1" x14ac:dyDescent="0.3">
      <c r="A832" s="59" t="s">
        <v>23</v>
      </c>
      <c r="B832" s="60" t="str">
        <f t="shared" ref="B832:B833" si="590">IF(K832=0,"hide","")</f>
        <v>hide</v>
      </c>
      <c r="D832" s="61" t="str">
        <f>"06875"</f>
        <v>06875</v>
      </c>
      <c r="E832" s="62" t="str">
        <f>"1"</f>
        <v>1</v>
      </c>
      <c r="F832" s="63">
        <v>0</v>
      </c>
      <c r="G832" s="63">
        <v>0</v>
      </c>
      <c r="H832" s="63">
        <v>0</v>
      </c>
      <c r="I832" s="63">
        <v>0</v>
      </c>
      <c r="J832" s="63">
        <v>0</v>
      </c>
      <c r="K832" s="63">
        <f>AVERAGE(I832:J832)</f>
        <v>0</v>
      </c>
      <c r="L832" s="64" t="str">
        <f>"WG Banana Muffin(National)"</f>
        <v>WG Banana Muffin(National)</v>
      </c>
      <c r="M832" s="65" t="str">
        <f>"48-3.6 oz. I.W."</f>
        <v>48-3.6 oz. I.W.</v>
      </c>
      <c r="N832" s="66">
        <v>48</v>
      </c>
      <c r="O832" s="67" t="str">
        <f>""</f>
        <v/>
      </c>
      <c r="P832" s="68" t="e">
        <f>1/O832</f>
        <v>#VALUE!</v>
      </c>
      <c r="Q832" s="53">
        <v>1</v>
      </c>
      <c r="R832" s="69">
        <f t="shared" ref="R832" si="591">1/Q832</f>
        <v>1</v>
      </c>
      <c r="S832" s="70">
        <f t="shared" ref="S832" si="592">R832*N832</f>
        <v>48</v>
      </c>
    </row>
    <row r="833" spans="1:19" ht="15.6" hidden="1" customHeight="1" thickBot="1" x14ac:dyDescent="0.3">
      <c r="A833" t="s">
        <v>23</v>
      </c>
      <c r="B833" s="60" t="str">
        <f t="shared" si="590"/>
        <v>hide</v>
      </c>
      <c r="D833" s="48" t="str">
        <f>D832</f>
        <v>06875</v>
      </c>
      <c r="E833" s="7"/>
      <c r="F833" s="27">
        <v>0</v>
      </c>
      <c r="G833" s="27">
        <v>0</v>
      </c>
      <c r="H833" s="27">
        <v>0</v>
      </c>
      <c r="I833" s="27">
        <v>0</v>
      </c>
      <c r="J833" s="27">
        <v>0</v>
      </c>
      <c r="K833" s="63">
        <f>AVERAGE(I833:J833)</f>
        <v>0</v>
      </c>
      <c r="L833" s="56" t="str">
        <f>"EQP-LAWPACK1"</f>
        <v>EQP-LAWPACK1</v>
      </c>
      <c r="M833" s="14"/>
      <c r="N833" s="15"/>
      <c r="O833" s="12"/>
      <c r="P833" s="34"/>
      <c r="Q833" s="37"/>
      <c r="R833" s="47"/>
      <c r="S833" s="46"/>
    </row>
    <row r="834" spans="1:19" ht="15.6" hidden="1" customHeight="1" thickBot="1" x14ac:dyDescent="0.3">
      <c r="A834" t="s">
        <v>23</v>
      </c>
      <c r="B834" s="60" t="str">
        <f t="shared" ref="B834:B836" si="593">IF(K834=0,"hide","")</f>
        <v>hide</v>
      </c>
      <c r="D834" s="48" t="str">
        <f>D833</f>
        <v>06875</v>
      </c>
      <c r="E834" s="7"/>
      <c r="F834" s="27">
        <v>0</v>
      </c>
      <c r="G834" s="27">
        <v>0</v>
      </c>
      <c r="H834" s="27">
        <v>0</v>
      </c>
      <c r="I834" s="27">
        <v>0</v>
      </c>
      <c r="J834" s="27">
        <v>0</v>
      </c>
      <c r="K834" s="63">
        <f>AVERAGE(I834:J834)</f>
        <v>0</v>
      </c>
      <c r="L834" s="56" t="str">
        <f>"EQP-LAWPACK2"</f>
        <v>EQP-LAWPACK2</v>
      </c>
      <c r="M834" s="14"/>
      <c r="N834" s="15"/>
      <c r="O834" s="12"/>
      <c r="P834" s="34"/>
      <c r="Q834" s="37"/>
      <c r="R834" s="47"/>
      <c r="S834" s="46"/>
    </row>
    <row r="835" spans="1:19" ht="15.6" hidden="1" customHeight="1" thickBot="1" x14ac:dyDescent="0.3">
      <c r="A835" t="s">
        <v>23</v>
      </c>
      <c r="B835" s="60" t="str">
        <f t="shared" si="593"/>
        <v>hide</v>
      </c>
      <c r="D835" s="48" t="str">
        <f>D834</f>
        <v>06875</v>
      </c>
      <c r="E835" s="7"/>
      <c r="F835" s="27">
        <v>0</v>
      </c>
      <c r="G835" s="27">
        <v>0</v>
      </c>
      <c r="H835" s="27">
        <v>0</v>
      </c>
      <c r="I835" s="27">
        <v>0</v>
      </c>
      <c r="J835" s="27">
        <v>0</v>
      </c>
      <c r="K835" s="63">
        <f>AVERAGE(I835:J835)</f>
        <v>0</v>
      </c>
      <c r="L835" s="56" t="str">
        <f>"SW-COMAS-PACKL"</f>
        <v>SW-COMAS-PACKL</v>
      </c>
      <c r="M835" s="14"/>
      <c r="N835" s="15"/>
      <c r="O835" s="12"/>
      <c r="P835" s="34"/>
      <c r="Q835" s="37"/>
      <c r="R835" s="47"/>
      <c r="S835" s="46"/>
    </row>
    <row r="836" spans="1:19" ht="15.6" hidden="1" customHeight="1" thickBot="1" x14ac:dyDescent="0.3">
      <c r="A836" t="s">
        <v>23</v>
      </c>
      <c r="B836" s="60" t="str">
        <f t="shared" si="593"/>
        <v>hide</v>
      </c>
      <c r="D836" s="48" t="str">
        <f>D835</f>
        <v>06875</v>
      </c>
      <c r="E836" s="7"/>
      <c r="F836" s="27">
        <v>0</v>
      </c>
      <c r="G836" s="27">
        <v>0</v>
      </c>
      <c r="H836" s="27">
        <v>0</v>
      </c>
      <c r="I836" s="27">
        <v>0</v>
      </c>
      <c r="J836" s="27">
        <v>0</v>
      </c>
      <c r="K836" s="63">
        <f>AVERAGE(I836:J836)</f>
        <v>0</v>
      </c>
      <c r="L836" s="56" t="str">
        <f>"SW-RISER-PACK"</f>
        <v>SW-RISER-PACK</v>
      </c>
      <c r="M836" s="14"/>
      <c r="N836" s="15"/>
      <c r="O836" s="12"/>
      <c r="P836" s="34"/>
      <c r="Q836" s="37"/>
      <c r="R836" s="47"/>
      <c r="S836" s="46"/>
    </row>
    <row r="837" spans="1:19" ht="12" hidden="1" customHeight="1" x14ac:dyDescent="0.3">
      <c r="A837" s="35" t="s">
        <v>908</v>
      </c>
      <c r="B837" s="49" t="str">
        <f>B833</f>
        <v>hide</v>
      </c>
      <c r="N837"/>
      <c r="Q837" s="33"/>
    </row>
    <row r="838" spans="1:19" ht="13.8" hidden="1" thickBot="1" x14ac:dyDescent="0.3">
      <c r="A838" t="s">
        <v>23</v>
      </c>
      <c r="B838" s="49" t="str">
        <f t="shared" ref="B838" si="594">B837</f>
        <v>hide</v>
      </c>
      <c r="D838" s="58"/>
      <c r="E838" s="58"/>
      <c r="F838" s="52">
        <f>SUM(F833:F837)</f>
        <v>0</v>
      </c>
      <c r="G838" s="52">
        <f>SUM(G833:G837)</f>
        <v>0</v>
      </c>
      <c r="H838" s="52">
        <f>SUM(H833:H837)</f>
        <v>0</v>
      </c>
      <c r="I838" s="52">
        <f>SUM(I833:I837)</f>
        <v>0</v>
      </c>
      <c r="J838" s="52">
        <f>SUM(J833:J837)</f>
        <v>0</v>
      </c>
      <c r="K838" s="52"/>
      <c r="L838" s="51" t="s">
        <v>4</v>
      </c>
      <c r="M838" s="58"/>
      <c r="N838" s="58"/>
      <c r="O838" s="58"/>
      <c r="P838" s="58"/>
      <c r="Q838" s="58"/>
      <c r="R838" s="58"/>
      <c r="S838" s="58"/>
    </row>
    <row r="839" spans="1:19" s="59" customFormat="1" ht="18.75" customHeight="1" thickBot="1" x14ac:dyDescent="0.3">
      <c r="A839" s="59" t="s">
        <v>23</v>
      </c>
      <c r="B839" s="60" t="str">
        <f t="shared" ref="B839:B840" si="595">IF(K839=0,"hide","")</f>
        <v/>
      </c>
      <c r="D839" s="61" t="str">
        <f>"06901"</f>
        <v>06901</v>
      </c>
      <c r="E839" s="62" t="str">
        <f>"8"</f>
        <v>8</v>
      </c>
      <c r="F839" s="63">
        <v>161.08333333333334</v>
      </c>
      <c r="G839" s="63">
        <v>204.33333333333334</v>
      </c>
      <c r="H839" s="63">
        <v>317.25</v>
      </c>
      <c r="I839" s="63">
        <v>30.583333333333332</v>
      </c>
      <c r="J839" s="63">
        <v>0</v>
      </c>
      <c r="K839" s="63">
        <f>AVERAGE(I839:J839)</f>
        <v>15.291666666666666</v>
      </c>
      <c r="L839" s="64" t="str">
        <f>"1352 Muffins, Wild Blueberry, IW"</f>
        <v>1352 Muffins, Wild Blueberry, IW</v>
      </c>
      <c r="M839" s="65" t="str">
        <f>"48/3.6 oz"</f>
        <v>48/3.6 oz</v>
      </c>
      <c r="N839" s="66">
        <v>48</v>
      </c>
      <c r="O839" s="67">
        <v>1E-3</v>
      </c>
      <c r="P839" s="68">
        <f>1/O839</f>
        <v>1000</v>
      </c>
      <c r="Q839" s="53">
        <v>2.8400000000000001E-3</v>
      </c>
      <c r="R839" s="69">
        <f t="shared" ref="R839" si="596">1/Q839</f>
        <v>352.11267605633805</v>
      </c>
      <c r="S839" s="70">
        <f t="shared" ref="S839" si="597">R839*N839</f>
        <v>16901.408450704228</v>
      </c>
    </row>
    <row r="840" spans="1:19" ht="15.6" hidden="1" customHeight="1" thickBot="1" x14ac:dyDescent="0.3">
      <c r="A840" t="s">
        <v>23</v>
      </c>
      <c r="B840" s="60" t="str">
        <f t="shared" si="595"/>
        <v>hide</v>
      </c>
      <c r="D840" s="48" t="str">
        <f>D839</f>
        <v>06901</v>
      </c>
      <c r="E840" s="7"/>
      <c r="F840" s="27">
        <v>0</v>
      </c>
      <c r="G840" s="27">
        <v>0</v>
      </c>
      <c r="H840" s="27">
        <v>0</v>
      </c>
      <c r="I840" s="27">
        <v>0</v>
      </c>
      <c r="J840" s="27">
        <v>0</v>
      </c>
      <c r="K840" s="63">
        <f>AVERAGE(I840:J840)</f>
        <v>0</v>
      </c>
      <c r="L840" s="56" t="str">
        <f>"EQP-LAWPACK1"</f>
        <v>EQP-LAWPACK1</v>
      </c>
      <c r="M840" s="14"/>
      <c r="N840" s="15"/>
      <c r="O840" s="12"/>
      <c r="P840" s="34"/>
      <c r="Q840" s="37"/>
      <c r="R840" s="47"/>
      <c r="S840" s="46"/>
    </row>
    <row r="841" spans="1:19" ht="15.6" hidden="1" customHeight="1" thickBot="1" x14ac:dyDescent="0.3">
      <c r="A841" t="s">
        <v>23</v>
      </c>
      <c r="B841" s="60" t="str">
        <f t="shared" ref="B841:B843" si="598">IF(K841=0,"hide","")</f>
        <v>hide</v>
      </c>
      <c r="D841" s="48" t="str">
        <f>D840</f>
        <v>06901</v>
      </c>
      <c r="E841" s="7"/>
      <c r="F841" s="27">
        <v>0</v>
      </c>
      <c r="G841" s="27">
        <v>0</v>
      </c>
      <c r="H841" s="27">
        <v>0</v>
      </c>
      <c r="I841" s="27">
        <v>0</v>
      </c>
      <c r="J841" s="27">
        <v>0</v>
      </c>
      <c r="K841" s="63">
        <f>AVERAGE(I841:J841)</f>
        <v>0</v>
      </c>
      <c r="L841" s="56" t="str">
        <f>"EQP-LAWPACK2"</f>
        <v>EQP-LAWPACK2</v>
      </c>
      <c r="M841" s="14"/>
      <c r="N841" s="15"/>
      <c r="O841" s="12"/>
      <c r="P841" s="34"/>
      <c r="Q841" s="37"/>
      <c r="R841" s="47"/>
      <c r="S841" s="46"/>
    </row>
    <row r="842" spans="1:19" ht="15.6" hidden="1" customHeight="1" thickBot="1" x14ac:dyDescent="0.3">
      <c r="A842" t="s">
        <v>23</v>
      </c>
      <c r="B842" s="60" t="str">
        <f t="shared" si="598"/>
        <v>hide</v>
      </c>
      <c r="D842" s="48" t="str">
        <f>D841</f>
        <v>06901</v>
      </c>
      <c r="E842" s="7"/>
      <c r="F842" s="27">
        <v>0</v>
      </c>
      <c r="G842" s="27">
        <v>0</v>
      </c>
      <c r="H842" s="27">
        <v>0</v>
      </c>
      <c r="I842" s="27">
        <v>0</v>
      </c>
      <c r="J842" s="27">
        <v>0</v>
      </c>
      <c r="K842" s="63">
        <f>AVERAGE(I842:J842)</f>
        <v>0</v>
      </c>
      <c r="L842" s="56" t="str">
        <f>"SW-COMAS-PACKL"</f>
        <v>SW-COMAS-PACKL</v>
      </c>
      <c r="M842" s="14"/>
      <c r="N842" s="15"/>
      <c r="O842" s="12"/>
      <c r="P842" s="34"/>
      <c r="Q842" s="37"/>
      <c r="R842" s="47"/>
      <c r="S842" s="46"/>
    </row>
    <row r="843" spans="1:19" ht="15.6" hidden="1" customHeight="1" thickBot="1" x14ac:dyDescent="0.3">
      <c r="A843" t="s">
        <v>23</v>
      </c>
      <c r="B843" s="60" t="str">
        <f t="shared" si="598"/>
        <v>hide</v>
      </c>
      <c r="D843" s="48" t="str">
        <f>D842</f>
        <v>06901</v>
      </c>
      <c r="E843" s="7"/>
      <c r="F843" s="27">
        <v>0</v>
      </c>
      <c r="G843" s="27">
        <v>0</v>
      </c>
      <c r="H843" s="27">
        <v>0</v>
      </c>
      <c r="I843" s="27">
        <v>0</v>
      </c>
      <c r="J843" s="27">
        <v>0</v>
      </c>
      <c r="K843" s="63">
        <f>AVERAGE(I843:J843)</f>
        <v>0</v>
      </c>
      <c r="L843" s="56" t="str">
        <f>"SW-RISER-PACK"</f>
        <v>SW-RISER-PACK</v>
      </c>
      <c r="M843" s="14"/>
      <c r="N843" s="15"/>
      <c r="O843" s="12"/>
      <c r="P843" s="34"/>
      <c r="Q843" s="37"/>
      <c r="R843" s="47"/>
      <c r="S843" s="46"/>
    </row>
    <row r="844" spans="1:19" ht="12" hidden="1" customHeight="1" x14ac:dyDescent="0.3">
      <c r="A844" s="35" t="s">
        <v>908</v>
      </c>
      <c r="B844" s="49" t="str">
        <f>B840</f>
        <v>hide</v>
      </c>
      <c r="N844"/>
      <c r="Q844" s="33"/>
    </row>
    <row r="845" spans="1:19" ht="13.8" hidden="1" thickBot="1" x14ac:dyDescent="0.3">
      <c r="A845" t="s">
        <v>23</v>
      </c>
      <c r="B845" s="49" t="str">
        <f t="shared" ref="B845" si="599">B844</f>
        <v>hide</v>
      </c>
      <c r="D845" s="58"/>
      <c r="E845" s="58"/>
      <c r="F845" s="52">
        <f>SUM(F840:F844)</f>
        <v>0</v>
      </c>
      <c r="G845" s="52">
        <f>SUM(G840:G844)</f>
        <v>0</v>
      </c>
      <c r="H845" s="52">
        <f>SUM(H840:H844)</f>
        <v>0</v>
      </c>
      <c r="I845" s="52">
        <f>SUM(I840:I844)</f>
        <v>0</v>
      </c>
      <c r="J845" s="52">
        <f>SUM(J840:J844)</f>
        <v>0</v>
      </c>
      <c r="K845" s="52"/>
      <c r="L845" s="51" t="s">
        <v>4</v>
      </c>
      <c r="M845" s="58"/>
      <c r="N845" s="58"/>
      <c r="O845" s="58"/>
      <c r="P845" s="58"/>
      <c r="Q845" s="58"/>
      <c r="R845" s="58"/>
      <c r="S845" s="58"/>
    </row>
    <row r="846" spans="1:19" s="59" customFormat="1" ht="18.75" hidden="1" customHeight="1" thickBot="1" x14ac:dyDescent="0.3">
      <c r="A846" s="59" t="s">
        <v>23</v>
      </c>
      <c r="B846" s="60" t="str">
        <f t="shared" ref="B846:B847" si="600">IF(K846=0,"hide","")</f>
        <v>hide</v>
      </c>
      <c r="D846" s="61" t="str">
        <f>"06910"</f>
        <v>06910</v>
      </c>
      <c r="E846" s="62" t="str">
        <f>""</f>
        <v/>
      </c>
      <c r="F846" s="63">
        <v>0</v>
      </c>
      <c r="G846" s="63">
        <v>0</v>
      </c>
      <c r="H846" s="63">
        <v>0</v>
      </c>
      <c r="I846" s="63">
        <v>0</v>
      </c>
      <c r="J846" s="63">
        <v>0</v>
      </c>
      <c r="K846" s="63">
        <f>AVERAGE(I846:J846)</f>
        <v>0</v>
      </c>
      <c r="L846" s="64" t="str">
        <f>"1359 Muffins, Chocolate Chip, IW"</f>
        <v>1359 Muffins, Chocolate Chip, IW</v>
      </c>
      <c r="M846" s="65" t="str">
        <f>"48/3.6 oz"</f>
        <v>48/3.6 oz</v>
      </c>
      <c r="N846" s="66">
        <v>48</v>
      </c>
      <c r="O846" s="67" t="e">
        <v>#VALUE!</v>
      </c>
      <c r="P846" s="68" t="e">
        <f>1/O846</f>
        <v>#VALUE!</v>
      </c>
      <c r="Q846" s="53" t="e">
        <v>#VALUE!</v>
      </c>
      <c r="R846" s="69" t="e">
        <f t="shared" ref="R846" si="601">1/Q846</f>
        <v>#VALUE!</v>
      </c>
      <c r="S846" s="70" t="e">
        <f t="shared" ref="S846" si="602">R846*N846</f>
        <v>#VALUE!</v>
      </c>
    </row>
    <row r="847" spans="1:19" ht="15.6" hidden="1" customHeight="1" thickBot="1" x14ac:dyDescent="0.3">
      <c r="A847" t="s">
        <v>23</v>
      </c>
      <c r="B847" s="60" t="str">
        <f t="shared" si="600"/>
        <v>hide</v>
      </c>
      <c r="D847" s="48" t="str">
        <f>D846</f>
        <v>06910</v>
      </c>
      <c r="E847" s="7"/>
      <c r="F847" s="27">
        <v>0</v>
      </c>
      <c r="G847" s="27">
        <v>0</v>
      </c>
      <c r="H847" s="27">
        <v>0</v>
      </c>
      <c r="I847" s="27">
        <v>0</v>
      </c>
      <c r="J847" s="27">
        <v>0</v>
      </c>
      <c r="K847" s="63">
        <f>AVERAGE(I847:J847)</f>
        <v>0</v>
      </c>
      <c r="L847" s="56" t="str">
        <f>"EQP-LAWPACK1"</f>
        <v>EQP-LAWPACK1</v>
      </c>
      <c r="M847" s="14"/>
      <c r="N847" s="15"/>
      <c r="O847" s="12"/>
      <c r="P847" s="34"/>
      <c r="Q847" s="37"/>
      <c r="R847" s="47"/>
      <c r="S847" s="46"/>
    </row>
    <row r="848" spans="1:19" ht="15.6" hidden="1" customHeight="1" thickBot="1" x14ac:dyDescent="0.3">
      <c r="A848" t="s">
        <v>23</v>
      </c>
      <c r="B848" s="60" t="str">
        <f t="shared" ref="B848:B850" si="603">IF(K848=0,"hide","")</f>
        <v>hide</v>
      </c>
      <c r="D848" s="48" t="str">
        <f>D847</f>
        <v>06910</v>
      </c>
      <c r="E848" s="7"/>
      <c r="F848" s="27">
        <v>0</v>
      </c>
      <c r="G848" s="27">
        <v>0</v>
      </c>
      <c r="H848" s="27">
        <v>0</v>
      </c>
      <c r="I848" s="27">
        <v>0</v>
      </c>
      <c r="J848" s="27">
        <v>0</v>
      </c>
      <c r="K848" s="63">
        <f>AVERAGE(I848:J848)</f>
        <v>0</v>
      </c>
      <c r="L848" s="56" t="str">
        <f>"EQP-LAWPACK2"</f>
        <v>EQP-LAWPACK2</v>
      </c>
      <c r="M848" s="14"/>
      <c r="N848" s="15"/>
      <c r="O848" s="12"/>
      <c r="P848" s="34"/>
      <c r="Q848" s="37"/>
      <c r="R848" s="47"/>
      <c r="S848" s="46"/>
    </row>
    <row r="849" spans="1:19" ht="15.6" hidden="1" customHeight="1" thickBot="1" x14ac:dyDescent="0.3">
      <c r="A849" t="s">
        <v>23</v>
      </c>
      <c r="B849" s="60" t="str">
        <f t="shared" si="603"/>
        <v>hide</v>
      </c>
      <c r="D849" s="48" t="str">
        <f>D848</f>
        <v>06910</v>
      </c>
      <c r="E849" s="7"/>
      <c r="F849" s="27">
        <v>0</v>
      </c>
      <c r="G849" s="27">
        <v>0</v>
      </c>
      <c r="H849" s="27">
        <v>0</v>
      </c>
      <c r="I849" s="27">
        <v>0</v>
      </c>
      <c r="J849" s="27">
        <v>0</v>
      </c>
      <c r="K849" s="63">
        <f>AVERAGE(I849:J849)</f>
        <v>0</v>
      </c>
      <c r="L849" s="56" t="str">
        <f>"SW-COMAS-PACKL"</f>
        <v>SW-COMAS-PACKL</v>
      </c>
      <c r="M849" s="14"/>
      <c r="N849" s="15"/>
      <c r="O849" s="12"/>
      <c r="P849" s="34"/>
      <c r="Q849" s="37"/>
      <c r="R849" s="47"/>
      <c r="S849" s="46"/>
    </row>
    <row r="850" spans="1:19" ht="15.6" hidden="1" customHeight="1" thickBot="1" x14ac:dyDescent="0.3">
      <c r="A850" t="s">
        <v>23</v>
      </c>
      <c r="B850" s="60" t="str">
        <f t="shared" si="603"/>
        <v>hide</v>
      </c>
      <c r="D850" s="48" t="str">
        <f>D849</f>
        <v>06910</v>
      </c>
      <c r="E850" s="7"/>
      <c r="F850" s="27">
        <v>0</v>
      </c>
      <c r="G850" s="27">
        <v>0</v>
      </c>
      <c r="H850" s="27">
        <v>0</v>
      </c>
      <c r="I850" s="27">
        <v>0</v>
      </c>
      <c r="J850" s="27">
        <v>0</v>
      </c>
      <c r="K850" s="63">
        <f>AVERAGE(I850:J850)</f>
        <v>0</v>
      </c>
      <c r="L850" s="56" t="str">
        <f>"SW-RISER-PACK"</f>
        <v>SW-RISER-PACK</v>
      </c>
      <c r="M850" s="14"/>
      <c r="N850" s="15"/>
      <c r="O850" s="12"/>
      <c r="P850" s="34"/>
      <c r="Q850" s="37"/>
      <c r="R850" s="47"/>
      <c r="S850" s="46"/>
    </row>
    <row r="851" spans="1:19" ht="12" hidden="1" customHeight="1" x14ac:dyDescent="0.3">
      <c r="A851" s="35" t="s">
        <v>908</v>
      </c>
      <c r="B851" s="49" t="str">
        <f>B847</f>
        <v>hide</v>
      </c>
      <c r="N851"/>
      <c r="Q851" s="33"/>
    </row>
    <row r="852" spans="1:19" ht="13.8" hidden="1" thickBot="1" x14ac:dyDescent="0.3">
      <c r="A852" t="s">
        <v>23</v>
      </c>
      <c r="B852" s="49" t="str">
        <f t="shared" ref="B852" si="604">B851</f>
        <v>hide</v>
      </c>
      <c r="D852" s="58"/>
      <c r="E852" s="58"/>
      <c r="F852" s="52">
        <f>SUM(F847:F851)</f>
        <v>0</v>
      </c>
      <c r="G852" s="52">
        <f>SUM(G847:G851)</f>
        <v>0</v>
      </c>
      <c r="H852" s="52">
        <f>SUM(H847:H851)</f>
        <v>0</v>
      </c>
      <c r="I852" s="52">
        <f>SUM(I847:I851)</f>
        <v>0</v>
      </c>
      <c r="J852" s="52">
        <f>SUM(J847:J851)</f>
        <v>0</v>
      </c>
      <c r="K852" s="52"/>
      <c r="L852" s="51" t="s">
        <v>4</v>
      </c>
      <c r="M852" s="58"/>
      <c r="N852" s="58"/>
      <c r="O852" s="58"/>
      <c r="P852" s="58"/>
      <c r="Q852" s="58"/>
      <c r="R852" s="58"/>
      <c r="S852" s="58"/>
    </row>
    <row r="853" spans="1:19" s="59" customFormat="1" ht="18.75" hidden="1" customHeight="1" thickBot="1" x14ac:dyDescent="0.3">
      <c r="A853" s="59" t="s">
        <v>23</v>
      </c>
      <c r="B853" s="60" t="str">
        <f t="shared" ref="B853:B854" si="605">IF(K853=0,"hide","")</f>
        <v>hide</v>
      </c>
      <c r="D853" s="61" t="str">
        <f>"06933"</f>
        <v>06933</v>
      </c>
      <c r="E853" s="62" t="str">
        <f>"3"</f>
        <v>3</v>
      </c>
      <c r="F853" s="63">
        <v>0</v>
      </c>
      <c r="G853" s="63">
        <v>0</v>
      </c>
      <c r="H853" s="63">
        <v>0</v>
      </c>
      <c r="I853" s="63">
        <v>0</v>
      </c>
      <c r="J853" s="63">
        <v>0</v>
      </c>
      <c r="K853" s="63">
        <f>AVERAGE(I853:J853)</f>
        <v>0</v>
      </c>
      <c r="L853" s="64" t="str">
        <f>"1358 Muffin, Choc Choc Chip, IW"</f>
        <v>1358 Muffin, Choc Choc Chip, IW</v>
      </c>
      <c r="M853" s="65" t="str">
        <f>"48/3.6 oz"</f>
        <v>48/3.6 oz</v>
      </c>
      <c r="N853" s="66">
        <v>48</v>
      </c>
      <c r="O853" s="67" t="str">
        <f>""</f>
        <v/>
      </c>
      <c r="P853" s="68" t="e">
        <f>1/O853</f>
        <v>#VALUE!</v>
      </c>
      <c r="Q853" s="53">
        <v>1</v>
      </c>
      <c r="R853" s="69">
        <f t="shared" ref="R853" si="606">1/Q853</f>
        <v>1</v>
      </c>
      <c r="S853" s="70">
        <f t="shared" ref="S853" si="607">R853*N853</f>
        <v>48</v>
      </c>
    </row>
    <row r="854" spans="1:19" ht="15.6" hidden="1" customHeight="1" thickBot="1" x14ac:dyDescent="0.3">
      <c r="A854" t="s">
        <v>23</v>
      </c>
      <c r="B854" s="60" t="str">
        <f t="shared" si="605"/>
        <v>hide</v>
      </c>
      <c r="D854" s="48" t="str">
        <f>D853</f>
        <v>06933</v>
      </c>
      <c r="E854" s="7"/>
      <c r="F854" s="27">
        <v>0</v>
      </c>
      <c r="G854" s="27">
        <v>0</v>
      </c>
      <c r="H854" s="27">
        <v>0</v>
      </c>
      <c r="I854" s="27">
        <v>0</v>
      </c>
      <c r="J854" s="27">
        <v>0</v>
      </c>
      <c r="K854" s="63">
        <f>AVERAGE(I854:J854)</f>
        <v>0</v>
      </c>
      <c r="L854" s="56" t="str">
        <f>"EQP-LAWPACK1"</f>
        <v>EQP-LAWPACK1</v>
      </c>
      <c r="M854" s="14"/>
      <c r="N854" s="15"/>
      <c r="O854" s="12"/>
      <c r="P854" s="34"/>
      <c r="Q854" s="37"/>
      <c r="R854" s="47"/>
      <c r="S854" s="46"/>
    </row>
    <row r="855" spans="1:19" ht="15.6" hidden="1" customHeight="1" thickBot="1" x14ac:dyDescent="0.3">
      <c r="A855" t="s">
        <v>23</v>
      </c>
      <c r="B855" s="60" t="str">
        <f t="shared" ref="B855:B857" si="608">IF(K855=0,"hide","")</f>
        <v>hide</v>
      </c>
      <c r="D855" s="48" t="str">
        <f>D854</f>
        <v>06933</v>
      </c>
      <c r="E855" s="7"/>
      <c r="F855" s="27">
        <v>0</v>
      </c>
      <c r="G855" s="27">
        <v>0</v>
      </c>
      <c r="H855" s="27">
        <v>0</v>
      </c>
      <c r="I855" s="27">
        <v>0</v>
      </c>
      <c r="J855" s="27">
        <v>0</v>
      </c>
      <c r="K855" s="63">
        <f>AVERAGE(I855:J855)</f>
        <v>0</v>
      </c>
      <c r="L855" s="56" t="str">
        <f>"EQP-LAWPACK2"</f>
        <v>EQP-LAWPACK2</v>
      </c>
      <c r="M855" s="14"/>
      <c r="N855" s="15"/>
      <c r="O855" s="12"/>
      <c r="P855" s="34"/>
      <c r="Q855" s="37"/>
      <c r="R855" s="47"/>
      <c r="S855" s="46"/>
    </row>
    <row r="856" spans="1:19" ht="15.6" hidden="1" customHeight="1" thickBot="1" x14ac:dyDescent="0.3">
      <c r="A856" t="s">
        <v>23</v>
      </c>
      <c r="B856" s="60" t="str">
        <f t="shared" si="608"/>
        <v>hide</v>
      </c>
      <c r="D856" s="48" t="str">
        <f>D855</f>
        <v>06933</v>
      </c>
      <c r="E856" s="7"/>
      <c r="F856" s="27">
        <v>0</v>
      </c>
      <c r="G856" s="27">
        <v>0</v>
      </c>
      <c r="H856" s="27">
        <v>0</v>
      </c>
      <c r="I856" s="27">
        <v>0</v>
      </c>
      <c r="J856" s="27">
        <v>0</v>
      </c>
      <c r="K856" s="63">
        <f>AVERAGE(I856:J856)</f>
        <v>0</v>
      </c>
      <c r="L856" s="56" t="str">
        <f>"SW-COMAS-PACKL"</f>
        <v>SW-COMAS-PACKL</v>
      </c>
      <c r="M856" s="14"/>
      <c r="N856" s="15"/>
      <c r="O856" s="12"/>
      <c r="P856" s="34"/>
      <c r="Q856" s="37"/>
      <c r="R856" s="47"/>
      <c r="S856" s="46"/>
    </row>
    <row r="857" spans="1:19" ht="15.6" hidden="1" customHeight="1" thickBot="1" x14ac:dyDescent="0.3">
      <c r="A857" t="s">
        <v>23</v>
      </c>
      <c r="B857" s="60" t="str">
        <f t="shared" si="608"/>
        <v>hide</v>
      </c>
      <c r="D857" s="48" t="str">
        <f>D856</f>
        <v>06933</v>
      </c>
      <c r="E857" s="7"/>
      <c r="F857" s="27">
        <v>0</v>
      </c>
      <c r="G857" s="27">
        <v>0</v>
      </c>
      <c r="H857" s="27">
        <v>0</v>
      </c>
      <c r="I857" s="27">
        <v>0</v>
      </c>
      <c r="J857" s="27">
        <v>0</v>
      </c>
      <c r="K857" s="63">
        <f>AVERAGE(I857:J857)</f>
        <v>0</v>
      </c>
      <c r="L857" s="56" t="str">
        <f>"SW-RISER-PACK"</f>
        <v>SW-RISER-PACK</v>
      </c>
      <c r="M857" s="14"/>
      <c r="N857" s="15"/>
      <c r="O857" s="12"/>
      <c r="P857" s="34"/>
      <c r="Q857" s="37"/>
      <c r="R857" s="47"/>
      <c r="S857" s="46"/>
    </row>
    <row r="858" spans="1:19" ht="12" hidden="1" customHeight="1" x14ac:dyDescent="0.3">
      <c r="A858" s="35" t="s">
        <v>908</v>
      </c>
      <c r="B858" s="49" t="str">
        <f>B854</f>
        <v>hide</v>
      </c>
      <c r="N858"/>
      <c r="Q858" s="33"/>
    </row>
    <row r="859" spans="1:19" ht="13.8" hidden="1" thickBot="1" x14ac:dyDescent="0.3">
      <c r="A859" t="s">
        <v>23</v>
      </c>
      <c r="B859" s="49" t="str">
        <f t="shared" ref="B859" si="609">B858</f>
        <v>hide</v>
      </c>
      <c r="D859" s="58"/>
      <c r="E859" s="58"/>
      <c r="F859" s="52">
        <f>SUM(F854:F858)</f>
        <v>0</v>
      </c>
      <c r="G859" s="52">
        <f>SUM(G854:G858)</f>
        <v>0</v>
      </c>
      <c r="H859" s="52">
        <f>SUM(H854:H858)</f>
        <v>0</v>
      </c>
      <c r="I859" s="52">
        <f>SUM(I854:I858)</f>
        <v>0</v>
      </c>
      <c r="J859" s="52">
        <f>SUM(J854:J858)</f>
        <v>0</v>
      </c>
      <c r="K859" s="52"/>
      <c r="L859" s="51" t="s">
        <v>4</v>
      </c>
      <c r="M859" s="58"/>
      <c r="N859" s="58"/>
      <c r="O859" s="58"/>
      <c r="P859" s="58"/>
      <c r="Q859" s="58"/>
      <c r="R859" s="58"/>
      <c r="S859" s="58"/>
    </row>
    <row r="860" spans="1:19" s="59" customFormat="1" ht="18.75" hidden="1" customHeight="1" thickBot="1" x14ac:dyDescent="0.3">
      <c r="A860" s="59" t="s">
        <v>23</v>
      </c>
      <c r="B860" s="60" t="str">
        <f t="shared" ref="B860:B861" si="610">IF(K860=0,"hide","")</f>
        <v>hide</v>
      </c>
      <c r="D860" s="61" t="str">
        <f>"06936"</f>
        <v>06936</v>
      </c>
      <c r="E860" s="62" t="str">
        <f>"1"</f>
        <v>1</v>
      </c>
      <c r="F860" s="63">
        <v>0</v>
      </c>
      <c r="G860" s="63">
        <v>0</v>
      </c>
      <c r="H860" s="63">
        <v>0</v>
      </c>
      <c r="I860" s="63">
        <v>0</v>
      </c>
      <c r="J860" s="63">
        <v>0</v>
      </c>
      <c r="K860" s="63">
        <f>AVERAGE(I860:J860)</f>
        <v>0</v>
      </c>
      <c r="L860" s="64" t="str">
        <f>""</f>
        <v/>
      </c>
      <c r="M860" s="65" t="str">
        <f>""</f>
        <v/>
      </c>
      <c r="N860" s="66" t="str">
        <f>""</f>
        <v/>
      </c>
      <c r="O860" s="67" t="str">
        <f>""</f>
        <v/>
      </c>
      <c r="P860" s="68" t="e">
        <f>1/O860</f>
        <v>#VALUE!</v>
      </c>
      <c r="Q860" s="53">
        <v>1</v>
      </c>
      <c r="R860" s="69">
        <f t="shared" ref="R860" si="611">1/Q860</f>
        <v>1</v>
      </c>
      <c r="S860" s="70" t="e">
        <f t="shared" ref="S860" si="612">R860*N860</f>
        <v>#VALUE!</v>
      </c>
    </row>
    <row r="861" spans="1:19" ht="15.6" hidden="1" customHeight="1" thickBot="1" x14ac:dyDescent="0.3">
      <c r="A861" t="s">
        <v>23</v>
      </c>
      <c r="B861" s="60" t="str">
        <f t="shared" si="610"/>
        <v>hide</v>
      </c>
      <c r="D861" s="48" t="str">
        <f>D860</f>
        <v>06936</v>
      </c>
      <c r="E861" s="7"/>
      <c r="F861" s="27">
        <v>0</v>
      </c>
      <c r="G861" s="27">
        <v>0</v>
      </c>
      <c r="H861" s="27">
        <v>0</v>
      </c>
      <c r="I861" s="27">
        <v>0</v>
      </c>
      <c r="J861" s="27">
        <v>0</v>
      </c>
      <c r="K861" s="63">
        <f>AVERAGE(I861:J861)</f>
        <v>0</v>
      </c>
      <c r="L861" s="56" t="str">
        <f>"EQP-LAWPACK1"</f>
        <v>EQP-LAWPACK1</v>
      </c>
      <c r="M861" s="14"/>
      <c r="N861" s="15"/>
      <c r="O861" s="12"/>
      <c r="P861" s="34"/>
      <c r="Q861" s="37"/>
      <c r="R861" s="47"/>
      <c r="S861" s="46"/>
    </row>
    <row r="862" spans="1:19" ht="15.6" hidden="1" customHeight="1" thickBot="1" x14ac:dyDescent="0.3">
      <c r="A862" t="s">
        <v>23</v>
      </c>
      <c r="B862" s="60" t="str">
        <f t="shared" ref="B862:B864" si="613">IF(K862=0,"hide","")</f>
        <v>hide</v>
      </c>
      <c r="D862" s="48" t="str">
        <f>D861</f>
        <v>06936</v>
      </c>
      <c r="E862" s="7"/>
      <c r="F862" s="27">
        <v>0</v>
      </c>
      <c r="G862" s="27">
        <v>0</v>
      </c>
      <c r="H862" s="27">
        <v>0</v>
      </c>
      <c r="I862" s="27">
        <v>0</v>
      </c>
      <c r="J862" s="27">
        <v>0</v>
      </c>
      <c r="K862" s="63">
        <f>AVERAGE(I862:J862)</f>
        <v>0</v>
      </c>
      <c r="L862" s="56" t="str">
        <f>"EQP-LAWPACK2"</f>
        <v>EQP-LAWPACK2</v>
      </c>
      <c r="M862" s="14"/>
      <c r="N862" s="15"/>
      <c r="O862" s="12"/>
      <c r="P862" s="34"/>
      <c r="Q862" s="37"/>
      <c r="R862" s="47"/>
      <c r="S862" s="46"/>
    </row>
    <row r="863" spans="1:19" ht="15.6" hidden="1" customHeight="1" thickBot="1" x14ac:dyDescent="0.3">
      <c r="A863" t="s">
        <v>23</v>
      </c>
      <c r="B863" s="60" t="str">
        <f t="shared" si="613"/>
        <v>hide</v>
      </c>
      <c r="D863" s="48" t="str">
        <f>D862</f>
        <v>06936</v>
      </c>
      <c r="E863" s="7"/>
      <c r="F863" s="27">
        <v>0</v>
      </c>
      <c r="G863" s="27">
        <v>0</v>
      </c>
      <c r="H863" s="27">
        <v>0</v>
      </c>
      <c r="I863" s="27">
        <v>0</v>
      </c>
      <c r="J863" s="27">
        <v>0</v>
      </c>
      <c r="K863" s="63">
        <f>AVERAGE(I863:J863)</f>
        <v>0</v>
      </c>
      <c r="L863" s="56" t="str">
        <f>"SW-COMAS-PACKL"</f>
        <v>SW-COMAS-PACKL</v>
      </c>
      <c r="M863" s="14"/>
      <c r="N863" s="15"/>
      <c r="O863" s="12"/>
      <c r="P863" s="34"/>
      <c r="Q863" s="37"/>
      <c r="R863" s="47"/>
      <c r="S863" s="46"/>
    </row>
    <row r="864" spans="1:19" ht="15.6" hidden="1" customHeight="1" thickBot="1" x14ac:dyDescent="0.3">
      <c r="A864" t="s">
        <v>23</v>
      </c>
      <c r="B864" s="60" t="str">
        <f t="shared" si="613"/>
        <v>hide</v>
      </c>
      <c r="D864" s="48" t="str">
        <f>D863</f>
        <v>06936</v>
      </c>
      <c r="E864" s="7"/>
      <c r="F864" s="27">
        <v>0</v>
      </c>
      <c r="G864" s="27">
        <v>0</v>
      </c>
      <c r="H864" s="27">
        <v>0</v>
      </c>
      <c r="I864" s="27">
        <v>0</v>
      </c>
      <c r="J864" s="27">
        <v>0</v>
      </c>
      <c r="K864" s="63">
        <f>AVERAGE(I864:J864)</f>
        <v>0</v>
      </c>
      <c r="L864" s="56" t="str">
        <f>"SW-RISER-PACK"</f>
        <v>SW-RISER-PACK</v>
      </c>
      <c r="M864" s="14"/>
      <c r="N864" s="15"/>
      <c r="O864" s="12"/>
      <c r="P864" s="34"/>
      <c r="Q864" s="37"/>
      <c r="R864" s="47"/>
      <c r="S864" s="46"/>
    </row>
    <row r="865" spans="1:19" ht="12" hidden="1" customHeight="1" x14ac:dyDescent="0.3">
      <c r="A865" s="35" t="s">
        <v>908</v>
      </c>
      <c r="B865" s="49" t="str">
        <f>B861</f>
        <v>hide</v>
      </c>
      <c r="N865"/>
      <c r="Q865" s="33"/>
    </row>
    <row r="866" spans="1:19" ht="13.8" hidden="1" thickBot="1" x14ac:dyDescent="0.3">
      <c r="A866" t="s">
        <v>23</v>
      </c>
      <c r="B866" s="49" t="str">
        <f t="shared" ref="B866" si="614">B865</f>
        <v>hide</v>
      </c>
      <c r="D866" s="58"/>
      <c r="E866" s="58"/>
      <c r="F866" s="52">
        <f>SUM(F861:F865)</f>
        <v>0</v>
      </c>
      <c r="G866" s="52">
        <f>SUM(G861:G865)</f>
        <v>0</v>
      </c>
      <c r="H866" s="52">
        <f>SUM(H861:H865)</f>
        <v>0</v>
      </c>
      <c r="I866" s="52">
        <f>SUM(I861:I865)</f>
        <v>0</v>
      </c>
      <c r="J866" s="52">
        <f>SUM(J861:J865)</f>
        <v>0</v>
      </c>
      <c r="K866" s="52"/>
      <c r="L866" s="51" t="s">
        <v>4</v>
      </c>
      <c r="M866" s="58"/>
      <c r="N866" s="58"/>
      <c r="O866" s="58"/>
      <c r="P866" s="58"/>
      <c r="Q866" s="58"/>
      <c r="R866" s="58"/>
      <c r="S866" s="58"/>
    </row>
    <row r="867" spans="1:19" s="59" customFormat="1" ht="18.75" customHeight="1" thickBot="1" x14ac:dyDescent="0.3">
      <c r="A867" s="59" t="s">
        <v>23</v>
      </c>
      <c r="B867" s="60" t="str">
        <f t="shared" ref="B867:B868" si="615">IF(K867=0,"hide","")</f>
        <v/>
      </c>
      <c r="D867" s="61" t="str">
        <f>"06941"</f>
        <v>06941</v>
      </c>
      <c r="E867" s="62" t="str">
        <f>"5"</f>
        <v>5</v>
      </c>
      <c r="F867" s="63">
        <v>81</v>
      </c>
      <c r="G867" s="63">
        <v>175.08333333333334</v>
      </c>
      <c r="H867" s="63">
        <v>87.166666666666671</v>
      </c>
      <c r="I867" s="63">
        <v>43.416666666666664</v>
      </c>
      <c r="J867" s="63">
        <v>0</v>
      </c>
      <c r="K867" s="63">
        <f>AVERAGE(I867:J867)</f>
        <v>21.708333333333332</v>
      </c>
      <c r="L867" s="64" t="str">
        <f>"1211 Muffins, WG, Blueberry, RF, IW"</f>
        <v>1211 Muffins, WG, Blueberry, RF, IW</v>
      </c>
      <c r="M867" s="65" t="str">
        <f>"48/3.6 oz"</f>
        <v>48/3.6 oz</v>
      </c>
      <c r="N867" s="66">
        <v>48</v>
      </c>
      <c r="O867" s="67">
        <v>1E-3</v>
      </c>
      <c r="P867" s="68">
        <f>1/O867</f>
        <v>1000</v>
      </c>
      <c r="Q867" s="53">
        <v>2.8400000000000001E-3</v>
      </c>
      <c r="R867" s="69">
        <f t="shared" ref="R867" si="616">1/Q867</f>
        <v>352.11267605633805</v>
      </c>
      <c r="S867" s="70">
        <f t="shared" ref="S867" si="617">R867*N867</f>
        <v>16901.408450704228</v>
      </c>
    </row>
    <row r="868" spans="1:19" ht="15.6" hidden="1" customHeight="1" thickBot="1" x14ac:dyDescent="0.3">
      <c r="A868" t="s">
        <v>23</v>
      </c>
      <c r="B868" s="60" t="str">
        <f t="shared" si="615"/>
        <v>hide</v>
      </c>
      <c r="D868" s="48" t="str">
        <f>D867</f>
        <v>06941</v>
      </c>
      <c r="E868" s="7"/>
      <c r="F868" s="27">
        <v>0</v>
      </c>
      <c r="G868" s="27">
        <v>0</v>
      </c>
      <c r="H868" s="27">
        <v>0</v>
      </c>
      <c r="I868" s="27">
        <v>0</v>
      </c>
      <c r="J868" s="27">
        <v>0</v>
      </c>
      <c r="K868" s="63">
        <f>AVERAGE(I868:J868)</f>
        <v>0</v>
      </c>
      <c r="L868" s="56" t="str">
        <f>"EQP-LAWPACK1"</f>
        <v>EQP-LAWPACK1</v>
      </c>
      <c r="M868" s="14"/>
      <c r="N868" s="15"/>
      <c r="O868" s="12"/>
      <c r="P868" s="34"/>
      <c r="Q868" s="37"/>
      <c r="R868" s="47"/>
      <c r="S868" s="46"/>
    </row>
    <row r="869" spans="1:19" ht="15.6" hidden="1" customHeight="1" thickBot="1" x14ac:dyDescent="0.3">
      <c r="A869" t="s">
        <v>23</v>
      </c>
      <c r="B869" s="60" t="str">
        <f t="shared" ref="B869:B871" si="618">IF(K869=0,"hide","")</f>
        <v>hide</v>
      </c>
      <c r="D869" s="48" t="str">
        <f>D868</f>
        <v>06941</v>
      </c>
      <c r="E869" s="7"/>
      <c r="F869" s="27">
        <v>0</v>
      </c>
      <c r="G869" s="27">
        <v>0</v>
      </c>
      <c r="H869" s="27">
        <v>0</v>
      </c>
      <c r="I869" s="27">
        <v>0</v>
      </c>
      <c r="J869" s="27">
        <v>0</v>
      </c>
      <c r="K869" s="63">
        <f>AVERAGE(I869:J869)</f>
        <v>0</v>
      </c>
      <c r="L869" s="56" t="str">
        <f>"EQP-LAWPACK2"</f>
        <v>EQP-LAWPACK2</v>
      </c>
      <c r="M869" s="14"/>
      <c r="N869" s="15"/>
      <c r="O869" s="12"/>
      <c r="P869" s="34"/>
      <c r="Q869" s="37"/>
      <c r="R869" s="47"/>
      <c r="S869" s="46"/>
    </row>
    <row r="870" spans="1:19" ht="15.6" hidden="1" customHeight="1" thickBot="1" x14ac:dyDescent="0.3">
      <c r="A870" t="s">
        <v>23</v>
      </c>
      <c r="B870" s="60" t="str">
        <f t="shared" si="618"/>
        <v>hide</v>
      </c>
      <c r="D870" s="48" t="str">
        <f>D869</f>
        <v>06941</v>
      </c>
      <c r="E870" s="7"/>
      <c r="F870" s="27">
        <v>0</v>
      </c>
      <c r="G870" s="27">
        <v>0</v>
      </c>
      <c r="H870" s="27">
        <v>0</v>
      </c>
      <c r="I870" s="27">
        <v>0</v>
      </c>
      <c r="J870" s="27">
        <v>0</v>
      </c>
      <c r="K870" s="63">
        <f>AVERAGE(I870:J870)</f>
        <v>0</v>
      </c>
      <c r="L870" s="56" t="str">
        <f>"SW-COMAS-PACKL"</f>
        <v>SW-COMAS-PACKL</v>
      </c>
      <c r="M870" s="14"/>
      <c r="N870" s="15"/>
      <c r="O870" s="12"/>
      <c r="P870" s="34"/>
      <c r="Q870" s="37"/>
      <c r="R870" s="47"/>
      <c r="S870" s="46"/>
    </row>
    <row r="871" spans="1:19" ht="15.6" hidden="1" customHeight="1" thickBot="1" x14ac:dyDescent="0.3">
      <c r="A871" t="s">
        <v>23</v>
      </c>
      <c r="B871" s="60" t="str">
        <f t="shared" si="618"/>
        <v>hide</v>
      </c>
      <c r="D871" s="48" t="str">
        <f>D870</f>
        <v>06941</v>
      </c>
      <c r="E871" s="7"/>
      <c r="F871" s="27">
        <v>0</v>
      </c>
      <c r="G871" s="27">
        <v>0</v>
      </c>
      <c r="H871" s="27">
        <v>0</v>
      </c>
      <c r="I871" s="27">
        <v>0</v>
      </c>
      <c r="J871" s="27">
        <v>0</v>
      </c>
      <c r="K871" s="63">
        <f>AVERAGE(I871:J871)</f>
        <v>0</v>
      </c>
      <c r="L871" s="56" t="str">
        <f>"SW-RISER-PACK"</f>
        <v>SW-RISER-PACK</v>
      </c>
      <c r="M871" s="14"/>
      <c r="N871" s="15"/>
      <c r="O871" s="12"/>
      <c r="P871" s="34"/>
      <c r="Q871" s="37"/>
      <c r="R871" s="47"/>
      <c r="S871" s="46"/>
    </row>
    <row r="872" spans="1:19" ht="12" hidden="1" customHeight="1" x14ac:dyDescent="0.3">
      <c r="A872" s="35" t="s">
        <v>908</v>
      </c>
      <c r="B872" s="49" t="str">
        <f>B868</f>
        <v>hide</v>
      </c>
      <c r="N872"/>
      <c r="Q872" s="33"/>
    </row>
    <row r="873" spans="1:19" ht="13.8" hidden="1" thickBot="1" x14ac:dyDescent="0.3">
      <c r="A873" t="s">
        <v>23</v>
      </c>
      <c r="B873" s="49" t="str">
        <f t="shared" ref="B873" si="619">B872</f>
        <v>hide</v>
      </c>
      <c r="D873" s="58"/>
      <c r="E873" s="58"/>
      <c r="F873" s="52">
        <f>SUM(F868:F872)</f>
        <v>0</v>
      </c>
      <c r="G873" s="52">
        <f>SUM(G868:G872)</f>
        <v>0</v>
      </c>
      <c r="H873" s="52">
        <f>SUM(H868:H872)</f>
        <v>0</v>
      </c>
      <c r="I873" s="52">
        <f>SUM(I868:I872)</f>
        <v>0</v>
      </c>
      <c r="J873" s="52">
        <f>SUM(J868:J872)</f>
        <v>0</v>
      </c>
      <c r="K873" s="52"/>
      <c r="L873" s="51" t="s">
        <v>4</v>
      </c>
      <c r="M873" s="58"/>
      <c r="N873" s="58"/>
      <c r="O873" s="58"/>
      <c r="P873" s="58"/>
      <c r="Q873" s="58"/>
      <c r="R873" s="58"/>
      <c r="S873" s="58"/>
    </row>
    <row r="874" spans="1:19" s="59" customFormat="1" ht="18.75" hidden="1" customHeight="1" thickBot="1" x14ac:dyDescent="0.3">
      <c r="A874" s="59" t="s">
        <v>23</v>
      </c>
      <c r="B874" s="60" t="str">
        <f t="shared" ref="B874:B875" si="620">IF(K874=0,"hide","")</f>
        <v>hide</v>
      </c>
      <c r="D874" s="61" t="str">
        <f>"06951"</f>
        <v>06951</v>
      </c>
      <c r="E874" s="62" t="str">
        <f>"5"</f>
        <v>5</v>
      </c>
      <c r="F874" s="63">
        <v>0</v>
      </c>
      <c r="G874" s="63">
        <v>0</v>
      </c>
      <c r="H874" s="63">
        <v>0</v>
      </c>
      <c r="I874" s="63">
        <v>0</v>
      </c>
      <c r="J874" s="63">
        <v>0</v>
      </c>
      <c r="K874" s="63">
        <f>AVERAGE(I874:J874)</f>
        <v>0</v>
      </c>
      <c r="L874" s="64" t="str">
        <f>"1353 Muffins, Tropical Banana, IW"</f>
        <v>1353 Muffins, Tropical Banana, IW</v>
      </c>
      <c r="M874" s="65" t="str">
        <f>"48/3.6 oz"</f>
        <v>48/3.6 oz</v>
      </c>
      <c r="N874" s="66">
        <v>48</v>
      </c>
      <c r="O874" s="67" t="str">
        <f>""</f>
        <v/>
      </c>
      <c r="P874" s="68" t="e">
        <f>1/O874</f>
        <v>#VALUE!</v>
      </c>
      <c r="Q874" s="53">
        <v>1</v>
      </c>
      <c r="R874" s="69">
        <f t="shared" ref="R874" si="621">1/Q874</f>
        <v>1</v>
      </c>
      <c r="S874" s="70">
        <f t="shared" ref="S874" si="622">R874*N874</f>
        <v>48</v>
      </c>
    </row>
    <row r="875" spans="1:19" ht="15.6" hidden="1" customHeight="1" thickBot="1" x14ac:dyDescent="0.3">
      <c r="A875" t="s">
        <v>23</v>
      </c>
      <c r="B875" s="60" t="str">
        <f t="shared" si="620"/>
        <v>hide</v>
      </c>
      <c r="D875" s="48" t="str">
        <f>D874</f>
        <v>06951</v>
      </c>
      <c r="E875" s="7"/>
      <c r="F875" s="27">
        <v>0</v>
      </c>
      <c r="G875" s="27">
        <v>0</v>
      </c>
      <c r="H875" s="27">
        <v>0</v>
      </c>
      <c r="I875" s="27">
        <v>0</v>
      </c>
      <c r="J875" s="27">
        <v>0</v>
      </c>
      <c r="K875" s="63">
        <f>AVERAGE(I875:J875)</f>
        <v>0</v>
      </c>
      <c r="L875" s="56" t="str">
        <f>"EQP-LAWPACK1"</f>
        <v>EQP-LAWPACK1</v>
      </c>
      <c r="M875" s="14"/>
      <c r="N875" s="15"/>
      <c r="O875" s="12"/>
      <c r="P875" s="34"/>
      <c r="Q875" s="37"/>
      <c r="R875" s="47"/>
      <c r="S875" s="46"/>
    </row>
    <row r="876" spans="1:19" ht="15.6" hidden="1" customHeight="1" thickBot="1" x14ac:dyDescent="0.3">
      <c r="A876" t="s">
        <v>23</v>
      </c>
      <c r="B876" s="60" t="str">
        <f t="shared" ref="B876:B878" si="623">IF(K876=0,"hide","")</f>
        <v>hide</v>
      </c>
      <c r="D876" s="48" t="str">
        <f>D875</f>
        <v>06951</v>
      </c>
      <c r="E876" s="7"/>
      <c r="F876" s="27">
        <v>0</v>
      </c>
      <c r="G876" s="27">
        <v>0</v>
      </c>
      <c r="H876" s="27">
        <v>0</v>
      </c>
      <c r="I876" s="27">
        <v>0</v>
      </c>
      <c r="J876" s="27">
        <v>0</v>
      </c>
      <c r="K876" s="63">
        <f>AVERAGE(I876:J876)</f>
        <v>0</v>
      </c>
      <c r="L876" s="56" t="str">
        <f>"EQP-LAWPACK2"</f>
        <v>EQP-LAWPACK2</v>
      </c>
      <c r="M876" s="14"/>
      <c r="N876" s="15"/>
      <c r="O876" s="12"/>
      <c r="P876" s="34"/>
      <c r="Q876" s="37"/>
      <c r="R876" s="47"/>
      <c r="S876" s="46"/>
    </row>
    <row r="877" spans="1:19" ht="15.6" hidden="1" customHeight="1" thickBot="1" x14ac:dyDescent="0.3">
      <c r="A877" t="s">
        <v>23</v>
      </c>
      <c r="B877" s="60" t="str">
        <f t="shared" si="623"/>
        <v>hide</v>
      </c>
      <c r="D877" s="48" t="str">
        <f>D876</f>
        <v>06951</v>
      </c>
      <c r="E877" s="7"/>
      <c r="F877" s="27">
        <v>0</v>
      </c>
      <c r="G877" s="27">
        <v>0</v>
      </c>
      <c r="H877" s="27">
        <v>0</v>
      </c>
      <c r="I877" s="27">
        <v>0</v>
      </c>
      <c r="J877" s="27">
        <v>0</v>
      </c>
      <c r="K877" s="63">
        <f>AVERAGE(I877:J877)</f>
        <v>0</v>
      </c>
      <c r="L877" s="56" t="str">
        <f>"SW-COMAS-PACKL"</f>
        <v>SW-COMAS-PACKL</v>
      </c>
      <c r="M877" s="14"/>
      <c r="N877" s="15"/>
      <c r="O877" s="12"/>
      <c r="P877" s="34"/>
      <c r="Q877" s="37"/>
      <c r="R877" s="47"/>
      <c r="S877" s="46"/>
    </row>
    <row r="878" spans="1:19" ht="15.6" hidden="1" customHeight="1" thickBot="1" x14ac:dyDescent="0.3">
      <c r="A878" t="s">
        <v>23</v>
      </c>
      <c r="B878" s="60" t="str">
        <f t="shared" si="623"/>
        <v>hide</v>
      </c>
      <c r="D878" s="48" t="str">
        <f>D877</f>
        <v>06951</v>
      </c>
      <c r="E878" s="7"/>
      <c r="F878" s="27">
        <v>0</v>
      </c>
      <c r="G878" s="27">
        <v>0</v>
      </c>
      <c r="H878" s="27">
        <v>0</v>
      </c>
      <c r="I878" s="27">
        <v>0</v>
      </c>
      <c r="J878" s="27">
        <v>0</v>
      </c>
      <c r="K878" s="63">
        <f>AVERAGE(I878:J878)</f>
        <v>0</v>
      </c>
      <c r="L878" s="56" t="str">
        <f>"SW-RISER-PACK"</f>
        <v>SW-RISER-PACK</v>
      </c>
      <c r="M878" s="14"/>
      <c r="N878" s="15"/>
      <c r="O878" s="12"/>
      <c r="P878" s="34"/>
      <c r="Q878" s="37"/>
      <c r="R878" s="47"/>
      <c r="S878" s="46"/>
    </row>
    <row r="879" spans="1:19" ht="12" hidden="1" customHeight="1" x14ac:dyDescent="0.3">
      <c r="A879" s="35" t="s">
        <v>908</v>
      </c>
      <c r="B879" s="49" t="str">
        <f>B875</f>
        <v>hide</v>
      </c>
      <c r="N879"/>
      <c r="Q879" s="33"/>
    </row>
    <row r="880" spans="1:19" ht="13.8" hidden="1" thickBot="1" x14ac:dyDescent="0.3">
      <c r="A880" t="s">
        <v>23</v>
      </c>
      <c r="B880" s="49" t="str">
        <f t="shared" ref="B880" si="624">B879</f>
        <v>hide</v>
      </c>
      <c r="D880" s="58"/>
      <c r="E880" s="58"/>
      <c r="F880" s="52">
        <f>SUM(F875:F879)</f>
        <v>0</v>
      </c>
      <c r="G880" s="52">
        <f>SUM(G875:G879)</f>
        <v>0</v>
      </c>
      <c r="H880" s="52">
        <f>SUM(H875:H879)</f>
        <v>0</v>
      </c>
      <c r="I880" s="52">
        <f>SUM(I875:I879)</f>
        <v>0</v>
      </c>
      <c r="J880" s="52">
        <f>SUM(J875:J879)</f>
        <v>0</v>
      </c>
      <c r="K880" s="52"/>
      <c r="L880" s="51" t="s">
        <v>4</v>
      </c>
      <c r="M880" s="58"/>
      <c r="N880" s="58"/>
      <c r="O880" s="58"/>
      <c r="P880" s="58"/>
      <c r="Q880" s="58"/>
      <c r="R880" s="58"/>
      <c r="S880" s="58"/>
    </row>
    <row r="881" spans="1:19" s="59" customFormat="1" ht="18.75" hidden="1" customHeight="1" thickBot="1" x14ac:dyDescent="0.3">
      <c r="A881" s="59" t="s">
        <v>23</v>
      </c>
      <c r="B881" s="60" t="str">
        <f t="shared" ref="B881:B882" si="625">IF(K881=0,"hide","")</f>
        <v>hide</v>
      </c>
      <c r="D881" s="61" t="str">
        <f>"06961"</f>
        <v>06961</v>
      </c>
      <c r="E881" s="62" t="str">
        <f>"3"</f>
        <v>3</v>
      </c>
      <c r="F881" s="63">
        <v>0</v>
      </c>
      <c r="G881" s="63">
        <v>0</v>
      </c>
      <c r="H881" s="63">
        <v>0</v>
      </c>
      <c r="I881" s="63">
        <v>0</v>
      </c>
      <c r="J881" s="63">
        <v>0</v>
      </c>
      <c r="K881" s="63">
        <f>AVERAGE(I881:J881)</f>
        <v>0</v>
      </c>
      <c r="L881" s="64" t="str">
        <f>"1360 Muffin, Blubry, Low Fat, IW"</f>
        <v>1360 Muffin, Blubry, Low Fat, IW</v>
      </c>
      <c r="M881" s="65" t="str">
        <f>"48/3.6 oz"</f>
        <v>48/3.6 oz</v>
      </c>
      <c r="N881" s="66">
        <v>48</v>
      </c>
      <c r="O881" s="67" t="str">
        <f>""</f>
        <v/>
      </c>
      <c r="P881" s="68" t="e">
        <f>1/O881</f>
        <v>#VALUE!</v>
      </c>
      <c r="Q881" s="53">
        <v>1</v>
      </c>
      <c r="R881" s="69">
        <f t="shared" ref="R881" si="626">1/Q881</f>
        <v>1</v>
      </c>
      <c r="S881" s="70">
        <f t="shared" ref="S881" si="627">R881*N881</f>
        <v>48</v>
      </c>
    </row>
    <row r="882" spans="1:19" ht="15.6" hidden="1" customHeight="1" thickBot="1" x14ac:dyDescent="0.3">
      <c r="A882" t="s">
        <v>23</v>
      </c>
      <c r="B882" s="60" t="str">
        <f t="shared" si="625"/>
        <v>hide</v>
      </c>
      <c r="D882" s="48" t="str">
        <f>D881</f>
        <v>06961</v>
      </c>
      <c r="E882" s="7"/>
      <c r="F882" s="27">
        <v>0</v>
      </c>
      <c r="G882" s="27">
        <v>0</v>
      </c>
      <c r="H882" s="27">
        <v>0</v>
      </c>
      <c r="I882" s="27">
        <v>0</v>
      </c>
      <c r="J882" s="27">
        <v>0</v>
      </c>
      <c r="K882" s="63">
        <f>AVERAGE(I882:J882)</f>
        <v>0</v>
      </c>
      <c r="L882" s="56" t="str">
        <f>"EQP-LAWPACK1"</f>
        <v>EQP-LAWPACK1</v>
      </c>
      <c r="M882" s="14"/>
      <c r="N882" s="15"/>
      <c r="O882" s="12"/>
      <c r="P882" s="34"/>
      <c r="Q882" s="37"/>
      <c r="R882" s="47"/>
      <c r="S882" s="46"/>
    </row>
    <row r="883" spans="1:19" ht="15.6" hidden="1" customHeight="1" thickBot="1" x14ac:dyDescent="0.3">
      <c r="A883" t="s">
        <v>23</v>
      </c>
      <c r="B883" s="60" t="str">
        <f t="shared" ref="B883:B885" si="628">IF(K883=0,"hide","")</f>
        <v>hide</v>
      </c>
      <c r="D883" s="48" t="str">
        <f>D882</f>
        <v>06961</v>
      </c>
      <c r="E883" s="7"/>
      <c r="F883" s="27">
        <v>0</v>
      </c>
      <c r="G883" s="27">
        <v>0</v>
      </c>
      <c r="H883" s="27">
        <v>0</v>
      </c>
      <c r="I883" s="27">
        <v>0</v>
      </c>
      <c r="J883" s="27">
        <v>0</v>
      </c>
      <c r="K883" s="63">
        <f>AVERAGE(I883:J883)</f>
        <v>0</v>
      </c>
      <c r="L883" s="56" t="str">
        <f>"EQP-LAWPACK2"</f>
        <v>EQP-LAWPACK2</v>
      </c>
      <c r="M883" s="14"/>
      <c r="N883" s="15"/>
      <c r="O883" s="12"/>
      <c r="P883" s="34"/>
      <c r="Q883" s="37"/>
      <c r="R883" s="47"/>
      <c r="S883" s="46"/>
    </row>
    <row r="884" spans="1:19" ht="15.6" hidden="1" customHeight="1" thickBot="1" x14ac:dyDescent="0.3">
      <c r="A884" t="s">
        <v>23</v>
      </c>
      <c r="B884" s="60" t="str">
        <f t="shared" si="628"/>
        <v>hide</v>
      </c>
      <c r="D884" s="48" t="str">
        <f>D883</f>
        <v>06961</v>
      </c>
      <c r="E884" s="7"/>
      <c r="F884" s="27">
        <v>0</v>
      </c>
      <c r="G884" s="27">
        <v>0</v>
      </c>
      <c r="H884" s="27">
        <v>0</v>
      </c>
      <c r="I884" s="27">
        <v>0</v>
      </c>
      <c r="J884" s="27">
        <v>0</v>
      </c>
      <c r="K884" s="63">
        <f>AVERAGE(I884:J884)</f>
        <v>0</v>
      </c>
      <c r="L884" s="56" t="str">
        <f>"SW-COMAS-PACKL"</f>
        <v>SW-COMAS-PACKL</v>
      </c>
      <c r="M884" s="14"/>
      <c r="N884" s="15"/>
      <c r="O884" s="12"/>
      <c r="P884" s="34"/>
      <c r="Q884" s="37"/>
      <c r="R884" s="47"/>
      <c r="S884" s="46"/>
    </row>
    <row r="885" spans="1:19" ht="15.6" hidden="1" customHeight="1" thickBot="1" x14ac:dyDescent="0.3">
      <c r="A885" t="s">
        <v>23</v>
      </c>
      <c r="B885" s="60" t="str">
        <f t="shared" si="628"/>
        <v>hide</v>
      </c>
      <c r="D885" s="48" t="str">
        <f>D884</f>
        <v>06961</v>
      </c>
      <c r="E885" s="7"/>
      <c r="F885" s="27">
        <v>0</v>
      </c>
      <c r="G885" s="27">
        <v>0</v>
      </c>
      <c r="H885" s="27">
        <v>0</v>
      </c>
      <c r="I885" s="27">
        <v>0</v>
      </c>
      <c r="J885" s="27">
        <v>0</v>
      </c>
      <c r="K885" s="63">
        <f>AVERAGE(I885:J885)</f>
        <v>0</v>
      </c>
      <c r="L885" s="56" t="str">
        <f>"SW-RISER-PACK"</f>
        <v>SW-RISER-PACK</v>
      </c>
      <c r="M885" s="14"/>
      <c r="N885" s="15"/>
      <c r="O885" s="12"/>
      <c r="P885" s="34"/>
      <c r="Q885" s="37"/>
      <c r="R885" s="47"/>
      <c r="S885" s="46"/>
    </row>
    <row r="886" spans="1:19" ht="12" hidden="1" customHeight="1" x14ac:dyDescent="0.3">
      <c r="A886" s="35" t="s">
        <v>908</v>
      </c>
      <c r="B886" s="49" t="str">
        <f>B882</f>
        <v>hide</v>
      </c>
      <c r="N886"/>
      <c r="Q886" s="33"/>
    </row>
    <row r="887" spans="1:19" ht="13.8" hidden="1" thickBot="1" x14ac:dyDescent="0.3">
      <c r="A887" t="s">
        <v>23</v>
      </c>
      <c r="B887" s="49" t="str">
        <f t="shared" ref="B887" si="629">B886</f>
        <v>hide</v>
      </c>
      <c r="D887" s="58"/>
      <c r="E887" s="58"/>
      <c r="F887" s="52">
        <f>SUM(F882:F886)</f>
        <v>0</v>
      </c>
      <c r="G887" s="52">
        <f>SUM(G882:G886)</f>
        <v>0</v>
      </c>
      <c r="H887" s="52">
        <f>SUM(H882:H886)</f>
        <v>0</v>
      </c>
      <c r="I887" s="52">
        <f>SUM(I882:I886)</f>
        <v>0</v>
      </c>
      <c r="J887" s="52">
        <f>SUM(J882:J886)</f>
        <v>0</v>
      </c>
      <c r="K887" s="52"/>
      <c r="L887" s="51" t="s">
        <v>4</v>
      </c>
      <c r="M887" s="58"/>
      <c r="N887" s="58"/>
      <c r="O887" s="58"/>
      <c r="P887" s="58"/>
      <c r="Q887" s="58"/>
      <c r="R887" s="58"/>
      <c r="S887" s="58"/>
    </row>
    <row r="888" spans="1:19" s="59" customFormat="1" ht="18.75" hidden="1" customHeight="1" thickBot="1" x14ac:dyDescent="0.3">
      <c r="A888" s="59" t="s">
        <v>23</v>
      </c>
      <c r="B888" s="60" t="str">
        <f t="shared" ref="B888:B889" si="630">IF(K888=0,"hide","")</f>
        <v>hide</v>
      </c>
      <c r="D888" s="61" t="str">
        <f>"06966"</f>
        <v>06966</v>
      </c>
      <c r="E888" s="62" t="str">
        <f>"3"</f>
        <v>3</v>
      </c>
      <c r="F888" s="63">
        <v>0</v>
      </c>
      <c r="G888" s="63">
        <v>0</v>
      </c>
      <c r="H888" s="63">
        <v>0</v>
      </c>
      <c r="I888" s="63">
        <v>0</v>
      </c>
      <c r="J888" s="63">
        <v>0</v>
      </c>
      <c r="K888" s="63">
        <f>AVERAGE(I888:J888)</f>
        <v>0</v>
      </c>
      <c r="L888" s="64" t="str">
        <f>"1367 Muffin, Apple Cinn, Low Fat, IW"</f>
        <v>1367 Muffin, Apple Cinn, Low Fat, IW</v>
      </c>
      <c r="M888" s="65" t="str">
        <f>"48/3.6 oz"</f>
        <v>48/3.6 oz</v>
      </c>
      <c r="N888" s="66">
        <v>48</v>
      </c>
      <c r="O888" s="67" t="str">
        <f>""</f>
        <v/>
      </c>
      <c r="P888" s="68" t="e">
        <f>1/O888</f>
        <v>#VALUE!</v>
      </c>
      <c r="Q888" s="53">
        <v>1</v>
      </c>
      <c r="R888" s="69">
        <f t="shared" ref="R888" si="631">1/Q888</f>
        <v>1</v>
      </c>
      <c r="S888" s="70">
        <f t="shared" ref="S888" si="632">R888*N888</f>
        <v>48</v>
      </c>
    </row>
    <row r="889" spans="1:19" ht="15.6" hidden="1" customHeight="1" thickBot="1" x14ac:dyDescent="0.3">
      <c r="A889" t="s">
        <v>23</v>
      </c>
      <c r="B889" s="60" t="str">
        <f t="shared" si="630"/>
        <v>hide</v>
      </c>
      <c r="D889" s="48" t="str">
        <f>D888</f>
        <v>06966</v>
      </c>
      <c r="E889" s="7"/>
      <c r="F889" s="27">
        <v>0</v>
      </c>
      <c r="G889" s="27">
        <v>0</v>
      </c>
      <c r="H889" s="27">
        <v>0</v>
      </c>
      <c r="I889" s="27">
        <v>0</v>
      </c>
      <c r="J889" s="27">
        <v>0</v>
      </c>
      <c r="K889" s="63">
        <f>AVERAGE(I889:J889)</f>
        <v>0</v>
      </c>
      <c r="L889" s="56" t="str">
        <f>"EQP-LAWPACK1"</f>
        <v>EQP-LAWPACK1</v>
      </c>
      <c r="M889" s="14"/>
      <c r="N889" s="15"/>
      <c r="O889" s="12"/>
      <c r="P889" s="34"/>
      <c r="Q889" s="37"/>
      <c r="R889" s="47"/>
      <c r="S889" s="46"/>
    </row>
    <row r="890" spans="1:19" ht="15.6" hidden="1" customHeight="1" thickBot="1" x14ac:dyDescent="0.3">
      <c r="A890" t="s">
        <v>23</v>
      </c>
      <c r="B890" s="60" t="str">
        <f t="shared" ref="B890:B892" si="633">IF(K890=0,"hide","")</f>
        <v>hide</v>
      </c>
      <c r="D890" s="48" t="str">
        <f>D889</f>
        <v>06966</v>
      </c>
      <c r="E890" s="7"/>
      <c r="F890" s="27">
        <v>0</v>
      </c>
      <c r="G890" s="27">
        <v>0</v>
      </c>
      <c r="H890" s="27">
        <v>0</v>
      </c>
      <c r="I890" s="27">
        <v>0</v>
      </c>
      <c r="J890" s="27">
        <v>0</v>
      </c>
      <c r="K890" s="63">
        <f>AVERAGE(I890:J890)</f>
        <v>0</v>
      </c>
      <c r="L890" s="56" t="str">
        <f>"EQP-LAWPACK2"</f>
        <v>EQP-LAWPACK2</v>
      </c>
      <c r="M890" s="14"/>
      <c r="N890" s="15"/>
      <c r="O890" s="12"/>
      <c r="P890" s="34"/>
      <c r="Q890" s="37"/>
      <c r="R890" s="47"/>
      <c r="S890" s="46"/>
    </row>
    <row r="891" spans="1:19" ht="15.6" hidden="1" customHeight="1" thickBot="1" x14ac:dyDescent="0.3">
      <c r="A891" t="s">
        <v>23</v>
      </c>
      <c r="B891" s="60" t="str">
        <f t="shared" si="633"/>
        <v>hide</v>
      </c>
      <c r="D891" s="48" t="str">
        <f>D890</f>
        <v>06966</v>
      </c>
      <c r="E891" s="7"/>
      <c r="F891" s="27">
        <v>0</v>
      </c>
      <c r="G891" s="27">
        <v>0</v>
      </c>
      <c r="H891" s="27">
        <v>0</v>
      </c>
      <c r="I891" s="27">
        <v>0</v>
      </c>
      <c r="J891" s="27">
        <v>0</v>
      </c>
      <c r="K891" s="63">
        <f>AVERAGE(I891:J891)</f>
        <v>0</v>
      </c>
      <c r="L891" s="56" t="str">
        <f>"SW-COMAS-PACKL"</f>
        <v>SW-COMAS-PACKL</v>
      </c>
      <c r="M891" s="14"/>
      <c r="N891" s="15"/>
      <c r="O891" s="12"/>
      <c r="P891" s="34"/>
      <c r="Q891" s="37"/>
      <c r="R891" s="47"/>
      <c r="S891" s="46"/>
    </row>
    <row r="892" spans="1:19" ht="15.6" hidden="1" customHeight="1" thickBot="1" x14ac:dyDescent="0.3">
      <c r="A892" t="s">
        <v>23</v>
      </c>
      <c r="B892" s="60" t="str">
        <f t="shared" si="633"/>
        <v>hide</v>
      </c>
      <c r="D892" s="48" t="str">
        <f>D891</f>
        <v>06966</v>
      </c>
      <c r="E892" s="7"/>
      <c r="F892" s="27">
        <v>0</v>
      </c>
      <c r="G892" s="27">
        <v>0</v>
      </c>
      <c r="H892" s="27">
        <v>0</v>
      </c>
      <c r="I892" s="27">
        <v>0</v>
      </c>
      <c r="J892" s="27">
        <v>0</v>
      </c>
      <c r="K892" s="63">
        <f>AVERAGE(I892:J892)</f>
        <v>0</v>
      </c>
      <c r="L892" s="56" t="str">
        <f>"SW-RISER-PACK"</f>
        <v>SW-RISER-PACK</v>
      </c>
      <c r="M892" s="14"/>
      <c r="N892" s="15"/>
      <c r="O892" s="12"/>
      <c r="P892" s="34"/>
      <c r="Q892" s="37"/>
      <c r="R892" s="47"/>
      <c r="S892" s="46"/>
    </row>
    <row r="893" spans="1:19" ht="12" hidden="1" customHeight="1" x14ac:dyDescent="0.3">
      <c r="A893" s="35" t="s">
        <v>908</v>
      </c>
      <c r="B893" s="49" t="str">
        <f>B889</f>
        <v>hide</v>
      </c>
      <c r="N893"/>
      <c r="Q893" s="33"/>
    </row>
    <row r="894" spans="1:19" ht="13.8" hidden="1" thickBot="1" x14ac:dyDescent="0.3">
      <c r="A894" t="s">
        <v>23</v>
      </c>
      <c r="B894" s="49" t="str">
        <f t="shared" ref="B894" si="634">B893</f>
        <v>hide</v>
      </c>
      <c r="D894" s="58"/>
      <c r="E894" s="58"/>
      <c r="F894" s="52">
        <f>SUM(F889:F893)</f>
        <v>0</v>
      </c>
      <c r="G894" s="52">
        <f>SUM(G889:G893)</f>
        <v>0</v>
      </c>
      <c r="H894" s="52">
        <f>SUM(H889:H893)</f>
        <v>0</v>
      </c>
      <c r="I894" s="52">
        <f>SUM(I889:I893)</f>
        <v>0</v>
      </c>
      <c r="J894" s="52">
        <f>SUM(J889:J893)</f>
        <v>0</v>
      </c>
      <c r="K894" s="52"/>
      <c r="L894" s="51" t="s">
        <v>4</v>
      </c>
      <c r="M894" s="58"/>
      <c r="N894" s="58"/>
      <c r="O894" s="58"/>
      <c r="P894" s="58"/>
      <c r="Q894" s="58"/>
      <c r="R894" s="58"/>
      <c r="S894" s="58"/>
    </row>
    <row r="895" spans="1:19" s="59" customFormat="1" ht="18.75" hidden="1" customHeight="1" thickBot="1" x14ac:dyDescent="0.3">
      <c r="A895" s="59" t="s">
        <v>23</v>
      </c>
      <c r="B895" s="60" t="str">
        <f t="shared" ref="B895:B896" si="635">IF(K895=0,"hide","")</f>
        <v>hide</v>
      </c>
      <c r="D895" s="61" t="str">
        <f>"06975"</f>
        <v>06975</v>
      </c>
      <c r="E895" s="62" t="str">
        <f>"3"</f>
        <v>3</v>
      </c>
      <c r="F895" s="63">
        <v>0</v>
      </c>
      <c r="G895" s="63">
        <v>0</v>
      </c>
      <c r="H895" s="63">
        <v>0</v>
      </c>
      <c r="I895" s="63">
        <v>0</v>
      </c>
      <c r="J895" s="63">
        <v>0</v>
      </c>
      <c r="K895" s="63">
        <f>AVERAGE(I895:J895)</f>
        <v>0</v>
      </c>
      <c r="L895" s="64" t="str">
        <f>"1366 Muffins, Banana, Low Fat, IW"</f>
        <v>1366 Muffins, Banana, Low Fat, IW</v>
      </c>
      <c r="M895" s="65" t="str">
        <f>"48/3.6 oz"</f>
        <v>48/3.6 oz</v>
      </c>
      <c r="N895" s="66">
        <v>48</v>
      </c>
      <c r="O895" s="67" t="str">
        <f>""</f>
        <v/>
      </c>
      <c r="P895" s="68" t="e">
        <f>1/O895</f>
        <v>#VALUE!</v>
      </c>
      <c r="Q895" s="53">
        <v>1</v>
      </c>
      <c r="R895" s="69">
        <f t="shared" ref="R895" si="636">1/Q895</f>
        <v>1</v>
      </c>
      <c r="S895" s="70">
        <f t="shared" ref="S895" si="637">R895*N895</f>
        <v>48</v>
      </c>
    </row>
    <row r="896" spans="1:19" ht="15.6" hidden="1" customHeight="1" thickBot="1" x14ac:dyDescent="0.3">
      <c r="A896" t="s">
        <v>23</v>
      </c>
      <c r="B896" s="60" t="str">
        <f t="shared" si="635"/>
        <v>hide</v>
      </c>
      <c r="D896" s="48" t="str">
        <f>D895</f>
        <v>06975</v>
      </c>
      <c r="E896" s="7"/>
      <c r="F896" s="27">
        <v>0</v>
      </c>
      <c r="G896" s="27">
        <v>0</v>
      </c>
      <c r="H896" s="27">
        <v>0</v>
      </c>
      <c r="I896" s="27">
        <v>0</v>
      </c>
      <c r="J896" s="27">
        <v>0</v>
      </c>
      <c r="K896" s="63">
        <f>AVERAGE(I896:J896)</f>
        <v>0</v>
      </c>
      <c r="L896" s="56" t="str">
        <f>"EQP-LAWPACK1"</f>
        <v>EQP-LAWPACK1</v>
      </c>
      <c r="M896" s="14"/>
      <c r="N896" s="15"/>
      <c r="O896" s="12"/>
      <c r="P896" s="34"/>
      <c r="Q896" s="37"/>
      <c r="R896" s="47"/>
      <c r="S896" s="46"/>
    </row>
    <row r="897" spans="1:19" ht="15.6" hidden="1" customHeight="1" thickBot="1" x14ac:dyDescent="0.3">
      <c r="A897" t="s">
        <v>23</v>
      </c>
      <c r="B897" s="60" t="str">
        <f t="shared" ref="B897:B899" si="638">IF(K897=0,"hide","")</f>
        <v>hide</v>
      </c>
      <c r="D897" s="48" t="str">
        <f>D896</f>
        <v>06975</v>
      </c>
      <c r="E897" s="7"/>
      <c r="F897" s="27">
        <v>0</v>
      </c>
      <c r="G897" s="27">
        <v>0</v>
      </c>
      <c r="H897" s="27">
        <v>0</v>
      </c>
      <c r="I897" s="27">
        <v>0</v>
      </c>
      <c r="J897" s="27">
        <v>0</v>
      </c>
      <c r="K897" s="63">
        <f>AVERAGE(I897:J897)</f>
        <v>0</v>
      </c>
      <c r="L897" s="56" t="str">
        <f>"EQP-LAWPACK2"</f>
        <v>EQP-LAWPACK2</v>
      </c>
      <c r="M897" s="14"/>
      <c r="N897" s="15"/>
      <c r="O897" s="12"/>
      <c r="P897" s="34"/>
      <c r="Q897" s="37"/>
      <c r="R897" s="47"/>
      <c r="S897" s="46"/>
    </row>
    <row r="898" spans="1:19" ht="15.6" hidden="1" customHeight="1" thickBot="1" x14ac:dyDescent="0.3">
      <c r="A898" t="s">
        <v>23</v>
      </c>
      <c r="B898" s="60" t="str">
        <f t="shared" si="638"/>
        <v>hide</v>
      </c>
      <c r="D898" s="48" t="str">
        <f>D897</f>
        <v>06975</v>
      </c>
      <c r="E898" s="7"/>
      <c r="F898" s="27">
        <v>0</v>
      </c>
      <c r="G898" s="27">
        <v>0</v>
      </c>
      <c r="H898" s="27">
        <v>0</v>
      </c>
      <c r="I898" s="27">
        <v>0</v>
      </c>
      <c r="J898" s="27">
        <v>0</v>
      </c>
      <c r="K898" s="63">
        <f>AVERAGE(I898:J898)</f>
        <v>0</v>
      </c>
      <c r="L898" s="56" t="str">
        <f>"SW-COMAS-PACKL"</f>
        <v>SW-COMAS-PACKL</v>
      </c>
      <c r="M898" s="14"/>
      <c r="N898" s="15"/>
      <c r="O898" s="12"/>
      <c r="P898" s="34"/>
      <c r="Q898" s="37"/>
      <c r="R898" s="47"/>
      <c r="S898" s="46"/>
    </row>
    <row r="899" spans="1:19" ht="15.6" hidden="1" customHeight="1" thickBot="1" x14ac:dyDescent="0.3">
      <c r="A899" t="s">
        <v>23</v>
      </c>
      <c r="B899" s="60" t="str">
        <f t="shared" si="638"/>
        <v>hide</v>
      </c>
      <c r="D899" s="48" t="str">
        <f>D898</f>
        <v>06975</v>
      </c>
      <c r="E899" s="7"/>
      <c r="F899" s="27">
        <v>0</v>
      </c>
      <c r="G899" s="27">
        <v>0</v>
      </c>
      <c r="H899" s="27">
        <v>0</v>
      </c>
      <c r="I899" s="27">
        <v>0</v>
      </c>
      <c r="J899" s="27">
        <v>0</v>
      </c>
      <c r="K899" s="63">
        <f>AVERAGE(I899:J899)</f>
        <v>0</v>
      </c>
      <c r="L899" s="56" t="str">
        <f>"SW-RISER-PACK"</f>
        <v>SW-RISER-PACK</v>
      </c>
      <c r="M899" s="14"/>
      <c r="N899" s="15"/>
      <c r="O899" s="12"/>
      <c r="P899" s="34"/>
      <c r="Q899" s="37"/>
      <c r="R899" s="47"/>
      <c r="S899" s="46"/>
    </row>
    <row r="900" spans="1:19" ht="12" hidden="1" customHeight="1" x14ac:dyDescent="0.3">
      <c r="A900" s="35" t="s">
        <v>908</v>
      </c>
      <c r="B900" s="49" t="str">
        <f>B896</f>
        <v>hide</v>
      </c>
      <c r="N900"/>
      <c r="Q900" s="33"/>
    </row>
    <row r="901" spans="1:19" ht="13.8" hidden="1" thickBot="1" x14ac:dyDescent="0.3">
      <c r="A901" t="s">
        <v>23</v>
      </c>
      <c r="B901" s="49" t="str">
        <f t="shared" ref="B901" si="639">B900</f>
        <v>hide</v>
      </c>
      <c r="D901" s="58"/>
      <c r="E901" s="58"/>
      <c r="F901" s="52">
        <f>SUM(F896:F900)</f>
        <v>0</v>
      </c>
      <c r="G901" s="52">
        <f>SUM(G896:G900)</f>
        <v>0</v>
      </c>
      <c r="H901" s="52">
        <f>SUM(H896:H900)</f>
        <v>0</v>
      </c>
      <c r="I901" s="52">
        <f>SUM(I896:I900)</f>
        <v>0</v>
      </c>
      <c r="J901" s="52">
        <f>SUM(J896:J900)</f>
        <v>0</v>
      </c>
      <c r="K901" s="52"/>
      <c r="L901" s="51" t="s">
        <v>4</v>
      </c>
      <c r="M901" s="58"/>
      <c r="N901" s="58"/>
      <c r="O901" s="58"/>
      <c r="P901" s="58"/>
      <c r="Q901" s="58"/>
      <c r="R901" s="58"/>
      <c r="S901" s="58"/>
    </row>
    <row r="902" spans="1:19" s="59" customFormat="1" ht="18.75" customHeight="1" thickBot="1" x14ac:dyDescent="0.3">
      <c r="A902" s="59" t="s">
        <v>23</v>
      </c>
      <c r="B902" s="60" t="str">
        <f t="shared" ref="B902:B903" si="640">IF(K902=0,"hide","")</f>
        <v/>
      </c>
      <c r="D902" s="61" t="str">
        <f>"07661"</f>
        <v>07661</v>
      </c>
      <c r="E902" s="62" t="str">
        <f>"7"</f>
        <v>7</v>
      </c>
      <c r="F902" s="63">
        <v>147.58333333333334</v>
      </c>
      <c r="G902" s="63">
        <v>194</v>
      </c>
      <c r="H902" s="63">
        <v>269.75</v>
      </c>
      <c r="I902" s="63">
        <v>315.50000000000006</v>
      </c>
      <c r="J902" s="63">
        <v>288.86457831325305</v>
      </c>
      <c r="K902" s="63">
        <f>AVERAGE(I902:J902)</f>
        <v>302.18228915662655</v>
      </c>
      <c r="L902" s="64" t="str">
        <f>"Smart Choice Blueberry Muffin"</f>
        <v>Smart Choice Blueberry Muffin</v>
      </c>
      <c r="M902" s="65" t="str">
        <f>"48-4 oz. I.W."</f>
        <v>48-4 oz. I.W.</v>
      </c>
      <c r="N902" s="66">
        <v>48</v>
      </c>
      <c r="O902" s="67">
        <v>1E-3</v>
      </c>
      <c r="P902" s="68">
        <f>1/O902</f>
        <v>1000</v>
      </c>
      <c r="Q902" s="53">
        <v>2.7899999999999999E-3</v>
      </c>
      <c r="R902" s="69">
        <f t="shared" ref="R902" si="641">1/Q902</f>
        <v>358.42293906810039</v>
      </c>
      <c r="S902" s="70">
        <f t="shared" ref="S902" si="642">R902*N902</f>
        <v>17204.301075268821</v>
      </c>
    </row>
    <row r="903" spans="1:19" ht="15.6" hidden="1" customHeight="1" thickBot="1" x14ac:dyDescent="0.3">
      <c r="A903" t="s">
        <v>23</v>
      </c>
      <c r="B903" s="60" t="str">
        <f t="shared" si="640"/>
        <v>hide</v>
      </c>
      <c r="D903" s="48" t="str">
        <f>D902</f>
        <v>07661</v>
      </c>
      <c r="E903" s="7"/>
      <c r="F903" s="27">
        <v>-25.338333333333335</v>
      </c>
      <c r="G903" s="27">
        <v>-76.015000000000001</v>
      </c>
      <c r="H903" s="27">
        <v>-44.333333333333336</v>
      </c>
      <c r="I903" s="27">
        <v>0</v>
      </c>
      <c r="J903" s="27">
        <v>0</v>
      </c>
      <c r="K903" s="63">
        <f>AVERAGE(I903:J903)</f>
        <v>0</v>
      </c>
      <c r="L903" s="56" t="str">
        <f>"EQP-LAWPACK1"</f>
        <v>EQP-LAWPACK1</v>
      </c>
      <c r="M903" s="14"/>
      <c r="N903" s="15"/>
      <c r="O903" s="12"/>
      <c r="P903" s="34"/>
      <c r="Q903" s="37"/>
      <c r="R903" s="47"/>
      <c r="S903" s="46"/>
    </row>
    <row r="904" spans="1:19" ht="15.6" hidden="1" customHeight="1" thickBot="1" x14ac:dyDescent="0.3">
      <c r="A904" t="s">
        <v>23</v>
      </c>
      <c r="B904" s="60" t="str">
        <f t="shared" ref="B904:B906" si="643">IF(K904=0,"hide","")</f>
        <v>hide</v>
      </c>
      <c r="D904" s="48" t="str">
        <f>D903</f>
        <v>07661</v>
      </c>
      <c r="E904" s="7"/>
      <c r="F904" s="27">
        <v>0</v>
      </c>
      <c r="G904" s="27">
        <v>0</v>
      </c>
      <c r="H904" s="27">
        <v>0</v>
      </c>
      <c r="I904" s="27">
        <v>0</v>
      </c>
      <c r="J904" s="27">
        <v>0</v>
      </c>
      <c r="K904" s="63">
        <f>AVERAGE(I904:J904)</f>
        <v>0</v>
      </c>
      <c r="L904" s="56" t="str">
        <f>"EQP-LAWPACK2"</f>
        <v>EQP-LAWPACK2</v>
      </c>
      <c r="M904" s="14"/>
      <c r="N904" s="15"/>
      <c r="O904" s="12"/>
      <c r="P904" s="34"/>
      <c r="Q904" s="37"/>
      <c r="R904" s="47"/>
      <c r="S904" s="46"/>
    </row>
    <row r="905" spans="1:19" ht="15.6" hidden="1" customHeight="1" thickBot="1" x14ac:dyDescent="0.3">
      <c r="A905" t="s">
        <v>23</v>
      </c>
      <c r="B905" s="60" t="str">
        <f t="shared" si="643"/>
        <v>hide</v>
      </c>
      <c r="D905" s="48" t="str">
        <f>D904</f>
        <v>07661</v>
      </c>
      <c r="E905" s="7"/>
      <c r="F905" s="27">
        <v>0</v>
      </c>
      <c r="G905" s="27">
        <v>0</v>
      </c>
      <c r="H905" s="27">
        <v>0</v>
      </c>
      <c r="I905" s="27">
        <v>0</v>
      </c>
      <c r="J905" s="27">
        <v>0</v>
      </c>
      <c r="K905" s="63">
        <f>AVERAGE(I905:J905)</f>
        <v>0</v>
      </c>
      <c r="L905" s="56" t="str">
        <f>"SW-COMAS-PACKL"</f>
        <v>SW-COMAS-PACKL</v>
      </c>
      <c r="M905" s="14"/>
      <c r="N905" s="15"/>
      <c r="O905" s="12"/>
      <c r="P905" s="34"/>
      <c r="Q905" s="37"/>
      <c r="R905" s="47"/>
      <c r="S905" s="46"/>
    </row>
    <row r="906" spans="1:19" ht="15.6" hidden="1" customHeight="1" thickBot="1" x14ac:dyDescent="0.3">
      <c r="A906" t="s">
        <v>23</v>
      </c>
      <c r="B906" s="60" t="str">
        <f t="shared" si="643"/>
        <v>hide</v>
      </c>
      <c r="D906" s="48" t="str">
        <f>D905</f>
        <v>07661</v>
      </c>
      <c r="E906" s="7"/>
      <c r="F906" s="27">
        <v>0</v>
      </c>
      <c r="G906" s="27">
        <v>0</v>
      </c>
      <c r="H906" s="27">
        <v>0</v>
      </c>
      <c r="I906" s="27">
        <v>0</v>
      </c>
      <c r="J906" s="27">
        <v>0</v>
      </c>
      <c r="K906" s="63">
        <f>AVERAGE(I906:J906)</f>
        <v>0</v>
      </c>
      <c r="L906" s="56" t="str">
        <f>"SW-RISER-PACK"</f>
        <v>SW-RISER-PACK</v>
      </c>
      <c r="M906" s="14"/>
      <c r="N906" s="15"/>
      <c r="O906" s="12"/>
      <c r="P906" s="34"/>
      <c r="Q906" s="37"/>
      <c r="R906" s="47"/>
      <c r="S906" s="46"/>
    </row>
    <row r="907" spans="1:19" ht="12" hidden="1" customHeight="1" x14ac:dyDescent="0.3">
      <c r="A907" s="35" t="s">
        <v>908</v>
      </c>
      <c r="B907" s="49" t="str">
        <f>B903</f>
        <v>hide</v>
      </c>
      <c r="N907"/>
      <c r="Q907" s="33"/>
    </row>
    <row r="908" spans="1:19" ht="13.8" hidden="1" thickBot="1" x14ac:dyDescent="0.3">
      <c r="A908" t="s">
        <v>23</v>
      </c>
      <c r="B908" s="49" t="str">
        <f t="shared" ref="B908" si="644">B907</f>
        <v>hide</v>
      </c>
      <c r="D908" s="58"/>
      <c r="E908" s="58"/>
      <c r="F908" s="52">
        <f>SUM(F903:F907)</f>
        <v>-25.338333333333335</v>
      </c>
      <c r="G908" s="52">
        <f>SUM(G903:G907)</f>
        <v>-76.015000000000001</v>
      </c>
      <c r="H908" s="52">
        <f>SUM(H903:H907)</f>
        <v>-44.333333333333336</v>
      </c>
      <c r="I908" s="52">
        <f>SUM(I903:I907)</f>
        <v>0</v>
      </c>
      <c r="J908" s="52">
        <f>SUM(J903:J907)</f>
        <v>0</v>
      </c>
      <c r="K908" s="52"/>
      <c r="L908" s="51" t="s">
        <v>4</v>
      </c>
      <c r="M908" s="58"/>
      <c r="N908" s="58"/>
      <c r="O908" s="58"/>
      <c r="P908" s="58"/>
      <c r="Q908" s="58"/>
      <c r="R908" s="58"/>
      <c r="S908" s="58"/>
    </row>
    <row r="909" spans="1:19" s="59" customFormat="1" ht="18.75" customHeight="1" thickBot="1" x14ac:dyDescent="0.3">
      <c r="A909" s="59" t="s">
        <v>23</v>
      </c>
      <c r="B909" s="60" t="str">
        <f t="shared" ref="B909:B910" si="645">IF(K909=0,"hide","")</f>
        <v/>
      </c>
      <c r="D909" s="61" t="str">
        <f>"07666"</f>
        <v>07666</v>
      </c>
      <c r="E909" s="62" t="str">
        <f>"4"</f>
        <v>4</v>
      </c>
      <c r="F909" s="63">
        <v>0</v>
      </c>
      <c r="G909" s="63">
        <v>0</v>
      </c>
      <c r="H909" s="63">
        <v>9.3333333333333339</v>
      </c>
      <c r="I909" s="63">
        <v>22.833333333333332</v>
      </c>
      <c r="J909" s="63">
        <v>0</v>
      </c>
      <c r="K909" s="63">
        <f>AVERAGE(I909:J909)</f>
        <v>11.416666666666666</v>
      </c>
      <c r="L909" s="64" t="str">
        <f>"Smart Choice Apple Cinnamon Muffin"</f>
        <v>Smart Choice Apple Cinnamon Muffin</v>
      </c>
      <c r="M909" s="65" t="str">
        <f>"48-4 oz. I.W."</f>
        <v>48-4 oz. I.W.</v>
      </c>
      <c r="N909" s="66">
        <v>48</v>
      </c>
      <c r="O909" s="67">
        <v>1E-3</v>
      </c>
      <c r="P909" s="68">
        <f>1/O909</f>
        <v>1000</v>
      </c>
      <c r="Q909" s="53">
        <v>2.7899999999999999E-3</v>
      </c>
      <c r="R909" s="69">
        <f t="shared" ref="R909" si="646">1/Q909</f>
        <v>358.42293906810039</v>
      </c>
      <c r="S909" s="70">
        <f t="shared" ref="S909" si="647">R909*N909</f>
        <v>17204.301075268821</v>
      </c>
    </row>
    <row r="910" spans="1:19" ht="15.6" hidden="1" customHeight="1" thickBot="1" x14ac:dyDescent="0.3">
      <c r="A910" t="s">
        <v>23</v>
      </c>
      <c r="B910" s="60" t="str">
        <f t="shared" si="645"/>
        <v>hide</v>
      </c>
      <c r="D910" s="48" t="str">
        <f>D909</f>
        <v>07666</v>
      </c>
      <c r="E910" s="7"/>
      <c r="F910" s="27">
        <v>0</v>
      </c>
      <c r="G910" s="27">
        <v>0</v>
      </c>
      <c r="H910" s="27">
        <v>0</v>
      </c>
      <c r="I910" s="27">
        <v>0</v>
      </c>
      <c r="J910" s="27">
        <v>0</v>
      </c>
      <c r="K910" s="63">
        <f>AVERAGE(I910:J910)</f>
        <v>0</v>
      </c>
      <c r="L910" s="56" t="str">
        <f>"EQP-LAWPACK1"</f>
        <v>EQP-LAWPACK1</v>
      </c>
      <c r="M910" s="14"/>
      <c r="N910" s="15"/>
      <c r="O910" s="12"/>
      <c r="P910" s="34"/>
      <c r="Q910" s="37"/>
      <c r="R910" s="47"/>
      <c r="S910" s="46"/>
    </row>
    <row r="911" spans="1:19" ht="15.6" hidden="1" customHeight="1" thickBot="1" x14ac:dyDescent="0.3">
      <c r="A911" t="s">
        <v>23</v>
      </c>
      <c r="B911" s="60" t="str">
        <f t="shared" ref="B911:B913" si="648">IF(K911=0,"hide","")</f>
        <v>hide</v>
      </c>
      <c r="D911" s="48" t="str">
        <f>D910</f>
        <v>07666</v>
      </c>
      <c r="E911" s="7"/>
      <c r="F911" s="27">
        <v>0</v>
      </c>
      <c r="G911" s="27">
        <v>0</v>
      </c>
      <c r="H911" s="27">
        <v>0</v>
      </c>
      <c r="I911" s="27">
        <v>0</v>
      </c>
      <c r="J911" s="27">
        <v>0</v>
      </c>
      <c r="K911" s="63">
        <f>AVERAGE(I911:J911)</f>
        <v>0</v>
      </c>
      <c r="L911" s="56" t="str">
        <f>"EQP-LAWPACK2"</f>
        <v>EQP-LAWPACK2</v>
      </c>
      <c r="M911" s="14"/>
      <c r="N911" s="15"/>
      <c r="O911" s="12"/>
      <c r="P911" s="34"/>
      <c r="Q911" s="37"/>
      <c r="R911" s="47"/>
      <c r="S911" s="46"/>
    </row>
    <row r="912" spans="1:19" ht="15.6" hidden="1" customHeight="1" thickBot="1" x14ac:dyDescent="0.3">
      <c r="A912" t="s">
        <v>23</v>
      </c>
      <c r="B912" s="60" t="str">
        <f t="shared" si="648"/>
        <v>hide</v>
      </c>
      <c r="D912" s="48" t="str">
        <f>D911</f>
        <v>07666</v>
      </c>
      <c r="E912" s="7"/>
      <c r="F912" s="27">
        <v>0</v>
      </c>
      <c r="G912" s="27">
        <v>0</v>
      </c>
      <c r="H912" s="27">
        <v>0</v>
      </c>
      <c r="I912" s="27">
        <v>0</v>
      </c>
      <c r="J912" s="27">
        <v>0</v>
      </c>
      <c r="K912" s="63">
        <f>AVERAGE(I912:J912)</f>
        <v>0</v>
      </c>
      <c r="L912" s="56" t="str">
        <f>"SW-COMAS-PACKL"</f>
        <v>SW-COMAS-PACKL</v>
      </c>
      <c r="M912" s="14"/>
      <c r="N912" s="15"/>
      <c r="O912" s="12"/>
      <c r="P912" s="34"/>
      <c r="Q912" s="37"/>
      <c r="R912" s="47"/>
      <c r="S912" s="46"/>
    </row>
    <row r="913" spans="1:19" ht="15.6" hidden="1" customHeight="1" thickBot="1" x14ac:dyDescent="0.3">
      <c r="A913" t="s">
        <v>23</v>
      </c>
      <c r="B913" s="60" t="str">
        <f t="shared" si="648"/>
        <v>hide</v>
      </c>
      <c r="D913" s="48" t="str">
        <f>D912</f>
        <v>07666</v>
      </c>
      <c r="E913" s="7"/>
      <c r="F913" s="27">
        <v>0</v>
      </c>
      <c r="G913" s="27">
        <v>0</v>
      </c>
      <c r="H913" s="27">
        <v>0</v>
      </c>
      <c r="I913" s="27">
        <v>0</v>
      </c>
      <c r="J913" s="27">
        <v>0</v>
      </c>
      <c r="K913" s="63">
        <f>AVERAGE(I913:J913)</f>
        <v>0</v>
      </c>
      <c r="L913" s="56" t="str">
        <f>"SW-RISER-PACK"</f>
        <v>SW-RISER-PACK</v>
      </c>
      <c r="M913" s="14"/>
      <c r="N913" s="15"/>
      <c r="O913" s="12"/>
      <c r="P913" s="34"/>
      <c r="Q913" s="37"/>
      <c r="R913" s="47"/>
      <c r="S913" s="46"/>
    </row>
    <row r="914" spans="1:19" ht="12" hidden="1" customHeight="1" x14ac:dyDescent="0.3">
      <c r="A914" s="35" t="s">
        <v>908</v>
      </c>
      <c r="B914" s="49" t="str">
        <f>B910</f>
        <v>hide</v>
      </c>
      <c r="N914"/>
      <c r="Q914" s="33"/>
    </row>
    <row r="915" spans="1:19" ht="13.8" hidden="1" thickBot="1" x14ac:dyDescent="0.3">
      <c r="A915" t="s">
        <v>23</v>
      </c>
      <c r="B915" s="49" t="str">
        <f t="shared" ref="B915" si="649">B914</f>
        <v>hide</v>
      </c>
      <c r="D915" s="58"/>
      <c r="E915" s="58"/>
      <c r="F915" s="52">
        <f>SUM(F910:F914)</f>
        <v>0</v>
      </c>
      <c r="G915" s="52">
        <f>SUM(G910:G914)</f>
        <v>0</v>
      </c>
      <c r="H915" s="52">
        <f>SUM(H910:H914)</f>
        <v>0</v>
      </c>
      <c r="I915" s="52">
        <f>SUM(I910:I914)</f>
        <v>0</v>
      </c>
      <c r="J915" s="52">
        <f>SUM(J910:J914)</f>
        <v>0</v>
      </c>
      <c r="K915" s="52"/>
      <c r="L915" s="51" t="s">
        <v>4</v>
      </c>
      <c r="M915" s="58"/>
      <c r="N915" s="58"/>
      <c r="O915" s="58"/>
      <c r="P915" s="58"/>
      <c r="Q915" s="58"/>
      <c r="R915" s="58"/>
      <c r="S915" s="58"/>
    </row>
    <row r="916" spans="1:19" s="59" customFormat="1" ht="18.75" customHeight="1" thickBot="1" x14ac:dyDescent="0.3">
      <c r="A916" s="59" t="s">
        <v>23</v>
      </c>
      <c r="B916" s="60" t="str">
        <f t="shared" ref="B916:B918" si="650">IF(K916=0,"hide","")</f>
        <v/>
      </c>
      <c r="D916" s="61" t="str">
        <f>"07670"</f>
        <v>07670</v>
      </c>
      <c r="E916" s="62" t="str">
        <f>"4"</f>
        <v>4</v>
      </c>
      <c r="F916" s="63">
        <v>149.66666666666666</v>
      </c>
      <c r="G916" s="63">
        <v>182</v>
      </c>
      <c r="H916" s="63">
        <v>220.08333333333334</v>
      </c>
      <c r="I916" s="63">
        <v>279.83333333333331</v>
      </c>
      <c r="J916" s="63">
        <v>366.53614457831327</v>
      </c>
      <c r="K916" s="63">
        <f t="shared" ref="K916:K921" si="651">AVERAGE(I916:J916)</f>
        <v>323.18473895582326</v>
      </c>
      <c r="L916" s="64" t="str">
        <f>"Smart Choice Chocolate Chip"</f>
        <v>Smart Choice Chocolate Chip</v>
      </c>
      <c r="M916" s="65" t="str">
        <f>"48-4 oz. I.W."</f>
        <v>48-4 oz. I.W.</v>
      </c>
      <c r="N916" s="66">
        <v>48</v>
      </c>
      <c r="O916" s="67">
        <v>1E-3</v>
      </c>
      <c r="P916" s="68">
        <f>1/O916</f>
        <v>1000</v>
      </c>
      <c r="Q916" s="53">
        <v>2.7899999999999999E-3</v>
      </c>
      <c r="R916" s="69">
        <f t="shared" ref="R916:R917" si="652">1/Q916</f>
        <v>358.42293906810039</v>
      </c>
      <c r="S916" s="70">
        <f t="shared" ref="S916" si="653">R916*N916</f>
        <v>17204.301075268821</v>
      </c>
    </row>
    <row r="917" spans="1:19" s="59" customFormat="1" ht="18.75" customHeight="1" thickBot="1" x14ac:dyDescent="0.3">
      <c r="A917" s="59" t="s">
        <v>23</v>
      </c>
      <c r="B917" s="60" t="str">
        <f t="shared" ref="B917" si="654">IF(K917=0,"hide","")</f>
        <v/>
      </c>
      <c r="D917" s="61" t="str">
        <f>"07670"</f>
        <v>07670</v>
      </c>
      <c r="E917" s="62" t="str">
        <f>"5"</f>
        <v>5</v>
      </c>
      <c r="F917" s="63">
        <v>149.66666666666666</v>
      </c>
      <c r="G917" s="63">
        <v>182</v>
      </c>
      <c r="H917" s="63">
        <v>220.08333333333334</v>
      </c>
      <c r="I917" s="63">
        <v>279.83333333333331</v>
      </c>
      <c r="J917" s="63">
        <v>366.53614457831327</v>
      </c>
      <c r="K917" s="63">
        <f t="shared" si="651"/>
        <v>323.18473895582326</v>
      </c>
      <c r="L917" s="64" t="str">
        <f>"Smart Choice Chocolate Chip"</f>
        <v>Smart Choice Chocolate Chip</v>
      </c>
      <c r="M917" s="65" t="str">
        <f>"48-4 oz. I.W."</f>
        <v>48-4 oz. I.W.</v>
      </c>
      <c r="N917" s="66">
        <v>48</v>
      </c>
      <c r="O917" s="67">
        <v>1E-3</v>
      </c>
      <c r="P917" s="68">
        <f>1/O917</f>
        <v>1000</v>
      </c>
      <c r="Q917" s="53">
        <v>2.7899999999999999E-3</v>
      </c>
      <c r="R917" s="69">
        <f t="shared" si="652"/>
        <v>358.42293906810039</v>
      </c>
      <c r="S917" s="70">
        <f t="shared" ref="S917" si="655">R917*N917</f>
        <v>17204.301075268821</v>
      </c>
    </row>
    <row r="918" spans="1:19" ht="15.6" hidden="1" customHeight="1" thickBot="1" x14ac:dyDescent="0.3">
      <c r="A918" t="s">
        <v>23</v>
      </c>
      <c r="B918" s="60" t="str">
        <f t="shared" si="650"/>
        <v>hide</v>
      </c>
      <c r="D918" s="48" t="str">
        <f>D916</f>
        <v>07670</v>
      </c>
      <c r="E918" s="7"/>
      <c r="F918" s="27">
        <v>0</v>
      </c>
      <c r="G918" s="27">
        <v>0</v>
      </c>
      <c r="H918" s="27">
        <v>0</v>
      </c>
      <c r="I918" s="27">
        <v>0</v>
      </c>
      <c r="J918" s="27">
        <v>0</v>
      </c>
      <c r="K918" s="63">
        <f t="shared" si="651"/>
        <v>0</v>
      </c>
      <c r="L918" s="56" t="str">
        <f>"EQP-LAWPACK1"</f>
        <v>EQP-LAWPACK1</v>
      </c>
      <c r="M918" s="14"/>
      <c r="N918" s="15"/>
      <c r="O918" s="12"/>
      <c r="P918" s="34"/>
      <c r="Q918" s="37"/>
      <c r="R918" s="47"/>
      <c r="S918" s="46"/>
    </row>
    <row r="919" spans="1:19" ht="15.6" hidden="1" customHeight="1" thickBot="1" x14ac:dyDescent="0.3">
      <c r="A919" t="s">
        <v>23</v>
      </c>
      <c r="B919" s="60" t="str">
        <f t="shared" ref="B919:B921" si="656">IF(K919=0,"hide","")</f>
        <v>hide</v>
      </c>
      <c r="D919" s="48" t="str">
        <f>D917</f>
        <v>07670</v>
      </c>
      <c r="E919" s="7"/>
      <c r="F919" s="27">
        <v>0</v>
      </c>
      <c r="G919" s="27">
        <v>0</v>
      </c>
      <c r="H919" s="27">
        <v>0</v>
      </c>
      <c r="I919" s="27">
        <v>0</v>
      </c>
      <c r="J919" s="27">
        <v>0</v>
      </c>
      <c r="K919" s="63">
        <f t="shared" si="651"/>
        <v>0</v>
      </c>
      <c r="L919" s="56" t="str">
        <f>"EQP-LAWPACK2"</f>
        <v>EQP-LAWPACK2</v>
      </c>
      <c r="M919" s="14"/>
      <c r="N919" s="15"/>
      <c r="O919" s="12"/>
      <c r="P919" s="34"/>
      <c r="Q919" s="37"/>
      <c r="R919" s="47"/>
      <c r="S919" s="46"/>
    </row>
    <row r="920" spans="1:19" ht="15.6" hidden="1" customHeight="1" thickBot="1" x14ac:dyDescent="0.3">
      <c r="A920" t="s">
        <v>23</v>
      </c>
      <c r="B920" s="60" t="str">
        <f t="shared" si="656"/>
        <v>hide</v>
      </c>
      <c r="D920" s="48" t="str">
        <f>D918</f>
        <v>07670</v>
      </c>
      <c r="E920" s="7"/>
      <c r="F920" s="27">
        <v>0</v>
      </c>
      <c r="G920" s="27">
        <v>0</v>
      </c>
      <c r="H920" s="27">
        <v>0</v>
      </c>
      <c r="I920" s="27">
        <v>0</v>
      </c>
      <c r="J920" s="27">
        <v>0</v>
      </c>
      <c r="K920" s="63">
        <f t="shared" si="651"/>
        <v>0</v>
      </c>
      <c r="L920" s="56" t="str">
        <f>"SW-COMAS-PACKL"</f>
        <v>SW-COMAS-PACKL</v>
      </c>
      <c r="M920" s="14"/>
      <c r="N920" s="15"/>
      <c r="O920" s="12"/>
      <c r="P920" s="34"/>
      <c r="Q920" s="37"/>
      <c r="R920" s="47"/>
      <c r="S920" s="46"/>
    </row>
    <row r="921" spans="1:19" ht="15.6" hidden="1" customHeight="1" thickBot="1" x14ac:dyDescent="0.3">
      <c r="A921" t="s">
        <v>23</v>
      </c>
      <c r="B921" s="60" t="str">
        <f t="shared" si="656"/>
        <v>hide</v>
      </c>
      <c r="D921" s="48" t="str">
        <f>D919</f>
        <v>07670</v>
      </c>
      <c r="E921" s="7"/>
      <c r="F921" s="27">
        <v>0</v>
      </c>
      <c r="G921" s="27">
        <v>0</v>
      </c>
      <c r="H921" s="27">
        <v>0</v>
      </c>
      <c r="I921" s="27">
        <v>0</v>
      </c>
      <c r="J921" s="27">
        <v>0</v>
      </c>
      <c r="K921" s="63">
        <f t="shared" si="651"/>
        <v>0</v>
      </c>
      <c r="L921" s="56" t="str">
        <f>"SW-RISER-PACK"</f>
        <v>SW-RISER-PACK</v>
      </c>
      <c r="M921" s="14"/>
      <c r="N921" s="15"/>
      <c r="O921" s="12"/>
      <c r="P921" s="34"/>
      <c r="Q921" s="37"/>
      <c r="R921" s="47"/>
      <c r="S921" s="46"/>
    </row>
    <row r="922" spans="1:19" ht="12" hidden="1" customHeight="1" x14ac:dyDescent="0.3">
      <c r="A922" s="35" t="s">
        <v>908</v>
      </c>
      <c r="B922" s="49" t="str">
        <f>B918</f>
        <v>hide</v>
      </c>
      <c r="N922"/>
      <c r="Q922" s="33"/>
    </row>
    <row r="923" spans="1:19" ht="13.8" hidden="1" thickBot="1" x14ac:dyDescent="0.3">
      <c r="A923" t="s">
        <v>23</v>
      </c>
      <c r="B923" s="49" t="str">
        <f t="shared" ref="B923" si="657">B922</f>
        <v>hide</v>
      </c>
      <c r="D923" s="58"/>
      <c r="E923" s="58"/>
      <c r="F923" s="52">
        <f>SUM(F918:F922)</f>
        <v>0</v>
      </c>
      <c r="G923" s="52">
        <f>SUM(G918:G922)</f>
        <v>0</v>
      </c>
      <c r="H923" s="52">
        <f>SUM(H918:H922)</f>
        <v>0</v>
      </c>
      <c r="I923" s="52">
        <f>SUM(I918:I922)</f>
        <v>0</v>
      </c>
      <c r="J923" s="52">
        <f>SUM(J918:J922)</f>
        <v>0</v>
      </c>
      <c r="K923" s="52"/>
      <c r="L923" s="51" t="s">
        <v>4</v>
      </c>
      <c r="M923" s="58"/>
      <c r="N923" s="58"/>
      <c r="O923" s="58"/>
      <c r="P923" s="58"/>
      <c r="Q923" s="58"/>
      <c r="R923" s="58"/>
      <c r="S923" s="58"/>
    </row>
    <row r="924" spans="1:19" s="59" customFormat="1" ht="18.75" customHeight="1" thickBot="1" x14ac:dyDescent="0.3">
      <c r="A924" s="59" t="s">
        <v>23</v>
      </c>
      <c r="B924" s="60" t="str">
        <f t="shared" ref="B924:B925" si="658">IF(K924=0,"hide","")</f>
        <v/>
      </c>
      <c r="D924" s="61" t="str">
        <f>"07675"</f>
        <v>07675</v>
      </c>
      <c r="E924" s="62" t="str">
        <f>"5"</f>
        <v>5</v>
      </c>
      <c r="F924" s="63">
        <v>0</v>
      </c>
      <c r="G924" s="63">
        <v>0</v>
      </c>
      <c r="H924" s="63">
        <v>5.583333333333333</v>
      </c>
      <c r="I924" s="63">
        <v>22.833333333333332</v>
      </c>
      <c r="J924" s="63">
        <v>0</v>
      </c>
      <c r="K924" s="63">
        <f>AVERAGE(I924:J924)</f>
        <v>11.416666666666666</v>
      </c>
      <c r="L924" s="64" t="str">
        <f>"Smart Choice Banana Muffin"</f>
        <v>Smart Choice Banana Muffin</v>
      </c>
      <c r="M924" s="65" t="str">
        <f>"48-4 oz. I.W."</f>
        <v>48-4 oz. I.W.</v>
      </c>
      <c r="N924" s="66">
        <v>48</v>
      </c>
      <c r="O924" s="67">
        <v>2.7399999999999998E-3</v>
      </c>
      <c r="P924" s="68">
        <f>1/O924</f>
        <v>364.96350364963507</v>
      </c>
      <c r="Q924" s="53">
        <v>2.7399999999999998E-3</v>
      </c>
      <c r="R924" s="69">
        <f t="shared" ref="R924" si="659">1/Q924</f>
        <v>364.96350364963507</v>
      </c>
      <c r="S924" s="70">
        <f t="shared" ref="S924" si="660">R924*N924</f>
        <v>17518.248175182482</v>
      </c>
    </row>
    <row r="925" spans="1:19" ht="15.6" hidden="1" customHeight="1" thickBot="1" x14ac:dyDescent="0.3">
      <c r="A925" t="s">
        <v>23</v>
      </c>
      <c r="B925" s="60" t="str">
        <f t="shared" si="658"/>
        <v>hide</v>
      </c>
      <c r="D925" s="48" t="str">
        <f>D924</f>
        <v>07675</v>
      </c>
      <c r="E925" s="7"/>
      <c r="F925" s="27">
        <v>0</v>
      </c>
      <c r="G925" s="27">
        <v>0</v>
      </c>
      <c r="H925" s="27">
        <v>0</v>
      </c>
      <c r="I925" s="27">
        <v>0</v>
      </c>
      <c r="J925" s="27">
        <v>0</v>
      </c>
      <c r="K925" s="63">
        <f>AVERAGE(I925:J925)</f>
        <v>0</v>
      </c>
      <c r="L925" s="56" t="str">
        <f>"EQP-LAWPACK1"</f>
        <v>EQP-LAWPACK1</v>
      </c>
      <c r="M925" s="14"/>
      <c r="N925" s="15"/>
      <c r="O925" s="12"/>
      <c r="P925" s="34"/>
      <c r="Q925" s="37"/>
      <c r="R925" s="47"/>
      <c r="S925" s="46"/>
    </row>
    <row r="926" spans="1:19" ht="15.6" hidden="1" customHeight="1" thickBot="1" x14ac:dyDescent="0.3">
      <c r="A926" t="s">
        <v>23</v>
      </c>
      <c r="B926" s="60" t="str">
        <f t="shared" ref="B926:B928" si="661">IF(K926=0,"hide","")</f>
        <v>hide</v>
      </c>
      <c r="D926" s="48" t="str">
        <f>D925</f>
        <v>07675</v>
      </c>
      <c r="E926" s="7"/>
      <c r="F926" s="27">
        <v>0</v>
      </c>
      <c r="G926" s="27">
        <v>0</v>
      </c>
      <c r="H926" s="27">
        <v>0</v>
      </c>
      <c r="I926" s="27">
        <v>0</v>
      </c>
      <c r="J926" s="27">
        <v>0</v>
      </c>
      <c r="K926" s="63">
        <f>AVERAGE(I926:J926)</f>
        <v>0</v>
      </c>
      <c r="L926" s="56" t="str">
        <f>"EQP-LAWPACK2"</f>
        <v>EQP-LAWPACK2</v>
      </c>
      <c r="M926" s="14"/>
      <c r="N926" s="15"/>
      <c r="O926" s="12"/>
      <c r="P926" s="34"/>
      <c r="Q926" s="37"/>
      <c r="R926" s="47"/>
      <c r="S926" s="46"/>
    </row>
    <row r="927" spans="1:19" ht="15.6" hidden="1" customHeight="1" thickBot="1" x14ac:dyDescent="0.3">
      <c r="A927" t="s">
        <v>23</v>
      </c>
      <c r="B927" s="60" t="str">
        <f t="shared" si="661"/>
        <v>hide</v>
      </c>
      <c r="D927" s="48" t="str">
        <f>D926</f>
        <v>07675</v>
      </c>
      <c r="E927" s="7"/>
      <c r="F927" s="27">
        <v>0</v>
      </c>
      <c r="G927" s="27">
        <v>0</v>
      </c>
      <c r="H927" s="27">
        <v>0</v>
      </c>
      <c r="I927" s="27">
        <v>0</v>
      </c>
      <c r="J927" s="27">
        <v>0</v>
      </c>
      <c r="K927" s="63">
        <f>AVERAGE(I927:J927)</f>
        <v>0</v>
      </c>
      <c r="L927" s="56" t="str">
        <f>"SW-COMAS-PACKL"</f>
        <v>SW-COMAS-PACKL</v>
      </c>
      <c r="M927" s="14"/>
      <c r="N927" s="15"/>
      <c r="O927" s="12"/>
      <c r="P927" s="34"/>
      <c r="Q927" s="37"/>
      <c r="R927" s="47"/>
      <c r="S927" s="46"/>
    </row>
    <row r="928" spans="1:19" ht="15.6" hidden="1" customHeight="1" thickBot="1" x14ac:dyDescent="0.3">
      <c r="A928" t="s">
        <v>23</v>
      </c>
      <c r="B928" s="60" t="str">
        <f t="shared" si="661"/>
        <v>hide</v>
      </c>
      <c r="D928" s="48" t="str">
        <f>D927</f>
        <v>07675</v>
      </c>
      <c r="E928" s="7"/>
      <c r="F928" s="27">
        <v>0</v>
      </c>
      <c r="G928" s="27">
        <v>0</v>
      </c>
      <c r="H928" s="27">
        <v>0</v>
      </c>
      <c r="I928" s="27">
        <v>0</v>
      </c>
      <c r="J928" s="27">
        <v>0</v>
      </c>
      <c r="K928" s="63">
        <f>AVERAGE(I928:J928)</f>
        <v>0</v>
      </c>
      <c r="L928" s="56" t="str">
        <f>"SW-RISER-PACK"</f>
        <v>SW-RISER-PACK</v>
      </c>
      <c r="M928" s="14"/>
      <c r="N928" s="15"/>
      <c r="O928" s="12"/>
      <c r="P928" s="34"/>
      <c r="Q928" s="37"/>
      <c r="R928" s="47"/>
      <c r="S928" s="46"/>
    </row>
    <row r="929" spans="1:19" ht="12" hidden="1" customHeight="1" x14ac:dyDescent="0.3">
      <c r="A929" s="35" t="s">
        <v>908</v>
      </c>
      <c r="B929" s="49" t="str">
        <f>B925</f>
        <v>hide</v>
      </c>
      <c r="N929"/>
      <c r="Q929" s="33"/>
    </row>
    <row r="930" spans="1:19" ht="13.8" hidden="1" thickBot="1" x14ac:dyDescent="0.3">
      <c r="A930" t="s">
        <v>23</v>
      </c>
      <c r="B930" s="49" t="str">
        <f t="shared" ref="B930" si="662">B929</f>
        <v>hide</v>
      </c>
      <c r="D930" s="58"/>
      <c r="E930" s="58"/>
      <c r="F930" s="52">
        <f>SUM(F925:F929)</f>
        <v>0</v>
      </c>
      <c r="G930" s="52">
        <f>SUM(G925:G929)</f>
        <v>0</v>
      </c>
      <c r="H930" s="52">
        <f>SUM(H925:H929)</f>
        <v>0</v>
      </c>
      <c r="I930" s="52">
        <f>SUM(I925:I929)</f>
        <v>0</v>
      </c>
      <c r="J930" s="52">
        <f>SUM(J925:J929)</f>
        <v>0</v>
      </c>
      <c r="K930" s="52"/>
      <c r="L930" s="51" t="s">
        <v>4</v>
      </c>
      <c r="M930" s="58"/>
      <c r="N930" s="58"/>
      <c r="O930" s="58"/>
      <c r="P930" s="58"/>
      <c r="Q930" s="58"/>
      <c r="R930" s="58"/>
      <c r="S930" s="58"/>
    </row>
    <row r="931" spans="1:19" s="59" customFormat="1" ht="18.75" hidden="1" customHeight="1" thickBot="1" x14ac:dyDescent="0.3">
      <c r="A931" s="59" t="s">
        <v>23</v>
      </c>
      <c r="B931" s="60" t="str">
        <f t="shared" ref="B931:B932" si="663">IF(K931=0,"hide","")</f>
        <v>hide</v>
      </c>
      <c r="D931" s="61" t="str">
        <f>"07861"</f>
        <v>07861</v>
      </c>
      <c r="E931" s="62" t="str">
        <f>"1"</f>
        <v>1</v>
      </c>
      <c r="F931" s="63">
        <v>0</v>
      </c>
      <c r="G931" s="63">
        <v>0</v>
      </c>
      <c r="H931" s="63">
        <v>0</v>
      </c>
      <c r="I931" s="63">
        <v>0</v>
      </c>
      <c r="J931" s="63">
        <v>0</v>
      </c>
      <c r="K931" s="63">
        <f>AVERAGE(I931:J931)</f>
        <v>0</v>
      </c>
      <c r="L931" s="64" t="str">
        <f>"WG BLUEBERRY MUFFIN"</f>
        <v>WG BLUEBERRY MUFFIN</v>
      </c>
      <c r="M931" s="65" t="str">
        <f>"48/4 oz (National)"</f>
        <v>48/4 oz (National)</v>
      </c>
      <c r="N931" s="66">
        <v>48</v>
      </c>
      <c r="O931" s="67" t="str">
        <f>""</f>
        <v/>
      </c>
      <c r="P931" s="68" t="e">
        <f>1/O931</f>
        <v>#VALUE!</v>
      </c>
      <c r="Q931" s="53">
        <v>1</v>
      </c>
      <c r="R931" s="69">
        <f t="shared" ref="R931" si="664">1/Q931</f>
        <v>1</v>
      </c>
      <c r="S931" s="70">
        <f t="shared" ref="S931" si="665">R931*N931</f>
        <v>48</v>
      </c>
    </row>
    <row r="932" spans="1:19" ht="15.6" hidden="1" customHeight="1" thickBot="1" x14ac:dyDescent="0.3">
      <c r="A932" t="s">
        <v>23</v>
      </c>
      <c r="B932" s="60" t="str">
        <f t="shared" si="663"/>
        <v>hide</v>
      </c>
      <c r="D932" s="48" t="str">
        <f>D931</f>
        <v>07861</v>
      </c>
      <c r="E932" s="7"/>
      <c r="F932" s="27">
        <v>0</v>
      </c>
      <c r="G932" s="27">
        <v>0</v>
      </c>
      <c r="H932" s="27">
        <v>0</v>
      </c>
      <c r="I932" s="27">
        <v>0</v>
      </c>
      <c r="J932" s="27">
        <v>0</v>
      </c>
      <c r="K932" s="63">
        <f>AVERAGE(I932:J932)</f>
        <v>0</v>
      </c>
      <c r="L932" s="56" t="str">
        <f>"EQP-LAWPACK1"</f>
        <v>EQP-LAWPACK1</v>
      </c>
      <c r="M932" s="14"/>
      <c r="N932" s="15"/>
      <c r="O932" s="12"/>
      <c r="P932" s="34"/>
      <c r="Q932" s="37"/>
      <c r="R932" s="47"/>
      <c r="S932" s="46"/>
    </row>
    <row r="933" spans="1:19" ht="15.6" hidden="1" customHeight="1" thickBot="1" x14ac:dyDescent="0.3">
      <c r="A933" t="s">
        <v>23</v>
      </c>
      <c r="B933" s="60" t="str">
        <f t="shared" ref="B933:B935" si="666">IF(K933=0,"hide","")</f>
        <v>hide</v>
      </c>
      <c r="D933" s="48" t="str">
        <f>D932</f>
        <v>07861</v>
      </c>
      <c r="E933" s="7"/>
      <c r="F933" s="27">
        <v>0</v>
      </c>
      <c r="G933" s="27">
        <v>0</v>
      </c>
      <c r="H933" s="27">
        <v>0</v>
      </c>
      <c r="I933" s="27">
        <v>0</v>
      </c>
      <c r="J933" s="27">
        <v>0</v>
      </c>
      <c r="K933" s="63">
        <f>AVERAGE(I933:J933)</f>
        <v>0</v>
      </c>
      <c r="L933" s="56" t="str">
        <f>"EQP-LAWPACK2"</f>
        <v>EQP-LAWPACK2</v>
      </c>
      <c r="M933" s="14"/>
      <c r="N933" s="15"/>
      <c r="O933" s="12"/>
      <c r="P933" s="34"/>
      <c r="Q933" s="37"/>
      <c r="R933" s="47"/>
      <c r="S933" s="46"/>
    </row>
    <row r="934" spans="1:19" ht="15.6" hidden="1" customHeight="1" thickBot="1" x14ac:dyDescent="0.3">
      <c r="A934" t="s">
        <v>23</v>
      </c>
      <c r="B934" s="60" t="str">
        <f t="shared" si="666"/>
        <v>hide</v>
      </c>
      <c r="D934" s="48" t="str">
        <f>D933</f>
        <v>07861</v>
      </c>
      <c r="E934" s="7"/>
      <c r="F934" s="27">
        <v>0</v>
      </c>
      <c r="G934" s="27">
        <v>0</v>
      </c>
      <c r="H934" s="27">
        <v>0</v>
      </c>
      <c r="I934" s="27">
        <v>0</v>
      </c>
      <c r="J934" s="27">
        <v>0</v>
      </c>
      <c r="K934" s="63">
        <f>AVERAGE(I934:J934)</f>
        <v>0</v>
      </c>
      <c r="L934" s="56" t="str">
        <f>"SW-COMAS-PACKL"</f>
        <v>SW-COMAS-PACKL</v>
      </c>
      <c r="M934" s="14"/>
      <c r="N934" s="15"/>
      <c r="O934" s="12"/>
      <c r="P934" s="34"/>
      <c r="Q934" s="37"/>
      <c r="R934" s="47"/>
      <c r="S934" s="46"/>
    </row>
    <row r="935" spans="1:19" ht="15.6" hidden="1" customHeight="1" thickBot="1" x14ac:dyDescent="0.3">
      <c r="A935" t="s">
        <v>23</v>
      </c>
      <c r="B935" s="60" t="str">
        <f t="shared" si="666"/>
        <v>hide</v>
      </c>
      <c r="D935" s="48" t="str">
        <f>D934</f>
        <v>07861</v>
      </c>
      <c r="E935" s="7"/>
      <c r="F935" s="27">
        <v>0</v>
      </c>
      <c r="G935" s="27">
        <v>0</v>
      </c>
      <c r="H935" s="27">
        <v>0</v>
      </c>
      <c r="I935" s="27">
        <v>0</v>
      </c>
      <c r="J935" s="27">
        <v>0</v>
      </c>
      <c r="K935" s="63">
        <f>AVERAGE(I935:J935)</f>
        <v>0</v>
      </c>
      <c r="L935" s="56" t="str">
        <f>"SW-RISER-PACK"</f>
        <v>SW-RISER-PACK</v>
      </c>
      <c r="M935" s="14"/>
      <c r="N935" s="15"/>
      <c r="O935" s="12"/>
      <c r="P935" s="34"/>
      <c r="Q935" s="37"/>
      <c r="R935" s="47"/>
      <c r="S935" s="46"/>
    </row>
    <row r="936" spans="1:19" ht="12" hidden="1" customHeight="1" x14ac:dyDescent="0.3">
      <c r="A936" s="35" t="s">
        <v>908</v>
      </c>
      <c r="B936" s="49" t="str">
        <f>B932</f>
        <v>hide</v>
      </c>
      <c r="N936"/>
      <c r="Q936" s="33"/>
    </row>
    <row r="937" spans="1:19" ht="13.8" hidden="1" thickBot="1" x14ac:dyDescent="0.3">
      <c r="A937" t="s">
        <v>23</v>
      </c>
      <c r="B937" s="49" t="str">
        <f t="shared" ref="B937" si="667">B936</f>
        <v>hide</v>
      </c>
      <c r="D937" s="58"/>
      <c r="E937" s="58"/>
      <c r="F937" s="52">
        <f>SUM(F932:F936)</f>
        <v>0</v>
      </c>
      <c r="G937" s="52">
        <f>SUM(G932:G936)</f>
        <v>0</v>
      </c>
      <c r="H937" s="52">
        <f>SUM(H932:H936)</f>
        <v>0</v>
      </c>
      <c r="I937" s="52">
        <f>SUM(I932:I936)</f>
        <v>0</v>
      </c>
      <c r="J937" s="52">
        <f>SUM(J932:J936)</f>
        <v>0</v>
      </c>
      <c r="K937" s="52"/>
      <c r="L937" s="51" t="s">
        <v>4</v>
      </c>
      <c r="M937" s="58"/>
      <c r="N937" s="58"/>
      <c r="O937" s="58"/>
      <c r="P937" s="58"/>
      <c r="Q937" s="58"/>
      <c r="R937" s="58"/>
      <c r="S937" s="58"/>
    </row>
    <row r="938" spans="1:19" s="59" customFormat="1" ht="18.75" customHeight="1" thickBot="1" x14ac:dyDescent="0.3">
      <c r="A938" s="59" t="s">
        <v>23</v>
      </c>
      <c r="B938" s="60" t="str">
        <f t="shared" ref="B938:B939" si="668">IF(K938=0,"hide","")</f>
        <v/>
      </c>
      <c r="D938" s="61" t="str">
        <f>"07910"</f>
        <v>07910</v>
      </c>
      <c r="E938" s="62" t="str">
        <f>"1"</f>
        <v>1</v>
      </c>
      <c r="F938" s="63">
        <v>306.16666666666669</v>
      </c>
      <c r="G938" s="63">
        <v>606.33333333333326</v>
      </c>
      <c r="H938" s="63">
        <v>804.83333333333337</v>
      </c>
      <c r="I938" s="63">
        <v>92.333333333333329</v>
      </c>
      <c r="J938" s="63">
        <v>0</v>
      </c>
      <c r="K938" s="63">
        <f>AVERAGE(I938:J938)</f>
        <v>46.166666666666664</v>
      </c>
      <c r="L938" s="64" t="str">
        <f>"1545 Chocolate Chip Muffin"</f>
        <v>1545 Chocolate Chip Muffin</v>
      </c>
      <c r="M938" s="65" t="str">
        <f>"48-4 oz. I.W. Muffins"</f>
        <v>48-4 oz. I.W. Muffins</v>
      </c>
      <c r="N938" s="66">
        <v>48</v>
      </c>
      <c r="O938" s="67">
        <v>0</v>
      </c>
      <c r="P938" s="68" t="e">
        <f>1/O938</f>
        <v>#DIV/0!</v>
      </c>
      <c r="Q938" s="53">
        <v>2.8600000000000001E-3</v>
      </c>
      <c r="R938" s="69">
        <f t="shared" ref="R938" si="669">1/Q938</f>
        <v>349.65034965034965</v>
      </c>
      <c r="S938" s="70">
        <f t="shared" ref="S938" si="670">R938*N938</f>
        <v>16783.216783216783</v>
      </c>
    </row>
    <row r="939" spans="1:19" ht="15.6" hidden="1" customHeight="1" thickBot="1" x14ac:dyDescent="0.3">
      <c r="A939" t="s">
        <v>23</v>
      </c>
      <c r="B939" s="60" t="str">
        <f t="shared" si="668"/>
        <v>hide</v>
      </c>
      <c r="D939" s="48" t="str">
        <f>D938</f>
        <v>07910</v>
      </c>
      <c r="E939" s="7"/>
      <c r="F939" s="27">
        <v>-72.316666666666663</v>
      </c>
      <c r="G939" s="27">
        <v>-144.83333333333334</v>
      </c>
      <c r="H939" s="27">
        <v>-481.16666666666669</v>
      </c>
      <c r="I939" s="27">
        <v>0</v>
      </c>
      <c r="J939" s="27">
        <v>0</v>
      </c>
      <c r="K939" s="63">
        <f>AVERAGE(I939:J939)</f>
        <v>0</v>
      </c>
      <c r="L939" s="56" t="str">
        <f>"EQP-LAWPACK1"</f>
        <v>EQP-LAWPACK1</v>
      </c>
      <c r="M939" s="14"/>
      <c r="N939" s="15"/>
      <c r="O939" s="12"/>
      <c r="P939" s="34"/>
      <c r="Q939" s="37"/>
      <c r="R939" s="47"/>
      <c r="S939" s="46"/>
    </row>
    <row r="940" spans="1:19" ht="15.6" hidden="1" customHeight="1" thickBot="1" x14ac:dyDescent="0.3">
      <c r="A940" t="s">
        <v>23</v>
      </c>
      <c r="B940" s="60" t="str">
        <f t="shared" ref="B940:B942" si="671">IF(K940=0,"hide","")</f>
        <v>hide</v>
      </c>
      <c r="D940" s="48" t="str">
        <f>D939</f>
        <v>07910</v>
      </c>
      <c r="E940" s="7"/>
      <c r="F940" s="27">
        <v>0</v>
      </c>
      <c r="G940" s="27">
        <v>0</v>
      </c>
      <c r="H940" s="27">
        <v>0</v>
      </c>
      <c r="I940" s="27">
        <v>0</v>
      </c>
      <c r="J940" s="27">
        <v>0</v>
      </c>
      <c r="K940" s="63">
        <f>AVERAGE(I940:J940)</f>
        <v>0</v>
      </c>
      <c r="L940" s="56" t="str">
        <f>"EQP-LAWPACK2"</f>
        <v>EQP-LAWPACK2</v>
      </c>
      <c r="M940" s="14"/>
      <c r="N940" s="15"/>
      <c r="O940" s="12"/>
      <c r="P940" s="34"/>
      <c r="Q940" s="37"/>
      <c r="R940" s="47"/>
      <c r="S940" s="46"/>
    </row>
    <row r="941" spans="1:19" ht="15.6" hidden="1" customHeight="1" thickBot="1" x14ac:dyDescent="0.3">
      <c r="A941" t="s">
        <v>23</v>
      </c>
      <c r="B941" s="60" t="str">
        <f t="shared" si="671"/>
        <v>hide</v>
      </c>
      <c r="D941" s="48" t="str">
        <f>D940</f>
        <v>07910</v>
      </c>
      <c r="E941" s="7"/>
      <c r="F941" s="27">
        <v>0</v>
      </c>
      <c r="G941" s="27">
        <v>0</v>
      </c>
      <c r="H941" s="27">
        <v>0</v>
      </c>
      <c r="I941" s="27">
        <v>0</v>
      </c>
      <c r="J941" s="27">
        <v>0</v>
      </c>
      <c r="K941" s="63">
        <f>AVERAGE(I941:J941)</f>
        <v>0</v>
      </c>
      <c r="L941" s="56" t="str">
        <f>"SW-COMAS-PACKL"</f>
        <v>SW-COMAS-PACKL</v>
      </c>
      <c r="M941" s="14"/>
      <c r="N941" s="15"/>
      <c r="O941" s="12"/>
      <c r="P941" s="34"/>
      <c r="Q941" s="37"/>
      <c r="R941" s="47"/>
      <c r="S941" s="46"/>
    </row>
    <row r="942" spans="1:19" ht="15.6" hidden="1" customHeight="1" thickBot="1" x14ac:dyDescent="0.3">
      <c r="A942" t="s">
        <v>23</v>
      </c>
      <c r="B942" s="60" t="str">
        <f t="shared" si="671"/>
        <v>hide</v>
      </c>
      <c r="D942" s="48" t="str">
        <f>D941</f>
        <v>07910</v>
      </c>
      <c r="E942" s="7"/>
      <c r="F942" s="27">
        <v>0</v>
      </c>
      <c r="G942" s="27">
        <v>0</v>
      </c>
      <c r="H942" s="27">
        <v>0</v>
      </c>
      <c r="I942" s="27">
        <v>0</v>
      </c>
      <c r="J942" s="27">
        <v>0</v>
      </c>
      <c r="K942" s="63">
        <f>AVERAGE(I942:J942)</f>
        <v>0</v>
      </c>
      <c r="L942" s="56" t="str">
        <f>"SW-RISER-PACK"</f>
        <v>SW-RISER-PACK</v>
      </c>
      <c r="M942" s="14"/>
      <c r="N942" s="15"/>
      <c r="O942" s="12"/>
      <c r="P942" s="34"/>
      <c r="Q942" s="37"/>
      <c r="R942" s="47"/>
      <c r="S942" s="46"/>
    </row>
    <row r="943" spans="1:19" ht="12" hidden="1" customHeight="1" x14ac:dyDescent="0.3">
      <c r="A943" s="35" t="s">
        <v>908</v>
      </c>
      <c r="B943" s="49" t="str">
        <f>B939</f>
        <v>hide</v>
      </c>
      <c r="N943"/>
      <c r="Q943" s="33"/>
    </row>
    <row r="944" spans="1:19" ht="13.8" hidden="1" thickBot="1" x14ac:dyDescent="0.3">
      <c r="A944" t="s">
        <v>23</v>
      </c>
      <c r="B944" s="49" t="str">
        <f t="shared" ref="B944" si="672">B943</f>
        <v>hide</v>
      </c>
      <c r="D944" s="58"/>
      <c r="E944" s="58"/>
      <c r="F944" s="52">
        <f>SUM(F939:F943)</f>
        <v>-72.316666666666663</v>
      </c>
      <c r="G944" s="52">
        <f>SUM(G939:G943)</f>
        <v>-144.83333333333334</v>
      </c>
      <c r="H944" s="52">
        <f>SUM(H939:H943)</f>
        <v>-481.16666666666669</v>
      </c>
      <c r="I944" s="52">
        <f>SUM(I939:I943)</f>
        <v>0</v>
      </c>
      <c r="J944" s="52">
        <f>SUM(J939:J943)</f>
        <v>0</v>
      </c>
      <c r="K944" s="52"/>
      <c r="L944" s="51" t="s">
        <v>4</v>
      </c>
      <c r="M944" s="58"/>
      <c r="N944" s="58"/>
      <c r="O944" s="58"/>
      <c r="P944" s="58"/>
      <c r="Q944" s="58"/>
      <c r="R944" s="58"/>
      <c r="S944" s="58"/>
    </row>
    <row r="945" spans="1:19" s="59" customFormat="1" ht="18.75" hidden="1" customHeight="1" thickBot="1" x14ac:dyDescent="0.3">
      <c r="A945" s="59" t="s">
        <v>23</v>
      </c>
      <c r="B945" s="60" t="str">
        <f t="shared" ref="B945:B946" si="673">IF(K945=0,"hide","")</f>
        <v>hide</v>
      </c>
      <c r="D945" s="61" t="str">
        <f>"07921"</f>
        <v>07921</v>
      </c>
      <c r="E945" s="62" t="str">
        <f>"5"</f>
        <v>5</v>
      </c>
      <c r="F945" s="63">
        <v>0</v>
      </c>
      <c r="G945" s="63">
        <v>0</v>
      </c>
      <c r="H945" s="63">
        <v>0</v>
      </c>
      <c r="I945" s="63">
        <v>0</v>
      </c>
      <c r="J945" s="63">
        <v>0</v>
      </c>
      <c r="K945" s="63">
        <f>AVERAGE(I945:J945)</f>
        <v>0</v>
      </c>
      <c r="L945" s="64" t="str">
        <f>"1412 WG Blueberry"</f>
        <v>1412 WG Blueberry</v>
      </c>
      <c r="M945" s="65" t="str">
        <f>"48-4 oz. I.W. Muffins"</f>
        <v>48-4 oz. I.W. Muffins</v>
      </c>
      <c r="N945" s="66">
        <v>48</v>
      </c>
      <c r="O945" s="67">
        <v>2.7399999999999998E-3</v>
      </c>
      <c r="P945" s="68">
        <f>1/O945</f>
        <v>364.96350364963507</v>
      </c>
      <c r="Q945" s="53">
        <v>2.7399999999999998E-3</v>
      </c>
      <c r="R945" s="69">
        <f t="shared" ref="R945" si="674">1/Q945</f>
        <v>364.96350364963507</v>
      </c>
      <c r="S945" s="70">
        <f t="shared" ref="S945" si="675">R945*N945</f>
        <v>17518.248175182482</v>
      </c>
    </row>
    <row r="946" spans="1:19" ht="15.6" hidden="1" customHeight="1" thickBot="1" x14ac:dyDescent="0.3">
      <c r="A946" t="s">
        <v>23</v>
      </c>
      <c r="B946" s="60" t="str">
        <f t="shared" si="673"/>
        <v>hide</v>
      </c>
      <c r="D946" s="48" t="str">
        <f>D945</f>
        <v>07921</v>
      </c>
      <c r="E946" s="7"/>
      <c r="F946" s="27">
        <v>0</v>
      </c>
      <c r="G946" s="27">
        <v>0</v>
      </c>
      <c r="H946" s="27">
        <v>0</v>
      </c>
      <c r="I946" s="27">
        <v>0</v>
      </c>
      <c r="J946" s="27">
        <v>0</v>
      </c>
      <c r="K946" s="63">
        <f>AVERAGE(I946:J946)</f>
        <v>0</v>
      </c>
      <c r="L946" s="56" t="str">
        <f>"EQP-LAWPACK1"</f>
        <v>EQP-LAWPACK1</v>
      </c>
      <c r="M946" s="14"/>
      <c r="N946" s="15"/>
      <c r="O946" s="12"/>
      <c r="P946" s="34"/>
      <c r="Q946" s="37"/>
      <c r="R946" s="47"/>
      <c r="S946" s="46"/>
    </row>
    <row r="947" spans="1:19" ht="15.6" hidden="1" customHeight="1" thickBot="1" x14ac:dyDescent="0.3">
      <c r="A947" t="s">
        <v>23</v>
      </c>
      <c r="B947" s="60" t="str">
        <f t="shared" ref="B947:B949" si="676">IF(K947=0,"hide","")</f>
        <v>hide</v>
      </c>
      <c r="D947" s="48" t="str">
        <f>D946</f>
        <v>07921</v>
      </c>
      <c r="E947" s="7"/>
      <c r="F947" s="27">
        <v>0</v>
      </c>
      <c r="G947" s="27">
        <v>0</v>
      </c>
      <c r="H947" s="27">
        <v>0</v>
      </c>
      <c r="I947" s="27">
        <v>0</v>
      </c>
      <c r="J947" s="27">
        <v>0</v>
      </c>
      <c r="K947" s="63">
        <f>AVERAGE(I947:J947)</f>
        <v>0</v>
      </c>
      <c r="L947" s="56" t="str">
        <f>"EQP-LAWPACK2"</f>
        <v>EQP-LAWPACK2</v>
      </c>
      <c r="M947" s="14"/>
      <c r="N947" s="15"/>
      <c r="O947" s="12"/>
      <c r="P947" s="34"/>
      <c r="Q947" s="37"/>
      <c r="R947" s="47"/>
      <c r="S947" s="46"/>
    </row>
    <row r="948" spans="1:19" ht="15.6" hidden="1" customHeight="1" thickBot="1" x14ac:dyDescent="0.3">
      <c r="A948" t="s">
        <v>23</v>
      </c>
      <c r="B948" s="60" t="str">
        <f t="shared" si="676"/>
        <v>hide</v>
      </c>
      <c r="D948" s="48" t="str">
        <f>D947</f>
        <v>07921</v>
      </c>
      <c r="E948" s="7"/>
      <c r="F948" s="27">
        <v>0</v>
      </c>
      <c r="G948" s="27">
        <v>0</v>
      </c>
      <c r="H948" s="27">
        <v>0</v>
      </c>
      <c r="I948" s="27">
        <v>0</v>
      </c>
      <c r="J948" s="27">
        <v>0</v>
      </c>
      <c r="K948" s="63">
        <f>AVERAGE(I948:J948)</f>
        <v>0</v>
      </c>
      <c r="L948" s="56" t="str">
        <f>"SW-COMAS-PACKL"</f>
        <v>SW-COMAS-PACKL</v>
      </c>
      <c r="M948" s="14"/>
      <c r="N948" s="15"/>
      <c r="O948" s="12"/>
      <c r="P948" s="34"/>
      <c r="Q948" s="37"/>
      <c r="R948" s="47"/>
      <c r="S948" s="46"/>
    </row>
    <row r="949" spans="1:19" ht="15.6" hidden="1" customHeight="1" thickBot="1" x14ac:dyDescent="0.3">
      <c r="A949" t="s">
        <v>23</v>
      </c>
      <c r="B949" s="60" t="str">
        <f t="shared" si="676"/>
        <v>hide</v>
      </c>
      <c r="D949" s="48" t="str">
        <f>D948</f>
        <v>07921</v>
      </c>
      <c r="E949" s="7"/>
      <c r="F949" s="27">
        <v>0</v>
      </c>
      <c r="G949" s="27">
        <v>0</v>
      </c>
      <c r="H949" s="27">
        <v>0</v>
      </c>
      <c r="I949" s="27">
        <v>0</v>
      </c>
      <c r="J949" s="27">
        <v>0</v>
      </c>
      <c r="K949" s="63">
        <f>AVERAGE(I949:J949)</f>
        <v>0</v>
      </c>
      <c r="L949" s="56" t="str">
        <f>"SW-RISER-PACK"</f>
        <v>SW-RISER-PACK</v>
      </c>
      <c r="M949" s="14"/>
      <c r="N949" s="15"/>
      <c r="O949" s="12"/>
      <c r="P949" s="34"/>
      <c r="Q949" s="37"/>
      <c r="R949" s="47"/>
      <c r="S949" s="46"/>
    </row>
    <row r="950" spans="1:19" ht="12" hidden="1" customHeight="1" x14ac:dyDescent="0.3">
      <c r="A950" s="35" t="s">
        <v>908</v>
      </c>
      <c r="B950" s="49" t="str">
        <f>B946</f>
        <v>hide</v>
      </c>
      <c r="N950"/>
      <c r="Q950" s="33"/>
    </row>
    <row r="951" spans="1:19" ht="13.8" hidden="1" thickBot="1" x14ac:dyDescent="0.3">
      <c r="A951" t="s">
        <v>23</v>
      </c>
      <c r="B951" s="49" t="str">
        <f t="shared" ref="B951" si="677">B950</f>
        <v>hide</v>
      </c>
      <c r="D951" s="58"/>
      <c r="E951" s="58"/>
      <c r="F951" s="52">
        <f>SUM(F946:F950)</f>
        <v>0</v>
      </c>
      <c r="G951" s="52">
        <f>SUM(G946:G950)</f>
        <v>0</v>
      </c>
      <c r="H951" s="52">
        <f>SUM(H946:H950)</f>
        <v>0</v>
      </c>
      <c r="I951" s="52">
        <f>SUM(I946:I950)</f>
        <v>0</v>
      </c>
      <c r="J951" s="52">
        <f>SUM(J946:J950)</f>
        <v>0</v>
      </c>
      <c r="K951" s="52"/>
      <c r="L951" s="51" t="s">
        <v>4</v>
      </c>
      <c r="M951" s="58"/>
      <c r="N951" s="58"/>
      <c r="O951" s="58"/>
      <c r="P951" s="58"/>
      <c r="Q951" s="58"/>
      <c r="R951" s="58"/>
      <c r="S951" s="58"/>
    </row>
    <row r="952" spans="1:19" s="59" customFormat="1" ht="18.75" customHeight="1" thickBot="1" x14ac:dyDescent="0.3">
      <c r="A952" s="59" t="s">
        <v>23</v>
      </c>
      <c r="B952" s="60" t="str">
        <f t="shared" ref="B952:B953" si="678">IF(K952=0,"hide","")</f>
        <v/>
      </c>
      <c r="D952" s="61" t="str">
        <f>"07940"</f>
        <v>07940</v>
      </c>
      <c r="E952" s="62" t="str">
        <f>"6"</f>
        <v>6</v>
      </c>
      <c r="F952" s="63">
        <v>868.08333333333337</v>
      </c>
      <c r="G952" s="63">
        <v>625.75000000000011</v>
      </c>
      <c r="H952" s="63">
        <v>858.08333333333337</v>
      </c>
      <c r="I952" s="63">
        <v>2709.3333333333335</v>
      </c>
      <c r="J952" s="63">
        <v>2449.4843373493977</v>
      </c>
      <c r="K952" s="63">
        <f>AVERAGE(I952:J952)</f>
        <v>2579.4088353413654</v>
      </c>
      <c r="L952" s="64" t="str">
        <f>"1392 Muffin, WG, Choc Chip, IW"</f>
        <v>1392 Muffin, WG, Choc Chip, IW</v>
      </c>
      <c r="M952" s="65" t="str">
        <f>"48/4 oz"</f>
        <v>48/4 oz</v>
      </c>
      <c r="N952" s="66">
        <v>48</v>
      </c>
      <c r="O952" s="67">
        <v>1E-3</v>
      </c>
      <c r="P952" s="68">
        <f>1/O952</f>
        <v>1000</v>
      </c>
      <c r="Q952" s="53">
        <v>5.3E-3</v>
      </c>
      <c r="R952" s="69">
        <f t="shared" ref="R952" si="679">1/Q952</f>
        <v>188.67924528301887</v>
      </c>
      <c r="S952" s="70">
        <f t="shared" ref="S952" si="680">R952*N952</f>
        <v>9056.6037735849059</v>
      </c>
    </row>
    <row r="953" spans="1:19" ht="15.6" customHeight="1" thickBot="1" x14ac:dyDescent="0.3">
      <c r="A953" t="s">
        <v>23</v>
      </c>
      <c r="B953" s="60" t="str">
        <f t="shared" si="678"/>
        <v/>
      </c>
      <c r="D953" s="48" t="str">
        <f>D952</f>
        <v>07940</v>
      </c>
      <c r="E953" s="7"/>
      <c r="F953" s="27">
        <v>-685.31583333333344</v>
      </c>
      <c r="G953" s="27">
        <v>-266.5575</v>
      </c>
      <c r="H953" s="27">
        <v>-560.23416666666662</v>
      </c>
      <c r="I953" s="27">
        <v>-1993.5</v>
      </c>
      <c r="J953" s="27">
        <v>-2102.314939759036</v>
      </c>
      <c r="K953" s="63">
        <f>AVERAGE(I953:J953)</f>
        <v>-2047.907469879518</v>
      </c>
      <c r="L953" s="56" t="str">
        <f>"EQP-LAWPACK1"</f>
        <v>EQP-LAWPACK1</v>
      </c>
      <c r="M953" s="14"/>
      <c r="N953" s="15"/>
      <c r="O953" s="12"/>
      <c r="P953" s="34"/>
      <c r="Q953" s="37"/>
      <c r="R953" s="47"/>
      <c r="S953" s="46"/>
    </row>
    <row r="954" spans="1:19" ht="15.6" hidden="1" customHeight="1" thickBot="1" x14ac:dyDescent="0.3">
      <c r="A954" t="s">
        <v>23</v>
      </c>
      <c r="B954" s="60" t="str">
        <f t="shared" ref="B954:B956" si="681">IF(K954=0,"hide","")</f>
        <v>hide</v>
      </c>
      <c r="D954" s="48" t="str">
        <f>D953</f>
        <v>07940</v>
      </c>
      <c r="E954" s="7"/>
      <c r="F954" s="27">
        <v>0</v>
      </c>
      <c r="G954" s="27">
        <v>0</v>
      </c>
      <c r="H954" s="27">
        <v>0</v>
      </c>
      <c r="I954" s="27">
        <v>0</v>
      </c>
      <c r="J954" s="27">
        <v>0</v>
      </c>
      <c r="K954" s="63">
        <f>AVERAGE(I954:J954)</f>
        <v>0</v>
      </c>
      <c r="L954" s="56" t="str">
        <f>"EQP-LAWPACK2"</f>
        <v>EQP-LAWPACK2</v>
      </c>
      <c r="M954" s="14"/>
      <c r="N954" s="15"/>
      <c r="O954" s="12"/>
      <c r="P954" s="34"/>
      <c r="Q954" s="37"/>
      <c r="R954" s="47"/>
      <c r="S954" s="46"/>
    </row>
    <row r="955" spans="1:19" ht="15.6" hidden="1" customHeight="1" thickBot="1" x14ac:dyDescent="0.3">
      <c r="A955" t="s">
        <v>23</v>
      </c>
      <c r="B955" s="60" t="str">
        <f t="shared" si="681"/>
        <v>hide</v>
      </c>
      <c r="D955" s="48" t="str">
        <f>D954</f>
        <v>07940</v>
      </c>
      <c r="E955" s="7"/>
      <c r="F955" s="27">
        <v>0</v>
      </c>
      <c r="G955" s="27">
        <v>0</v>
      </c>
      <c r="H955" s="27">
        <v>0</v>
      </c>
      <c r="I955" s="27">
        <v>0</v>
      </c>
      <c r="J955" s="27">
        <v>0</v>
      </c>
      <c r="K955" s="63">
        <f>AVERAGE(I955:J955)</f>
        <v>0</v>
      </c>
      <c r="L955" s="56" t="str">
        <f>"SW-COMAS-PACKL"</f>
        <v>SW-COMAS-PACKL</v>
      </c>
      <c r="M955" s="14"/>
      <c r="N955" s="15"/>
      <c r="O955" s="12"/>
      <c r="P955" s="34"/>
      <c r="Q955" s="37"/>
      <c r="R955" s="47"/>
      <c r="S955" s="46"/>
    </row>
    <row r="956" spans="1:19" ht="15.6" hidden="1" customHeight="1" thickBot="1" x14ac:dyDescent="0.3">
      <c r="A956" t="s">
        <v>23</v>
      </c>
      <c r="B956" s="60" t="str">
        <f t="shared" si="681"/>
        <v>hide</v>
      </c>
      <c r="D956" s="48" t="str">
        <f>D955</f>
        <v>07940</v>
      </c>
      <c r="E956" s="7"/>
      <c r="F956" s="27">
        <v>0</v>
      </c>
      <c r="G956" s="27">
        <v>0</v>
      </c>
      <c r="H956" s="27">
        <v>0</v>
      </c>
      <c r="I956" s="27">
        <v>0</v>
      </c>
      <c r="J956" s="27">
        <v>0</v>
      </c>
      <c r="K956" s="63">
        <f>AVERAGE(I956:J956)</f>
        <v>0</v>
      </c>
      <c r="L956" s="56" t="str">
        <f>"SW-RISER-PACK"</f>
        <v>SW-RISER-PACK</v>
      </c>
      <c r="M956" s="14"/>
      <c r="N956" s="15"/>
      <c r="O956" s="12"/>
      <c r="P956" s="34"/>
      <c r="Q956" s="37"/>
      <c r="R956" s="47"/>
      <c r="S956" s="46"/>
    </row>
    <row r="957" spans="1:19" ht="12" hidden="1" customHeight="1" x14ac:dyDescent="0.25">
      <c r="A957" s="35" t="s">
        <v>908</v>
      </c>
      <c r="B957" s="49" t="str">
        <f>B953</f>
        <v/>
      </c>
      <c r="N957"/>
      <c r="Q957" s="33"/>
    </row>
    <row r="958" spans="1:19" ht="13.8" thickBot="1" x14ac:dyDescent="0.3">
      <c r="A958" t="s">
        <v>23</v>
      </c>
      <c r="B958" s="49" t="str">
        <f t="shared" ref="B958" si="682">B957</f>
        <v/>
      </c>
      <c r="D958" s="58"/>
      <c r="E958" s="58"/>
      <c r="F958" s="52">
        <f>SUM(F953:F957)</f>
        <v>-685.31583333333344</v>
      </c>
      <c r="G958" s="52">
        <f>SUM(G953:G957)</f>
        <v>-266.5575</v>
      </c>
      <c r="H958" s="52">
        <f>SUM(H953:H957)</f>
        <v>-560.23416666666662</v>
      </c>
      <c r="I958" s="52">
        <f>SUM(I953:I957)</f>
        <v>-1993.5</v>
      </c>
      <c r="J958" s="52">
        <f>SUM(J953:J957)</f>
        <v>-2102.314939759036</v>
      </c>
      <c r="K958" s="52"/>
      <c r="L958" s="51" t="s">
        <v>4</v>
      </c>
      <c r="M958" s="58"/>
      <c r="N958" s="58"/>
      <c r="O958" s="58"/>
      <c r="P958" s="58"/>
      <c r="Q958" s="58"/>
      <c r="R958" s="58"/>
      <c r="S958" s="58"/>
    </row>
    <row r="959" spans="1:19" s="59" customFormat="1" ht="18.75" customHeight="1" thickBot="1" x14ac:dyDescent="0.3">
      <c r="A959" s="59" t="s">
        <v>23</v>
      </c>
      <c r="B959" s="60" t="str">
        <f t="shared" ref="B959:B960" si="683">IF(K959=0,"hide","")</f>
        <v/>
      </c>
      <c r="D959" s="61" t="str">
        <f>"07941"</f>
        <v>07941</v>
      </c>
      <c r="E959" s="62" t="str">
        <f>"5"</f>
        <v>5</v>
      </c>
      <c r="F959" s="63">
        <v>1811.6666666666667</v>
      </c>
      <c r="G959" s="63">
        <v>1443.4166666666667</v>
      </c>
      <c r="H959" s="63">
        <v>1711.0833333333333</v>
      </c>
      <c r="I959" s="63">
        <v>3308.5833333333335</v>
      </c>
      <c r="J959" s="63">
        <v>2130.0012048192771</v>
      </c>
      <c r="K959" s="63">
        <f>AVERAGE(I959:J959)</f>
        <v>2719.2922690763053</v>
      </c>
      <c r="L959" s="64" t="str">
        <f>"1314 Muffins, WG, Blueberry, IW"</f>
        <v>1314 Muffins, WG, Blueberry, IW</v>
      </c>
      <c r="M959" s="65" t="str">
        <f>"48/4 oz"</f>
        <v>48/4 oz</v>
      </c>
      <c r="N959" s="66">
        <v>48</v>
      </c>
      <c r="O959" s="67">
        <v>1E-3</v>
      </c>
      <c r="P959" s="68">
        <f>1/O959</f>
        <v>1000</v>
      </c>
      <c r="Q959" s="53">
        <v>2.8600000000000001E-3</v>
      </c>
      <c r="R959" s="69">
        <f t="shared" ref="R959" si="684">1/Q959</f>
        <v>349.65034965034965</v>
      </c>
      <c r="S959" s="70">
        <f t="shared" ref="S959" si="685">R959*N959</f>
        <v>16783.216783216783</v>
      </c>
    </row>
    <row r="960" spans="1:19" ht="15.6" customHeight="1" thickBot="1" x14ac:dyDescent="0.3">
      <c r="A960" t="s">
        <v>23</v>
      </c>
      <c r="B960" s="60" t="str">
        <f t="shared" si="683"/>
        <v/>
      </c>
      <c r="D960" s="48" t="str">
        <f>D959</f>
        <v>07941</v>
      </c>
      <c r="E960" s="7"/>
      <c r="F960" s="27">
        <v>-1647.0941666666668</v>
      </c>
      <c r="G960" s="27">
        <v>-1182.1658333333332</v>
      </c>
      <c r="H960" s="27">
        <v>-1325.9816666666666</v>
      </c>
      <c r="I960" s="27">
        <v>-2431.5833333333335</v>
      </c>
      <c r="J960" s="27">
        <v>-1818.2920481927711</v>
      </c>
      <c r="K960" s="63">
        <f>AVERAGE(I960:J960)</f>
        <v>-2124.9376907630522</v>
      </c>
      <c r="L960" s="56" t="str">
        <f>"EQP-LAWPACK1"</f>
        <v>EQP-LAWPACK1</v>
      </c>
      <c r="M960" s="14"/>
      <c r="N960" s="15"/>
      <c r="O960" s="12"/>
      <c r="P960" s="34"/>
      <c r="Q960" s="37"/>
      <c r="R960" s="47"/>
      <c r="S960" s="46"/>
    </row>
    <row r="961" spans="1:19" ht="15.6" hidden="1" customHeight="1" thickBot="1" x14ac:dyDescent="0.3">
      <c r="A961" t="s">
        <v>23</v>
      </c>
      <c r="B961" s="60" t="str">
        <f t="shared" ref="B961:B963" si="686">IF(K961=0,"hide","")</f>
        <v>hide</v>
      </c>
      <c r="D961" s="48" t="str">
        <f>D960</f>
        <v>07941</v>
      </c>
      <c r="E961" s="7"/>
      <c r="F961" s="27">
        <v>0</v>
      </c>
      <c r="G961" s="27">
        <v>0</v>
      </c>
      <c r="H961" s="27">
        <v>0</v>
      </c>
      <c r="I961" s="27">
        <v>0</v>
      </c>
      <c r="J961" s="27">
        <v>0</v>
      </c>
      <c r="K961" s="63">
        <f>AVERAGE(I961:J961)</f>
        <v>0</v>
      </c>
      <c r="L961" s="56" t="str">
        <f>"EQP-LAWPACK2"</f>
        <v>EQP-LAWPACK2</v>
      </c>
      <c r="M961" s="14"/>
      <c r="N961" s="15"/>
      <c r="O961" s="12"/>
      <c r="P961" s="34"/>
      <c r="Q961" s="37"/>
      <c r="R961" s="47"/>
      <c r="S961" s="46"/>
    </row>
    <row r="962" spans="1:19" ht="15.6" hidden="1" customHeight="1" thickBot="1" x14ac:dyDescent="0.3">
      <c r="A962" t="s">
        <v>23</v>
      </c>
      <c r="B962" s="60" t="str">
        <f t="shared" si="686"/>
        <v>hide</v>
      </c>
      <c r="D962" s="48" t="str">
        <f>D961</f>
        <v>07941</v>
      </c>
      <c r="E962" s="7"/>
      <c r="F962" s="27">
        <v>0</v>
      </c>
      <c r="G962" s="27">
        <v>0</v>
      </c>
      <c r="H962" s="27">
        <v>0</v>
      </c>
      <c r="I962" s="27">
        <v>0</v>
      </c>
      <c r="J962" s="27">
        <v>0</v>
      </c>
      <c r="K962" s="63">
        <f>AVERAGE(I962:J962)</f>
        <v>0</v>
      </c>
      <c r="L962" s="56" t="str">
        <f>"SW-COMAS-PACKL"</f>
        <v>SW-COMAS-PACKL</v>
      </c>
      <c r="M962" s="14"/>
      <c r="N962" s="15"/>
      <c r="O962" s="12"/>
      <c r="P962" s="34"/>
      <c r="Q962" s="37"/>
      <c r="R962" s="47"/>
      <c r="S962" s="46"/>
    </row>
    <row r="963" spans="1:19" ht="15.6" hidden="1" customHeight="1" thickBot="1" x14ac:dyDescent="0.3">
      <c r="A963" t="s">
        <v>23</v>
      </c>
      <c r="B963" s="60" t="str">
        <f t="shared" si="686"/>
        <v>hide</v>
      </c>
      <c r="D963" s="48" t="str">
        <f>D962</f>
        <v>07941</v>
      </c>
      <c r="E963" s="7"/>
      <c r="F963" s="27">
        <v>0</v>
      </c>
      <c r="G963" s="27">
        <v>0</v>
      </c>
      <c r="H963" s="27">
        <v>0</v>
      </c>
      <c r="I963" s="27">
        <v>0</v>
      </c>
      <c r="J963" s="27">
        <v>0</v>
      </c>
      <c r="K963" s="63">
        <f>AVERAGE(I963:J963)</f>
        <v>0</v>
      </c>
      <c r="L963" s="56" t="str">
        <f>"SW-RISER-PACK"</f>
        <v>SW-RISER-PACK</v>
      </c>
      <c r="M963" s="14"/>
      <c r="N963" s="15"/>
      <c r="O963" s="12"/>
      <c r="P963" s="34"/>
      <c r="Q963" s="37"/>
      <c r="R963" s="47"/>
      <c r="S963" s="46"/>
    </row>
    <row r="964" spans="1:19" ht="12" hidden="1" customHeight="1" x14ac:dyDescent="0.25">
      <c r="A964" s="35" t="s">
        <v>908</v>
      </c>
      <c r="B964" s="49" t="str">
        <f>B960</f>
        <v/>
      </c>
      <c r="N964"/>
      <c r="Q964" s="33"/>
    </row>
    <row r="965" spans="1:19" ht="13.8" thickBot="1" x14ac:dyDescent="0.3">
      <c r="A965" t="s">
        <v>23</v>
      </c>
      <c r="B965" s="49" t="str">
        <f t="shared" ref="B965" si="687">B964</f>
        <v/>
      </c>
      <c r="D965" s="58"/>
      <c r="E965" s="58"/>
      <c r="F965" s="52">
        <f>SUM(F960:F964)</f>
        <v>-1647.0941666666668</v>
      </c>
      <c r="G965" s="52">
        <f>SUM(G960:G964)</f>
        <v>-1182.1658333333332</v>
      </c>
      <c r="H965" s="52">
        <f>SUM(H960:H964)</f>
        <v>-1325.9816666666666</v>
      </c>
      <c r="I965" s="52">
        <f>SUM(I960:I964)</f>
        <v>-2431.5833333333335</v>
      </c>
      <c r="J965" s="52">
        <f>SUM(J960:J964)</f>
        <v>-1818.2920481927711</v>
      </c>
      <c r="K965" s="52"/>
      <c r="L965" s="51" t="s">
        <v>4</v>
      </c>
      <c r="M965" s="58"/>
      <c r="N965" s="58"/>
      <c r="O965" s="58"/>
      <c r="P965" s="58"/>
      <c r="Q965" s="58"/>
      <c r="R965" s="58"/>
      <c r="S965" s="58"/>
    </row>
    <row r="966" spans="1:19" s="59" customFormat="1" ht="18.75" customHeight="1" thickBot="1" x14ac:dyDescent="0.3">
      <c r="A966" s="59" t="s">
        <v>23</v>
      </c>
      <c r="B966" s="60" t="str">
        <f t="shared" ref="B966:B967" si="688">IF(K966=0,"hide","")</f>
        <v/>
      </c>
      <c r="D966" s="61" t="str">
        <f>"07946"</f>
        <v>07946</v>
      </c>
      <c r="E966" s="62" t="str">
        <f>"6"</f>
        <v>6</v>
      </c>
      <c r="F966" s="63">
        <v>248.75</v>
      </c>
      <c r="G966" s="63">
        <v>169.66666666666669</v>
      </c>
      <c r="H966" s="63">
        <v>330.16666666666663</v>
      </c>
      <c r="I966" s="63">
        <v>405.75</v>
      </c>
      <c r="J966" s="63">
        <v>997.25108433734943</v>
      </c>
      <c r="K966" s="63">
        <f>AVERAGE(I966:J966)</f>
        <v>701.50054216867466</v>
      </c>
      <c r="L966" s="64" t="str">
        <f>"1336 Muffin, WG, Apple Cinnamon, IW"</f>
        <v>1336 Muffin, WG, Apple Cinnamon, IW</v>
      </c>
      <c r="M966" s="65" t="str">
        <f>"48/4 oz"</f>
        <v>48/4 oz</v>
      </c>
      <c r="N966" s="66">
        <v>48</v>
      </c>
      <c r="O966" s="67">
        <v>1E-3</v>
      </c>
      <c r="P966" s="68">
        <f>1/O966</f>
        <v>1000</v>
      </c>
      <c r="Q966" s="53">
        <v>2.8600000000000001E-3</v>
      </c>
      <c r="R966" s="69">
        <f t="shared" ref="R966" si="689">1/Q966</f>
        <v>349.65034965034965</v>
      </c>
      <c r="S966" s="70">
        <f t="shared" ref="S966" si="690">R966*N966</f>
        <v>16783.216783216783</v>
      </c>
    </row>
    <row r="967" spans="1:19" ht="15.6" customHeight="1" thickBot="1" x14ac:dyDescent="0.3">
      <c r="A967" t="s">
        <v>23</v>
      </c>
      <c r="B967" s="60" t="str">
        <f t="shared" si="688"/>
        <v/>
      </c>
      <c r="D967" s="48" t="str">
        <f>D966</f>
        <v>07946</v>
      </c>
      <c r="E967" s="7"/>
      <c r="F967" s="27">
        <v>-98.461666666666659</v>
      </c>
      <c r="G967" s="27">
        <v>-46.166666666666664</v>
      </c>
      <c r="H967" s="27">
        <v>-61.333333333333336</v>
      </c>
      <c r="I967" s="27">
        <v>-107.75</v>
      </c>
      <c r="J967" s="27">
        <v>-466.09759036144584</v>
      </c>
      <c r="K967" s="63">
        <f>AVERAGE(I967:J967)</f>
        <v>-286.92379518072289</v>
      </c>
      <c r="L967" s="56" t="str">
        <f>"EQP-LAWPACK1"</f>
        <v>EQP-LAWPACK1</v>
      </c>
      <c r="M967" s="14"/>
      <c r="N967" s="15"/>
      <c r="O967" s="12"/>
      <c r="P967" s="34"/>
      <c r="Q967" s="37"/>
      <c r="R967" s="47"/>
      <c r="S967" s="46"/>
    </row>
    <row r="968" spans="1:19" ht="15.6" hidden="1" customHeight="1" thickBot="1" x14ac:dyDescent="0.3">
      <c r="A968" t="s">
        <v>23</v>
      </c>
      <c r="B968" s="60" t="str">
        <f t="shared" ref="B968:B970" si="691">IF(K968=0,"hide","")</f>
        <v>hide</v>
      </c>
      <c r="D968" s="48" t="str">
        <f>D967</f>
        <v>07946</v>
      </c>
      <c r="E968" s="7"/>
      <c r="F968" s="27">
        <v>0</v>
      </c>
      <c r="G968" s="27">
        <v>0</v>
      </c>
      <c r="H968" s="27">
        <v>0</v>
      </c>
      <c r="I968" s="27">
        <v>0</v>
      </c>
      <c r="J968" s="27">
        <v>0</v>
      </c>
      <c r="K968" s="63">
        <f>AVERAGE(I968:J968)</f>
        <v>0</v>
      </c>
      <c r="L968" s="56" t="str">
        <f>"EQP-LAWPACK2"</f>
        <v>EQP-LAWPACK2</v>
      </c>
      <c r="M968" s="14"/>
      <c r="N968" s="15"/>
      <c r="O968" s="12"/>
      <c r="P968" s="34"/>
      <c r="Q968" s="37"/>
      <c r="R968" s="47"/>
      <c r="S968" s="46"/>
    </row>
    <row r="969" spans="1:19" ht="15.6" hidden="1" customHeight="1" thickBot="1" x14ac:dyDescent="0.3">
      <c r="A969" t="s">
        <v>23</v>
      </c>
      <c r="B969" s="60" t="str">
        <f t="shared" si="691"/>
        <v>hide</v>
      </c>
      <c r="D969" s="48" t="str">
        <f>D968</f>
        <v>07946</v>
      </c>
      <c r="E969" s="7"/>
      <c r="F969" s="27">
        <v>0</v>
      </c>
      <c r="G969" s="27">
        <v>0</v>
      </c>
      <c r="H969" s="27">
        <v>0</v>
      </c>
      <c r="I969" s="27">
        <v>0</v>
      </c>
      <c r="J969" s="27">
        <v>0</v>
      </c>
      <c r="K969" s="63">
        <f>AVERAGE(I969:J969)</f>
        <v>0</v>
      </c>
      <c r="L969" s="56" t="str">
        <f>"SW-COMAS-PACKL"</f>
        <v>SW-COMAS-PACKL</v>
      </c>
      <c r="M969" s="14"/>
      <c r="N969" s="15"/>
      <c r="O969" s="12"/>
      <c r="P969" s="34"/>
      <c r="Q969" s="37"/>
      <c r="R969" s="47"/>
      <c r="S969" s="46"/>
    </row>
    <row r="970" spans="1:19" ht="15.6" hidden="1" customHeight="1" thickBot="1" x14ac:dyDescent="0.3">
      <c r="A970" t="s">
        <v>23</v>
      </c>
      <c r="B970" s="60" t="str">
        <f t="shared" si="691"/>
        <v>hide</v>
      </c>
      <c r="D970" s="48" t="str">
        <f>D969</f>
        <v>07946</v>
      </c>
      <c r="E970" s="7"/>
      <c r="F970" s="27">
        <v>0</v>
      </c>
      <c r="G970" s="27">
        <v>0</v>
      </c>
      <c r="H970" s="27">
        <v>0</v>
      </c>
      <c r="I970" s="27">
        <v>0</v>
      </c>
      <c r="J970" s="27">
        <v>0</v>
      </c>
      <c r="K970" s="63">
        <f>AVERAGE(I970:J970)</f>
        <v>0</v>
      </c>
      <c r="L970" s="56" t="str">
        <f>"SW-RISER-PACK"</f>
        <v>SW-RISER-PACK</v>
      </c>
      <c r="M970" s="14"/>
      <c r="N970" s="15"/>
      <c r="O970" s="12"/>
      <c r="P970" s="34"/>
      <c r="Q970" s="37"/>
      <c r="R970" s="47"/>
      <c r="S970" s="46"/>
    </row>
    <row r="971" spans="1:19" ht="12" hidden="1" customHeight="1" x14ac:dyDescent="0.25">
      <c r="A971" s="35" t="s">
        <v>908</v>
      </c>
      <c r="B971" s="49" t="str">
        <f>B967</f>
        <v/>
      </c>
      <c r="N971"/>
      <c r="Q971" s="33"/>
    </row>
    <row r="972" spans="1:19" ht="13.8" thickBot="1" x14ac:dyDescent="0.3">
      <c r="A972" t="s">
        <v>23</v>
      </c>
      <c r="B972" s="49" t="str">
        <f t="shared" ref="B972" si="692">B971</f>
        <v/>
      </c>
      <c r="D972" s="58"/>
      <c r="E972" s="58"/>
      <c r="F972" s="52">
        <f>SUM(F967:F971)</f>
        <v>-98.461666666666659</v>
      </c>
      <c r="G972" s="52">
        <f>SUM(G967:G971)</f>
        <v>-46.166666666666664</v>
      </c>
      <c r="H972" s="52">
        <f>SUM(H967:H971)</f>
        <v>-61.333333333333336</v>
      </c>
      <c r="I972" s="52">
        <f>SUM(I967:I971)</f>
        <v>-107.75</v>
      </c>
      <c r="J972" s="52">
        <f>SUM(J967:J971)</f>
        <v>-466.09759036144584</v>
      </c>
      <c r="K972" s="52"/>
      <c r="L972" s="51" t="s">
        <v>4</v>
      </c>
      <c r="M972" s="58"/>
      <c r="N972" s="58"/>
      <c r="O972" s="58"/>
      <c r="P972" s="58"/>
      <c r="Q972" s="58"/>
      <c r="R972" s="58"/>
      <c r="S972" s="58"/>
    </row>
    <row r="973" spans="1:19" s="59" customFormat="1" ht="18.75" customHeight="1" thickBot="1" x14ac:dyDescent="0.3">
      <c r="A973" s="59" t="s">
        <v>23</v>
      </c>
      <c r="B973" s="60" t="str">
        <f t="shared" ref="B973:B974" si="693">IF(K973=0,"hide","")</f>
        <v/>
      </c>
      <c r="D973" s="61" t="str">
        <f>"07949"</f>
        <v>07949</v>
      </c>
      <c r="E973" s="62" t="str">
        <f>"6"</f>
        <v>6</v>
      </c>
      <c r="F973" s="63">
        <v>167.33333333333334</v>
      </c>
      <c r="G973" s="63">
        <v>125.75</v>
      </c>
      <c r="H973" s="63">
        <v>177</v>
      </c>
      <c r="I973" s="63">
        <v>437.25</v>
      </c>
      <c r="J973" s="63">
        <v>485.19156626506026</v>
      </c>
      <c r="K973" s="63">
        <f>AVERAGE(I973:J973)</f>
        <v>461.22078313253013</v>
      </c>
      <c r="L973" s="64" t="str">
        <f>"1389 Muffins, WG, Orange Dream, IW"</f>
        <v>1389 Muffins, WG, Orange Dream, IW</v>
      </c>
      <c r="M973" s="65" t="str">
        <f>"48/4 oz"</f>
        <v>48/4 oz</v>
      </c>
      <c r="N973" s="66">
        <v>48</v>
      </c>
      <c r="O973" s="67">
        <v>1E-3</v>
      </c>
      <c r="P973" s="68">
        <f>1/O973</f>
        <v>1000</v>
      </c>
      <c r="Q973" s="53">
        <v>2.8600000000000001E-3</v>
      </c>
      <c r="R973" s="69">
        <f t="shared" ref="R973" si="694">1/Q973</f>
        <v>349.65034965034965</v>
      </c>
      <c r="S973" s="70">
        <f t="shared" ref="S973" si="695">R973*N973</f>
        <v>16783.216783216783</v>
      </c>
    </row>
    <row r="974" spans="1:19" ht="15.6" hidden="1" customHeight="1" thickBot="1" x14ac:dyDescent="0.3">
      <c r="A974" t="s">
        <v>23</v>
      </c>
      <c r="B974" s="60" t="str">
        <f t="shared" si="693"/>
        <v>hide</v>
      </c>
      <c r="D974" s="48" t="str">
        <f>D973</f>
        <v>07949</v>
      </c>
      <c r="E974" s="7"/>
      <c r="F974" s="27">
        <v>0</v>
      </c>
      <c r="G974" s="27">
        <v>-16.279166666666665</v>
      </c>
      <c r="H974" s="27">
        <v>0</v>
      </c>
      <c r="I974" s="27">
        <v>0</v>
      </c>
      <c r="J974" s="27">
        <v>0</v>
      </c>
      <c r="K974" s="63">
        <f>AVERAGE(I974:J974)</f>
        <v>0</v>
      </c>
      <c r="L974" s="56" t="str">
        <f>"EQP-LAWPACK1"</f>
        <v>EQP-LAWPACK1</v>
      </c>
      <c r="M974" s="14"/>
      <c r="N974" s="15"/>
      <c r="O974" s="12"/>
      <c r="P974" s="34"/>
      <c r="Q974" s="37"/>
      <c r="R974" s="47"/>
      <c r="S974" s="46"/>
    </row>
    <row r="975" spans="1:19" ht="15.6" hidden="1" customHeight="1" thickBot="1" x14ac:dyDescent="0.3">
      <c r="A975" t="s">
        <v>23</v>
      </c>
      <c r="B975" s="60" t="str">
        <f t="shared" ref="B975:B977" si="696">IF(K975=0,"hide","")</f>
        <v>hide</v>
      </c>
      <c r="D975" s="48" t="str">
        <f>D974</f>
        <v>07949</v>
      </c>
      <c r="E975" s="7"/>
      <c r="F975" s="27">
        <v>0</v>
      </c>
      <c r="G975" s="27">
        <v>0</v>
      </c>
      <c r="H975" s="27">
        <v>0</v>
      </c>
      <c r="I975" s="27">
        <v>0</v>
      </c>
      <c r="J975" s="27">
        <v>0</v>
      </c>
      <c r="K975" s="63">
        <f>AVERAGE(I975:J975)</f>
        <v>0</v>
      </c>
      <c r="L975" s="56" t="str">
        <f>"EQP-LAWPACK2"</f>
        <v>EQP-LAWPACK2</v>
      </c>
      <c r="M975" s="14"/>
      <c r="N975" s="15"/>
      <c r="O975" s="12"/>
      <c r="P975" s="34"/>
      <c r="Q975" s="37"/>
      <c r="R975" s="47"/>
      <c r="S975" s="46"/>
    </row>
    <row r="976" spans="1:19" ht="15.6" hidden="1" customHeight="1" thickBot="1" x14ac:dyDescent="0.3">
      <c r="A976" t="s">
        <v>23</v>
      </c>
      <c r="B976" s="60" t="str">
        <f t="shared" si="696"/>
        <v>hide</v>
      </c>
      <c r="D976" s="48" t="str">
        <f>D975</f>
        <v>07949</v>
      </c>
      <c r="E976" s="7"/>
      <c r="F976" s="27">
        <v>0</v>
      </c>
      <c r="G976" s="27">
        <v>0</v>
      </c>
      <c r="H976" s="27">
        <v>0</v>
      </c>
      <c r="I976" s="27">
        <v>0</v>
      </c>
      <c r="J976" s="27">
        <v>0</v>
      </c>
      <c r="K976" s="63">
        <f>AVERAGE(I976:J976)</f>
        <v>0</v>
      </c>
      <c r="L976" s="56" t="str">
        <f>"SW-COMAS-PACKL"</f>
        <v>SW-COMAS-PACKL</v>
      </c>
      <c r="M976" s="14"/>
      <c r="N976" s="15"/>
      <c r="O976" s="12"/>
      <c r="P976" s="34"/>
      <c r="Q976" s="37"/>
      <c r="R976" s="47"/>
      <c r="S976" s="46"/>
    </row>
    <row r="977" spans="1:19" ht="15.6" hidden="1" customHeight="1" thickBot="1" x14ac:dyDescent="0.3">
      <c r="A977" t="s">
        <v>23</v>
      </c>
      <c r="B977" s="60" t="str">
        <f t="shared" si="696"/>
        <v>hide</v>
      </c>
      <c r="D977" s="48" t="str">
        <f>D976</f>
        <v>07949</v>
      </c>
      <c r="E977" s="7"/>
      <c r="F977" s="27">
        <v>0</v>
      </c>
      <c r="G977" s="27">
        <v>0</v>
      </c>
      <c r="H977" s="27">
        <v>0</v>
      </c>
      <c r="I977" s="27">
        <v>0</v>
      </c>
      <c r="J977" s="27">
        <v>0</v>
      </c>
      <c r="K977" s="63">
        <f>AVERAGE(I977:J977)</f>
        <v>0</v>
      </c>
      <c r="L977" s="56" t="str">
        <f>"SW-RISER-PACK"</f>
        <v>SW-RISER-PACK</v>
      </c>
      <c r="M977" s="14"/>
      <c r="N977" s="15"/>
      <c r="O977" s="12"/>
      <c r="P977" s="34"/>
      <c r="Q977" s="37"/>
      <c r="R977" s="47"/>
      <c r="S977" s="46"/>
    </row>
    <row r="978" spans="1:19" ht="12" hidden="1" customHeight="1" x14ac:dyDescent="0.3">
      <c r="A978" s="35" t="s">
        <v>908</v>
      </c>
      <c r="B978" s="49" t="str">
        <f>B974</f>
        <v>hide</v>
      </c>
      <c r="N978"/>
      <c r="Q978" s="33"/>
    </row>
    <row r="979" spans="1:19" ht="13.8" hidden="1" thickBot="1" x14ac:dyDescent="0.3">
      <c r="A979" t="s">
        <v>23</v>
      </c>
      <c r="B979" s="49" t="str">
        <f t="shared" ref="B979" si="697">B978</f>
        <v>hide</v>
      </c>
      <c r="D979" s="58"/>
      <c r="E979" s="58"/>
      <c r="F979" s="52">
        <f>SUM(F974:F978)</f>
        <v>0</v>
      </c>
      <c r="G979" s="52">
        <f>SUM(G974:G978)</f>
        <v>-16.279166666666665</v>
      </c>
      <c r="H979" s="52">
        <f>SUM(H974:H978)</f>
        <v>0</v>
      </c>
      <c r="I979" s="52">
        <f>SUM(I974:I978)</f>
        <v>0</v>
      </c>
      <c r="J979" s="52">
        <f>SUM(J974:J978)</f>
        <v>0</v>
      </c>
      <c r="K979" s="52"/>
      <c r="L979" s="51" t="s">
        <v>4</v>
      </c>
      <c r="M979" s="58"/>
      <c r="N979" s="58"/>
      <c r="O979" s="58"/>
      <c r="P979" s="58"/>
      <c r="Q979" s="58"/>
      <c r="R979" s="58"/>
      <c r="S979" s="58"/>
    </row>
    <row r="980" spans="1:19" s="59" customFormat="1" ht="18.75" customHeight="1" thickBot="1" x14ac:dyDescent="0.3">
      <c r="A980" s="59" t="s">
        <v>23</v>
      </c>
      <c r="B980" s="60" t="str">
        <f t="shared" ref="B980:B981" si="698">IF(K980=0,"hide","")</f>
        <v/>
      </c>
      <c r="D980" s="61" t="str">
        <f>"07991"</f>
        <v>07991</v>
      </c>
      <c r="E980" s="62" t="str">
        <f>"4"</f>
        <v>4</v>
      </c>
      <c r="F980" s="63">
        <v>779.83333333333337</v>
      </c>
      <c r="G980" s="63">
        <v>496.25</v>
      </c>
      <c r="H980" s="63">
        <v>495.75</v>
      </c>
      <c r="I980" s="63">
        <v>404.58333333333331</v>
      </c>
      <c r="J980" s="63">
        <v>317.84650602409641</v>
      </c>
      <c r="K980" s="63">
        <f>AVERAGE(I980:J980)</f>
        <v>361.21491967871486</v>
      </c>
      <c r="L980" s="64" t="str">
        <f>"1324 Muffins, WG, Banana, IW"</f>
        <v>1324 Muffins, WG, Banana, IW</v>
      </c>
      <c r="M980" s="65" t="str">
        <f>"48/4 oz"</f>
        <v>48/4 oz</v>
      </c>
      <c r="N980" s="66">
        <v>48</v>
      </c>
      <c r="O980" s="67">
        <v>1E-3</v>
      </c>
      <c r="P980" s="68">
        <f>1/O980</f>
        <v>1000</v>
      </c>
      <c r="Q980" s="53">
        <v>2.8600000000000001E-3</v>
      </c>
      <c r="R980" s="69">
        <f t="shared" ref="R980" si="699">1/Q980</f>
        <v>349.65034965034965</v>
      </c>
      <c r="S980" s="70">
        <f t="shared" ref="S980" si="700">R980*N980</f>
        <v>16783.216783216783</v>
      </c>
    </row>
    <row r="981" spans="1:19" ht="15.6" customHeight="1" thickBot="1" x14ac:dyDescent="0.3">
      <c r="A981" t="s">
        <v>23</v>
      </c>
      <c r="B981" s="60" t="str">
        <f t="shared" si="698"/>
        <v/>
      </c>
      <c r="D981" s="48" t="str">
        <f>D980</f>
        <v>07991</v>
      </c>
      <c r="E981" s="7"/>
      <c r="F981" s="27">
        <v>-593.54833333333329</v>
      </c>
      <c r="G981" s="27">
        <v>-396.84333333333331</v>
      </c>
      <c r="H981" s="27">
        <v>-129.27666666666667</v>
      </c>
      <c r="I981" s="27">
        <v>0</v>
      </c>
      <c r="J981" s="27">
        <v>-142.18192771084338</v>
      </c>
      <c r="K981" s="63">
        <f>AVERAGE(I981:J981)</f>
        <v>-71.090963855421691</v>
      </c>
      <c r="L981" s="56" t="str">
        <f>"EQP-LAWPACK1"</f>
        <v>EQP-LAWPACK1</v>
      </c>
      <c r="M981" s="14"/>
      <c r="N981" s="15"/>
      <c r="O981" s="12"/>
      <c r="P981" s="34"/>
      <c r="Q981" s="37"/>
      <c r="R981" s="47"/>
      <c r="S981" s="46"/>
    </row>
    <row r="982" spans="1:19" ht="15.6" hidden="1" customHeight="1" thickBot="1" x14ac:dyDescent="0.3">
      <c r="A982" t="s">
        <v>23</v>
      </c>
      <c r="B982" s="60" t="str">
        <f t="shared" ref="B982:B984" si="701">IF(K982=0,"hide","")</f>
        <v>hide</v>
      </c>
      <c r="D982" s="48" t="str">
        <f>D981</f>
        <v>07991</v>
      </c>
      <c r="E982" s="7"/>
      <c r="F982" s="27">
        <v>0</v>
      </c>
      <c r="G982" s="27">
        <v>0</v>
      </c>
      <c r="H982" s="27">
        <v>0</v>
      </c>
      <c r="I982" s="27">
        <v>0</v>
      </c>
      <c r="J982" s="27">
        <v>0</v>
      </c>
      <c r="K982" s="63">
        <f>AVERAGE(I982:J982)</f>
        <v>0</v>
      </c>
      <c r="L982" s="56" t="str">
        <f>"EQP-LAWPACK2"</f>
        <v>EQP-LAWPACK2</v>
      </c>
      <c r="M982" s="14"/>
      <c r="N982" s="15"/>
      <c r="O982" s="12"/>
      <c r="P982" s="34"/>
      <c r="Q982" s="37"/>
      <c r="R982" s="47"/>
      <c r="S982" s="46"/>
    </row>
    <row r="983" spans="1:19" ht="15.6" hidden="1" customHeight="1" thickBot="1" x14ac:dyDescent="0.3">
      <c r="A983" t="s">
        <v>23</v>
      </c>
      <c r="B983" s="60" t="str">
        <f t="shared" si="701"/>
        <v>hide</v>
      </c>
      <c r="D983" s="48" t="str">
        <f>D982</f>
        <v>07991</v>
      </c>
      <c r="E983" s="7"/>
      <c r="F983" s="27">
        <v>0</v>
      </c>
      <c r="G983" s="27">
        <v>0</v>
      </c>
      <c r="H983" s="27">
        <v>0</v>
      </c>
      <c r="I983" s="27">
        <v>0</v>
      </c>
      <c r="J983" s="27">
        <v>0</v>
      </c>
      <c r="K983" s="63">
        <f>AVERAGE(I983:J983)</f>
        <v>0</v>
      </c>
      <c r="L983" s="56" t="str">
        <f>"SW-COMAS-PACKL"</f>
        <v>SW-COMAS-PACKL</v>
      </c>
      <c r="M983" s="14"/>
      <c r="N983" s="15"/>
      <c r="O983" s="12"/>
      <c r="P983" s="34"/>
      <c r="Q983" s="37"/>
      <c r="R983" s="47"/>
      <c r="S983" s="46"/>
    </row>
    <row r="984" spans="1:19" ht="15.6" hidden="1" customHeight="1" thickBot="1" x14ac:dyDescent="0.3">
      <c r="A984" t="s">
        <v>23</v>
      </c>
      <c r="B984" s="60" t="str">
        <f t="shared" si="701"/>
        <v>hide</v>
      </c>
      <c r="D984" s="48" t="str">
        <f>D983</f>
        <v>07991</v>
      </c>
      <c r="E984" s="7"/>
      <c r="F984" s="27">
        <v>0</v>
      </c>
      <c r="G984" s="27">
        <v>0</v>
      </c>
      <c r="H984" s="27">
        <v>0</v>
      </c>
      <c r="I984" s="27">
        <v>0</v>
      </c>
      <c r="J984" s="27">
        <v>0</v>
      </c>
      <c r="K984" s="63">
        <f>AVERAGE(I984:J984)</f>
        <v>0</v>
      </c>
      <c r="L984" s="56" t="str">
        <f>"SW-RISER-PACK"</f>
        <v>SW-RISER-PACK</v>
      </c>
      <c r="M984" s="14"/>
      <c r="N984" s="15"/>
      <c r="O984" s="12"/>
      <c r="P984" s="34"/>
      <c r="Q984" s="37"/>
      <c r="R984" s="47"/>
      <c r="S984" s="46"/>
    </row>
    <row r="985" spans="1:19" ht="12" hidden="1" customHeight="1" x14ac:dyDescent="0.25">
      <c r="A985" s="35" t="s">
        <v>908</v>
      </c>
      <c r="B985" s="49" t="str">
        <f>B981</f>
        <v/>
      </c>
      <c r="N985"/>
      <c r="Q985" s="33"/>
    </row>
    <row r="986" spans="1:19" ht="13.8" thickBot="1" x14ac:dyDescent="0.3">
      <c r="A986" t="s">
        <v>23</v>
      </c>
      <c r="B986" s="49" t="str">
        <f t="shared" ref="B986" si="702">B985</f>
        <v/>
      </c>
      <c r="D986" s="58"/>
      <c r="E986" s="58"/>
      <c r="F986" s="52">
        <f>SUM(F981:F985)</f>
        <v>-593.54833333333329</v>
      </c>
      <c r="G986" s="52">
        <f>SUM(G981:G985)</f>
        <v>-396.84333333333331</v>
      </c>
      <c r="H986" s="52">
        <f>SUM(H981:H985)</f>
        <v>-129.27666666666667</v>
      </c>
      <c r="I986" s="52">
        <f>SUM(I981:I985)</f>
        <v>0</v>
      </c>
      <c r="J986" s="52">
        <f>SUM(J981:J985)</f>
        <v>-142.18192771084338</v>
      </c>
      <c r="K986" s="52"/>
      <c r="L986" s="51" t="s">
        <v>4</v>
      </c>
      <c r="M986" s="58"/>
      <c r="N986" s="58"/>
      <c r="O986" s="58"/>
      <c r="P986" s="58"/>
      <c r="Q986" s="58"/>
      <c r="R986" s="58"/>
      <c r="S986" s="58"/>
    </row>
    <row r="987" spans="1:19" s="59" customFormat="1" ht="18.75" customHeight="1" thickBot="1" x14ac:dyDescent="0.3">
      <c r="A987" s="59" t="s">
        <v>23</v>
      </c>
      <c r="B987" s="60" t="str">
        <f t="shared" ref="B987:B988" si="703">IF(K987=0,"hide","")</f>
        <v/>
      </c>
      <c r="D987" s="61" t="str">
        <f>"07993"</f>
        <v>07993</v>
      </c>
      <c r="E987" s="62" t="str">
        <f>"6"</f>
        <v>6</v>
      </c>
      <c r="F987" s="63">
        <v>532.08333333333337</v>
      </c>
      <c r="G987" s="63">
        <v>237.58333333333334</v>
      </c>
      <c r="H987" s="63">
        <v>395.83333333333331</v>
      </c>
      <c r="I987" s="63">
        <v>95</v>
      </c>
      <c r="J987" s="63">
        <v>0</v>
      </c>
      <c r="K987" s="63">
        <f>AVERAGE(I987:J987)</f>
        <v>47.5</v>
      </c>
      <c r="L987" s="64" t="str">
        <f>"1325 Muffin, WG, Choc Choc Chip, IW"</f>
        <v>1325 Muffin, WG, Choc Choc Chip, IW</v>
      </c>
      <c r="M987" s="65" t="str">
        <f>"48/4 oz"</f>
        <v>48/4 oz</v>
      </c>
      <c r="N987" s="66">
        <v>48</v>
      </c>
      <c r="O987" s="67">
        <v>1E-3</v>
      </c>
      <c r="P987" s="68">
        <f>1/O987</f>
        <v>1000</v>
      </c>
      <c r="Q987" s="53">
        <v>2.8600000000000001E-3</v>
      </c>
      <c r="R987" s="69">
        <f t="shared" ref="R987" si="704">1/Q987</f>
        <v>349.65034965034965</v>
      </c>
      <c r="S987" s="70">
        <f t="shared" ref="S987" si="705">R987*N987</f>
        <v>16783.216783216783</v>
      </c>
    </row>
    <row r="988" spans="1:19" ht="15.6" hidden="1" customHeight="1" thickBot="1" x14ac:dyDescent="0.3">
      <c r="A988" t="s">
        <v>23</v>
      </c>
      <c r="B988" s="60" t="str">
        <f t="shared" si="703"/>
        <v>hide</v>
      </c>
      <c r="D988" s="48" t="str">
        <f>D987</f>
        <v>07993</v>
      </c>
      <c r="E988" s="7"/>
      <c r="F988" s="27">
        <v>-360.19333333333333</v>
      </c>
      <c r="G988" s="27">
        <v>-16.216666666666665</v>
      </c>
      <c r="H988" s="27">
        <v>-64.795000000000002</v>
      </c>
      <c r="I988" s="27">
        <v>0</v>
      </c>
      <c r="J988" s="27">
        <v>0</v>
      </c>
      <c r="K988" s="63">
        <f>AVERAGE(I988:J988)</f>
        <v>0</v>
      </c>
      <c r="L988" s="56" t="str">
        <f>"EQP-LAWPACK1"</f>
        <v>EQP-LAWPACK1</v>
      </c>
      <c r="M988" s="14"/>
      <c r="N988" s="15"/>
      <c r="O988" s="12"/>
      <c r="P988" s="34"/>
      <c r="Q988" s="37"/>
      <c r="R988" s="47"/>
      <c r="S988" s="46"/>
    </row>
    <row r="989" spans="1:19" ht="15.6" hidden="1" customHeight="1" thickBot="1" x14ac:dyDescent="0.3">
      <c r="A989" t="s">
        <v>23</v>
      </c>
      <c r="B989" s="60" t="str">
        <f t="shared" ref="B989:B991" si="706">IF(K989=0,"hide","")</f>
        <v>hide</v>
      </c>
      <c r="D989" s="48" t="str">
        <f>D988</f>
        <v>07993</v>
      </c>
      <c r="E989" s="7"/>
      <c r="F989" s="27">
        <v>0</v>
      </c>
      <c r="G989" s="27">
        <v>0</v>
      </c>
      <c r="H989" s="27">
        <v>0</v>
      </c>
      <c r="I989" s="27">
        <v>0</v>
      </c>
      <c r="J989" s="27">
        <v>0</v>
      </c>
      <c r="K989" s="63">
        <f>AVERAGE(I989:J989)</f>
        <v>0</v>
      </c>
      <c r="L989" s="56" t="str">
        <f>"EQP-LAWPACK2"</f>
        <v>EQP-LAWPACK2</v>
      </c>
      <c r="M989" s="14"/>
      <c r="N989" s="15"/>
      <c r="O989" s="12"/>
      <c r="P989" s="34"/>
      <c r="Q989" s="37"/>
      <c r="R989" s="47"/>
      <c r="S989" s="46"/>
    </row>
    <row r="990" spans="1:19" ht="15.6" hidden="1" customHeight="1" thickBot="1" x14ac:dyDescent="0.3">
      <c r="A990" t="s">
        <v>23</v>
      </c>
      <c r="B990" s="60" t="str">
        <f t="shared" si="706"/>
        <v>hide</v>
      </c>
      <c r="D990" s="48" t="str">
        <f>D989</f>
        <v>07993</v>
      </c>
      <c r="E990" s="7"/>
      <c r="F990" s="27">
        <v>0</v>
      </c>
      <c r="G990" s="27">
        <v>0</v>
      </c>
      <c r="H990" s="27">
        <v>0</v>
      </c>
      <c r="I990" s="27">
        <v>0</v>
      </c>
      <c r="J990" s="27">
        <v>0</v>
      </c>
      <c r="K990" s="63">
        <f>AVERAGE(I990:J990)</f>
        <v>0</v>
      </c>
      <c r="L990" s="56" t="str">
        <f>"SW-COMAS-PACKL"</f>
        <v>SW-COMAS-PACKL</v>
      </c>
      <c r="M990" s="14"/>
      <c r="N990" s="15"/>
      <c r="O990" s="12"/>
      <c r="P990" s="34"/>
      <c r="Q990" s="37"/>
      <c r="R990" s="47"/>
      <c r="S990" s="46"/>
    </row>
    <row r="991" spans="1:19" ht="15.6" hidden="1" customHeight="1" thickBot="1" x14ac:dyDescent="0.3">
      <c r="A991" t="s">
        <v>23</v>
      </c>
      <c r="B991" s="60" t="str">
        <f t="shared" si="706"/>
        <v>hide</v>
      </c>
      <c r="D991" s="48" t="str">
        <f>D990</f>
        <v>07993</v>
      </c>
      <c r="E991" s="7"/>
      <c r="F991" s="27">
        <v>0</v>
      </c>
      <c r="G991" s="27">
        <v>0</v>
      </c>
      <c r="H991" s="27">
        <v>0</v>
      </c>
      <c r="I991" s="27">
        <v>0</v>
      </c>
      <c r="J991" s="27">
        <v>0</v>
      </c>
      <c r="K991" s="63">
        <f>AVERAGE(I991:J991)</f>
        <v>0</v>
      </c>
      <c r="L991" s="56" t="str">
        <f>"SW-RISER-PACK"</f>
        <v>SW-RISER-PACK</v>
      </c>
      <c r="M991" s="14"/>
      <c r="N991" s="15"/>
      <c r="O991" s="12"/>
      <c r="P991" s="34"/>
      <c r="Q991" s="37"/>
      <c r="R991" s="47"/>
      <c r="S991" s="46"/>
    </row>
    <row r="992" spans="1:19" ht="12" hidden="1" customHeight="1" x14ac:dyDescent="0.3">
      <c r="A992" s="35" t="s">
        <v>908</v>
      </c>
      <c r="B992" s="49" t="str">
        <f>B988</f>
        <v>hide</v>
      </c>
      <c r="N992"/>
      <c r="Q992" s="33"/>
    </row>
    <row r="993" spans="1:19" ht="13.8" hidden="1" thickBot="1" x14ac:dyDescent="0.3">
      <c r="A993" t="s">
        <v>23</v>
      </c>
      <c r="B993" s="49" t="str">
        <f t="shared" ref="B993" si="707">B992</f>
        <v>hide</v>
      </c>
      <c r="D993" s="58"/>
      <c r="E993" s="58"/>
      <c r="F993" s="52">
        <f>SUM(F988:F992)</f>
        <v>-360.19333333333333</v>
      </c>
      <c r="G993" s="52">
        <f>SUM(G988:G992)</f>
        <v>-16.216666666666665</v>
      </c>
      <c r="H993" s="52">
        <f>SUM(H988:H992)</f>
        <v>-64.795000000000002</v>
      </c>
      <c r="I993" s="52">
        <f>SUM(I988:I992)</f>
        <v>0</v>
      </c>
      <c r="J993" s="52">
        <f>SUM(J988:J992)</f>
        <v>0</v>
      </c>
      <c r="K993" s="52"/>
      <c r="L993" s="51" t="s">
        <v>4</v>
      </c>
      <c r="M993" s="58"/>
      <c r="N993" s="58"/>
      <c r="O993" s="58"/>
      <c r="P993" s="58"/>
      <c r="Q993" s="58"/>
      <c r="R993" s="58"/>
      <c r="S993" s="58"/>
    </row>
    <row r="994" spans="1:19" s="59" customFormat="1" ht="18.75" hidden="1" customHeight="1" thickBot="1" x14ac:dyDescent="0.3">
      <c r="A994" s="59" t="s">
        <v>23</v>
      </c>
      <c r="B994" s="60" t="str">
        <f t="shared" ref="B994:B995" si="708">IF(K994=0,"hide","")</f>
        <v>hide</v>
      </c>
      <c r="D994" s="61" t="str">
        <f>"100661"</f>
        <v>100661</v>
      </c>
      <c r="E994" s="62" t="str">
        <f>"1"</f>
        <v>1</v>
      </c>
      <c r="F994" s="63">
        <v>7</v>
      </c>
      <c r="G994" s="63">
        <v>0</v>
      </c>
      <c r="H994" s="63">
        <v>0</v>
      </c>
      <c r="I994" s="63">
        <v>0</v>
      </c>
      <c r="J994" s="63">
        <v>0</v>
      </c>
      <c r="K994" s="63">
        <f>AVERAGE(I994:J994)</f>
        <v>0</v>
      </c>
      <c r="L994" s="64" t="str">
        <f>"MTBLU260 Whole Grain Blueberry Muffin Top"</f>
        <v>MTBLU260 Whole Grain Blueberry Muffin Top</v>
      </c>
      <c r="M994" s="65" t="str">
        <f>"60-3.2oz IW"</f>
        <v>60-3.2oz IW</v>
      </c>
      <c r="N994" s="66">
        <v>60</v>
      </c>
      <c r="O994" s="67" t="str">
        <f>""</f>
        <v/>
      </c>
      <c r="P994" s="68" t="e">
        <f>1/O994</f>
        <v>#VALUE!</v>
      </c>
      <c r="Q994" s="53">
        <v>1</v>
      </c>
      <c r="R994" s="69">
        <f t="shared" ref="R994" si="709">1/Q994</f>
        <v>1</v>
      </c>
      <c r="S994" s="70">
        <f t="shared" ref="S994" si="710">R994*N994</f>
        <v>60</v>
      </c>
    </row>
    <row r="995" spans="1:19" ht="15.6" hidden="1" customHeight="1" thickBot="1" x14ac:dyDescent="0.3">
      <c r="A995" t="s">
        <v>23</v>
      </c>
      <c r="B995" s="60" t="str">
        <f t="shared" si="708"/>
        <v>hide</v>
      </c>
      <c r="D995" s="48" t="str">
        <f>D994</f>
        <v>100661</v>
      </c>
      <c r="E995" s="7"/>
      <c r="F995" s="27">
        <v>0</v>
      </c>
      <c r="G995" s="27">
        <v>0</v>
      </c>
      <c r="H995" s="27">
        <v>0</v>
      </c>
      <c r="I995" s="27">
        <v>0</v>
      </c>
      <c r="J995" s="27">
        <v>0</v>
      </c>
      <c r="K995" s="63">
        <f>AVERAGE(I995:J995)</f>
        <v>0</v>
      </c>
      <c r="L995" s="56" t="str">
        <f>"EQP-LAWPACK1"</f>
        <v>EQP-LAWPACK1</v>
      </c>
      <c r="M995" s="14"/>
      <c r="N995" s="15"/>
      <c r="O995" s="12"/>
      <c r="P995" s="34"/>
      <c r="Q995" s="37"/>
      <c r="R995" s="47"/>
      <c r="S995" s="46"/>
    </row>
    <row r="996" spans="1:19" ht="15.6" hidden="1" customHeight="1" thickBot="1" x14ac:dyDescent="0.3">
      <c r="A996" t="s">
        <v>23</v>
      </c>
      <c r="B996" s="60" t="str">
        <f t="shared" ref="B996:B998" si="711">IF(K996=0,"hide","")</f>
        <v>hide</v>
      </c>
      <c r="D996" s="48" t="str">
        <f>D995</f>
        <v>100661</v>
      </c>
      <c r="E996" s="7"/>
      <c r="F996" s="27">
        <v>0</v>
      </c>
      <c r="G996" s="27">
        <v>0</v>
      </c>
      <c r="H996" s="27">
        <v>0</v>
      </c>
      <c r="I996" s="27">
        <v>0</v>
      </c>
      <c r="J996" s="27">
        <v>0</v>
      </c>
      <c r="K996" s="63">
        <f>AVERAGE(I996:J996)</f>
        <v>0</v>
      </c>
      <c r="L996" s="56" t="str">
        <f>"EQP-LAWPACK2"</f>
        <v>EQP-LAWPACK2</v>
      </c>
      <c r="M996" s="14"/>
      <c r="N996" s="15"/>
      <c r="O996" s="12"/>
      <c r="P996" s="34"/>
      <c r="Q996" s="37"/>
      <c r="R996" s="47"/>
      <c r="S996" s="46"/>
    </row>
    <row r="997" spans="1:19" ht="15.6" hidden="1" customHeight="1" thickBot="1" x14ac:dyDescent="0.3">
      <c r="A997" t="s">
        <v>23</v>
      </c>
      <c r="B997" s="60" t="str">
        <f t="shared" si="711"/>
        <v>hide</v>
      </c>
      <c r="D997" s="48" t="str">
        <f>D996</f>
        <v>100661</v>
      </c>
      <c r="E997" s="7"/>
      <c r="F997" s="27">
        <v>0</v>
      </c>
      <c r="G997" s="27">
        <v>0</v>
      </c>
      <c r="H997" s="27">
        <v>0</v>
      </c>
      <c r="I997" s="27">
        <v>0</v>
      </c>
      <c r="J997" s="27">
        <v>0</v>
      </c>
      <c r="K997" s="63">
        <f>AVERAGE(I997:J997)</f>
        <v>0</v>
      </c>
      <c r="L997" s="56" t="str">
        <f>"SW-COMAS-PACKL"</f>
        <v>SW-COMAS-PACKL</v>
      </c>
      <c r="M997" s="14"/>
      <c r="N997" s="15"/>
      <c r="O997" s="12"/>
      <c r="P997" s="34"/>
      <c r="Q997" s="37"/>
      <c r="R997" s="47"/>
      <c r="S997" s="46"/>
    </row>
    <row r="998" spans="1:19" ht="15.6" hidden="1" customHeight="1" thickBot="1" x14ac:dyDescent="0.3">
      <c r="A998" t="s">
        <v>23</v>
      </c>
      <c r="B998" s="60" t="str">
        <f t="shared" si="711"/>
        <v>hide</v>
      </c>
      <c r="D998" s="48" t="str">
        <f>D997</f>
        <v>100661</v>
      </c>
      <c r="E998" s="7"/>
      <c r="F998" s="27">
        <v>0</v>
      </c>
      <c r="G998" s="27">
        <v>0</v>
      </c>
      <c r="H998" s="27">
        <v>0</v>
      </c>
      <c r="I998" s="27">
        <v>0</v>
      </c>
      <c r="J998" s="27">
        <v>0</v>
      </c>
      <c r="K998" s="63">
        <f>AVERAGE(I998:J998)</f>
        <v>0</v>
      </c>
      <c r="L998" s="56" t="str">
        <f>"SW-RISER-PACK"</f>
        <v>SW-RISER-PACK</v>
      </c>
      <c r="M998" s="14"/>
      <c r="N998" s="15"/>
      <c r="O998" s="12"/>
      <c r="P998" s="34"/>
      <c r="Q998" s="37"/>
      <c r="R998" s="47"/>
      <c r="S998" s="46"/>
    </row>
    <row r="999" spans="1:19" ht="12" hidden="1" customHeight="1" x14ac:dyDescent="0.3">
      <c r="A999" s="35" t="s">
        <v>908</v>
      </c>
      <c r="B999" s="49" t="str">
        <f>B995</f>
        <v>hide</v>
      </c>
      <c r="N999"/>
      <c r="Q999" s="33"/>
    </row>
    <row r="1000" spans="1:19" ht="13.8" hidden="1" thickBot="1" x14ac:dyDescent="0.3">
      <c r="A1000" t="s">
        <v>23</v>
      </c>
      <c r="B1000" s="49" t="str">
        <f t="shared" ref="B1000" si="712">B999</f>
        <v>hide</v>
      </c>
      <c r="D1000" s="58"/>
      <c r="E1000" s="58"/>
      <c r="F1000" s="52">
        <f>SUM(F995:F999)</f>
        <v>0</v>
      </c>
      <c r="G1000" s="52">
        <f>SUM(G995:G999)</f>
        <v>0</v>
      </c>
      <c r="H1000" s="52">
        <f>SUM(H995:H999)</f>
        <v>0</v>
      </c>
      <c r="I1000" s="52">
        <f>SUM(I995:I999)</f>
        <v>0</v>
      </c>
      <c r="J1000" s="52">
        <f>SUM(J995:J999)</f>
        <v>0</v>
      </c>
      <c r="K1000" s="52"/>
      <c r="L1000" s="51" t="s">
        <v>4</v>
      </c>
      <c r="M1000" s="58"/>
      <c r="N1000" s="58"/>
      <c r="O1000" s="58"/>
      <c r="P1000" s="58"/>
      <c r="Q1000" s="58"/>
      <c r="R1000" s="58"/>
      <c r="S1000" s="58"/>
    </row>
    <row r="1001" spans="1:19" s="59" customFormat="1" ht="18.75" hidden="1" customHeight="1" thickBot="1" x14ac:dyDescent="0.3">
      <c r="A1001" s="59" t="s">
        <v>23</v>
      </c>
      <c r="B1001" s="60" t="str">
        <f t="shared" ref="B1001:B1002" si="713">IF(K1001=0,"hide","")</f>
        <v>hide</v>
      </c>
      <c r="D1001" s="61" t="str">
        <f>"102661"</f>
        <v>102661</v>
      </c>
      <c r="E1001" s="62" t="str">
        <f>"3"</f>
        <v>3</v>
      </c>
      <c r="F1001" s="63">
        <v>52.833333333333336</v>
      </c>
      <c r="G1001" s="63">
        <v>0</v>
      </c>
      <c r="H1001" s="63">
        <v>0</v>
      </c>
      <c r="I1001" s="63">
        <v>0</v>
      </c>
      <c r="J1001" s="63">
        <v>0</v>
      </c>
      <c r="K1001" s="63">
        <f>AVERAGE(I1001:J1001)</f>
        <v>0</v>
      </c>
      <c r="L1001" s="64" t="str">
        <f>"WG Blueberry Crumb Muffin"</f>
        <v>WG Blueberry Crumb Muffin</v>
      </c>
      <c r="M1001" s="65" t="str">
        <f>"48-3.1oz I.W"</f>
        <v>48-3.1oz I.W</v>
      </c>
      <c r="N1001" s="66">
        <v>48</v>
      </c>
      <c r="O1001" s="67" t="str">
        <f>""</f>
        <v/>
      </c>
      <c r="P1001" s="68" t="e">
        <f>1/O1001</f>
        <v>#VALUE!</v>
      </c>
      <c r="Q1001" s="53">
        <v>1</v>
      </c>
      <c r="R1001" s="69">
        <f t="shared" ref="R1001" si="714">1/Q1001</f>
        <v>1</v>
      </c>
      <c r="S1001" s="70">
        <f t="shared" ref="S1001" si="715">R1001*N1001</f>
        <v>48</v>
      </c>
    </row>
    <row r="1002" spans="1:19" ht="15.6" hidden="1" customHeight="1" thickBot="1" x14ac:dyDescent="0.3">
      <c r="A1002" t="s">
        <v>23</v>
      </c>
      <c r="B1002" s="60" t="str">
        <f t="shared" si="713"/>
        <v>hide</v>
      </c>
      <c r="D1002" s="48" t="str">
        <f>D1001</f>
        <v>102661</v>
      </c>
      <c r="E1002" s="7"/>
      <c r="F1002" s="27">
        <v>0</v>
      </c>
      <c r="G1002" s="27">
        <v>0</v>
      </c>
      <c r="H1002" s="27">
        <v>0</v>
      </c>
      <c r="I1002" s="27">
        <v>0</v>
      </c>
      <c r="J1002" s="27">
        <v>0</v>
      </c>
      <c r="K1002" s="63">
        <f>AVERAGE(I1002:J1002)</f>
        <v>0</v>
      </c>
      <c r="L1002" s="56" t="str">
        <f>"EQP-LAWPACK1"</f>
        <v>EQP-LAWPACK1</v>
      </c>
      <c r="M1002" s="14"/>
      <c r="N1002" s="15"/>
      <c r="O1002" s="12"/>
      <c r="P1002" s="34"/>
      <c r="Q1002" s="37"/>
      <c r="R1002" s="47"/>
      <c r="S1002" s="46"/>
    </row>
    <row r="1003" spans="1:19" ht="15.6" hidden="1" customHeight="1" thickBot="1" x14ac:dyDescent="0.3">
      <c r="A1003" t="s">
        <v>23</v>
      </c>
      <c r="B1003" s="60" t="str">
        <f t="shared" ref="B1003:B1005" si="716">IF(K1003=0,"hide","")</f>
        <v>hide</v>
      </c>
      <c r="D1003" s="48" t="str">
        <f>D1002</f>
        <v>102661</v>
      </c>
      <c r="E1003" s="7"/>
      <c r="F1003" s="27">
        <v>0</v>
      </c>
      <c r="G1003" s="27">
        <v>0</v>
      </c>
      <c r="H1003" s="27">
        <v>0</v>
      </c>
      <c r="I1003" s="27">
        <v>0</v>
      </c>
      <c r="J1003" s="27">
        <v>0</v>
      </c>
      <c r="K1003" s="63">
        <f>AVERAGE(I1003:J1003)</f>
        <v>0</v>
      </c>
      <c r="L1003" s="56" t="str">
        <f>"EQP-LAWPACK2"</f>
        <v>EQP-LAWPACK2</v>
      </c>
      <c r="M1003" s="14"/>
      <c r="N1003" s="15"/>
      <c r="O1003" s="12"/>
      <c r="P1003" s="34"/>
      <c r="Q1003" s="37"/>
      <c r="R1003" s="47"/>
      <c r="S1003" s="46"/>
    </row>
    <row r="1004" spans="1:19" ht="15.6" hidden="1" customHeight="1" thickBot="1" x14ac:dyDescent="0.3">
      <c r="A1004" t="s">
        <v>23</v>
      </c>
      <c r="B1004" s="60" t="str">
        <f t="shared" si="716"/>
        <v>hide</v>
      </c>
      <c r="D1004" s="48" t="str">
        <f>D1003</f>
        <v>102661</v>
      </c>
      <c r="E1004" s="7"/>
      <c r="F1004" s="27">
        <v>0</v>
      </c>
      <c r="G1004" s="27">
        <v>0</v>
      </c>
      <c r="H1004" s="27">
        <v>0</v>
      </c>
      <c r="I1004" s="27">
        <v>0</v>
      </c>
      <c r="J1004" s="27">
        <v>0</v>
      </c>
      <c r="K1004" s="63">
        <f>AVERAGE(I1004:J1004)</f>
        <v>0</v>
      </c>
      <c r="L1004" s="56" t="str">
        <f>"SW-COMAS-PACKL"</f>
        <v>SW-COMAS-PACKL</v>
      </c>
      <c r="M1004" s="14"/>
      <c r="N1004" s="15"/>
      <c r="O1004" s="12"/>
      <c r="P1004" s="34"/>
      <c r="Q1004" s="37"/>
      <c r="R1004" s="47"/>
      <c r="S1004" s="46"/>
    </row>
    <row r="1005" spans="1:19" ht="15.6" hidden="1" customHeight="1" thickBot="1" x14ac:dyDescent="0.3">
      <c r="A1005" t="s">
        <v>23</v>
      </c>
      <c r="B1005" s="60" t="str">
        <f t="shared" si="716"/>
        <v>hide</v>
      </c>
      <c r="D1005" s="48" t="str">
        <f>D1004</f>
        <v>102661</v>
      </c>
      <c r="E1005" s="7"/>
      <c r="F1005" s="27">
        <v>0</v>
      </c>
      <c r="G1005" s="27">
        <v>0</v>
      </c>
      <c r="H1005" s="27">
        <v>0</v>
      </c>
      <c r="I1005" s="27">
        <v>0</v>
      </c>
      <c r="J1005" s="27">
        <v>0</v>
      </c>
      <c r="K1005" s="63">
        <f>AVERAGE(I1005:J1005)</f>
        <v>0</v>
      </c>
      <c r="L1005" s="56" t="str">
        <f>"SW-RISER-PACK"</f>
        <v>SW-RISER-PACK</v>
      </c>
      <c r="M1005" s="14"/>
      <c r="N1005" s="15"/>
      <c r="O1005" s="12"/>
      <c r="P1005" s="34"/>
      <c r="Q1005" s="37"/>
      <c r="R1005" s="47"/>
      <c r="S1005" s="46"/>
    </row>
    <row r="1006" spans="1:19" ht="12" hidden="1" customHeight="1" x14ac:dyDescent="0.3">
      <c r="A1006" s="35" t="s">
        <v>908</v>
      </c>
      <c r="B1006" s="49" t="str">
        <f>B1002</f>
        <v>hide</v>
      </c>
      <c r="N1006"/>
      <c r="Q1006" s="33"/>
    </row>
    <row r="1007" spans="1:19" ht="13.8" hidden="1" thickBot="1" x14ac:dyDescent="0.3">
      <c r="A1007" t="s">
        <v>23</v>
      </c>
      <c r="B1007" s="49" t="str">
        <f t="shared" ref="B1007" si="717">B1006</f>
        <v>hide</v>
      </c>
      <c r="D1007" s="58"/>
      <c r="E1007" s="58"/>
      <c r="F1007" s="52">
        <f>SUM(F1002:F1006)</f>
        <v>0</v>
      </c>
      <c r="G1007" s="52">
        <f>SUM(G1002:G1006)</f>
        <v>0</v>
      </c>
      <c r="H1007" s="52">
        <f>SUM(H1002:H1006)</f>
        <v>0</v>
      </c>
      <c r="I1007" s="52">
        <f>SUM(I1002:I1006)</f>
        <v>0</v>
      </c>
      <c r="J1007" s="52">
        <f>SUM(J1002:J1006)</f>
        <v>0</v>
      </c>
      <c r="K1007" s="52"/>
      <c r="L1007" s="51" t="s">
        <v>4</v>
      </c>
      <c r="M1007" s="58"/>
      <c r="N1007" s="58"/>
      <c r="O1007" s="58"/>
      <c r="P1007" s="58"/>
      <c r="Q1007" s="58"/>
      <c r="R1007" s="58"/>
      <c r="S1007" s="58"/>
    </row>
    <row r="1008" spans="1:19" s="59" customFormat="1" ht="18.75" hidden="1" customHeight="1" thickBot="1" x14ac:dyDescent="0.3">
      <c r="A1008" s="59" t="s">
        <v>23</v>
      </c>
      <c r="B1008" s="60" t="str">
        <f t="shared" ref="B1008:B1009" si="718">IF(K1008=0,"hide","")</f>
        <v>hide</v>
      </c>
      <c r="D1008" s="61" t="str">
        <f>"102675"</f>
        <v>102675</v>
      </c>
      <c r="E1008" s="62" t="str">
        <f>"2"</f>
        <v>2</v>
      </c>
      <c r="F1008" s="63">
        <v>104.41666666666667</v>
      </c>
      <c r="G1008" s="63">
        <v>0</v>
      </c>
      <c r="H1008" s="63">
        <v>0</v>
      </c>
      <c r="I1008" s="63">
        <v>0</v>
      </c>
      <c r="J1008" s="63">
        <v>0</v>
      </c>
      <c r="K1008" s="63">
        <f>AVERAGE(I1008:J1008)</f>
        <v>0</v>
      </c>
      <c r="L1008" s="64" t="str">
        <f>"F6140 WG Banana Crumb Muffin"</f>
        <v>F6140 WG Banana Crumb Muffin</v>
      </c>
      <c r="M1008" s="65" t="str">
        <f>"48-3.1oz I.W"</f>
        <v>48-3.1oz I.W</v>
      </c>
      <c r="N1008" s="66">
        <v>48</v>
      </c>
      <c r="O1008" s="67" t="str">
        <f>""</f>
        <v/>
      </c>
      <c r="P1008" s="68" t="e">
        <f>1/O1008</f>
        <v>#VALUE!</v>
      </c>
      <c r="Q1008" s="53">
        <v>1</v>
      </c>
      <c r="R1008" s="69">
        <f t="shared" ref="R1008" si="719">1/Q1008</f>
        <v>1</v>
      </c>
      <c r="S1008" s="70">
        <f t="shared" ref="S1008" si="720">R1008*N1008</f>
        <v>48</v>
      </c>
    </row>
    <row r="1009" spans="1:19" ht="15.6" hidden="1" customHeight="1" thickBot="1" x14ac:dyDescent="0.3">
      <c r="A1009" t="s">
        <v>23</v>
      </c>
      <c r="B1009" s="60" t="str">
        <f t="shared" si="718"/>
        <v>hide</v>
      </c>
      <c r="D1009" s="48" t="str">
        <f>D1008</f>
        <v>102675</v>
      </c>
      <c r="E1009" s="7"/>
      <c r="F1009" s="27">
        <v>0</v>
      </c>
      <c r="G1009" s="27">
        <v>0</v>
      </c>
      <c r="H1009" s="27">
        <v>0</v>
      </c>
      <c r="I1009" s="27">
        <v>0</v>
      </c>
      <c r="J1009" s="27">
        <v>0</v>
      </c>
      <c r="K1009" s="63">
        <f>AVERAGE(I1009:J1009)</f>
        <v>0</v>
      </c>
      <c r="L1009" s="56" t="str">
        <f>"EQP-LAWPACK1"</f>
        <v>EQP-LAWPACK1</v>
      </c>
      <c r="M1009" s="14"/>
      <c r="N1009" s="15"/>
      <c r="O1009" s="12"/>
      <c r="P1009" s="34"/>
      <c r="Q1009" s="37"/>
      <c r="R1009" s="47"/>
      <c r="S1009" s="46"/>
    </row>
    <row r="1010" spans="1:19" ht="15.6" hidden="1" customHeight="1" thickBot="1" x14ac:dyDescent="0.3">
      <c r="A1010" t="s">
        <v>23</v>
      </c>
      <c r="B1010" s="60" t="str">
        <f t="shared" ref="B1010:B1012" si="721">IF(K1010=0,"hide","")</f>
        <v>hide</v>
      </c>
      <c r="D1010" s="48" t="str">
        <f>D1009</f>
        <v>102675</v>
      </c>
      <c r="E1010" s="7"/>
      <c r="F1010" s="27">
        <v>0</v>
      </c>
      <c r="G1010" s="27">
        <v>0</v>
      </c>
      <c r="H1010" s="27">
        <v>0</v>
      </c>
      <c r="I1010" s="27">
        <v>0</v>
      </c>
      <c r="J1010" s="27">
        <v>0</v>
      </c>
      <c r="K1010" s="63">
        <f>AVERAGE(I1010:J1010)</f>
        <v>0</v>
      </c>
      <c r="L1010" s="56" t="str">
        <f>"EQP-LAWPACK2"</f>
        <v>EQP-LAWPACK2</v>
      </c>
      <c r="M1010" s="14"/>
      <c r="N1010" s="15"/>
      <c r="O1010" s="12"/>
      <c r="P1010" s="34"/>
      <c r="Q1010" s="37"/>
      <c r="R1010" s="47"/>
      <c r="S1010" s="46"/>
    </row>
    <row r="1011" spans="1:19" ht="15.6" hidden="1" customHeight="1" thickBot="1" x14ac:dyDescent="0.3">
      <c r="A1011" t="s">
        <v>23</v>
      </c>
      <c r="B1011" s="60" t="str">
        <f t="shared" si="721"/>
        <v>hide</v>
      </c>
      <c r="D1011" s="48" t="str">
        <f>D1010</f>
        <v>102675</v>
      </c>
      <c r="E1011" s="7"/>
      <c r="F1011" s="27">
        <v>0</v>
      </c>
      <c r="G1011" s="27">
        <v>0</v>
      </c>
      <c r="H1011" s="27">
        <v>0</v>
      </c>
      <c r="I1011" s="27">
        <v>0</v>
      </c>
      <c r="J1011" s="27">
        <v>0</v>
      </c>
      <c r="K1011" s="63">
        <f>AVERAGE(I1011:J1011)</f>
        <v>0</v>
      </c>
      <c r="L1011" s="56" t="str">
        <f>"SW-COMAS-PACKL"</f>
        <v>SW-COMAS-PACKL</v>
      </c>
      <c r="M1011" s="14"/>
      <c r="N1011" s="15"/>
      <c r="O1011" s="12"/>
      <c r="P1011" s="34"/>
      <c r="Q1011" s="37"/>
      <c r="R1011" s="47"/>
      <c r="S1011" s="46"/>
    </row>
    <row r="1012" spans="1:19" ht="15.6" hidden="1" customHeight="1" thickBot="1" x14ac:dyDescent="0.3">
      <c r="A1012" t="s">
        <v>23</v>
      </c>
      <c r="B1012" s="60" t="str">
        <f t="shared" si="721"/>
        <v>hide</v>
      </c>
      <c r="D1012" s="48" t="str">
        <f>D1011</f>
        <v>102675</v>
      </c>
      <c r="E1012" s="7"/>
      <c r="F1012" s="27">
        <v>0</v>
      </c>
      <c r="G1012" s="27">
        <v>0</v>
      </c>
      <c r="H1012" s="27">
        <v>0</v>
      </c>
      <c r="I1012" s="27">
        <v>0</v>
      </c>
      <c r="J1012" s="27">
        <v>0</v>
      </c>
      <c r="K1012" s="63">
        <f>AVERAGE(I1012:J1012)</f>
        <v>0</v>
      </c>
      <c r="L1012" s="56" t="str">
        <f>"SW-RISER-PACK"</f>
        <v>SW-RISER-PACK</v>
      </c>
      <c r="M1012" s="14"/>
      <c r="N1012" s="15"/>
      <c r="O1012" s="12"/>
      <c r="P1012" s="34"/>
      <c r="Q1012" s="37"/>
      <c r="R1012" s="47"/>
      <c r="S1012" s="46"/>
    </row>
    <row r="1013" spans="1:19" ht="12" hidden="1" customHeight="1" x14ac:dyDescent="0.3">
      <c r="A1013" s="35" t="s">
        <v>908</v>
      </c>
      <c r="B1013" s="49" t="str">
        <f>B1009</f>
        <v>hide</v>
      </c>
      <c r="N1013"/>
      <c r="Q1013" s="33"/>
    </row>
    <row r="1014" spans="1:19" ht="13.8" hidden="1" thickBot="1" x14ac:dyDescent="0.3">
      <c r="A1014" t="s">
        <v>23</v>
      </c>
      <c r="B1014" s="49" t="str">
        <f t="shared" ref="B1014" si="722">B1013</f>
        <v>hide</v>
      </c>
      <c r="D1014" s="58"/>
      <c r="E1014" s="58"/>
      <c r="F1014" s="52">
        <f>SUM(F1009:F1013)</f>
        <v>0</v>
      </c>
      <c r="G1014" s="52">
        <f>SUM(G1009:G1013)</f>
        <v>0</v>
      </c>
      <c r="H1014" s="52">
        <f>SUM(H1009:H1013)</f>
        <v>0</v>
      </c>
      <c r="I1014" s="52">
        <f>SUM(I1009:I1013)</f>
        <v>0</v>
      </c>
      <c r="J1014" s="52">
        <f>SUM(J1009:J1013)</f>
        <v>0</v>
      </c>
      <c r="K1014" s="52"/>
      <c r="L1014" s="51" t="s">
        <v>4</v>
      </c>
      <c r="M1014" s="58"/>
      <c r="N1014" s="58"/>
      <c r="O1014" s="58"/>
      <c r="P1014" s="58"/>
      <c r="Q1014" s="58"/>
      <c r="R1014" s="58"/>
      <c r="S1014" s="58"/>
    </row>
    <row r="1015" spans="1:19" s="59" customFormat="1" ht="18.75" hidden="1" customHeight="1" thickBot="1" x14ac:dyDescent="0.3">
      <c r="A1015" s="59" t="s">
        <v>23</v>
      </c>
      <c r="B1015" s="60" t="str">
        <f t="shared" ref="B1015:B1016" si="723">IF(K1015=0,"hide","")</f>
        <v>hide</v>
      </c>
      <c r="D1015" s="61" t="str">
        <f>"103658"</f>
        <v>103658</v>
      </c>
      <c r="E1015" s="62" t="str">
        <f>"3"</f>
        <v>3</v>
      </c>
      <c r="F1015" s="63">
        <v>55.416666666666664</v>
      </c>
      <c r="G1015" s="63">
        <v>33.333333333333336</v>
      </c>
      <c r="H1015" s="63">
        <v>0</v>
      </c>
      <c r="I1015" s="63">
        <v>0</v>
      </c>
      <c r="J1015" s="63">
        <v>0</v>
      </c>
      <c r="K1015" s="63">
        <f>AVERAGE(I1015:J1015)</f>
        <v>0</v>
      </c>
      <c r="L1015" s="64" t="str">
        <f>"WMSTW196  WG Simply Strawberry Muffin"</f>
        <v>WMSTW196  WG Simply Strawberry Muffin</v>
      </c>
      <c r="M1015" s="65" t="str">
        <f>"96-1.6oz IW"</f>
        <v>96-1.6oz IW</v>
      </c>
      <c r="N1015" s="66">
        <v>96</v>
      </c>
      <c r="O1015" s="67" t="str">
        <f>""</f>
        <v/>
      </c>
      <c r="P1015" s="68" t="e">
        <f>1/O1015</f>
        <v>#VALUE!</v>
      </c>
      <c r="Q1015" s="53">
        <v>1</v>
      </c>
      <c r="R1015" s="69">
        <f t="shared" ref="R1015" si="724">1/Q1015</f>
        <v>1</v>
      </c>
      <c r="S1015" s="70">
        <f t="shared" ref="S1015" si="725">R1015*N1015</f>
        <v>96</v>
      </c>
    </row>
    <row r="1016" spans="1:19" ht="15.6" hidden="1" customHeight="1" thickBot="1" x14ac:dyDescent="0.3">
      <c r="A1016" t="s">
        <v>23</v>
      </c>
      <c r="B1016" s="60" t="str">
        <f t="shared" si="723"/>
        <v>hide</v>
      </c>
      <c r="D1016" s="48" t="str">
        <f>D1015</f>
        <v>103658</v>
      </c>
      <c r="E1016" s="7"/>
      <c r="F1016" s="27">
        <v>0</v>
      </c>
      <c r="G1016" s="27">
        <v>0</v>
      </c>
      <c r="H1016" s="27">
        <v>0</v>
      </c>
      <c r="I1016" s="27">
        <v>0</v>
      </c>
      <c r="J1016" s="27">
        <v>0</v>
      </c>
      <c r="K1016" s="63">
        <f>AVERAGE(I1016:J1016)</f>
        <v>0</v>
      </c>
      <c r="L1016" s="56" t="str">
        <f>"EQP-LAWPACK1"</f>
        <v>EQP-LAWPACK1</v>
      </c>
      <c r="M1016" s="14"/>
      <c r="N1016" s="15"/>
      <c r="O1016" s="12"/>
      <c r="P1016" s="34"/>
      <c r="Q1016" s="37"/>
      <c r="R1016" s="47"/>
      <c r="S1016" s="46"/>
    </row>
    <row r="1017" spans="1:19" ht="15.6" hidden="1" customHeight="1" thickBot="1" x14ac:dyDescent="0.3">
      <c r="A1017" t="s">
        <v>23</v>
      </c>
      <c r="B1017" s="60" t="str">
        <f t="shared" ref="B1017:B1019" si="726">IF(K1017=0,"hide","")</f>
        <v>hide</v>
      </c>
      <c r="D1017" s="48" t="str">
        <f>D1016</f>
        <v>103658</v>
      </c>
      <c r="E1017" s="7"/>
      <c r="F1017" s="27">
        <v>0</v>
      </c>
      <c r="G1017" s="27">
        <v>0</v>
      </c>
      <c r="H1017" s="27">
        <v>0</v>
      </c>
      <c r="I1017" s="27">
        <v>0</v>
      </c>
      <c r="J1017" s="27">
        <v>0</v>
      </c>
      <c r="K1017" s="63">
        <f>AVERAGE(I1017:J1017)</f>
        <v>0</v>
      </c>
      <c r="L1017" s="56" t="str">
        <f>"EQP-LAWPACK2"</f>
        <v>EQP-LAWPACK2</v>
      </c>
      <c r="M1017" s="14"/>
      <c r="N1017" s="15"/>
      <c r="O1017" s="12"/>
      <c r="P1017" s="34"/>
      <c r="Q1017" s="37"/>
      <c r="R1017" s="47"/>
      <c r="S1017" s="46"/>
    </row>
    <row r="1018" spans="1:19" ht="15.6" hidden="1" customHeight="1" thickBot="1" x14ac:dyDescent="0.3">
      <c r="A1018" t="s">
        <v>23</v>
      </c>
      <c r="B1018" s="60" t="str">
        <f t="shared" si="726"/>
        <v>hide</v>
      </c>
      <c r="D1018" s="48" t="str">
        <f>D1017</f>
        <v>103658</v>
      </c>
      <c r="E1018" s="7"/>
      <c r="F1018" s="27">
        <v>0</v>
      </c>
      <c r="G1018" s="27">
        <v>0</v>
      </c>
      <c r="H1018" s="27">
        <v>0</v>
      </c>
      <c r="I1018" s="27">
        <v>0</v>
      </c>
      <c r="J1018" s="27">
        <v>0</v>
      </c>
      <c r="K1018" s="63">
        <f>AVERAGE(I1018:J1018)</f>
        <v>0</v>
      </c>
      <c r="L1018" s="56" t="str">
        <f>"SW-COMAS-PACKL"</f>
        <v>SW-COMAS-PACKL</v>
      </c>
      <c r="M1018" s="14"/>
      <c r="N1018" s="15"/>
      <c r="O1018" s="12"/>
      <c r="P1018" s="34"/>
      <c r="Q1018" s="37"/>
      <c r="R1018" s="47"/>
      <c r="S1018" s="46"/>
    </row>
    <row r="1019" spans="1:19" ht="15.6" hidden="1" customHeight="1" thickBot="1" x14ac:dyDescent="0.3">
      <c r="A1019" t="s">
        <v>23</v>
      </c>
      <c r="B1019" s="60" t="str">
        <f t="shared" si="726"/>
        <v>hide</v>
      </c>
      <c r="D1019" s="48" t="str">
        <f>D1018</f>
        <v>103658</v>
      </c>
      <c r="E1019" s="7"/>
      <c r="F1019" s="27">
        <v>0</v>
      </c>
      <c r="G1019" s="27">
        <v>0</v>
      </c>
      <c r="H1019" s="27">
        <v>0</v>
      </c>
      <c r="I1019" s="27">
        <v>0</v>
      </c>
      <c r="J1019" s="27">
        <v>0</v>
      </c>
      <c r="K1019" s="63">
        <f>AVERAGE(I1019:J1019)</f>
        <v>0</v>
      </c>
      <c r="L1019" s="56" t="str">
        <f>"SW-RISER-PACK"</f>
        <v>SW-RISER-PACK</v>
      </c>
      <c r="M1019" s="14"/>
      <c r="N1019" s="15"/>
      <c r="O1019" s="12"/>
      <c r="P1019" s="34"/>
      <c r="Q1019" s="37"/>
      <c r="R1019" s="47"/>
      <c r="S1019" s="46"/>
    </row>
    <row r="1020" spans="1:19" ht="12" hidden="1" customHeight="1" x14ac:dyDescent="0.3">
      <c r="A1020" s="35" t="s">
        <v>908</v>
      </c>
      <c r="B1020" s="49" t="str">
        <f>B1016</f>
        <v>hide</v>
      </c>
      <c r="N1020"/>
      <c r="Q1020" s="33"/>
    </row>
    <row r="1021" spans="1:19" ht="13.8" hidden="1" thickBot="1" x14ac:dyDescent="0.3">
      <c r="A1021" t="s">
        <v>23</v>
      </c>
      <c r="B1021" s="49" t="str">
        <f t="shared" ref="B1021" si="727">B1020</f>
        <v>hide</v>
      </c>
      <c r="D1021" s="58"/>
      <c r="E1021" s="58"/>
      <c r="F1021" s="52">
        <f>SUM(F1016:F1020)</f>
        <v>0</v>
      </c>
      <c r="G1021" s="52">
        <f>SUM(G1016:G1020)</f>
        <v>0</v>
      </c>
      <c r="H1021" s="52">
        <f>SUM(H1016:H1020)</f>
        <v>0</v>
      </c>
      <c r="I1021" s="52">
        <f>SUM(I1016:I1020)</f>
        <v>0</v>
      </c>
      <c r="J1021" s="52">
        <f>SUM(J1016:J1020)</f>
        <v>0</v>
      </c>
      <c r="K1021" s="52"/>
      <c r="L1021" s="51" t="s">
        <v>4</v>
      </c>
      <c r="M1021" s="58"/>
      <c r="N1021" s="58"/>
      <c r="O1021" s="58"/>
      <c r="P1021" s="58"/>
      <c r="Q1021" s="58"/>
      <c r="R1021" s="58"/>
      <c r="S1021" s="58"/>
    </row>
    <row r="1022" spans="1:19" s="59" customFormat="1" ht="18.75" hidden="1" customHeight="1" thickBot="1" x14ac:dyDescent="0.3">
      <c r="A1022" s="59" t="s">
        <v>23</v>
      </c>
      <c r="B1022" s="60" t="str">
        <f t="shared" ref="B1022:B1023" si="728">IF(K1022=0,"hide","")</f>
        <v>hide</v>
      </c>
      <c r="D1022" s="61" t="str">
        <f>"103766"</f>
        <v>103766</v>
      </c>
      <c r="E1022" s="62" t="str">
        <f>"1"</f>
        <v>1</v>
      </c>
      <c r="F1022" s="63">
        <v>12.583333333333334</v>
      </c>
      <c r="G1022" s="63">
        <v>0</v>
      </c>
      <c r="H1022" s="63">
        <v>0</v>
      </c>
      <c r="I1022" s="63">
        <v>0</v>
      </c>
      <c r="J1022" s="63">
        <v>0</v>
      </c>
      <c r="K1022" s="63">
        <f>AVERAGE(I1022:J1022)</f>
        <v>0</v>
      </c>
      <c r="L1022" s="64" t="str">
        <f>"WG Apple Muffin 1.6oz "</f>
        <v xml:space="preserve">WG Apple Muffin 1.6oz </v>
      </c>
      <c r="M1022" s="65" t="str">
        <f>"96-1.6oz IW"</f>
        <v>96-1.6oz IW</v>
      </c>
      <c r="N1022" s="66">
        <v>96</v>
      </c>
      <c r="O1022" s="67" t="str">
        <f>""</f>
        <v/>
      </c>
      <c r="P1022" s="68" t="e">
        <f>1/O1022</f>
        <v>#VALUE!</v>
      </c>
      <c r="Q1022" s="53">
        <v>1</v>
      </c>
      <c r="R1022" s="69">
        <f t="shared" ref="R1022" si="729">1/Q1022</f>
        <v>1</v>
      </c>
      <c r="S1022" s="70">
        <f t="shared" ref="S1022" si="730">R1022*N1022</f>
        <v>96</v>
      </c>
    </row>
    <row r="1023" spans="1:19" ht="15.6" hidden="1" customHeight="1" thickBot="1" x14ac:dyDescent="0.3">
      <c r="A1023" t="s">
        <v>23</v>
      </c>
      <c r="B1023" s="60" t="str">
        <f t="shared" si="728"/>
        <v>hide</v>
      </c>
      <c r="D1023" s="48" t="str">
        <f>D1022</f>
        <v>103766</v>
      </c>
      <c r="E1023" s="7"/>
      <c r="F1023" s="27">
        <v>0</v>
      </c>
      <c r="G1023" s="27">
        <v>0</v>
      </c>
      <c r="H1023" s="27">
        <v>0</v>
      </c>
      <c r="I1023" s="27">
        <v>0</v>
      </c>
      <c r="J1023" s="27">
        <v>0</v>
      </c>
      <c r="K1023" s="63">
        <f>AVERAGE(I1023:J1023)</f>
        <v>0</v>
      </c>
      <c r="L1023" s="56" t="str">
        <f>"EQP-LAWPACK1"</f>
        <v>EQP-LAWPACK1</v>
      </c>
      <c r="M1023" s="14"/>
      <c r="N1023" s="15"/>
      <c r="O1023" s="12"/>
      <c r="P1023" s="34"/>
      <c r="Q1023" s="37"/>
      <c r="R1023" s="47"/>
      <c r="S1023" s="46"/>
    </row>
    <row r="1024" spans="1:19" ht="15.6" hidden="1" customHeight="1" thickBot="1" x14ac:dyDescent="0.3">
      <c r="A1024" t="s">
        <v>23</v>
      </c>
      <c r="B1024" s="60" t="str">
        <f t="shared" ref="B1024:B1026" si="731">IF(K1024=0,"hide","")</f>
        <v>hide</v>
      </c>
      <c r="D1024" s="48" t="str">
        <f>D1023</f>
        <v>103766</v>
      </c>
      <c r="E1024" s="7"/>
      <c r="F1024" s="27">
        <v>0</v>
      </c>
      <c r="G1024" s="27">
        <v>0</v>
      </c>
      <c r="H1024" s="27">
        <v>0</v>
      </c>
      <c r="I1024" s="27">
        <v>0</v>
      </c>
      <c r="J1024" s="27">
        <v>0</v>
      </c>
      <c r="K1024" s="63">
        <f>AVERAGE(I1024:J1024)</f>
        <v>0</v>
      </c>
      <c r="L1024" s="56" t="str">
        <f>"EQP-LAWPACK2"</f>
        <v>EQP-LAWPACK2</v>
      </c>
      <c r="M1024" s="14"/>
      <c r="N1024" s="15"/>
      <c r="O1024" s="12"/>
      <c r="P1024" s="34"/>
      <c r="Q1024" s="37"/>
      <c r="R1024" s="47"/>
      <c r="S1024" s="46"/>
    </row>
    <row r="1025" spans="1:19" ht="15.6" hidden="1" customHeight="1" thickBot="1" x14ac:dyDescent="0.3">
      <c r="A1025" t="s">
        <v>23</v>
      </c>
      <c r="B1025" s="60" t="str">
        <f t="shared" si="731"/>
        <v>hide</v>
      </c>
      <c r="D1025" s="48" t="str">
        <f>D1024</f>
        <v>103766</v>
      </c>
      <c r="E1025" s="7"/>
      <c r="F1025" s="27">
        <v>0</v>
      </c>
      <c r="G1025" s="27">
        <v>0</v>
      </c>
      <c r="H1025" s="27">
        <v>0</v>
      </c>
      <c r="I1025" s="27">
        <v>0</v>
      </c>
      <c r="J1025" s="27">
        <v>0</v>
      </c>
      <c r="K1025" s="63">
        <f>AVERAGE(I1025:J1025)</f>
        <v>0</v>
      </c>
      <c r="L1025" s="56" t="str">
        <f>"SW-COMAS-PACKL"</f>
        <v>SW-COMAS-PACKL</v>
      </c>
      <c r="M1025" s="14"/>
      <c r="N1025" s="15"/>
      <c r="O1025" s="12"/>
      <c r="P1025" s="34"/>
      <c r="Q1025" s="37"/>
      <c r="R1025" s="47"/>
      <c r="S1025" s="46"/>
    </row>
    <row r="1026" spans="1:19" ht="15.6" hidden="1" customHeight="1" thickBot="1" x14ac:dyDescent="0.3">
      <c r="A1026" t="s">
        <v>23</v>
      </c>
      <c r="B1026" s="60" t="str">
        <f t="shared" si="731"/>
        <v>hide</v>
      </c>
      <c r="D1026" s="48" t="str">
        <f>D1025</f>
        <v>103766</v>
      </c>
      <c r="E1026" s="7"/>
      <c r="F1026" s="27">
        <v>0</v>
      </c>
      <c r="G1026" s="27">
        <v>0</v>
      </c>
      <c r="H1026" s="27">
        <v>0</v>
      </c>
      <c r="I1026" s="27">
        <v>0</v>
      </c>
      <c r="J1026" s="27">
        <v>0</v>
      </c>
      <c r="K1026" s="63">
        <f>AVERAGE(I1026:J1026)</f>
        <v>0</v>
      </c>
      <c r="L1026" s="56" t="str">
        <f>"SW-RISER-PACK"</f>
        <v>SW-RISER-PACK</v>
      </c>
      <c r="M1026" s="14"/>
      <c r="N1026" s="15"/>
      <c r="O1026" s="12"/>
      <c r="P1026" s="34"/>
      <c r="Q1026" s="37"/>
      <c r="R1026" s="47"/>
      <c r="S1026" s="46"/>
    </row>
    <row r="1027" spans="1:19" ht="12" hidden="1" customHeight="1" x14ac:dyDescent="0.3">
      <c r="A1027" s="35" t="s">
        <v>908</v>
      </c>
      <c r="B1027" s="49" t="str">
        <f>B1023</f>
        <v>hide</v>
      </c>
      <c r="N1027"/>
      <c r="Q1027" s="33"/>
    </row>
    <row r="1028" spans="1:19" ht="13.8" hidden="1" thickBot="1" x14ac:dyDescent="0.3">
      <c r="A1028" t="s">
        <v>23</v>
      </c>
      <c r="B1028" s="49" t="str">
        <f t="shared" ref="B1028" si="732">B1027</f>
        <v>hide</v>
      </c>
      <c r="D1028" s="58"/>
      <c r="E1028" s="58"/>
      <c r="F1028" s="52">
        <f>SUM(F1023:F1027)</f>
        <v>0</v>
      </c>
      <c r="G1028" s="52">
        <f>SUM(G1023:G1027)</f>
        <v>0</v>
      </c>
      <c r="H1028" s="52">
        <f>SUM(H1023:H1027)</f>
        <v>0</v>
      </c>
      <c r="I1028" s="52">
        <f>SUM(I1023:I1027)</f>
        <v>0</v>
      </c>
      <c r="J1028" s="52">
        <f>SUM(J1023:J1027)</f>
        <v>0</v>
      </c>
      <c r="K1028" s="52"/>
      <c r="L1028" s="51" t="s">
        <v>4</v>
      </c>
      <c r="M1028" s="58"/>
      <c r="N1028" s="58"/>
      <c r="O1028" s="58"/>
      <c r="P1028" s="58"/>
      <c r="Q1028" s="58"/>
      <c r="R1028" s="58"/>
      <c r="S1028" s="58"/>
    </row>
    <row r="1029" spans="1:19" s="59" customFormat="1" ht="18.75" hidden="1" customHeight="1" thickBot="1" x14ac:dyDescent="0.3">
      <c r="A1029" s="59" t="s">
        <v>23</v>
      </c>
      <c r="B1029" s="60" t="str">
        <f t="shared" ref="B1029:B1030" si="733">IF(K1029=0,"hide","")</f>
        <v>hide</v>
      </c>
      <c r="D1029" s="61" t="str">
        <f>"103775"</f>
        <v>103775</v>
      </c>
      <c r="E1029" s="62" t="str">
        <f>"1"</f>
        <v>1</v>
      </c>
      <c r="F1029" s="63">
        <v>6.583333333333333</v>
      </c>
      <c r="G1029" s="63">
        <v>0</v>
      </c>
      <c r="H1029" s="63">
        <v>0</v>
      </c>
      <c r="I1029" s="63">
        <v>0</v>
      </c>
      <c r="J1029" s="63">
        <v>0</v>
      </c>
      <c r="K1029" s="63">
        <f>AVERAGE(I1029:J1029)</f>
        <v>0</v>
      </c>
      <c r="L1029" s="64" t="str">
        <f>"WG Banana Muffin"</f>
        <v>WG Banana Muffin</v>
      </c>
      <c r="M1029" s="65" t="str">
        <f>"96-1.6oz IW"</f>
        <v>96-1.6oz IW</v>
      </c>
      <c r="N1029" s="66">
        <v>96</v>
      </c>
      <c r="O1029" s="67" t="str">
        <f>""</f>
        <v/>
      </c>
      <c r="P1029" s="68" t="e">
        <f>1/O1029</f>
        <v>#VALUE!</v>
      </c>
      <c r="Q1029" s="53">
        <v>1</v>
      </c>
      <c r="R1029" s="69">
        <f t="shared" ref="R1029" si="734">1/Q1029</f>
        <v>1</v>
      </c>
      <c r="S1029" s="70">
        <f t="shared" ref="S1029" si="735">R1029*N1029</f>
        <v>96</v>
      </c>
    </row>
    <row r="1030" spans="1:19" ht="15.6" hidden="1" customHeight="1" thickBot="1" x14ac:dyDescent="0.3">
      <c r="A1030" t="s">
        <v>23</v>
      </c>
      <c r="B1030" s="60" t="str">
        <f t="shared" si="733"/>
        <v>hide</v>
      </c>
      <c r="D1030" s="48" t="str">
        <f>D1029</f>
        <v>103775</v>
      </c>
      <c r="E1030" s="7"/>
      <c r="F1030" s="27">
        <v>0</v>
      </c>
      <c r="G1030" s="27">
        <v>0</v>
      </c>
      <c r="H1030" s="27">
        <v>0</v>
      </c>
      <c r="I1030" s="27">
        <v>0</v>
      </c>
      <c r="J1030" s="27">
        <v>0</v>
      </c>
      <c r="K1030" s="63">
        <f>AVERAGE(I1030:J1030)</f>
        <v>0</v>
      </c>
      <c r="L1030" s="56" t="str">
        <f>"EQP-LAWPACK1"</f>
        <v>EQP-LAWPACK1</v>
      </c>
      <c r="M1030" s="14"/>
      <c r="N1030" s="15"/>
      <c r="O1030" s="12"/>
      <c r="P1030" s="34"/>
      <c r="Q1030" s="37"/>
      <c r="R1030" s="47"/>
      <c r="S1030" s="46"/>
    </row>
    <row r="1031" spans="1:19" ht="15.6" hidden="1" customHeight="1" thickBot="1" x14ac:dyDescent="0.3">
      <c r="A1031" t="s">
        <v>23</v>
      </c>
      <c r="B1031" s="60" t="str">
        <f t="shared" ref="B1031:B1033" si="736">IF(K1031=0,"hide","")</f>
        <v>hide</v>
      </c>
      <c r="D1031" s="48" t="str">
        <f>D1030</f>
        <v>103775</v>
      </c>
      <c r="E1031" s="7"/>
      <c r="F1031" s="27">
        <v>0</v>
      </c>
      <c r="G1031" s="27">
        <v>0</v>
      </c>
      <c r="H1031" s="27">
        <v>0</v>
      </c>
      <c r="I1031" s="27">
        <v>0</v>
      </c>
      <c r="J1031" s="27">
        <v>0</v>
      </c>
      <c r="K1031" s="63">
        <f>AVERAGE(I1031:J1031)</f>
        <v>0</v>
      </c>
      <c r="L1031" s="56" t="str">
        <f>"EQP-LAWPACK2"</f>
        <v>EQP-LAWPACK2</v>
      </c>
      <c r="M1031" s="14"/>
      <c r="N1031" s="15"/>
      <c r="O1031" s="12"/>
      <c r="P1031" s="34"/>
      <c r="Q1031" s="37"/>
      <c r="R1031" s="47"/>
      <c r="S1031" s="46"/>
    </row>
    <row r="1032" spans="1:19" ht="15.6" hidden="1" customHeight="1" thickBot="1" x14ac:dyDescent="0.3">
      <c r="A1032" t="s">
        <v>23</v>
      </c>
      <c r="B1032" s="60" t="str">
        <f t="shared" si="736"/>
        <v>hide</v>
      </c>
      <c r="D1032" s="48" t="str">
        <f>D1031</f>
        <v>103775</v>
      </c>
      <c r="E1032" s="7"/>
      <c r="F1032" s="27">
        <v>0</v>
      </c>
      <c r="G1032" s="27">
        <v>0</v>
      </c>
      <c r="H1032" s="27">
        <v>0</v>
      </c>
      <c r="I1032" s="27">
        <v>0</v>
      </c>
      <c r="J1032" s="27">
        <v>0</v>
      </c>
      <c r="K1032" s="63">
        <f>AVERAGE(I1032:J1032)</f>
        <v>0</v>
      </c>
      <c r="L1032" s="56" t="str">
        <f>"SW-COMAS-PACKL"</f>
        <v>SW-COMAS-PACKL</v>
      </c>
      <c r="M1032" s="14"/>
      <c r="N1032" s="15"/>
      <c r="O1032" s="12"/>
      <c r="P1032" s="34"/>
      <c r="Q1032" s="37"/>
      <c r="R1032" s="47"/>
      <c r="S1032" s="46"/>
    </row>
    <row r="1033" spans="1:19" ht="15.6" hidden="1" customHeight="1" thickBot="1" x14ac:dyDescent="0.3">
      <c r="A1033" t="s">
        <v>23</v>
      </c>
      <c r="B1033" s="60" t="str">
        <f t="shared" si="736"/>
        <v>hide</v>
      </c>
      <c r="D1033" s="48" t="str">
        <f>D1032</f>
        <v>103775</v>
      </c>
      <c r="E1033" s="7"/>
      <c r="F1033" s="27">
        <v>0</v>
      </c>
      <c r="G1033" s="27">
        <v>0</v>
      </c>
      <c r="H1033" s="27">
        <v>0</v>
      </c>
      <c r="I1033" s="27">
        <v>0</v>
      </c>
      <c r="J1033" s="27">
        <v>0</v>
      </c>
      <c r="K1033" s="63">
        <f>AVERAGE(I1033:J1033)</f>
        <v>0</v>
      </c>
      <c r="L1033" s="56" t="str">
        <f>"SW-RISER-PACK"</f>
        <v>SW-RISER-PACK</v>
      </c>
      <c r="M1033" s="14"/>
      <c r="N1033" s="15"/>
      <c r="O1033" s="12"/>
      <c r="P1033" s="34"/>
      <c r="Q1033" s="37"/>
      <c r="R1033" s="47"/>
      <c r="S1033" s="46"/>
    </row>
    <row r="1034" spans="1:19" ht="12" hidden="1" customHeight="1" x14ac:dyDescent="0.3">
      <c r="A1034" s="35" t="s">
        <v>908</v>
      </c>
      <c r="B1034" s="49" t="str">
        <f>B1030</f>
        <v>hide</v>
      </c>
      <c r="N1034"/>
      <c r="Q1034" s="33"/>
    </row>
    <row r="1035" spans="1:19" ht="13.8" hidden="1" thickBot="1" x14ac:dyDescent="0.3">
      <c r="A1035" t="s">
        <v>23</v>
      </c>
      <c r="B1035" s="49" t="str">
        <f t="shared" ref="B1035" si="737">B1034</f>
        <v>hide</v>
      </c>
      <c r="D1035" s="58"/>
      <c r="E1035" s="58"/>
      <c r="F1035" s="52">
        <f>SUM(F1030:F1034)</f>
        <v>0</v>
      </c>
      <c r="G1035" s="52">
        <f>SUM(G1030:G1034)</f>
        <v>0</v>
      </c>
      <c r="H1035" s="52">
        <f>SUM(H1030:H1034)</f>
        <v>0</v>
      </c>
      <c r="I1035" s="52">
        <f>SUM(I1030:I1034)</f>
        <v>0</v>
      </c>
      <c r="J1035" s="52">
        <f>SUM(J1030:J1034)</f>
        <v>0</v>
      </c>
      <c r="K1035" s="52"/>
      <c r="L1035" s="51" t="s">
        <v>4</v>
      </c>
      <c r="M1035" s="58"/>
      <c r="N1035" s="58"/>
      <c r="O1035" s="58"/>
      <c r="P1035" s="58"/>
      <c r="Q1035" s="58"/>
      <c r="R1035" s="58"/>
      <c r="S1035" s="58"/>
    </row>
    <row r="1036" spans="1:19" s="59" customFormat="1" ht="18.75" hidden="1" customHeight="1" thickBot="1" x14ac:dyDescent="0.3">
      <c r="A1036" s="59" t="s">
        <v>23</v>
      </c>
      <c r="B1036" s="60" t="str">
        <f t="shared" ref="B1036:B1037" si="738">IF(K1036=0,"hide","")</f>
        <v>hide</v>
      </c>
      <c r="D1036" s="61" t="str">
        <f>"10405"</f>
        <v>10405</v>
      </c>
      <c r="E1036" s="62" t="str">
        <f>"1"</f>
        <v>1</v>
      </c>
      <c r="F1036" s="63">
        <v>26.75</v>
      </c>
      <c r="G1036" s="63">
        <v>1.4166666666666667</v>
      </c>
      <c r="H1036" s="63">
        <v>0</v>
      </c>
      <c r="I1036" s="63">
        <v>0</v>
      </c>
      <c r="J1036" s="63">
        <v>0</v>
      </c>
      <c r="K1036" s="63">
        <f>AVERAGE(I1036:J1036)</f>
        <v>0</v>
      </c>
      <c r="L1036" s="64" t="str">
        <f>"CornBread TOGO"</f>
        <v>CornBread TOGO</v>
      </c>
      <c r="M1036" s="65" t="str">
        <f>"60-3oz. IW 6-10 packs"</f>
        <v>60-3oz. IW 6-10 packs</v>
      </c>
      <c r="N1036" s="66">
        <v>60</v>
      </c>
      <c r="O1036" s="67" t="str">
        <f>""</f>
        <v/>
      </c>
      <c r="P1036" s="68" t="e">
        <f>1/O1036</f>
        <v>#VALUE!</v>
      </c>
      <c r="Q1036" s="53">
        <v>1</v>
      </c>
      <c r="R1036" s="69">
        <f t="shared" ref="R1036" si="739">1/Q1036</f>
        <v>1</v>
      </c>
      <c r="S1036" s="70">
        <f t="shared" ref="S1036" si="740">R1036*N1036</f>
        <v>60</v>
      </c>
    </row>
    <row r="1037" spans="1:19" ht="15.6" hidden="1" customHeight="1" thickBot="1" x14ac:dyDescent="0.3">
      <c r="A1037" t="s">
        <v>23</v>
      </c>
      <c r="B1037" s="60" t="str">
        <f t="shared" si="738"/>
        <v>hide</v>
      </c>
      <c r="D1037" s="48" t="str">
        <f>D1036</f>
        <v>10405</v>
      </c>
      <c r="E1037" s="7"/>
      <c r="F1037" s="27">
        <v>0</v>
      </c>
      <c r="G1037" s="27">
        <v>0</v>
      </c>
      <c r="H1037" s="27">
        <v>0</v>
      </c>
      <c r="I1037" s="27">
        <v>0</v>
      </c>
      <c r="J1037" s="27">
        <v>0</v>
      </c>
      <c r="K1037" s="63">
        <f>AVERAGE(I1037:J1037)</f>
        <v>0</v>
      </c>
      <c r="L1037" s="56" t="str">
        <f>"EQP-LAWPACK1"</f>
        <v>EQP-LAWPACK1</v>
      </c>
      <c r="M1037" s="14"/>
      <c r="N1037" s="15"/>
      <c r="O1037" s="12"/>
      <c r="P1037" s="34"/>
      <c r="Q1037" s="37"/>
      <c r="R1037" s="47"/>
      <c r="S1037" s="46"/>
    </row>
    <row r="1038" spans="1:19" ht="15.6" hidden="1" customHeight="1" thickBot="1" x14ac:dyDescent="0.3">
      <c r="A1038" t="s">
        <v>23</v>
      </c>
      <c r="B1038" s="60" t="str">
        <f t="shared" ref="B1038:B1040" si="741">IF(K1038=0,"hide","")</f>
        <v>hide</v>
      </c>
      <c r="D1038" s="48" t="str">
        <f>D1037</f>
        <v>10405</v>
      </c>
      <c r="E1038" s="7"/>
      <c r="F1038" s="27">
        <v>0</v>
      </c>
      <c r="G1038" s="27">
        <v>0</v>
      </c>
      <c r="H1038" s="27">
        <v>0</v>
      </c>
      <c r="I1038" s="27">
        <v>0</v>
      </c>
      <c r="J1038" s="27">
        <v>0</v>
      </c>
      <c r="K1038" s="63">
        <f>AVERAGE(I1038:J1038)</f>
        <v>0</v>
      </c>
      <c r="L1038" s="56" t="str">
        <f>"EQP-LAWPACK2"</f>
        <v>EQP-LAWPACK2</v>
      </c>
      <c r="M1038" s="14"/>
      <c r="N1038" s="15"/>
      <c r="O1038" s="12"/>
      <c r="P1038" s="34"/>
      <c r="Q1038" s="37"/>
      <c r="R1038" s="47"/>
      <c r="S1038" s="46"/>
    </row>
    <row r="1039" spans="1:19" ht="15.6" hidden="1" customHeight="1" thickBot="1" x14ac:dyDescent="0.3">
      <c r="A1039" t="s">
        <v>23</v>
      </c>
      <c r="B1039" s="60" t="str">
        <f t="shared" si="741"/>
        <v>hide</v>
      </c>
      <c r="D1039" s="48" t="str">
        <f>D1038</f>
        <v>10405</v>
      </c>
      <c r="E1039" s="7"/>
      <c r="F1039" s="27">
        <v>0</v>
      </c>
      <c r="G1039" s="27">
        <v>0</v>
      </c>
      <c r="H1039" s="27">
        <v>0</v>
      </c>
      <c r="I1039" s="27">
        <v>0</v>
      </c>
      <c r="J1039" s="27">
        <v>0</v>
      </c>
      <c r="K1039" s="63">
        <f>AVERAGE(I1039:J1039)</f>
        <v>0</v>
      </c>
      <c r="L1039" s="56" t="str">
        <f>"SW-COMAS-PACKL"</f>
        <v>SW-COMAS-PACKL</v>
      </c>
      <c r="M1039" s="14"/>
      <c r="N1039" s="15"/>
      <c r="O1039" s="12"/>
      <c r="P1039" s="34"/>
      <c r="Q1039" s="37"/>
      <c r="R1039" s="47"/>
      <c r="S1039" s="46"/>
    </row>
    <row r="1040" spans="1:19" ht="15.6" hidden="1" customHeight="1" thickBot="1" x14ac:dyDescent="0.3">
      <c r="A1040" t="s">
        <v>23</v>
      </c>
      <c r="B1040" s="60" t="str">
        <f t="shared" si="741"/>
        <v>hide</v>
      </c>
      <c r="D1040" s="48" t="str">
        <f>D1039</f>
        <v>10405</v>
      </c>
      <c r="E1040" s="7"/>
      <c r="F1040" s="27">
        <v>0</v>
      </c>
      <c r="G1040" s="27">
        <v>0</v>
      </c>
      <c r="H1040" s="27">
        <v>0</v>
      </c>
      <c r="I1040" s="27">
        <v>0</v>
      </c>
      <c r="J1040" s="27">
        <v>0</v>
      </c>
      <c r="K1040" s="63">
        <f>AVERAGE(I1040:J1040)</f>
        <v>0</v>
      </c>
      <c r="L1040" s="56" t="str">
        <f>"SW-RISER-PACK"</f>
        <v>SW-RISER-PACK</v>
      </c>
      <c r="M1040" s="14"/>
      <c r="N1040" s="15"/>
      <c r="O1040" s="12"/>
      <c r="P1040" s="34"/>
      <c r="Q1040" s="37"/>
      <c r="R1040" s="47"/>
      <c r="S1040" s="46"/>
    </row>
    <row r="1041" spans="1:19" ht="12" hidden="1" customHeight="1" x14ac:dyDescent="0.3">
      <c r="A1041" s="35" t="s">
        <v>908</v>
      </c>
      <c r="B1041" s="49" t="str">
        <f>B1037</f>
        <v>hide</v>
      </c>
      <c r="N1041"/>
      <c r="Q1041" s="33"/>
    </row>
    <row r="1042" spans="1:19" ht="13.8" hidden="1" thickBot="1" x14ac:dyDescent="0.3">
      <c r="A1042" t="s">
        <v>23</v>
      </c>
      <c r="B1042" s="49" t="str">
        <f t="shared" ref="B1042" si="742">B1041</f>
        <v>hide</v>
      </c>
      <c r="D1042" s="58"/>
      <c r="E1042" s="58"/>
      <c r="F1042" s="52">
        <f>SUM(F1037:F1041)</f>
        <v>0</v>
      </c>
      <c r="G1042" s="52">
        <f>SUM(G1037:G1041)</f>
        <v>0</v>
      </c>
      <c r="H1042" s="52">
        <f>SUM(H1037:H1041)</f>
        <v>0</v>
      </c>
      <c r="I1042" s="52">
        <f>SUM(I1037:I1041)</f>
        <v>0</v>
      </c>
      <c r="J1042" s="52">
        <f>SUM(J1037:J1041)</f>
        <v>0</v>
      </c>
      <c r="K1042" s="52"/>
      <c r="L1042" s="51" t="s">
        <v>4</v>
      </c>
      <c r="M1042" s="58"/>
      <c r="N1042" s="58"/>
      <c r="O1042" s="58"/>
      <c r="P1042" s="58"/>
      <c r="Q1042" s="58"/>
      <c r="R1042" s="58"/>
      <c r="S1042" s="58"/>
    </row>
    <row r="1043" spans="1:19" s="59" customFormat="1" ht="18.75" hidden="1" customHeight="1" thickBot="1" x14ac:dyDescent="0.3">
      <c r="A1043" s="59" t="s">
        <v>23</v>
      </c>
      <c r="B1043" s="60" t="str">
        <f t="shared" ref="B1043:B1044" si="743">IF(K1043=0,"hide","")</f>
        <v>hide</v>
      </c>
      <c r="D1043" s="61" t="str">
        <f>"10425"</f>
        <v>10425</v>
      </c>
      <c r="E1043" s="62" t="str">
        <f>"1"</f>
        <v>1</v>
      </c>
      <c r="F1043" s="63">
        <v>2.9166666666666665</v>
      </c>
      <c r="G1043" s="63">
        <v>0</v>
      </c>
      <c r="H1043" s="63">
        <v>0</v>
      </c>
      <c r="I1043" s="63">
        <v>0</v>
      </c>
      <c r="J1043" s="63">
        <v>0</v>
      </c>
      <c r="K1043" s="63">
        <f>AVERAGE(I1043:J1043)</f>
        <v>0</v>
      </c>
      <c r="L1043" s="64" t="str">
        <f>"Jalapeno Cornbread TOGO"</f>
        <v>Jalapeno Cornbread TOGO</v>
      </c>
      <c r="M1043" s="65" t="str">
        <f>"60-3 oz. IW 6-10 packs"</f>
        <v>60-3 oz. IW 6-10 packs</v>
      </c>
      <c r="N1043" s="66">
        <v>60</v>
      </c>
      <c r="O1043" s="67" t="str">
        <f>""</f>
        <v/>
      </c>
      <c r="P1043" s="68" t="e">
        <f>1/O1043</f>
        <v>#VALUE!</v>
      </c>
      <c r="Q1043" s="53">
        <v>1</v>
      </c>
      <c r="R1043" s="69">
        <f t="shared" ref="R1043" si="744">1/Q1043</f>
        <v>1</v>
      </c>
      <c r="S1043" s="70">
        <f t="shared" ref="S1043" si="745">R1043*N1043</f>
        <v>60</v>
      </c>
    </row>
    <row r="1044" spans="1:19" ht="15.6" hidden="1" customHeight="1" thickBot="1" x14ac:dyDescent="0.3">
      <c r="A1044" t="s">
        <v>23</v>
      </c>
      <c r="B1044" s="60" t="str">
        <f t="shared" si="743"/>
        <v>hide</v>
      </c>
      <c r="D1044" s="48" t="str">
        <f>D1043</f>
        <v>10425</v>
      </c>
      <c r="E1044" s="7"/>
      <c r="F1044" s="27">
        <v>0</v>
      </c>
      <c r="G1044" s="27">
        <v>0</v>
      </c>
      <c r="H1044" s="27">
        <v>0</v>
      </c>
      <c r="I1044" s="27">
        <v>0</v>
      </c>
      <c r="J1044" s="27">
        <v>0</v>
      </c>
      <c r="K1044" s="63">
        <f>AVERAGE(I1044:J1044)</f>
        <v>0</v>
      </c>
      <c r="L1044" s="56" t="str">
        <f>"EQP-LAWPACK1"</f>
        <v>EQP-LAWPACK1</v>
      </c>
      <c r="M1044" s="14"/>
      <c r="N1044" s="15"/>
      <c r="O1044" s="12"/>
      <c r="P1044" s="34"/>
      <c r="Q1044" s="37"/>
      <c r="R1044" s="47"/>
      <c r="S1044" s="46"/>
    </row>
    <row r="1045" spans="1:19" ht="15.6" hidden="1" customHeight="1" thickBot="1" x14ac:dyDescent="0.3">
      <c r="A1045" t="s">
        <v>23</v>
      </c>
      <c r="B1045" s="60" t="str">
        <f t="shared" ref="B1045:B1047" si="746">IF(K1045=0,"hide","")</f>
        <v>hide</v>
      </c>
      <c r="D1045" s="48" t="str">
        <f>D1044</f>
        <v>10425</v>
      </c>
      <c r="E1045" s="7"/>
      <c r="F1045" s="27">
        <v>0</v>
      </c>
      <c r="G1045" s="27">
        <v>0</v>
      </c>
      <c r="H1045" s="27">
        <v>0</v>
      </c>
      <c r="I1045" s="27">
        <v>0</v>
      </c>
      <c r="J1045" s="27">
        <v>0</v>
      </c>
      <c r="K1045" s="63">
        <f>AVERAGE(I1045:J1045)</f>
        <v>0</v>
      </c>
      <c r="L1045" s="56" t="str">
        <f>"EQP-LAWPACK2"</f>
        <v>EQP-LAWPACK2</v>
      </c>
      <c r="M1045" s="14"/>
      <c r="N1045" s="15"/>
      <c r="O1045" s="12"/>
      <c r="P1045" s="34"/>
      <c r="Q1045" s="37"/>
      <c r="R1045" s="47"/>
      <c r="S1045" s="46"/>
    </row>
    <row r="1046" spans="1:19" ht="15.6" hidden="1" customHeight="1" thickBot="1" x14ac:dyDescent="0.3">
      <c r="A1046" t="s">
        <v>23</v>
      </c>
      <c r="B1046" s="60" t="str">
        <f t="shared" si="746"/>
        <v>hide</v>
      </c>
      <c r="D1046" s="48" t="str">
        <f>D1045</f>
        <v>10425</v>
      </c>
      <c r="E1046" s="7"/>
      <c r="F1046" s="27">
        <v>0</v>
      </c>
      <c r="G1046" s="27">
        <v>0</v>
      </c>
      <c r="H1046" s="27">
        <v>0</v>
      </c>
      <c r="I1046" s="27">
        <v>0</v>
      </c>
      <c r="J1046" s="27">
        <v>0</v>
      </c>
      <c r="K1046" s="63">
        <f>AVERAGE(I1046:J1046)</f>
        <v>0</v>
      </c>
      <c r="L1046" s="56" t="str">
        <f>"SW-COMAS-PACKL"</f>
        <v>SW-COMAS-PACKL</v>
      </c>
      <c r="M1046" s="14"/>
      <c r="N1046" s="15"/>
      <c r="O1046" s="12"/>
      <c r="P1046" s="34"/>
      <c r="Q1046" s="37"/>
      <c r="R1046" s="47"/>
      <c r="S1046" s="46"/>
    </row>
    <row r="1047" spans="1:19" ht="15.6" hidden="1" customHeight="1" thickBot="1" x14ac:dyDescent="0.3">
      <c r="A1047" t="s">
        <v>23</v>
      </c>
      <c r="B1047" s="60" t="str">
        <f t="shared" si="746"/>
        <v>hide</v>
      </c>
      <c r="D1047" s="48" t="str">
        <f>D1046</f>
        <v>10425</v>
      </c>
      <c r="E1047" s="7"/>
      <c r="F1047" s="27">
        <v>0</v>
      </c>
      <c r="G1047" s="27">
        <v>0</v>
      </c>
      <c r="H1047" s="27">
        <v>0</v>
      </c>
      <c r="I1047" s="27">
        <v>0</v>
      </c>
      <c r="J1047" s="27">
        <v>0</v>
      </c>
      <c r="K1047" s="63">
        <f>AVERAGE(I1047:J1047)</f>
        <v>0</v>
      </c>
      <c r="L1047" s="56" t="str">
        <f>"SW-RISER-PACK"</f>
        <v>SW-RISER-PACK</v>
      </c>
      <c r="M1047" s="14"/>
      <c r="N1047" s="15"/>
      <c r="O1047" s="12"/>
      <c r="P1047" s="34"/>
      <c r="Q1047" s="37"/>
      <c r="R1047" s="47"/>
      <c r="S1047" s="46"/>
    </row>
    <row r="1048" spans="1:19" ht="12" hidden="1" customHeight="1" x14ac:dyDescent="0.3">
      <c r="A1048" s="35" t="s">
        <v>908</v>
      </c>
      <c r="B1048" s="49" t="str">
        <f>B1044</f>
        <v>hide</v>
      </c>
      <c r="N1048"/>
      <c r="Q1048" s="33"/>
    </row>
    <row r="1049" spans="1:19" ht="13.8" hidden="1" thickBot="1" x14ac:dyDescent="0.3">
      <c r="A1049" t="s">
        <v>23</v>
      </c>
      <c r="B1049" s="49" t="str">
        <f t="shared" ref="B1049" si="747">B1048</f>
        <v>hide</v>
      </c>
      <c r="D1049" s="58"/>
      <c r="E1049" s="58"/>
      <c r="F1049" s="52">
        <f>SUM(F1044:F1048)</f>
        <v>0</v>
      </c>
      <c r="G1049" s="52">
        <f>SUM(G1044:G1048)</f>
        <v>0</v>
      </c>
      <c r="H1049" s="52">
        <f>SUM(H1044:H1048)</f>
        <v>0</v>
      </c>
      <c r="I1049" s="52">
        <f>SUM(I1044:I1048)</f>
        <v>0</v>
      </c>
      <c r="J1049" s="52">
        <f>SUM(J1044:J1048)</f>
        <v>0</v>
      </c>
      <c r="K1049" s="52"/>
      <c r="L1049" s="51" t="s">
        <v>4</v>
      </c>
      <c r="M1049" s="58"/>
      <c r="N1049" s="58"/>
      <c r="O1049" s="58"/>
      <c r="P1049" s="58"/>
      <c r="Q1049" s="58"/>
      <c r="R1049" s="58"/>
      <c r="S1049" s="58"/>
    </row>
    <row r="1050" spans="1:19" s="59" customFormat="1" ht="18.75" hidden="1" customHeight="1" thickBot="1" x14ac:dyDescent="0.3">
      <c r="A1050" s="59" t="s">
        <v>23</v>
      </c>
      <c r="B1050" s="60" t="str">
        <f t="shared" ref="B1050:B1051" si="748">IF(K1050=0,"hide","")</f>
        <v>hide</v>
      </c>
      <c r="D1050" s="61" t="str">
        <f>"105625"</f>
        <v>105625</v>
      </c>
      <c r="E1050" s="62" t="str">
        <f>"2"</f>
        <v>2</v>
      </c>
      <c r="F1050" s="63">
        <v>0</v>
      </c>
      <c r="G1050" s="63">
        <v>0</v>
      </c>
      <c r="H1050" s="63">
        <v>0</v>
      </c>
      <c r="I1050" s="63">
        <v>0</v>
      </c>
      <c r="J1050" s="63">
        <v>0</v>
      </c>
      <c r="K1050" s="63">
        <f>AVERAGE(I1050:J1050)</f>
        <v>0</v>
      </c>
      <c r="L1050" s="64" t="str">
        <f>"JCBLD296  Whole Grain Jalapeno Corn Bread Loaf"</f>
        <v>JCBLD296  Whole Grain Jalapeno Corn Bread Loaf</v>
      </c>
      <c r="M1050" s="65" t="str">
        <f>"96-2.5oz IW"</f>
        <v>96-2.5oz IW</v>
      </c>
      <c r="N1050" s="66">
        <v>96</v>
      </c>
      <c r="O1050" s="67" t="str">
        <f>""</f>
        <v/>
      </c>
      <c r="P1050" s="68" t="e">
        <f>1/O1050</f>
        <v>#VALUE!</v>
      </c>
      <c r="Q1050" s="53">
        <v>1</v>
      </c>
      <c r="R1050" s="69">
        <f t="shared" ref="R1050" si="749">1/Q1050</f>
        <v>1</v>
      </c>
      <c r="S1050" s="70">
        <f t="shared" ref="S1050" si="750">R1050*N1050</f>
        <v>96</v>
      </c>
    </row>
    <row r="1051" spans="1:19" ht="15.6" hidden="1" customHeight="1" thickBot="1" x14ac:dyDescent="0.3">
      <c r="A1051" t="s">
        <v>23</v>
      </c>
      <c r="B1051" s="60" t="str">
        <f t="shared" si="748"/>
        <v>hide</v>
      </c>
      <c r="D1051" s="48" t="str">
        <f>D1050</f>
        <v>105625</v>
      </c>
      <c r="E1051" s="7"/>
      <c r="F1051" s="27">
        <v>0</v>
      </c>
      <c r="G1051" s="27">
        <v>0</v>
      </c>
      <c r="H1051" s="27">
        <v>0</v>
      </c>
      <c r="I1051" s="27">
        <v>0</v>
      </c>
      <c r="J1051" s="27">
        <v>0</v>
      </c>
      <c r="K1051" s="63">
        <f>AVERAGE(I1051:J1051)</f>
        <v>0</v>
      </c>
      <c r="L1051" s="56" t="str">
        <f>"EQP-LAWPACK1"</f>
        <v>EQP-LAWPACK1</v>
      </c>
      <c r="M1051" s="14"/>
      <c r="N1051" s="15"/>
      <c r="O1051" s="12"/>
      <c r="P1051" s="34"/>
      <c r="Q1051" s="37"/>
      <c r="R1051" s="47"/>
      <c r="S1051" s="46"/>
    </row>
    <row r="1052" spans="1:19" ht="15.6" hidden="1" customHeight="1" thickBot="1" x14ac:dyDescent="0.3">
      <c r="A1052" t="s">
        <v>23</v>
      </c>
      <c r="B1052" s="60" t="str">
        <f t="shared" ref="B1052:B1054" si="751">IF(K1052=0,"hide","")</f>
        <v>hide</v>
      </c>
      <c r="D1052" s="48" t="str">
        <f>D1051</f>
        <v>105625</v>
      </c>
      <c r="E1052" s="7"/>
      <c r="F1052" s="27">
        <v>0</v>
      </c>
      <c r="G1052" s="27">
        <v>0</v>
      </c>
      <c r="H1052" s="27">
        <v>0</v>
      </c>
      <c r="I1052" s="27">
        <v>0</v>
      </c>
      <c r="J1052" s="27">
        <v>0</v>
      </c>
      <c r="K1052" s="63">
        <f>AVERAGE(I1052:J1052)</f>
        <v>0</v>
      </c>
      <c r="L1052" s="56" t="str">
        <f>"EQP-LAWPACK2"</f>
        <v>EQP-LAWPACK2</v>
      </c>
      <c r="M1052" s="14"/>
      <c r="N1052" s="15"/>
      <c r="O1052" s="12"/>
      <c r="P1052" s="34"/>
      <c r="Q1052" s="37"/>
      <c r="R1052" s="47"/>
      <c r="S1052" s="46"/>
    </row>
    <row r="1053" spans="1:19" ht="15.6" hidden="1" customHeight="1" thickBot="1" x14ac:dyDescent="0.3">
      <c r="A1053" t="s">
        <v>23</v>
      </c>
      <c r="B1053" s="60" t="str">
        <f t="shared" si="751"/>
        <v>hide</v>
      </c>
      <c r="D1053" s="48" t="str">
        <f>D1052</f>
        <v>105625</v>
      </c>
      <c r="E1053" s="7"/>
      <c r="F1053" s="27">
        <v>0</v>
      </c>
      <c r="G1053" s="27">
        <v>0</v>
      </c>
      <c r="H1053" s="27">
        <v>0</v>
      </c>
      <c r="I1053" s="27">
        <v>0</v>
      </c>
      <c r="J1053" s="27">
        <v>0</v>
      </c>
      <c r="K1053" s="63">
        <f>AVERAGE(I1053:J1053)</f>
        <v>0</v>
      </c>
      <c r="L1053" s="56" t="str">
        <f>"SW-COMAS-PACKL"</f>
        <v>SW-COMAS-PACKL</v>
      </c>
      <c r="M1053" s="14"/>
      <c r="N1053" s="15"/>
      <c r="O1053" s="12"/>
      <c r="P1053" s="34"/>
      <c r="Q1053" s="37"/>
      <c r="R1053" s="47"/>
      <c r="S1053" s="46"/>
    </row>
    <row r="1054" spans="1:19" ht="15.6" hidden="1" customHeight="1" thickBot="1" x14ac:dyDescent="0.3">
      <c r="A1054" t="s">
        <v>23</v>
      </c>
      <c r="B1054" s="60" t="str">
        <f t="shared" si="751"/>
        <v>hide</v>
      </c>
      <c r="D1054" s="48" t="str">
        <f>D1053</f>
        <v>105625</v>
      </c>
      <c r="E1054" s="7"/>
      <c r="F1054" s="27">
        <v>0</v>
      </c>
      <c r="G1054" s="27">
        <v>0</v>
      </c>
      <c r="H1054" s="27">
        <v>0</v>
      </c>
      <c r="I1054" s="27">
        <v>0</v>
      </c>
      <c r="J1054" s="27">
        <v>0</v>
      </c>
      <c r="K1054" s="63">
        <f>AVERAGE(I1054:J1054)</f>
        <v>0</v>
      </c>
      <c r="L1054" s="56" t="str">
        <f>"SW-RISER-PACK"</f>
        <v>SW-RISER-PACK</v>
      </c>
      <c r="M1054" s="14"/>
      <c r="N1054" s="15"/>
      <c r="O1054" s="12"/>
      <c r="P1054" s="34"/>
      <c r="Q1054" s="37"/>
      <c r="R1054" s="47"/>
      <c r="S1054" s="46"/>
    </row>
    <row r="1055" spans="1:19" ht="12" hidden="1" customHeight="1" x14ac:dyDescent="0.3">
      <c r="A1055" s="35" t="s">
        <v>908</v>
      </c>
      <c r="B1055" s="49" t="str">
        <f>B1051</f>
        <v>hide</v>
      </c>
      <c r="N1055"/>
      <c r="Q1055" s="33"/>
    </row>
    <row r="1056" spans="1:19" ht="13.8" hidden="1" thickBot="1" x14ac:dyDescent="0.3">
      <c r="A1056" t="s">
        <v>23</v>
      </c>
      <c r="B1056" s="49" t="str">
        <f t="shared" ref="B1056" si="752">B1055</f>
        <v>hide</v>
      </c>
      <c r="D1056" s="58"/>
      <c r="E1056" s="58"/>
      <c r="F1056" s="52">
        <f>SUM(F1051:F1055)</f>
        <v>0</v>
      </c>
      <c r="G1056" s="52">
        <f>SUM(G1051:G1055)</f>
        <v>0</v>
      </c>
      <c r="H1056" s="52">
        <f>SUM(H1051:H1055)</f>
        <v>0</v>
      </c>
      <c r="I1056" s="52">
        <f>SUM(I1051:I1055)</f>
        <v>0</v>
      </c>
      <c r="J1056" s="52">
        <f>SUM(J1051:J1055)</f>
        <v>0</v>
      </c>
      <c r="K1056" s="52"/>
      <c r="L1056" s="51" t="s">
        <v>4</v>
      </c>
      <c r="M1056" s="58"/>
      <c r="N1056" s="58"/>
      <c r="O1056" s="58"/>
      <c r="P1056" s="58"/>
      <c r="Q1056" s="58"/>
      <c r="R1056" s="58"/>
      <c r="S1056" s="58"/>
    </row>
    <row r="1057" spans="1:19" s="59" customFormat="1" ht="18.75" hidden="1" customHeight="1" thickBot="1" x14ac:dyDescent="0.3">
      <c r="A1057" s="59" t="s">
        <v>23</v>
      </c>
      <c r="B1057" s="60" t="str">
        <f t="shared" ref="B1057:B1058" si="753">IF(K1057=0,"hide","")</f>
        <v>hide</v>
      </c>
      <c r="D1057" s="61" t="str">
        <f>"106675"</f>
        <v>106675</v>
      </c>
      <c r="E1057" s="62" t="str">
        <f>"1"</f>
        <v>1</v>
      </c>
      <c r="F1057" s="63">
        <v>140.91666666666666</v>
      </c>
      <c r="G1057" s="63">
        <v>0</v>
      </c>
      <c r="H1057" s="63">
        <v>0</v>
      </c>
      <c r="I1057" s="63">
        <v>0</v>
      </c>
      <c r="J1057" s="63">
        <v>0</v>
      </c>
      <c r="K1057" s="63">
        <f>AVERAGE(I1057:J1057)</f>
        <v>0</v>
      </c>
      <c r="L1057" s="64" t="str">
        <f>"BBLA372  WG Banana Loaf"</f>
        <v>BBLA372  WG Banana Loaf</v>
      </c>
      <c r="M1057" s="65" t="str">
        <f>"72-3.2oz IW "</f>
        <v xml:space="preserve">72-3.2oz IW </v>
      </c>
      <c r="N1057" s="66">
        <v>72</v>
      </c>
      <c r="O1057" s="67" t="str">
        <f>""</f>
        <v/>
      </c>
      <c r="P1057" s="68" t="e">
        <f>1/O1057</f>
        <v>#VALUE!</v>
      </c>
      <c r="Q1057" s="53">
        <v>1</v>
      </c>
      <c r="R1057" s="69">
        <f t="shared" ref="R1057" si="754">1/Q1057</f>
        <v>1</v>
      </c>
      <c r="S1057" s="70">
        <f t="shared" ref="S1057" si="755">R1057*N1057</f>
        <v>72</v>
      </c>
    </row>
    <row r="1058" spans="1:19" ht="15.6" hidden="1" customHeight="1" thickBot="1" x14ac:dyDescent="0.3">
      <c r="A1058" t="s">
        <v>23</v>
      </c>
      <c r="B1058" s="60" t="str">
        <f t="shared" si="753"/>
        <v>hide</v>
      </c>
      <c r="D1058" s="48" t="str">
        <f>D1057</f>
        <v>106675</v>
      </c>
      <c r="E1058" s="7"/>
      <c r="F1058" s="27">
        <v>0</v>
      </c>
      <c r="G1058" s="27">
        <v>0</v>
      </c>
      <c r="H1058" s="27">
        <v>0</v>
      </c>
      <c r="I1058" s="27">
        <v>0</v>
      </c>
      <c r="J1058" s="27">
        <v>0</v>
      </c>
      <c r="K1058" s="63">
        <f>AVERAGE(I1058:J1058)</f>
        <v>0</v>
      </c>
      <c r="L1058" s="56" t="str">
        <f>"EQP-LAWPACK1"</f>
        <v>EQP-LAWPACK1</v>
      </c>
      <c r="M1058" s="14"/>
      <c r="N1058" s="15"/>
      <c r="O1058" s="12"/>
      <c r="P1058" s="34"/>
      <c r="Q1058" s="37"/>
      <c r="R1058" s="47"/>
      <c r="S1058" s="46"/>
    </row>
    <row r="1059" spans="1:19" ht="15.6" hidden="1" customHeight="1" thickBot="1" x14ac:dyDescent="0.3">
      <c r="A1059" t="s">
        <v>23</v>
      </c>
      <c r="B1059" s="60" t="str">
        <f t="shared" ref="B1059:B1061" si="756">IF(K1059=0,"hide","")</f>
        <v>hide</v>
      </c>
      <c r="D1059" s="48" t="str">
        <f>D1058</f>
        <v>106675</v>
      </c>
      <c r="E1059" s="7"/>
      <c r="F1059" s="27">
        <v>0</v>
      </c>
      <c r="G1059" s="27">
        <v>0</v>
      </c>
      <c r="H1059" s="27">
        <v>0</v>
      </c>
      <c r="I1059" s="27">
        <v>0</v>
      </c>
      <c r="J1059" s="27">
        <v>0</v>
      </c>
      <c r="K1059" s="63">
        <f>AVERAGE(I1059:J1059)</f>
        <v>0</v>
      </c>
      <c r="L1059" s="56" t="str">
        <f>"EQP-LAWPACK2"</f>
        <v>EQP-LAWPACK2</v>
      </c>
      <c r="M1059" s="14"/>
      <c r="N1059" s="15"/>
      <c r="O1059" s="12"/>
      <c r="P1059" s="34"/>
      <c r="Q1059" s="37"/>
      <c r="R1059" s="47"/>
      <c r="S1059" s="46"/>
    </row>
    <row r="1060" spans="1:19" ht="15.6" hidden="1" customHeight="1" thickBot="1" x14ac:dyDescent="0.3">
      <c r="A1060" t="s">
        <v>23</v>
      </c>
      <c r="B1060" s="60" t="str">
        <f t="shared" si="756"/>
        <v>hide</v>
      </c>
      <c r="D1060" s="48" t="str">
        <f>D1059</f>
        <v>106675</v>
      </c>
      <c r="E1060" s="7"/>
      <c r="F1060" s="27">
        <v>0</v>
      </c>
      <c r="G1060" s="27">
        <v>0</v>
      </c>
      <c r="H1060" s="27">
        <v>0</v>
      </c>
      <c r="I1060" s="27">
        <v>0</v>
      </c>
      <c r="J1060" s="27">
        <v>0</v>
      </c>
      <c r="K1060" s="63">
        <f>AVERAGE(I1060:J1060)</f>
        <v>0</v>
      </c>
      <c r="L1060" s="56" t="str">
        <f>"SW-COMAS-PACKL"</f>
        <v>SW-COMAS-PACKL</v>
      </c>
      <c r="M1060" s="14"/>
      <c r="N1060" s="15"/>
      <c r="O1060" s="12"/>
      <c r="P1060" s="34"/>
      <c r="Q1060" s="37"/>
      <c r="R1060" s="47"/>
      <c r="S1060" s="46"/>
    </row>
    <row r="1061" spans="1:19" ht="15.6" hidden="1" customHeight="1" thickBot="1" x14ac:dyDescent="0.3">
      <c r="A1061" t="s">
        <v>23</v>
      </c>
      <c r="B1061" s="60" t="str">
        <f t="shared" si="756"/>
        <v>hide</v>
      </c>
      <c r="D1061" s="48" t="str">
        <f>D1060</f>
        <v>106675</v>
      </c>
      <c r="E1061" s="7"/>
      <c r="F1061" s="27">
        <v>0</v>
      </c>
      <c r="G1061" s="27">
        <v>0</v>
      </c>
      <c r="H1061" s="27">
        <v>0</v>
      </c>
      <c r="I1061" s="27">
        <v>0</v>
      </c>
      <c r="J1061" s="27">
        <v>0</v>
      </c>
      <c r="K1061" s="63">
        <f>AVERAGE(I1061:J1061)</f>
        <v>0</v>
      </c>
      <c r="L1061" s="56" t="str">
        <f>"SW-RISER-PACK"</f>
        <v>SW-RISER-PACK</v>
      </c>
      <c r="M1061" s="14"/>
      <c r="N1061" s="15"/>
      <c r="O1061" s="12"/>
      <c r="P1061" s="34"/>
      <c r="Q1061" s="37"/>
      <c r="R1061" s="47"/>
      <c r="S1061" s="46"/>
    </row>
    <row r="1062" spans="1:19" ht="12" hidden="1" customHeight="1" x14ac:dyDescent="0.3">
      <c r="A1062" s="35" t="s">
        <v>908</v>
      </c>
      <c r="B1062" s="49" t="str">
        <f>B1058</f>
        <v>hide</v>
      </c>
      <c r="N1062"/>
      <c r="Q1062" s="33"/>
    </row>
    <row r="1063" spans="1:19" ht="13.8" hidden="1" thickBot="1" x14ac:dyDescent="0.3">
      <c r="A1063" t="s">
        <v>23</v>
      </c>
      <c r="B1063" s="49" t="str">
        <f t="shared" ref="B1063" si="757">B1062</f>
        <v>hide</v>
      </c>
      <c r="D1063" s="58"/>
      <c r="E1063" s="58"/>
      <c r="F1063" s="52">
        <f>SUM(F1058:F1062)</f>
        <v>0</v>
      </c>
      <c r="G1063" s="52">
        <f>SUM(G1058:G1062)</f>
        <v>0</v>
      </c>
      <c r="H1063" s="52">
        <f>SUM(H1058:H1062)</f>
        <v>0</v>
      </c>
      <c r="I1063" s="52">
        <f>SUM(I1058:I1062)</f>
        <v>0</v>
      </c>
      <c r="J1063" s="52">
        <f>SUM(J1058:J1062)</f>
        <v>0</v>
      </c>
      <c r="K1063" s="52"/>
      <c r="L1063" s="51" t="s">
        <v>4</v>
      </c>
      <c r="M1063" s="58"/>
      <c r="N1063" s="58"/>
      <c r="O1063" s="58"/>
      <c r="P1063" s="58"/>
      <c r="Q1063" s="58"/>
      <c r="R1063" s="58"/>
      <c r="S1063" s="58"/>
    </row>
    <row r="1064" spans="1:19" s="59" customFormat="1" ht="18.75" hidden="1" customHeight="1" thickBot="1" x14ac:dyDescent="0.3">
      <c r="A1064" s="59" t="s">
        <v>23</v>
      </c>
      <c r="B1064" s="60" t="str">
        <f t="shared" ref="B1064:B1065" si="758">IF(K1064=0,"hide","")</f>
        <v>hide</v>
      </c>
      <c r="D1064" s="61" t="str">
        <f>"106688"</f>
        <v>106688</v>
      </c>
      <c r="E1064" s="62" t="str">
        <f>"1"</f>
        <v>1</v>
      </c>
      <c r="F1064" s="63">
        <v>149.5</v>
      </c>
      <c r="G1064" s="63">
        <v>176.83333333333334</v>
      </c>
      <c r="H1064" s="63">
        <v>0</v>
      </c>
      <c r="I1064" s="63">
        <v>0</v>
      </c>
      <c r="J1064" s="63">
        <v>0</v>
      </c>
      <c r="K1064" s="63">
        <f>AVERAGE(I1064:J1064)</f>
        <v>0</v>
      </c>
      <c r="L1064" s="64" t="str">
        <f>"ZBLA372  WG Zucchini Carrot Loaf "</f>
        <v xml:space="preserve">ZBLA372  WG Zucchini Carrot Loaf </v>
      </c>
      <c r="M1064" s="65" t="str">
        <f>"72-3.2oz IW "</f>
        <v xml:space="preserve">72-3.2oz IW </v>
      </c>
      <c r="N1064" s="66">
        <v>72</v>
      </c>
      <c r="O1064" s="67" t="str">
        <f>""</f>
        <v/>
      </c>
      <c r="P1064" s="68" t="e">
        <f>1/O1064</f>
        <v>#VALUE!</v>
      </c>
      <c r="Q1064" s="53">
        <v>1</v>
      </c>
      <c r="R1064" s="69">
        <f t="shared" ref="R1064" si="759">1/Q1064</f>
        <v>1</v>
      </c>
      <c r="S1064" s="70">
        <f t="shared" ref="S1064" si="760">R1064*N1064</f>
        <v>72</v>
      </c>
    </row>
    <row r="1065" spans="1:19" ht="15.6" hidden="1" customHeight="1" thickBot="1" x14ac:dyDescent="0.3">
      <c r="A1065" t="s">
        <v>23</v>
      </c>
      <c r="B1065" s="60" t="str">
        <f t="shared" si="758"/>
        <v>hide</v>
      </c>
      <c r="D1065" s="48" t="str">
        <f>D1064</f>
        <v>106688</v>
      </c>
      <c r="E1065" s="7"/>
      <c r="F1065" s="27">
        <v>0</v>
      </c>
      <c r="G1065" s="27">
        <v>0</v>
      </c>
      <c r="H1065" s="27">
        <v>0</v>
      </c>
      <c r="I1065" s="27">
        <v>0</v>
      </c>
      <c r="J1065" s="27">
        <v>0</v>
      </c>
      <c r="K1065" s="63">
        <f>AVERAGE(I1065:J1065)</f>
        <v>0</v>
      </c>
      <c r="L1065" s="56" t="str">
        <f>"EQP-LAWPACK1"</f>
        <v>EQP-LAWPACK1</v>
      </c>
      <c r="M1065" s="14"/>
      <c r="N1065" s="15"/>
      <c r="O1065" s="12"/>
      <c r="P1065" s="34"/>
      <c r="Q1065" s="37"/>
      <c r="R1065" s="47"/>
      <c r="S1065" s="46"/>
    </row>
    <row r="1066" spans="1:19" ht="15.6" hidden="1" customHeight="1" thickBot="1" x14ac:dyDescent="0.3">
      <c r="A1066" t="s">
        <v>23</v>
      </c>
      <c r="B1066" s="60" t="str">
        <f t="shared" ref="B1066:B1068" si="761">IF(K1066=0,"hide","")</f>
        <v>hide</v>
      </c>
      <c r="D1066" s="48" t="str">
        <f>D1065</f>
        <v>106688</v>
      </c>
      <c r="E1066" s="7"/>
      <c r="F1066" s="27">
        <v>0</v>
      </c>
      <c r="G1066" s="27">
        <v>0</v>
      </c>
      <c r="H1066" s="27">
        <v>0</v>
      </c>
      <c r="I1066" s="27">
        <v>0</v>
      </c>
      <c r="J1066" s="27">
        <v>0</v>
      </c>
      <c r="K1066" s="63">
        <f>AVERAGE(I1066:J1066)</f>
        <v>0</v>
      </c>
      <c r="L1066" s="56" t="str">
        <f>"EQP-LAWPACK2"</f>
        <v>EQP-LAWPACK2</v>
      </c>
      <c r="M1066" s="14"/>
      <c r="N1066" s="15"/>
      <c r="O1066" s="12"/>
      <c r="P1066" s="34"/>
      <c r="Q1066" s="37"/>
      <c r="R1066" s="47"/>
      <c r="S1066" s="46"/>
    </row>
    <row r="1067" spans="1:19" ht="15.6" hidden="1" customHeight="1" thickBot="1" x14ac:dyDescent="0.3">
      <c r="A1067" t="s">
        <v>23</v>
      </c>
      <c r="B1067" s="60" t="str">
        <f t="shared" si="761"/>
        <v>hide</v>
      </c>
      <c r="D1067" s="48" t="str">
        <f>D1066</f>
        <v>106688</v>
      </c>
      <c r="E1067" s="7"/>
      <c r="F1067" s="27">
        <v>0</v>
      </c>
      <c r="G1067" s="27">
        <v>0</v>
      </c>
      <c r="H1067" s="27">
        <v>0</v>
      </c>
      <c r="I1067" s="27">
        <v>0</v>
      </c>
      <c r="J1067" s="27">
        <v>0</v>
      </c>
      <c r="K1067" s="63">
        <f>AVERAGE(I1067:J1067)</f>
        <v>0</v>
      </c>
      <c r="L1067" s="56" t="str">
        <f>"SW-COMAS-PACKL"</f>
        <v>SW-COMAS-PACKL</v>
      </c>
      <c r="M1067" s="14"/>
      <c r="N1067" s="15"/>
      <c r="O1067" s="12"/>
      <c r="P1067" s="34"/>
      <c r="Q1067" s="37"/>
      <c r="R1067" s="47"/>
      <c r="S1067" s="46"/>
    </row>
    <row r="1068" spans="1:19" ht="15.6" hidden="1" customHeight="1" thickBot="1" x14ac:dyDescent="0.3">
      <c r="A1068" t="s">
        <v>23</v>
      </c>
      <c r="B1068" s="60" t="str">
        <f t="shared" si="761"/>
        <v>hide</v>
      </c>
      <c r="D1068" s="48" t="str">
        <f>D1067</f>
        <v>106688</v>
      </c>
      <c r="E1068" s="7"/>
      <c r="F1068" s="27">
        <v>0</v>
      </c>
      <c r="G1068" s="27">
        <v>0</v>
      </c>
      <c r="H1068" s="27">
        <v>0</v>
      </c>
      <c r="I1068" s="27">
        <v>0</v>
      </c>
      <c r="J1068" s="27">
        <v>0</v>
      </c>
      <c r="K1068" s="63">
        <f>AVERAGE(I1068:J1068)</f>
        <v>0</v>
      </c>
      <c r="L1068" s="56" t="str">
        <f>"SW-RISER-PACK"</f>
        <v>SW-RISER-PACK</v>
      </c>
      <c r="M1068" s="14"/>
      <c r="N1068" s="15"/>
      <c r="O1068" s="12"/>
      <c r="P1068" s="34"/>
      <c r="Q1068" s="37"/>
      <c r="R1068" s="47"/>
      <c r="S1068" s="46"/>
    </row>
    <row r="1069" spans="1:19" ht="12" hidden="1" customHeight="1" x14ac:dyDescent="0.3">
      <c r="A1069" s="35" t="s">
        <v>908</v>
      </c>
      <c r="B1069" s="49" t="str">
        <f>B1065</f>
        <v>hide</v>
      </c>
      <c r="N1069"/>
      <c r="Q1069" s="33"/>
    </row>
    <row r="1070" spans="1:19" ht="13.8" hidden="1" thickBot="1" x14ac:dyDescent="0.3">
      <c r="A1070" t="s">
        <v>23</v>
      </c>
      <c r="B1070" s="49" t="str">
        <f t="shared" ref="B1070" si="762">B1069</f>
        <v>hide</v>
      </c>
      <c r="D1070" s="58"/>
      <c r="E1070" s="58"/>
      <c r="F1070" s="52">
        <f>SUM(F1065:F1069)</f>
        <v>0</v>
      </c>
      <c r="G1070" s="52">
        <f>SUM(G1065:G1069)</f>
        <v>0</v>
      </c>
      <c r="H1070" s="52">
        <f>SUM(H1065:H1069)</f>
        <v>0</v>
      </c>
      <c r="I1070" s="52">
        <f>SUM(I1065:I1069)</f>
        <v>0</v>
      </c>
      <c r="J1070" s="52">
        <f>SUM(J1065:J1069)</f>
        <v>0</v>
      </c>
      <c r="K1070" s="52"/>
      <c r="L1070" s="51" t="s">
        <v>4</v>
      </c>
      <c r="M1070" s="58"/>
      <c r="N1070" s="58"/>
      <c r="O1070" s="58"/>
      <c r="P1070" s="58"/>
      <c r="Q1070" s="58"/>
      <c r="R1070" s="58"/>
      <c r="S1070" s="58"/>
    </row>
    <row r="1071" spans="1:19" s="59" customFormat="1" ht="18.75" hidden="1" customHeight="1" thickBot="1" x14ac:dyDescent="0.3">
      <c r="A1071" s="59" t="s">
        <v>23</v>
      </c>
      <c r="B1071" s="60" t="str">
        <f t="shared" ref="B1071:B1072" si="763">IF(K1071=0,"hide","")</f>
        <v>hide</v>
      </c>
      <c r="D1071" s="61" t="str">
        <f>"107430"</f>
        <v>107430</v>
      </c>
      <c r="E1071" s="62" t="str">
        <f>"1"</f>
        <v>1</v>
      </c>
      <c r="F1071" s="63">
        <v>252.83333333333334</v>
      </c>
      <c r="G1071" s="63">
        <v>160.91666666666666</v>
      </c>
      <c r="H1071" s="63">
        <v>0</v>
      </c>
      <c r="I1071" s="63">
        <v>0</v>
      </c>
      <c r="J1071" s="63">
        <v>0</v>
      </c>
      <c r="K1071" s="63">
        <f>AVERAGE(I1071:J1071)</f>
        <v>0</v>
      </c>
      <c r="L1071" s="64" t="str">
        <f>"WBB1120  Whole Grain Brownie Bite"</f>
        <v>WBB1120  Whole Grain Brownie Bite</v>
      </c>
      <c r="M1071" s="65" t="str">
        <f>"120-2oz IW"</f>
        <v>120-2oz IW</v>
      </c>
      <c r="N1071" s="66">
        <v>120</v>
      </c>
      <c r="O1071" s="67" t="str">
        <f>""</f>
        <v/>
      </c>
      <c r="P1071" s="68" t="e">
        <f>1/O1071</f>
        <v>#VALUE!</v>
      </c>
      <c r="Q1071" s="53">
        <v>1</v>
      </c>
      <c r="R1071" s="69">
        <f t="shared" ref="R1071" si="764">1/Q1071</f>
        <v>1</v>
      </c>
      <c r="S1071" s="70">
        <f t="shared" ref="S1071" si="765">R1071*N1071</f>
        <v>120</v>
      </c>
    </row>
    <row r="1072" spans="1:19" ht="15.6" hidden="1" customHeight="1" thickBot="1" x14ac:dyDescent="0.3">
      <c r="A1072" t="s">
        <v>23</v>
      </c>
      <c r="B1072" s="60" t="str">
        <f t="shared" si="763"/>
        <v>hide</v>
      </c>
      <c r="D1072" s="48" t="str">
        <f>D1071</f>
        <v>107430</v>
      </c>
      <c r="E1072" s="7"/>
      <c r="F1072" s="27">
        <v>0</v>
      </c>
      <c r="G1072" s="27">
        <v>0</v>
      </c>
      <c r="H1072" s="27">
        <v>0</v>
      </c>
      <c r="I1072" s="27">
        <v>0</v>
      </c>
      <c r="J1072" s="27">
        <v>0</v>
      </c>
      <c r="K1072" s="63">
        <f>AVERAGE(I1072:J1072)</f>
        <v>0</v>
      </c>
      <c r="L1072" s="56" t="str">
        <f>"EQP-LAWPACK1"</f>
        <v>EQP-LAWPACK1</v>
      </c>
      <c r="M1072" s="14"/>
      <c r="N1072" s="15"/>
      <c r="O1072" s="12"/>
      <c r="P1072" s="34"/>
      <c r="Q1072" s="37"/>
      <c r="R1072" s="47"/>
      <c r="S1072" s="46"/>
    </row>
    <row r="1073" spans="1:19" ht="15.6" hidden="1" customHeight="1" thickBot="1" x14ac:dyDescent="0.3">
      <c r="A1073" t="s">
        <v>23</v>
      </c>
      <c r="B1073" s="60" t="str">
        <f t="shared" ref="B1073:B1075" si="766">IF(K1073=0,"hide","")</f>
        <v>hide</v>
      </c>
      <c r="D1073" s="48" t="str">
        <f>D1072</f>
        <v>107430</v>
      </c>
      <c r="E1073" s="7"/>
      <c r="F1073" s="27">
        <v>0</v>
      </c>
      <c r="G1073" s="27">
        <v>0</v>
      </c>
      <c r="H1073" s="27">
        <v>0</v>
      </c>
      <c r="I1073" s="27">
        <v>0</v>
      </c>
      <c r="J1073" s="27">
        <v>0</v>
      </c>
      <c r="K1073" s="63">
        <f>AVERAGE(I1073:J1073)</f>
        <v>0</v>
      </c>
      <c r="L1073" s="56" t="str">
        <f>"EQP-LAWPACK2"</f>
        <v>EQP-LAWPACK2</v>
      </c>
      <c r="M1073" s="14"/>
      <c r="N1073" s="15"/>
      <c r="O1073" s="12"/>
      <c r="P1073" s="34"/>
      <c r="Q1073" s="37"/>
      <c r="R1073" s="47"/>
      <c r="S1073" s="46"/>
    </row>
    <row r="1074" spans="1:19" ht="15.6" hidden="1" customHeight="1" thickBot="1" x14ac:dyDescent="0.3">
      <c r="A1074" t="s">
        <v>23</v>
      </c>
      <c r="B1074" s="60" t="str">
        <f t="shared" si="766"/>
        <v>hide</v>
      </c>
      <c r="D1074" s="48" t="str">
        <f>D1073</f>
        <v>107430</v>
      </c>
      <c r="E1074" s="7"/>
      <c r="F1074" s="27">
        <v>0</v>
      </c>
      <c r="G1074" s="27">
        <v>0</v>
      </c>
      <c r="H1074" s="27">
        <v>0</v>
      </c>
      <c r="I1074" s="27">
        <v>0</v>
      </c>
      <c r="J1074" s="27">
        <v>0</v>
      </c>
      <c r="K1074" s="63">
        <f>AVERAGE(I1074:J1074)</f>
        <v>0</v>
      </c>
      <c r="L1074" s="56" t="str">
        <f>"SW-COMAS-PACKL"</f>
        <v>SW-COMAS-PACKL</v>
      </c>
      <c r="M1074" s="14"/>
      <c r="N1074" s="15"/>
      <c r="O1074" s="12"/>
      <c r="P1074" s="34"/>
      <c r="Q1074" s="37"/>
      <c r="R1074" s="47"/>
      <c r="S1074" s="46"/>
    </row>
    <row r="1075" spans="1:19" ht="15.6" hidden="1" customHeight="1" thickBot="1" x14ac:dyDescent="0.3">
      <c r="A1075" t="s">
        <v>23</v>
      </c>
      <c r="B1075" s="60" t="str">
        <f t="shared" si="766"/>
        <v>hide</v>
      </c>
      <c r="D1075" s="48" t="str">
        <f>D1074</f>
        <v>107430</v>
      </c>
      <c r="E1075" s="7"/>
      <c r="F1075" s="27">
        <v>0</v>
      </c>
      <c r="G1075" s="27">
        <v>0</v>
      </c>
      <c r="H1075" s="27">
        <v>0</v>
      </c>
      <c r="I1075" s="27">
        <v>0</v>
      </c>
      <c r="J1075" s="27">
        <v>0</v>
      </c>
      <c r="K1075" s="63">
        <f>AVERAGE(I1075:J1075)</f>
        <v>0</v>
      </c>
      <c r="L1075" s="56" t="str">
        <f>"SW-RISER-PACK"</f>
        <v>SW-RISER-PACK</v>
      </c>
      <c r="M1075" s="14"/>
      <c r="N1075" s="15"/>
      <c r="O1075" s="12"/>
      <c r="P1075" s="34"/>
      <c r="Q1075" s="37"/>
      <c r="R1075" s="47"/>
      <c r="S1075" s="46"/>
    </row>
    <row r="1076" spans="1:19" ht="12" hidden="1" customHeight="1" x14ac:dyDescent="0.3">
      <c r="A1076" s="35" t="s">
        <v>908</v>
      </c>
      <c r="B1076" s="49" t="str">
        <f>B1072</f>
        <v>hide</v>
      </c>
      <c r="N1076"/>
      <c r="Q1076" s="33"/>
    </row>
    <row r="1077" spans="1:19" ht="13.8" hidden="1" thickBot="1" x14ac:dyDescent="0.3">
      <c r="A1077" t="s">
        <v>23</v>
      </c>
      <c r="B1077" s="49" t="str">
        <f t="shared" ref="B1077" si="767">B1076</f>
        <v>hide</v>
      </c>
      <c r="D1077" s="58"/>
      <c r="E1077" s="58"/>
      <c r="F1077" s="52">
        <f>SUM(F1072:F1076)</f>
        <v>0</v>
      </c>
      <c r="G1077" s="52">
        <f>SUM(G1072:G1076)</f>
        <v>0</v>
      </c>
      <c r="H1077" s="52">
        <f>SUM(H1072:H1076)</f>
        <v>0</v>
      </c>
      <c r="I1077" s="52">
        <f>SUM(I1072:I1076)</f>
        <v>0</v>
      </c>
      <c r="J1077" s="52">
        <f>SUM(J1072:J1076)</f>
        <v>0</v>
      </c>
      <c r="K1077" s="52"/>
      <c r="L1077" s="51" t="s">
        <v>4</v>
      </c>
      <c r="M1077" s="58"/>
      <c r="N1077" s="58"/>
      <c r="O1077" s="58"/>
      <c r="P1077" s="58"/>
      <c r="Q1077" s="58"/>
      <c r="R1077" s="58"/>
      <c r="S1077" s="58"/>
    </row>
    <row r="1078" spans="1:19" s="59" customFormat="1" ht="18.75" hidden="1" customHeight="1" thickBot="1" x14ac:dyDescent="0.3">
      <c r="A1078" s="59" t="s">
        <v>23</v>
      </c>
      <c r="B1078" s="60" t="str">
        <f t="shared" ref="B1078:B1079" si="768">IF(K1078=0,"hide","")</f>
        <v>hide</v>
      </c>
      <c r="D1078" s="61" t="str">
        <f>"109658"</f>
        <v>109658</v>
      </c>
      <c r="E1078" s="62" t="str">
        <f>"2"</f>
        <v>2</v>
      </c>
      <c r="F1078" s="63">
        <v>51.083333333333336</v>
      </c>
      <c r="G1078" s="63">
        <v>67.249999999999986</v>
      </c>
      <c r="H1078" s="63">
        <v>0</v>
      </c>
      <c r="I1078" s="63">
        <v>0</v>
      </c>
      <c r="J1078" s="63">
        <v>0</v>
      </c>
      <c r="K1078" s="63">
        <f>AVERAGE(I1078:J1078)</f>
        <v>0</v>
      </c>
      <c r="L1078" s="64" t="str">
        <f>"WMSTW248  Whole Grain Simply Strawberry Muffin 2G "</f>
        <v xml:space="preserve">WMSTW248  Whole Grain Simply Strawberry Muffin 2G </v>
      </c>
      <c r="M1078" s="65" t="str">
        <f>"48-3.2oz IW"</f>
        <v>48-3.2oz IW</v>
      </c>
      <c r="N1078" s="66">
        <v>48</v>
      </c>
      <c r="O1078" s="67" t="str">
        <f>""</f>
        <v/>
      </c>
      <c r="P1078" s="68" t="e">
        <f>1/O1078</f>
        <v>#VALUE!</v>
      </c>
      <c r="Q1078" s="53">
        <v>1</v>
      </c>
      <c r="R1078" s="69">
        <f t="shared" ref="R1078" si="769">1/Q1078</f>
        <v>1</v>
      </c>
      <c r="S1078" s="70">
        <f t="shared" ref="S1078" si="770">R1078*N1078</f>
        <v>48</v>
      </c>
    </row>
    <row r="1079" spans="1:19" ht="15.6" hidden="1" customHeight="1" thickBot="1" x14ac:dyDescent="0.3">
      <c r="A1079" t="s">
        <v>23</v>
      </c>
      <c r="B1079" s="60" t="str">
        <f t="shared" si="768"/>
        <v>hide</v>
      </c>
      <c r="D1079" s="48" t="str">
        <f>D1078</f>
        <v>109658</v>
      </c>
      <c r="E1079" s="7"/>
      <c r="F1079" s="27">
        <v>0</v>
      </c>
      <c r="G1079" s="27">
        <v>0</v>
      </c>
      <c r="H1079" s="27">
        <v>0</v>
      </c>
      <c r="I1079" s="27">
        <v>0</v>
      </c>
      <c r="J1079" s="27">
        <v>0</v>
      </c>
      <c r="K1079" s="63">
        <f>AVERAGE(I1079:J1079)</f>
        <v>0</v>
      </c>
      <c r="L1079" s="56" t="str">
        <f>"EQP-LAWPACK1"</f>
        <v>EQP-LAWPACK1</v>
      </c>
      <c r="M1079" s="14"/>
      <c r="N1079" s="15"/>
      <c r="O1079" s="12"/>
      <c r="P1079" s="34"/>
      <c r="Q1079" s="37"/>
      <c r="R1079" s="47"/>
      <c r="S1079" s="46"/>
    </row>
    <row r="1080" spans="1:19" ht="15.6" hidden="1" customHeight="1" thickBot="1" x14ac:dyDescent="0.3">
      <c r="A1080" t="s">
        <v>23</v>
      </c>
      <c r="B1080" s="60" t="str">
        <f t="shared" ref="B1080:B1082" si="771">IF(K1080=0,"hide","")</f>
        <v>hide</v>
      </c>
      <c r="D1080" s="48" t="str">
        <f>D1079</f>
        <v>109658</v>
      </c>
      <c r="E1080" s="7"/>
      <c r="F1080" s="27">
        <v>0</v>
      </c>
      <c r="G1080" s="27">
        <v>0</v>
      </c>
      <c r="H1080" s="27">
        <v>0</v>
      </c>
      <c r="I1080" s="27">
        <v>0</v>
      </c>
      <c r="J1080" s="27">
        <v>0</v>
      </c>
      <c r="K1080" s="63">
        <f>AVERAGE(I1080:J1080)</f>
        <v>0</v>
      </c>
      <c r="L1080" s="56" t="str">
        <f>"EQP-LAWPACK2"</f>
        <v>EQP-LAWPACK2</v>
      </c>
      <c r="M1080" s="14"/>
      <c r="N1080" s="15"/>
      <c r="O1080" s="12"/>
      <c r="P1080" s="34"/>
      <c r="Q1080" s="37"/>
      <c r="R1080" s="47"/>
      <c r="S1080" s="46"/>
    </row>
    <row r="1081" spans="1:19" ht="15.6" hidden="1" customHeight="1" thickBot="1" x14ac:dyDescent="0.3">
      <c r="A1081" t="s">
        <v>23</v>
      </c>
      <c r="B1081" s="60" t="str">
        <f t="shared" si="771"/>
        <v>hide</v>
      </c>
      <c r="D1081" s="48" t="str">
        <f>D1080</f>
        <v>109658</v>
      </c>
      <c r="E1081" s="7"/>
      <c r="F1081" s="27">
        <v>0</v>
      </c>
      <c r="G1081" s="27">
        <v>0</v>
      </c>
      <c r="H1081" s="27">
        <v>0</v>
      </c>
      <c r="I1081" s="27">
        <v>0</v>
      </c>
      <c r="J1081" s="27">
        <v>0</v>
      </c>
      <c r="K1081" s="63">
        <f>AVERAGE(I1081:J1081)</f>
        <v>0</v>
      </c>
      <c r="L1081" s="56" t="str">
        <f>"SW-COMAS-PACKL"</f>
        <v>SW-COMAS-PACKL</v>
      </c>
      <c r="M1081" s="14"/>
      <c r="N1081" s="15"/>
      <c r="O1081" s="12"/>
      <c r="P1081" s="34"/>
      <c r="Q1081" s="37"/>
      <c r="R1081" s="47"/>
      <c r="S1081" s="46"/>
    </row>
    <row r="1082" spans="1:19" ht="15.6" hidden="1" customHeight="1" thickBot="1" x14ac:dyDescent="0.3">
      <c r="A1082" t="s">
        <v>23</v>
      </c>
      <c r="B1082" s="60" t="str">
        <f t="shared" si="771"/>
        <v>hide</v>
      </c>
      <c r="D1082" s="48" t="str">
        <f>D1081</f>
        <v>109658</v>
      </c>
      <c r="E1082" s="7"/>
      <c r="F1082" s="27">
        <v>0</v>
      </c>
      <c r="G1082" s="27">
        <v>0</v>
      </c>
      <c r="H1082" s="27">
        <v>0</v>
      </c>
      <c r="I1082" s="27">
        <v>0</v>
      </c>
      <c r="J1082" s="27">
        <v>0</v>
      </c>
      <c r="K1082" s="63">
        <f>AVERAGE(I1082:J1082)</f>
        <v>0</v>
      </c>
      <c r="L1082" s="56" t="str">
        <f>"SW-RISER-PACK"</f>
        <v>SW-RISER-PACK</v>
      </c>
      <c r="M1082" s="14"/>
      <c r="N1082" s="15"/>
      <c r="O1082" s="12"/>
      <c r="P1082" s="34"/>
      <c r="Q1082" s="37"/>
      <c r="R1082" s="47"/>
      <c r="S1082" s="46"/>
    </row>
    <row r="1083" spans="1:19" ht="12" hidden="1" customHeight="1" x14ac:dyDescent="0.3">
      <c r="A1083" s="35" t="s">
        <v>908</v>
      </c>
      <c r="B1083" s="49" t="str">
        <f>B1079</f>
        <v>hide</v>
      </c>
      <c r="N1083"/>
      <c r="Q1083" s="33"/>
    </row>
    <row r="1084" spans="1:19" ht="13.8" hidden="1" thickBot="1" x14ac:dyDescent="0.3">
      <c r="A1084" t="s">
        <v>23</v>
      </c>
      <c r="B1084" s="49" t="str">
        <f t="shared" ref="B1084" si="772">B1083</f>
        <v>hide</v>
      </c>
      <c r="D1084" s="58"/>
      <c r="E1084" s="58"/>
      <c r="F1084" s="52">
        <f>SUM(F1079:F1083)</f>
        <v>0</v>
      </c>
      <c r="G1084" s="52">
        <f>SUM(G1079:G1083)</f>
        <v>0</v>
      </c>
      <c r="H1084" s="52">
        <f>SUM(H1079:H1083)</f>
        <v>0</v>
      </c>
      <c r="I1084" s="52">
        <f>SUM(I1079:I1083)</f>
        <v>0</v>
      </c>
      <c r="J1084" s="52">
        <f>SUM(J1079:J1083)</f>
        <v>0</v>
      </c>
      <c r="K1084" s="52"/>
      <c r="L1084" s="51" t="s">
        <v>4</v>
      </c>
      <c r="M1084" s="58"/>
      <c r="N1084" s="58"/>
      <c r="O1084" s="58"/>
      <c r="P1084" s="58"/>
      <c r="Q1084" s="58"/>
      <c r="R1084" s="58"/>
      <c r="S1084" s="58"/>
    </row>
    <row r="1085" spans="1:19" s="59" customFormat="1" ht="18.75" hidden="1" customHeight="1" thickBot="1" x14ac:dyDescent="0.3">
      <c r="A1085" s="59" t="s">
        <v>23</v>
      </c>
      <c r="B1085" s="60" t="str">
        <f t="shared" ref="B1085:B1086" si="773">IF(K1085=0,"hide","")</f>
        <v>hide</v>
      </c>
      <c r="D1085" s="61" t="str">
        <f>"109770"</f>
        <v>109770</v>
      </c>
      <c r="E1085" s="62" t="str">
        <f>"2"</f>
        <v>2</v>
      </c>
      <c r="F1085" s="63">
        <v>285.83333333333331</v>
      </c>
      <c r="G1085" s="63">
        <v>0</v>
      </c>
      <c r="H1085" s="63">
        <v>0</v>
      </c>
      <c r="I1085" s="63">
        <v>0</v>
      </c>
      <c r="J1085" s="63">
        <v>0</v>
      </c>
      <c r="K1085" s="63">
        <f>AVERAGE(I1085:J1085)</f>
        <v>0</v>
      </c>
      <c r="L1085" s="64" t="str">
        <f>"F5697  WG Chocolate Chip Muffin"</f>
        <v>F5697  WG Chocolate Chip Muffin</v>
      </c>
      <c r="M1085" s="65" t="str">
        <f>"48-3.2oz IW "</f>
        <v xml:space="preserve">48-3.2oz IW </v>
      </c>
      <c r="N1085" s="66">
        <v>48</v>
      </c>
      <c r="O1085" s="67" t="str">
        <f>""</f>
        <v/>
      </c>
      <c r="P1085" s="68" t="e">
        <f>1/O1085</f>
        <v>#VALUE!</v>
      </c>
      <c r="Q1085" s="53">
        <v>1</v>
      </c>
      <c r="R1085" s="69">
        <f t="shared" ref="R1085" si="774">1/Q1085</f>
        <v>1</v>
      </c>
      <c r="S1085" s="70">
        <f t="shared" ref="S1085" si="775">R1085*N1085</f>
        <v>48</v>
      </c>
    </row>
    <row r="1086" spans="1:19" ht="15.6" hidden="1" customHeight="1" thickBot="1" x14ac:dyDescent="0.3">
      <c r="A1086" t="s">
        <v>23</v>
      </c>
      <c r="B1086" s="60" t="str">
        <f t="shared" si="773"/>
        <v>hide</v>
      </c>
      <c r="D1086" s="48" t="str">
        <f>D1085</f>
        <v>109770</v>
      </c>
      <c r="E1086" s="7"/>
      <c r="F1086" s="27">
        <v>0</v>
      </c>
      <c r="G1086" s="27">
        <v>0</v>
      </c>
      <c r="H1086" s="27">
        <v>0</v>
      </c>
      <c r="I1086" s="27">
        <v>0</v>
      </c>
      <c r="J1086" s="27">
        <v>0</v>
      </c>
      <c r="K1086" s="63">
        <f>AVERAGE(I1086:J1086)</f>
        <v>0</v>
      </c>
      <c r="L1086" s="56" t="str">
        <f>"EQP-LAWPACK1"</f>
        <v>EQP-LAWPACK1</v>
      </c>
      <c r="M1086" s="14"/>
      <c r="N1086" s="15"/>
      <c r="O1086" s="12"/>
      <c r="P1086" s="34"/>
      <c r="Q1086" s="37"/>
      <c r="R1086" s="47"/>
      <c r="S1086" s="46"/>
    </row>
    <row r="1087" spans="1:19" ht="15.6" hidden="1" customHeight="1" thickBot="1" x14ac:dyDescent="0.3">
      <c r="A1087" t="s">
        <v>23</v>
      </c>
      <c r="B1087" s="60" t="str">
        <f t="shared" ref="B1087:B1089" si="776">IF(K1087=0,"hide","")</f>
        <v>hide</v>
      </c>
      <c r="D1087" s="48" t="str">
        <f>D1086</f>
        <v>109770</v>
      </c>
      <c r="E1087" s="7"/>
      <c r="F1087" s="27">
        <v>0</v>
      </c>
      <c r="G1087" s="27">
        <v>0</v>
      </c>
      <c r="H1087" s="27">
        <v>0</v>
      </c>
      <c r="I1087" s="27">
        <v>0</v>
      </c>
      <c r="J1087" s="27">
        <v>0</v>
      </c>
      <c r="K1087" s="63">
        <f>AVERAGE(I1087:J1087)</f>
        <v>0</v>
      </c>
      <c r="L1087" s="56" t="str">
        <f>"EQP-LAWPACK2"</f>
        <v>EQP-LAWPACK2</v>
      </c>
      <c r="M1087" s="14"/>
      <c r="N1087" s="15"/>
      <c r="O1087" s="12"/>
      <c r="P1087" s="34"/>
      <c r="Q1087" s="37"/>
      <c r="R1087" s="47"/>
      <c r="S1087" s="46"/>
    </row>
    <row r="1088" spans="1:19" ht="15.6" hidden="1" customHeight="1" thickBot="1" x14ac:dyDescent="0.3">
      <c r="A1088" t="s">
        <v>23</v>
      </c>
      <c r="B1088" s="60" t="str">
        <f t="shared" si="776"/>
        <v>hide</v>
      </c>
      <c r="D1088" s="48" t="str">
        <f>D1087</f>
        <v>109770</v>
      </c>
      <c r="E1088" s="7"/>
      <c r="F1088" s="27">
        <v>0</v>
      </c>
      <c r="G1088" s="27">
        <v>0</v>
      </c>
      <c r="H1088" s="27">
        <v>0</v>
      </c>
      <c r="I1088" s="27">
        <v>0</v>
      </c>
      <c r="J1088" s="27">
        <v>0</v>
      </c>
      <c r="K1088" s="63">
        <f>AVERAGE(I1088:J1088)</f>
        <v>0</v>
      </c>
      <c r="L1088" s="56" t="str">
        <f>"SW-COMAS-PACKL"</f>
        <v>SW-COMAS-PACKL</v>
      </c>
      <c r="M1088" s="14"/>
      <c r="N1088" s="15"/>
      <c r="O1088" s="12"/>
      <c r="P1088" s="34"/>
      <c r="Q1088" s="37"/>
      <c r="R1088" s="47"/>
      <c r="S1088" s="46"/>
    </row>
    <row r="1089" spans="1:19" ht="15.6" hidden="1" customHeight="1" thickBot="1" x14ac:dyDescent="0.3">
      <c r="A1089" t="s">
        <v>23</v>
      </c>
      <c r="B1089" s="60" t="str">
        <f t="shared" si="776"/>
        <v>hide</v>
      </c>
      <c r="D1089" s="48" t="str">
        <f>D1088</f>
        <v>109770</v>
      </c>
      <c r="E1089" s="7"/>
      <c r="F1089" s="27">
        <v>0</v>
      </c>
      <c r="G1089" s="27">
        <v>0</v>
      </c>
      <c r="H1089" s="27">
        <v>0</v>
      </c>
      <c r="I1089" s="27">
        <v>0</v>
      </c>
      <c r="J1089" s="27">
        <v>0</v>
      </c>
      <c r="K1089" s="63">
        <f>AVERAGE(I1089:J1089)</f>
        <v>0</v>
      </c>
      <c r="L1089" s="56" t="str">
        <f>"SW-RISER-PACK"</f>
        <v>SW-RISER-PACK</v>
      </c>
      <c r="M1089" s="14"/>
      <c r="N1089" s="15"/>
      <c r="O1089" s="12"/>
      <c r="P1089" s="34"/>
      <c r="Q1089" s="37"/>
      <c r="R1089" s="47"/>
      <c r="S1089" s="46"/>
    </row>
    <row r="1090" spans="1:19" ht="12" hidden="1" customHeight="1" x14ac:dyDescent="0.3">
      <c r="A1090" s="35" t="s">
        <v>908</v>
      </c>
      <c r="B1090" s="49" t="str">
        <f>B1086</f>
        <v>hide</v>
      </c>
      <c r="N1090"/>
      <c r="Q1090" s="33"/>
    </row>
    <row r="1091" spans="1:19" ht="13.8" hidden="1" thickBot="1" x14ac:dyDescent="0.3">
      <c r="A1091" t="s">
        <v>23</v>
      </c>
      <c r="B1091" s="49" t="str">
        <f t="shared" ref="B1091" si="777">B1090</f>
        <v>hide</v>
      </c>
      <c r="D1091" s="58"/>
      <c r="E1091" s="58"/>
      <c r="F1091" s="52">
        <f>SUM(F1086:F1090)</f>
        <v>0</v>
      </c>
      <c r="G1091" s="52">
        <f>SUM(G1086:G1090)</f>
        <v>0</v>
      </c>
      <c r="H1091" s="52">
        <f>SUM(H1086:H1090)</f>
        <v>0</v>
      </c>
      <c r="I1091" s="52">
        <f>SUM(I1086:I1090)</f>
        <v>0</v>
      </c>
      <c r="J1091" s="52">
        <f>SUM(J1086:J1090)</f>
        <v>0</v>
      </c>
      <c r="K1091" s="52"/>
      <c r="L1091" s="51" t="s">
        <v>4</v>
      </c>
      <c r="M1091" s="58"/>
      <c r="N1091" s="58"/>
      <c r="O1091" s="58"/>
      <c r="P1091" s="58"/>
      <c r="Q1091" s="58"/>
      <c r="R1091" s="58"/>
      <c r="S1091" s="58"/>
    </row>
    <row r="1092" spans="1:19" s="59" customFormat="1" ht="18.75" customHeight="1" thickBot="1" x14ac:dyDescent="0.3">
      <c r="A1092" s="59" t="s">
        <v>23</v>
      </c>
      <c r="B1092" s="60" t="str">
        <f t="shared" ref="B1092:B1093" si="778">IF(K1092=0,"hide","")</f>
        <v/>
      </c>
      <c r="D1092" s="61" t="str">
        <f>"11051"</f>
        <v>11051</v>
      </c>
      <c r="E1092" s="62" t="str">
        <f>"1"</f>
        <v>1</v>
      </c>
      <c r="F1092" s="63">
        <v>0</v>
      </c>
      <c r="G1092" s="63">
        <v>0</v>
      </c>
      <c r="H1092" s="63">
        <v>0</v>
      </c>
      <c r="I1092" s="63">
        <v>0</v>
      </c>
      <c r="J1092" s="63">
        <v>360.60337349397594</v>
      </c>
      <c r="K1092" s="63">
        <f>AVERAGE(I1092:J1092)</f>
        <v>180.30168674698797</v>
      </c>
      <c r="L1092" s="64" t="str">
        <f>"WG Clean Label Banana Mini Muffin"</f>
        <v>WG Clean Label Banana Mini Muffin</v>
      </c>
      <c r="M1092" s="65" t="str">
        <f>"192-1 oz. 8-24 pack"</f>
        <v>192-1 oz. 8-24 pack</v>
      </c>
      <c r="N1092" s="66">
        <v>192</v>
      </c>
      <c r="O1092" s="67" t="str">
        <f>""</f>
        <v/>
      </c>
      <c r="P1092" s="68" t="e">
        <f>1/O1092</f>
        <v>#VALUE!</v>
      </c>
      <c r="Q1092" s="53">
        <v>1</v>
      </c>
      <c r="R1092" s="69">
        <f t="shared" ref="R1092" si="779">1/Q1092</f>
        <v>1</v>
      </c>
      <c r="S1092" s="70">
        <f t="shared" ref="S1092" si="780">R1092*N1092</f>
        <v>192</v>
      </c>
    </row>
    <row r="1093" spans="1:19" ht="15.6" hidden="1" customHeight="1" thickBot="1" x14ac:dyDescent="0.3">
      <c r="A1093" t="s">
        <v>23</v>
      </c>
      <c r="B1093" s="60" t="str">
        <f t="shared" si="778"/>
        <v>hide</v>
      </c>
      <c r="D1093" s="48" t="str">
        <f>D1092</f>
        <v>11051</v>
      </c>
      <c r="E1093" s="7"/>
      <c r="F1093" s="27">
        <v>0</v>
      </c>
      <c r="G1093" s="27">
        <v>0</v>
      </c>
      <c r="H1093" s="27">
        <v>0</v>
      </c>
      <c r="I1093" s="27">
        <v>0</v>
      </c>
      <c r="J1093" s="27">
        <v>0</v>
      </c>
      <c r="K1093" s="63">
        <f>AVERAGE(I1093:J1093)</f>
        <v>0</v>
      </c>
      <c r="L1093" s="56" t="str">
        <f>"EQP-LAWPACK1"</f>
        <v>EQP-LAWPACK1</v>
      </c>
      <c r="M1093" s="14"/>
      <c r="N1093" s="15"/>
      <c r="O1093" s="12"/>
      <c r="P1093" s="34"/>
      <c r="Q1093" s="37"/>
      <c r="R1093" s="47"/>
      <c r="S1093" s="46"/>
    </row>
    <row r="1094" spans="1:19" ht="15.6" hidden="1" customHeight="1" thickBot="1" x14ac:dyDescent="0.3">
      <c r="A1094" t="s">
        <v>23</v>
      </c>
      <c r="B1094" s="60" t="str">
        <f t="shared" ref="B1094:B1096" si="781">IF(K1094=0,"hide","")</f>
        <v>hide</v>
      </c>
      <c r="D1094" s="48" t="str">
        <f>D1093</f>
        <v>11051</v>
      </c>
      <c r="E1094" s="7"/>
      <c r="F1094" s="27">
        <v>0</v>
      </c>
      <c r="G1094" s="27">
        <v>0</v>
      </c>
      <c r="H1094" s="27">
        <v>0</v>
      </c>
      <c r="I1094" s="27">
        <v>0</v>
      </c>
      <c r="J1094" s="27">
        <v>0</v>
      </c>
      <c r="K1094" s="63">
        <f>AVERAGE(I1094:J1094)</f>
        <v>0</v>
      </c>
      <c r="L1094" s="56" t="str">
        <f>"EQP-LAWPACK2"</f>
        <v>EQP-LAWPACK2</v>
      </c>
      <c r="M1094" s="14"/>
      <c r="N1094" s="15"/>
      <c r="O1094" s="12"/>
      <c r="P1094" s="34"/>
      <c r="Q1094" s="37"/>
      <c r="R1094" s="47"/>
      <c r="S1094" s="46"/>
    </row>
    <row r="1095" spans="1:19" ht="15.6" hidden="1" customHeight="1" thickBot="1" x14ac:dyDescent="0.3">
      <c r="A1095" t="s">
        <v>23</v>
      </c>
      <c r="B1095" s="60" t="str">
        <f t="shared" si="781"/>
        <v>hide</v>
      </c>
      <c r="D1095" s="48" t="str">
        <f>D1094</f>
        <v>11051</v>
      </c>
      <c r="E1095" s="7"/>
      <c r="F1095" s="27">
        <v>0</v>
      </c>
      <c r="G1095" s="27">
        <v>0</v>
      </c>
      <c r="H1095" s="27">
        <v>0</v>
      </c>
      <c r="I1095" s="27">
        <v>0</v>
      </c>
      <c r="J1095" s="27">
        <v>0</v>
      </c>
      <c r="K1095" s="63">
        <f>AVERAGE(I1095:J1095)</f>
        <v>0</v>
      </c>
      <c r="L1095" s="56" t="str">
        <f>"SW-COMAS-PACKL"</f>
        <v>SW-COMAS-PACKL</v>
      </c>
      <c r="M1095" s="14"/>
      <c r="N1095" s="15"/>
      <c r="O1095" s="12"/>
      <c r="P1095" s="34"/>
      <c r="Q1095" s="37"/>
      <c r="R1095" s="47"/>
      <c r="S1095" s="46"/>
    </row>
    <row r="1096" spans="1:19" ht="15.6" hidden="1" customHeight="1" thickBot="1" x14ac:dyDescent="0.3">
      <c r="A1096" t="s">
        <v>23</v>
      </c>
      <c r="B1096" s="60" t="str">
        <f t="shared" si="781"/>
        <v>hide</v>
      </c>
      <c r="D1096" s="48" t="str">
        <f>D1095</f>
        <v>11051</v>
      </c>
      <c r="E1096" s="7"/>
      <c r="F1096" s="27">
        <v>0</v>
      </c>
      <c r="G1096" s="27">
        <v>0</v>
      </c>
      <c r="H1096" s="27">
        <v>0</v>
      </c>
      <c r="I1096" s="27">
        <v>0</v>
      </c>
      <c r="J1096" s="27">
        <v>0</v>
      </c>
      <c r="K1096" s="63">
        <f>AVERAGE(I1096:J1096)</f>
        <v>0</v>
      </c>
      <c r="L1096" s="56" t="str">
        <f>"SW-RISER-PACK"</f>
        <v>SW-RISER-PACK</v>
      </c>
      <c r="M1096" s="14"/>
      <c r="N1096" s="15"/>
      <c r="O1096" s="12"/>
      <c r="P1096" s="34"/>
      <c r="Q1096" s="37"/>
      <c r="R1096" s="47"/>
      <c r="S1096" s="46"/>
    </row>
    <row r="1097" spans="1:19" ht="12" hidden="1" customHeight="1" x14ac:dyDescent="0.3">
      <c r="A1097" s="35" t="s">
        <v>908</v>
      </c>
      <c r="B1097" s="49" t="str">
        <f>B1093</f>
        <v>hide</v>
      </c>
      <c r="N1097"/>
      <c r="Q1097" s="33"/>
    </row>
    <row r="1098" spans="1:19" ht="13.8" hidden="1" thickBot="1" x14ac:dyDescent="0.3">
      <c r="A1098" t="s">
        <v>23</v>
      </c>
      <c r="B1098" s="49" t="str">
        <f t="shared" ref="B1098" si="782">B1097</f>
        <v>hide</v>
      </c>
      <c r="D1098" s="58"/>
      <c r="E1098" s="58"/>
      <c r="F1098" s="52">
        <f>SUM(F1093:F1097)</f>
        <v>0</v>
      </c>
      <c r="G1098" s="52">
        <f>SUM(G1093:G1097)</f>
        <v>0</v>
      </c>
      <c r="H1098" s="52">
        <f>SUM(H1093:H1097)</f>
        <v>0</v>
      </c>
      <c r="I1098" s="52">
        <f>SUM(I1093:I1097)</f>
        <v>0</v>
      </c>
      <c r="J1098" s="52">
        <f>SUM(J1093:J1097)</f>
        <v>0</v>
      </c>
      <c r="K1098" s="52"/>
      <c r="L1098" s="51" t="s">
        <v>4</v>
      </c>
      <c r="M1098" s="58"/>
      <c r="N1098" s="58"/>
      <c r="O1098" s="58"/>
      <c r="P1098" s="58"/>
      <c r="Q1098" s="58"/>
      <c r="R1098" s="58"/>
      <c r="S1098" s="58"/>
    </row>
    <row r="1099" spans="1:19" s="59" customFormat="1" ht="18.75" customHeight="1" thickBot="1" x14ac:dyDescent="0.3">
      <c r="A1099" s="59" t="s">
        <v>23</v>
      </c>
      <c r="B1099" s="60" t="str">
        <f t="shared" ref="B1099:B1100" si="783">IF(K1099=0,"hide","")</f>
        <v/>
      </c>
      <c r="D1099" s="61" t="str">
        <f>"11065"</f>
        <v>11065</v>
      </c>
      <c r="E1099" s="62" t="str">
        <f>"1"</f>
        <v>1</v>
      </c>
      <c r="F1099" s="63">
        <v>0</v>
      </c>
      <c r="G1099" s="63">
        <v>0</v>
      </c>
      <c r="H1099" s="63">
        <v>0</v>
      </c>
      <c r="I1099" s="63">
        <v>0</v>
      </c>
      <c r="J1099" s="63">
        <v>213.51156626506025</v>
      </c>
      <c r="K1099" s="63">
        <f>AVERAGE(I1099:J1099)</f>
        <v>106.75578313253013</v>
      </c>
      <c r="L1099" s="64" t="str">
        <f>"WG Clean Label Mini Cornbread"</f>
        <v>WG Clean Label Mini Cornbread</v>
      </c>
      <c r="M1099" s="65" t="str">
        <f>"192-1 oz. 8-24 pack"</f>
        <v>192-1 oz. 8-24 pack</v>
      </c>
      <c r="N1099" s="66">
        <v>192</v>
      </c>
      <c r="O1099" s="67" t="str">
        <f>""</f>
        <v/>
      </c>
      <c r="P1099" s="68" t="e">
        <f>1/O1099</f>
        <v>#VALUE!</v>
      </c>
      <c r="Q1099" s="53">
        <v>1</v>
      </c>
      <c r="R1099" s="69">
        <f t="shared" ref="R1099" si="784">1/Q1099</f>
        <v>1</v>
      </c>
      <c r="S1099" s="70">
        <f t="shared" ref="S1099" si="785">R1099*N1099</f>
        <v>192</v>
      </c>
    </row>
    <row r="1100" spans="1:19" ht="15.6" hidden="1" customHeight="1" thickBot="1" x14ac:dyDescent="0.3">
      <c r="A1100" t="s">
        <v>23</v>
      </c>
      <c r="B1100" s="60" t="str">
        <f t="shared" si="783"/>
        <v>hide</v>
      </c>
      <c r="D1100" s="48" t="str">
        <f>D1099</f>
        <v>11065</v>
      </c>
      <c r="E1100" s="7"/>
      <c r="F1100" s="27">
        <v>0</v>
      </c>
      <c r="G1100" s="27">
        <v>0</v>
      </c>
      <c r="H1100" s="27">
        <v>0</v>
      </c>
      <c r="I1100" s="27">
        <v>0</v>
      </c>
      <c r="J1100" s="27">
        <v>0</v>
      </c>
      <c r="K1100" s="63">
        <f>AVERAGE(I1100:J1100)</f>
        <v>0</v>
      </c>
      <c r="L1100" s="56" t="str">
        <f>"EQP-LAWPACK1"</f>
        <v>EQP-LAWPACK1</v>
      </c>
      <c r="M1100" s="14"/>
      <c r="N1100" s="15"/>
      <c r="O1100" s="12"/>
      <c r="P1100" s="34"/>
      <c r="Q1100" s="37"/>
      <c r="R1100" s="47"/>
      <c r="S1100" s="46"/>
    </row>
    <row r="1101" spans="1:19" ht="15.6" hidden="1" customHeight="1" thickBot="1" x14ac:dyDescent="0.3">
      <c r="A1101" t="s">
        <v>23</v>
      </c>
      <c r="B1101" s="60" t="str">
        <f t="shared" ref="B1101:B1103" si="786">IF(K1101=0,"hide","")</f>
        <v>hide</v>
      </c>
      <c r="D1101" s="48" t="str">
        <f>D1100</f>
        <v>11065</v>
      </c>
      <c r="E1101" s="7"/>
      <c r="F1101" s="27">
        <v>0</v>
      </c>
      <c r="G1101" s="27">
        <v>0</v>
      </c>
      <c r="H1101" s="27">
        <v>0</v>
      </c>
      <c r="I1101" s="27">
        <v>0</v>
      </c>
      <c r="J1101" s="27">
        <v>0</v>
      </c>
      <c r="K1101" s="63">
        <f>AVERAGE(I1101:J1101)</f>
        <v>0</v>
      </c>
      <c r="L1101" s="56" t="str">
        <f>"EQP-LAWPACK2"</f>
        <v>EQP-LAWPACK2</v>
      </c>
      <c r="M1101" s="14"/>
      <c r="N1101" s="15"/>
      <c r="O1101" s="12"/>
      <c r="P1101" s="34"/>
      <c r="Q1101" s="37"/>
      <c r="R1101" s="47"/>
      <c r="S1101" s="46"/>
    </row>
    <row r="1102" spans="1:19" ht="15.6" hidden="1" customHeight="1" thickBot="1" x14ac:dyDescent="0.3">
      <c r="A1102" t="s">
        <v>23</v>
      </c>
      <c r="B1102" s="60" t="str">
        <f t="shared" si="786"/>
        <v>hide</v>
      </c>
      <c r="D1102" s="48" t="str">
        <f>D1101</f>
        <v>11065</v>
      </c>
      <c r="E1102" s="7"/>
      <c r="F1102" s="27">
        <v>0</v>
      </c>
      <c r="G1102" s="27">
        <v>0</v>
      </c>
      <c r="H1102" s="27">
        <v>0</v>
      </c>
      <c r="I1102" s="27">
        <v>0</v>
      </c>
      <c r="J1102" s="27">
        <v>0</v>
      </c>
      <c r="K1102" s="63">
        <f>AVERAGE(I1102:J1102)</f>
        <v>0</v>
      </c>
      <c r="L1102" s="56" t="str">
        <f>"SW-COMAS-PACKL"</f>
        <v>SW-COMAS-PACKL</v>
      </c>
      <c r="M1102" s="14"/>
      <c r="N1102" s="15"/>
      <c r="O1102" s="12"/>
      <c r="P1102" s="34"/>
      <c r="Q1102" s="37"/>
      <c r="R1102" s="47"/>
      <c r="S1102" s="46"/>
    </row>
    <row r="1103" spans="1:19" ht="15.6" hidden="1" customHeight="1" thickBot="1" x14ac:dyDescent="0.3">
      <c r="A1103" t="s">
        <v>23</v>
      </c>
      <c r="B1103" s="60" t="str">
        <f t="shared" si="786"/>
        <v>hide</v>
      </c>
      <c r="D1103" s="48" t="str">
        <f>D1102</f>
        <v>11065</v>
      </c>
      <c r="E1103" s="7"/>
      <c r="F1103" s="27">
        <v>0</v>
      </c>
      <c r="G1103" s="27">
        <v>0</v>
      </c>
      <c r="H1103" s="27">
        <v>0</v>
      </c>
      <c r="I1103" s="27">
        <v>0</v>
      </c>
      <c r="J1103" s="27">
        <v>0</v>
      </c>
      <c r="K1103" s="63">
        <f>AVERAGE(I1103:J1103)</f>
        <v>0</v>
      </c>
      <c r="L1103" s="56" t="str">
        <f>"SW-RISER-PACK"</f>
        <v>SW-RISER-PACK</v>
      </c>
      <c r="M1103" s="14"/>
      <c r="N1103" s="15"/>
      <c r="O1103" s="12"/>
      <c r="P1103" s="34"/>
      <c r="Q1103" s="37"/>
      <c r="R1103" s="47"/>
      <c r="S1103" s="46"/>
    </row>
    <row r="1104" spans="1:19" ht="12" hidden="1" customHeight="1" x14ac:dyDescent="0.3">
      <c r="A1104" s="35" t="s">
        <v>908</v>
      </c>
      <c r="B1104" s="49" t="str">
        <f>B1100</f>
        <v>hide</v>
      </c>
      <c r="N1104"/>
      <c r="Q1104" s="33"/>
    </row>
    <row r="1105" spans="1:19" ht="13.8" hidden="1" thickBot="1" x14ac:dyDescent="0.3">
      <c r="A1105" t="s">
        <v>23</v>
      </c>
      <c r="B1105" s="49" t="str">
        <f t="shared" ref="B1105" si="787">B1104</f>
        <v>hide</v>
      </c>
      <c r="D1105" s="58"/>
      <c r="E1105" s="58"/>
      <c r="F1105" s="52">
        <f>SUM(F1100:F1104)</f>
        <v>0</v>
      </c>
      <c r="G1105" s="52">
        <f>SUM(G1100:G1104)</f>
        <v>0</v>
      </c>
      <c r="H1105" s="52">
        <f>SUM(H1100:H1104)</f>
        <v>0</v>
      </c>
      <c r="I1105" s="52">
        <f>SUM(I1100:I1104)</f>
        <v>0</v>
      </c>
      <c r="J1105" s="52">
        <f>SUM(J1100:J1104)</f>
        <v>0</v>
      </c>
      <c r="K1105" s="52"/>
      <c r="L1105" s="51" t="s">
        <v>4</v>
      </c>
      <c r="M1105" s="58"/>
      <c r="N1105" s="58"/>
      <c r="O1105" s="58"/>
      <c r="P1105" s="58"/>
      <c r="Q1105" s="58"/>
      <c r="R1105" s="58"/>
      <c r="S1105" s="58"/>
    </row>
    <row r="1106" spans="1:19" s="59" customFormat="1" ht="18.75" customHeight="1" thickBot="1" x14ac:dyDescent="0.3">
      <c r="A1106" s="59" t="s">
        <v>23</v>
      </c>
      <c r="B1106" s="60" t="str">
        <f t="shared" ref="B1106:B1107" si="788">IF(K1106=0,"hide","")</f>
        <v/>
      </c>
      <c r="D1106" s="61" t="str">
        <f>"11068"</f>
        <v>11068</v>
      </c>
      <c r="E1106" s="62" t="str">
        <f>"1"</f>
        <v>1</v>
      </c>
      <c r="F1106" s="63">
        <v>0</v>
      </c>
      <c r="G1106" s="63">
        <v>0</v>
      </c>
      <c r="H1106" s="63">
        <v>0</v>
      </c>
      <c r="I1106" s="63">
        <v>1213.5</v>
      </c>
      <c r="J1106" s="63">
        <v>1694.7949397590364</v>
      </c>
      <c r="K1106" s="63">
        <f>AVERAGE(I1106:J1106)</f>
        <v>1454.1474698795182</v>
      </c>
      <c r="L1106" s="64" t="str">
        <f>"Apple Zucchini Mini Muffin"</f>
        <v>Apple Zucchini Mini Muffin</v>
      </c>
      <c r="M1106" s="65" t="str">
        <f>"192-1 oz. 8-24 pack"</f>
        <v>192-1 oz. 8-24 pack</v>
      </c>
      <c r="N1106" s="66">
        <v>192</v>
      </c>
      <c r="O1106" s="67" t="str">
        <f>""</f>
        <v/>
      </c>
      <c r="P1106" s="68" t="e">
        <f>1/O1106</f>
        <v>#VALUE!</v>
      </c>
      <c r="Q1106" s="53">
        <v>1</v>
      </c>
      <c r="R1106" s="69">
        <f t="shared" ref="R1106" si="789">1/Q1106</f>
        <v>1</v>
      </c>
      <c r="S1106" s="70">
        <f t="shared" ref="S1106" si="790">R1106*N1106</f>
        <v>192</v>
      </c>
    </row>
    <row r="1107" spans="1:19" ht="15.6" hidden="1" customHeight="1" thickBot="1" x14ac:dyDescent="0.3">
      <c r="A1107" t="s">
        <v>23</v>
      </c>
      <c r="B1107" s="60" t="str">
        <f t="shared" si="788"/>
        <v>hide</v>
      </c>
      <c r="D1107" s="48" t="str">
        <f>D1106</f>
        <v>11068</v>
      </c>
      <c r="E1107" s="7"/>
      <c r="F1107" s="27">
        <v>0</v>
      </c>
      <c r="G1107" s="27">
        <v>0</v>
      </c>
      <c r="H1107" s="27">
        <v>0</v>
      </c>
      <c r="I1107" s="27">
        <v>0</v>
      </c>
      <c r="J1107" s="27">
        <v>0</v>
      </c>
      <c r="K1107" s="63">
        <f>AVERAGE(I1107:J1107)</f>
        <v>0</v>
      </c>
      <c r="L1107" s="56" t="str">
        <f>"EQP-LAWPACK1"</f>
        <v>EQP-LAWPACK1</v>
      </c>
      <c r="M1107" s="14"/>
      <c r="N1107" s="15"/>
      <c r="O1107" s="12"/>
      <c r="P1107" s="34"/>
      <c r="Q1107" s="37"/>
      <c r="R1107" s="47"/>
      <c r="S1107" s="46"/>
    </row>
    <row r="1108" spans="1:19" ht="15.6" hidden="1" customHeight="1" thickBot="1" x14ac:dyDescent="0.3">
      <c r="A1108" t="s">
        <v>23</v>
      </c>
      <c r="B1108" s="60" t="str">
        <f t="shared" ref="B1108:B1110" si="791">IF(K1108=0,"hide","")</f>
        <v>hide</v>
      </c>
      <c r="D1108" s="48" t="str">
        <f>D1107</f>
        <v>11068</v>
      </c>
      <c r="E1108" s="7"/>
      <c r="F1108" s="27">
        <v>0</v>
      </c>
      <c r="G1108" s="27">
        <v>0</v>
      </c>
      <c r="H1108" s="27">
        <v>0</v>
      </c>
      <c r="I1108" s="27">
        <v>0</v>
      </c>
      <c r="J1108" s="27">
        <v>0</v>
      </c>
      <c r="K1108" s="63">
        <f>AVERAGE(I1108:J1108)</f>
        <v>0</v>
      </c>
      <c r="L1108" s="56" t="str">
        <f>"EQP-LAWPACK2"</f>
        <v>EQP-LAWPACK2</v>
      </c>
      <c r="M1108" s="14"/>
      <c r="N1108" s="15"/>
      <c r="O1108" s="12"/>
      <c r="P1108" s="34"/>
      <c r="Q1108" s="37"/>
      <c r="R1108" s="47"/>
      <c r="S1108" s="46"/>
    </row>
    <row r="1109" spans="1:19" ht="15.6" hidden="1" customHeight="1" thickBot="1" x14ac:dyDescent="0.3">
      <c r="A1109" t="s">
        <v>23</v>
      </c>
      <c r="B1109" s="60" t="str">
        <f t="shared" si="791"/>
        <v>hide</v>
      </c>
      <c r="D1109" s="48" t="str">
        <f>D1108</f>
        <v>11068</v>
      </c>
      <c r="E1109" s="7"/>
      <c r="F1109" s="27">
        <v>0</v>
      </c>
      <c r="G1109" s="27">
        <v>0</v>
      </c>
      <c r="H1109" s="27">
        <v>0</v>
      </c>
      <c r="I1109" s="27">
        <v>0</v>
      </c>
      <c r="J1109" s="27">
        <v>0</v>
      </c>
      <c r="K1109" s="63">
        <f>AVERAGE(I1109:J1109)</f>
        <v>0</v>
      </c>
      <c r="L1109" s="56" t="str">
        <f>"SW-COMAS-PACKL"</f>
        <v>SW-COMAS-PACKL</v>
      </c>
      <c r="M1109" s="14"/>
      <c r="N1109" s="15"/>
      <c r="O1109" s="12"/>
      <c r="P1109" s="34"/>
      <c r="Q1109" s="37"/>
      <c r="R1109" s="47"/>
      <c r="S1109" s="46"/>
    </row>
    <row r="1110" spans="1:19" ht="15.6" hidden="1" customHeight="1" thickBot="1" x14ac:dyDescent="0.3">
      <c r="A1110" t="s">
        <v>23</v>
      </c>
      <c r="B1110" s="60" t="str">
        <f t="shared" si="791"/>
        <v>hide</v>
      </c>
      <c r="D1110" s="48" t="str">
        <f>D1109</f>
        <v>11068</v>
      </c>
      <c r="E1110" s="7"/>
      <c r="F1110" s="27">
        <v>0</v>
      </c>
      <c r="G1110" s="27">
        <v>0</v>
      </c>
      <c r="H1110" s="27">
        <v>0</v>
      </c>
      <c r="I1110" s="27">
        <v>0</v>
      </c>
      <c r="J1110" s="27">
        <v>0</v>
      </c>
      <c r="K1110" s="63">
        <f>AVERAGE(I1110:J1110)</f>
        <v>0</v>
      </c>
      <c r="L1110" s="56" t="str">
        <f>"SW-RISER-PACK"</f>
        <v>SW-RISER-PACK</v>
      </c>
      <c r="M1110" s="14"/>
      <c r="N1110" s="15"/>
      <c r="O1110" s="12"/>
      <c r="P1110" s="34"/>
      <c r="Q1110" s="37"/>
      <c r="R1110" s="47"/>
      <c r="S1110" s="46"/>
    </row>
    <row r="1111" spans="1:19" ht="12" hidden="1" customHeight="1" x14ac:dyDescent="0.3">
      <c r="A1111" s="35" t="s">
        <v>908</v>
      </c>
      <c r="B1111" s="49" t="str">
        <f>B1107</f>
        <v>hide</v>
      </c>
      <c r="N1111"/>
      <c r="Q1111" s="33"/>
    </row>
    <row r="1112" spans="1:19" ht="13.8" hidden="1" thickBot="1" x14ac:dyDescent="0.3">
      <c r="A1112" t="s">
        <v>23</v>
      </c>
      <c r="B1112" s="49" t="str">
        <f t="shared" ref="B1112" si="792">B1111</f>
        <v>hide</v>
      </c>
      <c r="D1112" s="58"/>
      <c r="E1112" s="58"/>
      <c r="F1112" s="52">
        <f>SUM(F1107:F1111)</f>
        <v>0</v>
      </c>
      <c r="G1112" s="52">
        <f>SUM(G1107:G1111)</f>
        <v>0</v>
      </c>
      <c r="H1112" s="52">
        <f>SUM(H1107:H1111)</f>
        <v>0</v>
      </c>
      <c r="I1112" s="52">
        <f>SUM(I1107:I1111)</f>
        <v>0</v>
      </c>
      <c r="J1112" s="52">
        <f>SUM(J1107:J1111)</f>
        <v>0</v>
      </c>
      <c r="K1112" s="52"/>
      <c r="L1112" s="51" t="s">
        <v>4</v>
      </c>
      <c r="M1112" s="58"/>
      <c r="N1112" s="58"/>
      <c r="O1112" s="58"/>
      <c r="P1112" s="58"/>
      <c r="Q1112" s="58"/>
      <c r="R1112" s="58"/>
      <c r="S1112" s="58"/>
    </row>
    <row r="1113" spans="1:19" s="59" customFormat="1" ht="18.75" customHeight="1" thickBot="1" x14ac:dyDescent="0.3">
      <c r="A1113" s="59" t="s">
        <v>23</v>
      </c>
      <c r="B1113" s="60" t="str">
        <f t="shared" ref="B1113:B1114" si="793">IF(K1113=0,"hide","")</f>
        <v/>
      </c>
      <c r="D1113" s="61" t="str">
        <f>"11201"</f>
        <v>11201</v>
      </c>
      <c r="E1113" s="62" t="str">
        <f>"3"</f>
        <v>3</v>
      </c>
      <c r="F1113" s="63">
        <v>238.33333333333334</v>
      </c>
      <c r="G1113" s="63">
        <v>206.75</v>
      </c>
      <c r="H1113" s="63">
        <v>162.16666666666666</v>
      </c>
      <c r="I1113" s="63">
        <v>160.08333333333334</v>
      </c>
      <c r="J1113" s="63">
        <v>78.353493975903618</v>
      </c>
      <c r="K1113" s="63">
        <f>AVERAGE(I1113:J1113)</f>
        <v>119.21841365461847</v>
      </c>
      <c r="L1113" s="64" t="str">
        <f>"Blueberry Muffins"</f>
        <v>Blueberry Muffins</v>
      </c>
      <c r="M1113" s="65" t="str">
        <f>"192-1 oz. 8-24 pack"</f>
        <v>192-1 oz. 8-24 pack</v>
      </c>
      <c r="N1113" s="66">
        <v>192</v>
      </c>
      <c r="O1113" s="67" t="str">
        <f>""</f>
        <v/>
      </c>
      <c r="P1113" s="68" t="e">
        <f>1/O1113</f>
        <v>#VALUE!</v>
      </c>
      <c r="Q1113" s="53">
        <v>1</v>
      </c>
      <c r="R1113" s="69">
        <f t="shared" ref="R1113" si="794">1/Q1113</f>
        <v>1</v>
      </c>
      <c r="S1113" s="70">
        <f t="shared" ref="S1113" si="795">R1113*N1113</f>
        <v>192</v>
      </c>
    </row>
    <row r="1114" spans="1:19" ht="15.6" hidden="1" customHeight="1" thickBot="1" x14ac:dyDescent="0.3">
      <c r="A1114" t="s">
        <v>23</v>
      </c>
      <c r="B1114" s="60" t="str">
        <f t="shared" si="793"/>
        <v>hide</v>
      </c>
      <c r="D1114" s="48" t="str">
        <f>D1113</f>
        <v>11201</v>
      </c>
      <c r="E1114" s="7"/>
      <c r="F1114" s="27">
        <v>0</v>
      </c>
      <c r="G1114" s="27">
        <v>0</v>
      </c>
      <c r="H1114" s="27">
        <v>0</v>
      </c>
      <c r="I1114" s="27">
        <v>0</v>
      </c>
      <c r="J1114" s="27">
        <v>0</v>
      </c>
      <c r="K1114" s="63">
        <f>AVERAGE(I1114:J1114)</f>
        <v>0</v>
      </c>
      <c r="L1114" s="56" t="str">
        <f>"EQP-LAWPACK1"</f>
        <v>EQP-LAWPACK1</v>
      </c>
      <c r="M1114" s="14"/>
      <c r="N1114" s="15"/>
      <c r="O1114" s="12"/>
      <c r="P1114" s="34"/>
      <c r="Q1114" s="37"/>
      <c r="R1114" s="47"/>
      <c r="S1114" s="46"/>
    </row>
    <row r="1115" spans="1:19" ht="15.6" hidden="1" customHeight="1" thickBot="1" x14ac:dyDescent="0.3">
      <c r="A1115" t="s">
        <v>23</v>
      </c>
      <c r="B1115" s="60" t="str">
        <f t="shared" ref="B1115:B1117" si="796">IF(K1115=0,"hide","")</f>
        <v>hide</v>
      </c>
      <c r="D1115" s="48" t="str">
        <f>D1114</f>
        <v>11201</v>
      </c>
      <c r="E1115" s="7"/>
      <c r="F1115" s="27">
        <v>0</v>
      </c>
      <c r="G1115" s="27">
        <v>0</v>
      </c>
      <c r="H1115" s="27">
        <v>0</v>
      </c>
      <c r="I1115" s="27">
        <v>0</v>
      </c>
      <c r="J1115" s="27">
        <v>0</v>
      </c>
      <c r="K1115" s="63">
        <f>AVERAGE(I1115:J1115)</f>
        <v>0</v>
      </c>
      <c r="L1115" s="56" t="str">
        <f>"EQP-LAWPACK2"</f>
        <v>EQP-LAWPACK2</v>
      </c>
      <c r="M1115" s="14"/>
      <c r="N1115" s="15"/>
      <c r="O1115" s="12"/>
      <c r="P1115" s="34"/>
      <c r="Q1115" s="37"/>
      <c r="R1115" s="47"/>
      <c r="S1115" s="46"/>
    </row>
    <row r="1116" spans="1:19" ht="15.6" hidden="1" customHeight="1" thickBot="1" x14ac:dyDescent="0.3">
      <c r="A1116" t="s">
        <v>23</v>
      </c>
      <c r="B1116" s="60" t="str">
        <f t="shared" si="796"/>
        <v>hide</v>
      </c>
      <c r="D1116" s="48" t="str">
        <f>D1115</f>
        <v>11201</v>
      </c>
      <c r="E1116" s="7"/>
      <c r="F1116" s="27">
        <v>0</v>
      </c>
      <c r="G1116" s="27">
        <v>0</v>
      </c>
      <c r="H1116" s="27">
        <v>0</v>
      </c>
      <c r="I1116" s="27">
        <v>0</v>
      </c>
      <c r="J1116" s="27">
        <v>0</v>
      </c>
      <c r="K1116" s="63">
        <f>AVERAGE(I1116:J1116)</f>
        <v>0</v>
      </c>
      <c r="L1116" s="56" t="str">
        <f>"SW-COMAS-PACKL"</f>
        <v>SW-COMAS-PACKL</v>
      </c>
      <c r="M1116" s="14"/>
      <c r="N1116" s="15"/>
      <c r="O1116" s="12"/>
      <c r="P1116" s="34"/>
      <c r="Q1116" s="37"/>
      <c r="R1116" s="47"/>
      <c r="S1116" s="46"/>
    </row>
    <row r="1117" spans="1:19" ht="15.6" hidden="1" customHeight="1" thickBot="1" x14ac:dyDescent="0.3">
      <c r="A1117" t="s">
        <v>23</v>
      </c>
      <c r="B1117" s="60" t="str">
        <f t="shared" si="796"/>
        <v>hide</v>
      </c>
      <c r="D1117" s="48" t="str">
        <f>D1116</f>
        <v>11201</v>
      </c>
      <c r="E1117" s="7"/>
      <c r="F1117" s="27">
        <v>0</v>
      </c>
      <c r="G1117" s="27">
        <v>0</v>
      </c>
      <c r="H1117" s="27">
        <v>0</v>
      </c>
      <c r="I1117" s="27">
        <v>0</v>
      </c>
      <c r="J1117" s="27">
        <v>0</v>
      </c>
      <c r="K1117" s="63">
        <f>AVERAGE(I1117:J1117)</f>
        <v>0</v>
      </c>
      <c r="L1117" s="56" t="str">
        <f>"SW-RISER-PACK"</f>
        <v>SW-RISER-PACK</v>
      </c>
      <c r="M1117" s="14"/>
      <c r="N1117" s="15"/>
      <c r="O1117" s="12"/>
      <c r="P1117" s="34"/>
      <c r="Q1117" s="37"/>
      <c r="R1117" s="47"/>
      <c r="S1117" s="46"/>
    </row>
    <row r="1118" spans="1:19" ht="12" hidden="1" customHeight="1" x14ac:dyDescent="0.3">
      <c r="A1118" s="35" t="s">
        <v>908</v>
      </c>
      <c r="B1118" s="49" t="str">
        <f>B1114</f>
        <v>hide</v>
      </c>
      <c r="N1118"/>
      <c r="Q1118" s="33"/>
    </row>
    <row r="1119" spans="1:19" ht="13.8" hidden="1" thickBot="1" x14ac:dyDescent="0.3">
      <c r="A1119" t="s">
        <v>23</v>
      </c>
      <c r="B1119" s="49" t="str">
        <f t="shared" ref="B1119" si="797">B1118</f>
        <v>hide</v>
      </c>
      <c r="D1119" s="58"/>
      <c r="E1119" s="58"/>
      <c r="F1119" s="52">
        <f>SUM(F1114:F1118)</f>
        <v>0</v>
      </c>
      <c r="G1119" s="52">
        <f>SUM(G1114:G1118)</f>
        <v>0</v>
      </c>
      <c r="H1119" s="52">
        <f>SUM(H1114:H1118)</f>
        <v>0</v>
      </c>
      <c r="I1119" s="52">
        <f>SUM(I1114:I1118)</f>
        <v>0</v>
      </c>
      <c r="J1119" s="52">
        <f>SUM(J1114:J1118)</f>
        <v>0</v>
      </c>
      <c r="K1119" s="52"/>
      <c r="L1119" s="51" t="s">
        <v>4</v>
      </c>
      <c r="M1119" s="58"/>
      <c r="N1119" s="58"/>
      <c r="O1119" s="58"/>
      <c r="P1119" s="58"/>
      <c r="Q1119" s="58"/>
      <c r="R1119" s="58"/>
      <c r="S1119" s="58"/>
    </row>
    <row r="1120" spans="1:19" s="59" customFormat="1" ht="18.75" customHeight="1" thickBot="1" x14ac:dyDescent="0.3">
      <c r="A1120" s="59" t="s">
        <v>23</v>
      </c>
      <c r="B1120" s="60" t="str">
        <f t="shared" ref="B1120:B1121" si="798">IF(K1120=0,"hide","")</f>
        <v/>
      </c>
      <c r="D1120" s="61" t="str">
        <f>"11205"</f>
        <v>11205</v>
      </c>
      <c r="E1120" s="62" t="str">
        <f>"4"</f>
        <v>4</v>
      </c>
      <c r="F1120" s="63">
        <v>124.58333333333333</v>
      </c>
      <c r="G1120" s="63">
        <v>58.333333333333336</v>
      </c>
      <c r="H1120" s="63">
        <v>29.5</v>
      </c>
      <c r="I1120" s="63">
        <v>88.583333333333329</v>
      </c>
      <c r="J1120" s="63">
        <v>43.097831325301208</v>
      </c>
      <c r="K1120" s="63">
        <f>AVERAGE(I1120:J1120)</f>
        <v>65.840582329317272</v>
      </c>
      <c r="L1120" s="64" t="str">
        <f>"Corn Muffins"</f>
        <v>Corn Muffins</v>
      </c>
      <c r="M1120" s="65" t="str">
        <f>"192-1 oz. 8-24 pack"</f>
        <v>192-1 oz. 8-24 pack</v>
      </c>
      <c r="N1120" s="66">
        <v>192</v>
      </c>
      <c r="O1120" s="67" t="str">
        <f>""</f>
        <v/>
      </c>
      <c r="P1120" s="68" t="e">
        <f>1/O1120</f>
        <v>#VALUE!</v>
      </c>
      <c r="Q1120" s="53">
        <v>1</v>
      </c>
      <c r="R1120" s="69">
        <f t="shared" ref="R1120" si="799">1/Q1120</f>
        <v>1</v>
      </c>
      <c r="S1120" s="70">
        <f t="shared" ref="S1120" si="800">R1120*N1120</f>
        <v>192</v>
      </c>
    </row>
    <row r="1121" spans="1:19" ht="15.6" hidden="1" customHeight="1" thickBot="1" x14ac:dyDescent="0.3">
      <c r="A1121" t="s">
        <v>23</v>
      </c>
      <c r="B1121" s="60" t="str">
        <f t="shared" si="798"/>
        <v>hide</v>
      </c>
      <c r="D1121" s="48" t="str">
        <f>D1120</f>
        <v>11205</v>
      </c>
      <c r="E1121" s="7"/>
      <c r="F1121" s="27">
        <v>0</v>
      </c>
      <c r="G1121" s="27">
        <v>0</v>
      </c>
      <c r="H1121" s="27">
        <v>0</v>
      </c>
      <c r="I1121" s="27">
        <v>0</v>
      </c>
      <c r="J1121" s="27">
        <v>0</v>
      </c>
      <c r="K1121" s="63">
        <f>AVERAGE(I1121:J1121)</f>
        <v>0</v>
      </c>
      <c r="L1121" s="56" t="str">
        <f>"EQP-LAWPACK1"</f>
        <v>EQP-LAWPACK1</v>
      </c>
      <c r="M1121" s="14"/>
      <c r="N1121" s="15"/>
      <c r="O1121" s="12"/>
      <c r="P1121" s="34"/>
      <c r="Q1121" s="37"/>
      <c r="R1121" s="47"/>
      <c r="S1121" s="46"/>
    </row>
    <row r="1122" spans="1:19" ht="15.6" hidden="1" customHeight="1" thickBot="1" x14ac:dyDescent="0.3">
      <c r="A1122" t="s">
        <v>23</v>
      </c>
      <c r="B1122" s="60" t="str">
        <f t="shared" ref="B1122:B1124" si="801">IF(K1122=0,"hide","")</f>
        <v>hide</v>
      </c>
      <c r="D1122" s="48" t="str">
        <f>D1121</f>
        <v>11205</v>
      </c>
      <c r="E1122" s="7"/>
      <c r="F1122" s="27">
        <v>0</v>
      </c>
      <c r="G1122" s="27">
        <v>0</v>
      </c>
      <c r="H1122" s="27">
        <v>0</v>
      </c>
      <c r="I1122" s="27">
        <v>0</v>
      </c>
      <c r="J1122" s="27">
        <v>0</v>
      </c>
      <c r="K1122" s="63">
        <f>AVERAGE(I1122:J1122)</f>
        <v>0</v>
      </c>
      <c r="L1122" s="56" t="str">
        <f>"EQP-LAWPACK2"</f>
        <v>EQP-LAWPACK2</v>
      </c>
      <c r="M1122" s="14"/>
      <c r="N1122" s="15"/>
      <c r="O1122" s="12"/>
      <c r="P1122" s="34"/>
      <c r="Q1122" s="37"/>
      <c r="R1122" s="47"/>
      <c r="S1122" s="46"/>
    </row>
    <row r="1123" spans="1:19" ht="15.6" hidden="1" customHeight="1" thickBot="1" x14ac:dyDescent="0.3">
      <c r="A1123" t="s">
        <v>23</v>
      </c>
      <c r="B1123" s="60" t="str">
        <f t="shared" si="801"/>
        <v>hide</v>
      </c>
      <c r="D1123" s="48" t="str">
        <f>D1122</f>
        <v>11205</v>
      </c>
      <c r="E1123" s="7"/>
      <c r="F1123" s="27">
        <v>0</v>
      </c>
      <c r="G1123" s="27">
        <v>0</v>
      </c>
      <c r="H1123" s="27">
        <v>0</v>
      </c>
      <c r="I1123" s="27">
        <v>0</v>
      </c>
      <c r="J1123" s="27">
        <v>0</v>
      </c>
      <c r="K1123" s="63">
        <f>AVERAGE(I1123:J1123)</f>
        <v>0</v>
      </c>
      <c r="L1123" s="56" t="str">
        <f>"SW-COMAS-PACKL"</f>
        <v>SW-COMAS-PACKL</v>
      </c>
      <c r="M1123" s="14"/>
      <c r="N1123" s="15"/>
      <c r="O1123" s="12"/>
      <c r="P1123" s="34"/>
      <c r="Q1123" s="37"/>
      <c r="R1123" s="47"/>
      <c r="S1123" s="46"/>
    </row>
    <row r="1124" spans="1:19" ht="15.6" hidden="1" customHeight="1" thickBot="1" x14ac:dyDescent="0.3">
      <c r="A1124" t="s">
        <v>23</v>
      </c>
      <c r="B1124" s="60" t="str">
        <f t="shared" si="801"/>
        <v>hide</v>
      </c>
      <c r="D1124" s="48" t="str">
        <f>D1123</f>
        <v>11205</v>
      </c>
      <c r="E1124" s="7"/>
      <c r="F1124" s="27">
        <v>0</v>
      </c>
      <c r="G1124" s="27">
        <v>0</v>
      </c>
      <c r="H1124" s="27">
        <v>0</v>
      </c>
      <c r="I1124" s="27">
        <v>0</v>
      </c>
      <c r="J1124" s="27">
        <v>0</v>
      </c>
      <c r="K1124" s="63">
        <f>AVERAGE(I1124:J1124)</f>
        <v>0</v>
      </c>
      <c r="L1124" s="56" t="str">
        <f>"SW-RISER-PACK"</f>
        <v>SW-RISER-PACK</v>
      </c>
      <c r="M1124" s="14"/>
      <c r="N1124" s="15"/>
      <c r="O1124" s="12"/>
      <c r="P1124" s="34"/>
      <c r="Q1124" s="37"/>
      <c r="R1124" s="47"/>
      <c r="S1124" s="46"/>
    </row>
    <row r="1125" spans="1:19" ht="12" hidden="1" customHeight="1" x14ac:dyDescent="0.3">
      <c r="A1125" s="35" t="s">
        <v>908</v>
      </c>
      <c r="B1125" s="49" t="str">
        <f>B1121</f>
        <v>hide</v>
      </c>
      <c r="N1125"/>
      <c r="Q1125" s="33"/>
    </row>
    <row r="1126" spans="1:19" ht="13.8" hidden="1" thickBot="1" x14ac:dyDescent="0.3">
      <c r="A1126" t="s">
        <v>23</v>
      </c>
      <c r="B1126" s="49" t="str">
        <f t="shared" ref="B1126" si="802">B1125</f>
        <v>hide</v>
      </c>
      <c r="D1126" s="58"/>
      <c r="E1126" s="58"/>
      <c r="F1126" s="52">
        <f>SUM(F1121:F1125)</f>
        <v>0</v>
      </c>
      <c r="G1126" s="52">
        <f>SUM(G1121:G1125)</f>
        <v>0</v>
      </c>
      <c r="H1126" s="52">
        <f>SUM(H1121:H1125)</f>
        <v>0</v>
      </c>
      <c r="I1126" s="52">
        <f>SUM(I1121:I1125)</f>
        <v>0</v>
      </c>
      <c r="J1126" s="52">
        <f>SUM(J1121:J1125)</f>
        <v>0</v>
      </c>
      <c r="K1126" s="52"/>
      <c r="L1126" s="51" t="s">
        <v>4</v>
      </c>
      <c r="M1126" s="58"/>
      <c r="N1126" s="58"/>
      <c r="O1126" s="58"/>
      <c r="P1126" s="58"/>
      <c r="Q1126" s="58"/>
      <c r="R1126" s="58"/>
      <c r="S1126" s="58"/>
    </row>
    <row r="1127" spans="1:19" s="59" customFormat="1" ht="18.75" customHeight="1" thickBot="1" x14ac:dyDescent="0.3">
      <c r="A1127" s="59" t="s">
        <v>23</v>
      </c>
      <c r="B1127" s="60" t="str">
        <f t="shared" ref="B1127:B1128" si="803">IF(K1127=0,"hide","")</f>
        <v/>
      </c>
      <c r="D1127" s="61" t="str">
        <f>"11206"</f>
        <v>11206</v>
      </c>
      <c r="E1127" s="62" t="str">
        <f>"3"</f>
        <v>3</v>
      </c>
      <c r="F1127" s="63">
        <v>8.9166666666666679</v>
      </c>
      <c r="G1127" s="63">
        <v>8.2500000000000018</v>
      </c>
      <c r="H1127" s="63">
        <v>20.416666666666668</v>
      </c>
      <c r="I1127" s="63">
        <v>6</v>
      </c>
      <c r="J1127" s="63">
        <v>3.2732530120481931</v>
      </c>
      <c r="K1127" s="63">
        <f>AVERAGE(I1127:J1127)</f>
        <v>4.636626506024097</v>
      </c>
      <c r="L1127" s="64" t="str">
        <f>"Apple Cinnamon Muffins"</f>
        <v>Apple Cinnamon Muffins</v>
      </c>
      <c r="M1127" s="65" t="str">
        <f>"192-1 oz. 8-24 pack"</f>
        <v>192-1 oz. 8-24 pack</v>
      </c>
      <c r="N1127" s="66">
        <v>192</v>
      </c>
      <c r="O1127" s="67" t="str">
        <f>""</f>
        <v/>
      </c>
      <c r="P1127" s="68" t="e">
        <f>1/O1127</f>
        <v>#VALUE!</v>
      </c>
      <c r="Q1127" s="53">
        <v>1</v>
      </c>
      <c r="R1127" s="69">
        <f t="shared" ref="R1127" si="804">1/Q1127</f>
        <v>1</v>
      </c>
      <c r="S1127" s="70">
        <f t="shared" ref="S1127" si="805">R1127*N1127</f>
        <v>192</v>
      </c>
    </row>
    <row r="1128" spans="1:19" ht="15.6" hidden="1" customHeight="1" thickBot="1" x14ac:dyDescent="0.3">
      <c r="A1128" t="s">
        <v>23</v>
      </c>
      <c r="B1128" s="60" t="str">
        <f t="shared" si="803"/>
        <v>hide</v>
      </c>
      <c r="D1128" s="48" t="str">
        <f>D1127</f>
        <v>11206</v>
      </c>
      <c r="E1128" s="7"/>
      <c r="F1128" s="27">
        <v>0</v>
      </c>
      <c r="G1128" s="27">
        <v>0</v>
      </c>
      <c r="H1128" s="27">
        <v>0</v>
      </c>
      <c r="I1128" s="27">
        <v>0</v>
      </c>
      <c r="J1128" s="27">
        <v>0</v>
      </c>
      <c r="K1128" s="63">
        <f>AVERAGE(I1128:J1128)</f>
        <v>0</v>
      </c>
      <c r="L1128" s="56" t="str">
        <f>"EQP-LAWPACK1"</f>
        <v>EQP-LAWPACK1</v>
      </c>
      <c r="M1128" s="14"/>
      <c r="N1128" s="15"/>
      <c r="O1128" s="12"/>
      <c r="P1128" s="34"/>
      <c r="Q1128" s="37"/>
      <c r="R1128" s="47"/>
      <c r="S1128" s="46"/>
    </row>
    <row r="1129" spans="1:19" ht="15.6" hidden="1" customHeight="1" thickBot="1" x14ac:dyDescent="0.3">
      <c r="A1129" t="s">
        <v>23</v>
      </c>
      <c r="B1129" s="60" t="str">
        <f t="shared" ref="B1129:B1131" si="806">IF(K1129=0,"hide","")</f>
        <v>hide</v>
      </c>
      <c r="D1129" s="48" t="str">
        <f>D1128</f>
        <v>11206</v>
      </c>
      <c r="E1129" s="7"/>
      <c r="F1129" s="27">
        <v>0</v>
      </c>
      <c r="G1129" s="27">
        <v>0</v>
      </c>
      <c r="H1129" s="27">
        <v>0</v>
      </c>
      <c r="I1129" s="27">
        <v>0</v>
      </c>
      <c r="J1129" s="27">
        <v>0</v>
      </c>
      <c r="K1129" s="63">
        <f>AVERAGE(I1129:J1129)</f>
        <v>0</v>
      </c>
      <c r="L1129" s="56" t="str">
        <f>"EQP-LAWPACK2"</f>
        <v>EQP-LAWPACK2</v>
      </c>
      <c r="M1129" s="14"/>
      <c r="N1129" s="15"/>
      <c r="O1129" s="12"/>
      <c r="P1129" s="34"/>
      <c r="Q1129" s="37"/>
      <c r="R1129" s="47"/>
      <c r="S1129" s="46"/>
    </row>
    <row r="1130" spans="1:19" ht="15.6" hidden="1" customHeight="1" thickBot="1" x14ac:dyDescent="0.3">
      <c r="A1130" t="s">
        <v>23</v>
      </c>
      <c r="B1130" s="60" t="str">
        <f t="shared" si="806"/>
        <v>hide</v>
      </c>
      <c r="D1130" s="48" t="str">
        <f>D1129</f>
        <v>11206</v>
      </c>
      <c r="E1130" s="7"/>
      <c r="F1130" s="27">
        <v>0</v>
      </c>
      <c r="G1130" s="27">
        <v>0</v>
      </c>
      <c r="H1130" s="27">
        <v>0</v>
      </c>
      <c r="I1130" s="27">
        <v>0</v>
      </c>
      <c r="J1130" s="27">
        <v>0</v>
      </c>
      <c r="K1130" s="63">
        <f>AVERAGE(I1130:J1130)</f>
        <v>0</v>
      </c>
      <c r="L1130" s="56" t="str">
        <f>"SW-COMAS-PACKL"</f>
        <v>SW-COMAS-PACKL</v>
      </c>
      <c r="M1130" s="14"/>
      <c r="N1130" s="15"/>
      <c r="O1130" s="12"/>
      <c r="P1130" s="34"/>
      <c r="Q1130" s="37"/>
      <c r="R1130" s="47"/>
      <c r="S1130" s="46"/>
    </row>
    <row r="1131" spans="1:19" ht="15.6" hidden="1" customHeight="1" thickBot="1" x14ac:dyDescent="0.3">
      <c r="A1131" t="s">
        <v>23</v>
      </c>
      <c r="B1131" s="60" t="str">
        <f t="shared" si="806"/>
        <v>hide</v>
      </c>
      <c r="D1131" s="48" t="str">
        <f>D1130</f>
        <v>11206</v>
      </c>
      <c r="E1131" s="7"/>
      <c r="F1131" s="27">
        <v>0</v>
      </c>
      <c r="G1131" s="27">
        <v>0</v>
      </c>
      <c r="H1131" s="27">
        <v>0</v>
      </c>
      <c r="I1131" s="27">
        <v>0</v>
      </c>
      <c r="J1131" s="27">
        <v>0</v>
      </c>
      <c r="K1131" s="63">
        <f>AVERAGE(I1131:J1131)</f>
        <v>0</v>
      </c>
      <c r="L1131" s="56" t="str">
        <f>"SW-RISER-PACK"</f>
        <v>SW-RISER-PACK</v>
      </c>
      <c r="M1131" s="14"/>
      <c r="N1131" s="15"/>
      <c r="O1131" s="12"/>
      <c r="P1131" s="34"/>
      <c r="Q1131" s="37"/>
      <c r="R1131" s="47"/>
      <c r="S1131" s="46"/>
    </row>
    <row r="1132" spans="1:19" ht="12" hidden="1" customHeight="1" x14ac:dyDescent="0.3">
      <c r="A1132" s="35" t="s">
        <v>908</v>
      </c>
      <c r="B1132" s="49" t="str">
        <f>B1128</f>
        <v>hide</v>
      </c>
      <c r="N1132"/>
      <c r="Q1132" s="33"/>
    </row>
    <row r="1133" spans="1:19" ht="13.8" hidden="1" thickBot="1" x14ac:dyDescent="0.3">
      <c r="A1133" t="s">
        <v>23</v>
      </c>
      <c r="B1133" s="49" t="str">
        <f t="shared" ref="B1133" si="807">B1132</f>
        <v>hide</v>
      </c>
      <c r="D1133" s="58"/>
      <c r="E1133" s="58"/>
      <c r="F1133" s="52">
        <f>SUM(F1128:F1132)</f>
        <v>0</v>
      </c>
      <c r="G1133" s="52">
        <f>SUM(G1128:G1132)</f>
        <v>0</v>
      </c>
      <c r="H1133" s="52">
        <f>SUM(H1128:H1132)</f>
        <v>0</v>
      </c>
      <c r="I1133" s="52">
        <f>SUM(I1128:I1132)</f>
        <v>0</v>
      </c>
      <c r="J1133" s="52">
        <f>SUM(J1128:J1132)</f>
        <v>0</v>
      </c>
      <c r="K1133" s="52"/>
      <c r="L1133" s="51" t="s">
        <v>4</v>
      </c>
      <c r="M1133" s="58"/>
      <c r="N1133" s="58"/>
      <c r="O1133" s="58"/>
      <c r="P1133" s="58"/>
      <c r="Q1133" s="58"/>
      <c r="R1133" s="58"/>
      <c r="S1133" s="58"/>
    </row>
    <row r="1134" spans="1:19" s="59" customFormat="1" ht="18.75" hidden="1" customHeight="1" thickBot="1" x14ac:dyDescent="0.3">
      <c r="A1134" s="59" t="s">
        <v>23</v>
      </c>
      <c r="B1134" s="60" t="str">
        <f t="shared" ref="B1134:B1135" si="808">IF(K1134=0,"hide","")</f>
        <v>hide</v>
      </c>
      <c r="D1134" s="61" t="str">
        <f>"11210"</f>
        <v>11210</v>
      </c>
      <c r="E1134" s="62" t="str">
        <f>"5"</f>
        <v>5</v>
      </c>
      <c r="F1134" s="63">
        <v>12.666666666666666</v>
      </c>
      <c r="G1134" s="63">
        <v>0.33333333333333331</v>
      </c>
      <c r="H1134" s="63">
        <v>0</v>
      </c>
      <c r="I1134" s="63">
        <v>0</v>
      </c>
      <c r="J1134" s="63">
        <v>0</v>
      </c>
      <c r="K1134" s="63">
        <f>AVERAGE(I1134:J1134)</f>
        <v>0</v>
      </c>
      <c r="L1134" s="64" t="str">
        <f>"Chocolate Chip Muffins"</f>
        <v>Chocolate Chip Muffins</v>
      </c>
      <c r="M1134" s="65" t="str">
        <f>"192-1 oz. 8-24 pack"</f>
        <v>192-1 oz. 8-24 pack</v>
      </c>
      <c r="N1134" s="66">
        <v>192</v>
      </c>
      <c r="O1134" s="67" t="str">
        <f>""</f>
        <v/>
      </c>
      <c r="P1134" s="68" t="e">
        <f>1/O1134</f>
        <v>#VALUE!</v>
      </c>
      <c r="Q1134" s="53">
        <v>1</v>
      </c>
      <c r="R1134" s="69">
        <f t="shared" ref="R1134" si="809">1/Q1134</f>
        <v>1</v>
      </c>
      <c r="S1134" s="70">
        <f t="shared" ref="S1134" si="810">R1134*N1134</f>
        <v>192</v>
      </c>
    </row>
    <row r="1135" spans="1:19" ht="15.6" hidden="1" customHeight="1" thickBot="1" x14ac:dyDescent="0.3">
      <c r="A1135" t="s">
        <v>23</v>
      </c>
      <c r="B1135" s="60" t="str">
        <f t="shared" si="808"/>
        <v>hide</v>
      </c>
      <c r="D1135" s="48" t="str">
        <f>D1134</f>
        <v>11210</v>
      </c>
      <c r="E1135" s="7"/>
      <c r="F1135" s="27">
        <v>0</v>
      </c>
      <c r="G1135" s="27">
        <v>0</v>
      </c>
      <c r="H1135" s="27">
        <v>0</v>
      </c>
      <c r="I1135" s="27">
        <v>0</v>
      </c>
      <c r="J1135" s="27">
        <v>0</v>
      </c>
      <c r="K1135" s="63">
        <f>AVERAGE(I1135:J1135)</f>
        <v>0</v>
      </c>
      <c r="L1135" s="56" t="str">
        <f>"EQP-LAWPACK1"</f>
        <v>EQP-LAWPACK1</v>
      </c>
      <c r="M1135" s="14"/>
      <c r="N1135" s="15"/>
      <c r="O1135" s="12"/>
      <c r="P1135" s="34"/>
      <c r="Q1135" s="37"/>
      <c r="R1135" s="47"/>
      <c r="S1135" s="46"/>
    </row>
    <row r="1136" spans="1:19" ht="15.6" hidden="1" customHeight="1" thickBot="1" x14ac:dyDescent="0.3">
      <c r="A1136" t="s">
        <v>23</v>
      </c>
      <c r="B1136" s="60" t="str">
        <f t="shared" ref="B1136:B1138" si="811">IF(K1136=0,"hide","")</f>
        <v>hide</v>
      </c>
      <c r="D1136" s="48" t="str">
        <f>D1135</f>
        <v>11210</v>
      </c>
      <c r="E1136" s="7"/>
      <c r="F1136" s="27">
        <v>0</v>
      </c>
      <c r="G1136" s="27">
        <v>0</v>
      </c>
      <c r="H1136" s="27">
        <v>0</v>
      </c>
      <c r="I1136" s="27">
        <v>0</v>
      </c>
      <c r="J1136" s="27">
        <v>0</v>
      </c>
      <c r="K1136" s="63">
        <f>AVERAGE(I1136:J1136)</f>
        <v>0</v>
      </c>
      <c r="L1136" s="56" t="str">
        <f>"EQP-LAWPACK2"</f>
        <v>EQP-LAWPACK2</v>
      </c>
      <c r="M1136" s="14"/>
      <c r="N1136" s="15"/>
      <c r="O1136" s="12"/>
      <c r="P1136" s="34"/>
      <c r="Q1136" s="37"/>
      <c r="R1136" s="47"/>
      <c r="S1136" s="46"/>
    </row>
    <row r="1137" spans="1:19" ht="15.6" hidden="1" customHeight="1" thickBot="1" x14ac:dyDescent="0.3">
      <c r="A1137" t="s">
        <v>23</v>
      </c>
      <c r="B1137" s="60" t="str">
        <f t="shared" si="811"/>
        <v>hide</v>
      </c>
      <c r="D1137" s="48" t="str">
        <f>D1136</f>
        <v>11210</v>
      </c>
      <c r="E1137" s="7"/>
      <c r="F1137" s="27">
        <v>0</v>
      </c>
      <c r="G1137" s="27">
        <v>0</v>
      </c>
      <c r="H1137" s="27">
        <v>0</v>
      </c>
      <c r="I1137" s="27">
        <v>0</v>
      </c>
      <c r="J1137" s="27">
        <v>0</v>
      </c>
      <c r="K1137" s="63">
        <f>AVERAGE(I1137:J1137)</f>
        <v>0</v>
      </c>
      <c r="L1137" s="56" t="str">
        <f>"SW-COMAS-PACKL"</f>
        <v>SW-COMAS-PACKL</v>
      </c>
      <c r="M1137" s="14"/>
      <c r="N1137" s="15"/>
      <c r="O1137" s="12"/>
      <c r="P1137" s="34"/>
      <c r="Q1137" s="37"/>
      <c r="R1137" s="47"/>
      <c r="S1137" s="46"/>
    </row>
    <row r="1138" spans="1:19" ht="15.6" hidden="1" customHeight="1" thickBot="1" x14ac:dyDescent="0.3">
      <c r="A1138" t="s">
        <v>23</v>
      </c>
      <c r="B1138" s="60" t="str">
        <f t="shared" si="811"/>
        <v>hide</v>
      </c>
      <c r="D1138" s="48" t="str">
        <f>D1137</f>
        <v>11210</v>
      </c>
      <c r="E1138" s="7"/>
      <c r="F1138" s="27">
        <v>0</v>
      </c>
      <c r="G1138" s="27">
        <v>0</v>
      </c>
      <c r="H1138" s="27">
        <v>0</v>
      </c>
      <c r="I1138" s="27">
        <v>0</v>
      </c>
      <c r="J1138" s="27">
        <v>0</v>
      </c>
      <c r="K1138" s="63">
        <f>AVERAGE(I1138:J1138)</f>
        <v>0</v>
      </c>
      <c r="L1138" s="56" t="str">
        <f>"SW-RISER-PACK"</f>
        <v>SW-RISER-PACK</v>
      </c>
      <c r="M1138" s="14"/>
      <c r="N1138" s="15"/>
      <c r="O1138" s="12"/>
      <c r="P1138" s="34"/>
      <c r="Q1138" s="37"/>
      <c r="R1138" s="47"/>
      <c r="S1138" s="46"/>
    </row>
    <row r="1139" spans="1:19" ht="12" hidden="1" customHeight="1" x14ac:dyDescent="0.3">
      <c r="A1139" s="35" t="s">
        <v>908</v>
      </c>
      <c r="B1139" s="49" t="str">
        <f>B1135</f>
        <v>hide</v>
      </c>
      <c r="N1139"/>
      <c r="Q1139" s="33"/>
    </row>
    <row r="1140" spans="1:19" ht="13.8" hidden="1" thickBot="1" x14ac:dyDescent="0.3">
      <c r="A1140" t="s">
        <v>23</v>
      </c>
      <c r="B1140" s="49" t="str">
        <f t="shared" ref="B1140" si="812">B1139</f>
        <v>hide</v>
      </c>
      <c r="D1140" s="58"/>
      <c r="E1140" s="58"/>
      <c r="F1140" s="52">
        <f>SUM(F1135:F1139)</f>
        <v>0</v>
      </c>
      <c r="G1140" s="52">
        <f>SUM(G1135:G1139)</f>
        <v>0</v>
      </c>
      <c r="H1140" s="52">
        <f>SUM(H1135:H1139)</f>
        <v>0</v>
      </c>
      <c r="I1140" s="52">
        <f>SUM(I1135:I1139)</f>
        <v>0</v>
      </c>
      <c r="J1140" s="52">
        <f>SUM(J1135:J1139)</f>
        <v>0</v>
      </c>
      <c r="K1140" s="52"/>
      <c r="L1140" s="51" t="s">
        <v>4</v>
      </c>
      <c r="M1140" s="58"/>
      <c r="N1140" s="58"/>
      <c r="O1140" s="58"/>
      <c r="P1140" s="58"/>
      <c r="Q1140" s="58"/>
      <c r="R1140" s="58"/>
      <c r="S1140" s="58"/>
    </row>
    <row r="1141" spans="1:19" s="59" customFormat="1" ht="18.75" hidden="1" customHeight="1" thickBot="1" x14ac:dyDescent="0.3">
      <c r="A1141" s="59" t="s">
        <v>23</v>
      </c>
      <c r="B1141" s="60" t="str">
        <f t="shared" ref="B1141:B1142" si="813">IF(K1141=0,"hide","")</f>
        <v>hide</v>
      </c>
      <c r="D1141" s="61" t="str">
        <f>"11222"</f>
        <v>11222</v>
      </c>
      <c r="E1141" s="62" t="str">
        <f>"3"</f>
        <v>3</v>
      </c>
      <c r="F1141" s="63">
        <v>0</v>
      </c>
      <c r="G1141" s="63">
        <v>0</v>
      </c>
      <c r="H1141" s="63">
        <v>0</v>
      </c>
      <c r="I1141" s="63">
        <v>0</v>
      </c>
      <c r="J1141" s="63">
        <v>0</v>
      </c>
      <c r="K1141" s="63">
        <f>AVERAGE(I1141:J1141)</f>
        <v>0</v>
      </c>
      <c r="L1141" s="64" t="str">
        <f>"Lemon Poppy Muffins"</f>
        <v>Lemon Poppy Muffins</v>
      </c>
      <c r="M1141" s="65" t="str">
        <f>"192-1 oz. 8-24 pack"</f>
        <v>192-1 oz. 8-24 pack</v>
      </c>
      <c r="N1141" s="66">
        <v>192</v>
      </c>
      <c r="O1141" s="67" t="str">
        <f>""</f>
        <v/>
      </c>
      <c r="P1141" s="68" t="e">
        <f>1/O1141</f>
        <v>#VALUE!</v>
      </c>
      <c r="Q1141" s="53">
        <v>1</v>
      </c>
      <c r="R1141" s="69">
        <f t="shared" ref="R1141" si="814">1/Q1141</f>
        <v>1</v>
      </c>
      <c r="S1141" s="70">
        <f t="shared" ref="S1141" si="815">R1141*N1141</f>
        <v>192</v>
      </c>
    </row>
    <row r="1142" spans="1:19" ht="15.6" hidden="1" customHeight="1" thickBot="1" x14ac:dyDescent="0.3">
      <c r="A1142" t="s">
        <v>23</v>
      </c>
      <c r="B1142" s="60" t="str">
        <f t="shared" si="813"/>
        <v>hide</v>
      </c>
      <c r="D1142" s="48" t="str">
        <f>D1141</f>
        <v>11222</v>
      </c>
      <c r="E1142" s="7"/>
      <c r="F1142" s="27">
        <v>0</v>
      </c>
      <c r="G1142" s="27">
        <v>0</v>
      </c>
      <c r="H1142" s="27">
        <v>0</v>
      </c>
      <c r="I1142" s="27">
        <v>0</v>
      </c>
      <c r="J1142" s="27">
        <v>0</v>
      </c>
      <c r="K1142" s="63">
        <f>AVERAGE(I1142:J1142)</f>
        <v>0</v>
      </c>
      <c r="L1142" s="56" t="str">
        <f>"EQP-LAWPACK1"</f>
        <v>EQP-LAWPACK1</v>
      </c>
      <c r="M1142" s="14"/>
      <c r="N1142" s="15"/>
      <c r="O1142" s="12"/>
      <c r="P1142" s="34"/>
      <c r="Q1142" s="37"/>
      <c r="R1142" s="47"/>
      <c r="S1142" s="46"/>
    </row>
    <row r="1143" spans="1:19" ht="15.6" hidden="1" customHeight="1" thickBot="1" x14ac:dyDescent="0.3">
      <c r="A1143" t="s">
        <v>23</v>
      </c>
      <c r="B1143" s="60" t="str">
        <f t="shared" ref="B1143:B1145" si="816">IF(K1143=0,"hide","")</f>
        <v>hide</v>
      </c>
      <c r="D1143" s="48" t="str">
        <f>D1142</f>
        <v>11222</v>
      </c>
      <c r="E1143" s="7"/>
      <c r="F1143" s="27">
        <v>0</v>
      </c>
      <c r="G1143" s="27">
        <v>0</v>
      </c>
      <c r="H1143" s="27">
        <v>0</v>
      </c>
      <c r="I1143" s="27">
        <v>0</v>
      </c>
      <c r="J1143" s="27">
        <v>0</v>
      </c>
      <c r="K1143" s="63">
        <f>AVERAGE(I1143:J1143)</f>
        <v>0</v>
      </c>
      <c r="L1143" s="56" t="str">
        <f>"EQP-LAWPACK2"</f>
        <v>EQP-LAWPACK2</v>
      </c>
      <c r="M1143" s="14"/>
      <c r="N1143" s="15"/>
      <c r="O1143" s="12"/>
      <c r="P1143" s="34"/>
      <c r="Q1143" s="37"/>
      <c r="R1143" s="47"/>
      <c r="S1143" s="46"/>
    </row>
    <row r="1144" spans="1:19" ht="15.6" hidden="1" customHeight="1" thickBot="1" x14ac:dyDescent="0.3">
      <c r="A1144" t="s">
        <v>23</v>
      </c>
      <c r="B1144" s="60" t="str">
        <f t="shared" si="816"/>
        <v>hide</v>
      </c>
      <c r="D1144" s="48" t="str">
        <f>D1143</f>
        <v>11222</v>
      </c>
      <c r="E1144" s="7"/>
      <c r="F1144" s="27">
        <v>0</v>
      </c>
      <c r="G1144" s="27">
        <v>0</v>
      </c>
      <c r="H1144" s="27">
        <v>0</v>
      </c>
      <c r="I1144" s="27">
        <v>0</v>
      </c>
      <c r="J1144" s="27">
        <v>0</v>
      </c>
      <c r="K1144" s="63">
        <f>AVERAGE(I1144:J1144)</f>
        <v>0</v>
      </c>
      <c r="L1144" s="56" t="str">
        <f>"SW-COMAS-PACKL"</f>
        <v>SW-COMAS-PACKL</v>
      </c>
      <c r="M1144" s="14"/>
      <c r="N1144" s="15"/>
      <c r="O1144" s="12"/>
      <c r="P1144" s="34"/>
      <c r="Q1144" s="37"/>
      <c r="R1144" s="47"/>
      <c r="S1144" s="46"/>
    </row>
    <row r="1145" spans="1:19" ht="15.6" hidden="1" customHeight="1" thickBot="1" x14ac:dyDescent="0.3">
      <c r="A1145" t="s">
        <v>23</v>
      </c>
      <c r="B1145" s="60" t="str">
        <f t="shared" si="816"/>
        <v>hide</v>
      </c>
      <c r="D1145" s="48" t="str">
        <f>D1144</f>
        <v>11222</v>
      </c>
      <c r="E1145" s="7"/>
      <c r="F1145" s="27">
        <v>0</v>
      </c>
      <c r="G1145" s="27">
        <v>0</v>
      </c>
      <c r="H1145" s="27">
        <v>0</v>
      </c>
      <c r="I1145" s="27">
        <v>0</v>
      </c>
      <c r="J1145" s="27">
        <v>0</v>
      </c>
      <c r="K1145" s="63">
        <f>AVERAGE(I1145:J1145)</f>
        <v>0</v>
      </c>
      <c r="L1145" s="56" t="str">
        <f>"SW-RISER-PACK"</f>
        <v>SW-RISER-PACK</v>
      </c>
      <c r="M1145" s="14"/>
      <c r="N1145" s="15"/>
      <c r="O1145" s="12"/>
      <c r="P1145" s="34"/>
      <c r="Q1145" s="37"/>
      <c r="R1145" s="47"/>
      <c r="S1145" s="46"/>
    </row>
    <row r="1146" spans="1:19" ht="12" hidden="1" customHeight="1" x14ac:dyDescent="0.3">
      <c r="A1146" s="35" t="s">
        <v>908</v>
      </c>
      <c r="B1146" s="49" t="str">
        <f>B1142</f>
        <v>hide</v>
      </c>
      <c r="N1146"/>
      <c r="Q1146" s="33"/>
    </row>
    <row r="1147" spans="1:19" ht="13.8" hidden="1" thickBot="1" x14ac:dyDescent="0.3">
      <c r="A1147" t="s">
        <v>23</v>
      </c>
      <c r="B1147" s="49" t="str">
        <f t="shared" ref="B1147" si="817">B1146</f>
        <v>hide</v>
      </c>
      <c r="D1147" s="58"/>
      <c r="E1147" s="58"/>
      <c r="F1147" s="52">
        <f>SUM(F1142:F1146)</f>
        <v>0</v>
      </c>
      <c r="G1147" s="52">
        <f>SUM(G1142:G1146)</f>
        <v>0</v>
      </c>
      <c r="H1147" s="52">
        <f>SUM(H1142:H1146)</f>
        <v>0</v>
      </c>
      <c r="I1147" s="52">
        <f>SUM(I1142:I1146)</f>
        <v>0</v>
      </c>
      <c r="J1147" s="52">
        <f>SUM(J1142:J1146)</f>
        <v>0</v>
      </c>
      <c r="K1147" s="52"/>
      <c r="L1147" s="51" t="s">
        <v>4</v>
      </c>
      <c r="M1147" s="58"/>
      <c r="N1147" s="58"/>
      <c r="O1147" s="58"/>
      <c r="P1147" s="58"/>
      <c r="Q1147" s="58"/>
      <c r="R1147" s="58"/>
      <c r="S1147" s="58"/>
    </row>
    <row r="1148" spans="1:19" s="59" customFormat="1" ht="18.75" customHeight="1" thickBot="1" x14ac:dyDescent="0.3">
      <c r="A1148" s="59" t="s">
        <v>23</v>
      </c>
      <c r="B1148" s="60" t="str">
        <f t="shared" ref="B1148:B1149" si="818">IF(K1148=0,"hide","")</f>
        <v/>
      </c>
      <c r="D1148" s="61" t="str">
        <f>"11251"</f>
        <v>11251</v>
      </c>
      <c r="E1148" s="62" t="str">
        <f>"2"</f>
        <v>2</v>
      </c>
      <c r="F1148" s="63">
        <v>20.833333333333332</v>
      </c>
      <c r="G1148" s="63">
        <v>19.416666666666668</v>
      </c>
      <c r="H1148" s="63">
        <v>37.166666666666664</v>
      </c>
      <c r="I1148" s="63">
        <v>40.249999999999993</v>
      </c>
      <c r="J1148" s="63">
        <v>7.773975903614458</v>
      </c>
      <c r="K1148" s="63">
        <f>AVERAGE(I1148:J1148)</f>
        <v>24.011987951807225</v>
      </c>
      <c r="L1148" s="64" t="str">
        <f>"Banana Mini Muffin"</f>
        <v>Banana Mini Muffin</v>
      </c>
      <c r="M1148" s="65" t="str">
        <f>"192-1 oz. 8-24 pack"</f>
        <v>192-1 oz. 8-24 pack</v>
      </c>
      <c r="N1148" s="66">
        <v>192</v>
      </c>
      <c r="O1148" s="67" t="str">
        <f>""</f>
        <v/>
      </c>
      <c r="P1148" s="68" t="e">
        <f>1/O1148</f>
        <v>#VALUE!</v>
      </c>
      <c r="Q1148" s="53">
        <v>1</v>
      </c>
      <c r="R1148" s="69">
        <f t="shared" ref="R1148" si="819">1/Q1148</f>
        <v>1</v>
      </c>
      <c r="S1148" s="70">
        <f t="shared" ref="S1148" si="820">R1148*N1148</f>
        <v>192</v>
      </c>
    </row>
    <row r="1149" spans="1:19" ht="15.6" hidden="1" customHeight="1" thickBot="1" x14ac:dyDescent="0.3">
      <c r="A1149" t="s">
        <v>23</v>
      </c>
      <c r="B1149" s="60" t="str">
        <f t="shared" si="818"/>
        <v>hide</v>
      </c>
      <c r="D1149" s="48" t="str">
        <f>D1148</f>
        <v>11251</v>
      </c>
      <c r="E1149" s="7"/>
      <c r="F1149" s="27">
        <v>0</v>
      </c>
      <c r="G1149" s="27">
        <v>0</v>
      </c>
      <c r="H1149" s="27">
        <v>0</v>
      </c>
      <c r="I1149" s="27">
        <v>0</v>
      </c>
      <c r="J1149" s="27">
        <v>0</v>
      </c>
      <c r="K1149" s="63">
        <f>AVERAGE(I1149:J1149)</f>
        <v>0</v>
      </c>
      <c r="L1149" s="56" t="str">
        <f>"EQP-LAWPACK1"</f>
        <v>EQP-LAWPACK1</v>
      </c>
      <c r="M1149" s="14"/>
      <c r="N1149" s="15"/>
      <c r="O1149" s="12"/>
      <c r="P1149" s="34"/>
      <c r="Q1149" s="37"/>
      <c r="R1149" s="47"/>
      <c r="S1149" s="46"/>
    </row>
    <row r="1150" spans="1:19" ht="15.6" hidden="1" customHeight="1" thickBot="1" x14ac:dyDescent="0.3">
      <c r="A1150" t="s">
        <v>23</v>
      </c>
      <c r="B1150" s="60" t="str">
        <f t="shared" ref="B1150:B1152" si="821">IF(K1150=0,"hide","")</f>
        <v>hide</v>
      </c>
      <c r="D1150" s="48" t="str">
        <f>D1149</f>
        <v>11251</v>
      </c>
      <c r="E1150" s="7"/>
      <c r="F1150" s="27">
        <v>0</v>
      </c>
      <c r="G1150" s="27">
        <v>0</v>
      </c>
      <c r="H1150" s="27">
        <v>0</v>
      </c>
      <c r="I1150" s="27">
        <v>0</v>
      </c>
      <c r="J1150" s="27">
        <v>0</v>
      </c>
      <c r="K1150" s="63">
        <f>AVERAGE(I1150:J1150)</f>
        <v>0</v>
      </c>
      <c r="L1150" s="56" t="str">
        <f>"EQP-LAWPACK2"</f>
        <v>EQP-LAWPACK2</v>
      </c>
      <c r="M1150" s="14"/>
      <c r="N1150" s="15"/>
      <c r="O1150" s="12"/>
      <c r="P1150" s="34"/>
      <c r="Q1150" s="37"/>
      <c r="R1150" s="47"/>
      <c r="S1150" s="46"/>
    </row>
    <row r="1151" spans="1:19" ht="15.6" hidden="1" customHeight="1" thickBot="1" x14ac:dyDescent="0.3">
      <c r="A1151" t="s">
        <v>23</v>
      </c>
      <c r="B1151" s="60" t="str">
        <f t="shared" si="821"/>
        <v>hide</v>
      </c>
      <c r="D1151" s="48" t="str">
        <f>D1150</f>
        <v>11251</v>
      </c>
      <c r="E1151" s="7"/>
      <c r="F1151" s="27">
        <v>0</v>
      </c>
      <c r="G1151" s="27">
        <v>0</v>
      </c>
      <c r="H1151" s="27">
        <v>0</v>
      </c>
      <c r="I1151" s="27">
        <v>0</v>
      </c>
      <c r="J1151" s="27">
        <v>0</v>
      </c>
      <c r="K1151" s="63">
        <f>AVERAGE(I1151:J1151)</f>
        <v>0</v>
      </c>
      <c r="L1151" s="56" t="str">
        <f>"SW-COMAS-PACKL"</f>
        <v>SW-COMAS-PACKL</v>
      </c>
      <c r="M1151" s="14"/>
      <c r="N1151" s="15"/>
      <c r="O1151" s="12"/>
      <c r="P1151" s="34"/>
      <c r="Q1151" s="37"/>
      <c r="R1151" s="47"/>
      <c r="S1151" s="46"/>
    </row>
    <row r="1152" spans="1:19" ht="15.6" hidden="1" customHeight="1" thickBot="1" x14ac:dyDescent="0.3">
      <c r="A1152" t="s">
        <v>23</v>
      </c>
      <c r="B1152" s="60" t="str">
        <f t="shared" si="821"/>
        <v>hide</v>
      </c>
      <c r="D1152" s="48" t="str">
        <f>D1151</f>
        <v>11251</v>
      </c>
      <c r="E1152" s="7"/>
      <c r="F1152" s="27">
        <v>0</v>
      </c>
      <c r="G1152" s="27">
        <v>0</v>
      </c>
      <c r="H1152" s="27">
        <v>0</v>
      </c>
      <c r="I1152" s="27">
        <v>0</v>
      </c>
      <c r="J1152" s="27">
        <v>0</v>
      </c>
      <c r="K1152" s="63">
        <f>AVERAGE(I1152:J1152)</f>
        <v>0</v>
      </c>
      <c r="L1152" s="56" t="str">
        <f>"SW-RISER-PACK"</f>
        <v>SW-RISER-PACK</v>
      </c>
      <c r="M1152" s="14"/>
      <c r="N1152" s="15"/>
      <c r="O1152" s="12"/>
      <c r="P1152" s="34"/>
      <c r="Q1152" s="37"/>
      <c r="R1152" s="47"/>
      <c r="S1152" s="46"/>
    </row>
    <row r="1153" spans="1:19" ht="12" hidden="1" customHeight="1" x14ac:dyDescent="0.3">
      <c r="A1153" s="35" t="s">
        <v>908</v>
      </c>
      <c r="B1153" s="49" t="str">
        <f>B1149</f>
        <v>hide</v>
      </c>
      <c r="N1153"/>
      <c r="Q1153" s="33"/>
    </row>
    <row r="1154" spans="1:19" ht="13.8" hidden="1" thickBot="1" x14ac:dyDescent="0.3">
      <c r="A1154" t="s">
        <v>23</v>
      </c>
      <c r="B1154" s="49" t="str">
        <f t="shared" ref="B1154" si="822">B1153</f>
        <v>hide</v>
      </c>
      <c r="D1154" s="58"/>
      <c r="E1154" s="58"/>
      <c r="F1154" s="52">
        <f>SUM(F1149:F1153)</f>
        <v>0</v>
      </c>
      <c r="G1154" s="52">
        <f>SUM(G1149:G1153)</f>
        <v>0</v>
      </c>
      <c r="H1154" s="52">
        <f>SUM(H1149:H1153)</f>
        <v>0</v>
      </c>
      <c r="I1154" s="52">
        <f>SUM(I1149:I1153)</f>
        <v>0</v>
      </c>
      <c r="J1154" s="52">
        <f>SUM(J1149:J1153)</f>
        <v>0</v>
      </c>
      <c r="K1154" s="52"/>
      <c r="L1154" s="51" t="s">
        <v>4</v>
      </c>
      <c r="M1154" s="58"/>
      <c r="N1154" s="58"/>
      <c r="O1154" s="58"/>
      <c r="P1154" s="58"/>
      <c r="Q1154" s="58"/>
      <c r="R1154" s="58"/>
      <c r="S1154" s="58"/>
    </row>
    <row r="1155" spans="1:19" s="59" customFormat="1" ht="18.75" hidden="1" customHeight="1" thickBot="1" x14ac:dyDescent="0.3">
      <c r="A1155" s="59" t="s">
        <v>23</v>
      </c>
      <c r="B1155" s="60" t="str">
        <f t="shared" ref="B1155:B1156" si="823">IF(K1155=0,"hide","")</f>
        <v>hide</v>
      </c>
      <c r="D1155" s="61" t="str">
        <f>"11275"</f>
        <v>11275</v>
      </c>
      <c r="E1155" s="62" t="str">
        <f>"2"</f>
        <v>2</v>
      </c>
      <c r="F1155" s="63">
        <v>3.3333333333333335</v>
      </c>
      <c r="G1155" s="63">
        <v>0</v>
      </c>
      <c r="H1155" s="63">
        <v>0</v>
      </c>
      <c r="I1155" s="63">
        <v>0</v>
      </c>
      <c r="J1155" s="63">
        <v>0</v>
      </c>
      <c r="K1155" s="63">
        <f>AVERAGE(I1155:J1155)</f>
        <v>0</v>
      </c>
      <c r="L1155" s="64" t="str">
        <f>"BANANA (LOW FAT) MUFFINS"</f>
        <v>BANANA (LOW FAT) MUFFINS</v>
      </c>
      <c r="M1155" s="65" t="str">
        <f>"192-1 oz. 8-24 pack"</f>
        <v>192-1 oz. 8-24 pack</v>
      </c>
      <c r="N1155" s="66">
        <v>192</v>
      </c>
      <c r="O1155" s="67" t="str">
        <f>""</f>
        <v/>
      </c>
      <c r="P1155" s="68" t="e">
        <f>1/O1155</f>
        <v>#VALUE!</v>
      </c>
      <c r="Q1155" s="53">
        <v>1</v>
      </c>
      <c r="R1155" s="69">
        <f t="shared" ref="R1155" si="824">1/Q1155</f>
        <v>1</v>
      </c>
      <c r="S1155" s="70">
        <f t="shared" ref="S1155" si="825">R1155*N1155</f>
        <v>192</v>
      </c>
    </row>
    <row r="1156" spans="1:19" ht="15.6" hidden="1" customHeight="1" thickBot="1" x14ac:dyDescent="0.3">
      <c r="A1156" t="s">
        <v>23</v>
      </c>
      <c r="B1156" s="60" t="str">
        <f t="shared" si="823"/>
        <v>hide</v>
      </c>
      <c r="D1156" s="48" t="str">
        <f>D1155</f>
        <v>11275</v>
      </c>
      <c r="E1156" s="7"/>
      <c r="F1156" s="27">
        <v>0</v>
      </c>
      <c r="G1156" s="27">
        <v>0</v>
      </c>
      <c r="H1156" s="27">
        <v>0</v>
      </c>
      <c r="I1156" s="27">
        <v>0</v>
      </c>
      <c r="J1156" s="27">
        <v>0</v>
      </c>
      <c r="K1156" s="63">
        <f>AVERAGE(I1156:J1156)</f>
        <v>0</v>
      </c>
      <c r="L1156" s="56" t="str">
        <f>"EQP-LAWPACK1"</f>
        <v>EQP-LAWPACK1</v>
      </c>
      <c r="M1156" s="14"/>
      <c r="N1156" s="15"/>
      <c r="O1156" s="12"/>
      <c r="P1156" s="34"/>
      <c r="Q1156" s="37"/>
      <c r="R1156" s="47"/>
      <c r="S1156" s="46"/>
    </row>
    <row r="1157" spans="1:19" ht="15.6" hidden="1" customHeight="1" thickBot="1" x14ac:dyDescent="0.3">
      <c r="A1157" t="s">
        <v>23</v>
      </c>
      <c r="B1157" s="60" t="str">
        <f t="shared" ref="B1157:B1159" si="826">IF(K1157=0,"hide","")</f>
        <v>hide</v>
      </c>
      <c r="D1157" s="48" t="str">
        <f>D1156</f>
        <v>11275</v>
      </c>
      <c r="E1157" s="7"/>
      <c r="F1157" s="27">
        <v>0</v>
      </c>
      <c r="G1157" s="27">
        <v>0</v>
      </c>
      <c r="H1157" s="27">
        <v>0</v>
      </c>
      <c r="I1157" s="27">
        <v>0</v>
      </c>
      <c r="J1157" s="27">
        <v>0</v>
      </c>
      <c r="K1157" s="63">
        <f>AVERAGE(I1157:J1157)</f>
        <v>0</v>
      </c>
      <c r="L1157" s="56" t="str">
        <f>"EQP-LAWPACK2"</f>
        <v>EQP-LAWPACK2</v>
      </c>
      <c r="M1157" s="14"/>
      <c r="N1157" s="15"/>
      <c r="O1157" s="12"/>
      <c r="P1157" s="34"/>
      <c r="Q1157" s="37"/>
      <c r="R1157" s="47"/>
      <c r="S1157" s="46"/>
    </row>
    <row r="1158" spans="1:19" ht="15.6" hidden="1" customHeight="1" thickBot="1" x14ac:dyDescent="0.3">
      <c r="A1158" t="s">
        <v>23</v>
      </c>
      <c r="B1158" s="60" t="str">
        <f t="shared" si="826"/>
        <v>hide</v>
      </c>
      <c r="D1158" s="48" t="str">
        <f>D1157</f>
        <v>11275</v>
      </c>
      <c r="E1158" s="7"/>
      <c r="F1158" s="27">
        <v>0</v>
      </c>
      <c r="G1158" s="27">
        <v>0</v>
      </c>
      <c r="H1158" s="27">
        <v>0</v>
      </c>
      <c r="I1158" s="27">
        <v>0</v>
      </c>
      <c r="J1158" s="27">
        <v>0</v>
      </c>
      <c r="K1158" s="63">
        <f>AVERAGE(I1158:J1158)</f>
        <v>0</v>
      </c>
      <c r="L1158" s="56" t="str">
        <f>"SW-COMAS-PACKL"</f>
        <v>SW-COMAS-PACKL</v>
      </c>
      <c r="M1158" s="14"/>
      <c r="N1158" s="15"/>
      <c r="O1158" s="12"/>
      <c r="P1158" s="34"/>
      <c r="Q1158" s="37"/>
      <c r="R1158" s="47"/>
      <c r="S1158" s="46"/>
    </row>
    <row r="1159" spans="1:19" ht="15.6" hidden="1" customHeight="1" thickBot="1" x14ac:dyDescent="0.3">
      <c r="A1159" t="s">
        <v>23</v>
      </c>
      <c r="B1159" s="60" t="str">
        <f t="shared" si="826"/>
        <v>hide</v>
      </c>
      <c r="D1159" s="48" t="str">
        <f>D1158</f>
        <v>11275</v>
      </c>
      <c r="E1159" s="7"/>
      <c r="F1159" s="27">
        <v>0</v>
      </c>
      <c r="G1159" s="27">
        <v>0</v>
      </c>
      <c r="H1159" s="27">
        <v>0</v>
      </c>
      <c r="I1159" s="27">
        <v>0</v>
      </c>
      <c r="J1159" s="27">
        <v>0</v>
      </c>
      <c r="K1159" s="63">
        <f>AVERAGE(I1159:J1159)</f>
        <v>0</v>
      </c>
      <c r="L1159" s="56" t="str">
        <f>"SW-RISER-PACK"</f>
        <v>SW-RISER-PACK</v>
      </c>
      <c r="M1159" s="14"/>
      <c r="N1159" s="15"/>
      <c r="O1159" s="12"/>
      <c r="P1159" s="34"/>
      <c r="Q1159" s="37"/>
      <c r="R1159" s="47"/>
      <c r="S1159" s="46"/>
    </row>
    <row r="1160" spans="1:19" ht="12" hidden="1" customHeight="1" x14ac:dyDescent="0.3">
      <c r="A1160" s="35" t="s">
        <v>908</v>
      </c>
      <c r="B1160" s="49" t="str">
        <f>B1156</f>
        <v>hide</v>
      </c>
      <c r="N1160"/>
      <c r="Q1160" s="33"/>
    </row>
    <row r="1161" spans="1:19" ht="13.8" hidden="1" thickBot="1" x14ac:dyDescent="0.3">
      <c r="A1161" t="s">
        <v>23</v>
      </c>
      <c r="B1161" s="49" t="str">
        <f t="shared" ref="B1161" si="827">B1160</f>
        <v>hide</v>
      </c>
      <c r="D1161" s="58"/>
      <c r="E1161" s="58"/>
      <c r="F1161" s="52">
        <f>SUM(F1156:F1160)</f>
        <v>0</v>
      </c>
      <c r="G1161" s="52">
        <f>SUM(G1156:G1160)</f>
        <v>0</v>
      </c>
      <c r="H1161" s="52">
        <f>SUM(H1156:H1160)</f>
        <v>0</v>
      </c>
      <c r="I1161" s="52">
        <f>SUM(I1156:I1160)</f>
        <v>0</v>
      </c>
      <c r="J1161" s="52">
        <f>SUM(J1156:J1160)</f>
        <v>0</v>
      </c>
      <c r="K1161" s="52"/>
      <c r="L1161" s="51" t="s">
        <v>4</v>
      </c>
      <c r="M1161" s="58"/>
      <c r="N1161" s="58"/>
      <c r="O1161" s="58"/>
      <c r="P1161" s="58"/>
      <c r="Q1161" s="58"/>
      <c r="R1161" s="58"/>
      <c r="S1161" s="58"/>
    </row>
    <row r="1162" spans="1:19" s="59" customFormat="1" ht="18.75" customHeight="1" thickBot="1" x14ac:dyDescent="0.3">
      <c r="A1162" s="59" t="s">
        <v>23</v>
      </c>
      <c r="B1162" s="60" t="str">
        <f t="shared" ref="B1162:B1163" si="828">IF(K1162=0,"hide","")</f>
        <v/>
      </c>
      <c r="D1162" s="61" t="str">
        <f>"11901"</f>
        <v>11901</v>
      </c>
      <c r="E1162" s="62" t="str">
        <f>"3"</f>
        <v>3</v>
      </c>
      <c r="F1162" s="63">
        <v>293.91666666666663</v>
      </c>
      <c r="G1162" s="63">
        <v>160.66666666666666</v>
      </c>
      <c r="H1162" s="63">
        <v>117.25</v>
      </c>
      <c r="I1162" s="63">
        <v>31.750000000000004</v>
      </c>
      <c r="J1162" s="63">
        <v>0</v>
      </c>
      <c r="K1162" s="63">
        <f>AVERAGE(I1162:J1162)</f>
        <v>15.875000000000002</v>
      </c>
      <c r="L1162" s="64" t="str">
        <f>"1542 Muffin, Mini Blubry, Tray Pack"</f>
        <v>1542 Muffin, Mini Blubry, Tray Pack</v>
      </c>
      <c r="M1162" s="65" t="str">
        <f>"192/1 oz"</f>
        <v>192/1 oz</v>
      </c>
      <c r="N1162" s="66">
        <v>192</v>
      </c>
      <c r="O1162" s="67" t="str">
        <f>""</f>
        <v/>
      </c>
      <c r="P1162" s="68" t="e">
        <f>1/O1162</f>
        <v>#VALUE!</v>
      </c>
      <c r="Q1162" s="53">
        <v>1</v>
      </c>
      <c r="R1162" s="69">
        <f t="shared" ref="R1162" si="829">1/Q1162</f>
        <v>1</v>
      </c>
      <c r="S1162" s="70">
        <f t="shared" ref="S1162" si="830">R1162*N1162</f>
        <v>192</v>
      </c>
    </row>
    <row r="1163" spans="1:19" ht="15.6" hidden="1" customHeight="1" thickBot="1" x14ac:dyDescent="0.3">
      <c r="A1163" t="s">
        <v>23</v>
      </c>
      <c r="B1163" s="60" t="str">
        <f t="shared" si="828"/>
        <v>hide</v>
      </c>
      <c r="D1163" s="48" t="str">
        <f>D1162</f>
        <v>11901</v>
      </c>
      <c r="E1163" s="7"/>
      <c r="F1163" s="27">
        <v>0</v>
      </c>
      <c r="G1163" s="27">
        <v>0</v>
      </c>
      <c r="H1163" s="27">
        <v>0</v>
      </c>
      <c r="I1163" s="27">
        <v>0</v>
      </c>
      <c r="J1163" s="27">
        <v>0</v>
      </c>
      <c r="K1163" s="63">
        <f>AVERAGE(I1163:J1163)</f>
        <v>0</v>
      </c>
      <c r="L1163" s="56" t="str">
        <f>"EQP-LAWPACK1"</f>
        <v>EQP-LAWPACK1</v>
      </c>
      <c r="M1163" s="14"/>
      <c r="N1163" s="15"/>
      <c r="O1163" s="12"/>
      <c r="P1163" s="34"/>
      <c r="Q1163" s="37"/>
      <c r="R1163" s="47"/>
      <c r="S1163" s="46"/>
    </row>
    <row r="1164" spans="1:19" ht="15.6" hidden="1" customHeight="1" thickBot="1" x14ac:dyDescent="0.3">
      <c r="A1164" t="s">
        <v>23</v>
      </c>
      <c r="B1164" s="60" t="str">
        <f t="shared" ref="B1164:B1166" si="831">IF(K1164=0,"hide","")</f>
        <v>hide</v>
      </c>
      <c r="D1164" s="48" t="str">
        <f>D1163</f>
        <v>11901</v>
      </c>
      <c r="E1164" s="7"/>
      <c r="F1164" s="27">
        <v>0</v>
      </c>
      <c r="G1164" s="27">
        <v>0</v>
      </c>
      <c r="H1164" s="27">
        <v>0</v>
      </c>
      <c r="I1164" s="27">
        <v>0</v>
      </c>
      <c r="J1164" s="27">
        <v>0</v>
      </c>
      <c r="K1164" s="63">
        <f>AVERAGE(I1164:J1164)</f>
        <v>0</v>
      </c>
      <c r="L1164" s="56" t="str">
        <f>"EQP-LAWPACK2"</f>
        <v>EQP-LAWPACK2</v>
      </c>
      <c r="M1164" s="14"/>
      <c r="N1164" s="15"/>
      <c r="O1164" s="12"/>
      <c r="P1164" s="34"/>
      <c r="Q1164" s="37"/>
      <c r="R1164" s="47"/>
      <c r="S1164" s="46"/>
    </row>
    <row r="1165" spans="1:19" ht="15.6" hidden="1" customHeight="1" thickBot="1" x14ac:dyDescent="0.3">
      <c r="A1165" t="s">
        <v>23</v>
      </c>
      <c r="B1165" s="60" t="str">
        <f t="shared" si="831"/>
        <v>hide</v>
      </c>
      <c r="D1165" s="48" t="str">
        <f>D1164</f>
        <v>11901</v>
      </c>
      <c r="E1165" s="7"/>
      <c r="F1165" s="27">
        <v>0</v>
      </c>
      <c r="G1165" s="27">
        <v>0</v>
      </c>
      <c r="H1165" s="27">
        <v>0</v>
      </c>
      <c r="I1165" s="27">
        <v>0</v>
      </c>
      <c r="J1165" s="27">
        <v>0</v>
      </c>
      <c r="K1165" s="63">
        <f>AVERAGE(I1165:J1165)</f>
        <v>0</v>
      </c>
      <c r="L1165" s="56" t="str">
        <f>"SW-COMAS-PACKL"</f>
        <v>SW-COMAS-PACKL</v>
      </c>
      <c r="M1165" s="14"/>
      <c r="N1165" s="15"/>
      <c r="O1165" s="12"/>
      <c r="P1165" s="34"/>
      <c r="Q1165" s="37"/>
      <c r="R1165" s="47"/>
      <c r="S1165" s="46"/>
    </row>
    <row r="1166" spans="1:19" ht="15.6" hidden="1" customHeight="1" thickBot="1" x14ac:dyDescent="0.3">
      <c r="A1166" t="s">
        <v>23</v>
      </c>
      <c r="B1166" s="60" t="str">
        <f t="shared" si="831"/>
        <v>hide</v>
      </c>
      <c r="D1166" s="48" t="str">
        <f>D1165</f>
        <v>11901</v>
      </c>
      <c r="E1166" s="7"/>
      <c r="F1166" s="27">
        <v>0</v>
      </c>
      <c r="G1166" s="27">
        <v>0</v>
      </c>
      <c r="H1166" s="27">
        <v>0</v>
      </c>
      <c r="I1166" s="27">
        <v>0</v>
      </c>
      <c r="J1166" s="27">
        <v>0</v>
      </c>
      <c r="K1166" s="63">
        <f>AVERAGE(I1166:J1166)</f>
        <v>0</v>
      </c>
      <c r="L1166" s="56" t="str">
        <f>"SW-RISER-PACK"</f>
        <v>SW-RISER-PACK</v>
      </c>
      <c r="M1166" s="14"/>
      <c r="N1166" s="15"/>
      <c r="O1166" s="12"/>
      <c r="P1166" s="34"/>
      <c r="Q1166" s="37"/>
      <c r="R1166" s="47"/>
      <c r="S1166" s="46"/>
    </row>
    <row r="1167" spans="1:19" ht="12" hidden="1" customHeight="1" x14ac:dyDescent="0.3">
      <c r="A1167" s="35" t="s">
        <v>908</v>
      </c>
      <c r="B1167" s="49" t="str">
        <f>B1163</f>
        <v>hide</v>
      </c>
      <c r="N1167"/>
      <c r="Q1167" s="33"/>
    </row>
    <row r="1168" spans="1:19" ht="13.8" hidden="1" thickBot="1" x14ac:dyDescent="0.3">
      <c r="A1168" t="s">
        <v>23</v>
      </c>
      <c r="B1168" s="49" t="str">
        <f t="shared" ref="B1168" si="832">B1167</f>
        <v>hide</v>
      </c>
      <c r="D1168" s="58"/>
      <c r="E1168" s="58"/>
      <c r="F1168" s="52">
        <f>SUM(F1163:F1167)</f>
        <v>0</v>
      </c>
      <c r="G1168" s="52">
        <f>SUM(G1163:G1167)</f>
        <v>0</v>
      </c>
      <c r="H1168" s="52">
        <f>SUM(H1163:H1167)</f>
        <v>0</v>
      </c>
      <c r="I1168" s="52">
        <f>SUM(I1163:I1167)</f>
        <v>0</v>
      </c>
      <c r="J1168" s="52">
        <f>SUM(J1163:J1167)</f>
        <v>0</v>
      </c>
      <c r="K1168" s="52"/>
      <c r="L1168" s="51" t="s">
        <v>4</v>
      </c>
      <c r="M1168" s="58"/>
      <c r="N1168" s="58"/>
      <c r="O1168" s="58"/>
      <c r="P1168" s="58"/>
      <c r="Q1168" s="58"/>
      <c r="R1168" s="58"/>
      <c r="S1168" s="58"/>
    </row>
    <row r="1169" spans="1:19" s="59" customFormat="1" ht="18.75" hidden="1" customHeight="1" thickBot="1" x14ac:dyDescent="0.3">
      <c r="A1169" s="59" t="s">
        <v>23</v>
      </c>
      <c r="B1169" s="60" t="str">
        <f t="shared" ref="B1169:B1170" si="833">IF(K1169=0,"hide","")</f>
        <v>hide</v>
      </c>
      <c r="D1169" s="61" t="str">
        <f>"11905"</f>
        <v>11905</v>
      </c>
      <c r="E1169" s="62" t="str">
        <f>"3"</f>
        <v>3</v>
      </c>
      <c r="F1169" s="63">
        <v>86.416666666666671</v>
      </c>
      <c r="G1169" s="63">
        <v>33.083333333333336</v>
      </c>
      <c r="H1169" s="63">
        <v>0</v>
      </c>
      <c r="I1169" s="63">
        <v>0</v>
      </c>
      <c r="J1169" s="63">
        <v>0</v>
      </c>
      <c r="K1169" s="63">
        <f>AVERAGE(I1169:J1169)</f>
        <v>0</v>
      </c>
      <c r="L1169" s="64" t="str">
        <f>"1541 Muffin, Mini Crnbrd, Tray Pack"</f>
        <v>1541 Muffin, Mini Crnbrd, Tray Pack</v>
      </c>
      <c r="M1169" s="65" t="str">
        <f>"192/1 oz"</f>
        <v>192/1 oz</v>
      </c>
      <c r="N1169" s="66">
        <v>192</v>
      </c>
      <c r="O1169" s="67" t="str">
        <f>""</f>
        <v/>
      </c>
      <c r="P1169" s="68" t="e">
        <f>1/O1169</f>
        <v>#VALUE!</v>
      </c>
      <c r="Q1169" s="53">
        <v>1</v>
      </c>
      <c r="R1169" s="69">
        <f t="shared" ref="R1169" si="834">1/Q1169</f>
        <v>1</v>
      </c>
      <c r="S1169" s="70">
        <f t="shared" ref="S1169" si="835">R1169*N1169</f>
        <v>192</v>
      </c>
    </row>
    <row r="1170" spans="1:19" ht="15.6" hidden="1" customHeight="1" thickBot="1" x14ac:dyDescent="0.3">
      <c r="A1170" t="s">
        <v>23</v>
      </c>
      <c r="B1170" s="60" t="str">
        <f t="shared" si="833"/>
        <v>hide</v>
      </c>
      <c r="D1170" s="48" t="str">
        <f>D1169</f>
        <v>11905</v>
      </c>
      <c r="E1170" s="7"/>
      <c r="F1170" s="27">
        <v>0</v>
      </c>
      <c r="G1170" s="27">
        <v>0</v>
      </c>
      <c r="H1170" s="27">
        <v>0</v>
      </c>
      <c r="I1170" s="27">
        <v>0</v>
      </c>
      <c r="J1170" s="27">
        <v>0</v>
      </c>
      <c r="K1170" s="63">
        <f>AVERAGE(I1170:J1170)</f>
        <v>0</v>
      </c>
      <c r="L1170" s="56" t="str">
        <f>"EQP-LAWPACK1"</f>
        <v>EQP-LAWPACK1</v>
      </c>
      <c r="M1170" s="14"/>
      <c r="N1170" s="15"/>
      <c r="O1170" s="12"/>
      <c r="P1170" s="34"/>
      <c r="Q1170" s="37"/>
      <c r="R1170" s="47"/>
      <c r="S1170" s="46"/>
    </row>
    <row r="1171" spans="1:19" ht="15.6" hidden="1" customHeight="1" thickBot="1" x14ac:dyDescent="0.3">
      <c r="A1171" t="s">
        <v>23</v>
      </c>
      <c r="B1171" s="60" t="str">
        <f t="shared" ref="B1171:B1173" si="836">IF(K1171=0,"hide","")</f>
        <v>hide</v>
      </c>
      <c r="D1171" s="48" t="str">
        <f>D1170</f>
        <v>11905</v>
      </c>
      <c r="E1171" s="7"/>
      <c r="F1171" s="27">
        <v>0</v>
      </c>
      <c r="G1171" s="27">
        <v>0</v>
      </c>
      <c r="H1171" s="27">
        <v>0</v>
      </c>
      <c r="I1171" s="27">
        <v>0</v>
      </c>
      <c r="J1171" s="27">
        <v>0</v>
      </c>
      <c r="K1171" s="63">
        <f>AVERAGE(I1171:J1171)</f>
        <v>0</v>
      </c>
      <c r="L1171" s="56" t="str">
        <f>"EQP-LAWPACK2"</f>
        <v>EQP-LAWPACK2</v>
      </c>
      <c r="M1171" s="14"/>
      <c r="N1171" s="15"/>
      <c r="O1171" s="12"/>
      <c r="P1171" s="34"/>
      <c r="Q1171" s="37"/>
      <c r="R1171" s="47"/>
      <c r="S1171" s="46"/>
    </row>
    <row r="1172" spans="1:19" ht="15.6" hidden="1" customHeight="1" thickBot="1" x14ac:dyDescent="0.3">
      <c r="A1172" t="s">
        <v>23</v>
      </c>
      <c r="B1172" s="60" t="str">
        <f t="shared" si="836"/>
        <v>hide</v>
      </c>
      <c r="D1172" s="48" t="str">
        <f>D1171</f>
        <v>11905</v>
      </c>
      <c r="E1172" s="7"/>
      <c r="F1172" s="27">
        <v>0</v>
      </c>
      <c r="G1172" s="27">
        <v>0</v>
      </c>
      <c r="H1172" s="27">
        <v>0</v>
      </c>
      <c r="I1172" s="27">
        <v>0</v>
      </c>
      <c r="J1172" s="27">
        <v>0</v>
      </c>
      <c r="K1172" s="63">
        <f>AVERAGE(I1172:J1172)</f>
        <v>0</v>
      </c>
      <c r="L1172" s="56" t="str">
        <f>"SW-COMAS-PACKL"</f>
        <v>SW-COMAS-PACKL</v>
      </c>
      <c r="M1172" s="14"/>
      <c r="N1172" s="15"/>
      <c r="O1172" s="12"/>
      <c r="P1172" s="34"/>
      <c r="Q1172" s="37"/>
      <c r="R1172" s="47"/>
      <c r="S1172" s="46"/>
    </row>
    <row r="1173" spans="1:19" ht="15.6" hidden="1" customHeight="1" thickBot="1" x14ac:dyDescent="0.3">
      <c r="A1173" t="s">
        <v>23</v>
      </c>
      <c r="B1173" s="60" t="str">
        <f t="shared" si="836"/>
        <v>hide</v>
      </c>
      <c r="D1173" s="48" t="str">
        <f>D1172</f>
        <v>11905</v>
      </c>
      <c r="E1173" s="7"/>
      <c r="F1173" s="27">
        <v>0</v>
      </c>
      <c r="G1173" s="27">
        <v>0</v>
      </c>
      <c r="H1173" s="27">
        <v>0</v>
      </c>
      <c r="I1173" s="27">
        <v>0</v>
      </c>
      <c r="J1173" s="27">
        <v>0</v>
      </c>
      <c r="K1173" s="63">
        <f>AVERAGE(I1173:J1173)</f>
        <v>0</v>
      </c>
      <c r="L1173" s="56" t="str">
        <f>"SW-RISER-PACK"</f>
        <v>SW-RISER-PACK</v>
      </c>
      <c r="M1173" s="14"/>
      <c r="N1173" s="15"/>
      <c r="O1173" s="12"/>
      <c r="P1173" s="34"/>
      <c r="Q1173" s="37"/>
      <c r="R1173" s="47"/>
      <c r="S1173" s="46"/>
    </row>
    <row r="1174" spans="1:19" ht="12" hidden="1" customHeight="1" x14ac:dyDescent="0.3">
      <c r="A1174" s="35" t="s">
        <v>908</v>
      </c>
      <c r="B1174" s="49" t="str">
        <f>B1170</f>
        <v>hide</v>
      </c>
      <c r="N1174"/>
      <c r="Q1174" s="33"/>
    </row>
    <row r="1175" spans="1:19" ht="13.8" hidden="1" thickBot="1" x14ac:dyDescent="0.3">
      <c r="A1175" t="s">
        <v>23</v>
      </c>
      <c r="B1175" s="49" t="str">
        <f t="shared" ref="B1175" si="837">B1174</f>
        <v>hide</v>
      </c>
      <c r="D1175" s="58"/>
      <c r="E1175" s="58"/>
      <c r="F1175" s="52">
        <f>SUM(F1170:F1174)</f>
        <v>0</v>
      </c>
      <c r="G1175" s="52">
        <f>SUM(G1170:G1174)</f>
        <v>0</v>
      </c>
      <c r="H1175" s="52">
        <f>SUM(H1170:H1174)</f>
        <v>0</v>
      </c>
      <c r="I1175" s="52">
        <f>SUM(I1170:I1174)</f>
        <v>0</v>
      </c>
      <c r="J1175" s="52">
        <f>SUM(J1170:J1174)</f>
        <v>0</v>
      </c>
      <c r="K1175" s="52"/>
      <c r="L1175" s="51" t="s">
        <v>4</v>
      </c>
      <c r="M1175" s="58"/>
      <c r="N1175" s="58"/>
      <c r="O1175" s="58"/>
      <c r="P1175" s="58"/>
      <c r="Q1175" s="58"/>
      <c r="R1175" s="58"/>
      <c r="S1175" s="58"/>
    </row>
    <row r="1176" spans="1:19" s="59" customFormat="1" ht="18.75" hidden="1" customHeight="1" thickBot="1" x14ac:dyDescent="0.3">
      <c r="A1176" s="59" t="s">
        <v>23</v>
      </c>
      <c r="B1176" s="60" t="str">
        <f t="shared" ref="B1176:B1177" si="838">IF(K1176=0,"hide","")</f>
        <v>hide</v>
      </c>
      <c r="D1176" s="61" t="str">
        <f>"11925"</f>
        <v>11925</v>
      </c>
      <c r="E1176" s="62" t="str">
        <f>"2"</f>
        <v>2</v>
      </c>
      <c r="F1176" s="63">
        <v>0</v>
      </c>
      <c r="G1176" s="63">
        <v>0</v>
      </c>
      <c r="H1176" s="63">
        <v>0</v>
      </c>
      <c r="I1176" s="63">
        <v>0</v>
      </c>
      <c r="J1176" s="63">
        <v>0</v>
      </c>
      <c r="K1176" s="63">
        <f>AVERAGE(I1176:J1176)</f>
        <v>0</v>
      </c>
      <c r="L1176" s="64" t="str">
        <f>"1543 Jalapeno Cornbread"</f>
        <v>1543 Jalapeno Cornbread</v>
      </c>
      <c r="M1176" s="65" t="str">
        <f>"192-1 oz. 8-24 pack"</f>
        <v>192-1 oz. 8-24 pack</v>
      </c>
      <c r="N1176" s="66">
        <v>192</v>
      </c>
      <c r="O1176" s="67" t="str">
        <f>""</f>
        <v/>
      </c>
      <c r="P1176" s="68" t="e">
        <f>1/O1176</f>
        <v>#VALUE!</v>
      </c>
      <c r="Q1176" s="53">
        <v>1</v>
      </c>
      <c r="R1176" s="69">
        <f t="shared" ref="R1176" si="839">1/Q1176</f>
        <v>1</v>
      </c>
      <c r="S1176" s="70">
        <f t="shared" ref="S1176" si="840">R1176*N1176</f>
        <v>192</v>
      </c>
    </row>
    <row r="1177" spans="1:19" ht="15.6" hidden="1" customHeight="1" thickBot="1" x14ac:dyDescent="0.3">
      <c r="A1177" t="s">
        <v>23</v>
      </c>
      <c r="B1177" s="60" t="str">
        <f t="shared" si="838"/>
        <v>hide</v>
      </c>
      <c r="D1177" s="48" t="str">
        <f>D1176</f>
        <v>11925</v>
      </c>
      <c r="E1177" s="7"/>
      <c r="F1177" s="27">
        <v>0</v>
      </c>
      <c r="G1177" s="27">
        <v>0</v>
      </c>
      <c r="H1177" s="27">
        <v>0</v>
      </c>
      <c r="I1177" s="27">
        <v>0</v>
      </c>
      <c r="J1177" s="27">
        <v>0</v>
      </c>
      <c r="K1177" s="63">
        <f>AVERAGE(I1177:J1177)</f>
        <v>0</v>
      </c>
      <c r="L1177" s="56" t="str">
        <f>"EQP-LAWPACK1"</f>
        <v>EQP-LAWPACK1</v>
      </c>
      <c r="M1177" s="14"/>
      <c r="N1177" s="15"/>
      <c r="O1177" s="12"/>
      <c r="P1177" s="34"/>
      <c r="Q1177" s="37"/>
      <c r="R1177" s="47"/>
      <c r="S1177" s="46"/>
    </row>
    <row r="1178" spans="1:19" ht="15.6" hidden="1" customHeight="1" thickBot="1" x14ac:dyDescent="0.3">
      <c r="A1178" t="s">
        <v>23</v>
      </c>
      <c r="B1178" s="60" t="str">
        <f t="shared" ref="B1178:B1180" si="841">IF(K1178=0,"hide","")</f>
        <v>hide</v>
      </c>
      <c r="D1178" s="48" t="str">
        <f>D1177</f>
        <v>11925</v>
      </c>
      <c r="E1178" s="7"/>
      <c r="F1178" s="27">
        <v>0</v>
      </c>
      <c r="G1178" s="27">
        <v>0</v>
      </c>
      <c r="H1178" s="27">
        <v>0</v>
      </c>
      <c r="I1178" s="27">
        <v>0</v>
      </c>
      <c r="J1178" s="27">
        <v>0</v>
      </c>
      <c r="K1178" s="63">
        <f>AVERAGE(I1178:J1178)</f>
        <v>0</v>
      </c>
      <c r="L1178" s="56" t="str">
        <f>"EQP-LAWPACK2"</f>
        <v>EQP-LAWPACK2</v>
      </c>
      <c r="M1178" s="14"/>
      <c r="N1178" s="15"/>
      <c r="O1178" s="12"/>
      <c r="P1178" s="34"/>
      <c r="Q1178" s="37"/>
      <c r="R1178" s="47"/>
      <c r="S1178" s="46"/>
    </row>
    <row r="1179" spans="1:19" ht="15.6" hidden="1" customHeight="1" thickBot="1" x14ac:dyDescent="0.3">
      <c r="A1179" t="s">
        <v>23</v>
      </c>
      <c r="B1179" s="60" t="str">
        <f t="shared" si="841"/>
        <v>hide</v>
      </c>
      <c r="D1179" s="48" t="str">
        <f>D1178</f>
        <v>11925</v>
      </c>
      <c r="E1179" s="7"/>
      <c r="F1179" s="27">
        <v>0</v>
      </c>
      <c r="G1179" s="27">
        <v>0</v>
      </c>
      <c r="H1179" s="27">
        <v>0</v>
      </c>
      <c r="I1179" s="27">
        <v>0</v>
      </c>
      <c r="J1179" s="27">
        <v>0</v>
      </c>
      <c r="K1179" s="63">
        <f>AVERAGE(I1179:J1179)</f>
        <v>0</v>
      </c>
      <c r="L1179" s="56" t="str">
        <f>"SW-COMAS-PACKL"</f>
        <v>SW-COMAS-PACKL</v>
      </c>
      <c r="M1179" s="14"/>
      <c r="N1179" s="15"/>
      <c r="O1179" s="12"/>
      <c r="P1179" s="34"/>
      <c r="Q1179" s="37"/>
      <c r="R1179" s="47"/>
      <c r="S1179" s="46"/>
    </row>
    <row r="1180" spans="1:19" ht="15.6" hidden="1" customHeight="1" thickBot="1" x14ac:dyDescent="0.3">
      <c r="A1180" t="s">
        <v>23</v>
      </c>
      <c r="B1180" s="60" t="str">
        <f t="shared" si="841"/>
        <v>hide</v>
      </c>
      <c r="D1180" s="48" t="str">
        <f>D1179</f>
        <v>11925</v>
      </c>
      <c r="E1180" s="7"/>
      <c r="F1180" s="27">
        <v>0</v>
      </c>
      <c r="G1180" s="27">
        <v>0</v>
      </c>
      <c r="H1180" s="27">
        <v>0</v>
      </c>
      <c r="I1180" s="27">
        <v>0</v>
      </c>
      <c r="J1180" s="27">
        <v>0</v>
      </c>
      <c r="K1180" s="63">
        <f>AVERAGE(I1180:J1180)</f>
        <v>0</v>
      </c>
      <c r="L1180" s="56" t="str">
        <f>"SW-RISER-PACK"</f>
        <v>SW-RISER-PACK</v>
      </c>
      <c r="M1180" s="14"/>
      <c r="N1180" s="15"/>
      <c r="O1180" s="12"/>
      <c r="P1180" s="34"/>
      <c r="Q1180" s="37"/>
      <c r="R1180" s="47"/>
      <c r="S1180" s="46"/>
    </row>
    <row r="1181" spans="1:19" ht="12" hidden="1" customHeight="1" x14ac:dyDescent="0.3">
      <c r="A1181" s="35" t="s">
        <v>908</v>
      </c>
      <c r="B1181" s="49" t="str">
        <f>B1177</f>
        <v>hide</v>
      </c>
      <c r="N1181"/>
      <c r="Q1181" s="33"/>
    </row>
    <row r="1182" spans="1:19" ht="13.8" hidden="1" thickBot="1" x14ac:dyDescent="0.3">
      <c r="A1182" t="s">
        <v>23</v>
      </c>
      <c r="B1182" s="49" t="str">
        <f t="shared" ref="B1182" si="842">B1181</f>
        <v>hide</v>
      </c>
      <c r="D1182" s="58"/>
      <c r="E1182" s="58"/>
      <c r="F1182" s="52">
        <f>SUM(F1177:F1181)</f>
        <v>0</v>
      </c>
      <c r="G1182" s="52">
        <f>SUM(G1177:G1181)</f>
        <v>0</v>
      </c>
      <c r="H1182" s="52">
        <f>SUM(H1177:H1181)</f>
        <v>0</v>
      </c>
      <c r="I1182" s="52">
        <f>SUM(I1177:I1181)</f>
        <v>0</v>
      </c>
      <c r="J1182" s="52">
        <f>SUM(J1177:J1181)</f>
        <v>0</v>
      </c>
      <c r="K1182" s="52"/>
      <c r="L1182" s="51" t="s">
        <v>4</v>
      </c>
      <c r="M1182" s="58"/>
      <c r="N1182" s="58"/>
      <c r="O1182" s="58"/>
      <c r="P1182" s="58"/>
      <c r="Q1182" s="58"/>
      <c r="R1182" s="58"/>
      <c r="S1182" s="58"/>
    </row>
    <row r="1183" spans="1:19" s="59" customFormat="1" ht="18.75" customHeight="1" thickBot="1" x14ac:dyDescent="0.3">
      <c r="A1183" s="59" t="s">
        <v>23</v>
      </c>
      <c r="B1183" s="60" t="str">
        <f t="shared" ref="B1183:B1184" si="843">IF(K1183=0,"hide","")</f>
        <v/>
      </c>
      <c r="D1183" s="61" t="str">
        <f>"11951"</f>
        <v>11951</v>
      </c>
      <c r="E1183" s="62" t="str">
        <f>"2"</f>
        <v>2</v>
      </c>
      <c r="F1183" s="63">
        <v>80.25</v>
      </c>
      <c r="G1183" s="63">
        <v>74.083333333333343</v>
      </c>
      <c r="H1183" s="63">
        <v>40.916666666666664</v>
      </c>
      <c r="I1183" s="63">
        <v>35.750000000000007</v>
      </c>
      <c r="J1183" s="63">
        <v>0</v>
      </c>
      <c r="K1183" s="63">
        <f>AVERAGE(I1183:J1183)</f>
        <v>17.875000000000004</v>
      </c>
      <c r="L1183" s="64" t="str">
        <f>"1546 Muffins, Banana, Tray Pack"</f>
        <v>1546 Muffins, Banana, Tray Pack</v>
      </c>
      <c r="M1183" s="65" t="str">
        <f>"192/1 oz"</f>
        <v>192/1 oz</v>
      </c>
      <c r="N1183" s="66">
        <v>192</v>
      </c>
      <c r="O1183" s="67" t="str">
        <f>""</f>
        <v/>
      </c>
      <c r="P1183" s="68" t="e">
        <f>1/O1183</f>
        <v>#VALUE!</v>
      </c>
      <c r="Q1183" s="53">
        <v>1</v>
      </c>
      <c r="R1183" s="69">
        <f t="shared" ref="R1183" si="844">1/Q1183</f>
        <v>1</v>
      </c>
      <c r="S1183" s="70">
        <f t="shared" ref="S1183" si="845">R1183*N1183</f>
        <v>192</v>
      </c>
    </row>
    <row r="1184" spans="1:19" ht="15.6" hidden="1" customHeight="1" thickBot="1" x14ac:dyDescent="0.3">
      <c r="A1184" t="s">
        <v>23</v>
      </c>
      <c r="B1184" s="60" t="str">
        <f t="shared" si="843"/>
        <v>hide</v>
      </c>
      <c r="D1184" s="48" t="str">
        <f>D1183</f>
        <v>11951</v>
      </c>
      <c r="E1184" s="7"/>
      <c r="F1184" s="27">
        <v>0</v>
      </c>
      <c r="G1184" s="27">
        <v>0</v>
      </c>
      <c r="H1184" s="27">
        <v>0</v>
      </c>
      <c r="I1184" s="27">
        <v>0</v>
      </c>
      <c r="J1184" s="27">
        <v>0</v>
      </c>
      <c r="K1184" s="63">
        <f>AVERAGE(I1184:J1184)</f>
        <v>0</v>
      </c>
      <c r="L1184" s="56" t="str">
        <f>"EQP-LAWPACK1"</f>
        <v>EQP-LAWPACK1</v>
      </c>
      <c r="M1184" s="14"/>
      <c r="N1184" s="15"/>
      <c r="O1184" s="12"/>
      <c r="P1184" s="34"/>
      <c r="Q1184" s="37"/>
      <c r="R1184" s="47"/>
      <c r="S1184" s="46"/>
    </row>
    <row r="1185" spans="1:19" ht="15.6" hidden="1" customHeight="1" thickBot="1" x14ac:dyDescent="0.3">
      <c r="A1185" t="s">
        <v>23</v>
      </c>
      <c r="B1185" s="60" t="str">
        <f t="shared" ref="B1185:B1187" si="846">IF(K1185=0,"hide","")</f>
        <v>hide</v>
      </c>
      <c r="D1185" s="48" t="str">
        <f>D1184</f>
        <v>11951</v>
      </c>
      <c r="E1185" s="7"/>
      <c r="F1185" s="27">
        <v>0</v>
      </c>
      <c r="G1185" s="27">
        <v>0</v>
      </c>
      <c r="H1185" s="27">
        <v>0</v>
      </c>
      <c r="I1185" s="27">
        <v>0</v>
      </c>
      <c r="J1185" s="27">
        <v>0</v>
      </c>
      <c r="K1185" s="63">
        <f>AVERAGE(I1185:J1185)</f>
        <v>0</v>
      </c>
      <c r="L1185" s="56" t="str">
        <f>"EQP-LAWPACK2"</f>
        <v>EQP-LAWPACK2</v>
      </c>
      <c r="M1185" s="14"/>
      <c r="N1185" s="15"/>
      <c r="O1185" s="12"/>
      <c r="P1185" s="34"/>
      <c r="Q1185" s="37"/>
      <c r="R1185" s="47"/>
      <c r="S1185" s="46"/>
    </row>
    <row r="1186" spans="1:19" ht="15.6" hidden="1" customHeight="1" thickBot="1" x14ac:dyDescent="0.3">
      <c r="A1186" t="s">
        <v>23</v>
      </c>
      <c r="B1186" s="60" t="str">
        <f t="shared" si="846"/>
        <v>hide</v>
      </c>
      <c r="D1186" s="48" t="str">
        <f>D1185</f>
        <v>11951</v>
      </c>
      <c r="E1186" s="7"/>
      <c r="F1186" s="27">
        <v>0</v>
      </c>
      <c r="G1186" s="27">
        <v>0</v>
      </c>
      <c r="H1186" s="27">
        <v>0</v>
      </c>
      <c r="I1186" s="27">
        <v>0</v>
      </c>
      <c r="J1186" s="27">
        <v>0</v>
      </c>
      <c r="K1186" s="63">
        <f>AVERAGE(I1186:J1186)</f>
        <v>0</v>
      </c>
      <c r="L1186" s="56" t="str">
        <f>"SW-COMAS-PACKL"</f>
        <v>SW-COMAS-PACKL</v>
      </c>
      <c r="M1186" s="14"/>
      <c r="N1186" s="15"/>
      <c r="O1186" s="12"/>
      <c r="P1186" s="34"/>
      <c r="Q1186" s="37"/>
      <c r="R1186" s="47"/>
      <c r="S1186" s="46"/>
    </row>
    <row r="1187" spans="1:19" ht="15.6" hidden="1" customHeight="1" thickBot="1" x14ac:dyDescent="0.3">
      <c r="A1187" t="s">
        <v>23</v>
      </c>
      <c r="B1187" s="60" t="str">
        <f t="shared" si="846"/>
        <v>hide</v>
      </c>
      <c r="D1187" s="48" t="str">
        <f>D1186</f>
        <v>11951</v>
      </c>
      <c r="E1187" s="7"/>
      <c r="F1187" s="27">
        <v>0</v>
      </c>
      <c r="G1187" s="27">
        <v>0</v>
      </c>
      <c r="H1187" s="27">
        <v>0</v>
      </c>
      <c r="I1187" s="27">
        <v>0</v>
      </c>
      <c r="J1187" s="27">
        <v>0</v>
      </c>
      <c r="K1187" s="63">
        <f>AVERAGE(I1187:J1187)</f>
        <v>0</v>
      </c>
      <c r="L1187" s="56" t="str">
        <f>"SW-RISER-PACK"</f>
        <v>SW-RISER-PACK</v>
      </c>
      <c r="M1187" s="14"/>
      <c r="N1187" s="15"/>
      <c r="O1187" s="12"/>
      <c r="P1187" s="34"/>
      <c r="Q1187" s="37"/>
      <c r="R1187" s="47"/>
      <c r="S1187" s="46"/>
    </row>
    <row r="1188" spans="1:19" ht="12" hidden="1" customHeight="1" x14ac:dyDescent="0.3">
      <c r="A1188" s="35" t="s">
        <v>908</v>
      </c>
      <c r="B1188" s="49" t="str">
        <f>B1184</f>
        <v>hide</v>
      </c>
      <c r="N1188"/>
      <c r="Q1188" s="33"/>
    </row>
    <row r="1189" spans="1:19" ht="13.8" hidden="1" thickBot="1" x14ac:dyDescent="0.3">
      <c r="A1189" t="s">
        <v>23</v>
      </c>
      <c r="B1189" s="49" t="str">
        <f t="shared" ref="B1189" si="847">B1188</f>
        <v>hide</v>
      </c>
      <c r="D1189" s="58"/>
      <c r="E1189" s="58"/>
      <c r="F1189" s="52">
        <f>SUM(F1184:F1188)</f>
        <v>0</v>
      </c>
      <c r="G1189" s="52">
        <f>SUM(G1184:G1188)</f>
        <v>0</v>
      </c>
      <c r="H1189" s="52">
        <f>SUM(H1184:H1188)</f>
        <v>0</v>
      </c>
      <c r="I1189" s="52">
        <f>SUM(I1184:I1188)</f>
        <v>0</v>
      </c>
      <c r="J1189" s="52">
        <f>SUM(J1184:J1188)</f>
        <v>0</v>
      </c>
      <c r="K1189" s="52"/>
      <c r="L1189" s="51" t="s">
        <v>4</v>
      </c>
      <c r="M1189" s="58"/>
      <c r="N1189" s="58"/>
      <c r="O1189" s="58"/>
      <c r="P1189" s="58"/>
      <c r="Q1189" s="58"/>
      <c r="R1189" s="58"/>
      <c r="S1189" s="58"/>
    </row>
    <row r="1190" spans="1:19" s="59" customFormat="1" ht="18.75" hidden="1" customHeight="1" thickBot="1" x14ac:dyDescent="0.3">
      <c r="A1190" s="59" t="s">
        <v>23</v>
      </c>
      <c r="B1190" s="60" t="str">
        <f t="shared" ref="B1190:B1191" si="848">IF(K1190=0,"hide","")</f>
        <v>hide</v>
      </c>
      <c r="D1190" s="61" t="str">
        <f>"11965"</f>
        <v>11965</v>
      </c>
      <c r="E1190" s="62" t="str">
        <f>"3"</f>
        <v>3</v>
      </c>
      <c r="F1190" s="63">
        <v>72.916666666666671</v>
      </c>
      <c r="G1190" s="63">
        <v>45.083333333333336</v>
      </c>
      <c r="H1190" s="63">
        <v>5.75</v>
      </c>
      <c r="I1190" s="63">
        <v>0</v>
      </c>
      <c r="J1190" s="63">
        <v>0</v>
      </c>
      <c r="K1190" s="63">
        <f>AVERAGE(I1190:J1190)</f>
        <v>0</v>
      </c>
      <c r="L1190" s="64" t="str">
        <f>"1562 Muffin, WG, Mini Crnbrd, Tray"</f>
        <v>1562 Muffin, WG, Mini Crnbrd, Tray</v>
      </c>
      <c r="M1190" s="65" t="str">
        <f>"192/1 oz"</f>
        <v>192/1 oz</v>
      </c>
      <c r="N1190" s="66">
        <v>192</v>
      </c>
      <c r="O1190" s="67" t="str">
        <f>""</f>
        <v/>
      </c>
      <c r="P1190" s="68" t="e">
        <f>1/O1190</f>
        <v>#VALUE!</v>
      </c>
      <c r="Q1190" s="53">
        <v>1</v>
      </c>
      <c r="R1190" s="69">
        <f t="shared" ref="R1190" si="849">1/Q1190</f>
        <v>1</v>
      </c>
      <c r="S1190" s="70">
        <f t="shared" ref="S1190" si="850">R1190*N1190</f>
        <v>192</v>
      </c>
    </row>
    <row r="1191" spans="1:19" ht="15.6" hidden="1" customHeight="1" thickBot="1" x14ac:dyDescent="0.3">
      <c r="A1191" t="s">
        <v>23</v>
      </c>
      <c r="B1191" s="60" t="str">
        <f t="shared" si="848"/>
        <v>hide</v>
      </c>
      <c r="D1191" s="48" t="str">
        <f>D1190</f>
        <v>11965</v>
      </c>
      <c r="E1191" s="7"/>
      <c r="F1191" s="27">
        <v>0</v>
      </c>
      <c r="G1191" s="27">
        <v>0</v>
      </c>
      <c r="H1191" s="27">
        <v>0</v>
      </c>
      <c r="I1191" s="27">
        <v>0</v>
      </c>
      <c r="J1191" s="27">
        <v>0</v>
      </c>
      <c r="K1191" s="63">
        <f>AVERAGE(I1191:J1191)</f>
        <v>0</v>
      </c>
      <c r="L1191" s="56" t="str">
        <f>"EQP-LAWPACK1"</f>
        <v>EQP-LAWPACK1</v>
      </c>
      <c r="M1191" s="14"/>
      <c r="N1191" s="15"/>
      <c r="O1191" s="12"/>
      <c r="P1191" s="34"/>
      <c r="Q1191" s="37"/>
      <c r="R1191" s="47"/>
      <c r="S1191" s="46"/>
    </row>
    <row r="1192" spans="1:19" ht="15.6" hidden="1" customHeight="1" thickBot="1" x14ac:dyDescent="0.3">
      <c r="A1192" t="s">
        <v>23</v>
      </c>
      <c r="B1192" s="60" t="str">
        <f t="shared" ref="B1192:B1194" si="851">IF(K1192=0,"hide","")</f>
        <v>hide</v>
      </c>
      <c r="D1192" s="48" t="str">
        <f>D1191</f>
        <v>11965</v>
      </c>
      <c r="E1192" s="7"/>
      <c r="F1192" s="27">
        <v>0</v>
      </c>
      <c r="G1192" s="27">
        <v>0</v>
      </c>
      <c r="H1192" s="27">
        <v>0</v>
      </c>
      <c r="I1192" s="27">
        <v>0</v>
      </c>
      <c r="J1192" s="27">
        <v>0</v>
      </c>
      <c r="K1192" s="63">
        <f>AVERAGE(I1192:J1192)</f>
        <v>0</v>
      </c>
      <c r="L1192" s="56" t="str">
        <f>"EQP-LAWPACK2"</f>
        <v>EQP-LAWPACK2</v>
      </c>
      <c r="M1192" s="14"/>
      <c r="N1192" s="15"/>
      <c r="O1192" s="12"/>
      <c r="P1192" s="34"/>
      <c r="Q1192" s="37"/>
      <c r="R1192" s="47"/>
      <c r="S1192" s="46"/>
    </row>
    <row r="1193" spans="1:19" ht="15.6" hidden="1" customHeight="1" thickBot="1" x14ac:dyDescent="0.3">
      <c r="A1193" t="s">
        <v>23</v>
      </c>
      <c r="B1193" s="60" t="str">
        <f t="shared" si="851"/>
        <v>hide</v>
      </c>
      <c r="D1193" s="48" t="str">
        <f>D1192</f>
        <v>11965</v>
      </c>
      <c r="E1193" s="7"/>
      <c r="F1193" s="27">
        <v>0</v>
      </c>
      <c r="G1193" s="27">
        <v>0</v>
      </c>
      <c r="H1193" s="27">
        <v>0</v>
      </c>
      <c r="I1193" s="27">
        <v>0</v>
      </c>
      <c r="J1193" s="27">
        <v>0</v>
      </c>
      <c r="K1193" s="63">
        <f>AVERAGE(I1193:J1193)</f>
        <v>0</v>
      </c>
      <c r="L1193" s="56" t="str">
        <f>"SW-COMAS-PACKL"</f>
        <v>SW-COMAS-PACKL</v>
      </c>
      <c r="M1193" s="14"/>
      <c r="N1193" s="15"/>
      <c r="O1193" s="12"/>
      <c r="P1193" s="34"/>
      <c r="Q1193" s="37"/>
      <c r="R1193" s="47"/>
      <c r="S1193" s="46"/>
    </row>
    <row r="1194" spans="1:19" ht="15.6" hidden="1" customHeight="1" thickBot="1" x14ac:dyDescent="0.3">
      <c r="A1194" t="s">
        <v>23</v>
      </c>
      <c r="B1194" s="60" t="str">
        <f t="shared" si="851"/>
        <v>hide</v>
      </c>
      <c r="D1194" s="48" t="str">
        <f>D1193</f>
        <v>11965</v>
      </c>
      <c r="E1194" s="7"/>
      <c r="F1194" s="27">
        <v>0</v>
      </c>
      <c r="G1194" s="27">
        <v>0</v>
      </c>
      <c r="H1194" s="27">
        <v>0</v>
      </c>
      <c r="I1194" s="27">
        <v>0</v>
      </c>
      <c r="J1194" s="27">
        <v>0</v>
      </c>
      <c r="K1194" s="63">
        <f>AVERAGE(I1194:J1194)</f>
        <v>0</v>
      </c>
      <c r="L1194" s="56" t="str">
        <f>"SW-RISER-PACK"</f>
        <v>SW-RISER-PACK</v>
      </c>
      <c r="M1194" s="14"/>
      <c r="N1194" s="15"/>
      <c r="O1194" s="12"/>
      <c r="P1194" s="34"/>
      <c r="Q1194" s="37"/>
      <c r="R1194" s="47"/>
      <c r="S1194" s="46"/>
    </row>
    <row r="1195" spans="1:19" ht="12" hidden="1" customHeight="1" x14ac:dyDescent="0.3">
      <c r="A1195" s="35" t="s">
        <v>908</v>
      </c>
      <c r="B1195" s="49" t="str">
        <f>B1191</f>
        <v>hide</v>
      </c>
      <c r="N1195"/>
      <c r="Q1195" s="33"/>
    </row>
    <row r="1196" spans="1:19" ht="13.8" hidden="1" thickBot="1" x14ac:dyDescent="0.3">
      <c r="A1196" t="s">
        <v>23</v>
      </c>
      <c r="B1196" s="49" t="str">
        <f t="shared" ref="B1196" si="852">B1195</f>
        <v>hide</v>
      </c>
      <c r="D1196" s="58"/>
      <c r="E1196" s="58"/>
      <c r="F1196" s="52">
        <f>SUM(F1191:F1195)</f>
        <v>0</v>
      </c>
      <c r="G1196" s="52">
        <f>SUM(G1191:G1195)</f>
        <v>0</v>
      </c>
      <c r="H1196" s="52">
        <f>SUM(H1191:H1195)</f>
        <v>0</v>
      </c>
      <c r="I1196" s="52">
        <f>SUM(I1191:I1195)</f>
        <v>0</v>
      </c>
      <c r="J1196" s="52">
        <f>SUM(J1191:J1195)</f>
        <v>0</v>
      </c>
      <c r="K1196" s="52"/>
      <c r="L1196" s="51" t="s">
        <v>4</v>
      </c>
      <c r="M1196" s="58"/>
      <c r="N1196" s="58"/>
      <c r="O1196" s="58"/>
      <c r="P1196" s="58"/>
      <c r="Q1196" s="58"/>
      <c r="R1196" s="58"/>
      <c r="S1196" s="58"/>
    </row>
    <row r="1197" spans="1:19" s="59" customFormat="1" ht="18.75" customHeight="1" thickBot="1" x14ac:dyDescent="0.3">
      <c r="A1197" s="59" t="s">
        <v>23</v>
      </c>
      <c r="B1197" s="60" t="str">
        <f t="shared" ref="B1197:B1198" si="853">IF(K1197=0,"hide","")</f>
        <v/>
      </c>
      <c r="D1197" s="61" t="str">
        <f>"12028"</f>
        <v>12028</v>
      </c>
      <c r="E1197" s="62" t="str">
        <f>"2"</f>
        <v>2</v>
      </c>
      <c r="F1197" s="63">
        <v>0</v>
      </c>
      <c r="G1197" s="63">
        <v>10.083333333333332</v>
      </c>
      <c r="H1197" s="63">
        <v>0</v>
      </c>
      <c r="I1197" s="63">
        <v>0</v>
      </c>
      <c r="J1197" s="63">
        <v>0.34096385542168678</v>
      </c>
      <c r="K1197" s="63">
        <f>AVERAGE(I1197:J1197)</f>
        <v>0.17048192771084339</v>
      </c>
      <c r="L1197" s="64" t="str">
        <f>"Jammies GRAPE Sandwich"</f>
        <v>Jammies GRAPE Sandwich</v>
      </c>
      <c r="M1197" s="65" t="str">
        <f>"96-2 oz. I.W. Jammies Film"</f>
        <v>96-2 oz. I.W. Jammies Film</v>
      </c>
      <c r="N1197" s="66">
        <v>96</v>
      </c>
      <c r="O1197" s="67" t="str">
        <f>""</f>
        <v/>
      </c>
      <c r="P1197" s="68" t="e">
        <f>1/O1197</f>
        <v>#VALUE!</v>
      </c>
      <c r="Q1197" s="53">
        <v>1</v>
      </c>
      <c r="R1197" s="69">
        <f t="shared" ref="R1197" si="854">1/Q1197</f>
        <v>1</v>
      </c>
      <c r="S1197" s="70">
        <f t="shared" ref="S1197" si="855">R1197*N1197</f>
        <v>96</v>
      </c>
    </row>
    <row r="1198" spans="1:19" ht="15.6" hidden="1" customHeight="1" thickBot="1" x14ac:dyDescent="0.3">
      <c r="A1198" t="s">
        <v>23</v>
      </c>
      <c r="B1198" s="60" t="str">
        <f t="shared" si="853"/>
        <v>hide</v>
      </c>
      <c r="D1198" s="48" t="str">
        <f>D1197</f>
        <v>12028</v>
      </c>
      <c r="E1198" s="7"/>
      <c r="F1198" s="27">
        <v>0</v>
      </c>
      <c r="G1198" s="27">
        <v>0</v>
      </c>
      <c r="H1198" s="27">
        <v>0</v>
      </c>
      <c r="I1198" s="27">
        <v>0</v>
      </c>
      <c r="J1198" s="27">
        <v>0</v>
      </c>
      <c r="K1198" s="63">
        <f>AVERAGE(I1198:J1198)</f>
        <v>0</v>
      </c>
      <c r="L1198" s="56" t="str">
        <f>"EQP-LAWPACK1"</f>
        <v>EQP-LAWPACK1</v>
      </c>
      <c r="M1198" s="14"/>
      <c r="N1198" s="15"/>
      <c r="O1198" s="12"/>
      <c r="P1198" s="34"/>
      <c r="Q1198" s="37"/>
      <c r="R1198" s="47"/>
      <c r="S1198" s="46"/>
    </row>
    <row r="1199" spans="1:19" ht="15.6" hidden="1" customHeight="1" thickBot="1" x14ac:dyDescent="0.3">
      <c r="A1199" t="s">
        <v>23</v>
      </c>
      <c r="B1199" s="60" t="str">
        <f t="shared" ref="B1199:B1201" si="856">IF(K1199=0,"hide","")</f>
        <v>hide</v>
      </c>
      <c r="D1199" s="48" t="str">
        <f>D1198</f>
        <v>12028</v>
      </c>
      <c r="E1199" s="7"/>
      <c r="F1199" s="27">
        <v>0</v>
      </c>
      <c r="G1199" s="27">
        <v>0</v>
      </c>
      <c r="H1199" s="27">
        <v>0</v>
      </c>
      <c r="I1199" s="27">
        <v>0</v>
      </c>
      <c r="J1199" s="27">
        <v>0</v>
      </c>
      <c r="K1199" s="63">
        <f>AVERAGE(I1199:J1199)</f>
        <v>0</v>
      </c>
      <c r="L1199" s="56" t="str">
        <f>"EQP-LAWPACK2"</f>
        <v>EQP-LAWPACK2</v>
      </c>
      <c r="M1199" s="14"/>
      <c r="N1199" s="15"/>
      <c r="O1199" s="12"/>
      <c r="P1199" s="34"/>
      <c r="Q1199" s="37"/>
      <c r="R1199" s="47"/>
      <c r="S1199" s="46"/>
    </row>
    <row r="1200" spans="1:19" ht="15.6" customHeight="1" thickBot="1" x14ac:dyDescent="0.3">
      <c r="A1200" t="s">
        <v>23</v>
      </c>
      <c r="B1200" s="60" t="str">
        <f t="shared" si="856"/>
        <v/>
      </c>
      <c r="D1200" s="48" t="str">
        <f>D1199</f>
        <v>12028</v>
      </c>
      <c r="E1200" s="7"/>
      <c r="F1200" s="27">
        <v>0</v>
      </c>
      <c r="G1200" s="27">
        <v>-10.416666666666666</v>
      </c>
      <c r="H1200" s="27">
        <v>0</v>
      </c>
      <c r="I1200" s="27">
        <v>0</v>
      </c>
      <c r="J1200" s="27">
        <v>-1.3638554216867471</v>
      </c>
      <c r="K1200" s="63">
        <f>AVERAGE(I1200:J1200)</f>
        <v>-0.68192771084337356</v>
      </c>
      <c r="L1200" s="56" t="str">
        <f>"SW-COMAS-PACKL"</f>
        <v>SW-COMAS-PACKL</v>
      </c>
      <c r="M1200" s="14"/>
      <c r="N1200" s="15"/>
      <c r="O1200" s="12"/>
      <c r="P1200" s="34"/>
      <c r="Q1200" s="37"/>
      <c r="R1200" s="47"/>
      <c r="S1200" s="46"/>
    </row>
    <row r="1201" spans="1:19" ht="15.6" hidden="1" customHeight="1" thickBot="1" x14ac:dyDescent="0.3">
      <c r="A1201" t="s">
        <v>23</v>
      </c>
      <c r="B1201" s="60" t="str">
        <f t="shared" si="856"/>
        <v>hide</v>
      </c>
      <c r="D1201" s="48" t="str">
        <f>D1200</f>
        <v>12028</v>
      </c>
      <c r="E1201" s="7"/>
      <c r="F1201" s="27">
        <v>0</v>
      </c>
      <c r="G1201" s="27">
        <v>0</v>
      </c>
      <c r="H1201" s="27">
        <v>0</v>
      </c>
      <c r="I1201" s="27">
        <v>0</v>
      </c>
      <c r="J1201" s="27">
        <v>0</v>
      </c>
      <c r="K1201" s="63">
        <f>AVERAGE(I1201:J1201)</f>
        <v>0</v>
      </c>
      <c r="L1201" s="56" t="str">
        <f>"SW-RISER-PACK"</f>
        <v>SW-RISER-PACK</v>
      </c>
      <c r="M1201" s="14"/>
      <c r="N1201" s="15"/>
      <c r="O1201" s="12"/>
      <c r="P1201" s="34"/>
      <c r="Q1201" s="37"/>
      <c r="R1201" s="47"/>
      <c r="S1201" s="46"/>
    </row>
    <row r="1202" spans="1:19" ht="12" hidden="1" customHeight="1" x14ac:dyDescent="0.3">
      <c r="A1202" s="35" t="s">
        <v>908</v>
      </c>
      <c r="B1202" s="49" t="str">
        <f>B1198</f>
        <v>hide</v>
      </c>
      <c r="N1202"/>
      <c r="Q1202" s="33"/>
    </row>
    <row r="1203" spans="1:19" ht="13.8" hidden="1" thickBot="1" x14ac:dyDescent="0.3">
      <c r="A1203" t="s">
        <v>23</v>
      </c>
      <c r="B1203" s="49" t="str">
        <f t="shared" ref="B1203" si="857">B1202</f>
        <v>hide</v>
      </c>
      <c r="D1203" s="58"/>
      <c r="E1203" s="58"/>
      <c r="F1203" s="52">
        <f>SUM(F1198:F1202)</f>
        <v>0</v>
      </c>
      <c r="G1203" s="52">
        <f>SUM(G1198:G1202)</f>
        <v>-10.416666666666666</v>
      </c>
      <c r="H1203" s="52">
        <f>SUM(H1198:H1202)</f>
        <v>0</v>
      </c>
      <c r="I1203" s="52">
        <f>SUM(I1198:I1202)</f>
        <v>0</v>
      </c>
      <c r="J1203" s="52">
        <f>SUM(J1198:J1202)</f>
        <v>-1.3638554216867471</v>
      </c>
      <c r="K1203" s="52"/>
      <c r="L1203" s="51" t="s">
        <v>4</v>
      </c>
      <c r="M1203" s="58"/>
      <c r="N1203" s="58"/>
      <c r="O1203" s="58"/>
      <c r="P1203" s="58"/>
      <c r="Q1203" s="58"/>
      <c r="R1203" s="58"/>
      <c r="S1203" s="58"/>
    </row>
    <row r="1204" spans="1:19" s="59" customFormat="1" ht="18.75" customHeight="1" thickBot="1" x14ac:dyDescent="0.3">
      <c r="A1204" s="59" t="s">
        <v>23</v>
      </c>
      <c r="B1204" s="60" t="str">
        <f t="shared" ref="B1204:B1205" si="858">IF(K1204=0,"hide","")</f>
        <v/>
      </c>
      <c r="D1204" s="61" t="str">
        <f>"12228"</f>
        <v>12228</v>
      </c>
      <c r="E1204" s="62" t="str">
        <f>"17"</f>
        <v>17</v>
      </c>
      <c r="F1204" s="63">
        <v>4355.083333333333</v>
      </c>
      <c r="G1204" s="63">
        <v>8235.9166666666661</v>
      </c>
      <c r="H1204" s="63">
        <v>7344.916666666667</v>
      </c>
      <c r="I1204" s="63">
        <v>7297.833333333333</v>
      </c>
      <c r="J1204" s="63">
        <v>6473.1987951807232</v>
      </c>
      <c r="K1204" s="63">
        <f>AVERAGE(I1204:J1204)</f>
        <v>6885.5160642570281</v>
      </c>
      <c r="L1204" s="64" t="str">
        <f>"Sunbutter GRAPE Sandwich"</f>
        <v>Sunbutter GRAPE Sandwich</v>
      </c>
      <c r="M1204" s="65" t="str">
        <f>"96-2.8 oz. I.W. NO-HFCS"</f>
        <v>96-2.8 oz. I.W. NO-HFCS</v>
      </c>
      <c r="N1204" s="66">
        <v>96</v>
      </c>
      <c r="O1204" s="67" t="str">
        <f>""</f>
        <v/>
      </c>
      <c r="P1204" s="68" t="e">
        <f>1/O1204</f>
        <v>#VALUE!</v>
      </c>
      <c r="Q1204" s="53">
        <v>1</v>
      </c>
      <c r="R1204" s="69">
        <f t="shared" ref="R1204" si="859">1/Q1204</f>
        <v>1</v>
      </c>
      <c r="S1204" s="70">
        <f t="shared" ref="S1204" si="860">R1204*N1204</f>
        <v>96</v>
      </c>
    </row>
    <row r="1205" spans="1:19" ht="15.6" hidden="1" customHeight="1" thickBot="1" x14ac:dyDescent="0.3">
      <c r="A1205" t="s">
        <v>23</v>
      </c>
      <c r="B1205" s="60" t="str">
        <f t="shared" si="858"/>
        <v>hide</v>
      </c>
      <c r="D1205" s="48" t="str">
        <f>D1204</f>
        <v>12228</v>
      </c>
      <c r="E1205" s="7"/>
      <c r="F1205" s="27">
        <v>0</v>
      </c>
      <c r="G1205" s="27">
        <v>0</v>
      </c>
      <c r="H1205" s="27">
        <v>0</v>
      </c>
      <c r="I1205" s="27">
        <v>0</v>
      </c>
      <c r="J1205" s="27">
        <v>0</v>
      </c>
      <c r="K1205" s="63">
        <f>AVERAGE(I1205:J1205)</f>
        <v>0</v>
      </c>
      <c r="L1205" s="56" t="str">
        <f>"EQP-LAWPACK1"</f>
        <v>EQP-LAWPACK1</v>
      </c>
      <c r="M1205" s="14"/>
      <c r="N1205" s="15"/>
      <c r="O1205" s="12"/>
      <c r="P1205" s="34"/>
      <c r="Q1205" s="37"/>
      <c r="R1205" s="47"/>
      <c r="S1205" s="46"/>
    </row>
    <row r="1206" spans="1:19" ht="15.6" hidden="1" customHeight="1" thickBot="1" x14ac:dyDescent="0.3">
      <c r="A1206" t="s">
        <v>23</v>
      </c>
      <c r="B1206" s="60" t="str">
        <f t="shared" ref="B1206:B1208" si="861">IF(K1206=0,"hide","")</f>
        <v>hide</v>
      </c>
      <c r="D1206" s="48" t="str">
        <f>D1205</f>
        <v>12228</v>
      </c>
      <c r="E1206" s="7"/>
      <c r="F1206" s="27">
        <v>0</v>
      </c>
      <c r="G1206" s="27">
        <v>0</v>
      </c>
      <c r="H1206" s="27">
        <v>0</v>
      </c>
      <c r="I1206" s="27">
        <v>0</v>
      </c>
      <c r="J1206" s="27">
        <v>0</v>
      </c>
      <c r="K1206" s="63">
        <f>AVERAGE(I1206:J1206)</f>
        <v>0</v>
      </c>
      <c r="L1206" s="56" t="str">
        <f>"EQP-LAWPACK2"</f>
        <v>EQP-LAWPACK2</v>
      </c>
      <c r="M1206" s="14"/>
      <c r="N1206" s="15"/>
      <c r="O1206" s="12"/>
      <c r="P1206" s="34"/>
      <c r="Q1206" s="37"/>
      <c r="R1206" s="47"/>
      <c r="S1206" s="46"/>
    </row>
    <row r="1207" spans="1:19" ht="15.6" customHeight="1" thickBot="1" x14ac:dyDescent="0.3">
      <c r="A1207" t="s">
        <v>23</v>
      </c>
      <c r="B1207" s="60" t="str">
        <f t="shared" si="861"/>
        <v/>
      </c>
      <c r="D1207" s="48" t="str">
        <f>D1206</f>
        <v>12228</v>
      </c>
      <c r="E1207" s="7"/>
      <c r="F1207" s="27">
        <v>-4632.666666666667</v>
      </c>
      <c r="G1207" s="27">
        <v>-10937.166666666666</v>
      </c>
      <c r="H1207" s="27">
        <v>-10708.333333333332</v>
      </c>
      <c r="I1207" s="27">
        <v>-8905.1666666666661</v>
      </c>
      <c r="J1207" s="27">
        <v>-7789.4556626506028</v>
      </c>
      <c r="K1207" s="63">
        <f>AVERAGE(I1207:J1207)</f>
        <v>-8347.3111646586349</v>
      </c>
      <c r="L1207" s="56" t="str">
        <f>"SW-COMAS-PACKL"</f>
        <v>SW-COMAS-PACKL</v>
      </c>
      <c r="M1207" s="14"/>
      <c r="N1207" s="15"/>
      <c r="O1207" s="12"/>
      <c r="P1207" s="34"/>
      <c r="Q1207" s="37"/>
      <c r="R1207" s="47"/>
      <c r="S1207" s="46"/>
    </row>
    <row r="1208" spans="1:19" ht="15.6" customHeight="1" thickBot="1" x14ac:dyDescent="0.3">
      <c r="A1208" t="s">
        <v>23</v>
      </c>
      <c r="B1208" s="60" t="str">
        <f t="shared" si="861"/>
        <v/>
      </c>
      <c r="D1208" s="48" t="str">
        <f>D1207</f>
        <v>12228</v>
      </c>
      <c r="E1208" s="7"/>
      <c r="F1208" s="27">
        <v>0</v>
      </c>
      <c r="G1208" s="27">
        <v>0</v>
      </c>
      <c r="H1208" s="27">
        <v>0</v>
      </c>
      <c r="I1208" s="27">
        <v>0</v>
      </c>
      <c r="J1208" s="27">
        <v>-494.39759036144574</v>
      </c>
      <c r="K1208" s="63">
        <f>AVERAGE(I1208:J1208)</f>
        <v>-247.19879518072287</v>
      </c>
      <c r="L1208" s="56" t="str">
        <f>"SW-RISER-PACK"</f>
        <v>SW-RISER-PACK</v>
      </c>
      <c r="M1208" s="14"/>
      <c r="N1208" s="15"/>
      <c r="O1208" s="12"/>
      <c r="P1208" s="34"/>
      <c r="Q1208" s="37"/>
      <c r="R1208" s="47"/>
      <c r="S1208" s="46"/>
    </row>
    <row r="1209" spans="1:19" ht="12" hidden="1" customHeight="1" x14ac:dyDescent="0.3">
      <c r="A1209" s="35" t="s">
        <v>908</v>
      </c>
      <c r="B1209" s="49" t="str">
        <f>B1205</f>
        <v>hide</v>
      </c>
      <c r="N1209"/>
      <c r="Q1209" s="33"/>
    </row>
    <row r="1210" spans="1:19" ht="13.8" hidden="1" thickBot="1" x14ac:dyDescent="0.3">
      <c r="A1210" t="s">
        <v>23</v>
      </c>
      <c r="B1210" s="49" t="str">
        <f t="shared" ref="B1210" si="862">B1209</f>
        <v>hide</v>
      </c>
      <c r="D1210" s="58"/>
      <c r="E1210" s="58"/>
      <c r="F1210" s="52">
        <f>SUM(F1205:F1209)</f>
        <v>-4632.666666666667</v>
      </c>
      <c r="G1210" s="52">
        <f>SUM(G1205:G1209)</f>
        <v>-10937.166666666666</v>
      </c>
      <c r="H1210" s="52">
        <f>SUM(H1205:H1209)</f>
        <v>-10708.333333333332</v>
      </c>
      <c r="I1210" s="52">
        <f>SUM(I1205:I1209)</f>
        <v>-8905.1666666666661</v>
      </c>
      <c r="J1210" s="52">
        <f>SUM(J1205:J1209)</f>
        <v>-8283.8532530120483</v>
      </c>
      <c r="K1210" s="52"/>
      <c r="L1210" s="51" t="s">
        <v>4</v>
      </c>
      <c r="M1210" s="58"/>
      <c r="N1210" s="58"/>
      <c r="O1210" s="58"/>
      <c r="P1210" s="58"/>
      <c r="Q1210" s="58"/>
      <c r="R1210" s="58"/>
      <c r="S1210" s="58"/>
    </row>
    <row r="1211" spans="1:19" s="59" customFormat="1" ht="18.75" hidden="1" customHeight="1" thickBot="1" x14ac:dyDescent="0.3">
      <c r="A1211" s="59" t="s">
        <v>23</v>
      </c>
      <c r="B1211" s="60" t="str">
        <f t="shared" ref="B1211:B1212" si="863">IF(K1211=0,"hide","")</f>
        <v>hide</v>
      </c>
      <c r="D1211" s="61" t="str">
        <f>"12230"</f>
        <v>12230</v>
      </c>
      <c r="E1211" s="62" t="str">
        <f>"1"</f>
        <v>1</v>
      </c>
      <c r="F1211" s="63">
        <v>0</v>
      </c>
      <c r="G1211" s="63">
        <v>0</v>
      </c>
      <c r="H1211" s="63">
        <v>0</v>
      </c>
      <c r="I1211" s="63">
        <v>0</v>
      </c>
      <c r="J1211" s="63">
        <v>0</v>
      </c>
      <c r="K1211" s="63">
        <f>AVERAGE(I1211:J1211)</f>
        <v>0</v>
      </c>
      <c r="L1211" s="64" t="str">
        <f>"Chocolate SunButter Sandwich"</f>
        <v>Chocolate SunButter Sandwich</v>
      </c>
      <c r="M1211" s="65" t="str">
        <f>"96-2.8 oz. I.W. "</f>
        <v xml:space="preserve">96-2.8 oz. I.W. </v>
      </c>
      <c r="N1211" s="66">
        <v>96</v>
      </c>
      <c r="O1211" s="67" t="str">
        <f>""</f>
        <v/>
      </c>
      <c r="P1211" s="68" t="e">
        <f>1/O1211</f>
        <v>#VALUE!</v>
      </c>
      <c r="Q1211" s="53">
        <v>1</v>
      </c>
      <c r="R1211" s="69">
        <f t="shared" ref="R1211" si="864">1/Q1211</f>
        <v>1</v>
      </c>
      <c r="S1211" s="70">
        <f t="shared" ref="S1211" si="865">R1211*N1211</f>
        <v>96</v>
      </c>
    </row>
    <row r="1212" spans="1:19" ht="15.6" hidden="1" customHeight="1" thickBot="1" x14ac:dyDescent="0.3">
      <c r="A1212" t="s">
        <v>23</v>
      </c>
      <c r="B1212" s="60" t="str">
        <f t="shared" si="863"/>
        <v>hide</v>
      </c>
      <c r="D1212" s="48" t="str">
        <f>D1211</f>
        <v>12230</v>
      </c>
      <c r="E1212" s="7"/>
      <c r="F1212" s="27">
        <v>0</v>
      </c>
      <c r="G1212" s="27">
        <v>0</v>
      </c>
      <c r="H1212" s="27">
        <v>0</v>
      </c>
      <c r="I1212" s="27">
        <v>0</v>
      </c>
      <c r="J1212" s="27">
        <v>0</v>
      </c>
      <c r="K1212" s="63">
        <f>AVERAGE(I1212:J1212)</f>
        <v>0</v>
      </c>
      <c r="L1212" s="56" t="str">
        <f>"EQP-LAWPACK1"</f>
        <v>EQP-LAWPACK1</v>
      </c>
      <c r="M1212" s="14"/>
      <c r="N1212" s="15"/>
      <c r="O1212" s="12"/>
      <c r="P1212" s="34"/>
      <c r="Q1212" s="37"/>
      <c r="R1212" s="47"/>
      <c r="S1212" s="46"/>
    </row>
    <row r="1213" spans="1:19" ht="15.6" hidden="1" customHeight="1" thickBot="1" x14ac:dyDescent="0.3">
      <c r="A1213" t="s">
        <v>23</v>
      </c>
      <c r="B1213" s="60" t="str">
        <f t="shared" ref="B1213:B1215" si="866">IF(K1213=0,"hide","")</f>
        <v>hide</v>
      </c>
      <c r="D1213" s="48" t="str">
        <f>D1212</f>
        <v>12230</v>
      </c>
      <c r="E1213" s="7"/>
      <c r="F1213" s="27">
        <v>0</v>
      </c>
      <c r="G1213" s="27">
        <v>0</v>
      </c>
      <c r="H1213" s="27">
        <v>0</v>
      </c>
      <c r="I1213" s="27">
        <v>0</v>
      </c>
      <c r="J1213" s="27">
        <v>0</v>
      </c>
      <c r="K1213" s="63">
        <f>AVERAGE(I1213:J1213)</f>
        <v>0</v>
      </c>
      <c r="L1213" s="56" t="str">
        <f>"EQP-LAWPACK2"</f>
        <v>EQP-LAWPACK2</v>
      </c>
      <c r="M1213" s="14"/>
      <c r="N1213" s="15"/>
      <c r="O1213" s="12"/>
      <c r="P1213" s="34"/>
      <c r="Q1213" s="37"/>
      <c r="R1213" s="47"/>
      <c r="S1213" s="46"/>
    </row>
    <row r="1214" spans="1:19" ht="15.6" hidden="1" customHeight="1" thickBot="1" x14ac:dyDescent="0.3">
      <c r="A1214" t="s">
        <v>23</v>
      </c>
      <c r="B1214" s="60" t="str">
        <f t="shared" si="866"/>
        <v>hide</v>
      </c>
      <c r="D1214" s="48" t="str">
        <f>D1213</f>
        <v>12230</v>
      </c>
      <c r="E1214" s="7"/>
      <c r="F1214" s="27">
        <v>0</v>
      </c>
      <c r="G1214" s="27">
        <v>0</v>
      </c>
      <c r="H1214" s="27">
        <v>0</v>
      </c>
      <c r="I1214" s="27">
        <v>0</v>
      </c>
      <c r="J1214" s="27">
        <v>0</v>
      </c>
      <c r="K1214" s="63">
        <f>AVERAGE(I1214:J1214)</f>
        <v>0</v>
      </c>
      <c r="L1214" s="56" t="str">
        <f>"SW-COMAS-PACKL"</f>
        <v>SW-COMAS-PACKL</v>
      </c>
      <c r="M1214" s="14"/>
      <c r="N1214" s="15"/>
      <c r="O1214" s="12"/>
      <c r="P1214" s="34"/>
      <c r="Q1214" s="37"/>
      <c r="R1214" s="47"/>
      <c r="S1214" s="46"/>
    </row>
    <row r="1215" spans="1:19" ht="15.6" hidden="1" customHeight="1" thickBot="1" x14ac:dyDescent="0.3">
      <c r="A1215" t="s">
        <v>23</v>
      </c>
      <c r="B1215" s="60" t="str">
        <f t="shared" si="866"/>
        <v>hide</v>
      </c>
      <c r="D1215" s="48" t="str">
        <f>D1214</f>
        <v>12230</v>
      </c>
      <c r="E1215" s="7"/>
      <c r="F1215" s="27">
        <v>0</v>
      </c>
      <c r="G1215" s="27">
        <v>0</v>
      </c>
      <c r="H1215" s="27">
        <v>0</v>
      </c>
      <c r="I1215" s="27">
        <v>0</v>
      </c>
      <c r="J1215" s="27">
        <v>0</v>
      </c>
      <c r="K1215" s="63">
        <f>AVERAGE(I1215:J1215)</f>
        <v>0</v>
      </c>
      <c r="L1215" s="56" t="str">
        <f>"SW-RISER-PACK"</f>
        <v>SW-RISER-PACK</v>
      </c>
      <c r="M1215" s="14"/>
      <c r="N1215" s="15"/>
      <c r="O1215" s="12"/>
      <c r="P1215" s="34"/>
      <c r="Q1215" s="37"/>
      <c r="R1215" s="47"/>
      <c r="S1215" s="46"/>
    </row>
    <row r="1216" spans="1:19" ht="12" hidden="1" customHeight="1" x14ac:dyDescent="0.3">
      <c r="A1216" s="35" t="s">
        <v>908</v>
      </c>
      <c r="B1216" s="49" t="str">
        <f>B1212</f>
        <v>hide</v>
      </c>
      <c r="N1216"/>
      <c r="Q1216" s="33"/>
    </row>
    <row r="1217" spans="1:19" ht="13.8" hidden="1" thickBot="1" x14ac:dyDescent="0.3">
      <c r="A1217" t="s">
        <v>23</v>
      </c>
      <c r="B1217" s="49" t="str">
        <f t="shared" ref="B1217" si="867">B1216</f>
        <v>hide</v>
      </c>
      <c r="D1217" s="58"/>
      <c r="E1217" s="58"/>
      <c r="F1217" s="52">
        <f>SUM(F1212:F1216)</f>
        <v>0</v>
      </c>
      <c r="G1217" s="52">
        <f>SUM(G1212:G1216)</f>
        <v>0</v>
      </c>
      <c r="H1217" s="52">
        <f>SUM(H1212:H1216)</f>
        <v>0</v>
      </c>
      <c r="I1217" s="52">
        <f>SUM(I1212:I1216)</f>
        <v>0</v>
      </c>
      <c r="J1217" s="52">
        <f>SUM(J1212:J1216)</f>
        <v>0</v>
      </c>
      <c r="K1217" s="52"/>
      <c r="L1217" s="51" t="s">
        <v>4</v>
      </c>
      <c r="M1217" s="58"/>
      <c r="N1217" s="58"/>
      <c r="O1217" s="58"/>
      <c r="P1217" s="58"/>
      <c r="Q1217" s="58"/>
      <c r="R1217" s="58"/>
      <c r="S1217" s="58"/>
    </row>
    <row r="1218" spans="1:19" s="59" customFormat="1" ht="18.75" customHeight="1" thickBot="1" x14ac:dyDescent="0.3">
      <c r="A1218" s="59" t="s">
        <v>23</v>
      </c>
      <c r="B1218" s="60" t="str">
        <f t="shared" ref="B1218:B1219" si="868">IF(K1218=0,"hide","")</f>
        <v/>
      </c>
      <c r="D1218" s="61" t="str">
        <f>"12258"</f>
        <v>12258</v>
      </c>
      <c r="E1218" s="62" t="str">
        <f>"5"</f>
        <v>5</v>
      </c>
      <c r="F1218" s="63">
        <v>1193.8333333333333</v>
      </c>
      <c r="G1218" s="63">
        <v>1722.5833333333333</v>
      </c>
      <c r="H1218" s="63">
        <v>1346.1666666666667</v>
      </c>
      <c r="I1218" s="63">
        <v>1647.4166666666667</v>
      </c>
      <c r="J1218" s="63">
        <v>1194.8055421686747</v>
      </c>
      <c r="K1218" s="63">
        <f>AVERAGE(I1218:J1218)</f>
        <v>1421.1111044176707</v>
      </c>
      <c r="L1218" s="64" t="str">
        <f>"Sunbutter STRAWBERRY Sandwich"</f>
        <v>Sunbutter STRAWBERRY Sandwich</v>
      </c>
      <c r="M1218" s="65" t="str">
        <f>"96-2.8 oz. I.W. NO-HFCS"</f>
        <v>96-2.8 oz. I.W. NO-HFCS</v>
      </c>
      <c r="N1218" s="66">
        <v>96</v>
      </c>
      <c r="O1218" s="67" t="str">
        <f>""</f>
        <v/>
      </c>
      <c r="P1218" s="68" t="e">
        <f>1/O1218</f>
        <v>#VALUE!</v>
      </c>
      <c r="Q1218" s="53">
        <v>1</v>
      </c>
      <c r="R1218" s="69">
        <f t="shared" ref="R1218" si="869">1/Q1218</f>
        <v>1</v>
      </c>
      <c r="S1218" s="70">
        <f t="shared" ref="S1218" si="870">R1218*N1218</f>
        <v>96</v>
      </c>
    </row>
    <row r="1219" spans="1:19" ht="15.6" hidden="1" customHeight="1" thickBot="1" x14ac:dyDescent="0.3">
      <c r="A1219" t="s">
        <v>23</v>
      </c>
      <c r="B1219" s="60" t="str">
        <f t="shared" si="868"/>
        <v>hide</v>
      </c>
      <c r="D1219" s="48" t="str">
        <f>D1218</f>
        <v>12258</v>
      </c>
      <c r="E1219" s="7"/>
      <c r="F1219" s="27">
        <v>0</v>
      </c>
      <c r="G1219" s="27">
        <v>0</v>
      </c>
      <c r="H1219" s="27">
        <v>0</v>
      </c>
      <c r="I1219" s="27">
        <v>0</v>
      </c>
      <c r="J1219" s="27">
        <v>0</v>
      </c>
      <c r="K1219" s="63">
        <f>AVERAGE(I1219:J1219)</f>
        <v>0</v>
      </c>
      <c r="L1219" s="56" t="str">
        <f>"EQP-LAWPACK1"</f>
        <v>EQP-LAWPACK1</v>
      </c>
      <c r="M1219" s="14"/>
      <c r="N1219" s="15"/>
      <c r="O1219" s="12"/>
      <c r="P1219" s="34"/>
      <c r="Q1219" s="37"/>
      <c r="R1219" s="47"/>
      <c r="S1219" s="46"/>
    </row>
    <row r="1220" spans="1:19" ht="15.6" hidden="1" customHeight="1" thickBot="1" x14ac:dyDescent="0.3">
      <c r="A1220" t="s">
        <v>23</v>
      </c>
      <c r="B1220" s="60" t="str">
        <f t="shared" ref="B1220:B1222" si="871">IF(K1220=0,"hide","")</f>
        <v>hide</v>
      </c>
      <c r="D1220" s="48" t="str">
        <f>D1219</f>
        <v>12258</v>
      </c>
      <c r="E1220" s="7"/>
      <c r="F1220" s="27">
        <v>0</v>
      </c>
      <c r="G1220" s="27">
        <v>0</v>
      </c>
      <c r="H1220" s="27">
        <v>0</v>
      </c>
      <c r="I1220" s="27">
        <v>0</v>
      </c>
      <c r="J1220" s="27">
        <v>0</v>
      </c>
      <c r="K1220" s="63">
        <f>AVERAGE(I1220:J1220)</f>
        <v>0</v>
      </c>
      <c r="L1220" s="56" t="str">
        <f>"EQP-LAWPACK2"</f>
        <v>EQP-LAWPACK2</v>
      </c>
      <c r="M1220" s="14"/>
      <c r="N1220" s="15"/>
      <c r="O1220" s="12"/>
      <c r="P1220" s="34"/>
      <c r="Q1220" s="37"/>
      <c r="R1220" s="47"/>
      <c r="S1220" s="46"/>
    </row>
    <row r="1221" spans="1:19" ht="15.6" customHeight="1" thickBot="1" x14ac:dyDescent="0.3">
      <c r="A1221" t="s">
        <v>23</v>
      </c>
      <c r="B1221" s="60" t="str">
        <f t="shared" si="871"/>
        <v/>
      </c>
      <c r="D1221" s="48" t="str">
        <f>D1220</f>
        <v>12258</v>
      </c>
      <c r="E1221" s="7"/>
      <c r="F1221" s="27">
        <v>-1396.75</v>
      </c>
      <c r="G1221" s="27">
        <v>-2412.6666666666665</v>
      </c>
      <c r="H1221" s="27">
        <v>-2109.1666666666665</v>
      </c>
      <c r="I1221" s="27">
        <v>-2149.9166666666665</v>
      </c>
      <c r="J1221" s="27">
        <v>-1051.0551807228917</v>
      </c>
      <c r="K1221" s="63">
        <f>AVERAGE(I1221:J1221)</f>
        <v>-1600.4859236947791</v>
      </c>
      <c r="L1221" s="56" t="str">
        <f>"SW-COMAS-PACKL"</f>
        <v>SW-COMAS-PACKL</v>
      </c>
      <c r="M1221" s="14"/>
      <c r="N1221" s="15"/>
      <c r="O1221" s="12"/>
      <c r="P1221" s="34"/>
      <c r="Q1221" s="37"/>
      <c r="R1221" s="47"/>
      <c r="S1221" s="46"/>
    </row>
    <row r="1222" spans="1:19" ht="15.6" customHeight="1" thickBot="1" x14ac:dyDescent="0.3">
      <c r="A1222" t="s">
        <v>23</v>
      </c>
      <c r="B1222" s="60" t="str">
        <f t="shared" si="871"/>
        <v/>
      </c>
      <c r="D1222" s="48" t="str">
        <f>D1221</f>
        <v>12258</v>
      </c>
      <c r="E1222" s="7"/>
      <c r="F1222" s="27">
        <v>0</v>
      </c>
      <c r="G1222" s="27">
        <v>0</v>
      </c>
      <c r="H1222" s="27">
        <v>0</v>
      </c>
      <c r="I1222" s="27">
        <v>0</v>
      </c>
      <c r="J1222" s="27">
        <v>-220.26265060240965</v>
      </c>
      <c r="K1222" s="63">
        <f>AVERAGE(I1222:J1222)</f>
        <v>-110.13132530120482</v>
      </c>
      <c r="L1222" s="56" t="str">
        <f>"SW-RISER-PACK"</f>
        <v>SW-RISER-PACK</v>
      </c>
      <c r="M1222" s="14"/>
      <c r="N1222" s="15"/>
      <c r="O1222" s="12"/>
      <c r="P1222" s="34"/>
      <c r="Q1222" s="37"/>
      <c r="R1222" s="47"/>
      <c r="S1222" s="46"/>
    </row>
    <row r="1223" spans="1:19" ht="12" hidden="1" customHeight="1" x14ac:dyDescent="0.3">
      <c r="A1223" s="35" t="s">
        <v>908</v>
      </c>
      <c r="B1223" s="49" t="str">
        <f>B1219</f>
        <v>hide</v>
      </c>
      <c r="N1223"/>
      <c r="Q1223" s="33"/>
    </row>
    <row r="1224" spans="1:19" ht="13.8" hidden="1" thickBot="1" x14ac:dyDescent="0.3">
      <c r="A1224" t="s">
        <v>23</v>
      </c>
      <c r="B1224" s="49" t="str">
        <f t="shared" ref="B1224" si="872">B1223</f>
        <v>hide</v>
      </c>
      <c r="D1224" s="58"/>
      <c r="E1224" s="58"/>
      <c r="F1224" s="52">
        <f>SUM(F1219:F1223)</f>
        <v>-1396.75</v>
      </c>
      <c r="G1224" s="52">
        <f>SUM(G1219:G1223)</f>
        <v>-2412.6666666666665</v>
      </c>
      <c r="H1224" s="52">
        <f>SUM(H1219:H1223)</f>
        <v>-2109.1666666666665</v>
      </c>
      <c r="I1224" s="52">
        <f>SUM(I1219:I1223)</f>
        <v>-2149.9166666666665</v>
      </c>
      <c r="J1224" s="52">
        <f>SUM(J1219:J1223)</f>
        <v>-1271.3178313253013</v>
      </c>
      <c r="K1224" s="52"/>
      <c r="L1224" s="51" t="s">
        <v>4</v>
      </c>
      <c r="M1224" s="58"/>
      <c r="N1224" s="58"/>
      <c r="O1224" s="58"/>
      <c r="P1224" s="58"/>
      <c r="Q1224" s="58"/>
      <c r="R1224" s="58"/>
      <c r="S1224" s="58"/>
    </row>
    <row r="1225" spans="1:19" s="59" customFormat="1" ht="18.75" hidden="1" customHeight="1" thickBot="1" x14ac:dyDescent="0.3">
      <c r="A1225" s="59" t="s">
        <v>23</v>
      </c>
      <c r="B1225" s="60" t="str">
        <f t="shared" ref="B1225:B1226" si="873">IF(K1225=0,"hide","")</f>
        <v>hide</v>
      </c>
      <c r="D1225" s="61" t="str">
        <f>"12328"</f>
        <v>12328</v>
      </c>
      <c r="E1225" s="62" t="str">
        <f>"1"</f>
        <v>1</v>
      </c>
      <c r="F1225" s="63">
        <v>0</v>
      </c>
      <c r="G1225" s="63">
        <v>0</v>
      </c>
      <c r="H1225" s="63">
        <v>0</v>
      </c>
      <c r="I1225" s="63">
        <v>0</v>
      </c>
      <c r="J1225" s="63">
        <v>0</v>
      </c>
      <c r="K1225" s="63">
        <f>AVERAGE(I1225:J1225)</f>
        <v>0</v>
      </c>
      <c r="L1225" s="64" t="str">
        <f>"Sunbutter GRAPE Sandwich (White Bread)"</f>
        <v>Sunbutter GRAPE Sandwich (White Bread)</v>
      </c>
      <c r="M1225" s="65" t="str">
        <f>"96-2.8 oz. I.W. NO-HFCS"</f>
        <v>96-2.8 oz. I.W. NO-HFCS</v>
      </c>
      <c r="N1225" s="66">
        <v>96</v>
      </c>
      <c r="O1225" s="67" t="str">
        <f>""</f>
        <v/>
      </c>
      <c r="P1225" s="68" t="e">
        <f>1/O1225</f>
        <v>#VALUE!</v>
      </c>
      <c r="Q1225" s="53">
        <v>1</v>
      </c>
      <c r="R1225" s="69">
        <f t="shared" ref="R1225" si="874">1/Q1225</f>
        <v>1</v>
      </c>
      <c r="S1225" s="70">
        <f t="shared" ref="S1225" si="875">R1225*N1225</f>
        <v>96</v>
      </c>
    </row>
    <row r="1226" spans="1:19" ht="15.6" hidden="1" customHeight="1" thickBot="1" x14ac:dyDescent="0.3">
      <c r="A1226" t="s">
        <v>23</v>
      </c>
      <c r="B1226" s="60" t="str">
        <f t="shared" si="873"/>
        <v>hide</v>
      </c>
      <c r="D1226" s="48" t="str">
        <f>D1225</f>
        <v>12328</v>
      </c>
      <c r="E1226" s="7"/>
      <c r="F1226" s="27">
        <v>0</v>
      </c>
      <c r="G1226" s="27">
        <v>0</v>
      </c>
      <c r="H1226" s="27">
        <v>0</v>
      </c>
      <c r="I1226" s="27">
        <v>0</v>
      </c>
      <c r="J1226" s="27">
        <v>0</v>
      </c>
      <c r="K1226" s="63">
        <f>AVERAGE(I1226:J1226)</f>
        <v>0</v>
      </c>
      <c r="L1226" s="56" t="str">
        <f>"EQP-LAWPACK1"</f>
        <v>EQP-LAWPACK1</v>
      </c>
      <c r="M1226" s="14"/>
      <c r="N1226" s="15"/>
      <c r="O1226" s="12"/>
      <c r="P1226" s="34"/>
      <c r="Q1226" s="37"/>
      <c r="R1226" s="47"/>
      <c r="S1226" s="46"/>
    </row>
    <row r="1227" spans="1:19" ht="15.6" hidden="1" customHeight="1" thickBot="1" x14ac:dyDescent="0.3">
      <c r="A1227" t="s">
        <v>23</v>
      </c>
      <c r="B1227" s="60" t="str">
        <f t="shared" ref="B1227:B1229" si="876">IF(K1227=0,"hide","")</f>
        <v>hide</v>
      </c>
      <c r="D1227" s="48" t="str">
        <f>D1226</f>
        <v>12328</v>
      </c>
      <c r="E1227" s="7"/>
      <c r="F1227" s="27">
        <v>0</v>
      </c>
      <c r="G1227" s="27">
        <v>0</v>
      </c>
      <c r="H1227" s="27">
        <v>0</v>
      </c>
      <c r="I1227" s="27">
        <v>0</v>
      </c>
      <c r="J1227" s="27">
        <v>0</v>
      </c>
      <c r="K1227" s="63">
        <f>AVERAGE(I1227:J1227)</f>
        <v>0</v>
      </c>
      <c r="L1227" s="56" t="str">
        <f>"EQP-LAWPACK2"</f>
        <v>EQP-LAWPACK2</v>
      </c>
      <c r="M1227" s="14"/>
      <c r="N1227" s="15"/>
      <c r="O1227" s="12"/>
      <c r="P1227" s="34"/>
      <c r="Q1227" s="37"/>
      <c r="R1227" s="47"/>
      <c r="S1227" s="46"/>
    </row>
    <row r="1228" spans="1:19" ht="15.6" hidden="1" customHeight="1" thickBot="1" x14ac:dyDescent="0.3">
      <c r="A1228" t="s">
        <v>23</v>
      </c>
      <c r="B1228" s="60" t="str">
        <f t="shared" si="876"/>
        <v>hide</v>
      </c>
      <c r="D1228" s="48" t="str">
        <f>D1227</f>
        <v>12328</v>
      </c>
      <c r="E1228" s="7"/>
      <c r="F1228" s="27">
        <v>-1.6666666666666667</v>
      </c>
      <c r="G1228" s="27">
        <v>0</v>
      </c>
      <c r="H1228" s="27">
        <v>0</v>
      </c>
      <c r="I1228" s="27">
        <v>0</v>
      </c>
      <c r="J1228" s="27">
        <v>0</v>
      </c>
      <c r="K1228" s="63">
        <f>AVERAGE(I1228:J1228)</f>
        <v>0</v>
      </c>
      <c r="L1228" s="56" t="str">
        <f>"SW-COMAS-PACKL"</f>
        <v>SW-COMAS-PACKL</v>
      </c>
      <c r="M1228" s="14"/>
      <c r="N1228" s="15"/>
      <c r="O1228" s="12"/>
      <c r="P1228" s="34"/>
      <c r="Q1228" s="37"/>
      <c r="R1228" s="47"/>
      <c r="S1228" s="46"/>
    </row>
    <row r="1229" spans="1:19" ht="15.6" hidden="1" customHeight="1" thickBot="1" x14ac:dyDescent="0.3">
      <c r="A1229" t="s">
        <v>23</v>
      </c>
      <c r="B1229" s="60" t="str">
        <f t="shared" si="876"/>
        <v>hide</v>
      </c>
      <c r="D1229" s="48" t="str">
        <f>D1228</f>
        <v>12328</v>
      </c>
      <c r="E1229" s="7"/>
      <c r="F1229" s="27">
        <v>0</v>
      </c>
      <c r="G1229" s="27">
        <v>0</v>
      </c>
      <c r="H1229" s="27">
        <v>0</v>
      </c>
      <c r="I1229" s="27">
        <v>0</v>
      </c>
      <c r="J1229" s="27">
        <v>0</v>
      </c>
      <c r="K1229" s="63">
        <f>AVERAGE(I1229:J1229)</f>
        <v>0</v>
      </c>
      <c r="L1229" s="56" t="str">
        <f>"SW-RISER-PACK"</f>
        <v>SW-RISER-PACK</v>
      </c>
      <c r="M1229" s="14"/>
      <c r="N1229" s="15"/>
      <c r="O1229" s="12"/>
      <c r="P1229" s="34"/>
      <c r="Q1229" s="37"/>
      <c r="R1229" s="47"/>
      <c r="S1229" s="46"/>
    </row>
    <row r="1230" spans="1:19" ht="12" hidden="1" customHeight="1" x14ac:dyDescent="0.3">
      <c r="A1230" s="35" t="s">
        <v>908</v>
      </c>
      <c r="B1230" s="49" t="str">
        <f>B1226</f>
        <v>hide</v>
      </c>
      <c r="N1230"/>
      <c r="Q1230" s="33"/>
    </row>
    <row r="1231" spans="1:19" ht="13.8" hidden="1" thickBot="1" x14ac:dyDescent="0.3">
      <c r="A1231" t="s">
        <v>23</v>
      </c>
      <c r="B1231" s="49" t="str">
        <f t="shared" ref="B1231" si="877">B1230</f>
        <v>hide</v>
      </c>
      <c r="D1231" s="58"/>
      <c r="E1231" s="58"/>
      <c r="F1231" s="52">
        <f>SUM(F1226:F1230)</f>
        <v>-1.6666666666666667</v>
      </c>
      <c r="G1231" s="52">
        <f>SUM(G1226:G1230)</f>
        <v>0</v>
      </c>
      <c r="H1231" s="52">
        <f>SUM(H1226:H1230)</f>
        <v>0</v>
      </c>
      <c r="I1231" s="52">
        <f>SUM(I1226:I1230)</f>
        <v>0</v>
      </c>
      <c r="J1231" s="52">
        <f>SUM(J1226:J1230)</f>
        <v>0</v>
      </c>
      <c r="K1231" s="52"/>
      <c r="L1231" s="51" t="s">
        <v>4</v>
      </c>
      <c r="M1231" s="58"/>
      <c r="N1231" s="58"/>
      <c r="O1231" s="58"/>
      <c r="P1231" s="58"/>
      <c r="Q1231" s="58"/>
      <c r="R1231" s="58"/>
      <c r="S1231" s="58"/>
    </row>
    <row r="1232" spans="1:19" s="59" customFormat="1" ht="18.75" customHeight="1" thickBot="1" x14ac:dyDescent="0.3">
      <c r="A1232" s="59" t="s">
        <v>23</v>
      </c>
      <c r="B1232" s="60" t="str">
        <f t="shared" ref="B1232:B1233" si="878">IF(K1232=0,"hide","")</f>
        <v/>
      </c>
      <c r="D1232" s="61" t="str">
        <f>"12530"</f>
        <v>12530</v>
      </c>
      <c r="E1232" s="62" t="str">
        <f>"3"</f>
        <v>3</v>
      </c>
      <c r="F1232" s="63">
        <v>0</v>
      </c>
      <c r="G1232" s="63">
        <v>0</v>
      </c>
      <c r="H1232" s="63">
        <v>0</v>
      </c>
      <c r="I1232" s="63">
        <v>159.00000000000003</v>
      </c>
      <c r="J1232" s="63">
        <v>985.99927710843394</v>
      </c>
      <c r="K1232" s="63">
        <f>AVERAGE(I1232:J1232)</f>
        <v>572.49963855421697</v>
      </c>
      <c r="L1232" s="64" t="str">
        <f>"IW WG CRUSTLESS COCOA CPB SANDWICH"</f>
        <v>IW WG CRUSTLESS COCOA CPB SANDWICH</v>
      </c>
      <c r="M1232" s="65" t="str">
        <f>"96-2.4oz IW SANDWICH"</f>
        <v>96-2.4oz IW SANDWICH</v>
      </c>
      <c r="N1232" s="66">
        <v>96</v>
      </c>
      <c r="O1232" s="67" t="str">
        <f>""</f>
        <v/>
      </c>
      <c r="P1232" s="68" t="e">
        <f>1/O1232</f>
        <v>#VALUE!</v>
      </c>
      <c r="Q1232" s="53">
        <v>1</v>
      </c>
      <c r="R1232" s="69">
        <f t="shared" ref="R1232" si="879">1/Q1232</f>
        <v>1</v>
      </c>
      <c r="S1232" s="70">
        <f t="shared" ref="S1232" si="880">R1232*N1232</f>
        <v>96</v>
      </c>
    </row>
    <row r="1233" spans="1:19" ht="15.6" hidden="1" customHeight="1" thickBot="1" x14ac:dyDescent="0.3">
      <c r="A1233" t="s">
        <v>23</v>
      </c>
      <c r="B1233" s="60" t="str">
        <f t="shared" si="878"/>
        <v>hide</v>
      </c>
      <c r="D1233" s="48" t="str">
        <f>D1232</f>
        <v>12530</v>
      </c>
      <c r="E1233" s="7"/>
      <c r="F1233" s="27">
        <v>0</v>
      </c>
      <c r="G1233" s="27">
        <v>0</v>
      </c>
      <c r="H1233" s="27">
        <v>0</v>
      </c>
      <c r="I1233" s="27">
        <v>0</v>
      </c>
      <c r="J1233" s="27">
        <v>0</v>
      </c>
      <c r="K1233" s="63">
        <f>AVERAGE(I1233:J1233)</f>
        <v>0</v>
      </c>
      <c r="L1233" s="56" t="str">
        <f>"EQP-LAWPACK1"</f>
        <v>EQP-LAWPACK1</v>
      </c>
      <c r="M1233" s="14"/>
      <c r="N1233" s="15"/>
      <c r="O1233" s="12"/>
      <c r="P1233" s="34"/>
      <c r="Q1233" s="37"/>
      <c r="R1233" s="47"/>
      <c r="S1233" s="46"/>
    </row>
    <row r="1234" spans="1:19" ht="15.6" hidden="1" customHeight="1" thickBot="1" x14ac:dyDescent="0.3">
      <c r="A1234" t="s">
        <v>23</v>
      </c>
      <c r="B1234" s="60" t="str">
        <f t="shared" ref="B1234:B1236" si="881">IF(K1234=0,"hide","")</f>
        <v>hide</v>
      </c>
      <c r="D1234" s="48" t="str">
        <f>D1233</f>
        <v>12530</v>
      </c>
      <c r="E1234" s="7"/>
      <c r="F1234" s="27">
        <v>0</v>
      </c>
      <c r="G1234" s="27">
        <v>0</v>
      </c>
      <c r="H1234" s="27">
        <v>0</v>
      </c>
      <c r="I1234" s="27">
        <v>0</v>
      </c>
      <c r="J1234" s="27">
        <v>0</v>
      </c>
      <c r="K1234" s="63">
        <f>AVERAGE(I1234:J1234)</f>
        <v>0</v>
      </c>
      <c r="L1234" s="56" t="str">
        <f>"EQP-LAWPACK2"</f>
        <v>EQP-LAWPACK2</v>
      </c>
      <c r="M1234" s="14"/>
      <c r="N1234" s="15"/>
      <c r="O1234" s="12"/>
      <c r="P1234" s="34"/>
      <c r="Q1234" s="37"/>
      <c r="R1234" s="47"/>
      <c r="S1234" s="46"/>
    </row>
    <row r="1235" spans="1:19" ht="15.6" customHeight="1" thickBot="1" x14ac:dyDescent="0.3">
      <c r="A1235" t="s">
        <v>23</v>
      </c>
      <c r="B1235" s="60" t="str">
        <f t="shared" si="881"/>
        <v/>
      </c>
      <c r="D1235" s="48" t="str">
        <f>D1234</f>
        <v>12530</v>
      </c>
      <c r="E1235" s="7"/>
      <c r="F1235" s="27">
        <v>0</v>
      </c>
      <c r="G1235" s="27">
        <v>0</v>
      </c>
      <c r="H1235" s="27">
        <v>0</v>
      </c>
      <c r="I1235" s="27">
        <v>-166.25</v>
      </c>
      <c r="J1235" s="27">
        <v>-1286.0474698795181</v>
      </c>
      <c r="K1235" s="63">
        <f>AVERAGE(I1235:J1235)</f>
        <v>-726.14873493975904</v>
      </c>
      <c r="L1235" s="56" t="str">
        <f>"SW-COMAS-PACKL"</f>
        <v>SW-COMAS-PACKL</v>
      </c>
      <c r="M1235" s="14"/>
      <c r="N1235" s="15"/>
      <c r="O1235" s="12"/>
      <c r="P1235" s="34"/>
      <c r="Q1235" s="37"/>
      <c r="R1235" s="47"/>
      <c r="S1235" s="46"/>
    </row>
    <row r="1236" spans="1:19" ht="15.6" hidden="1" customHeight="1" thickBot="1" x14ac:dyDescent="0.3">
      <c r="A1236" t="s">
        <v>23</v>
      </c>
      <c r="B1236" s="60" t="str">
        <f t="shared" si="881"/>
        <v>hide</v>
      </c>
      <c r="D1236" s="48" t="str">
        <f>D1235</f>
        <v>12530</v>
      </c>
      <c r="E1236" s="7"/>
      <c r="F1236" s="27">
        <v>0</v>
      </c>
      <c r="G1236" s="27">
        <v>0</v>
      </c>
      <c r="H1236" s="27">
        <v>0</v>
      </c>
      <c r="I1236" s="27">
        <v>0</v>
      </c>
      <c r="J1236" s="27">
        <v>0</v>
      </c>
      <c r="K1236" s="63">
        <f>AVERAGE(I1236:J1236)</f>
        <v>0</v>
      </c>
      <c r="L1236" s="56" t="str">
        <f>"SW-RISER-PACK"</f>
        <v>SW-RISER-PACK</v>
      </c>
      <c r="M1236" s="14"/>
      <c r="N1236" s="15"/>
      <c r="O1236" s="12"/>
      <c r="P1236" s="34"/>
      <c r="Q1236" s="37"/>
      <c r="R1236" s="47"/>
      <c r="S1236" s="46"/>
    </row>
    <row r="1237" spans="1:19" ht="12" hidden="1" customHeight="1" x14ac:dyDescent="0.3">
      <c r="A1237" s="35" t="s">
        <v>908</v>
      </c>
      <c r="B1237" s="49" t="str">
        <f>B1233</f>
        <v>hide</v>
      </c>
      <c r="N1237"/>
      <c r="Q1237" s="33"/>
    </row>
    <row r="1238" spans="1:19" ht="13.8" hidden="1" thickBot="1" x14ac:dyDescent="0.3">
      <c r="A1238" t="s">
        <v>23</v>
      </c>
      <c r="B1238" s="49" t="str">
        <f t="shared" ref="B1238" si="882">B1237</f>
        <v>hide</v>
      </c>
      <c r="D1238" s="58"/>
      <c r="E1238" s="58"/>
      <c r="F1238" s="52">
        <f>SUM(F1233:F1237)</f>
        <v>0</v>
      </c>
      <c r="G1238" s="52">
        <f>SUM(G1233:G1237)</f>
        <v>0</v>
      </c>
      <c r="H1238" s="52">
        <f>SUM(H1233:H1237)</f>
        <v>0</v>
      </c>
      <c r="I1238" s="52">
        <f>SUM(I1233:I1237)</f>
        <v>-166.25</v>
      </c>
      <c r="J1238" s="52">
        <f>SUM(J1233:J1237)</f>
        <v>-1286.0474698795181</v>
      </c>
      <c r="K1238" s="52"/>
      <c r="L1238" s="51" t="s">
        <v>4</v>
      </c>
      <c r="M1238" s="58"/>
      <c r="N1238" s="58"/>
      <c r="O1238" s="58"/>
      <c r="P1238" s="58"/>
      <c r="Q1238" s="58"/>
      <c r="R1238" s="58"/>
      <c r="S1238" s="58"/>
    </row>
    <row r="1239" spans="1:19" s="59" customFormat="1" ht="18.75" hidden="1" customHeight="1" thickBot="1" x14ac:dyDescent="0.3">
      <c r="A1239" s="59" t="s">
        <v>23</v>
      </c>
      <c r="B1239" s="60" t="str">
        <f t="shared" ref="B1239:B1240" si="883">IF(K1239=0,"hide","")</f>
        <v>hide</v>
      </c>
      <c r="D1239" s="61" t="str">
        <f>"12828"</f>
        <v>12828</v>
      </c>
      <c r="E1239" s="62" t="str">
        <f>"1"</f>
        <v>1</v>
      </c>
      <c r="F1239" s="63">
        <v>112.58333333333333</v>
      </c>
      <c r="G1239" s="63">
        <v>100</v>
      </c>
      <c r="H1239" s="63">
        <v>0</v>
      </c>
      <c r="I1239" s="63">
        <v>0</v>
      </c>
      <c r="J1239" s="63">
        <v>0</v>
      </c>
      <c r="K1239" s="63">
        <f>AVERAGE(I1239:J1239)</f>
        <v>0</v>
      </c>
      <c r="L1239" s="64" t="str">
        <f>"SoyButter GRAPE Sandwiches"</f>
        <v>SoyButter GRAPE Sandwiches</v>
      </c>
      <c r="M1239" s="65" t="str">
        <f>"96-2.8 oz. I.W. NO-HFCS"</f>
        <v>96-2.8 oz. I.W. NO-HFCS</v>
      </c>
      <c r="N1239" s="66">
        <v>96</v>
      </c>
      <c r="O1239" s="67" t="str">
        <f>""</f>
        <v/>
      </c>
      <c r="P1239" s="68" t="e">
        <f>1/O1239</f>
        <v>#VALUE!</v>
      </c>
      <c r="Q1239" s="53">
        <v>1</v>
      </c>
      <c r="R1239" s="69">
        <f t="shared" ref="R1239" si="884">1/Q1239</f>
        <v>1</v>
      </c>
      <c r="S1239" s="70">
        <f t="shared" ref="S1239" si="885">R1239*N1239</f>
        <v>96</v>
      </c>
    </row>
    <row r="1240" spans="1:19" ht="15.6" hidden="1" customHeight="1" thickBot="1" x14ac:dyDescent="0.3">
      <c r="A1240" t="s">
        <v>23</v>
      </c>
      <c r="B1240" s="60" t="str">
        <f t="shared" si="883"/>
        <v>hide</v>
      </c>
      <c r="D1240" s="48" t="str">
        <f>D1239</f>
        <v>12828</v>
      </c>
      <c r="E1240" s="7"/>
      <c r="F1240" s="27">
        <v>0</v>
      </c>
      <c r="G1240" s="27">
        <v>0</v>
      </c>
      <c r="H1240" s="27">
        <v>0</v>
      </c>
      <c r="I1240" s="27">
        <v>0</v>
      </c>
      <c r="J1240" s="27">
        <v>0</v>
      </c>
      <c r="K1240" s="63">
        <f>AVERAGE(I1240:J1240)</f>
        <v>0</v>
      </c>
      <c r="L1240" s="56" t="str">
        <f>"EQP-LAWPACK1"</f>
        <v>EQP-LAWPACK1</v>
      </c>
      <c r="M1240" s="14"/>
      <c r="N1240" s="15"/>
      <c r="O1240" s="12"/>
      <c r="P1240" s="34"/>
      <c r="Q1240" s="37"/>
      <c r="R1240" s="47"/>
      <c r="S1240" s="46"/>
    </row>
    <row r="1241" spans="1:19" ht="15.6" hidden="1" customHeight="1" thickBot="1" x14ac:dyDescent="0.3">
      <c r="A1241" t="s">
        <v>23</v>
      </c>
      <c r="B1241" s="60" t="str">
        <f t="shared" ref="B1241:B1243" si="886">IF(K1241=0,"hide","")</f>
        <v>hide</v>
      </c>
      <c r="D1241" s="48" t="str">
        <f>D1240</f>
        <v>12828</v>
      </c>
      <c r="E1241" s="7"/>
      <c r="F1241" s="27">
        <v>0</v>
      </c>
      <c r="G1241" s="27">
        <v>0</v>
      </c>
      <c r="H1241" s="27">
        <v>0</v>
      </c>
      <c r="I1241" s="27">
        <v>0</v>
      </c>
      <c r="J1241" s="27">
        <v>0</v>
      </c>
      <c r="K1241" s="63">
        <f>AVERAGE(I1241:J1241)</f>
        <v>0</v>
      </c>
      <c r="L1241" s="56" t="str">
        <f>"EQP-LAWPACK2"</f>
        <v>EQP-LAWPACK2</v>
      </c>
      <c r="M1241" s="14"/>
      <c r="N1241" s="15"/>
      <c r="O1241" s="12"/>
      <c r="P1241" s="34"/>
      <c r="Q1241" s="37"/>
      <c r="R1241" s="47"/>
      <c r="S1241" s="46"/>
    </row>
    <row r="1242" spans="1:19" ht="15.6" hidden="1" customHeight="1" thickBot="1" x14ac:dyDescent="0.3">
      <c r="A1242" t="s">
        <v>23</v>
      </c>
      <c r="B1242" s="60" t="str">
        <f t="shared" si="886"/>
        <v>hide</v>
      </c>
      <c r="D1242" s="48" t="str">
        <f>D1241</f>
        <v>12828</v>
      </c>
      <c r="E1242" s="7"/>
      <c r="F1242" s="27">
        <v>-73.25</v>
      </c>
      <c r="G1242" s="27">
        <v>-99.25</v>
      </c>
      <c r="H1242" s="27">
        <v>0</v>
      </c>
      <c r="I1242" s="27">
        <v>0</v>
      </c>
      <c r="J1242" s="27">
        <v>0</v>
      </c>
      <c r="K1242" s="63">
        <f>AVERAGE(I1242:J1242)</f>
        <v>0</v>
      </c>
      <c r="L1242" s="56" t="str">
        <f>"SW-COMAS-PACKL"</f>
        <v>SW-COMAS-PACKL</v>
      </c>
      <c r="M1242" s="14"/>
      <c r="N1242" s="15"/>
      <c r="O1242" s="12"/>
      <c r="P1242" s="34"/>
      <c r="Q1242" s="37"/>
      <c r="R1242" s="47"/>
      <c r="S1242" s="46"/>
    </row>
    <row r="1243" spans="1:19" ht="15.6" hidden="1" customHeight="1" thickBot="1" x14ac:dyDescent="0.3">
      <c r="A1243" t="s">
        <v>23</v>
      </c>
      <c r="B1243" s="60" t="str">
        <f t="shared" si="886"/>
        <v>hide</v>
      </c>
      <c r="D1243" s="48" t="str">
        <f>D1242</f>
        <v>12828</v>
      </c>
      <c r="E1243" s="7"/>
      <c r="F1243" s="27">
        <v>0</v>
      </c>
      <c r="G1243" s="27">
        <v>0</v>
      </c>
      <c r="H1243" s="27">
        <v>0</v>
      </c>
      <c r="I1243" s="27">
        <v>0</v>
      </c>
      <c r="J1243" s="27">
        <v>0</v>
      </c>
      <c r="K1243" s="63">
        <f>AVERAGE(I1243:J1243)</f>
        <v>0</v>
      </c>
      <c r="L1243" s="56" t="str">
        <f>"SW-RISER-PACK"</f>
        <v>SW-RISER-PACK</v>
      </c>
      <c r="M1243" s="14"/>
      <c r="N1243" s="15"/>
      <c r="O1243" s="12"/>
      <c r="P1243" s="34"/>
      <c r="Q1243" s="37"/>
      <c r="R1243" s="47"/>
      <c r="S1243" s="46"/>
    </row>
    <row r="1244" spans="1:19" ht="12" hidden="1" customHeight="1" x14ac:dyDescent="0.3">
      <c r="A1244" s="35" t="s">
        <v>908</v>
      </c>
      <c r="B1244" s="49" t="str">
        <f>B1240</f>
        <v>hide</v>
      </c>
      <c r="N1244"/>
      <c r="Q1244" s="33"/>
    </row>
    <row r="1245" spans="1:19" ht="13.8" hidden="1" thickBot="1" x14ac:dyDescent="0.3">
      <c r="A1245" t="s">
        <v>23</v>
      </c>
      <c r="B1245" s="49" t="str">
        <f t="shared" ref="B1245" si="887">B1244</f>
        <v>hide</v>
      </c>
      <c r="D1245" s="58"/>
      <c r="E1245" s="58"/>
      <c r="F1245" s="52">
        <f>SUM(F1240:F1244)</f>
        <v>-73.25</v>
      </c>
      <c r="G1245" s="52">
        <f>SUM(G1240:G1244)</f>
        <v>-99.25</v>
      </c>
      <c r="H1245" s="52">
        <f>SUM(H1240:H1244)</f>
        <v>0</v>
      </c>
      <c r="I1245" s="52">
        <f>SUM(I1240:I1244)</f>
        <v>0</v>
      </c>
      <c r="J1245" s="52">
        <f>SUM(J1240:J1244)</f>
        <v>0</v>
      </c>
      <c r="K1245" s="52"/>
      <c r="L1245" s="51" t="s">
        <v>4</v>
      </c>
      <c r="M1245" s="58"/>
      <c r="N1245" s="58"/>
      <c r="O1245" s="58"/>
      <c r="P1245" s="58"/>
      <c r="Q1245" s="58"/>
      <c r="R1245" s="58"/>
      <c r="S1245" s="58"/>
    </row>
    <row r="1246" spans="1:19" s="59" customFormat="1" ht="18.75" hidden="1" customHeight="1" thickBot="1" x14ac:dyDescent="0.3">
      <c r="A1246" s="59" t="s">
        <v>23</v>
      </c>
      <c r="B1246" s="60" t="str">
        <f t="shared" ref="B1246:B1247" si="888">IF(K1246=0,"hide","")</f>
        <v>hide</v>
      </c>
      <c r="D1246" s="61" t="str">
        <f>"12858"</f>
        <v>12858</v>
      </c>
      <c r="E1246" s="62" t="str">
        <f>"1"</f>
        <v>1</v>
      </c>
      <c r="F1246" s="63">
        <v>0</v>
      </c>
      <c r="G1246" s="63">
        <v>0</v>
      </c>
      <c r="H1246" s="63">
        <v>0</v>
      </c>
      <c r="I1246" s="63">
        <v>0</v>
      </c>
      <c r="J1246" s="63">
        <v>0</v>
      </c>
      <c r="K1246" s="63">
        <f>AVERAGE(I1246:J1246)</f>
        <v>0</v>
      </c>
      <c r="L1246" s="64" t="str">
        <f>"SoyButter STRAWBERY Sandwiches"</f>
        <v>SoyButter STRAWBERY Sandwiches</v>
      </c>
      <c r="M1246" s="65" t="str">
        <f>"96-2.8 oz. I.W. NO-HFCS"</f>
        <v>96-2.8 oz. I.W. NO-HFCS</v>
      </c>
      <c r="N1246" s="66">
        <v>96</v>
      </c>
      <c r="O1246" s="67" t="str">
        <f>""</f>
        <v/>
      </c>
      <c r="P1246" s="68" t="e">
        <f>1/O1246</f>
        <v>#VALUE!</v>
      </c>
      <c r="Q1246" s="53">
        <v>1</v>
      </c>
      <c r="R1246" s="69">
        <f t="shared" ref="R1246" si="889">1/Q1246</f>
        <v>1</v>
      </c>
      <c r="S1246" s="70">
        <f t="shared" ref="S1246" si="890">R1246*N1246</f>
        <v>96</v>
      </c>
    </row>
    <row r="1247" spans="1:19" ht="15.6" hidden="1" customHeight="1" thickBot="1" x14ac:dyDescent="0.3">
      <c r="A1247" t="s">
        <v>23</v>
      </c>
      <c r="B1247" s="60" t="str">
        <f t="shared" si="888"/>
        <v>hide</v>
      </c>
      <c r="D1247" s="48" t="str">
        <f>D1246</f>
        <v>12858</v>
      </c>
      <c r="E1247" s="7"/>
      <c r="F1247" s="27">
        <v>0</v>
      </c>
      <c r="G1247" s="27">
        <v>0</v>
      </c>
      <c r="H1247" s="27">
        <v>0</v>
      </c>
      <c r="I1247" s="27">
        <v>0</v>
      </c>
      <c r="J1247" s="27">
        <v>0</v>
      </c>
      <c r="K1247" s="63">
        <f>AVERAGE(I1247:J1247)</f>
        <v>0</v>
      </c>
      <c r="L1247" s="56" t="str">
        <f>"EQP-LAWPACK1"</f>
        <v>EQP-LAWPACK1</v>
      </c>
      <c r="M1247" s="14"/>
      <c r="N1247" s="15"/>
      <c r="O1247" s="12"/>
      <c r="P1247" s="34"/>
      <c r="Q1247" s="37"/>
      <c r="R1247" s="47"/>
      <c r="S1247" s="46"/>
    </row>
    <row r="1248" spans="1:19" ht="15.6" hidden="1" customHeight="1" thickBot="1" x14ac:dyDescent="0.3">
      <c r="A1248" t="s">
        <v>23</v>
      </c>
      <c r="B1248" s="60" t="str">
        <f t="shared" ref="B1248:B1250" si="891">IF(K1248=0,"hide","")</f>
        <v>hide</v>
      </c>
      <c r="D1248" s="48" t="str">
        <f>D1247</f>
        <v>12858</v>
      </c>
      <c r="E1248" s="7"/>
      <c r="F1248" s="27">
        <v>0</v>
      </c>
      <c r="G1248" s="27">
        <v>0</v>
      </c>
      <c r="H1248" s="27">
        <v>0</v>
      </c>
      <c r="I1248" s="27">
        <v>0</v>
      </c>
      <c r="J1248" s="27">
        <v>0</v>
      </c>
      <c r="K1248" s="63">
        <f>AVERAGE(I1248:J1248)</f>
        <v>0</v>
      </c>
      <c r="L1248" s="56" t="str">
        <f>"EQP-LAWPACK2"</f>
        <v>EQP-LAWPACK2</v>
      </c>
      <c r="M1248" s="14"/>
      <c r="N1248" s="15"/>
      <c r="O1248" s="12"/>
      <c r="P1248" s="34"/>
      <c r="Q1248" s="37"/>
      <c r="R1248" s="47"/>
      <c r="S1248" s="46"/>
    </row>
    <row r="1249" spans="1:19" ht="15.6" hidden="1" customHeight="1" thickBot="1" x14ac:dyDescent="0.3">
      <c r="A1249" t="s">
        <v>23</v>
      </c>
      <c r="B1249" s="60" t="str">
        <f t="shared" si="891"/>
        <v>hide</v>
      </c>
      <c r="D1249" s="48" t="str">
        <f>D1248</f>
        <v>12858</v>
      </c>
      <c r="E1249" s="7"/>
      <c r="F1249" s="27">
        <v>0</v>
      </c>
      <c r="G1249" s="27">
        <v>0</v>
      </c>
      <c r="H1249" s="27">
        <v>0</v>
      </c>
      <c r="I1249" s="27">
        <v>0</v>
      </c>
      <c r="J1249" s="27">
        <v>0</v>
      </c>
      <c r="K1249" s="63">
        <f>AVERAGE(I1249:J1249)</f>
        <v>0</v>
      </c>
      <c r="L1249" s="56" t="str">
        <f>"SW-COMAS-PACKL"</f>
        <v>SW-COMAS-PACKL</v>
      </c>
      <c r="M1249" s="14"/>
      <c r="N1249" s="15"/>
      <c r="O1249" s="12"/>
      <c r="P1249" s="34"/>
      <c r="Q1249" s="37"/>
      <c r="R1249" s="47"/>
      <c r="S1249" s="46"/>
    </row>
    <row r="1250" spans="1:19" ht="15.6" hidden="1" customHeight="1" thickBot="1" x14ac:dyDescent="0.3">
      <c r="A1250" t="s">
        <v>23</v>
      </c>
      <c r="B1250" s="60" t="str">
        <f t="shared" si="891"/>
        <v>hide</v>
      </c>
      <c r="D1250" s="48" t="str">
        <f>D1249</f>
        <v>12858</v>
      </c>
      <c r="E1250" s="7"/>
      <c r="F1250" s="27">
        <v>0</v>
      </c>
      <c r="G1250" s="27">
        <v>0</v>
      </c>
      <c r="H1250" s="27">
        <v>0</v>
      </c>
      <c r="I1250" s="27">
        <v>0</v>
      </c>
      <c r="J1250" s="27">
        <v>0</v>
      </c>
      <c r="K1250" s="63">
        <f>AVERAGE(I1250:J1250)</f>
        <v>0</v>
      </c>
      <c r="L1250" s="56" t="str">
        <f>"SW-RISER-PACK"</f>
        <v>SW-RISER-PACK</v>
      </c>
      <c r="M1250" s="14"/>
      <c r="N1250" s="15"/>
      <c r="O1250" s="12"/>
      <c r="P1250" s="34"/>
      <c r="Q1250" s="37"/>
      <c r="R1250" s="47"/>
      <c r="S1250" s="46"/>
    </row>
    <row r="1251" spans="1:19" ht="12" hidden="1" customHeight="1" x14ac:dyDescent="0.3">
      <c r="A1251" s="35" t="s">
        <v>908</v>
      </c>
      <c r="B1251" s="49" t="str">
        <f>B1247</f>
        <v>hide</v>
      </c>
      <c r="N1251"/>
      <c r="Q1251" s="33"/>
    </row>
    <row r="1252" spans="1:19" ht="13.8" hidden="1" thickBot="1" x14ac:dyDescent="0.3">
      <c r="A1252" t="s">
        <v>23</v>
      </c>
      <c r="B1252" s="49" t="str">
        <f t="shared" ref="B1252" si="892">B1251</f>
        <v>hide</v>
      </c>
      <c r="D1252" s="58"/>
      <c r="E1252" s="58"/>
      <c r="F1252" s="52">
        <f>SUM(F1247:F1251)</f>
        <v>0</v>
      </c>
      <c r="G1252" s="52">
        <f>SUM(G1247:G1251)</f>
        <v>0</v>
      </c>
      <c r="H1252" s="52">
        <f>SUM(H1247:H1251)</f>
        <v>0</v>
      </c>
      <c r="I1252" s="52">
        <f>SUM(I1247:I1251)</f>
        <v>0</v>
      </c>
      <c r="J1252" s="52">
        <f>SUM(J1247:J1251)</f>
        <v>0</v>
      </c>
      <c r="K1252" s="52"/>
      <c r="L1252" s="51" t="s">
        <v>4</v>
      </c>
      <c r="M1252" s="58"/>
      <c r="N1252" s="58"/>
      <c r="O1252" s="58"/>
      <c r="P1252" s="58"/>
      <c r="Q1252" s="58"/>
      <c r="R1252" s="58"/>
      <c r="S1252" s="58"/>
    </row>
    <row r="1253" spans="1:19" s="59" customFormat="1" ht="18.75" customHeight="1" thickBot="1" x14ac:dyDescent="0.3">
      <c r="A1253" s="59" t="s">
        <v>23</v>
      </c>
      <c r="B1253" s="60" t="str">
        <f t="shared" ref="B1253:B1254" si="893">IF(K1253=0,"hide","")</f>
        <v/>
      </c>
      <c r="D1253" s="61" t="str">
        <f>"13228"</f>
        <v>13228</v>
      </c>
      <c r="E1253" s="62" t="str">
        <f>"1"</f>
        <v>1</v>
      </c>
      <c r="F1253" s="63">
        <v>0</v>
      </c>
      <c r="G1253" s="63">
        <v>0</v>
      </c>
      <c r="H1253" s="63">
        <v>0</v>
      </c>
      <c r="I1253" s="63">
        <v>303.33333333333331</v>
      </c>
      <c r="J1253" s="63">
        <v>177.3012048192771</v>
      </c>
      <c r="K1253" s="63">
        <f>AVERAGE(I1253:J1253)</f>
        <v>240.31726907630519</v>
      </c>
      <c r="L1253" s="64" t="str">
        <f>"Sunbutter GRAPE Sandwich"</f>
        <v>Sunbutter GRAPE Sandwich</v>
      </c>
      <c r="M1253" s="65" t="str">
        <f>"36-2.8oz. I.W. Sunwise Sandwich"</f>
        <v>36-2.8oz. I.W. Sunwise Sandwich</v>
      </c>
      <c r="N1253" s="66">
        <v>36</v>
      </c>
      <c r="O1253" s="67" t="str">
        <f>""</f>
        <v/>
      </c>
      <c r="P1253" s="68" t="e">
        <f>1/O1253</f>
        <v>#VALUE!</v>
      </c>
      <c r="Q1253" s="53">
        <v>1</v>
      </c>
      <c r="R1253" s="69">
        <f t="shared" ref="R1253" si="894">1/Q1253</f>
        <v>1</v>
      </c>
      <c r="S1253" s="70">
        <f t="shared" ref="S1253" si="895">R1253*N1253</f>
        <v>36</v>
      </c>
    </row>
    <row r="1254" spans="1:19" ht="15.6" hidden="1" customHeight="1" thickBot="1" x14ac:dyDescent="0.3">
      <c r="A1254" t="s">
        <v>23</v>
      </c>
      <c r="B1254" s="60" t="str">
        <f t="shared" si="893"/>
        <v>hide</v>
      </c>
      <c r="D1254" s="48" t="str">
        <f>D1253</f>
        <v>13228</v>
      </c>
      <c r="E1254" s="7"/>
      <c r="F1254" s="27">
        <v>0</v>
      </c>
      <c r="G1254" s="27">
        <v>0</v>
      </c>
      <c r="H1254" s="27">
        <v>0</v>
      </c>
      <c r="I1254" s="27">
        <v>0</v>
      </c>
      <c r="J1254" s="27">
        <v>0</v>
      </c>
      <c r="K1254" s="63">
        <f>AVERAGE(I1254:J1254)</f>
        <v>0</v>
      </c>
      <c r="L1254" s="56" t="str">
        <f>"EQP-LAWPACK1"</f>
        <v>EQP-LAWPACK1</v>
      </c>
      <c r="M1254" s="14"/>
      <c r="N1254" s="15"/>
      <c r="O1254" s="12"/>
      <c r="P1254" s="34"/>
      <c r="Q1254" s="37"/>
      <c r="R1254" s="47"/>
      <c r="S1254" s="46"/>
    </row>
    <row r="1255" spans="1:19" ht="15.6" hidden="1" customHeight="1" thickBot="1" x14ac:dyDescent="0.3">
      <c r="A1255" t="s">
        <v>23</v>
      </c>
      <c r="B1255" s="60" t="str">
        <f t="shared" ref="B1255:B1257" si="896">IF(K1255=0,"hide","")</f>
        <v>hide</v>
      </c>
      <c r="D1255" s="48" t="str">
        <f>D1254</f>
        <v>13228</v>
      </c>
      <c r="E1255" s="7"/>
      <c r="F1255" s="27">
        <v>0</v>
      </c>
      <c r="G1255" s="27">
        <v>0</v>
      </c>
      <c r="H1255" s="27">
        <v>0</v>
      </c>
      <c r="I1255" s="27">
        <v>0</v>
      </c>
      <c r="J1255" s="27">
        <v>0</v>
      </c>
      <c r="K1255" s="63">
        <f>AVERAGE(I1255:J1255)</f>
        <v>0</v>
      </c>
      <c r="L1255" s="56" t="str">
        <f>"EQP-LAWPACK2"</f>
        <v>EQP-LAWPACK2</v>
      </c>
      <c r="M1255" s="14"/>
      <c r="N1255" s="15"/>
      <c r="O1255" s="12"/>
      <c r="P1255" s="34"/>
      <c r="Q1255" s="37"/>
      <c r="R1255" s="47"/>
      <c r="S1255" s="46"/>
    </row>
    <row r="1256" spans="1:19" ht="15.6" customHeight="1" thickBot="1" x14ac:dyDescent="0.3">
      <c r="A1256" t="s">
        <v>23</v>
      </c>
      <c r="B1256" s="60" t="str">
        <f t="shared" si="896"/>
        <v/>
      </c>
      <c r="D1256" s="48" t="str">
        <f>D1255</f>
        <v>13228</v>
      </c>
      <c r="E1256" s="7"/>
      <c r="F1256" s="27">
        <v>0</v>
      </c>
      <c r="G1256" s="27">
        <v>0</v>
      </c>
      <c r="H1256" s="27">
        <v>0</v>
      </c>
      <c r="I1256" s="27">
        <v>-366.66666666666669</v>
      </c>
      <c r="J1256" s="27">
        <v>-175.52819277108435</v>
      </c>
      <c r="K1256" s="63">
        <f>AVERAGE(I1256:J1256)</f>
        <v>-271.0974297188755</v>
      </c>
      <c r="L1256" s="56" t="str">
        <f>"SW-COMAS-PACKL"</f>
        <v>SW-COMAS-PACKL</v>
      </c>
      <c r="M1256" s="14"/>
      <c r="N1256" s="15"/>
      <c r="O1256" s="12"/>
      <c r="P1256" s="34"/>
      <c r="Q1256" s="37"/>
      <c r="R1256" s="47"/>
      <c r="S1256" s="46"/>
    </row>
    <row r="1257" spans="1:19" ht="15.6" hidden="1" customHeight="1" thickBot="1" x14ac:dyDescent="0.3">
      <c r="A1257" t="s">
        <v>23</v>
      </c>
      <c r="B1257" s="60" t="str">
        <f t="shared" si="896"/>
        <v>hide</v>
      </c>
      <c r="D1257" s="48" t="str">
        <f>D1256</f>
        <v>13228</v>
      </c>
      <c r="E1257" s="7"/>
      <c r="F1257" s="27">
        <v>0</v>
      </c>
      <c r="G1257" s="27">
        <v>0</v>
      </c>
      <c r="H1257" s="27">
        <v>0</v>
      </c>
      <c r="I1257" s="27">
        <v>0</v>
      </c>
      <c r="J1257" s="27">
        <v>0</v>
      </c>
      <c r="K1257" s="63">
        <f>AVERAGE(I1257:J1257)</f>
        <v>0</v>
      </c>
      <c r="L1257" s="56" t="str">
        <f>"SW-RISER-PACK"</f>
        <v>SW-RISER-PACK</v>
      </c>
      <c r="M1257" s="14"/>
      <c r="N1257" s="15"/>
      <c r="O1257" s="12"/>
      <c r="P1257" s="34"/>
      <c r="Q1257" s="37"/>
      <c r="R1257" s="47"/>
      <c r="S1257" s="46"/>
    </row>
    <row r="1258" spans="1:19" ht="12" hidden="1" customHeight="1" x14ac:dyDescent="0.3">
      <c r="A1258" s="35" t="s">
        <v>908</v>
      </c>
      <c r="B1258" s="49" t="str">
        <f>B1254</f>
        <v>hide</v>
      </c>
      <c r="N1258"/>
      <c r="Q1258" s="33"/>
    </row>
    <row r="1259" spans="1:19" ht="13.8" hidden="1" thickBot="1" x14ac:dyDescent="0.3">
      <c r="A1259" t="s">
        <v>23</v>
      </c>
      <c r="B1259" s="49" t="str">
        <f t="shared" ref="B1259" si="897">B1258</f>
        <v>hide</v>
      </c>
      <c r="D1259" s="58"/>
      <c r="E1259" s="58"/>
      <c r="F1259" s="52">
        <f>SUM(F1254:F1258)</f>
        <v>0</v>
      </c>
      <c r="G1259" s="52">
        <f>SUM(G1254:G1258)</f>
        <v>0</v>
      </c>
      <c r="H1259" s="52">
        <f>SUM(H1254:H1258)</f>
        <v>0</v>
      </c>
      <c r="I1259" s="52">
        <f>SUM(I1254:I1258)</f>
        <v>-366.66666666666669</v>
      </c>
      <c r="J1259" s="52">
        <f>SUM(J1254:J1258)</f>
        <v>-175.52819277108435</v>
      </c>
      <c r="K1259" s="52"/>
      <c r="L1259" s="51" t="s">
        <v>4</v>
      </c>
      <c r="M1259" s="58"/>
      <c r="N1259" s="58"/>
      <c r="O1259" s="58"/>
      <c r="P1259" s="58"/>
      <c r="Q1259" s="58"/>
      <c r="R1259" s="58"/>
      <c r="S1259" s="58"/>
    </row>
    <row r="1260" spans="1:19" s="59" customFormat="1" ht="18.75" customHeight="1" thickBot="1" x14ac:dyDescent="0.3">
      <c r="A1260" s="59" t="s">
        <v>23</v>
      </c>
      <c r="B1260" s="60" t="str">
        <f t="shared" ref="B1260:B1261" si="898">IF(K1260=0,"hide","")</f>
        <v/>
      </c>
      <c r="D1260" s="61" t="str">
        <f>"13258"</f>
        <v>13258</v>
      </c>
      <c r="E1260" s="62" t="str">
        <f>"1"</f>
        <v>1</v>
      </c>
      <c r="F1260" s="63">
        <v>0</v>
      </c>
      <c r="G1260" s="63">
        <v>0</v>
      </c>
      <c r="H1260" s="63">
        <v>0</v>
      </c>
      <c r="I1260" s="63">
        <v>303.33333333333331</v>
      </c>
      <c r="J1260" s="63">
        <v>70.920481927710853</v>
      </c>
      <c r="K1260" s="63">
        <f>AVERAGE(I1260:J1260)</f>
        <v>187.12690763052208</v>
      </c>
      <c r="L1260" s="64" t="str">
        <f>"SunWise Strawberry Sandwich"</f>
        <v>SunWise Strawberry Sandwich</v>
      </c>
      <c r="M1260" s="65" t="str">
        <f>"36.-2.8oz. I.W. Sunwise Strawberry Sandwich"</f>
        <v>36.-2.8oz. I.W. Sunwise Strawberry Sandwich</v>
      </c>
      <c r="N1260" s="66">
        <v>36</v>
      </c>
      <c r="O1260" s="67" t="str">
        <f>""</f>
        <v/>
      </c>
      <c r="P1260" s="68" t="e">
        <f>1/O1260</f>
        <v>#VALUE!</v>
      </c>
      <c r="Q1260" s="53">
        <v>1</v>
      </c>
      <c r="R1260" s="69">
        <f t="shared" ref="R1260" si="899">1/Q1260</f>
        <v>1</v>
      </c>
      <c r="S1260" s="70">
        <f t="shared" ref="S1260" si="900">R1260*N1260</f>
        <v>36</v>
      </c>
    </row>
    <row r="1261" spans="1:19" ht="15.6" hidden="1" customHeight="1" thickBot="1" x14ac:dyDescent="0.3">
      <c r="A1261" t="s">
        <v>23</v>
      </c>
      <c r="B1261" s="60" t="str">
        <f t="shared" si="898"/>
        <v>hide</v>
      </c>
      <c r="D1261" s="48" t="str">
        <f>D1260</f>
        <v>13258</v>
      </c>
      <c r="E1261" s="7"/>
      <c r="F1261" s="27">
        <v>0</v>
      </c>
      <c r="G1261" s="27">
        <v>0</v>
      </c>
      <c r="H1261" s="27">
        <v>0</v>
      </c>
      <c r="I1261" s="27">
        <v>0</v>
      </c>
      <c r="J1261" s="27">
        <v>0</v>
      </c>
      <c r="K1261" s="63">
        <f>AVERAGE(I1261:J1261)</f>
        <v>0</v>
      </c>
      <c r="L1261" s="56" t="str">
        <f>"EQP-LAWPACK1"</f>
        <v>EQP-LAWPACK1</v>
      </c>
      <c r="M1261" s="14"/>
      <c r="N1261" s="15"/>
      <c r="O1261" s="12"/>
      <c r="P1261" s="34"/>
      <c r="Q1261" s="37"/>
      <c r="R1261" s="47"/>
      <c r="S1261" s="46"/>
    </row>
    <row r="1262" spans="1:19" ht="15.6" hidden="1" customHeight="1" thickBot="1" x14ac:dyDescent="0.3">
      <c r="A1262" t="s">
        <v>23</v>
      </c>
      <c r="B1262" s="60" t="str">
        <f t="shared" ref="B1262:B1264" si="901">IF(K1262=0,"hide","")</f>
        <v>hide</v>
      </c>
      <c r="D1262" s="48" t="str">
        <f>D1261</f>
        <v>13258</v>
      </c>
      <c r="E1262" s="7"/>
      <c r="F1262" s="27">
        <v>0</v>
      </c>
      <c r="G1262" s="27">
        <v>0</v>
      </c>
      <c r="H1262" s="27">
        <v>0</v>
      </c>
      <c r="I1262" s="27">
        <v>0</v>
      </c>
      <c r="J1262" s="27">
        <v>0</v>
      </c>
      <c r="K1262" s="63">
        <f>AVERAGE(I1262:J1262)</f>
        <v>0</v>
      </c>
      <c r="L1262" s="56" t="str">
        <f>"EQP-LAWPACK2"</f>
        <v>EQP-LAWPACK2</v>
      </c>
      <c r="M1262" s="14"/>
      <c r="N1262" s="15"/>
      <c r="O1262" s="12"/>
      <c r="P1262" s="34"/>
      <c r="Q1262" s="37"/>
      <c r="R1262" s="47"/>
      <c r="S1262" s="46"/>
    </row>
    <row r="1263" spans="1:19" ht="15.6" customHeight="1" thickBot="1" x14ac:dyDescent="0.3">
      <c r="A1263" t="s">
        <v>23</v>
      </c>
      <c r="B1263" s="60" t="str">
        <f t="shared" si="901"/>
        <v/>
      </c>
      <c r="D1263" s="48" t="str">
        <f>D1262</f>
        <v>13258</v>
      </c>
      <c r="E1263" s="7"/>
      <c r="F1263" s="27">
        <v>0</v>
      </c>
      <c r="G1263" s="27">
        <v>0</v>
      </c>
      <c r="H1263" s="27">
        <v>0</v>
      </c>
      <c r="I1263" s="27">
        <v>-308.33333333333331</v>
      </c>
      <c r="J1263" s="27">
        <v>-98.538554216867468</v>
      </c>
      <c r="K1263" s="63">
        <f>AVERAGE(I1263:J1263)</f>
        <v>-203.43594377510038</v>
      </c>
      <c r="L1263" s="56" t="str">
        <f>"SW-COMAS-PACKL"</f>
        <v>SW-COMAS-PACKL</v>
      </c>
      <c r="M1263" s="14"/>
      <c r="N1263" s="15"/>
      <c r="O1263" s="12"/>
      <c r="P1263" s="34"/>
      <c r="Q1263" s="37"/>
      <c r="R1263" s="47"/>
      <c r="S1263" s="46"/>
    </row>
    <row r="1264" spans="1:19" ht="15.6" hidden="1" customHeight="1" thickBot="1" x14ac:dyDescent="0.3">
      <c r="A1264" t="s">
        <v>23</v>
      </c>
      <c r="B1264" s="60" t="str">
        <f t="shared" si="901"/>
        <v>hide</v>
      </c>
      <c r="D1264" s="48" t="str">
        <f>D1263</f>
        <v>13258</v>
      </c>
      <c r="E1264" s="7"/>
      <c r="F1264" s="27">
        <v>0</v>
      </c>
      <c r="G1264" s="27">
        <v>0</v>
      </c>
      <c r="H1264" s="27">
        <v>0</v>
      </c>
      <c r="I1264" s="27">
        <v>0</v>
      </c>
      <c r="J1264" s="27">
        <v>0</v>
      </c>
      <c r="K1264" s="63">
        <f>AVERAGE(I1264:J1264)</f>
        <v>0</v>
      </c>
      <c r="L1264" s="56" t="str">
        <f>"SW-RISER-PACK"</f>
        <v>SW-RISER-PACK</v>
      </c>
      <c r="M1264" s="14"/>
      <c r="N1264" s="15"/>
      <c r="O1264" s="12"/>
      <c r="P1264" s="34"/>
      <c r="Q1264" s="37"/>
      <c r="R1264" s="47"/>
      <c r="S1264" s="46"/>
    </row>
    <row r="1265" spans="1:19" ht="12" hidden="1" customHeight="1" x14ac:dyDescent="0.3">
      <c r="A1265" s="35" t="s">
        <v>908</v>
      </c>
      <c r="B1265" s="49" t="str">
        <f>B1261</f>
        <v>hide</v>
      </c>
      <c r="N1265"/>
      <c r="Q1265" s="33"/>
    </row>
    <row r="1266" spans="1:19" ht="13.8" hidden="1" thickBot="1" x14ac:dyDescent="0.3">
      <c r="A1266" t="s">
        <v>23</v>
      </c>
      <c r="B1266" s="49" t="str">
        <f t="shared" ref="B1266" si="902">B1265</f>
        <v>hide</v>
      </c>
      <c r="D1266" s="58"/>
      <c r="E1266" s="58"/>
      <c r="F1266" s="52">
        <f>SUM(F1261:F1265)</f>
        <v>0</v>
      </c>
      <c r="G1266" s="52">
        <f>SUM(G1261:G1265)</f>
        <v>0</v>
      </c>
      <c r="H1266" s="52">
        <f>SUM(H1261:H1265)</f>
        <v>0</v>
      </c>
      <c r="I1266" s="52">
        <f>SUM(I1261:I1265)</f>
        <v>-308.33333333333331</v>
      </c>
      <c r="J1266" s="52">
        <f>SUM(J1261:J1265)</f>
        <v>-98.538554216867468</v>
      </c>
      <c r="K1266" s="52"/>
      <c r="L1266" s="51" t="s">
        <v>4</v>
      </c>
      <c r="M1266" s="58"/>
      <c r="N1266" s="58"/>
      <c r="O1266" s="58"/>
      <c r="P1266" s="58"/>
      <c r="Q1266" s="58"/>
      <c r="R1266" s="58"/>
      <c r="S1266" s="58"/>
    </row>
    <row r="1267" spans="1:19" s="59" customFormat="1" ht="18.75" hidden="1" customHeight="1" thickBot="1" x14ac:dyDescent="0.3">
      <c r="A1267" s="59" t="s">
        <v>23</v>
      </c>
      <c r="B1267" s="60" t="str">
        <f t="shared" ref="B1267:B1268" si="903">IF(K1267=0,"hide","")</f>
        <v>hide</v>
      </c>
      <c r="D1267" s="61" t="str">
        <f>"13629"</f>
        <v>13629</v>
      </c>
      <c r="E1267" s="62" t="str">
        <f>"1"</f>
        <v>1</v>
      </c>
      <c r="F1267" s="63">
        <v>0</v>
      </c>
      <c r="G1267" s="63">
        <v>0</v>
      </c>
      <c r="H1267" s="63">
        <v>0</v>
      </c>
      <c r="I1267" s="63">
        <v>0</v>
      </c>
      <c r="J1267" s="63">
        <v>0</v>
      </c>
      <c r="K1267" s="63">
        <f>AVERAGE(I1267:J1267)</f>
        <v>0</v>
      </c>
      <c r="L1267" s="64" t="str">
        <f>"Smart Choice Plain Mini Stuffers"</f>
        <v>Smart Choice Plain Mini Stuffers</v>
      </c>
      <c r="M1267" s="65" t="str">
        <f>"175-1.1 oz. Bulk"</f>
        <v>175-1.1 oz. Bulk</v>
      </c>
      <c r="N1267" s="66">
        <v>175</v>
      </c>
      <c r="O1267" s="67" t="str">
        <f>""</f>
        <v/>
      </c>
      <c r="P1267" s="68" t="e">
        <f>1/O1267</f>
        <v>#VALUE!</v>
      </c>
      <c r="Q1267" s="53">
        <v>1</v>
      </c>
      <c r="R1267" s="69">
        <f t="shared" ref="R1267" si="904">1/Q1267</f>
        <v>1</v>
      </c>
      <c r="S1267" s="70">
        <f t="shared" ref="S1267" si="905">R1267*N1267</f>
        <v>175</v>
      </c>
    </row>
    <row r="1268" spans="1:19" ht="15.6" hidden="1" customHeight="1" thickBot="1" x14ac:dyDescent="0.3">
      <c r="A1268" t="s">
        <v>23</v>
      </c>
      <c r="B1268" s="60" t="str">
        <f t="shared" si="903"/>
        <v>hide</v>
      </c>
      <c r="D1268" s="48" t="str">
        <f>D1267</f>
        <v>13629</v>
      </c>
      <c r="E1268" s="7"/>
      <c r="F1268" s="27">
        <v>0</v>
      </c>
      <c r="G1268" s="27">
        <v>0</v>
      </c>
      <c r="H1268" s="27">
        <v>0</v>
      </c>
      <c r="I1268" s="27">
        <v>0</v>
      </c>
      <c r="J1268" s="27">
        <v>0</v>
      </c>
      <c r="K1268" s="63">
        <f>AVERAGE(I1268:J1268)</f>
        <v>0</v>
      </c>
      <c r="L1268" s="56" t="str">
        <f>"EQP-LAWPACK1"</f>
        <v>EQP-LAWPACK1</v>
      </c>
      <c r="M1268" s="14"/>
      <c r="N1268" s="15"/>
      <c r="O1268" s="12"/>
      <c r="P1268" s="34"/>
      <c r="Q1268" s="37"/>
      <c r="R1268" s="47"/>
      <c r="S1268" s="46"/>
    </row>
    <row r="1269" spans="1:19" ht="15.6" hidden="1" customHeight="1" thickBot="1" x14ac:dyDescent="0.3">
      <c r="A1269" t="s">
        <v>23</v>
      </c>
      <c r="B1269" s="60" t="str">
        <f t="shared" ref="B1269:B1271" si="906">IF(K1269=0,"hide","")</f>
        <v>hide</v>
      </c>
      <c r="D1269" s="48" t="str">
        <f>D1268</f>
        <v>13629</v>
      </c>
      <c r="E1269" s="7"/>
      <c r="F1269" s="27">
        <v>0</v>
      </c>
      <c r="G1269" s="27">
        <v>0</v>
      </c>
      <c r="H1269" s="27">
        <v>0</v>
      </c>
      <c r="I1269" s="27">
        <v>0</v>
      </c>
      <c r="J1269" s="27">
        <v>0</v>
      </c>
      <c r="K1269" s="63">
        <f>AVERAGE(I1269:J1269)</f>
        <v>0</v>
      </c>
      <c r="L1269" s="56" t="str">
        <f>"EQP-LAWPACK2"</f>
        <v>EQP-LAWPACK2</v>
      </c>
      <c r="M1269" s="14"/>
      <c r="N1269" s="15"/>
      <c r="O1269" s="12"/>
      <c r="P1269" s="34"/>
      <c r="Q1269" s="37"/>
      <c r="R1269" s="47"/>
      <c r="S1269" s="46"/>
    </row>
    <row r="1270" spans="1:19" ht="15.6" hidden="1" customHeight="1" thickBot="1" x14ac:dyDescent="0.3">
      <c r="A1270" t="s">
        <v>23</v>
      </c>
      <c r="B1270" s="60" t="str">
        <f t="shared" si="906"/>
        <v>hide</v>
      </c>
      <c r="D1270" s="48" t="str">
        <f>D1269</f>
        <v>13629</v>
      </c>
      <c r="E1270" s="7"/>
      <c r="F1270" s="27">
        <v>0</v>
      </c>
      <c r="G1270" s="27">
        <v>0</v>
      </c>
      <c r="H1270" s="27">
        <v>0</v>
      </c>
      <c r="I1270" s="27">
        <v>0</v>
      </c>
      <c r="J1270" s="27">
        <v>0</v>
      </c>
      <c r="K1270" s="63">
        <f>AVERAGE(I1270:J1270)</f>
        <v>0</v>
      </c>
      <c r="L1270" s="56" t="str">
        <f>"SW-COMAS-PACKL"</f>
        <v>SW-COMAS-PACKL</v>
      </c>
      <c r="M1270" s="14"/>
      <c r="N1270" s="15"/>
      <c r="O1270" s="12"/>
      <c r="P1270" s="34"/>
      <c r="Q1270" s="37"/>
      <c r="R1270" s="47"/>
      <c r="S1270" s="46"/>
    </row>
    <row r="1271" spans="1:19" ht="15.6" hidden="1" customHeight="1" thickBot="1" x14ac:dyDescent="0.3">
      <c r="A1271" t="s">
        <v>23</v>
      </c>
      <c r="B1271" s="60" t="str">
        <f t="shared" si="906"/>
        <v>hide</v>
      </c>
      <c r="D1271" s="48" t="str">
        <f>D1270</f>
        <v>13629</v>
      </c>
      <c r="E1271" s="7"/>
      <c r="F1271" s="27">
        <v>0</v>
      </c>
      <c r="G1271" s="27">
        <v>0</v>
      </c>
      <c r="H1271" s="27">
        <v>0</v>
      </c>
      <c r="I1271" s="27">
        <v>0</v>
      </c>
      <c r="J1271" s="27">
        <v>0</v>
      </c>
      <c r="K1271" s="63">
        <f>AVERAGE(I1271:J1271)</f>
        <v>0</v>
      </c>
      <c r="L1271" s="56" t="str">
        <f>"SW-RISER-PACK"</f>
        <v>SW-RISER-PACK</v>
      </c>
      <c r="M1271" s="14"/>
      <c r="N1271" s="15"/>
      <c r="O1271" s="12"/>
      <c r="P1271" s="34"/>
      <c r="Q1271" s="37"/>
      <c r="R1271" s="47"/>
      <c r="S1271" s="46"/>
    </row>
    <row r="1272" spans="1:19" ht="12" hidden="1" customHeight="1" x14ac:dyDescent="0.3">
      <c r="A1272" s="35" t="s">
        <v>908</v>
      </c>
      <c r="B1272" s="49" t="str">
        <f>B1268</f>
        <v>hide</v>
      </c>
      <c r="N1272"/>
      <c r="Q1272" s="33"/>
    </row>
    <row r="1273" spans="1:19" ht="13.8" hidden="1" thickBot="1" x14ac:dyDescent="0.3">
      <c r="A1273" t="s">
        <v>23</v>
      </c>
      <c r="B1273" s="49" t="str">
        <f t="shared" ref="B1273" si="907">B1272</f>
        <v>hide</v>
      </c>
      <c r="D1273" s="58"/>
      <c r="E1273" s="58"/>
      <c r="F1273" s="52">
        <f>SUM(F1268:F1272)</f>
        <v>0</v>
      </c>
      <c r="G1273" s="52">
        <f>SUM(G1268:G1272)</f>
        <v>0</v>
      </c>
      <c r="H1273" s="52">
        <f>SUM(H1268:H1272)</f>
        <v>0</v>
      </c>
      <c r="I1273" s="52">
        <f>SUM(I1268:I1272)</f>
        <v>0</v>
      </c>
      <c r="J1273" s="52">
        <f>SUM(J1268:J1272)</f>
        <v>0</v>
      </c>
      <c r="K1273" s="52"/>
      <c r="L1273" s="51" t="s">
        <v>4</v>
      </c>
      <c r="M1273" s="58"/>
      <c r="N1273" s="58"/>
      <c r="O1273" s="58"/>
      <c r="P1273" s="58"/>
      <c r="Q1273" s="58"/>
      <c r="R1273" s="58"/>
      <c r="S1273" s="58"/>
    </row>
    <row r="1274" spans="1:19" s="59" customFormat="1" ht="18.75" hidden="1" customHeight="1" thickBot="1" x14ac:dyDescent="0.3">
      <c r="A1274" s="59" t="s">
        <v>23</v>
      </c>
      <c r="B1274" s="60" t="str">
        <f t="shared" ref="B1274:B1275" si="908">IF(K1274=0,"hide","")</f>
        <v>hide</v>
      </c>
      <c r="D1274" s="61" t="str">
        <f>"14228"</f>
        <v>14228</v>
      </c>
      <c r="E1274" s="62" t="str">
        <f>"8"</f>
        <v>8</v>
      </c>
      <c r="F1274" s="63">
        <v>77.25</v>
      </c>
      <c r="G1274" s="63">
        <v>23.333333333333332</v>
      </c>
      <c r="H1274" s="63">
        <v>0</v>
      </c>
      <c r="I1274" s="63">
        <v>0</v>
      </c>
      <c r="J1274" s="63">
        <v>0</v>
      </c>
      <c r="K1274" s="63">
        <f>AVERAGE(I1274:J1274)</f>
        <v>0</v>
      </c>
      <c r="L1274" s="64" t="str">
        <f>"Sunbutter GRAPE Sandwich"</f>
        <v>Sunbutter GRAPE Sandwich</v>
      </c>
      <c r="M1274" s="65" t="str">
        <f>"32-2.8oz IW  8 cartons of 4"</f>
        <v>32-2.8oz IW  8 cartons of 4</v>
      </c>
      <c r="N1274" s="66">
        <v>32</v>
      </c>
      <c r="O1274" s="67" t="str">
        <f>""</f>
        <v/>
      </c>
      <c r="P1274" s="68" t="e">
        <f>1/O1274</f>
        <v>#VALUE!</v>
      </c>
      <c r="Q1274" s="53">
        <v>1</v>
      </c>
      <c r="R1274" s="69">
        <f t="shared" ref="R1274" si="909">1/Q1274</f>
        <v>1</v>
      </c>
      <c r="S1274" s="70">
        <f t="shared" ref="S1274" si="910">R1274*N1274</f>
        <v>32</v>
      </c>
    </row>
    <row r="1275" spans="1:19" ht="15.6" hidden="1" customHeight="1" thickBot="1" x14ac:dyDescent="0.3">
      <c r="A1275" t="s">
        <v>23</v>
      </c>
      <c r="B1275" s="60" t="str">
        <f t="shared" si="908"/>
        <v>hide</v>
      </c>
      <c r="D1275" s="48" t="str">
        <f>D1274</f>
        <v>14228</v>
      </c>
      <c r="E1275" s="7"/>
      <c r="F1275" s="27">
        <v>0</v>
      </c>
      <c r="G1275" s="27">
        <v>0</v>
      </c>
      <c r="H1275" s="27">
        <v>0</v>
      </c>
      <c r="I1275" s="27">
        <v>0</v>
      </c>
      <c r="J1275" s="27">
        <v>0</v>
      </c>
      <c r="K1275" s="63">
        <f>AVERAGE(I1275:J1275)</f>
        <v>0</v>
      </c>
      <c r="L1275" s="56" t="str">
        <f>"EQP-LAWPACK1"</f>
        <v>EQP-LAWPACK1</v>
      </c>
      <c r="M1275" s="14"/>
      <c r="N1275" s="15"/>
      <c r="O1275" s="12"/>
      <c r="P1275" s="34"/>
      <c r="Q1275" s="37"/>
      <c r="R1275" s="47"/>
      <c r="S1275" s="46"/>
    </row>
    <row r="1276" spans="1:19" ht="15.6" hidden="1" customHeight="1" thickBot="1" x14ac:dyDescent="0.3">
      <c r="A1276" t="s">
        <v>23</v>
      </c>
      <c r="B1276" s="60" t="str">
        <f t="shared" ref="B1276:B1278" si="911">IF(K1276=0,"hide","")</f>
        <v>hide</v>
      </c>
      <c r="D1276" s="48" t="str">
        <f>D1275</f>
        <v>14228</v>
      </c>
      <c r="E1276" s="7"/>
      <c r="F1276" s="27">
        <v>0</v>
      </c>
      <c r="G1276" s="27">
        <v>0</v>
      </c>
      <c r="H1276" s="27">
        <v>0</v>
      </c>
      <c r="I1276" s="27">
        <v>0</v>
      </c>
      <c r="J1276" s="27">
        <v>0</v>
      </c>
      <c r="K1276" s="63">
        <f>AVERAGE(I1276:J1276)</f>
        <v>0</v>
      </c>
      <c r="L1276" s="56" t="str">
        <f>"EQP-LAWPACK2"</f>
        <v>EQP-LAWPACK2</v>
      </c>
      <c r="M1276" s="14"/>
      <c r="N1276" s="15"/>
      <c r="O1276" s="12"/>
      <c r="P1276" s="34"/>
      <c r="Q1276" s="37"/>
      <c r="R1276" s="47"/>
      <c r="S1276" s="46"/>
    </row>
    <row r="1277" spans="1:19" ht="15.6" hidden="1" customHeight="1" thickBot="1" x14ac:dyDescent="0.3">
      <c r="A1277" t="s">
        <v>23</v>
      </c>
      <c r="B1277" s="60" t="str">
        <f t="shared" si="911"/>
        <v>hide</v>
      </c>
      <c r="D1277" s="48" t="str">
        <f>D1276</f>
        <v>14228</v>
      </c>
      <c r="E1277" s="7"/>
      <c r="F1277" s="27">
        <v>-64.083333333333329</v>
      </c>
      <c r="G1277" s="27">
        <v>-23.083333333333332</v>
      </c>
      <c r="H1277" s="27">
        <v>0</v>
      </c>
      <c r="I1277" s="27">
        <v>0</v>
      </c>
      <c r="J1277" s="27">
        <v>0</v>
      </c>
      <c r="K1277" s="63">
        <f>AVERAGE(I1277:J1277)</f>
        <v>0</v>
      </c>
      <c r="L1277" s="56" t="str">
        <f>"SW-COMAS-PACKL"</f>
        <v>SW-COMAS-PACKL</v>
      </c>
      <c r="M1277" s="14"/>
      <c r="N1277" s="15"/>
      <c r="O1277" s="12"/>
      <c r="P1277" s="34"/>
      <c r="Q1277" s="37"/>
      <c r="R1277" s="47"/>
      <c r="S1277" s="46"/>
    </row>
    <row r="1278" spans="1:19" ht="15.6" hidden="1" customHeight="1" thickBot="1" x14ac:dyDescent="0.3">
      <c r="A1278" t="s">
        <v>23</v>
      </c>
      <c r="B1278" s="60" t="str">
        <f t="shared" si="911"/>
        <v>hide</v>
      </c>
      <c r="D1278" s="48" t="str">
        <f>D1277</f>
        <v>14228</v>
      </c>
      <c r="E1278" s="7"/>
      <c r="F1278" s="27">
        <v>0</v>
      </c>
      <c r="G1278" s="27">
        <v>0</v>
      </c>
      <c r="H1278" s="27">
        <v>0</v>
      </c>
      <c r="I1278" s="27">
        <v>0</v>
      </c>
      <c r="J1278" s="27">
        <v>0</v>
      </c>
      <c r="K1278" s="63">
        <f>AVERAGE(I1278:J1278)</f>
        <v>0</v>
      </c>
      <c r="L1278" s="56" t="str">
        <f>"SW-RISER-PACK"</f>
        <v>SW-RISER-PACK</v>
      </c>
      <c r="M1278" s="14"/>
      <c r="N1278" s="15"/>
      <c r="O1278" s="12"/>
      <c r="P1278" s="34"/>
      <c r="Q1278" s="37"/>
      <c r="R1278" s="47"/>
      <c r="S1278" s="46"/>
    </row>
    <row r="1279" spans="1:19" ht="12" hidden="1" customHeight="1" x14ac:dyDescent="0.3">
      <c r="A1279" s="35" t="s">
        <v>908</v>
      </c>
      <c r="B1279" s="49" t="str">
        <f>B1275</f>
        <v>hide</v>
      </c>
      <c r="N1279"/>
      <c r="Q1279" s="33"/>
    </row>
    <row r="1280" spans="1:19" ht="13.8" hidden="1" thickBot="1" x14ac:dyDescent="0.3">
      <c r="A1280" t="s">
        <v>23</v>
      </c>
      <c r="B1280" s="49" t="str">
        <f t="shared" ref="B1280" si="912">B1279</f>
        <v>hide</v>
      </c>
      <c r="D1280" s="58"/>
      <c r="E1280" s="58"/>
      <c r="F1280" s="52">
        <f>SUM(F1275:F1279)</f>
        <v>-64.083333333333329</v>
      </c>
      <c r="G1280" s="52">
        <f>SUM(G1275:G1279)</f>
        <v>-23.083333333333332</v>
      </c>
      <c r="H1280" s="52">
        <f>SUM(H1275:H1279)</f>
        <v>0</v>
      </c>
      <c r="I1280" s="52">
        <f>SUM(I1275:I1279)</f>
        <v>0</v>
      </c>
      <c r="J1280" s="52">
        <f>SUM(J1275:J1279)</f>
        <v>0</v>
      </c>
      <c r="K1280" s="52"/>
      <c r="L1280" s="51" t="s">
        <v>4</v>
      </c>
      <c r="M1280" s="58"/>
      <c r="N1280" s="58"/>
      <c r="O1280" s="58"/>
      <c r="P1280" s="58"/>
      <c r="Q1280" s="58"/>
      <c r="R1280" s="58"/>
      <c r="S1280" s="58"/>
    </row>
    <row r="1281" spans="1:19" s="59" customFormat="1" ht="18.75" hidden="1" customHeight="1" thickBot="1" x14ac:dyDescent="0.3">
      <c r="A1281" s="59" t="s">
        <v>23</v>
      </c>
      <c r="B1281" s="60" t="str">
        <f t="shared" ref="B1281:B1282" si="913">IF(K1281=0,"hide","")</f>
        <v>hide</v>
      </c>
      <c r="D1281" s="61" t="str">
        <f>"14258"</f>
        <v>14258</v>
      </c>
      <c r="E1281" s="62" t="str">
        <f>"2"</f>
        <v>2</v>
      </c>
      <c r="F1281" s="63">
        <v>0</v>
      </c>
      <c r="G1281" s="63">
        <v>0</v>
      </c>
      <c r="H1281" s="63">
        <v>0</v>
      </c>
      <c r="I1281" s="63">
        <v>0</v>
      </c>
      <c r="J1281" s="63">
        <v>0</v>
      </c>
      <c r="K1281" s="63">
        <f>AVERAGE(I1281:J1281)</f>
        <v>0</v>
      </c>
      <c r="L1281" s="64" t="str">
        <f>"Sunbutter STRAWBERRY Sandwich"</f>
        <v>Sunbutter STRAWBERRY Sandwich</v>
      </c>
      <c r="M1281" s="65" t="str">
        <f>"32-2.8oz IW  8 cartons of 4"</f>
        <v>32-2.8oz IW  8 cartons of 4</v>
      </c>
      <c r="N1281" s="66">
        <v>32</v>
      </c>
      <c r="O1281" s="67" t="str">
        <f>""</f>
        <v/>
      </c>
      <c r="P1281" s="68" t="e">
        <f>1/O1281</f>
        <v>#VALUE!</v>
      </c>
      <c r="Q1281" s="53">
        <v>1</v>
      </c>
      <c r="R1281" s="69">
        <f t="shared" ref="R1281" si="914">1/Q1281</f>
        <v>1</v>
      </c>
      <c r="S1281" s="70">
        <f t="shared" ref="S1281" si="915">R1281*N1281</f>
        <v>32</v>
      </c>
    </row>
    <row r="1282" spans="1:19" ht="15.6" hidden="1" customHeight="1" thickBot="1" x14ac:dyDescent="0.3">
      <c r="A1282" t="s">
        <v>23</v>
      </c>
      <c r="B1282" s="60" t="str">
        <f t="shared" si="913"/>
        <v>hide</v>
      </c>
      <c r="D1282" s="48" t="str">
        <f>D1281</f>
        <v>14258</v>
      </c>
      <c r="E1282" s="7"/>
      <c r="F1282" s="27">
        <v>0</v>
      </c>
      <c r="G1282" s="27">
        <v>0</v>
      </c>
      <c r="H1282" s="27">
        <v>0</v>
      </c>
      <c r="I1282" s="27">
        <v>0</v>
      </c>
      <c r="J1282" s="27">
        <v>0</v>
      </c>
      <c r="K1282" s="63">
        <f>AVERAGE(I1282:J1282)</f>
        <v>0</v>
      </c>
      <c r="L1282" s="56" t="str">
        <f>"EQP-LAWPACK1"</f>
        <v>EQP-LAWPACK1</v>
      </c>
      <c r="M1282" s="14"/>
      <c r="N1282" s="15"/>
      <c r="O1282" s="12"/>
      <c r="P1282" s="34"/>
      <c r="Q1282" s="37"/>
      <c r="R1282" s="47"/>
      <c r="S1282" s="46"/>
    </row>
    <row r="1283" spans="1:19" ht="15.6" hidden="1" customHeight="1" thickBot="1" x14ac:dyDescent="0.3">
      <c r="A1283" t="s">
        <v>23</v>
      </c>
      <c r="B1283" s="60" t="str">
        <f t="shared" ref="B1283:B1285" si="916">IF(K1283=0,"hide","")</f>
        <v>hide</v>
      </c>
      <c r="D1283" s="48" t="str">
        <f>D1282</f>
        <v>14258</v>
      </c>
      <c r="E1283" s="7"/>
      <c r="F1283" s="27">
        <v>0</v>
      </c>
      <c r="G1283" s="27">
        <v>0</v>
      </c>
      <c r="H1283" s="27">
        <v>0</v>
      </c>
      <c r="I1283" s="27">
        <v>0</v>
      </c>
      <c r="J1283" s="27">
        <v>0</v>
      </c>
      <c r="K1283" s="63">
        <f>AVERAGE(I1283:J1283)</f>
        <v>0</v>
      </c>
      <c r="L1283" s="56" t="str">
        <f>"EQP-LAWPACK2"</f>
        <v>EQP-LAWPACK2</v>
      </c>
      <c r="M1283" s="14"/>
      <c r="N1283" s="15"/>
      <c r="O1283" s="12"/>
      <c r="P1283" s="34"/>
      <c r="Q1283" s="37"/>
      <c r="R1283" s="47"/>
      <c r="S1283" s="46"/>
    </row>
    <row r="1284" spans="1:19" ht="15.6" hidden="1" customHeight="1" thickBot="1" x14ac:dyDescent="0.3">
      <c r="A1284" t="s">
        <v>23</v>
      </c>
      <c r="B1284" s="60" t="str">
        <f t="shared" si="916"/>
        <v>hide</v>
      </c>
      <c r="D1284" s="48" t="str">
        <f>D1283</f>
        <v>14258</v>
      </c>
      <c r="E1284" s="7"/>
      <c r="F1284" s="27">
        <v>0</v>
      </c>
      <c r="G1284" s="27">
        <v>0</v>
      </c>
      <c r="H1284" s="27">
        <v>0</v>
      </c>
      <c r="I1284" s="27">
        <v>0</v>
      </c>
      <c r="J1284" s="27">
        <v>0</v>
      </c>
      <c r="K1284" s="63">
        <f>AVERAGE(I1284:J1284)</f>
        <v>0</v>
      </c>
      <c r="L1284" s="56" t="str">
        <f>"SW-COMAS-PACKL"</f>
        <v>SW-COMAS-PACKL</v>
      </c>
      <c r="M1284" s="14"/>
      <c r="N1284" s="15"/>
      <c r="O1284" s="12"/>
      <c r="P1284" s="34"/>
      <c r="Q1284" s="37"/>
      <c r="R1284" s="47"/>
      <c r="S1284" s="46"/>
    </row>
    <row r="1285" spans="1:19" ht="15.6" hidden="1" customHeight="1" thickBot="1" x14ac:dyDescent="0.3">
      <c r="A1285" t="s">
        <v>23</v>
      </c>
      <c r="B1285" s="60" t="str">
        <f t="shared" si="916"/>
        <v>hide</v>
      </c>
      <c r="D1285" s="48" t="str">
        <f>D1284</f>
        <v>14258</v>
      </c>
      <c r="E1285" s="7"/>
      <c r="F1285" s="27">
        <v>0</v>
      </c>
      <c r="G1285" s="27">
        <v>0</v>
      </c>
      <c r="H1285" s="27">
        <v>0</v>
      </c>
      <c r="I1285" s="27">
        <v>0</v>
      </c>
      <c r="J1285" s="27">
        <v>0</v>
      </c>
      <c r="K1285" s="63">
        <f>AVERAGE(I1285:J1285)</f>
        <v>0</v>
      </c>
      <c r="L1285" s="56" t="str">
        <f>"SW-RISER-PACK"</f>
        <v>SW-RISER-PACK</v>
      </c>
      <c r="M1285" s="14"/>
      <c r="N1285" s="15"/>
      <c r="O1285" s="12"/>
      <c r="P1285" s="34"/>
      <c r="Q1285" s="37"/>
      <c r="R1285" s="47"/>
      <c r="S1285" s="46"/>
    </row>
    <row r="1286" spans="1:19" ht="12" hidden="1" customHeight="1" x14ac:dyDescent="0.3">
      <c r="A1286" s="35" t="s">
        <v>908</v>
      </c>
      <c r="B1286" s="49" t="str">
        <f>B1282</f>
        <v>hide</v>
      </c>
      <c r="N1286"/>
      <c r="Q1286" s="33"/>
    </row>
    <row r="1287" spans="1:19" ht="13.8" hidden="1" thickBot="1" x14ac:dyDescent="0.3">
      <c r="A1287" t="s">
        <v>23</v>
      </c>
      <c r="B1287" s="49" t="str">
        <f t="shared" ref="B1287" si="917">B1286</f>
        <v>hide</v>
      </c>
      <c r="D1287" s="58"/>
      <c r="E1287" s="58"/>
      <c r="F1287" s="52">
        <f>SUM(F1282:F1286)</f>
        <v>0</v>
      </c>
      <c r="G1287" s="52">
        <f>SUM(G1282:G1286)</f>
        <v>0</v>
      </c>
      <c r="H1287" s="52">
        <f>SUM(H1282:H1286)</f>
        <v>0</v>
      </c>
      <c r="I1287" s="52">
        <f>SUM(I1282:I1286)</f>
        <v>0</v>
      </c>
      <c r="J1287" s="52">
        <f>SUM(J1282:J1286)</f>
        <v>0</v>
      </c>
      <c r="K1287" s="52"/>
      <c r="L1287" s="51" t="s">
        <v>4</v>
      </c>
      <c r="M1287" s="58"/>
      <c r="N1287" s="58"/>
      <c r="O1287" s="58"/>
      <c r="P1287" s="58"/>
      <c r="Q1287" s="58"/>
      <c r="R1287" s="58"/>
      <c r="S1287" s="58"/>
    </row>
    <row r="1288" spans="1:19" s="59" customFormat="1" ht="18.75" customHeight="1" thickBot="1" x14ac:dyDescent="0.3">
      <c r="A1288" s="59" t="s">
        <v>23</v>
      </c>
      <c r="B1288" s="60" t="str">
        <f t="shared" ref="B1288:B1289" si="918">IF(K1288=0,"hide","")</f>
        <v/>
      </c>
      <c r="D1288" s="61" t="str">
        <f>"14328"</f>
        <v>14328</v>
      </c>
      <c r="E1288" s="62" t="str">
        <f>"1"</f>
        <v>1</v>
      </c>
      <c r="F1288" s="63">
        <v>0</v>
      </c>
      <c r="G1288" s="63">
        <v>0</v>
      </c>
      <c r="H1288" s="63">
        <v>0</v>
      </c>
      <c r="I1288" s="63">
        <v>0</v>
      </c>
      <c r="J1288" s="63">
        <v>601.2556626506024</v>
      </c>
      <c r="K1288" s="63">
        <f>AVERAGE(I1288:J1288)</f>
        <v>300.6278313253012</v>
      </c>
      <c r="L1288" s="64" t="str">
        <f>"Good and Gather GRAPE 4pk"</f>
        <v>Good and Gather GRAPE 4pk</v>
      </c>
      <c r="M1288" s="65" t="str">
        <f>"32-2 oz IW 8 cartons of 4"</f>
        <v>32-2 oz IW 8 cartons of 4</v>
      </c>
      <c r="N1288" s="66">
        <v>32</v>
      </c>
      <c r="O1288" s="67" t="str">
        <f>""</f>
        <v/>
      </c>
      <c r="P1288" s="68" t="e">
        <f>1/O1288</f>
        <v>#VALUE!</v>
      </c>
      <c r="Q1288" s="53">
        <v>1</v>
      </c>
      <c r="R1288" s="69">
        <f t="shared" ref="R1288" si="919">1/Q1288</f>
        <v>1</v>
      </c>
      <c r="S1288" s="70">
        <f t="shared" ref="S1288" si="920">R1288*N1288</f>
        <v>32</v>
      </c>
    </row>
    <row r="1289" spans="1:19" ht="15.6" hidden="1" customHeight="1" thickBot="1" x14ac:dyDescent="0.3">
      <c r="A1289" t="s">
        <v>23</v>
      </c>
      <c r="B1289" s="60" t="str">
        <f t="shared" si="918"/>
        <v>hide</v>
      </c>
      <c r="D1289" s="48" t="str">
        <f>D1288</f>
        <v>14328</v>
      </c>
      <c r="E1289" s="7"/>
      <c r="F1289" s="27">
        <v>0</v>
      </c>
      <c r="G1289" s="27">
        <v>0</v>
      </c>
      <c r="H1289" s="27">
        <v>0</v>
      </c>
      <c r="I1289" s="27">
        <v>0</v>
      </c>
      <c r="J1289" s="27">
        <v>0</v>
      </c>
      <c r="K1289" s="63">
        <f>AVERAGE(I1289:J1289)</f>
        <v>0</v>
      </c>
      <c r="L1289" s="56" t="str">
        <f>"EQP-LAWPACK1"</f>
        <v>EQP-LAWPACK1</v>
      </c>
      <c r="M1289" s="14"/>
      <c r="N1289" s="15"/>
      <c r="O1289" s="12"/>
      <c r="P1289" s="34"/>
      <c r="Q1289" s="37"/>
      <c r="R1289" s="47"/>
      <c r="S1289" s="46"/>
    </row>
    <row r="1290" spans="1:19" ht="15.6" hidden="1" customHeight="1" thickBot="1" x14ac:dyDescent="0.3">
      <c r="A1290" t="s">
        <v>23</v>
      </c>
      <c r="B1290" s="60" t="str">
        <f t="shared" ref="B1290:B1292" si="921">IF(K1290=0,"hide","")</f>
        <v>hide</v>
      </c>
      <c r="D1290" s="48" t="str">
        <f>D1289</f>
        <v>14328</v>
      </c>
      <c r="E1290" s="7"/>
      <c r="F1290" s="27">
        <v>0</v>
      </c>
      <c r="G1290" s="27">
        <v>0</v>
      </c>
      <c r="H1290" s="27">
        <v>0</v>
      </c>
      <c r="I1290" s="27">
        <v>0</v>
      </c>
      <c r="J1290" s="27">
        <v>0</v>
      </c>
      <c r="K1290" s="63">
        <f>AVERAGE(I1290:J1290)</f>
        <v>0</v>
      </c>
      <c r="L1290" s="56" t="str">
        <f>"EQP-LAWPACK2"</f>
        <v>EQP-LAWPACK2</v>
      </c>
      <c r="M1290" s="14"/>
      <c r="N1290" s="15"/>
      <c r="O1290" s="12"/>
      <c r="P1290" s="34"/>
      <c r="Q1290" s="37"/>
      <c r="R1290" s="47"/>
      <c r="S1290" s="46"/>
    </row>
    <row r="1291" spans="1:19" ht="15.6" customHeight="1" thickBot="1" x14ac:dyDescent="0.3">
      <c r="A1291" t="s">
        <v>23</v>
      </c>
      <c r="B1291" s="60" t="str">
        <f t="shared" si="921"/>
        <v/>
      </c>
      <c r="D1291" s="48" t="str">
        <f>D1290</f>
        <v>14328</v>
      </c>
      <c r="E1291" s="7"/>
      <c r="F1291" s="27">
        <v>0</v>
      </c>
      <c r="G1291" s="27">
        <v>0</v>
      </c>
      <c r="H1291" s="27">
        <v>0</v>
      </c>
      <c r="I1291" s="27">
        <v>0</v>
      </c>
      <c r="J1291" s="27">
        <v>-159.70746987951807</v>
      </c>
      <c r="K1291" s="63">
        <f>AVERAGE(I1291:J1291)</f>
        <v>-79.853734939759036</v>
      </c>
      <c r="L1291" s="56" t="str">
        <f>"SW-COMAS-PACKL"</f>
        <v>SW-COMAS-PACKL</v>
      </c>
      <c r="M1291" s="14"/>
      <c r="N1291" s="15"/>
      <c r="O1291" s="12"/>
      <c r="P1291" s="34"/>
      <c r="Q1291" s="37"/>
      <c r="R1291" s="47"/>
      <c r="S1291" s="46"/>
    </row>
    <row r="1292" spans="1:19" ht="15.6" customHeight="1" thickBot="1" x14ac:dyDescent="0.3">
      <c r="A1292" t="s">
        <v>23</v>
      </c>
      <c r="B1292" s="60" t="str">
        <f t="shared" si="921"/>
        <v/>
      </c>
      <c r="D1292" s="48" t="str">
        <f>D1291</f>
        <v>14328</v>
      </c>
      <c r="E1292" s="7"/>
      <c r="F1292" s="27">
        <v>0</v>
      </c>
      <c r="G1292" s="27">
        <v>0</v>
      </c>
      <c r="H1292" s="27">
        <v>0</v>
      </c>
      <c r="I1292" s="27">
        <v>0</v>
      </c>
      <c r="J1292" s="27">
        <v>-502.58072289156627</v>
      </c>
      <c r="K1292" s="63">
        <f>AVERAGE(I1292:J1292)</f>
        <v>-251.29036144578313</v>
      </c>
      <c r="L1292" s="56" t="str">
        <f>"SW-RISER-PACK"</f>
        <v>SW-RISER-PACK</v>
      </c>
      <c r="M1292" s="14"/>
      <c r="N1292" s="15"/>
      <c r="O1292" s="12"/>
      <c r="P1292" s="34"/>
      <c r="Q1292" s="37"/>
      <c r="R1292" s="47"/>
      <c r="S1292" s="46"/>
    </row>
    <row r="1293" spans="1:19" ht="12" hidden="1" customHeight="1" x14ac:dyDescent="0.3">
      <c r="A1293" s="35" t="s">
        <v>908</v>
      </c>
      <c r="B1293" s="49" t="str">
        <f>B1289</f>
        <v>hide</v>
      </c>
      <c r="N1293"/>
      <c r="Q1293" s="33"/>
    </row>
    <row r="1294" spans="1:19" ht="13.8" hidden="1" thickBot="1" x14ac:dyDescent="0.3">
      <c r="A1294" t="s">
        <v>23</v>
      </c>
      <c r="B1294" s="49" t="str">
        <f t="shared" ref="B1294" si="922">B1293</f>
        <v>hide</v>
      </c>
      <c r="D1294" s="58"/>
      <c r="E1294" s="58"/>
      <c r="F1294" s="52">
        <f>SUM(F1289:F1293)</f>
        <v>0</v>
      </c>
      <c r="G1294" s="52">
        <f>SUM(G1289:G1293)</f>
        <v>0</v>
      </c>
      <c r="H1294" s="52">
        <f>SUM(H1289:H1293)</f>
        <v>0</v>
      </c>
      <c r="I1294" s="52">
        <f>SUM(I1289:I1293)</f>
        <v>0</v>
      </c>
      <c r="J1294" s="52">
        <f>SUM(J1289:J1293)</f>
        <v>-662.28819277108437</v>
      </c>
      <c r="K1294" s="52"/>
      <c r="L1294" s="51" t="s">
        <v>4</v>
      </c>
      <c r="M1294" s="58"/>
      <c r="N1294" s="58"/>
      <c r="O1294" s="58"/>
      <c r="P1294" s="58"/>
      <c r="Q1294" s="58"/>
      <c r="R1294" s="58"/>
      <c r="S1294" s="58"/>
    </row>
    <row r="1295" spans="1:19" s="59" customFormat="1" ht="18.75" customHeight="1" thickBot="1" x14ac:dyDescent="0.3">
      <c r="A1295" s="59" t="s">
        <v>23</v>
      </c>
      <c r="B1295" s="60" t="str">
        <f t="shared" ref="B1295:B1296" si="923">IF(K1295=0,"hide","")</f>
        <v/>
      </c>
      <c r="D1295" s="61" t="str">
        <f>"14358"</f>
        <v>14358</v>
      </c>
      <c r="E1295" s="62" t="str">
        <f>"1"</f>
        <v>1</v>
      </c>
      <c r="F1295" s="63">
        <v>0</v>
      </c>
      <c r="G1295" s="63">
        <v>0</v>
      </c>
      <c r="H1295" s="63">
        <v>0</v>
      </c>
      <c r="I1295" s="63">
        <v>0</v>
      </c>
      <c r="J1295" s="63">
        <v>817.15397590361454</v>
      </c>
      <c r="K1295" s="63">
        <f>AVERAGE(I1295:J1295)</f>
        <v>408.57698795180727</v>
      </c>
      <c r="L1295" s="64" t="str">
        <f>"Good and Gather STRAWBERY 4pk"</f>
        <v>Good and Gather STRAWBERY 4pk</v>
      </c>
      <c r="M1295" s="65" t="str">
        <f>"32-2 oz IW 8 cartons of 4"</f>
        <v>32-2 oz IW 8 cartons of 4</v>
      </c>
      <c r="N1295" s="66">
        <v>32</v>
      </c>
      <c r="O1295" s="67" t="str">
        <f>""</f>
        <v/>
      </c>
      <c r="P1295" s="68" t="e">
        <f>1/O1295</f>
        <v>#VALUE!</v>
      </c>
      <c r="Q1295" s="53">
        <v>1</v>
      </c>
      <c r="R1295" s="69">
        <f t="shared" ref="R1295" si="924">1/Q1295</f>
        <v>1</v>
      </c>
      <c r="S1295" s="70">
        <f t="shared" ref="S1295" si="925">R1295*N1295</f>
        <v>32</v>
      </c>
    </row>
    <row r="1296" spans="1:19" ht="15.6" hidden="1" customHeight="1" thickBot="1" x14ac:dyDescent="0.3">
      <c r="A1296" t="s">
        <v>23</v>
      </c>
      <c r="B1296" s="60" t="str">
        <f t="shared" si="923"/>
        <v>hide</v>
      </c>
      <c r="D1296" s="48" t="str">
        <f>D1295</f>
        <v>14358</v>
      </c>
      <c r="E1296" s="7"/>
      <c r="F1296" s="27">
        <v>0</v>
      </c>
      <c r="G1296" s="27">
        <v>0</v>
      </c>
      <c r="H1296" s="27">
        <v>0</v>
      </c>
      <c r="I1296" s="27">
        <v>0</v>
      </c>
      <c r="J1296" s="27">
        <v>0</v>
      </c>
      <c r="K1296" s="63">
        <f>AVERAGE(I1296:J1296)</f>
        <v>0</v>
      </c>
      <c r="L1296" s="56" t="str">
        <f>"EQP-LAWPACK1"</f>
        <v>EQP-LAWPACK1</v>
      </c>
      <c r="M1296" s="14"/>
      <c r="N1296" s="15"/>
      <c r="O1296" s="12"/>
      <c r="P1296" s="34"/>
      <c r="Q1296" s="37"/>
      <c r="R1296" s="47"/>
      <c r="S1296" s="46"/>
    </row>
    <row r="1297" spans="1:19" ht="15.6" hidden="1" customHeight="1" thickBot="1" x14ac:dyDescent="0.3">
      <c r="A1297" t="s">
        <v>23</v>
      </c>
      <c r="B1297" s="60" t="str">
        <f t="shared" ref="B1297:B1299" si="926">IF(K1297=0,"hide","")</f>
        <v>hide</v>
      </c>
      <c r="D1297" s="48" t="str">
        <f>D1296</f>
        <v>14358</v>
      </c>
      <c r="E1297" s="7"/>
      <c r="F1297" s="27">
        <v>0</v>
      </c>
      <c r="G1297" s="27">
        <v>0</v>
      </c>
      <c r="H1297" s="27">
        <v>0</v>
      </c>
      <c r="I1297" s="27">
        <v>0</v>
      </c>
      <c r="J1297" s="27">
        <v>0</v>
      </c>
      <c r="K1297" s="63">
        <f>AVERAGE(I1297:J1297)</f>
        <v>0</v>
      </c>
      <c r="L1297" s="56" t="str">
        <f>"EQP-LAWPACK2"</f>
        <v>EQP-LAWPACK2</v>
      </c>
      <c r="M1297" s="14"/>
      <c r="N1297" s="15"/>
      <c r="O1297" s="12"/>
      <c r="P1297" s="34"/>
      <c r="Q1297" s="37"/>
      <c r="R1297" s="47"/>
      <c r="S1297" s="46"/>
    </row>
    <row r="1298" spans="1:19" ht="15.6" customHeight="1" thickBot="1" x14ac:dyDescent="0.3">
      <c r="A1298" t="s">
        <v>23</v>
      </c>
      <c r="B1298" s="60" t="str">
        <f t="shared" si="926"/>
        <v/>
      </c>
      <c r="D1298" s="48" t="str">
        <f>D1297</f>
        <v>14358</v>
      </c>
      <c r="E1298" s="7"/>
      <c r="F1298" s="27">
        <v>0</v>
      </c>
      <c r="G1298" s="27">
        <v>0</v>
      </c>
      <c r="H1298" s="27">
        <v>0</v>
      </c>
      <c r="I1298" s="27">
        <v>0</v>
      </c>
      <c r="J1298" s="27">
        <v>-261.86024096385546</v>
      </c>
      <c r="K1298" s="63">
        <f>AVERAGE(I1298:J1298)</f>
        <v>-130.93012048192773</v>
      </c>
      <c r="L1298" s="56" t="str">
        <f>"SW-COMAS-PACKL"</f>
        <v>SW-COMAS-PACKL</v>
      </c>
      <c r="M1298" s="14"/>
      <c r="N1298" s="15"/>
      <c r="O1298" s="12"/>
      <c r="P1298" s="34"/>
      <c r="Q1298" s="37"/>
      <c r="R1298" s="47"/>
      <c r="S1298" s="46"/>
    </row>
    <row r="1299" spans="1:19" ht="15.6" customHeight="1" thickBot="1" x14ac:dyDescent="0.3">
      <c r="A1299" t="s">
        <v>23</v>
      </c>
      <c r="B1299" s="60" t="str">
        <f t="shared" si="926"/>
        <v/>
      </c>
      <c r="D1299" s="48" t="str">
        <f>D1298</f>
        <v>14358</v>
      </c>
      <c r="E1299" s="7"/>
      <c r="F1299" s="27">
        <v>0</v>
      </c>
      <c r="G1299" s="27">
        <v>0</v>
      </c>
      <c r="H1299" s="27">
        <v>0</v>
      </c>
      <c r="I1299" s="27">
        <v>0</v>
      </c>
      <c r="J1299" s="27">
        <v>-629.41927710843379</v>
      </c>
      <c r="K1299" s="63">
        <f>AVERAGE(I1299:J1299)</f>
        <v>-314.70963855421689</v>
      </c>
      <c r="L1299" s="56" t="str">
        <f>"SW-RISER-PACK"</f>
        <v>SW-RISER-PACK</v>
      </c>
      <c r="M1299" s="14"/>
      <c r="N1299" s="15"/>
      <c r="O1299" s="12"/>
      <c r="P1299" s="34"/>
      <c r="Q1299" s="37"/>
      <c r="R1299" s="47"/>
      <c r="S1299" s="46"/>
    </row>
    <row r="1300" spans="1:19" ht="12" hidden="1" customHeight="1" x14ac:dyDescent="0.3">
      <c r="A1300" s="35" t="s">
        <v>908</v>
      </c>
      <c r="B1300" s="49" t="str">
        <f>B1296</f>
        <v>hide</v>
      </c>
      <c r="N1300"/>
      <c r="Q1300" s="33"/>
    </row>
    <row r="1301" spans="1:19" ht="13.8" hidden="1" thickBot="1" x14ac:dyDescent="0.3">
      <c r="A1301" t="s">
        <v>23</v>
      </c>
      <c r="B1301" s="49" t="str">
        <f t="shared" ref="B1301" si="927">B1300</f>
        <v>hide</v>
      </c>
      <c r="D1301" s="58"/>
      <c r="E1301" s="58"/>
      <c r="F1301" s="52">
        <f>SUM(F1296:F1300)</f>
        <v>0</v>
      </c>
      <c r="G1301" s="52">
        <f>SUM(G1296:G1300)</f>
        <v>0</v>
      </c>
      <c r="H1301" s="52">
        <f>SUM(H1296:H1300)</f>
        <v>0</v>
      </c>
      <c r="I1301" s="52">
        <f>SUM(I1296:I1300)</f>
        <v>0</v>
      </c>
      <c r="J1301" s="52">
        <f>SUM(J1296:J1300)</f>
        <v>-891.27951807228919</v>
      </c>
      <c r="K1301" s="52"/>
      <c r="L1301" s="51" t="s">
        <v>4</v>
      </c>
      <c r="M1301" s="58"/>
      <c r="N1301" s="58"/>
      <c r="O1301" s="58"/>
      <c r="P1301" s="58"/>
      <c r="Q1301" s="58"/>
      <c r="R1301" s="58"/>
      <c r="S1301" s="58"/>
    </row>
    <row r="1302" spans="1:19" s="59" customFormat="1" ht="18.75" hidden="1" customHeight="1" thickBot="1" x14ac:dyDescent="0.3">
      <c r="A1302" s="59" t="s">
        <v>23</v>
      </c>
      <c r="B1302" s="60" t="str">
        <f t="shared" ref="B1302:B1303" si="928">IF(K1302=0,"hide","")</f>
        <v>hide</v>
      </c>
      <c r="D1302" s="61" t="str">
        <f>"14801"</f>
        <v>14801</v>
      </c>
      <c r="E1302" s="62" t="str">
        <f>"1"</f>
        <v>1</v>
      </c>
      <c r="F1302" s="63">
        <v>0</v>
      </c>
      <c r="G1302" s="63">
        <v>0</v>
      </c>
      <c r="H1302" s="63">
        <v>0</v>
      </c>
      <c r="I1302" s="63">
        <v>0</v>
      </c>
      <c r="J1302" s="63">
        <v>0</v>
      </c>
      <c r="K1302" s="63">
        <f>AVERAGE(I1302:J1302)</f>
        <v>0</v>
      </c>
      <c r="L1302" s="64" t="str">
        <f>"Nurture Life Sammies -BLUEBERRY"</f>
        <v>Nurture Life Sammies -BLUEBERRY</v>
      </c>
      <c r="M1302" s="65" t="str">
        <f>"32-2.2 oz IW 8 Cartons of 4"</f>
        <v>32-2.2 oz IW 8 Cartons of 4</v>
      </c>
      <c r="N1302" s="66">
        <v>32</v>
      </c>
      <c r="O1302" s="67" t="str">
        <f>""</f>
        <v/>
      </c>
      <c r="P1302" s="68" t="e">
        <f>1/O1302</f>
        <v>#VALUE!</v>
      </c>
      <c r="Q1302" s="53">
        <v>1</v>
      </c>
      <c r="R1302" s="69">
        <f t="shared" ref="R1302" si="929">1/Q1302</f>
        <v>1</v>
      </c>
      <c r="S1302" s="70">
        <f t="shared" ref="S1302" si="930">R1302*N1302</f>
        <v>32</v>
      </c>
    </row>
    <row r="1303" spans="1:19" ht="15.6" hidden="1" customHeight="1" thickBot="1" x14ac:dyDescent="0.3">
      <c r="A1303" t="s">
        <v>23</v>
      </c>
      <c r="B1303" s="60" t="str">
        <f t="shared" si="928"/>
        <v>hide</v>
      </c>
      <c r="D1303" s="48" t="str">
        <f>D1302</f>
        <v>14801</v>
      </c>
      <c r="E1303" s="7"/>
      <c r="F1303" s="27">
        <v>0</v>
      </c>
      <c r="G1303" s="27">
        <v>0</v>
      </c>
      <c r="H1303" s="27">
        <v>0</v>
      </c>
      <c r="I1303" s="27">
        <v>0</v>
      </c>
      <c r="J1303" s="27">
        <v>0</v>
      </c>
      <c r="K1303" s="63">
        <f>AVERAGE(I1303:J1303)</f>
        <v>0</v>
      </c>
      <c r="L1303" s="56" t="str">
        <f>"EQP-LAWPACK1"</f>
        <v>EQP-LAWPACK1</v>
      </c>
      <c r="M1303" s="14"/>
      <c r="N1303" s="15"/>
      <c r="O1303" s="12"/>
      <c r="P1303" s="34"/>
      <c r="Q1303" s="37"/>
      <c r="R1303" s="47"/>
      <c r="S1303" s="46"/>
    </row>
    <row r="1304" spans="1:19" ht="15.6" hidden="1" customHeight="1" thickBot="1" x14ac:dyDescent="0.3">
      <c r="A1304" t="s">
        <v>23</v>
      </c>
      <c r="B1304" s="60" t="str">
        <f t="shared" ref="B1304:B1306" si="931">IF(K1304=0,"hide","")</f>
        <v>hide</v>
      </c>
      <c r="D1304" s="48" t="str">
        <f>D1303</f>
        <v>14801</v>
      </c>
      <c r="E1304" s="7"/>
      <c r="F1304" s="27">
        <v>0</v>
      </c>
      <c r="G1304" s="27">
        <v>0</v>
      </c>
      <c r="H1304" s="27">
        <v>0</v>
      </c>
      <c r="I1304" s="27">
        <v>0</v>
      </c>
      <c r="J1304" s="27">
        <v>0</v>
      </c>
      <c r="K1304" s="63">
        <f>AVERAGE(I1304:J1304)</f>
        <v>0</v>
      </c>
      <c r="L1304" s="56" t="str">
        <f>"EQP-LAWPACK2"</f>
        <v>EQP-LAWPACK2</v>
      </c>
      <c r="M1304" s="14"/>
      <c r="N1304" s="15"/>
      <c r="O1304" s="12"/>
      <c r="P1304" s="34"/>
      <c r="Q1304" s="37"/>
      <c r="R1304" s="47"/>
      <c r="S1304" s="46"/>
    </row>
    <row r="1305" spans="1:19" ht="15.6" hidden="1" customHeight="1" thickBot="1" x14ac:dyDescent="0.3">
      <c r="A1305" t="s">
        <v>23</v>
      </c>
      <c r="B1305" s="60" t="str">
        <f t="shared" si="931"/>
        <v>hide</v>
      </c>
      <c r="D1305" s="48" t="str">
        <f>D1304</f>
        <v>14801</v>
      </c>
      <c r="E1305" s="7"/>
      <c r="F1305" s="27">
        <v>0</v>
      </c>
      <c r="G1305" s="27">
        <v>0</v>
      </c>
      <c r="H1305" s="27">
        <v>0</v>
      </c>
      <c r="I1305" s="27">
        <v>0</v>
      </c>
      <c r="J1305" s="27">
        <v>0</v>
      </c>
      <c r="K1305" s="63">
        <f>AVERAGE(I1305:J1305)</f>
        <v>0</v>
      </c>
      <c r="L1305" s="56" t="str">
        <f>"SW-COMAS-PACKL"</f>
        <v>SW-COMAS-PACKL</v>
      </c>
      <c r="M1305" s="14"/>
      <c r="N1305" s="15"/>
      <c r="O1305" s="12"/>
      <c r="P1305" s="34"/>
      <c r="Q1305" s="37"/>
      <c r="R1305" s="47"/>
      <c r="S1305" s="46"/>
    </row>
    <row r="1306" spans="1:19" ht="15.6" customHeight="1" thickBot="1" x14ac:dyDescent="0.3">
      <c r="A1306" t="s">
        <v>23</v>
      </c>
      <c r="B1306" s="60" t="str">
        <f t="shared" si="931"/>
        <v/>
      </c>
      <c r="D1306" s="48" t="str">
        <f>D1305</f>
        <v>14801</v>
      </c>
      <c r="E1306" s="7"/>
      <c r="F1306" s="27">
        <v>0</v>
      </c>
      <c r="G1306" s="27">
        <v>0</v>
      </c>
      <c r="H1306" s="27">
        <v>0</v>
      </c>
      <c r="I1306" s="27">
        <v>0</v>
      </c>
      <c r="J1306" s="27">
        <v>-10.228915662650603</v>
      </c>
      <c r="K1306" s="63">
        <f>AVERAGE(I1306:J1306)</f>
        <v>-5.1144578313253017</v>
      </c>
      <c r="L1306" s="56" t="str">
        <f>"SW-RISER-PACK"</f>
        <v>SW-RISER-PACK</v>
      </c>
      <c r="M1306" s="14"/>
      <c r="N1306" s="15"/>
      <c r="O1306" s="12"/>
      <c r="P1306" s="34"/>
      <c r="Q1306" s="37"/>
      <c r="R1306" s="47"/>
      <c r="S1306" s="46"/>
    </row>
    <row r="1307" spans="1:19" ht="12" hidden="1" customHeight="1" x14ac:dyDescent="0.3">
      <c r="A1307" s="35" t="s">
        <v>908</v>
      </c>
      <c r="B1307" s="49" t="str">
        <f>B1303</f>
        <v>hide</v>
      </c>
      <c r="N1307"/>
      <c r="Q1307" s="33"/>
    </row>
    <row r="1308" spans="1:19" ht="13.8" hidden="1" thickBot="1" x14ac:dyDescent="0.3">
      <c r="A1308" t="s">
        <v>23</v>
      </c>
      <c r="B1308" s="49" t="str">
        <f t="shared" ref="B1308" si="932">B1307</f>
        <v>hide</v>
      </c>
      <c r="D1308" s="58"/>
      <c r="E1308" s="58"/>
      <c r="F1308" s="52">
        <f>SUM(F1303:F1307)</f>
        <v>0</v>
      </c>
      <c r="G1308" s="52">
        <f>SUM(G1303:G1307)</f>
        <v>0</v>
      </c>
      <c r="H1308" s="52">
        <f>SUM(H1303:H1307)</f>
        <v>0</v>
      </c>
      <c r="I1308" s="52">
        <f>SUM(I1303:I1307)</f>
        <v>0</v>
      </c>
      <c r="J1308" s="52">
        <f>SUM(J1303:J1307)</f>
        <v>-10.228915662650603</v>
      </c>
      <c r="K1308" s="52"/>
      <c r="L1308" s="51" t="s">
        <v>4</v>
      </c>
      <c r="M1308" s="58"/>
      <c r="N1308" s="58"/>
      <c r="O1308" s="58"/>
      <c r="P1308" s="58"/>
      <c r="Q1308" s="58"/>
      <c r="R1308" s="58"/>
      <c r="S1308" s="58"/>
    </row>
    <row r="1309" spans="1:19" s="59" customFormat="1" ht="18.75" hidden="1" customHeight="1" thickBot="1" x14ac:dyDescent="0.3">
      <c r="A1309" s="59" t="s">
        <v>23</v>
      </c>
      <c r="B1309" s="60" t="str">
        <f t="shared" ref="B1309:B1310" si="933">IF(K1309=0,"hide","")</f>
        <v>hide</v>
      </c>
      <c r="D1309" s="61" t="str">
        <f>"14828"</f>
        <v>14828</v>
      </c>
      <c r="E1309" s="62" t="str">
        <f>"1"</f>
        <v>1</v>
      </c>
      <c r="F1309" s="63">
        <v>120.16666666666667</v>
      </c>
      <c r="G1309" s="63">
        <v>13.333333333333334</v>
      </c>
      <c r="H1309" s="63">
        <v>0</v>
      </c>
      <c r="I1309" s="63">
        <v>0</v>
      </c>
      <c r="J1309" s="63">
        <v>0</v>
      </c>
      <c r="K1309" s="63">
        <f>AVERAGE(I1309:J1309)</f>
        <v>0</v>
      </c>
      <c r="L1309" s="64" t="str">
        <f>"Nurture Life Sammies -CHOCOLATE BERRY"</f>
        <v>Nurture Life Sammies -CHOCOLATE BERRY</v>
      </c>
      <c r="M1309" s="65" t="str">
        <f>"32-2.2 oz IW  8 cartons of 4"</f>
        <v>32-2.2 oz IW  8 cartons of 4</v>
      </c>
      <c r="N1309" s="66">
        <v>32</v>
      </c>
      <c r="O1309" s="67" t="str">
        <f>""</f>
        <v/>
      </c>
      <c r="P1309" s="68" t="e">
        <f>1/O1309</f>
        <v>#VALUE!</v>
      </c>
      <c r="Q1309" s="53">
        <v>1</v>
      </c>
      <c r="R1309" s="69">
        <f t="shared" ref="R1309" si="934">1/Q1309</f>
        <v>1</v>
      </c>
      <c r="S1309" s="70">
        <f t="shared" ref="S1309" si="935">R1309*N1309</f>
        <v>32</v>
      </c>
    </row>
    <row r="1310" spans="1:19" ht="15.6" hidden="1" customHeight="1" thickBot="1" x14ac:dyDescent="0.3">
      <c r="A1310" t="s">
        <v>23</v>
      </c>
      <c r="B1310" s="60" t="str">
        <f t="shared" si="933"/>
        <v>hide</v>
      </c>
      <c r="D1310" s="48" t="str">
        <f>D1309</f>
        <v>14828</v>
      </c>
      <c r="E1310" s="7"/>
      <c r="F1310" s="27">
        <v>0</v>
      </c>
      <c r="G1310" s="27">
        <v>0</v>
      </c>
      <c r="H1310" s="27">
        <v>0</v>
      </c>
      <c r="I1310" s="27">
        <v>0</v>
      </c>
      <c r="J1310" s="27">
        <v>0</v>
      </c>
      <c r="K1310" s="63">
        <f>AVERAGE(I1310:J1310)</f>
        <v>0</v>
      </c>
      <c r="L1310" s="56" t="str">
        <f>"EQP-LAWPACK1"</f>
        <v>EQP-LAWPACK1</v>
      </c>
      <c r="M1310" s="14"/>
      <c r="N1310" s="15"/>
      <c r="O1310" s="12"/>
      <c r="P1310" s="34"/>
      <c r="Q1310" s="37"/>
      <c r="R1310" s="47"/>
      <c r="S1310" s="46"/>
    </row>
    <row r="1311" spans="1:19" ht="15.6" hidden="1" customHeight="1" thickBot="1" x14ac:dyDescent="0.3">
      <c r="A1311" t="s">
        <v>23</v>
      </c>
      <c r="B1311" s="60" t="str">
        <f t="shared" ref="B1311:B1313" si="936">IF(K1311=0,"hide","")</f>
        <v>hide</v>
      </c>
      <c r="D1311" s="48" t="str">
        <f>D1310</f>
        <v>14828</v>
      </c>
      <c r="E1311" s="7"/>
      <c r="F1311" s="27">
        <v>0</v>
      </c>
      <c r="G1311" s="27">
        <v>0</v>
      </c>
      <c r="H1311" s="27">
        <v>0</v>
      </c>
      <c r="I1311" s="27">
        <v>0</v>
      </c>
      <c r="J1311" s="27">
        <v>0</v>
      </c>
      <c r="K1311" s="63">
        <f>AVERAGE(I1311:J1311)</f>
        <v>0</v>
      </c>
      <c r="L1311" s="56" t="str">
        <f>"EQP-LAWPACK2"</f>
        <v>EQP-LAWPACK2</v>
      </c>
      <c r="M1311" s="14"/>
      <c r="N1311" s="15"/>
      <c r="O1311" s="12"/>
      <c r="P1311" s="34"/>
      <c r="Q1311" s="37"/>
      <c r="R1311" s="47"/>
      <c r="S1311" s="46"/>
    </row>
    <row r="1312" spans="1:19" ht="15.6" hidden="1" customHeight="1" thickBot="1" x14ac:dyDescent="0.3">
      <c r="A1312" t="s">
        <v>23</v>
      </c>
      <c r="B1312" s="60" t="str">
        <f t="shared" si="936"/>
        <v>hide</v>
      </c>
      <c r="D1312" s="48" t="str">
        <f>D1311</f>
        <v>14828</v>
      </c>
      <c r="E1312" s="7"/>
      <c r="F1312" s="27">
        <v>-93.666666666666671</v>
      </c>
      <c r="G1312" s="27">
        <v>0</v>
      </c>
      <c r="H1312" s="27">
        <v>0</v>
      </c>
      <c r="I1312" s="27">
        <v>0</v>
      </c>
      <c r="J1312" s="27">
        <v>0</v>
      </c>
      <c r="K1312" s="63">
        <f>AVERAGE(I1312:J1312)</f>
        <v>0</v>
      </c>
      <c r="L1312" s="56" t="str">
        <f>"SW-COMAS-PACKL"</f>
        <v>SW-COMAS-PACKL</v>
      </c>
      <c r="M1312" s="14"/>
      <c r="N1312" s="15"/>
      <c r="O1312" s="12"/>
      <c r="P1312" s="34"/>
      <c r="Q1312" s="37"/>
      <c r="R1312" s="47"/>
      <c r="S1312" s="46"/>
    </row>
    <row r="1313" spans="1:19" ht="15.6" customHeight="1" thickBot="1" x14ac:dyDescent="0.3">
      <c r="A1313" t="s">
        <v>23</v>
      </c>
      <c r="B1313" s="60" t="str">
        <f t="shared" si="936"/>
        <v/>
      </c>
      <c r="D1313" s="48" t="str">
        <f>D1312</f>
        <v>14828</v>
      </c>
      <c r="E1313" s="7"/>
      <c r="F1313" s="27">
        <v>0</v>
      </c>
      <c r="G1313" s="27">
        <v>0</v>
      </c>
      <c r="H1313" s="27">
        <v>0</v>
      </c>
      <c r="I1313" s="27">
        <v>0</v>
      </c>
      <c r="J1313" s="27">
        <v>-10.228915662650603</v>
      </c>
      <c r="K1313" s="63">
        <f>AVERAGE(I1313:J1313)</f>
        <v>-5.1144578313253017</v>
      </c>
      <c r="L1313" s="56" t="str">
        <f>"SW-RISER-PACK"</f>
        <v>SW-RISER-PACK</v>
      </c>
      <c r="M1313" s="14"/>
      <c r="N1313" s="15"/>
      <c r="O1313" s="12"/>
      <c r="P1313" s="34"/>
      <c r="Q1313" s="37"/>
      <c r="R1313" s="47"/>
      <c r="S1313" s="46"/>
    </row>
    <row r="1314" spans="1:19" ht="12" hidden="1" customHeight="1" x14ac:dyDescent="0.3">
      <c r="A1314" s="35" t="s">
        <v>908</v>
      </c>
      <c r="B1314" s="49" t="str">
        <f>B1310</f>
        <v>hide</v>
      </c>
      <c r="N1314"/>
      <c r="Q1314" s="33"/>
    </row>
    <row r="1315" spans="1:19" ht="13.8" hidden="1" thickBot="1" x14ac:dyDescent="0.3">
      <c r="A1315" t="s">
        <v>23</v>
      </c>
      <c r="B1315" s="49" t="str">
        <f t="shared" ref="B1315" si="937">B1314</f>
        <v>hide</v>
      </c>
      <c r="D1315" s="58"/>
      <c r="E1315" s="58"/>
      <c r="F1315" s="52">
        <f>SUM(F1310:F1314)</f>
        <v>-93.666666666666671</v>
      </c>
      <c r="G1315" s="52">
        <f>SUM(G1310:G1314)</f>
        <v>0</v>
      </c>
      <c r="H1315" s="52">
        <f>SUM(H1310:H1314)</f>
        <v>0</v>
      </c>
      <c r="I1315" s="52">
        <f>SUM(I1310:I1314)</f>
        <v>0</v>
      </c>
      <c r="J1315" s="52">
        <f>SUM(J1310:J1314)</f>
        <v>-10.228915662650603</v>
      </c>
      <c r="K1315" s="52"/>
      <c r="L1315" s="51" t="s">
        <v>4</v>
      </c>
      <c r="M1315" s="58"/>
      <c r="N1315" s="58"/>
      <c r="O1315" s="58"/>
      <c r="P1315" s="58"/>
      <c r="Q1315" s="58"/>
      <c r="R1315" s="58"/>
      <c r="S1315" s="58"/>
    </row>
    <row r="1316" spans="1:19" s="59" customFormat="1" ht="18.75" hidden="1" customHeight="1" thickBot="1" x14ac:dyDescent="0.3">
      <c r="A1316" s="59" t="s">
        <v>23</v>
      </c>
      <c r="B1316" s="60" t="str">
        <f t="shared" ref="B1316:B1317" si="938">IF(K1316=0,"hide","")</f>
        <v>hide</v>
      </c>
      <c r="D1316" s="61" t="str">
        <f>"14858"</f>
        <v>14858</v>
      </c>
      <c r="E1316" s="62" t="str">
        <f>"1"</f>
        <v>1</v>
      </c>
      <c r="F1316" s="63">
        <v>45.416666666666664</v>
      </c>
      <c r="G1316" s="63">
        <v>0</v>
      </c>
      <c r="H1316" s="63">
        <v>0</v>
      </c>
      <c r="I1316" s="63">
        <v>0</v>
      </c>
      <c r="J1316" s="63">
        <v>0</v>
      </c>
      <c r="K1316" s="63">
        <f>AVERAGE(I1316:J1316)</f>
        <v>0</v>
      </c>
      <c r="L1316" s="64" t="str">
        <f>"Nurture Life Sammies -STRAWBERRY"</f>
        <v>Nurture Life Sammies -STRAWBERRY</v>
      </c>
      <c r="M1316" s="65" t="str">
        <f>"32-2.2 oz IW  8 cartons of 4"</f>
        <v>32-2.2 oz IW  8 cartons of 4</v>
      </c>
      <c r="N1316" s="66">
        <v>32</v>
      </c>
      <c r="O1316" s="67" t="str">
        <f>""</f>
        <v/>
      </c>
      <c r="P1316" s="68" t="e">
        <f>1/O1316</f>
        <v>#VALUE!</v>
      </c>
      <c r="Q1316" s="53">
        <v>1</v>
      </c>
      <c r="R1316" s="69">
        <f t="shared" ref="R1316" si="939">1/Q1316</f>
        <v>1</v>
      </c>
      <c r="S1316" s="70">
        <f t="shared" ref="S1316" si="940">R1316*N1316</f>
        <v>32</v>
      </c>
    </row>
    <row r="1317" spans="1:19" ht="15.6" hidden="1" customHeight="1" thickBot="1" x14ac:dyDescent="0.3">
      <c r="A1317" t="s">
        <v>23</v>
      </c>
      <c r="B1317" s="60" t="str">
        <f t="shared" si="938"/>
        <v>hide</v>
      </c>
      <c r="D1317" s="48" t="str">
        <f>D1316</f>
        <v>14858</v>
      </c>
      <c r="E1317" s="7"/>
      <c r="F1317" s="27">
        <v>0</v>
      </c>
      <c r="G1317" s="27">
        <v>0</v>
      </c>
      <c r="H1317" s="27">
        <v>0</v>
      </c>
      <c r="I1317" s="27">
        <v>0</v>
      </c>
      <c r="J1317" s="27">
        <v>0</v>
      </c>
      <c r="K1317" s="63">
        <f>AVERAGE(I1317:J1317)</f>
        <v>0</v>
      </c>
      <c r="L1317" s="56" t="str">
        <f>"EQP-LAWPACK1"</f>
        <v>EQP-LAWPACK1</v>
      </c>
      <c r="M1317" s="14"/>
      <c r="N1317" s="15"/>
      <c r="O1317" s="12"/>
      <c r="P1317" s="34"/>
      <c r="Q1317" s="37"/>
      <c r="R1317" s="47"/>
      <c r="S1317" s="46"/>
    </row>
    <row r="1318" spans="1:19" ht="15.6" hidden="1" customHeight="1" thickBot="1" x14ac:dyDescent="0.3">
      <c r="A1318" t="s">
        <v>23</v>
      </c>
      <c r="B1318" s="60" t="str">
        <f t="shared" ref="B1318:B1320" si="941">IF(K1318=0,"hide","")</f>
        <v>hide</v>
      </c>
      <c r="D1318" s="48" t="str">
        <f>D1317</f>
        <v>14858</v>
      </c>
      <c r="E1318" s="7"/>
      <c r="F1318" s="27">
        <v>0</v>
      </c>
      <c r="G1318" s="27">
        <v>0</v>
      </c>
      <c r="H1318" s="27">
        <v>0</v>
      </c>
      <c r="I1318" s="27">
        <v>0</v>
      </c>
      <c r="J1318" s="27">
        <v>0</v>
      </c>
      <c r="K1318" s="63">
        <f>AVERAGE(I1318:J1318)</f>
        <v>0</v>
      </c>
      <c r="L1318" s="56" t="str">
        <f>"EQP-LAWPACK2"</f>
        <v>EQP-LAWPACK2</v>
      </c>
      <c r="M1318" s="14"/>
      <c r="N1318" s="15"/>
      <c r="O1318" s="12"/>
      <c r="P1318" s="34"/>
      <c r="Q1318" s="37"/>
      <c r="R1318" s="47"/>
      <c r="S1318" s="46"/>
    </row>
    <row r="1319" spans="1:19" ht="15.6" hidden="1" customHeight="1" thickBot="1" x14ac:dyDescent="0.3">
      <c r="A1319" t="s">
        <v>23</v>
      </c>
      <c r="B1319" s="60" t="str">
        <f t="shared" si="941"/>
        <v>hide</v>
      </c>
      <c r="D1319" s="48" t="str">
        <f>D1318</f>
        <v>14858</v>
      </c>
      <c r="E1319" s="7"/>
      <c r="F1319" s="27">
        <v>-71.500000000000014</v>
      </c>
      <c r="G1319" s="27">
        <v>0</v>
      </c>
      <c r="H1319" s="27">
        <v>0</v>
      </c>
      <c r="I1319" s="27">
        <v>0</v>
      </c>
      <c r="J1319" s="27">
        <v>0</v>
      </c>
      <c r="K1319" s="63">
        <f>AVERAGE(I1319:J1319)</f>
        <v>0</v>
      </c>
      <c r="L1319" s="56" t="str">
        <f>"SW-COMAS-PACKL"</f>
        <v>SW-COMAS-PACKL</v>
      </c>
      <c r="M1319" s="14"/>
      <c r="N1319" s="15"/>
      <c r="O1319" s="12"/>
      <c r="P1319" s="34"/>
      <c r="Q1319" s="37"/>
      <c r="R1319" s="47"/>
      <c r="S1319" s="46"/>
    </row>
    <row r="1320" spans="1:19" ht="15.6" customHeight="1" thickBot="1" x14ac:dyDescent="0.3">
      <c r="A1320" t="s">
        <v>23</v>
      </c>
      <c r="B1320" s="60" t="str">
        <f t="shared" si="941"/>
        <v/>
      </c>
      <c r="D1320" s="48" t="str">
        <f>D1319</f>
        <v>14858</v>
      </c>
      <c r="E1320" s="7"/>
      <c r="F1320" s="27">
        <v>0</v>
      </c>
      <c r="G1320" s="27">
        <v>0</v>
      </c>
      <c r="H1320" s="27">
        <v>0</v>
      </c>
      <c r="I1320" s="27">
        <v>0</v>
      </c>
      <c r="J1320" s="27">
        <v>-3.4096385542168677</v>
      </c>
      <c r="K1320" s="63">
        <f>AVERAGE(I1320:J1320)</f>
        <v>-1.7048192771084338</v>
      </c>
      <c r="L1320" s="56" t="str">
        <f>"SW-RISER-PACK"</f>
        <v>SW-RISER-PACK</v>
      </c>
      <c r="M1320" s="14"/>
      <c r="N1320" s="15"/>
      <c r="O1320" s="12"/>
      <c r="P1320" s="34"/>
      <c r="Q1320" s="37"/>
      <c r="R1320" s="47"/>
      <c r="S1320" s="46"/>
    </row>
    <row r="1321" spans="1:19" ht="12" hidden="1" customHeight="1" x14ac:dyDescent="0.3">
      <c r="A1321" s="35" t="s">
        <v>908</v>
      </c>
      <c r="B1321" s="49" t="str">
        <f>B1317</f>
        <v>hide</v>
      </c>
      <c r="N1321"/>
      <c r="Q1321" s="33"/>
    </row>
    <row r="1322" spans="1:19" ht="13.8" hidden="1" thickBot="1" x14ac:dyDescent="0.3">
      <c r="A1322" t="s">
        <v>23</v>
      </c>
      <c r="B1322" s="49" t="str">
        <f t="shared" ref="B1322" si="942">B1321</f>
        <v>hide</v>
      </c>
      <c r="D1322" s="58"/>
      <c r="E1322" s="58"/>
      <c r="F1322" s="52">
        <f>SUM(F1317:F1321)</f>
        <v>-71.500000000000014</v>
      </c>
      <c r="G1322" s="52">
        <f>SUM(G1317:G1321)</f>
        <v>0</v>
      </c>
      <c r="H1322" s="52">
        <f>SUM(H1317:H1321)</f>
        <v>0</v>
      </c>
      <c r="I1322" s="52">
        <f>SUM(I1317:I1321)</f>
        <v>0</v>
      </c>
      <c r="J1322" s="52">
        <f>SUM(J1317:J1321)</f>
        <v>-3.4096385542168677</v>
      </c>
      <c r="K1322" s="52"/>
      <c r="L1322" s="51" t="s">
        <v>4</v>
      </c>
      <c r="M1322" s="58"/>
      <c r="N1322" s="58"/>
      <c r="O1322" s="58"/>
      <c r="P1322" s="58"/>
      <c r="Q1322" s="58"/>
      <c r="R1322" s="58"/>
      <c r="S1322" s="58"/>
    </row>
    <row r="1323" spans="1:19" s="59" customFormat="1" ht="18.75" customHeight="1" thickBot="1" x14ac:dyDescent="0.3">
      <c r="A1323" s="59" t="s">
        <v>23</v>
      </c>
      <c r="B1323" s="60" t="str">
        <f t="shared" ref="B1323:B1324" si="943">IF(K1323=0,"hide","")</f>
        <v/>
      </c>
      <c r="D1323" s="61" t="str">
        <f>"15228"</f>
        <v>15228</v>
      </c>
      <c r="E1323" s="62" t="str">
        <f>"7"</f>
        <v>7</v>
      </c>
      <c r="F1323" s="63">
        <v>1150.6666666666667</v>
      </c>
      <c r="G1323" s="63">
        <v>2184.5</v>
      </c>
      <c r="H1323" s="63">
        <v>2627.6666666666665</v>
      </c>
      <c r="I1323" s="63">
        <v>2539.25</v>
      </c>
      <c r="J1323" s="63">
        <v>1440.2995180722892</v>
      </c>
      <c r="K1323" s="63">
        <f>AVERAGE(I1323:J1323)</f>
        <v>1989.7747590361446</v>
      </c>
      <c r="L1323" s="64" t="str">
        <f>"SunButter Grape Sandwich"</f>
        <v>SunButter Grape Sandwich</v>
      </c>
      <c r="M1323" s="65" t="str">
        <f>"48-5.2 oz. IW"</f>
        <v>48-5.2 oz. IW</v>
      </c>
      <c r="N1323" s="66">
        <v>48</v>
      </c>
      <c r="O1323" s="67" t="str">
        <f>""</f>
        <v/>
      </c>
      <c r="P1323" s="68" t="e">
        <f>1/O1323</f>
        <v>#VALUE!</v>
      </c>
      <c r="Q1323" s="53">
        <v>1</v>
      </c>
      <c r="R1323" s="69">
        <f t="shared" ref="R1323" si="944">1/Q1323</f>
        <v>1</v>
      </c>
      <c r="S1323" s="70">
        <f t="shared" ref="S1323" si="945">R1323*N1323</f>
        <v>48</v>
      </c>
    </row>
    <row r="1324" spans="1:19" ht="15.6" hidden="1" customHeight="1" thickBot="1" x14ac:dyDescent="0.3">
      <c r="A1324" t="s">
        <v>23</v>
      </c>
      <c r="B1324" s="60" t="str">
        <f t="shared" si="943"/>
        <v>hide</v>
      </c>
      <c r="D1324" s="48" t="str">
        <f>D1323</f>
        <v>15228</v>
      </c>
      <c r="E1324" s="7"/>
      <c r="F1324" s="27">
        <v>0</v>
      </c>
      <c r="G1324" s="27">
        <v>0</v>
      </c>
      <c r="H1324" s="27">
        <v>0</v>
      </c>
      <c r="I1324" s="27">
        <v>0</v>
      </c>
      <c r="J1324" s="27">
        <v>0</v>
      </c>
      <c r="K1324" s="63">
        <f>AVERAGE(I1324:J1324)</f>
        <v>0</v>
      </c>
      <c r="L1324" s="56" t="str">
        <f>"EQP-LAWPACK1"</f>
        <v>EQP-LAWPACK1</v>
      </c>
      <c r="M1324" s="14"/>
      <c r="N1324" s="15"/>
      <c r="O1324" s="12"/>
      <c r="P1324" s="34"/>
      <c r="Q1324" s="37"/>
      <c r="R1324" s="47"/>
      <c r="S1324" s="46"/>
    </row>
    <row r="1325" spans="1:19" ht="15.6" hidden="1" customHeight="1" thickBot="1" x14ac:dyDescent="0.3">
      <c r="A1325" t="s">
        <v>23</v>
      </c>
      <c r="B1325" s="60" t="str">
        <f t="shared" ref="B1325:B1327" si="946">IF(K1325=0,"hide","")</f>
        <v>hide</v>
      </c>
      <c r="D1325" s="48" t="str">
        <f>D1324</f>
        <v>15228</v>
      </c>
      <c r="E1325" s="7"/>
      <c r="F1325" s="27">
        <v>0</v>
      </c>
      <c r="G1325" s="27">
        <v>0</v>
      </c>
      <c r="H1325" s="27">
        <v>0</v>
      </c>
      <c r="I1325" s="27">
        <v>0</v>
      </c>
      <c r="J1325" s="27">
        <v>0</v>
      </c>
      <c r="K1325" s="63">
        <f>AVERAGE(I1325:J1325)</f>
        <v>0</v>
      </c>
      <c r="L1325" s="56" t="str">
        <f>"EQP-LAWPACK2"</f>
        <v>EQP-LAWPACK2</v>
      </c>
      <c r="M1325" s="14"/>
      <c r="N1325" s="15"/>
      <c r="O1325" s="12"/>
      <c r="P1325" s="34"/>
      <c r="Q1325" s="37"/>
      <c r="R1325" s="47"/>
      <c r="S1325" s="46"/>
    </row>
    <row r="1326" spans="1:19" ht="15.6" customHeight="1" thickBot="1" x14ac:dyDescent="0.3">
      <c r="A1326" t="s">
        <v>23</v>
      </c>
      <c r="B1326" s="60" t="str">
        <f t="shared" si="946"/>
        <v/>
      </c>
      <c r="D1326" s="48" t="str">
        <f>D1325</f>
        <v>15228</v>
      </c>
      <c r="E1326" s="7"/>
      <c r="F1326" s="27">
        <v>-1139.1666666666667</v>
      </c>
      <c r="G1326" s="27">
        <v>-3070.75</v>
      </c>
      <c r="H1326" s="27">
        <v>-3261.6666666666665</v>
      </c>
      <c r="I1326" s="27">
        <v>-2990.75</v>
      </c>
      <c r="J1326" s="27">
        <v>-1549.4761445783133</v>
      </c>
      <c r="K1326" s="63">
        <f>AVERAGE(I1326:J1326)</f>
        <v>-2270.1130722891567</v>
      </c>
      <c r="L1326" s="56" t="str">
        <f>"SW-COMAS-PACKL"</f>
        <v>SW-COMAS-PACKL</v>
      </c>
      <c r="M1326" s="14"/>
      <c r="N1326" s="15"/>
      <c r="O1326" s="12"/>
      <c r="P1326" s="34"/>
      <c r="Q1326" s="37"/>
      <c r="R1326" s="47"/>
      <c r="S1326" s="46"/>
    </row>
    <row r="1327" spans="1:19" ht="15.6" customHeight="1" thickBot="1" x14ac:dyDescent="0.3">
      <c r="A1327" t="s">
        <v>23</v>
      </c>
      <c r="B1327" s="60" t="str">
        <f t="shared" si="946"/>
        <v/>
      </c>
      <c r="D1327" s="48" t="str">
        <f>D1326</f>
        <v>15228</v>
      </c>
      <c r="E1327" s="7"/>
      <c r="F1327" s="27">
        <v>0</v>
      </c>
      <c r="G1327" s="27">
        <v>0</v>
      </c>
      <c r="H1327" s="27">
        <v>0</v>
      </c>
      <c r="I1327" s="27">
        <v>0</v>
      </c>
      <c r="J1327" s="27">
        <v>-34.096385542168669</v>
      </c>
      <c r="K1327" s="63">
        <f>AVERAGE(I1327:J1327)</f>
        <v>-17.048192771084334</v>
      </c>
      <c r="L1327" s="56" t="str">
        <f>"SW-RISER-PACK"</f>
        <v>SW-RISER-PACK</v>
      </c>
      <c r="M1327" s="14"/>
      <c r="N1327" s="15"/>
      <c r="O1327" s="12"/>
      <c r="P1327" s="34"/>
      <c r="Q1327" s="37"/>
      <c r="R1327" s="47"/>
      <c r="S1327" s="46"/>
    </row>
    <row r="1328" spans="1:19" ht="12" hidden="1" customHeight="1" x14ac:dyDescent="0.3">
      <c r="A1328" s="35" t="s">
        <v>908</v>
      </c>
      <c r="B1328" s="49" t="str">
        <f>B1324</f>
        <v>hide</v>
      </c>
      <c r="N1328"/>
      <c r="Q1328" s="33"/>
    </row>
    <row r="1329" spans="1:19" ht="13.8" hidden="1" thickBot="1" x14ac:dyDescent="0.3">
      <c r="A1329" t="s">
        <v>23</v>
      </c>
      <c r="B1329" s="49" t="str">
        <f t="shared" ref="B1329" si="947">B1328</f>
        <v>hide</v>
      </c>
      <c r="D1329" s="58"/>
      <c r="E1329" s="58"/>
      <c r="F1329" s="52">
        <f>SUM(F1324:F1328)</f>
        <v>-1139.1666666666667</v>
      </c>
      <c r="G1329" s="52">
        <f>SUM(G1324:G1328)</f>
        <v>-3070.75</v>
      </c>
      <c r="H1329" s="52">
        <f>SUM(H1324:H1328)</f>
        <v>-3261.6666666666665</v>
      </c>
      <c r="I1329" s="52">
        <f>SUM(I1324:I1328)</f>
        <v>-2990.75</v>
      </c>
      <c r="J1329" s="52">
        <f>SUM(J1324:J1328)</f>
        <v>-1583.572530120482</v>
      </c>
      <c r="K1329" s="52"/>
      <c r="L1329" s="51" t="s">
        <v>4</v>
      </c>
      <c r="M1329" s="58"/>
      <c r="N1329" s="58"/>
      <c r="O1329" s="58"/>
      <c r="P1329" s="58"/>
      <c r="Q1329" s="58"/>
      <c r="R1329" s="58"/>
      <c r="S1329" s="58"/>
    </row>
    <row r="1330" spans="1:19" s="59" customFormat="1" ht="18.75" customHeight="1" thickBot="1" x14ac:dyDescent="0.3">
      <c r="A1330" s="59" t="s">
        <v>23</v>
      </c>
      <c r="B1330" s="60" t="str">
        <f t="shared" ref="B1330:B1331" si="948">IF(K1330=0,"hide","")</f>
        <v/>
      </c>
      <c r="D1330" s="61" t="str">
        <f>"15258"</f>
        <v>15258</v>
      </c>
      <c r="E1330" s="62" t="str">
        <f>"1"</f>
        <v>1</v>
      </c>
      <c r="F1330" s="63">
        <v>0</v>
      </c>
      <c r="G1330" s="63">
        <v>0</v>
      </c>
      <c r="H1330" s="63">
        <v>0</v>
      </c>
      <c r="I1330" s="63">
        <v>0</v>
      </c>
      <c r="J1330" s="63">
        <v>42.961445783132532</v>
      </c>
      <c r="K1330" s="63">
        <f>AVERAGE(I1330:J1330)</f>
        <v>21.480722891566266</v>
      </c>
      <c r="L1330" s="64" t="str">
        <f>"SunButter Strawberry Sandwich"</f>
        <v>SunButter Strawberry Sandwich</v>
      </c>
      <c r="M1330" s="65" t="str">
        <f>"48-5.2 oz. IW Bulk"</f>
        <v>48-5.2 oz. IW Bulk</v>
      </c>
      <c r="N1330" s="66">
        <v>48</v>
      </c>
      <c r="O1330" s="67" t="str">
        <f>""</f>
        <v/>
      </c>
      <c r="P1330" s="68" t="e">
        <f>1/O1330</f>
        <v>#VALUE!</v>
      </c>
      <c r="Q1330" s="53">
        <v>1</v>
      </c>
      <c r="R1330" s="69">
        <f t="shared" ref="R1330" si="949">1/Q1330</f>
        <v>1</v>
      </c>
      <c r="S1330" s="70">
        <f t="shared" ref="S1330" si="950">R1330*N1330</f>
        <v>48</v>
      </c>
    </row>
    <row r="1331" spans="1:19" ht="15.6" hidden="1" customHeight="1" thickBot="1" x14ac:dyDescent="0.3">
      <c r="A1331" t="s">
        <v>23</v>
      </c>
      <c r="B1331" s="60" t="str">
        <f t="shared" si="948"/>
        <v>hide</v>
      </c>
      <c r="D1331" s="48" t="str">
        <f>D1330</f>
        <v>15258</v>
      </c>
      <c r="E1331" s="7"/>
      <c r="F1331" s="27">
        <v>0</v>
      </c>
      <c r="G1331" s="27">
        <v>0</v>
      </c>
      <c r="H1331" s="27">
        <v>0</v>
      </c>
      <c r="I1331" s="27">
        <v>0</v>
      </c>
      <c r="J1331" s="27">
        <v>0</v>
      </c>
      <c r="K1331" s="63">
        <f>AVERAGE(I1331:J1331)</f>
        <v>0</v>
      </c>
      <c r="L1331" s="56" t="str">
        <f>"EQP-LAWPACK1"</f>
        <v>EQP-LAWPACK1</v>
      </c>
      <c r="M1331" s="14"/>
      <c r="N1331" s="15"/>
      <c r="O1331" s="12"/>
      <c r="P1331" s="34"/>
      <c r="Q1331" s="37"/>
      <c r="R1331" s="47"/>
      <c r="S1331" s="46"/>
    </row>
    <row r="1332" spans="1:19" ht="15.6" hidden="1" customHeight="1" thickBot="1" x14ac:dyDescent="0.3">
      <c r="A1332" t="s">
        <v>23</v>
      </c>
      <c r="B1332" s="60" t="str">
        <f t="shared" ref="B1332:B1334" si="951">IF(K1332=0,"hide","")</f>
        <v>hide</v>
      </c>
      <c r="D1332" s="48" t="str">
        <f>D1331</f>
        <v>15258</v>
      </c>
      <c r="E1332" s="7"/>
      <c r="F1332" s="27">
        <v>0</v>
      </c>
      <c r="G1332" s="27">
        <v>0</v>
      </c>
      <c r="H1332" s="27">
        <v>0</v>
      </c>
      <c r="I1332" s="27">
        <v>0</v>
      </c>
      <c r="J1332" s="27">
        <v>0</v>
      </c>
      <c r="K1332" s="63">
        <f>AVERAGE(I1332:J1332)</f>
        <v>0</v>
      </c>
      <c r="L1332" s="56" t="str">
        <f>"EQP-LAWPACK2"</f>
        <v>EQP-LAWPACK2</v>
      </c>
      <c r="M1332" s="14"/>
      <c r="N1332" s="15"/>
      <c r="O1332" s="12"/>
      <c r="P1332" s="34"/>
      <c r="Q1332" s="37"/>
      <c r="R1332" s="47"/>
      <c r="S1332" s="46"/>
    </row>
    <row r="1333" spans="1:19" ht="15.6" customHeight="1" thickBot="1" x14ac:dyDescent="0.3">
      <c r="A1333" t="s">
        <v>23</v>
      </c>
      <c r="B1333" s="60" t="str">
        <f t="shared" si="951"/>
        <v/>
      </c>
      <c r="D1333" s="48" t="str">
        <f>D1332</f>
        <v>15258</v>
      </c>
      <c r="E1333" s="7"/>
      <c r="F1333" s="27">
        <v>0</v>
      </c>
      <c r="G1333" s="27">
        <v>0</v>
      </c>
      <c r="H1333" s="27">
        <v>0</v>
      </c>
      <c r="I1333" s="27">
        <v>0</v>
      </c>
      <c r="J1333" s="27">
        <v>-152.0698795180723</v>
      </c>
      <c r="K1333" s="63">
        <f>AVERAGE(I1333:J1333)</f>
        <v>-76.034939759036149</v>
      </c>
      <c r="L1333" s="56" t="str">
        <f>"SW-COMAS-PACKL"</f>
        <v>SW-COMAS-PACKL</v>
      </c>
      <c r="M1333" s="14"/>
      <c r="N1333" s="15"/>
      <c r="O1333" s="12"/>
      <c r="P1333" s="34"/>
      <c r="Q1333" s="37"/>
      <c r="R1333" s="47"/>
      <c r="S1333" s="46"/>
    </row>
    <row r="1334" spans="1:19" ht="15.6" hidden="1" customHeight="1" thickBot="1" x14ac:dyDescent="0.3">
      <c r="A1334" t="s">
        <v>23</v>
      </c>
      <c r="B1334" s="60" t="str">
        <f t="shared" si="951"/>
        <v>hide</v>
      </c>
      <c r="D1334" s="48" t="str">
        <f>D1333</f>
        <v>15258</v>
      </c>
      <c r="E1334" s="7"/>
      <c r="F1334" s="27">
        <v>0</v>
      </c>
      <c r="G1334" s="27">
        <v>0</v>
      </c>
      <c r="H1334" s="27">
        <v>0</v>
      </c>
      <c r="I1334" s="27">
        <v>0</v>
      </c>
      <c r="J1334" s="27">
        <v>0</v>
      </c>
      <c r="K1334" s="63">
        <f>AVERAGE(I1334:J1334)</f>
        <v>0</v>
      </c>
      <c r="L1334" s="56" t="str">
        <f>"SW-RISER-PACK"</f>
        <v>SW-RISER-PACK</v>
      </c>
      <c r="M1334" s="14"/>
      <c r="N1334" s="15"/>
      <c r="O1334" s="12"/>
      <c r="P1334" s="34"/>
      <c r="Q1334" s="37"/>
      <c r="R1334" s="47"/>
      <c r="S1334" s="46"/>
    </row>
    <row r="1335" spans="1:19" ht="12" hidden="1" customHeight="1" x14ac:dyDescent="0.3">
      <c r="A1335" s="35" t="s">
        <v>908</v>
      </c>
      <c r="B1335" s="49" t="str">
        <f>B1331</f>
        <v>hide</v>
      </c>
      <c r="N1335"/>
      <c r="Q1335" s="33"/>
    </row>
    <row r="1336" spans="1:19" ht="13.8" hidden="1" thickBot="1" x14ac:dyDescent="0.3">
      <c r="A1336" t="s">
        <v>23</v>
      </c>
      <c r="B1336" s="49" t="str">
        <f t="shared" ref="B1336" si="952">B1335</f>
        <v>hide</v>
      </c>
      <c r="D1336" s="58"/>
      <c r="E1336" s="58"/>
      <c r="F1336" s="52">
        <f>SUM(F1331:F1335)</f>
        <v>0</v>
      </c>
      <c r="G1336" s="52">
        <f>SUM(G1331:G1335)</f>
        <v>0</v>
      </c>
      <c r="H1336" s="52">
        <f>SUM(H1331:H1335)</f>
        <v>0</v>
      </c>
      <c r="I1336" s="52">
        <f>SUM(I1331:I1335)</f>
        <v>0</v>
      </c>
      <c r="J1336" s="52">
        <f>SUM(J1331:J1335)</f>
        <v>-152.0698795180723</v>
      </c>
      <c r="K1336" s="52"/>
      <c r="L1336" s="51" t="s">
        <v>4</v>
      </c>
      <c r="M1336" s="58"/>
      <c r="N1336" s="58"/>
      <c r="O1336" s="58"/>
      <c r="P1336" s="58"/>
      <c r="Q1336" s="58"/>
      <c r="R1336" s="58"/>
      <c r="S1336" s="58"/>
    </row>
    <row r="1337" spans="1:19" s="59" customFormat="1" ht="18.75" hidden="1" customHeight="1" thickBot="1" x14ac:dyDescent="0.3">
      <c r="A1337" s="59" t="s">
        <v>23</v>
      </c>
      <c r="B1337" s="60" t="str">
        <f t="shared" ref="B1337:B1338" si="953">IF(K1337=0,"hide","")</f>
        <v>hide</v>
      </c>
      <c r="D1337" s="61" t="str">
        <f>"15401"</f>
        <v>15401</v>
      </c>
      <c r="E1337" s="62" t="str">
        <f>"3"</f>
        <v>3</v>
      </c>
      <c r="F1337" s="63">
        <v>105.25</v>
      </c>
      <c r="G1337" s="63">
        <v>252.5</v>
      </c>
      <c r="H1337" s="63">
        <v>33.416666666666664</v>
      </c>
      <c r="I1337" s="63">
        <v>0</v>
      </c>
      <c r="J1337" s="63">
        <v>0</v>
      </c>
      <c r="K1337" s="63">
        <f>AVERAGE(I1337:J1337)</f>
        <v>0</v>
      </c>
      <c r="L1337" s="64" t="str">
        <f>"BLUEBERRY LOAVES"</f>
        <v>BLUEBERRY LOAVES</v>
      </c>
      <c r="M1337" s="65" t="str">
        <f>"200-1.25oz. 5-40 pk."</f>
        <v>200-1.25oz. 5-40 pk.</v>
      </c>
      <c r="N1337" s="66">
        <v>200</v>
      </c>
      <c r="O1337" s="67" t="str">
        <f>""</f>
        <v/>
      </c>
      <c r="P1337" s="68" t="e">
        <f>1/O1337</f>
        <v>#VALUE!</v>
      </c>
      <c r="Q1337" s="53">
        <v>1</v>
      </c>
      <c r="R1337" s="69">
        <f t="shared" ref="R1337" si="954">1/Q1337</f>
        <v>1</v>
      </c>
      <c r="S1337" s="70">
        <f t="shared" ref="S1337" si="955">R1337*N1337</f>
        <v>200</v>
      </c>
    </row>
    <row r="1338" spans="1:19" ht="15.6" hidden="1" customHeight="1" thickBot="1" x14ac:dyDescent="0.3">
      <c r="A1338" t="s">
        <v>23</v>
      </c>
      <c r="B1338" s="60" t="str">
        <f t="shared" si="953"/>
        <v>hide</v>
      </c>
      <c r="D1338" s="48" t="str">
        <f>D1337</f>
        <v>15401</v>
      </c>
      <c r="E1338" s="7"/>
      <c r="F1338" s="27">
        <v>0</v>
      </c>
      <c r="G1338" s="27">
        <v>0</v>
      </c>
      <c r="H1338" s="27">
        <v>0</v>
      </c>
      <c r="I1338" s="27">
        <v>0</v>
      </c>
      <c r="J1338" s="27">
        <v>0</v>
      </c>
      <c r="K1338" s="63">
        <f>AVERAGE(I1338:J1338)</f>
        <v>0</v>
      </c>
      <c r="L1338" s="56" t="str">
        <f>"EQP-LAWPACK1"</f>
        <v>EQP-LAWPACK1</v>
      </c>
      <c r="M1338" s="14"/>
      <c r="N1338" s="15"/>
      <c r="O1338" s="12"/>
      <c r="P1338" s="34"/>
      <c r="Q1338" s="37"/>
      <c r="R1338" s="47"/>
      <c r="S1338" s="46"/>
    </row>
    <row r="1339" spans="1:19" ht="15.6" hidden="1" customHeight="1" thickBot="1" x14ac:dyDescent="0.3">
      <c r="A1339" t="s">
        <v>23</v>
      </c>
      <c r="B1339" s="60" t="str">
        <f t="shared" ref="B1339:B1341" si="956">IF(K1339=0,"hide","")</f>
        <v>hide</v>
      </c>
      <c r="D1339" s="48" t="str">
        <f>D1338</f>
        <v>15401</v>
      </c>
      <c r="E1339" s="7"/>
      <c r="F1339" s="27">
        <v>0</v>
      </c>
      <c r="G1339" s="27">
        <v>0</v>
      </c>
      <c r="H1339" s="27">
        <v>0</v>
      </c>
      <c r="I1339" s="27">
        <v>0</v>
      </c>
      <c r="J1339" s="27">
        <v>0</v>
      </c>
      <c r="K1339" s="63">
        <f>AVERAGE(I1339:J1339)</f>
        <v>0</v>
      </c>
      <c r="L1339" s="56" t="str">
        <f>"EQP-LAWPACK2"</f>
        <v>EQP-LAWPACK2</v>
      </c>
      <c r="M1339" s="14"/>
      <c r="N1339" s="15"/>
      <c r="O1339" s="12"/>
      <c r="P1339" s="34"/>
      <c r="Q1339" s="37"/>
      <c r="R1339" s="47"/>
      <c r="S1339" s="46"/>
    </row>
    <row r="1340" spans="1:19" ht="15.6" hidden="1" customHeight="1" thickBot="1" x14ac:dyDescent="0.3">
      <c r="A1340" t="s">
        <v>23</v>
      </c>
      <c r="B1340" s="60" t="str">
        <f t="shared" si="956"/>
        <v>hide</v>
      </c>
      <c r="D1340" s="48" t="str">
        <f>D1339</f>
        <v>15401</v>
      </c>
      <c r="E1340" s="7"/>
      <c r="F1340" s="27">
        <v>0</v>
      </c>
      <c r="G1340" s="27">
        <v>0</v>
      </c>
      <c r="H1340" s="27">
        <v>0</v>
      </c>
      <c r="I1340" s="27">
        <v>0</v>
      </c>
      <c r="J1340" s="27">
        <v>0</v>
      </c>
      <c r="K1340" s="63">
        <f>AVERAGE(I1340:J1340)</f>
        <v>0</v>
      </c>
      <c r="L1340" s="56" t="str">
        <f>"SW-COMAS-PACKL"</f>
        <v>SW-COMAS-PACKL</v>
      </c>
      <c r="M1340" s="14"/>
      <c r="N1340" s="15"/>
      <c r="O1340" s="12"/>
      <c r="P1340" s="34"/>
      <c r="Q1340" s="37"/>
      <c r="R1340" s="47"/>
      <c r="S1340" s="46"/>
    </row>
    <row r="1341" spans="1:19" ht="15.6" hidden="1" customHeight="1" thickBot="1" x14ac:dyDescent="0.3">
      <c r="A1341" t="s">
        <v>23</v>
      </c>
      <c r="B1341" s="60" t="str">
        <f t="shared" si="956"/>
        <v>hide</v>
      </c>
      <c r="D1341" s="48" t="str">
        <f>D1340</f>
        <v>15401</v>
      </c>
      <c r="E1341" s="7"/>
      <c r="F1341" s="27">
        <v>0</v>
      </c>
      <c r="G1341" s="27">
        <v>0</v>
      </c>
      <c r="H1341" s="27">
        <v>0</v>
      </c>
      <c r="I1341" s="27">
        <v>0</v>
      </c>
      <c r="J1341" s="27">
        <v>0</v>
      </c>
      <c r="K1341" s="63">
        <f>AVERAGE(I1341:J1341)</f>
        <v>0</v>
      </c>
      <c r="L1341" s="56" t="str">
        <f>"SW-RISER-PACK"</f>
        <v>SW-RISER-PACK</v>
      </c>
      <c r="M1341" s="14"/>
      <c r="N1341" s="15"/>
      <c r="O1341" s="12"/>
      <c r="P1341" s="34"/>
      <c r="Q1341" s="37"/>
      <c r="R1341" s="47"/>
      <c r="S1341" s="46"/>
    </row>
    <row r="1342" spans="1:19" ht="12" hidden="1" customHeight="1" x14ac:dyDescent="0.3">
      <c r="A1342" s="35" t="s">
        <v>908</v>
      </c>
      <c r="B1342" s="49" t="str">
        <f>B1338</f>
        <v>hide</v>
      </c>
      <c r="N1342"/>
      <c r="Q1342" s="33"/>
    </row>
    <row r="1343" spans="1:19" ht="13.8" hidden="1" thickBot="1" x14ac:dyDescent="0.3">
      <c r="A1343" t="s">
        <v>23</v>
      </c>
      <c r="B1343" s="49" t="str">
        <f t="shared" ref="B1343" si="957">B1342</f>
        <v>hide</v>
      </c>
      <c r="D1343" s="58"/>
      <c r="E1343" s="58"/>
      <c r="F1343" s="52">
        <f>SUM(F1338:F1342)</f>
        <v>0</v>
      </c>
      <c r="G1343" s="52">
        <f>SUM(G1338:G1342)</f>
        <v>0</v>
      </c>
      <c r="H1343" s="52">
        <f>SUM(H1338:H1342)</f>
        <v>0</v>
      </c>
      <c r="I1343" s="52">
        <f>SUM(I1338:I1342)</f>
        <v>0</v>
      </c>
      <c r="J1343" s="52">
        <f>SUM(J1338:J1342)</f>
        <v>0</v>
      </c>
      <c r="K1343" s="52"/>
      <c r="L1343" s="51" t="s">
        <v>4</v>
      </c>
      <c r="M1343" s="58"/>
      <c r="N1343" s="58"/>
      <c r="O1343" s="58"/>
      <c r="P1343" s="58"/>
      <c r="Q1343" s="58"/>
      <c r="R1343" s="58"/>
      <c r="S1343" s="58"/>
    </row>
    <row r="1344" spans="1:19" s="59" customFormat="1" ht="18.75" hidden="1" customHeight="1" thickBot="1" x14ac:dyDescent="0.3">
      <c r="A1344" s="59" t="s">
        <v>23</v>
      </c>
      <c r="B1344" s="60" t="str">
        <f t="shared" ref="B1344:B1345" si="958">IF(K1344=0,"hide","")</f>
        <v>hide</v>
      </c>
      <c r="D1344" s="61" t="str">
        <f>"15405"</f>
        <v>15405</v>
      </c>
      <c r="E1344" s="62" t="str">
        <f>"3"</f>
        <v>3</v>
      </c>
      <c r="F1344" s="63">
        <v>148.75</v>
      </c>
      <c r="G1344" s="63">
        <v>56.833333333333336</v>
      </c>
      <c r="H1344" s="63">
        <v>102.25</v>
      </c>
      <c r="I1344" s="63">
        <v>0</v>
      </c>
      <c r="J1344" s="63">
        <v>0</v>
      </c>
      <c r="K1344" s="63">
        <f>AVERAGE(I1344:J1344)</f>
        <v>0</v>
      </c>
      <c r="L1344" s="64" t="str">
        <f>"CORNBREAD LOAVES"</f>
        <v>CORNBREAD LOAVES</v>
      </c>
      <c r="M1344" s="65" t="str">
        <f>"200-1.25oz. 5-40 pk."</f>
        <v>200-1.25oz. 5-40 pk.</v>
      </c>
      <c r="N1344" s="66">
        <v>200</v>
      </c>
      <c r="O1344" s="67" t="str">
        <f>""</f>
        <v/>
      </c>
      <c r="P1344" s="68" t="e">
        <f>1/O1344</f>
        <v>#VALUE!</v>
      </c>
      <c r="Q1344" s="53">
        <v>1</v>
      </c>
      <c r="R1344" s="69">
        <f t="shared" ref="R1344" si="959">1/Q1344</f>
        <v>1</v>
      </c>
      <c r="S1344" s="70">
        <f t="shared" ref="S1344" si="960">R1344*N1344</f>
        <v>200</v>
      </c>
    </row>
    <row r="1345" spans="1:19" ht="15.6" hidden="1" customHeight="1" thickBot="1" x14ac:dyDescent="0.3">
      <c r="A1345" t="s">
        <v>23</v>
      </c>
      <c r="B1345" s="60" t="str">
        <f t="shared" si="958"/>
        <v>hide</v>
      </c>
      <c r="D1345" s="48" t="str">
        <f>D1344</f>
        <v>15405</v>
      </c>
      <c r="E1345" s="7"/>
      <c r="F1345" s="27">
        <v>0</v>
      </c>
      <c r="G1345" s="27">
        <v>0</v>
      </c>
      <c r="H1345" s="27">
        <v>0</v>
      </c>
      <c r="I1345" s="27">
        <v>0</v>
      </c>
      <c r="J1345" s="27">
        <v>0</v>
      </c>
      <c r="K1345" s="63">
        <f>AVERAGE(I1345:J1345)</f>
        <v>0</v>
      </c>
      <c r="L1345" s="56" t="str">
        <f>"EQP-LAWPACK1"</f>
        <v>EQP-LAWPACK1</v>
      </c>
      <c r="M1345" s="14"/>
      <c r="N1345" s="15"/>
      <c r="O1345" s="12"/>
      <c r="P1345" s="34"/>
      <c r="Q1345" s="37"/>
      <c r="R1345" s="47"/>
      <c r="S1345" s="46"/>
    </row>
    <row r="1346" spans="1:19" ht="15.6" hidden="1" customHeight="1" thickBot="1" x14ac:dyDescent="0.3">
      <c r="A1346" t="s">
        <v>23</v>
      </c>
      <c r="B1346" s="60" t="str">
        <f t="shared" ref="B1346:B1348" si="961">IF(K1346=0,"hide","")</f>
        <v>hide</v>
      </c>
      <c r="D1346" s="48" t="str">
        <f>D1345</f>
        <v>15405</v>
      </c>
      <c r="E1346" s="7"/>
      <c r="F1346" s="27">
        <v>0</v>
      </c>
      <c r="G1346" s="27">
        <v>0</v>
      </c>
      <c r="H1346" s="27">
        <v>0</v>
      </c>
      <c r="I1346" s="27">
        <v>0</v>
      </c>
      <c r="J1346" s="27">
        <v>0</v>
      </c>
      <c r="K1346" s="63">
        <f>AVERAGE(I1346:J1346)</f>
        <v>0</v>
      </c>
      <c r="L1346" s="56" t="str">
        <f>"EQP-LAWPACK2"</f>
        <v>EQP-LAWPACK2</v>
      </c>
      <c r="M1346" s="14"/>
      <c r="N1346" s="15"/>
      <c r="O1346" s="12"/>
      <c r="P1346" s="34"/>
      <c r="Q1346" s="37"/>
      <c r="R1346" s="47"/>
      <c r="S1346" s="46"/>
    </row>
    <row r="1347" spans="1:19" ht="15.6" hidden="1" customHeight="1" thickBot="1" x14ac:dyDescent="0.3">
      <c r="A1347" t="s">
        <v>23</v>
      </c>
      <c r="B1347" s="60" t="str">
        <f t="shared" si="961"/>
        <v>hide</v>
      </c>
      <c r="D1347" s="48" t="str">
        <f>D1346</f>
        <v>15405</v>
      </c>
      <c r="E1347" s="7"/>
      <c r="F1347" s="27">
        <v>0</v>
      </c>
      <c r="G1347" s="27">
        <v>0</v>
      </c>
      <c r="H1347" s="27">
        <v>0</v>
      </c>
      <c r="I1347" s="27">
        <v>0</v>
      </c>
      <c r="J1347" s="27">
        <v>0</v>
      </c>
      <c r="K1347" s="63">
        <f>AVERAGE(I1347:J1347)</f>
        <v>0</v>
      </c>
      <c r="L1347" s="56" t="str">
        <f>"SW-COMAS-PACKL"</f>
        <v>SW-COMAS-PACKL</v>
      </c>
      <c r="M1347" s="14"/>
      <c r="N1347" s="15"/>
      <c r="O1347" s="12"/>
      <c r="P1347" s="34"/>
      <c r="Q1347" s="37"/>
      <c r="R1347" s="47"/>
      <c r="S1347" s="46"/>
    </row>
    <row r="1348" spans="1:19" ht="15.6" hidden="1" customHeight="1" thickBot="1" x14ac:dyDescent="0.3">
      <c r="A1348" t="s">
        <v>23</v>
      </c>
      <c r="B1348" s="60" t="str">
        <f t="shared" si="961"/>
        <v>hide</v>
      </c>
      <c r="D1348" s="48" t="str">
        <f>D1347</f>
        <v>15405</v>
      </c>
      <c r="E1348" s="7"/>
      <c r="F1348" s="27">
        <v>0</v>
      </c>
      <c r="G1348" s="27">
        <v>0</v>
      </c>
      <c r="H1348" s="27">
        <v>0</v>
      </c>
      <c r="I1348" s="27">
        <v>0</v>
      </c>
      <c r="J1348" s="27">
        <v>0</v>
      </c>
      <c r="K1348" s="63">
        <f>AVERAGE(I1348:J1348)</f>
        <v>0</v>
      </c>
      <c r="L1348" s="56" t="str">
        <f>"SW-RISER-PACK"</f>
        <v>SW-RISER-PACK</v>
      </c>
      <c r="M1348" s="14"/>
      <c r="N1348" s="15"/>
      <c r="O1348" s="12"/>
      <c r="P1348" s="34"/>
      <c r="Q1348" s="37"/>
      <c r="R1348" s="47"/>
      <c r="S1348" s="46"/>
    </row>
    <row r="1349" spans="1:19" ht="12" hidden="1" customHeight="1" x14ac:dyDescent="0.3">
      <c r="A1349" s="35" t="s">
        <v>908</v>
      </c>
      <c r="B1349" s="49" t="str">
        <f>B1345</f>
        <v>hide</v>
      </c>
      <c r="N1349"/>
      <c r="Q1349" s="33"/>
    </row>
    <row r="1350" spans="1:19" ht="13.8" hidden="1" thickBot="1" x14ac:dyDescent="0.3">
      <c r="A1350" t="s">
        <v>23</v>
      </c>
      <c r="B1350" s="49" t="str">
        <f t="shared" ref="B1350" si="962">B1349</f>
        <v>hide</v>
      </c>
      <c r="D1350" s="58"/>
      <c r="E1350" s="58"/>
      <c r="F1350" s="52">
        <f>SUM(F1345:F1349)</f>
        <v>0</v>
      </c>
      <c r="G1350" s="52">
        <f>SUM(G1345:G1349)</f>
        <v>0</v>
      </c>
      <c r="H1350" s="52">
        <f>SUM(H1345:H1349)</f>
        <v>0</v>
      </c>
      <c r="I1350" s="52">
        <f>SUM(I1345:I1349)</f>
        <v>0</v>
      </c>
      <c r="J1350" s="52">
        <f>SUM(J1345:J1349)</f>
        <v>0</v>
      </c>
      <c r="K1350" s="52"/>
      <c r="L1350" s="51" t="s">
        <v>4</v>
      </c>
      <c r="M1350" s="58"/>
      <c r="N1350" s="58"/>
      <c r="O1350" s="58"/>
      <c r="P1350" s="58"/>
      <c r="Q1350" s="58"/>
      <c r="R1350" s="58"/>
      <c r="S1350" s="58"/>
    </row>
    <row r="1351" spans="1:19" s="59" customFormat="1" ht="18.75" hidden="1" customHeight="1" thickBot="1" x14ac:dyDescent="0.3">
      <c r="A1351" s="59" t="s">
        <v>23</v>
      </c>
      <c r="B1351" s="60" t="str">
        <f t="shared" ref="B1351:B1352" si="963">IF(K1351=0,"hide","")</f>
        <v>hide</v>
      </c>
      <c r="D1351" s="61" t="str">
        <f>"15425"</f>
        <v>15425</v>
      </c>
      <c r="E1351" s="62" t="str">
        <f>"1"</f>
        <v>1</v>
      </c>
      <c r="F1351" s="63">
        <v>0</v>
      </c>
      <c r="G1351" s="63">
        <v>0</v>
      </c>
      <c r="H1351" s="63">
        <v>0</v>
      </c>
      <c r="I1351" s="63">
        <v>0</v>
      </c>
      <c r="J1351" s="63">
        <v>0</v>
      </c>
      <c r="K1351" s="63">
        <f>AVERAGE(I1351:J1351)</f>
        <v>0</v>
      </c>
      <c r="L1351" s="64" t="str">
        <f>""</f>
        <v/>
      </c>
      <c r="M1351" s="65" t="str">
        <f>""</f>
        <v/>
      </c>
      <c r="N1351" s="66" t="str">
        <f>""</f>
        <v/>
      </c>
      <c r="O1351" s="67" t="str">
        <f>""</f>
        <v/>
      </c>
      <c r="P1351" s="68" t="e">
        <f>1/O1351</f>
        <v>#VALUE!</v>
      </c>
      <c r="Q1351" s="53">
        <v>1</v>
      </c>
      <c r="R1351" s="69">
        <f t="shared" ref="R1351" si="964">1/Q1351</f>
        <v>1</v>
      </c>
      <c r="S1351" s="70" t="e">
        <f t="shared" ref="S1351" si="965">R1351*N1351</f>
        <v>#VALUE!</v>
      </c>
    </row>
    <row r="1352" spans="1:19" ht="15.6" hidden="1" customHeight="1" thickBot="1" x14ac:dyDescent="0.3">
      <c r="A1352" t="s">
        <v>23</v>
      </c>
      <c r="B1352" s="60" t="str">
        <f t="shared" si="963"/>
        <v>hide</v>
      </c>
      <c r="D1352" s="48" t="str">
        <f>D1351</f>
        <v>15425</v>
      </c>
      <c r="E1352" s="7"/>
      <c r="F1352" s="27">
        <v>0</v>
      </c>
      <c r="G1352" s="27">
        <v>0</v>
      </c>
      <c r="H1352" s="27">
        <v>0</v>
      </c>
      <c r="I1352" s="27">
        <v>0</v>
      </c>
      <c r="J1352" s="27">
        <v>0</v>
      </c>
      <c r="K1352" s="63">
        <f>AVERAGE(I1352:J1352)</f>
        <v>0</v>
      </c>
      <c r="L1352" s="56" t="str">
        <f>"EQP-LAWPACK1"</f>
        <v>EQP-LAWPACK1</v>
      </c>
      <c r="M1352" s="14"/>
      <c r="N1352" s="15"/>
      <c r="O1352" s="12"/>
      <c r="P1352" s="34"/>
      <c r="Q1352" s="37"/>
      <c r="R1352" s="47"/>
      <c r="S1352" s="46"/>
    </row>
    <row r="1353" spans="1:19" ht="15.6" hidden="1" customHeight="1" thickBot="1" x14ac:dyDescent="0.3">
      <c r="A1353" t="s">
        <v>23</v>
      </c>
      <c r="B1353" s="60" t="str">
        <f t="shared" ref="B1353:B1355" si="966">IF(K1353=0,"hide","")</f>
        <v>hide</v>
      </c>
      <c r="D1353" s="48" t="str">
        <f>D1352</f>
        <v>15425</v>
      </c>
      <c r="E1353" s="7"/>
      <c r="F1353" s="27">
        <v>0</v>
      </c>
      <c r="G1353" s="27">
        <v>0</v>
      </c>
      <c r="H1353" s="27">
        <v>0</v>
      </c>
      <c r="I1353" s="27">
        <v>0</v>
      </c>
      <c r="J1353" s="27">
        <v>0</v>
      </c>
      <c r="K1353" s="63">
        <f>AVERAGE(I1353:J1353)</f>
        <v>0</v>
      </c>
      <c r="L1353" s="56" t="str">
        <f>"EQP-LAWPACK2"</f>
        <v>EQP-LAWPACK2</v>
      </c>
      <c r="M1353" s="14"/>
      <c r="N1353" s="15"/>
      <c r="O1353" s="12"/>
      <c r="P1353" s="34"/>
      <c r="Q1353" s="37"/>
      <c r="R1353" s="47"/>
      <c r="S1353" s="46"/>
    </row>
    <row r="1354" spans="1:19" ht="15.6" hidden="1" customHeight="1" thickBot="1" x14ac:dyDescent="0.3">
      <c r="A1354" t="s">
        <v>23</v>
      </c>
      <c r="B1354" s="60" t="str">
        <f t="shared" si="966"/>
        <v>hide</v>
      </c>
      <c r="D1354" s="48" t="str">
        <f>D1353</f>
        <v>15425</v>
      </c>
      <c r="E1354" s="7"/>
      <c r="F1354" s="27">
        <v>0</v>
      </c>
      <c r="G1354" s="27">
        <v>0</v>
      </c>
      <c r="H1354" s="27">
        <v>0</v>
      </c>
      <c r="I1354" s="27">
        <v>0</v>
      </c>
      <c r="J1354" s="27">
        <v>0</v>
      </c>
      <c r="K1354" s="63">
        <f>AVERAGE(I1354:J1354)</f>
        <v>0</v>
      </c>
      <c r="L1354" s="56" t="str">
        <f>"SW-COMAS-PACKL"</f>
        <v>SW-COMAS-PACKL</v>
      </c>
      <c r="M1354" s="14"/>
      <c r="N1354" s="15"/>
      <c r="O1354" s="12"/>
      <c r="P1354" s="34"/>
      <c r="Q1354" s="37"/>
      <c r="R1354" s="47"/>
      <c r="S1354" s="46"/>
    </row>
    <row r="1355" spans="1:19" ht="15.6" hidden="1" customHeight="1" thickBot="1" x14ac:dyDescent="0.3">
      <c r="A1355" t="s">
        <v>23</v>
      </c>
      <c r="B1355" s="60" t="str">
        <f t="shared" si="966"/>
        <v>hide</v>
      </c>
      <c r="D1355" s="48" t="str">
        <f>D1354</f>
        <v>15425</v>
      </c>
      <c r="E1355" s="7"/>
      <c r="F1355" s="27">
        <v>0</v>
      </c>
      <c r="G1355" s="27">
        <v>0</v>
      </c>
      <c r="H1355" s="27">
        <v>0</v>
      </c>
      <c r="I1355" s="27">
        <v>0</v>
      </c>
      <c r="J1355" s="27">
        <v>0</v>
      </c>
      <c r="K1355" s="63">
        <f>AVERAGE(I1355:J1355)</f>
        <v>0</v>
      </c>
      <c r="L1355" s="56" t="str">
        <f>"SW-RISER-PACK"</f>
        <v>SW-RISER-PACK</v>
      </c>
      <c r="M1355" s="14"/>
      <c r="N1355" s="15"/>
      <c r="O1355" s="12"/>
      <c r="P1355" s="34"/>
      <c r="Q1355" s="37"/>
      <c r="R1355" s="47"/>
      <c r="S1355" s="46"/>
    </row>
    <row r="1356" spans="1:19" ht="12" hidden="1" customHeight="1" x14ac:dyDescent="0.3">
      <c r="A1356" s="35" t="s">
        <v>908</v>
      </c>
      <c r="B1356" s="49" t="str">
        <f>B1352</f>
        <v>hide</v>
      </c>
      <c r="N1356"/>
      <c r="Q1356" s="33"/>
    </row>
    <row r="1357" spans="1:19" ht="13.8" hidden="1" thickBot="1" x14ac:dyDescent="0.3">
      <c r="A1357" t="s">
        <v>23</v>
      </c>
      <c r="B1357" s="49" t="str">
        <f t="shared" ref="B1357" si="967">B1356</f>
        <v>hide</v>
      </c>
      <c r="D1357" s="58"/>
      <c r="E1357" s="58"/>
      <c r="F1357" s="52">
        <f>SUM(F1352:F1356)</f>
        <v>0</v>
      </c>
      <c r="G1357" s="52">
        <f>SUM(G1352:G1356)</f>
        <v>0</v>
      </c>
      <c r="H1357" s="52">
        <f>SUM(H1352:H1356)</f>
        <v>0</v>
      </c>
      <c r="I1357" s="52">
        <f>SUM(I1352:I1356)</f>
        <v>0</v>
      </c>
      <c r="J1357" s="52">
        <f>SUM(J1352:J1356)</f>
        <v>0</v>
      </c>
      <c r="K1357" s="52"/>
      <c r="L1357" s="51" t="s">
        <v>4</v>
      </c>
      <c r="M1357" s="58"/>
      <c r="N1357" s="58"/>
      <c r="O1357" s="58"/>
      <c r="P1357" s="58"/>
      <c r="Q1357" s="58"/>
      <c r="R1357" s="58"/>
      <c r="S1357" s="58"/>
    </row>
    <row r="1358" spans="1:19" s="59" customFormat="1" ht="18.75" hidden="1" customHeight="1" thickBot="1" x14ac:dyDescent="0.3">
      <c r="A1358" s="59" t="s">
        <v>23</v>
      </c>
      <c r="B1358" s="60" t="str">
        <f t="shared" ref="B1358:B1359" si="968">IF(K1358=0,"hide","")</f>
        <v>hide</v>
      </c>
      <c r="D1358" s="61" t="str">
        <f>"15430"</f>
        <v>15430</v>
      </c>
      <c r="E1358" s="62" t="str">
        <f>"1"</f>
        <v>1</v>
      </c>
      <c r="F1358" s="63">
        <v>0</v>
      </c>
      <c r="G1358" s="63">
        <v>0</v>
      </c>
      <c r="H1358" s="63">
        <v>45.5</v>
      </c>
      <c r="I1358" s="63">
        <v>0</v>
      </c>
      <c r="J1358" s="63">
        <v>0</v>
      </c>
      <c r="K1358" s="63">
        <f>AVERAGE(I1358:J1358)</f>
        <v>0</v>
      </c>
      <c r="L1358" s="64" t="str">
        <f>"CHOC CHOC CHIP LOAVES"</f>
        <v>CHOC CHOC CHIP LOAVES</v>
      </c>
      <c r="M1358" s="65" t="str">
        <f>"200-1.25oz. 5-40 pk."</f>
        <v>200-1.25oz. 5-40 pk.</v>
      </c>
      <c r="N1358" s="66">
        <v>200</v>
      </c>
      <c r="O1358" s="67" t="str">
        <f>""</f>
        <v/>
      </c>
      <c r="P1358" s="68" t="e">
        <f>1/O1358</f>
        <v>#VALUE!</v>
      </c>
      <c r="Q1358" s="53">
        <v>1</v>
      </c>
      <c r="R1358" s="69">
        <f t="shared" ref="R1358" si="969">1/Q1358</f>
        <v>1</v>
      </c>
      <c r="S1358" s="70">
        <f t="shared" ref="S1358" si="970">R1358*N1358</f>
        <v>200</v>
      </c>
    </row>
    <row r="1359" spans="1:19" ht="15.6" hidden="1" customHeight="1" thickBot="1" x14ac:dyDescent="0.3">
      <c r="A1359" t="s">
        <v>23</v>
      </c>
      <c r="B1359" s="60" t="str">
        <f t="shared" si="968"/>
        <v>hide</v>
      </c>
      <c r="D1359" s="48" t="str">
        <f>D1358</f>
        <v>15430</v>
      </c>
      <c r="E1359" s="7"/>
      <c r="F1359" s="27">
        <v>0</v>
      </c>
      <c r="G1359" s="27">
        <v>0</v>
      </c>
      <c r="H1359" s="27">
        <v>0</v>
      </c>
      <c r="I1359" s="27">
        <v>0</v>
      </c>
      <c r="J1359" s="27">
        <v>0</v>
      </c>
      <c r="K1359" s="63">
        <f>AVERAGE(I1359:J1359)</f>
        <v>0</v>
      </c>
      <c r="L1359" s="56" t="str">
        <f>"EQP-LAWPACK1"</f>
        <v>EQP-LAWPACK1</v>
      </c>
      <c r="M1359" s="14"/>
      <c r="N1359" s="15"/>
      <c r="O1359" s="12"/>
      <c r="P1359" s="34"/>
      <c r="Q1359" s="37"/>
      <c r="R1359" s="47"/>
      <c r="S1359" s="46"/>
    </row>
    <row r="1360" spans="1:19" ht="15.6" hidden="1" customHeight="1" thickBot="1" x14ac:dyDescent="0.3">
      <c r="A1360" t="s">
        <v>23</v>
      </c>
      <c r="B1360" s="60" t="str">
        <f t="shared" ref="B1360:B1362" si="971">IF(K1360=0,"hide","")</f>
        <v>hide</v>
      </c>
      <c r="D1360" s="48" t="str">
        <f>D1359</f>
        <v>15430</v>
      </c>
      <c r="E1360" s="7"/>
      <c r="F1360" s="27">
        <v>0</v>
      </c>
      <c r="G1360" s="27">
        <v>0</v>
      </c>
      <c r="H1360" s="27">
        <v>0</v>
      </c>
      <c r="I1360" s="27">
        <v>0</v>
      </c>
      <c r="J1360" s="27">
        <v>0</v>
      </c>
      <c r="K1360" s="63">
        <f>AVERAGE(I1360:J1360)</f>
        <v>0</v>
      </c>
      <c r="L1360" s="56" t="str">
        <f>"EQP-LAWPACK2"</f>
        <v>EQP-LAWPACK2</v>
      </c>
      <c r="M1360" s="14"/>
      <c r="N1360" s="15"/>
      <c r="O1360" s="12"/>
      <c r="P1360" s="34"/>
      <c r="Q1360" s="37"/>
      <c r="R1360" s="47"/>
      <c r="S1360" s="46"/>
    </row>
    <row r="1361" spans="1:19" ht="15.6" hidden="1" customHeight="1" thickBot="1" x14ac:dyDescent="0.3">
      <c r="A1361" t="s">
        <v>23</v>
      </c>
      <c r="B1361" s="60" t="str">
        <f t="shared" si="971"/>
        <v>hide</v>
      </c>
      <c r="D1361" s="48" t="str">
        <f>D1360</f>
        <v>15430</v>
      </c>
      <c r="E1361" s="7"/>
      <c r="F1361" s="27">
        <v>0</v>
      </c>
      <c r="G1361" s="27">
        <v>0</v>
      </c>
      <c r="H1361" s="27">
        <v>0</v>
      </c>
      <c r="I1361" s="27">
        <v>0</v>
      </c>
      <c r="J1361" s="27">
        <v>0</v>
      </c>
      <c r="K1361" s="63">
        <f>AVERAGE(I1361:J1361)</f>
        <v>0</v>
      </c>
      <c r="L1361" s="56" t="str">
        <f>"SW-COMAS-PACKL"</f>
        <v>SW-COMAS-PACKL</v>
      </c>
      <c r="M1361" s="14"/>
      <c r="N1361" s="15"/>
      <c r="O1361" s="12"/>
      <c r="P1361" s="34"/>
      <c r="Q1361" s="37"/>
      <c r="R1361" s="47"/>
      <c r="S1361" s="46"/>
    </row>
    <row r="1362" spans="1:19" ht="15.6" hidden="1" customHeight="1" thickBot="1" x14ac:dyDescent="0.3">
      <c r="A1362" t="s">
        <v>23</v>
      </c>
      <c r="B1362" s="60" t="str">
        <f t="shared" si="971"/>
        <v>hide</v>
      </c>
      <c r="D1362" s="48" t="str">
        <f>D1361</f>
        <v>15430</v>
      </c>
      <c r="E1362" s="7"/>
      <c r="F1362" s="27">
        <v>0</v>
      </c>
      <c r="G1362" s="27">
        <v>0</v>
      </c>
      <c r="H1362" s="27">
        <v>0</v>
      </c>
      <c r="I1362" s="27">
        <v>0</v>
      </c>
      <c r="J1362" s="27">
        <v>0</v>
      </c>
      <c r="K1362" s="63">
        <f>AVERAGE(I1362:J1362)</f>
        <v>0</v>
      </c>
      <c r="L1362" s="56" t="str">
        <f>"SW-RISER-PACK"</f>
        <v>SW-RISER-PACK</v>
      </c>
      <c r="M1362" s="14"/>
      <c r="N1362" s="15"/>
      <c r="O1362" s="12"/>
      <c r="P1362" s="34"/>
      <c r="Q1362" s="37"/>
      <c r="R1362" s="47"/>
      <c r="S1362" s="46"/>
    </row>
    <row r="1363" spans="1:19" ht="12" hidden="1" customHeight="1" x14ac:dyDescent="0.3">
      <c r="A1363" s="35" t="s">
        <v>908</v>
      </c>
      <c r="B1363" s="49" t="str">
        <f>B1359</f>
        <v>hide</v>
      </c>
      <c r="N1363"/>
      <c r="Q1363" s="33"/>
    </row>
    <row r="1364" spans="1:19" ht="13.8" hidden="1" thickBot="1" x14ac:dyDescent="0.3">
      <c r="A1364" t="s">
        <v>23</v>
      </c>
      <c r="B1364" s="49" t="str">
        <f t="shared" ref="B1364" si="972">B1363</f>
        <v>hide</v>
      </c>
      <c r="D1364" s="58"/>
      <c r="E1364" s="58"/>
      <c r="F1364" s="52">
        <f>SUM(F1359:F1363)</f>
        <v>0</v>
      </c>
      <c r="G1364" s="52">
        <f>SUM(G1359:G1363)</f>
        <v>0</v>
      </c>
      <c r="H1364" s="52">
        <f>SUM(H1359:H1363)</f>
        <v>0</v>
      </c>
      <c r="I1364" s="52">
        <f>SUM(I1359:I1363)</f>
        <v>0</v>
      </c>
      <c r="J1364" s="52">
        <f>SUM(J1359:J1363)</f>
        <v>0</v>
      </c>
      <c r="K1364" s="52"/>
      <c r="L1364" s="51" t="s">
        <v>4</v>
      </c>
      <c r="M1364" s="58"/>
      <c r="N1364" s="58"/>
      <c r="O1364" s="58"/>
      <c r="P1364" s="58"/>
      <c r="Q1364" s="58"/>
      <c r="R1364" s="58"/>
      <c r="S1364" s="58"/>
    </row>
    <row r="1365" spans="1:19" s="59" customFormat="1" ht="18.75" hidden="1" customHeight="1" thickBot="1" x14ac:dyDescent="0.3">
      <c r="A1365" s="59" t="s">
        <v>23</v>
      </c>
      <c r="B1365" s="60" t="str">
        <f t="shared" ref="B1365:B1366" si="973">IF(K1365=0,"hide","")</f>
        <v>hide</v>
      </c>
      <c r="D1365" s="61" t="str">
        <f>"15436"</f>
        <v>15436</v>
      </c>
      <c r="E1365" s="62" t="str">
        <f>"2"</f>
        <v>2</v>
      </c>
      <c r="F1365" s="63">
        <v>0</v>
      </c>
      <c r="G1365" s="63">
        <v>0</v>
      </c>
      <c r="H1365" s="63">
        <v>0</v>
      </c>
      <c r="I1365" s="63">
        <v>0</v>
      </c>
      <c r="J1365" s="63">
        <v>0</v>
      </c>
      <c r="K1365" s="63">
        <f>AVERAGE(I1365:J1365)</f>
        <v>0</v>
      </c>
      <c r="L1365" s="64" t="str">
        <f>"CINNAMON COFFEE CAKE"</f>
        <v>CINNAMON COFFEE CAKE</v>
      </c>
      <c r="M1365" s="65" t="str">
        <f>"200-1.25oz. 5-40 pk."</f>
        <v>200-1.25oz. 5-40 pk.</v>
      </c>
      <c r="N1365" s="66">
        <v>200</v>
      </c>
      <c r="O1365" s="67" t="str">
        <f>""</f>
        <v/>
      </c>
      <c r="P1365" s="68" t="e">
        <f>1/O1365</f>
        <v>#VALUE!</v>
      </c>
      <c r="Q1365" s="53">
        <v>1</v>
      </c>
      <c r="R1365" s="69">
        <f t="shared" ref="R1365" si="974">1/Q1365</f>
        <v>1</v>
      </c>
      <c r="S1365" s="70">
        <f t="shared" ref="S1365" si="975">R1365*N1365</f>
        <v>200</v>
      </c>
    </row>
    <row r="1366" spans="1:19" ht="15.6" hidden="1" customHeight="1" thickBot="1" x14ac:dyDescent="0.3">
      <c r="A1366" t="s">
        <v>23</v>
      </c>
      <c r="B1366" s="60" t="str">
        <f t="shared" si="973"/>
        <v>hide</v>
      </c>
      <c r="D1366" s="48" t="str">
        <f>D1365</f>
        <v>15436</v>
      </c>
      <c r="E1366" s="7"/>
      <c r="F1366" s="27">
        <v>0</v>
      </c>
      <c r="G1366" s="27">
        <v>0</v>
      </c>
      <c r="H1366" s="27">
        <v>0</v>
      </c>
      <c r="I1366" s="27">
        <v>0</v>
      </c>
      <c r="J1366" s="27">
        <v>0</v>
      </c>
      <c r="K1366" s="63">
        <f>AVERAGE(I1366:J1366)</f>
        <v>0</v>
      </c>
      <c r="L1366" s="56" t="str">
        <f>"EQP-LAWPACK1"</f>
        <v>EQP-LAWPACK1</v>
      </c>
      <c r="M1366" s="14"/>
      <c r="N1366" s="15"/>
      <c r="O1366" s="12"/>
      <c r="P1366" s="34"/>
      <c r="Q1366" s="37"/>
      <c r="R1366" s="47"/>
      <c r="S1366" s="46"/>
    </row>
    <row r="1367" spans="1:19" ht="15.6" hidden="1" customHeight="1" thickBot="1" x14ac:dyDescent="0.3">
      <c r="A1367" t="s">
        <v>23</v>
      </c>
      <c r="B1367" s="60" t="str">
        <f t="shared" ref="B1367:B1369" si="976">IF(K1367=0,"hide","")</f>
        <v>hide</v>
      </c>
      <c r="D1367" s="48" t="str">
        <f>D1366</f>
        <v>15436</v>
      </c>
      <c r="E1367" s="7"/>
      <c r="F1367" s="27">
        <v>0</v>
      </c>
      <c r="G1367" s="27">
        <v>0</v>
      </c>
      <c r="H1367" s="27">
        <v>0</v>
      </c>
      <c r="I1367" s="27">
        <v>0</v>
      </c>
      <c r="J1367" s="27">
        <v>0</v>
      </c>
      <c r="K1367" s="63">
        <f>AVERAGE(I1367:J1367)</f>
        <v>0</v>
      </c>
      <c r="L1367" s="56" t="str">
        <f>"EQP-LAWPACK2"</f>
        <v>EQP-LAWPACK2</v>
      </c>
      <c r="M1367" s="14"/>
      <c r="N1367" s="15"/>
      <c r="O1367" s="12"/>
      <c r="P1367" s="34"/>
      <c r="Q1367" s="37"/>
      <c r="R1367" s="47"/>
      <c r="S1367" s="46"/>
    </row>
    <row r="1368" spans="1:19" ht="15.6" hidden="1" customHeight="1" thickBot="1" x14ac:dyDescent="0.3">
      <c r="A1368" t="s">
        <v>23</v>
      </c>
      <c r="B1368" s="60" t="str">
        <f t="shared" si="976"/>
        <v>hide</v>
      </c>
      <c r="D1368" s="48" t="str">
        <f>D1367</f>
        <v>15436</v>
      </c>
      <c r="E1368" s="7"/>
      <c r="F1368" s="27">
        <v>0</v>
      </c>
      <c r="G1368" s="27">
        <v>0</v>
      </c>
      <c r="H1368" s="27">
        <v>0</v>
      </c>
      <c r="I1368" s="27">
        <v>0</v>
      </c>
      <c r="J1368" s="27">
        <v>0</v>
      </c>
      <c r="K1368" s="63">
        <f>AVERAGE(I1368:J1368)</f>
        <v>0</v>
      </c>
      <c r="L1368" s="56" t="str">
        <f>"SW-COMAS-PACKL"</f>
        <v>SW-COMAS-PACKL</v>
      </c>
      <c r="M1368" s="14"/>
      <c r="N1368" s="15"/>
      <c r="O1368" s="12"/>
      <c r="P1368" s="34"/>
      <c r="Q1368" s="37"/>
      <c r="R1368" s="47"/>
      <c r="S1368" s="46"/>
    </row>
    <row r="1369" spans="1:19" ht="15.6" hidden="1" customHeight="1" thickBot="1" x14ac:dyDescent="0.3">
      <c r="A1369" t="s">
        <v>23</v>
      </c>
      <c r="B1369" s="60" t="str">
        <f t="shared" si="976"/>
        <v>hide</v>
      </c>
      <c r="D1369" s="48" t="str">
        <f>D1368</f>
        <v>15436</v>
      </c>
      <c r="E1369" s="7"/>
      <c r="F1369" s="27">
        <v>0</v>
      </c>
      <c r="G1369" s="27">
        <v>0</v>
      </c>
      <c r="H1369" s="27">
        <v>0</v>
      </c>
      <c r="I1369" s="27">
        <v>0</v>
      </c>
      <c r="J1369" s="27">
        <v>0</v>
      </c>
      <c r="K1369" s="63">
        <f>AVERAGE(I1369:J1369)</f>
        <v>0</v>
      </c>
      <c r="L1369" s="56" t="str">
        <f>"SW-RISER-PACK"</f>
        <v>SW-RISER-PACK</v>
      </c>
      <c r="M1369" s="14"/>
      <c r="N1369" s="15"/>
      <c r="O1369" s="12"/>
      <c r="P1369" s="34"/>
      <c r="Q1369" s="37"/>
      <c r="R1369" s="47"/>
      <c r="S1369" s="46"/>
    </row>
    <row r="1370" spans="1:19" ht="12" hidden="1" customHeight="1" x14ac:dyDescent="0.3">
      <c r="A1370" s="35" t="s">
        <v>908</v>
      </c>
      <c r="B1370" s="49" t="str">
        <f>B1366</f>
        <v>hide</v>
      </c>
      <c r="N1370"/>
      <c r="Q1370" s="33"/>
    </row>
    <row r="1371" spans="1:19" ht="13.8" hidden="1" thickBot="1" x14ac:dyDescent="0.3">
      <c r="A1371" t="s">
        <v>23</v>
      </c>
      <c r="B1371" s="49" t="str">
        <f t="shared" ref="B1371" si="977">B1370</f>
        <v>hide</v>
      </c>
      <c r="D1371" s="58"/>
      <c r="E1371" s="58"/>
      <c r="F1371" s="52">
        <f>SUM(F1366:F1370)</f>
        <v>0</v>
      </c>
      <c r="G1371" s="52">
        <f>SUM(G1366:G1370)</f>
        <v>0</v>
      </c>
      <c r="H1371" s="52">
        <f>SUM(H1366:H1370)</f>
        <v>0</v>
      </c>
      <c r="I1371" s="52">
        <f>SUM(I1366:I1370)</f>
        <v>0</v>
      </c>
      <c r="J1371" s="52">
        <f>SUM(J1366:J1370)</f>
        <v>0</v>
      </c>
      <c r="K1371" s="52"/>
      <c r="L1371" s="51" t="s">
        <v>4</v>
      </c>
      <c r="M1371" s="58"/>
      <c r="N1371" s="58"/>
      <c r="O1371" s="58"/>
      <c r="P1371" s="58"/>
      <c r="Q1371" s="58"/>
      <c r="R1371" s="58"/>
      <c r="S1371" s="58"/>
    </row>
    <row r="1372" spans="1:19" s="59" customFormat="1" ht="18.75" hidden="1" customHeight="1" thickBot="1" x14ac:dyDescent="0.3">
      <c r="A1372" s="59" t="s">
        <v>23</v>
      </c>
      <c r="B1372" s="60" t="str">
        <f t="shared" ref="B1372:B1373" si="978">IF(K1372=0,"hide","")</f>
        <v>hide</v>
      </c>
      <c r="D1372" s="61" t="str">
        <f>"15505"</f>
        <v>15505</v>
      </c>
      <c r="E1372" s="62" t="str">
        <f>"1"</f>
        <v>1</v>
      </c>
      <c r="F1372" s="63">
        <v>206.58333333333334</v>
      </c>
      <c r="G1372" s="63">
        <v>113.83333333333333</v>
      </c>
      <c r="H1372" s="63">
        <v>66.583333333333329</v>
      </c>
      <c r="I1372" s="63">
        <v>0</v>
      </c>
      <c r="J1372" s="63">
        <v>0</v>
      </c>
      <c r="K1372" s="63">
        <f>AVERAGE(I1372:J1372)</f>
        <v>0</v>
      </c>
      <c r="L1372" s="64" t="str">
        <f>"CORNBREAD LOAVES"</f>
        <v>CORNBREAD LOAVES</v>
      </c>
      <c r="M1372" s="65" t="str">
        <f>"144-1.25oz. 6-24 pk."</f>
        <v>144-1.25oz. 6-24 pk.</v>
      </c>
      <c r="N1372" s="66">
        <v>144</v>
      </c>
      <c r="O1372" s="67" t="str">
        <f>""</f>
        <v/>
      </c>
      <c r="P1372" s="68" t="e">
        <f>1/O1372</f>
        <v>#VALUE!</v>
      </c>
      <c r="Q1372" s="53">
        <v>1</v>
      </c>
      <c r="R1372" s="69">
        <f t="shared" ref="R1372" si="979">1/Q1372</f>
        <v>1</v>
      </c>
      <c r="S1372" s="70">
        <f t="shared" ref="S1372" si="980">R1372*N1372</f>
        <v>144</v>
      </c>
    </row>
    <row r="1373" spans="1:19" ht="15.6" hidden="1" customHeight="1" thickBot="1" x14ac:dyDescent="0.3">
      <c r="A1373" t="s">
        <v>23</v>
      </c>
      <c r="B1373" s="60" t="str">
        <f t="shared" si="978"/>
        <v>hide</v>
      </c>
      <c r="D1373" s="48" t="str">
        <f>D1372</f>
        <v>15505</v>
      </c>
      <c r="E1373" s="7"/>
      <c r="F1373" s="27">
        <v>0</v>
      </c>
      <c r="G1373" s="27">
        <v>0</v>
      </c>
      <c r="H1373" s="27">
        <v>0</v>
      </c>
      <c r="I1373" s="27">
        <v>0</v>
      </c>
      <c r="J1373" s="27">
        <v>0</v>
      </c>
      <c r="K1373" s="63">
        <f>AVERAGE(I1373:J1373)</f>
        <v>0</v>
      </c>
      <c r="L1373" s="56" t="str">
        <f>"EQP-LAWPACK1"</f>
        <v>EQP-LAWPACK1</v>
      </c>
      <c r="M1373" s="14"/>
      <c r="N1373" s="15"/>
      <c r="O1373" s="12"/>
      <c r="P1373" s="34"/>
      <c r="Q1373" s="37"/>
      <c r="R1373" s="47"/>
      <c r="S1373" s="46"/>
    </row>
    <row r="1374" spans="1:19" ht="15.6" hidden="1" customHeight="1" thickBot="1" x14ac:dyDescent="0.3">
      <c r="A1374" t="s">
        <v>23</v>
      </c>
      <c r="B1374" s="60" t="str">
        <f t="shared" ref="B1374:B1376" si="981">IF(K1374=0,"hide","")</f>
        <v>hide</v>
      </c>
      <c r="D1374" s="48" t="str">
        <f>D1373</f>
        <v>15505</v>
      </c>
      <c r="E1374" s="7"/>
      <c r="F1374" s="27">
        <v>0</v>
      </c>
      <c r="G1374" s="27">
        <v>0</v>
      </c>
      <c r="H1374" s="27">
        <v>0</v>
      </c>
      <c r="I1374" s="27">
        <v>0</v>
      </c>
      <c r="J1374" s="27">
        <v>0</v>
      </c>
      <c r="K1374" s="63">
        <f>AVERAGE(I1374:J1374)</f>
        <v>0</v>
      </c>
      <c r="L1374" s="56" t="str">
        <f>"EQP-LAWPACK2"</f>
        <v>EQP-LAWPACK2</v>
      </c>
      <c r="M1374" s="14"/>
      <c r="N1374" s="15"/>
      <c r="O1374" s="12"/>
      <c r="P1374" s="34"/>
      <c r="Q1374" s="37"/>
      <c r="R1374" s="47"/>
      <c r="S1374" s="46"/>
    </row>
    <row r="1375" spans="1:19" ht="15.6" hidden="1" customHeight="1" thickBot="1" x14ac:dyDescent="0.3">
      <c r="A1375" t="s">
        <v>23</v>
      </c>
      <c r="B1375" s="60" t="str">
        <f t="shared" si="981"/>
        <v>hide</v>
      </c>
      <c r="D1375" s="48" t="str">
        <f>D1374</f>
        <v>15505</v>
      </c>
      <c r="E1375" s="7"/>
      <c r="F1375" s="27">
        <v>0</v>
      </c>
      <c r="G1375" s="27">
        <v>0</v>
      </c>
      <c r="H1375" s="27">
        <v>0</v>
      </c>
      <c r="I1375" s="27">
        <v>0</v>
      </c>
      <c r="J1375" s="27">
        <v>0</v>
      </c>
      <c r="K1375" s="63">
        <f>AVERAGE(I1375:J1375)</f>
        <v>0</v>
      </c>
      <c r="L1375" s="56" t="str">
        <f>"SW-COMAS-PACKL"</f>
        <v>SW-COMAS-PACKL</v>
      </c>
      <c r="M1375" s="14"/>
      <c r="N1375" s="15"/>
      <c r="O1375" s="12"/>
      <c r="P1375" s="34"/>
      <c r="Q1375" s="37"/>
      <c r="R1375" s="47"/>
      <c r="S1375" s="46"/>
    </row>
    <row r="1376" spans="1:19" ht="15.6" hidden="1" customHeight="1" thickBot="1" x14ac:dyDescent="0.3">
      <c r="A1376" t="s">
        <v>23</v>
      </c>
      <c r="B1376" s="60" t="str">
        <f t="shared" si="981"/>
        <v>hide</v>
      </c>
      <c r="D1376" s="48" t="str">
        <f>D1375</f>
        <v>15505</v>
      </c>
      <c r="E1376" s="7"/>
      <c r="F1376" s="27">
        <v>0</v>
      </c>
      <c r="G1376" s="27">
        <v>0</v>
      </c>
      <c r="H1376" s="27">
        <v>0</v>
      </c>
      <c r="I1376" s="27">
        <v>0</v>
      </c>
      <c r="J1376" s="27">
        <v>0</v>
      </c>
      <c r="K1376" s="63">
        <f>AVERAGE(I1376:J1376)</f>
        <v>0</v>
      </c>
      <c r="L1376" s="56" t="str">
        <f>"SW-RISER-PACK"</f>
        <v>SW-RISER-PACK</v>
      </c>
      <c r="M1376" s="14"/>
      <c r="N1376" s="15"/>
      <c r="O1376" s="12"/>
      <c r="P1376" s="34"/>
      <c r="Q1376" s="37"/>
      <c r="R1376" s="47"/>
      <c r="S1376" s="46"/>
    </row>
    <row r="1377" spans="1:19" ht="12" hidden="1" customHeight="1" x14ac:dyDescent="0.3">
      <c r="A1377" s="35" t="s">
        <v>908</v>
      </c>
      <c r="B1377" s="49" t="str">
        <f>B1373</f>
        <v>hide</v>
      </c>
      <c r="N1377"/>
      <c r="Q1377" s="33"/>
    </row>
    <row r="1378" spans="1:19" ht="13.8" hidden="1" thickBot="1" x14ac:dyDescent="0.3">
      <c r="A1378" t="s">
        <v>23</v>
      </c>
      <c r="B1378" s="49" t="str">
        <f t="shared" ref="B1378" si="982">B1377</f>
        <v>hide</v>
      </c>
      <c r="D1378" s="58"/>
      <c r="E1378" s="58"/>
      <c r="F1378" s="52">
        <f>SUM(F1373:F1377)</f>
        <v>0</v>
      </c>
      <c r="G1378" s="52">
        <f>SUM(G1373:G1377)</f>
        <v>0</v>
      </c>
      <c r="H1378" s="52">
        <f>SUM(H1373:H1377)</f>
        <v>0</v>
      </c>
      <c r="I1378" s="52">
        <f>SUM(I1373:I1377)</f>
        <v>0</v>
      </c>
      <c r="J1378" s="52">
        <f>SUM(J1373:J1377)</f>
        <v>0</v>
      </c>
      <c r="K1378" s="52"/>
      <c r="L1378" s="51" t="s">
        <v>4</v>
      </c>
      <c r="M1378" s="58"/>
      <c r="N1378" s="58"/>
      <c r="O1378" s="58"/>
      <c r="P1378" s="58"/>
      <c r="Q1378" s="58"/>
      <c r="R1378" s="58"/>
      <c r="S1378" s="58"/>
    </row>
    <row r="1379" spans="1:19" s="59" customFormat="1" ht="18.75" hidden="1" customHeight="1" thickBot="1" x14ac:dyDescent="0.3">
      <c r="A1379" s="59" t="s">
        <v>23</v>
      </c>
      <c r="B1379" s="60" t="str">
        <f t="shared" ref="B1379:B1380" si="983">IF(K1379=0,"hide","")</f>
        <v>hide</v>
      </c>
      <c r="D1379" s="61" t="str">
        <f>"15530"</f>
        <v>15530</v>
      </c>
      <c r="E1379" s="62" t="str">
        <f>"2"</f>
        <v>2</v>
      </c>
      <c r="F1379" s="63">
        <v>101</v>
      </c>
      <c r="G1379" s="63">
        <v>227.66666666666666</v>
      </c>
      <c r="H1379" s="63">
        <v>66.75</v>
      </c>
      <c r="I1379" s="63">
        <v>0</v>
      </c>
      <c r="J1379" s="63">
        <v>0</v>
      </c>
      <c r="K1379" s="63">
        <f>AVERAGE(I1379:J1379)</f>
        <v>0</v>
      </c>
      <c r="L1379" s="64" t="str">
        <f>"CHOC CHOC CHIP LOAVES"</f>
        <v>CHOC CHOC CHIP LOAVES</v>
      </c>
      <c r="M1379" s="65" t="str">
        <f>"144-1.25oz. 6-24 pk."</f>
        <v>144-1.25oz. 6-24 pk.</v>
      </c>
      <c r="N1379" s="66">
        <v>144</v>
      </c>
      <c r="O1379" s="67" t="str">
        <f>""</f>
        <v/>
      </c>
      <c r="P1379" s="68" t="e">
        <f>1/O1379</f>
        <v>#VALUE!</v>
      </c>
      <c r="Q1379" s="53">
        <v>1</v>
      </c>
      <c r="R1379" s="69">
        <f t="shared" ref="R1379" si="984">1/Q1379</f>
        <v>1</v>
      </c>
      <c r="S1379" s="70">
        <f t="shared" ref="S1379" si="985">R1379*N1379</f>
        <v>144</v>
      </c>
    </row>
    <row r="1380" spans="1:19" ht="15.6" hidden="1" customHeight="1" thickBot="1" x14ac:dyDescent="0.3">
      <c r="A1380" t="s">
        <v>23</v>
      </c>
      <c r="B1380" s="60" t="str">
        <f t="shared" si="983"/>
        <v>hide</v>
      </c>
      <c r="D1380" s="48" t="str">
        <f>D1379</f>
        <v>15530</v>
      </c>
      <c r="E1380" s="7"/>
      <c r="F1380" s="27">
        <v>0</v>
      </c>
      <c r="G1380" s="27">
        <v>0</v>
      </c>
      <c r="H1380" s="27">
        <v>0</v>
      </c>
      <c r="I1380" s="27">
        <v>0</v>
      </c>
      <c r="J1380" s="27">
        <v>0</v>
      </c>
      <c r="K1380" s="63">
        <f>AVERAGE(I1380:J1380)</f>
        <v>0</v>
      </c>
      <c r="L1380" s="56" t="str">
        <f>"EQP-LAWPACK1"</f>
        <v>EQP-LAWPACK1</v>
      </c>
      <c r="M1380" s="14"/>
      <c r="N1380" s="15"/>
      <c r="O1380" s="12"/>
      <c r="P1380" s="34"/>
      <c r="Q1380" s="37"/>
      <c r="R1380" s="47"/>
      <c r="S1380" s="46"/>
    </row>
    <row r="1381" spans="1:19" ht="15.6" hidden="1" customHeight="1" thickBot="1" x14ac:dyDescent="0.3">
      <c r="A1381" t="s">
        <v>23</v>
      </c>
      <c r="B1381" s="60" t="str">
        <f t="shared" ref="B1381:B1383" si="986">IF(K1381=0,"hide","")</f>
        <v>hide</v>
      </c>
      <c r="D1381" s="48" t="str">
        <f>D1380</f>
        <v>15530</v>
      </c>
      <c r="E1381" s="7"/>
      <c r="F1381" s="27">
        <v>0</v>
      </c>
      <c r="G1381" s="27">
        <v>0</v>
      </c>
      <c r="H1381" s="27">
        <v>0</v>
      </c>
      <c r="I1381" s="27">
        <v>0</v>
      </c>
      <c r="J1381" s="27">
        <v>0</v>
      </c>
      <c r="K1381" s="63">
        <f>AVERAGE(I1381:J1381)</f>
        <v>0</v>
      </c>
      <c r="L1381" s="56" t="str">
        <f>"EQP-LAWPACK2"</f>
        <v>EQP-LAWPACK2</v>
      </c>
      <c r="M1381" s="14"/>
      <c r="N1381" s="15"/>
      <c r="O1381" s="12"/>
      <c r="P1381" s="34"/>
      <c r="Q1381" s="37"/>
      <c r="R1381" s="47"/>
      <c r="S1381" s="46"/>
    </row>
    <row r="1382" spans="1:19" ht="15.6" hidden="1" customHeight="1" thickBot="1" x14ac:dyDescent="0.3">
      <c r="A1382" t="s">
        <v>23</v>
      </c>
      <c r="B1382" s="60" t="str">
        <f t="shared" si="986"/>
        <v>hide</v>
      </c>
      <c r="D1382" s="48" t="str">
        <f>D1381</f>
        <v>15530</v>
      </c>
      <c r="E1382" s="7"/>
      <c r="F1382" s="27">
        <v>0</v>
      </c>
      <c r="G1382" s="27">
        <v>0</v>
      </c>
      <c r="H1382" s="27">
        <v>0</v>
      </c>
      <c r="I1382" s="27">
        <v>0</v>
      </c>
      <c r="J1382" s="27">
        <v>0</v>
      </c>
      <c r="K1382" s="63">
        <f>AVERAGE(I1382:J1382)</f>
        <v>0</v>
      </c>
      <c r="L1382" s="56" t="str">
        <f>"SW-COMAS-PACKL"</f>
        <v>SW-COMAS-PACKL</v>
      </c>
      <c r="M1382" s="14"/>
      <c r="N1382" s="15"/>
      <c r="O1382" s="12"/>
      <c r="P1382" s="34"/>
      <c r="Q1382" s="37"/>
      <c r="R1382" s="47"/>
      <c r="S1382" s="46"/>
    </row>
    <row r="1383" spans="1:19" ht="15.6" hidden="1" customHeight="1" thickBot="1" x14ac:dyDescent="0.3">
      <c r="A1383" t="s">
        <v>23</v>
      </c>
      <c r="B1383" s="60" t="str">
        <f t="shared" si="986"/>
        <v>hide</v>
      </c>
      <c r="D1383" s="48" t="str">
        <f>D1382</f>
        <v>15530</v>
      </c>
      <c r="E1383" s="7"/>
      <c r="F1383" s="27">
        <v>0</v>
      </c>
      <c r="G1383" s="27">
        <v>0</v>
      </c>
      <c r="H1383" s="27">
        <v>0</v>
      </c>
      <c r="I1383" s="27">
        <v>0</v>
      </c>
      <c r="J1383" s="27">
        <v>0</v>
      </c>
      <c r="K1383" s="63">
        <f>AVERAGE(I1383:J1383)</f>
        <v>0</v>
      </c>
      <c r="L1383" s="56" t="str">
        <f>"SW-RISER-PACK"</f>
        <v>SW-RISER-PACK</v>
      </c>
      <c r="M1383" s="14"/>
      <c r="N1383" s="15"/>
      <c r="O1383" s="12"/>
      <c r="P1383" s="34"/>
      <c r="Q1383" s="37"/>
      <c r="R1383" s="47"/>
      <c r="S1383" s="46"/>
    </row>
    <row r="1384" spans="1:19" ht="12" hidden="1" customHeight="1" x14ac:dyDescent="0.3">
      <c r="A1384" s="35" t="s">
        <v>908</v>
      </c>
      <c r="B1384" s="49" t="str">
        <f>B1380</f>
        <v>hide</v>
      </c>
      <c r="N1384"/>
      <c r="Q1384" s="33"/>
    </row>
    <row r="1385" spans="1:19" ht="13.8" hidden="1" thickBot="1" x14ac:dyDescent="0.3">
      <c r="A1385" t="s">
        <v>23</v>
      </c>
      <c r="B1385" s="49" t="str">
        <f t="shared" ref="B1385" si="987">B1384</f>
        <v>hide</v>
      </c>
      <c r="D1385" s="58"/>
      <c r="E1385" s="58"/>
      <c r="F1385" s="52">
        <f>SUM(F1380:F1384)</f>
        <v>0</v>
      </c>
      <c r="G1385" s="52">
        <f>SUM(G1380:G1384)</f>
        <v>0</v>
      </c>
      <c r="H1385" s="52">
        <f>SUM(H1380:H1384)</f>
        <v>0</v>
      </c>
      <c r="I1385" s="52">
        <f>SUM(I1380:I1384)</f>
        <v>0</v>
      </c>
      <c r="J1385" s="52">
        <f>SUM(J1380:J1384)</f>
        <v>0</v>
      </c>
      <c r="K1385" s="52"/>
      <c r="L1385" s="51" t="s">
        <v>4</v>
      </c>
      <c r="M1385" s="58"/>
      <c r="N1385" s="58"/>
      <c r="O1385" s="58"/>
      <c r="P1385" s="58"/>
      <c r="Q1385" s="58"/>
      <c r="R1385" s="58"/>
      <c r="S1385" s="58"/>
    </row>
    <row r="1386" spans="1:19" s="59" customFormat="1" ht="18.75" hidden="1" customHeight="1" thickBot="1" x14ac:dyDescent="0.3">
      <c r="A1386" s="59" t="s">
        <v>23</v>
      </c>
      <c r="B1386" s="60" t="str">
        <f t="shared" ref="B1386:B1387" si="988">IF(K1386=0,"hide","")</f>
        <v>hide</v>
      </c>
      <c r="D1386" s="61" t="str">
        <f>"15605"</f>
        <v>15605</v>
      </c>
      <c r="E1386" s="62" t="str">
        <f>"3"</f>
        <v>3</v>
      </c>
      <c r="F1386" s="63">
        <v>0</v>
      </c>
      <c r="G1386" s="63">
        <v>0</v>
      </c>
      <c r="H1386" s="63">
        <v>0</v>
      </c>
      <c r="I1386" s="63">
        <v>0</v>
      </c>
      <c r="J1386" s="63">
        <v>0</v>
      </c>
      <c r="K1386" s="63">
        <f>AVERAGE(I1386:J1386)</f>
        <v>0</v>
      </c>
      <c r="L1386" s="64" t="str">
        <f>"WG CORNBREAD LOAVES"</f>
        <v>WG CORNBREAD LOAVES</v>
      </c>
      <c r="M1386" s="65" t="str">
        <f>"200-1.25oz. 5-40 pk."</f>
        <v>200-1.25oz. 5-40 pk.</v>
      </c>
      <c r="N1386" s="66">
        <v>200</v>
      </c>
      <c r="O1386" s="67" t="str">
        <f>""</f>
        <v/>
      </c>
      <c r="P1386" s="68" t="e">
        <f>1/O1386</f>
        <v>#VALUE!</v>
      </c>
      <c r="Q1386" s="53">
        <v>1</v>
      </c>
      <c r="R1386" s="69">
        <f t="shared" ref="R1386" si="989">1/Q1386</f>
        <v>1</v>
      </c>
      <c r="S1386" s="70">
        <f t="shared" ref="S1386" si="990">R1386*N1386</f>
        <v>200</v>
      </c>
    </row>
    <row r="1387" spans="1:19" ht="15.6" hidden="1" customHeight="1" thickBot="1" x14ac:dyDescent="0.3">
      <c r="A1387" t="s">
        <v>23</v>
      </c>
      <c r="B1387" s="60" t="str">
        <f t="shared" si="988"/>
        <v>hide</v>
      </c>
      <c r="D1387" s="48" t="str">
        <f>D1386</f>
        <v>15605</v>
      </c>
      <c r="E1387" s="7"/>
      <c r="F1387" s="27">
        <v>0</v>
      </c>
      <c r="G1387" s="27">
        <v>0</v>
      </c>
      <c r="H1387" s="27">
        <v>0</v>
      </c>
      <c r="I1387" s="27">
        <v>0</v>
      </c>
      <c r="J1387" s="27">
        <v>0</v>
      </c>
      <c r="K1387" s="63">
        <f>AVERAGE(I1387:J1387)</f>
        <v>0</v>
      </c>
      <c r="L1387" s="56" t="str">
        <f>"EQP-LAWPACK1"</f>
        <v>EQP-LAWPACK1</v>
      </c>
      <c r="M1387" s="14"/>
      <c r="N1387" s="15"/>
      <c r="O1387" s="12"/>
      <c r="P1387" s="34"/>
      <c r="Q1387" s="37"/>
      <c r="R1387" s="47"/>
      <c r="S1387" s="46"/>
    </row>
    <row r="1388" spans="1:19" ht="15.6" hidden="1" customHeight="1" thickBot="1" x14ac:dyDescent="0.3">
      <c r="A1388" t="s">
        <v>23</v>
      </c>
      <c r="B1388" s="60" t="str">
        <f t="shared" ref="B1388:B1390" si="991">IF(K1388=0,"hide","")</f>
        <v>hide</v>
      </c>
      <c r="D1388" s="48" t="str">
        <f>D1387</f>
        <v>15605</v>
      </c>
      <c r="E1388" s="7"/>
      <c r="F1388" s="27">
        <v>0</v>
      </c>
      <c r="G1388" s="27">
        <v>0</v>
      </c>
      <c r="H1388" s="27">
        <v>0</v>
      </c>
      <c r="I1388" s="27">
        <v>0</v>
      </c>
      <c r="J1388" s="27">
        <v>0</v>
      </c>
      <c r="K1388" s="63">
        <f>AVERAGE(I1388:J1388)</f>
        <v>0</v>
      </c>
      <c r="L1388" s="56" t="str">
        <f>"EQP-LAWPACK2"</f>
        <v>EQP-LAWPACK2</v>
      </c>
      <c r="M1388" s="14"/>
      <c r="N1388" s="15"/>
      <c r="O1388" s="12"/>
      <c r="P1388" s="34"/>
      <c r="Q1388" s="37"/>
      <c r="R1388" s="47"/>
      <c r="S1388" s="46"/>
    </row>
    <row r="1389" spans="1:19" ht="15.6" hidden="1" customHeight="1" thickBot="1" x14ac:dyDescent="0.3">
      <c r="A1389" t="s">
        <v>23</v>
      </c>
      <c r="B1389" s="60" t="str">
        <f t="shared" si="991"/>
        <v>hide</v>
      </c>
      <c r="D1389" s="48" t="str">
        <f>D1388</f>
        <v>15605</v>
      </c>
      <c r="E1389" s="7"/>
      <c r="F1389" s="27">
        <v>0</v>
      </c>
      <c r="G1389" s="27">
        <v>0</v>
      </c>
      <c r="H1389" s="27">
        <v>0</v>
      </c>
      <c r="I1389" s="27">
        <v>0</v>
      </c>
      <c r="J1389" s="27">
        <v>0</v>
      </c>
      <c r="K1389" s="63">
        <f>AVERAGE(I1389:J1389)</f>
        <v>0</v>
      </c>
      <c r="L1389" s="56" t="str">
        <f>"SW-COMAS-PACKL"</f>
        <v>SW-COMAS-PACKL</v>
      </c>
      <c r="M1389" s="14"/>
      <c r="N1389" s="15"/>
      <c r="O1389" s="12"/>
      <c r="P1389" s="34"/>
      <c r="Q1389" s="37"/>
      <c r="R1389" s="47"/>
      <c r="S1389" s="46"/>
    </row>
    <row r="1390" spans="1:19" ht="15.6" hidden="1" customHeight="1" thickBot="1" x14ac:dyDescent="0.3">
      <c r="A1390" t="s">
        <v>23</v>
      </c>
      <c r="B1390" s="60" t="str">
        <f t="shared" si="991"/>
        <v>hide</v>
      </c>
      <c r="D1390" s="48" t="str">
        <f>D1389</f>
        <v>15605</v>
      </c>
      <c r="E1390" s="7"/>
      <c r="F1390" s="27">
        <v>0</v>
      </c>
      <c r="G1390" s="27">
        <v>0</v>
      </c>
      <c r="H1390" s="27">
        <v>0</v>
      </c>
      <c r="I1390" s="27">
        <v>0</v>
      </c>
      <c r="J1390" s="27">
        <v>0</v>
      </c>
      <c r="K1390" s="63">
        <f>AVERAGE(I1390:J1390)</f>
        <v>0</v>
      </c>
      <c r="L1390" s="56" t="str">
        <f>"SW-RISER-PACK"</f>
        <v>SW-RISER-PACK</v>
      </c>
      <c r="M1390" s="14"/>
      <c r="N1390" s="15"/>
      <c r="O1390" s="12"/>
      <c r="P1390" s="34"/>
      <c r="Q1390" s="37"/>
      <c r="R1390" s="47"/>
      <c r="S1390" s="46"/>
    </row>
    <row r="1391" spans="1:19" ht="12" hidden="1" customHeight="1" x14ac:dyDescent="0.3">
      <c r="A1391" s="35" t="s">
        <v>908</v>
      </c>
      <c r="B1391" s="49" t="str">
        <f>B1387</f>
        <v>hide</v>
      </c>
      <c r="N1391"/>
      <c r="Q1391" s="33"/>
    </row>
    <row r="1392" spans="1:19" ht="13.8" hidden="1" thickBot="1" x14ac:dyDescent="0.3">
      <c r="A1392" t="s">
        <v>23</v>
      </c>
      <c r="B1392" s="49" t="str">
        <f t="shared" ref="B1392" si="992">B1391</f>
        <v>hide</v>
      </c>
      <c r="D1392" s="58"/>
      <c r="E1392" s="58"/>
      <c r="F1392" s="52">
        <f>SUM(F1387:F1391)</f>
        <v>0</v>
      </c>
      <c r="G1392" s="52">
        <f>SUM(G1387:G1391)</f>
        <v>0</v>
      </c>
      <c r="H1392" s="52">
        <f>SUM(H1387:H1391)</f>
        <v>0</v>
      </c>
      <c r="I1392" s="52">
        <f>SUM(I1387:I1391)</f>
        <v>0</v>
      </c>
      <c r="J1392" s="52">
        <f>SUM(J1387:J1391)</f>
        <v>0</v>
      </c>
      <c r="K1392" s="52"/>
      <c r="L1392" s="51" t="s">
        <v>4</v>
      </c>
      <c r="M1392" s="58"/>
      <c r="N1392" s="58"/>
      <c r="O1392" s="58"/>
      <c r="P1392" s="58"/>
      <c r="Q1392" s="58"/>
      <c r="R1392" s="58"/>
      <c r="S1392" s="58"/>
    </row>
    <row r="1393" spans="1:19" s="59" customFormat="1" ht="18.75" customHeight="1" thickBot="1" x14ac:dyDescent="0.3">
      <c r="A1393" s="59" t="s">
        <v>23</v>
      </c>
      <c r="B1393" s="60" t="str">
        <f t="shared" ref="B1393:B1394" si="993">IF(K1393=0,"hide","")</f>
        <v/>
      </c>
      <c r="D1393" s="61" t="str">
        <f>"16429"</f>
        <v>16429</v>
      </c>
      <c r="E1393" s="62" t="str">
        <f>"9"</f>
        <v>9</v>
      </c>
      <c r="F1393" s="63">
        <v>123.16666666666667</v>
      </c>
      <c r="G1393" s="63">
        <v>0</v>
      </c>
      <c r="H1393" s="63">
        <v>35.166666666666664</v>
      </c>
      <c r="I1393" s="63">
        <v>29.666666666666668</v>
      </c>
      <c r="J1393" s="63">
        <v>4.0915662650602416</v>
      </c>
      <c r="K1393" s="63">
        <f>AVERAGE(I1393:J1393)</f>
        <v>16.879116465863454</v>
      </c>
      <c r="L1393" s="64" t="str">
        <f>"Fudgy Brownies"</f>
        <v>Fudgy Brownies</v>
      </c>
      <c r="M1393" s="65" t="str">
        <f>"175-1.5 oz. 5-35 pk."</f>
        <v>175-1.5 oz. 5-35 pk.</v>
      </c>
      <c r="N1393" s="66">
        <v>175</v>
      </c>
      <c r="O1393" s="67" t="str">
        <f>""</f>
        <v/>
      </c>
      <c r="P1393" s="68" t="e">
        <f>1/O1393</f>
        <v>#VALUE!</v>
      </c>
      <c r="Q1393" s="53">
        <v>1</v>
      </c>
      <c r="R1393" s="69">
        <f t="shared" ref="R1393" si="994">1/Q1393</f>
        <v>1</v>
      </c>
      <c r="S1393" s="70">
        <f t="shared" ref="S1393" si="995">R1393*N1393</f>
        <v>175</v>
      </c>
    </row>
    <row r="1394" spans="1:19" ht="15.6" hidden="1" customHeight="1" thickBot="1" x14ac:dyDescent="0.3">
      <c r="A1394" t="s">
        <v>23</v>
      </c>
      <c r="B1394" s="60" t="str">
        <f t="shared" si="993"/>
        <v>hide</v>
      </c>
      <c r="D1394" s="48" t="str">
        <f>D1393</f>
        <v>16429</v>
      </c>
      <c r="E1394" s="7"/>
      <c r="F1394" s="27">
        <v>0</v>
      </c>
      <c r="G1394" s="27">
        <v>0</v>
      </c>
      <c r="H1394" s="27">
        <v>0</v>
      </c>
      <c r="I1394" s="27">
        <v>0</v>
      </c>
      <c r="J1394" s="27">
        <v>0</v>
      </c>
      <c r="K1394" s="63">
        <f>AVERAGE(I1394:J1394)</f>
        <v>0</v>
      </c>
      <c r="L1394" s="56" t="str">
        <f>"EQP-LAWPACK1"</f>
        <v>EQP-LAWPACK1</v>
      </c>
      <c r="M1394" s="14"/>
      <c r="N1394" s="15"/>
      <c r="O1394" s="12"/>
      <c r="P1394" s="34"/>
      <c r="Q1394" s="37"/>
      <c r="R1394" s="47"/>
      <c r="S1394" s="46"/>
    </row>
    <row r="1395" spans="1:19" ht="15.6" hidden="1" customHeight="1" thickBot="1" x14ac:dyDescent="0.3">
      <c r="A1395" t="s">
        <v>23</v>
      </c>
      <c r="B1395" s="60" t="str">
        <f t="shared" ref="B1395:B1397" si="996">IF(K1395=0,"hide","")</f>
        <v>hide</v>
      </c>
      <c r="D1395" s="48" t="str">
        <f>D1394</f>
        <v>16429</v>
      </c>
      <c r="E1395" s="7"/>
      <c r="F1395" s="27">
        <v>0</v>
      </c>
      <c r="G1395" s="27">
        <v>0</v>
      </c>
      <c r="H1395" s="27">
        <v>0</v>
      </c>
      <c r="I1395" s="27">
        <v>0</v>
      </c>
      <c r="J1395" s="27">
        <v>0</v>
      </c>
      <c r="K1395" s="63">
        <f>AVERAGE(I1395:J1395)</f>
        <v>0</v>
      </c>
      <c r="L1395" s="56" t="str">
        <f>"EQP-LAWPACK2"</f>
        <v>EQP-LAWPACK2</v>
      </c>
      <c r="M1395" s="14"/>
      <c r="N1395" s="15"/>
      <c r="O1395" s="12"/>
      <c r="P1395" s="34"/>
      <c r="Q1395" s="37"/>
      <c r="R1395" s="47"/>
      <c r="S1395" s="46"/>
    </row>
    <row r="1396" spans="1:19" ht="15.6" hidden="1" customHeight="1" thickBot="1" x14ac:dyDescent="0.3">
      <c r="A1396" t="s">
        <v>23</v>
      </c>
      <c r="B1396" s="60" t="str">
        <f t="shared" si="996"/>
        <v>hide</v>
      </c>
      <c r="D1396" s="48" t="str">
        <f>D1395</f>
        <v>16429</v>
      </c>
      <c r="E1396" s="7"/>
      <c r="F1396" s="27">
        <v>0</v>
      </c>
      <c r="G1396" s="27">
        <v>0</v>
      </c>
      <c r="H1396" s="27">
        <v>0</v>
      </c>
      <c r="I1396" s="27">
        <v>0</v>
      </c>
      <c r="J1396" s="27">
        <v>0</v>
      </c>
      <c r="K1396" s="63">
        <f>AVERAGE(I1396:J1396)</f>
        <v>0</v>
      </c>
      <c r="L1396" s="56" t="str">
        <f>"SW-COMAS-PACKL"</f>
        <v>SW-COMAS-PACKL</v>
      </c>
      <c r="M1396" s="14"/>
      <c r="N1396" s="15"/>
      <c r="O1396" s="12"/>
      <c r="P1396" s="34"/>
      <c r="Q1396" s="37"/>
      <c r="R1396" s="47"/>
      <c r="S1396" s="46"/>
    </row>
    <row r="1397" spans="1:19" ht="15.6" hidden="1" customHeight="1" thickBot="1" x14ac:dyDescent="0.3">
      <c r="A1397" t="s">
        <v>23</v>
      </c>
      <c r="B1397" s="60" t="str">
        <f t="shared" si="996"/>
        <v>hide</v>
      </c>
      <c r="D1397" s="48" t="str">
        <f>D1396</f>
        <v>16429</v>
      </c>
      <c r="E1397" s="7"/>
      <c r="F1397" s="27">
        <v>0</v>
      </c>
      <c r="G1397" s="27">
        <v>0</v>
      </c>
      <c r="H1397" s="27">
        <v>0</v>
      </c>
      <c r="I1397" s="27">
        <v>0</v>
      </c>
      <c r="J1397" s="27">
        <v>0</v>
      </c>
      <c r="K1397" s="63">
        <f>AVERAGE(I1397:J1397)</f>
        <v>0</v>
      </c>
      <c r="L1397" s="56" t="str">
        <f>"SW-RISER-PACK"</f>
        <v>SW-RISER-PACK</v>
      </c>
      <c r="M1397" s="14"/>
      <c r="N1397" s="15"/>
      <c r="O1397" s="12"/>
      <c r="P1397" s="34"/>
      <c r="Q1397" s="37"/>
      <c r="R1397" s="47"/>
      <c r="S1397" s="46"/>
    </row>
    <row r="1398" spans="1:19" ht="12" hidden="1" customHeight="1" x14ac:dyDescent="0.3">
      <c r="A1398" s="35" t="s">
        <v>908</v>
      </c>
      <c r="B1398" s="49" t="str">
        <f>B1394</f>
        <v>hide</v>
      </c>
      <c r="N1398"/>
      <c r="Q1398" s="33"/>
    </row>
    <row r="1399" spans="1:19" ht="13.8" hidden="1" thickBot="1" x14ac:dyDescent="0.3">
      <c r="A1399" t="s">
        <v>23</v>
      </c>
      <c r="B1399" s="49" t="str">
        <f t="shared" ref="B1399" si="997">B1398</f>
        <v>hide</v>
      </c>
      <c r="D1399" s="58"/>
      <c r="E1399" s="58"/>
      <c r="F1399" s="52">
        <f>SUM(F1394:F1398)</f>
        <v>0</v>
      </c>
      <c r="G1399" s="52">
        <f>SUM(G1394:G1398)</f>
        <v>0</v>
      </c>
      <c r="H1399" s="52">
        <f>SUM(H1394:H1398)</f>
        <v>0</v>
      </c>
      <c r="I1399" s="52">
        <f>SUM(I1394:I1398)</f>
        <v>0</v>
      </c>
      <c r="J1399" s="52">
        <f>SUM(J1394:J1398)</f>
        <v>0</v>
      </c>
      <c r="K1399" s="52"/>
      <c r="L1399" s="51" t="s">
        <v>4</v>
      </c>
      <c r="M1399" s="58"/>
      <c r="N1399" s="58"/>
      <c r="O1399" s="58"/>
      <c r="P1399" s="58"/>
      <c r="Q1399" s="58"/>
      <c r="R1399" s="58"/>
      <c r="S1399" s="58"/>
    </row>
    <row r="1400" spans="1:19" s="59" customFormat="1" ht="18.75" customHeight="1" thickBot="1" x14ac:dyDescent="0.3">
      <c r="A1400" s="59" t="s">
        <v>23</v>
      </c>
      <c r="B1400" s="60" t="str">
        <f t="shared" ref="B1400:B1401" si="998">IF(K1400=0,"hide","")</f>
        <v/>
      </c>
      <c r="D1400" s="61" t="str">
        <f>"16619"</f>
        <v>16619</v>
      </c>
      <c r="E1400" s="62" t="str">
        <f>"1"</f>
        <v>1</v>
      </c>
      <c r="F1400" s="63">
        <v>101.91666666666667</v>
      </c>
      <c r="G1400" s="63">
        <v>68.583333333333329</v>
      </c>
      <c r="H1400" s="63">
        <v>104.08333333333333</v>
      </c>
      <c r="I1400" s="63">
        <v>87.083333333333329</v>
      </c>
      <c r="J1400" s="63">
        <v>68.397349397590361</v>
      </c>
      <c r="K1400" s="63">
        <f>AVERAGE(I1400:J1400)</f>
        <v>77.740341365461845</v>
      </c>
      <c r="L1400" s="64" t="str">
        <f>"Smart Choice Orange Crumb"</f>
        <v>Smart Choice Orange Crumb</v>
      </c>
      <c r="M1400" s="65" t="str">
        <f>"100-2oz. 5-20 pk."</f>
        <v>100-2oz. 5-20 pk.</v>
      </c>
      <c r="N1400" s="66">
        <v>100</v>
      </c>
      <c r="O1400" s="67" t="str">
        <f>""</f>
        <v/>
      </c>
      <c r="P1400" s="68" t="e">
        <f>1/O1400</f>
        <v>#VALUE!</v>
      </c>
      <c r="Q1400" s="53">
        <v>1</v>
      </c>
      <c r="R1400" s="69">
        <f t="shared" ref="R1400" si="999">1/Q1400</f>
        <v>1</v>
      </c>
      <c r="S1400" s="70">
        <f t="shared" ref="S1400" si="1000">R1400*N1400</f>
        <v>100</v>
      </c>
    </row>
    <row r="1401" spans="1:19" ht="15.6" hidden="1" customHeight="1" thickBot="1" x14ac:dyDescent="0.3">
      <c r="A1401" t="s">
        <v>23</v>
      </c>
      <c r="B1401" s="60" t="str">
        <f t="shared" si="998"/>
        <v>hide</v>
      </c>
      <c r="D1401" s="48" t="str">
        <f>D1400</f>
        <v>16619</v>
      </c>
      <c r="E1401" s="7"/>
      <c r="F1401" s="27">
        <v>0</v>
      </c>
      <c r="G1401" s="27">
        <v>0</v>
      </c>
      <c r="H1401" s="27">
        <v>0</v>
      </c>
      <c r="I1401" s="27">
        <v>0</v>
      </c>
      <c r="J1401" s="27">
        <v>0</v>
      </c>
      <c r="K1401" s="63">
        <f>AVERAGE(I1401:J1401)</f>
        <v>0</v>
      </c>
      <c r="L1401" s="56" t="str">
        <f>"EQP-LAWPACK1"</f>
        <v>EQP-LAWPACK1</v>
      </c>
      <c r="M1401" s="14"/>
      <c r="N1401" s="15"/>
      <c r="O1401" s="12"/>
      <c r="P1401" s="34"/>
      <c r="Q1401" s="37"/>
      <c r="R1401" s="47"/>
      <c r="S1401" s="46"/>
    </row>
    <row r="1402" spans="1:19" ht="15.6" hidden="1" customHeight="1" thickBot="1" x14ac:dyDescent="0.3">
      <c r="A1402" t="s">
        <v>23</v>
      </c>
      <c r="B1402" s="60" t="str">
        <f t="shared" ref="B1402:B1404" si="1001">IF(K1402=0,"hide","")</f>
        <v>hide</v>
      </c>
      <c r="D1402" s="48" t="str">
        <f>D1401</f>
        <v>16619</v>
      </c>
      <c r="E1402" s="7"/>
      <c r="F1402" s="27">
        <v>0</v>
      </c>
      <c r="G1402" s="27">
        <v>0</v>
      </c>
      <c r="H1402" s="27">
        <v>0</v>
      </c>
      <c r="I1402" s="27">
        <v>0</v>
      </c>
      <c r="J1402" s="27">
        <v>0</v>
      </c>
      <c r="K1402" s="63">
        <f>AVERAGE(I1402:J1402)</f>
        <v>0</v>
      </c>
      <c r="L1402" s="56" t="str">
        <f>"EQP-LAWPACK2"</f>
        <v>EQP-LAWPACK2</v>
      </c>
      <c r="M1402" s="14"/>
      <c r="N1402" s="15"/>
      <c r="O1402" s="12"/>
      <c r="P1402" s="34"/>
      <c r="Q1402" s="37"/>
      <c r="R1402" s="47"/>
      <c r="S1402" s="46"/>
    </row>
    <row r="1403" spans="1:19" ht="15.6" hidden="1" customHeight="1" thickBot="1" x14ac:dyDescent="0.3">
      <c r="A1403" t="s">
        <v>23</v>
      </c>
      <c r="B1403" s="60" t="str">
        <f t="shared" si="1001"/>
        <v>hide</v>
      </c>
      <c r="D1403" s="48" t="str">
        <f>D1402</f>
        <v>16619</v>
      </c>
      <c r="E1403" s="7"/>
      <c r="F1403" s="27">
        <v>0</v>
      </c>
      <c r="G1403" s="27">
        <v>0</v>
      </c>
      <c r="H1403" s="27">
        <v>0</v>
      </c>
      <c r="I1403" s="27">
        <v>0</v>
      </c>
      <c r="J1403" s="27">
        <v>0</v>
      </c>
      <c r="K1403" s="63">
        <f>AVERAGE(I1403:J1403)</f>
        <v>0</v>
      </c>
      <c r="L1403" s="56" t="str">
        <f>"SW-COMAS-PACKL"</f>
        <v>SW-COMAS-PACKL</v>
      </c>
      <c r="M1403" s="14"/>
      <c r="N1403" s="15"/>
      <c r="O1403" s="12"/>
      <c r="P1403" s="34"/>
      <c r="Q1403" s="37"/>
      <c r="R1403" s="47"/>
      <c r="S1403" s="46"/>
    </row>
    <row r="1404" spans="1:19" ht="15.6" hidden="1" customHeight="1" thickBot="1" x14ac:dyDescent="0.3">
      <c r="A1404" t="s">
        <v>23</v>
      </c>
      <c r="B1404" s="60" t="str">
        <f t="shared" si="1001"/>
        <v>hide</v>
      </c>
      <c r="D1404" s="48" t="str">
        <f>D1403</f>
        <v>16619</v>
      </c>
      <c r="E1404" s="7"/>
      <c r="F1404" s="27">
        <v>0</v>
      </c>
      <c r="G1404" s="27">
        <v>0</v>
      </c>
      <c r="H1404" s="27">
        <v>0</v>
      </c>
      <c r="I1404" s="27">
        <v>0</v>
      </c>
      <c r="J1404" s="27">
        <v>0</v>
      </c>
      <c r="K1404" s="63">
        <f>AVERAGE(I1404:J1404)</f>
        <v>0</v>
      </c>
      <c r="L1404" s="56" t="str">
        <f>"SW-RISER-PACK"</f>
        <v>SW-RISER-PACK</v>
      </c>
      <c r="M1404" s="14"/>
      <c r="N1404" s="15"/>
      <c r="O1404" s="12"/>
      <c r="P1404" s="34"/>
      <c r="Q1404" s="37"/>
      <c r="R1404" s="47"/>
      <c r="S1404" s="46"/>
    </row>
    <row r="1405" spans="1:19" ht="12" hidden="1" customHeight="1" x14ac:dyDescent="0.3">
      <c r="A1405" s="35" t="s">
        <v>908</v>
      </c>
      <c r="B1405" s="49" t="str">
        <f>B1401</f>
        <v>hide</v>
      </c>
      <c r="N1405"/>
      <c r="Q1405" s="33"/>
    </row>
    <row r="1406" spans="1:19" ht="13.8" hidden="1" thickBot="1" x14ac:dyDescent="0.3">
      <c r="A1406" t="s">
        <v>23</v>
      </c>
      <c r="B1406" s="49" t="str">
        <f t="shared" ref="B1406" si="1002">B1405</f>
        <v>hide</v>
      </c>
      <c r="D1406" s="58"/>
      <c r="E1406" s="58"/>
      <c r="F1406" s="52">
        <f>SUM(F1401:F1405)</f>
        <v>0</v>
      </c>
      <c r="G1406" s="52">
        <f>SUM(G1401:G1405)</f>
        <v>0</v>
      </c>
      <c r="H1406" s="52">
        <f>SUM(H1401:H1405)</f>
        <v>0</v>
      </c>
      <c r="I1406" s="52">
        <f>SUM(I1401:I1405)</f>
        <v>0</v>
      </c>
      <c r="J1406" s="52">
        <f>SUM(J1401:J1405)</f>
        <v>0</v>
      </c>
      <c r="K1406" s="52"/>
      <c r="L1406" s="51" t="s">
        <v>4</v>
      </c>
      <c r="M1406" s="58"/>
      <c r="N1406" s="58"/>
      <c r="O1406" s="58"/>
      <c r="P1406" s="58"/>
      <c r="Q1406" s="58"/>
      <c r="R1406" s="58"/>
      <c r="S1406" s="58"/>
    </row>
    <row r="1407" spans="1:19" s="59" customFormat="1" ht="18.75" customHeight="1" thickBot="1" x14ac:dyDescent="0.3">
      <c r="A1407" s="59" t="s">
        <v>23</v>
      </c>
      <c r="B1407" s="60" t="str">
        <f t="shared" ref="B1407:B1408" si="1003">IF(K1407=0,"hide","")</f>
        <v/>
      </c>
      <c r="D1407" s="61" t="str">
        <f>"16661"</f>
        <v>16661</v>
      </c>
      <c r="E1407" s="62" t="str">
        <f>"8"</f>
        <v>8</v>
      </c>
      <c r="F1407" s="63">
        <v>117</v>
      </c>
      <c r="G1407" s="63">
        <v>38.583333333333336</v>
      </c>
      <c r="H1407" s="63">
        <v>65.666666666666671</v>
      </c>
      <c r="I1407" s="63">
        <v>49.5</v>
      </c>
      <c r="J1407" s="63">
        <v>8.1831325301204831</v>
      </c>
      <c r="K1407" s="63">
        <f>AVERAGE(I1407:J1407)</f>
        <v>28.841566265060241</v>
      </c>
      <c r="L1407" s="64" t="str">
        <f>"SMART CHOICE BLUEBERRY TOPS"</f>
        <v>SMART CHOICE BLUEBERRY TOPS</v>
      </c>
      <c r="M1407" s="65" t="str">
        <f>"100-2oz. 5-20 pk."</f>
        <v>100-2oz. 5-20 pk.</v>
      </c>
      <c r="N1407" s="66">
        <v>100</v>
      </c>
      <c r="O1407" s="67" t="str">
        <f>""</f>
        <v/>
      </c>
      <c r="P1407" s="68" t="e">
        <f>1/O1407</f>
        <v>#VALUE!</v>
      </c>
      <c r="Q1407" s="53">
        <v>1</v>
      </c>
      <c r="R1407" s="69">
        <f t="shared" ref="R1407" si="1004">1/Q1407</f>
        <v>1</v>
      </c>
      <c r="S1407" s="70">
        <f t="shared" ref="S1407" si="1005">R1407*N1407</f>
        <v>100</v>
      </c>
    </row>
    <row r="1408" spans="1:19" ht="15.6" hidden="1" customHeight="1" thickBot="1" x14ac:dyDescent="0.3">
      <c r="A1408" t="s">
        <v>23</v>
      </c>
      <c r="B1408" s="60" t="str">
        <f t="shared" si="1003"/>
        <v>hide</v>
      </c>
      <c r="D1408" s="48" t="str">
        <f>D1407</f>
        <v>16661</v>
      </c>
      <c r="E1408" s="7"/>
      <c r="F1408" s="27">
        <v>0</v>
      </c>
      <c r="G1408" s="27">
        <v>0</v>
      </c>
      <c r="H1408" s="27">
        <v>0</v>
      </c>
      <c r="I1408" s="27">
        <v>0</v>
      </c>
      <c r="J1408" s="27">
        <v>0</v>
      </c>
      <c r="K1408" s="63">
        <f>AVERAGE(I1408:J1408)</f>
        <v>0</v>
      </c>
      <c r="L1408" s="56" t="str">
        <f>"EQP-LAWPACK1"</f>
        <v>EQP-LAWPACK1</v>
      </c>
      <c r="M1408" s="14"/>
      <c r="N1408" s="15"/>
      <c r="O1408" s="12"/>
      <c r="P1408" s="34"/>
      <c r="Q1408" s="37"/>
      <c r="R1408" s="47"/>
      <c r="S1408" s="46"/>
    </row>
    <row r="1409" spans="1:19" ht="15.6" hidden="1" customHeight="1" thickBot="1" x14ac:dyDescent="0.3">
      <c r="A1409" t="s">
        <v>23</v>
      </c>
      <c r="B1409" s="60" t="str">
        <f t="shared" ref="B1409:B1411" si="1006">IF(K1409=0,"hide","")</f>
        <v>hide</v>
      </c>
      <c r="D1409" s="48" t="str">
        <f>D1408</f>
        <v>16661</v>
      </c>
      <c r="E1409" s="7"/>
      <c r="F1409" s="27">
        <v>0</v>
      </c>
      <c r="G1409" s="27">
        <v>0</v>
      </c>
      <c r="H1409" s="27">
        <v>0</v>
      </c>
      <c r="I1409" s="27">
        <v>0</v>
      </c>
      <c r="J1409" s="27">
        <v>0</v>
      </c>
      <c r="K1409" s="63">
        <f>AVERAGE(I1409:J1409)</f>
        <v>0</v>
      </c>
      <c r="L1409" s="56" t="str">
        <f>"EQP-LAWPACK2"</f>
        <v>EQP-LAWPACK2</v>
      </c>
      <c r="M1409" s="14"/>
      <c r="N1409" s="15"/>
      <c r="O1409" s="12"/>
      <c r="P1409" s="34"/>
      <c r="Q1409" s="37"/>
      <c r="R1409" s="47"/>
      <c r="S1409" s="46"/>
    </row>
    <row r="1410" spans="1:19" ht="15.6" hidden="1" customHeight="1" thickBot="1" x14ac:dyDescent="0.3">
      <c r="A1410" t="s">
        <v>23</v>
      </c>
      <c r="B1410" s="60" t="str">
        <f t="shared" si="1006"/>
        <v>hide</v>
      </c>
      <c r="D1410" s="48" t="str">
        <f>D1409</f>
        <v>16661</v>
      </c>
      <c r="E1410" s="7"/>
      <c r="F1410" s="27">
        <v>0</v>
      </c>
      <c r="G1410" s="27">
        <v>0</v>
      </c>
      <c r="H1410" s="27">
        <v>0</v>
      </c>
      <c r="I1410" s="27">
        <v>0</v>
      </c>
      <c r="J1410" s="27">
        <v>0</v>
      </c>
      <c r="K1410" s="63">
        <f>AVERAGE(I1410:J1410)</f>
        <v>0</v>
      </c>
      <c r="L1410" s="56" t="str">
        <f>"SW-COMAS-PACKL"</f>
        <v>SW-COMAS-PACKL</v>
      </c>
      <c r="M1410" s="14"/>
      <c r="N1410" s="15"/>
      <c r="O1410" s="12"/>
      <c r="P1410" s="34"/>
      <c r="Q1410" s="37"/>
      <c r="R1410" s="47"/>
      <c r="S1410" s="46"/>
    </row>
    <row r="1411" spans="1:19" ht="15.6" hidden="1" customHeight="1" thickBot="1" x14ac:dyDescent="0.3">
      <c r="A1411" t="s">
        <v>23</v>
      </c>
      <c r="B1411" s="60" t="str">
        <f t="shared" si="1006"/>
        <v>hide</v>
      </c>
      <c r="D1411" s="48" t="str">
        <f>D1410</f>
        <v>16661</v>
      </c>
      <c r="E1411" s="7"/>
      <c r="F1411" s="27">
        <v>0</v>
      </c>
      <c r="G1411" s="27">
        <v>0</v>
      </c>
      <c r="H1411" s="27">
        <v>0</v>
      </c>
      <c r="I1411" s="27">
        <v>0</v>
      </c>
      <c r="J1411" s="27">
        <v>0</v>
      </c>
      <c r="K1411" s="63">
        <f>AVERAGE(I1411:J1411)</f>
        <v>0</v>
      </c>
      <c r="L1411" s="56" t="str">
        <f>"SW-RISER-PACK"</f>
        <v>SW-RISER-PACK</v>
      </c>
      <c r="M1411" s="14"/>
      <c r="N1411" s="15"/>
      <c r="O1411" s="12"/>
      <c r="P1411" s="34"/>
      <c r="Q1411" s="37"/>
      <c r="R1411" s="47"/>
      <c r="S1411" s="46"/>
    </row>
    <row r="1412" spans="1:19" ht="12" hidden="1" customHeight="1" x14ac:dyDescent="0.3">
      <c r="A1412" s="35" t="s">
        <v>908</v>
      </c>
      <c r="B1412" s="49" t="str">
        <f>B1408</f>
        <v>hide</v>
      </c>
      <c r="N1412"/>
      <c r="Q1412" s="33"/>
    </row>
    <row r="1413" spans="1:19" ht="13.8" hidden="1" thickBot="1" x14ac:dyDescent="0.3">
      <c r="A1413" t="s">
        <v>23</v>
      </c>
      <c r="B1413" s="49" t="str">
        <f t="shared" ref="B1413" si="1007">B1412</f>
        <v>hide</v>
      </c>
      <c r="D1413" s="58"/>
      <c r="E1413" s="58"/>
      <c r="F1413" s="52">
        <f>SUM(F1408:F1412)</f>
        <v>0</v>
      </c>
      <c r="G1413" s="52">
        <f>SUM(G1408:G1412)</f>
        <v>0</v>
      </c>
      <c r="H1413" s="52">
        <f>SUM(H1408:H1412)</f>
        <v>0</v>
      </c>
      <c r="I1413" s="52">
        <f>SUM(I1408:I1412)</f>
        <v>0</v>
      </c>
      <c r="J1413" s="52">
        <f>SUM(J1408:J1412)</f>
        <v>0</v>
      </c>
      <c r="K1413" s="52"/>
      <c r="L1413" s="51" t="s">
        <v>4</v>
      </c>
      <c r="M1413" s="58"/>
      <c r="N1413" s="58"/>
      <c r="O1413" s="58"/>
      <c r="P1413" s="58"/>
      <c r="Q1413" s="58"/>
      <c r="R1413" s="58"/>
      <c r="S1413" s="58"/>
    </row>
    <row r="1414" spans="1:19" s="59" customFormat="1" ht="18.75" customHeight="1" thickBot="1" x14ac:dyDescent="0.3">
      <c r="A1414" s="59" t="s">
        <v>23</v>
      </c>
      <c r="B1414" s="60" t="str">
        <f t="shared" ref="B1414:B1415" si="1008">IF(K1414=0,"hide","")</f>
        <v/>
      </c>
      <c r="D1414" s="61" t="str">
        <f>"16812"</f>
        <v>16812</v>
      </c>
      <c r="E1414" s="62" t="str">
        <f>"1"</f>
        <v>1</v>
      </c>
      <c r="F1414" s="63">
        <v>0</v>
      </c>
      <c r="G1414" s="63">
        <v>0</v>
      </c>
      <c r="H1414" s="63">
        <v>43.5</v>
      </c>
      <c r="I1414" s="63">
        <v>34.75</v>
      </c>
      <c r="J1414" s="63">
        <v>0</v>
      </c>
      <c r="K1414" s="63">
        <f>AVERAGE(I1414:J1414)</f>
        <v>17.375</v>
      </c>
      <c r="L1414" s="64" t="str">
        <f>"WG Bran Muffin"</f>
        <v>WG Bran Muffin</v>
      </c>
      <c r="M1414" s="65" t="str">
        <f>"105-2 oz. I.W. (National)"</f>
        <v>105-2 oz. I.W. (National)</v>
      </c>
      <c r="N1414" s="66">
        <v>104.99999999999999</v>
      </c>
      <c r="O1414" s="67" t="str">
        <f>""</f>
        <v/>
      </c>
      <c r="P1414" s="68" t="e">
        <f>1/O1414</f>
        <v>#VALUE!</v>
      </c>
      <c r="Q1414" s="53">
        <v>1</v>
      </c>
      <c r="R1414" s="69">
        <f t="shared" ref="R1414" si="1009">1/Q1414</f>
        <v>1</v>
      </c>
      <c r="S1414" s="70">
        <f t="shared" ref="S1414" si="1010">R1414*N1414</f>
        <v>104.99999999999999</v>
      </c>
    </row>
    <row r="1415" spans="1:19" ht="15.6" hidden="1" customHeight="1" thickBot="1" x14ac:dyDescent="0.3">
      <c r="A1415" t="s">
        <v>23</v>
      </c>
      <c r="B1415" s="60" t="str">
        <f t="shared" si="1008"/>
        <v>hide</v>
      </c>
      <c r="D1415" s="48" t="str">
        <f>D1414</f>
        <v>16812</v>
      </c>
      <c r="E1415" s="7"/>
      <c r="F1415" s="27">
        <v>0</v>
      </c>
      <c r="G1415" s="27">
        <v>0</v>
      </c>
      <c r="H1415" s="27">
        <v>0</v>
      </c>
      <c r="I1415" s="27">
        <v>0</v>
      </c>
      <c r="J1415" s="27">
        <v>0</v>
      </c>
      <c r="K1415" s="63">
        <f>AVERAGE(I1415:J1415)</f>
        <v>0</v>
      </c>
      <c r="L1415" s="56" t="str">
        <f>"EQP-LAWPACK1"</f>
        <v>EQP-LAWPACK1</v>
      </c>
      <c r="M1415" s="14"/>
      <c r="N1415" s="15"/>
      <c r="O1415" s="12"/>
      <c r="P1415" s="34"/>
      <c r="Q1415" s="37"/>
      <c r="R1415" s="47"/>
      <c r="S1415" s="46"/>
    </row>
    <row r="1416" spans="1:19" ht="15.6" hidden="1" customHeight="1" thickBot="1" x14ac:dyDescent="0.3">
      <c r="A1416" t="s">
        <v>23</v>
      </c>
      <c r="B1416" s="60" t="str">
        <f t="shared" ref="B1416:B1418" si="1011">IF(K1416=0,"hide","")</f>
        <v>hide</v>
      </c>
      <c r="D1416" s="48" t="str">
        <f>D1415</f>
        <v>16812</v>
      </c>
      <c r="E1416" s="7"/>
      <c r="F1416" s="27">
        <v>0</v>
      </c>
      <c r="G1416" s="27">
        <v>0</v>
      </c>
      <c r="H1416" s="27">
        <v>0</v>
      </c>
      <c r="I1416" s="27">
        <v>0</v>
      </c>
      <c r="J1416" s="27">
        <v>0</v>
      </c>
      <c r="K1416" s="63">
        <f>AVERAGE(I1416:J1416)</f>
        <v>0</v>
      </c>
      <c r="L1416" s="56" t="str">
        <f>"EQP-LAWPACK2"</f>
        <v>EQP-LAWPACK2</v>
      </c>
      <c r="M1416" s="14"/>
      <c r="N1416" s="15"/>
      <c r="O1416" s="12"/>
      <c r="P1416" s="34"/>
      <c r="Q1416" s="37"/>
      <c r="R1416" s="47"/>
      <c r="S1416" s="46"/>
    </row>
    <row r="1417" spans="1:19" ht="15.6" hidden="1" customHeight="1" thickBot="1" x14ac:dyDescent="0.3">
      <c r="A1417" t="s">
        <v>23</v>
      </c>
      <c r="B1417" s="60" t="str">
        <f t="shared" si="1011"/>
        <v>hide</v>
      </c>
      <c r="D1417" s="48" t="str">
        <f>D1416</f>
        <v>16812</v>
      </c>
      <c r="E1417" s="7"/>
      <c r="F1417" s="27">
        <v>0</v>
      </c>
      <c r="G1417" s="27">
        <v>0</v>
      </c>
      <c r="H1417" s="27">
        <v>0</v>
      </c>
      <c r="I1417" s="27">
        <v>0</v>
      </c>
      <c r="J1417" s="27">
        <v>0</v>
      </c>
      <c r="K1417" s="63">
        <f>AVERAGE(I1417:J1417)</f>
        <v>0</v>
      </c>
      <c r="L1417" s="56" t="str">
        <f>"SW-COMAS-PACKL"</f>
        <v>SW-COMAS-PACKL</v>
      </c>
      <c r="M1417" s="14"/>
      <c r="N1417" s="15"/>
      <c r="O1417" s="12"/>
      <c r="P1417" s="34"/>
      <c r="Q1417" s="37"/>
      <c r="R1417" s="47"/>
      <c r="S1417" s="46"/>
    </row>
    <row r="1418" spans="1:19" ht="15.6" hidden="1" customHeight="1" thickBot="1" x14ac:dyDescent="0.3">
      <c r="A1418" t="s">
        <v>23</v>
      </c>
      <c r="B1418" s="60" t="str">
        <f t="shared" si="1011"/>
        <v>hide</v>
      </c>
      <c r="D1418" s="48" t="str">
        <f>D1417</f>
        <v>16812</v>
      </c>
      <c r="E1418" s="7"/>
      <c r="F1418" s="27">
        <v>0</v>
      </c>
      <c r="G1418" s="27">
        <v>0</v>
      </c>
      <c r="H1418" s="27">
        <v>0</v>
      </c>
      <c r="I1418" s="27">
        <v>0</v>
      </c>
      <c r="J1418" s="27">
        <v>0</v>
      </c>
      <c r="K1418" s="63">
        <f>AVERAGE(I1418:J1418)</f>
        <v>0</v>
      </c>
      <c r="L1418" s="56" t="str">
        <f>"SW-RISER-PACK"</f>
        <v>SW-RISER-PACK</v>
      </c>
      <c r="M1418" s="14"/>
      <c r="N1418" s="15"/>
      <c r="O1418" s="12"/>
      <c r="P1418" s="34"/>
      <c r="Q1418" s="37"/>
      <c r="R1418" s="47"/>
      <c r="S1418" s="46"/>
    </row>
    <row r="1419" spans="1:19" ht="12" hidden="1" customHeight="1" x14ac:dyDescent="0.3">
      <c r="A1419" s="35" t="s">
        <v>908</v>
      </c>
      <c r="B1419" s="49" t="str">
        <f>B1415</f>
        <v>hide</v>
      </c>
      <c r="N1419"/>
      <c r="Q1419" s="33"/>
    </row>
    <row r="1420" spans="1:19" ht="13.8" hidden="1" thickBot="1" x14ac:dyDescent="0.3">
      <c r="A1420" t="s">
        <v>23</v>
      </c>
      <c r="B1420" s="49" t="str">
        <f t="shared" ref="B1420" si="1012">B1419</f>
        <v>hide</v>
      </c>
      <c r="D1420" s="58"/>
      <c r="E1420" s="58"/>
      <c r="F1420" s="52">
        <f>SUM(F1415:F1419)</f>
        <v>0</v>
      </c>
      <c r="G1420" s="52">
        <f>SUM(G1415:G1419)</f>
        <v>0</v>
      </c>
      <c r="H1420" s="52">
        <f>SUM(H1415:H1419)</f>
        <v>0</v>
      </c>
      <c r="I1420" s="52">
        <f>SUM(I1415:I1419)</f>
        <v>0</v>
      </c>
      <c r="J1420" s="52">
        <f>SUM(J1415:J1419)</f>
        <v>0</v>
      </c>
      <c r="K1420" s="52"/>
      <c r="L1420" s="51" t="s">
        <v>4</v>
      </c>
      <c r="M1420" s="58"/>
      <c r="N1420" s="58"/>
      <c r="O1420" s="58"/>
      <c r="P1420" s="58"/>
      <c r="Q1420" s="58"/>
      <c r="R1420" s="58"/>
      <c r="S1420" s="58"/>
    </row>
    <row r="1421" spans="1:19" s="59" customFormat="1" ht="18.75" customHeight="1" thickBot="1" x14ac:dyDescent="0.3">
      <c r="A1421" s="59" t="s">
        <v>23</v>
      </c>
      <c r="B1421" s="60" t="str">
        <f t="shared" ref="B1421:B1422" si="1013">IF(K1421=0,"hide","")</f>
        <v/>
      </c>
      <c r="D1421" s="61" t="str">
        <f>"16861"</f>
        <v>16861</v>
      </c>
      <c r="E1421" s="62" t="str">
        <f>"3"</f>
        <v>3</v>
      </c>
      <c r="F1421" s="63">
        <v>2.75</v>
      </c>
      <c r="G1421" s="63">
        <v>151.08333333333334</v>
      </c>
      <c r="H1421" s="63">
        <v>388.25</v>
      </c>
      <c r="I1421" s="63">
        <v>319.83333333333331</v>
      </c>
      <c r="J1421" s="63">
        <v>77.057831325301208</v>
      </c>
      <c r="K1421" s="63">
        <f>AVERAGE(I1421:J1421)</f>
        <v>198.44558232931726</v>
      </c>
      <c r="L1421" s="64" t="str">
        <f>"WG BLUEBERRY MUFFIN"</f>
        <v>WG BLUEBERRY MUFFIN</v>
      </c>
      <c r="M1421" s="65" t="str">
        <f>"105-2 oz. I.W. (National)"</f>
        <v>105-2 oz. I.W. (National)</v>
      </c>
      <c r="N1421" s="66">
        <v>104.99999999999999</v>
      </c>
      <c r="O1421" s="67" t="str">
        <f>""</f>
        <v/>
      </c>
      <c r="P1421" s="68" t="e">
        <f>1/O1421</f>
        <v>#VALUE!</v>
      </c>
      <c r="Q1421" s="53">
        <v>1</v>
      </c>
      <c r="R1421" s="69">
        <f t="shared" ref="R1421" si="1014">1/Q1421</f>
        <v>1</v>
      </c>
      <c r="S1421" s="70">
        <f t="shared" ref="S1421" si="1015">R1421*N1421</f>
        <v>104.99999999999999</v>
      </c>
    </row>
    <row r="1422" spans="1:19" ht="15.6" hidden="1" customHeight="1" thickBot="1" x14ac:dyDescent="0.3">
      <c r="A1422" t="s">
        <v>23</v>
      </c>
      <c r="B1422" s="60" t="str">
        <f t="shared" si="1013"/>
        <v>hide</v>
      </c>
      <c r="D1422" s="48" t="str">
        <f>D1421</f>
        <v>16861</v>
      </c>
      <c r="E1422" s="7"/>
      <c r="F1422" s="27">
        <v>0</v>
      </c>
      <c r="G1422" s="27">
        <v>0</v>
      </c>
      <c r="H1422" s="27">
        <v>0</v>
      </c>
      <c r="I1422" s="27">
        <v>0</v>
      </c>
      <c r="J1422" s="27">
        <v>0</v>
      </c>
      <c r="K1422" s="63">
        <f>AVERAGE(I1422:J1422)</f>
        <v>0</v>
      </c>
      <c r="L1422" s="56" t="str">
        <f>"EQP-LAWPACK1"</f>
        <v>EQP-LAWPACK1</v>
      </c>
      <c r="M1422" s="14"/>
      <c r="N1422" s="15"/>
      <c r="O1422" s="12"/>
      <c r="P1422" s="34"/>
      <c r="Q1422" s="37"/>
      <c r="R1422" s="47"/>
      <c r="S1422" s="46"/>
    </row>
    <row r="1423" spans="1:19" ht="15.6" hidden="1" customHeight="1" thickBot="1" x14ac:dyDescent="0.3">
      <c r="A1423" t="s">
        <v>23</v>
      </c>
      <c r="B1423" s="60" t="str">
        <f t="shared" ref="B1423:B1425" si="1016">IF(K1423=0,"hide","")</f>
        <v>hide</v>
      </c>
      <c r="D1423" s="48" t="str">
        <f>D1422</f>
        <v>16861</v>
      </c>
      <c r="E1423" s="7"/>
      <c r="F1423" s="27">
        <v>0</v>
      </c>
      <c r="G1423" s="27">
        <v>0</v>
      </c>
      <c r="H1423" s="27">
        <v>0</v>
      </c>
      <c r="I1423" s="27">
        <v>0</v>
      </c>
      <c r="J1423" s="27">
        <v>0</v>
      </c>
      <c r="K1423" s="63">
        <f>AVERAGE(I1423:J1423)</f>
        <v>0</v>
      </c>
      <c r="L1423" s="56" t="str">
        <f>"EQP-LAWPACK2"</f>
        <v>EQP-LAWPACK2</v>
      </c>
      <c r="M1423" s="14"/>
      <c r="N1423" s="15"/>
      <c r="O1423" s="12"/>
      <c r="P1423" s="34"/>
      <c r="Q1423" s="37"/>
      <c r="R1423" s="47"/>
      <c r="S1423" s="46"/>
    </row>
    <row r="1424" spans="1:19" ht="15.6" hidden="1" customHeight="1" thickBot="1" x14ac:dyDescent="0.3">
      <c r="A1424" t="s">
        <v>23</v>
      </c>
      <c r="B1424" s="60" t="str">
        <f t="shared" si="1016"/>
        <v>hide</v>
      </c>
      <c r="D1424" s="48" t="str">
        <f>D1423</f>
        <v>16861</v>
      </c>
      <c r="E1424" s="7"/>
      <c r="F1424" s="27">
        <v>0</v>
      </c>
      <c r="G1424" s="27">
        <v>0</v>
      </c>
      <c r="H1424" s="27">
        <v>0</v>
      </c>
      <c r="I1424" s="27">
        <v>0</v>
      </c>
      <c r="J1424" s="27">
        <v>0</v>
      </c>
      <c r="K1424" s="63">
        <f>AVERAGE(I1424:J1424)</f>
        <v>0</v>
      </c>
      <c r="L1424" s="56" t="str">
        <f>"SW-COMAS-PACKL"</f>
        <v>SW-COMAS-PACKL</v>
      </c>
      <c r="M1424" s="14"/>
      <c r="N1424" s="15"/>
      <c r="O1424" s="12"/>
      <c r="P1424" s="34"/>
      <c r="Q1424" s="37"/>
      <c r="R1424" s="47"/>
      <c r="S1424" s="46"/>
    </row>
    <row r="1425" spans="1:19" ht="15.6" hidden="1" customHeight="1" thickBot="1" x14ac:dyDescent="0.3">
      <c r="A1425" t="s">
        <v>23</v>
      </c>
      <c r="B1425" s="60" t="str">
        <f t="shared" si="1016"/>
        <v>hide</v>
      </c>
      <c r="D1425" s="48" t="str">
        <f>D1424</f>
        <v>16861</v>
      </c>
      <c r="E1425" s="7"/>
      <c r="F1425" s="27">
        <v>0</v>
      </c>
      <c r="G1425" s="27">
        <v>0</v>
      </c>
      <c r="H1425" s="27">
        <v>0</v>
      </c>
      <c r="I1425" s="27">
        <v>0</v>
      </c>
      <c r="J1425" s="27">
        <v>0</v>
      </c>
      <c r="K1425" s="63">
        <f>AVERAGE(I1425:J1425)</f>
        <v>0</v>
      </c>
      <c r="L1425" s="56" t="str">
        <f>"SW-RISER-PACK"</f>
        <v>SW-RISER-PACK</v>
      </c>
      <c r="M1425" s="14"/>
      <c r="N1425" s="15"/>
      <c r="O1425" s="12"/>
      <c r="P1425" s="34"/>
      <c r="Q1425" s="37"/>
      <c r="R1425" s="47"/>
      <c r="S1425" s="46"/>
    </row>
    <row r="1426" spans="1:19" ht="12" hidden="1" customHeight="1" x14ac:dyDescent="0.3">
      <c r="A1426" s="35" t="s">
        <v>908</v>
      </c>
      <c r="B1426" s="49" t="str">
        <f>B1422</f>
        <v>hide</v>
      </c>
      <c r="N1426"/>
      <c r="Q1426" s="33"/>
    </row>
    <row r="1427" spans="1:19" ht="13.8" hidden="1" thickBot="1" x14ac:dyDescent="0.3">
      <c r="A1427" t="s">
        <v>23</v>
      </c>
      <c r="B1427" s="49" t="str">
        <f t="shared" ref="B1427" si="1017">B1426</f>
        <v>hide</v>
      </c>
      <c r="D1427" s="58"/>
      <c r="E1427" s="58"/>
      <c r="F1427" s="52">
        <f>SUM(F1422:F1426)</f>
        <v>0</v>
      </c>
      <c r="G1427" s="52">
        <f>SUM(G1422:G1426)</f>
        <v>0</v>
      </c>
      <c r="H1427" s="52">
        <f>SUM(H1422:H1426)</f>
        <v>0</v>
      </c>
      <c r="I1427" s="52">
        <f>SUM(I1422:I1426)</f>
        <v>0</v>
      </c>
      <c r="J1427" s="52">
        <f>SUM(J1422:J1426)</f>
        <v>0</v>
      </c>
      <c r="K1427" s="52"/>
      <c r="L1427" s="51" t="s">
        <v>4</v>
      </c>
      <c r="M1427" s="58"/>
      <c r="N1427" s="58"/>
      <c r="O1427" s="58"/>
      <c r="P1427" s="58"/>
      <c r="Q1427" s="58"/>
      <c r="R1427" s="58"/>
      <c r="S1427" s="58"/>
    </row>
    <row r="1428" spans="1:19" s="59" customFormat="1" ht="18.75" customHeight="1" thickBot="1" x14ac:dyDescent="0.3">
      <c r="A1428" s="59" t="s">
        <v>23</v>
      </c>
      <c r="B1428" s="60" t="str">
        <f t="shared" ref="B1428:B1429" si="1018">IF(K1428=0,"hide","")</f>
        <v/>
      </c>
      <c r="D1428" s="61" t="str">
        <f>"16865"</f>
        <v>16865</v>
      </c>
      <c r="E1428" s="62" t="str">
        <f>"3"</f>
        <v>3</v>
      </c>
      <c r="F1428" s="63">
        <v>26.583333333333332</v>
      </c>
      <c r="G1428" s="63">
        <v>11.666666666666666</v>
      </c>
      <c r="H1428" s="63">
        <v>102.25</v>
      </c>
      <c r="I1428" s="63">
        <v>39.5</v>
      </c>
      <c r="J1428" s="63">
        <v>66.760722891566274</v>
      </c>
      <c r="K1428" s="63">
        <f>AVERAGE(I1428:J1428)</f>
        <v>53.130361445783137</v>
      </c>
      <c r="L1428" s="64" t="str">
        <f>"WG CORN MUFFIN"</f>
        <v>WG CORN MUFFIN</v>
      </c>
      <c r="M1428" s="65" t="str">
        <f>"105-2 oz. I.W. (National)"</f>
        <v>105-2 oz. I.W. (National)</v>
      </c>
      <c r="N1428" s="66">
        <v>104.99999999999999</v>
      </c>
      <c r="O1428" s="67" t="str">
        <f>""</f>
        <v/>
      </c>
      <c r="P1428" s="68" t="e">
        <f>1/O1428</f>
        <v>#VALUE!</v>
      </c>
      <c r="Q1428" s="53">
        <v>1</v>
      </c>
      <c r="R1428" s="69">
        <f t="shared" ref="R1428" si="1019">1/Q1428</f>
        <v>1</v>
      </c>
      <c r="S1428" s="70">
        <f t="shared" ref="S1428" si="1020">R1428*N1428</f>
        <v>104.99999999999999</v>
      </c>
    </row>
    <row r="1429" spans="1:19" ht="15.6" hidden="1" customHeight="1" thickBot="1" x14ac:dyDescent="0.3">
      <c r="A1429" t="s">
        <v>23</v>
      </c>
      <c r="B1429" s="60" t="str">
        <f t="shared" si="1018"/>
        <v>hide</v>
      </c>
      <c r="D1429" s="48" t="str">
        <f>D1428</f>
        <v>16865</v>
      </c>
      <c r="E1429" s="7"/>
      <c r="F1429" s="27">
        <v>0</v>
      </c>
      <c r="G1429" s="27">
        <v>0</v>
      </c>
      <c r="H1429" s="27">
        <v>0</v>
      </c>
      <c r="I1429" s="27">
        <v>0</v>
      </c>
      <c r="J1429" s="27">
        <v>0</v>
      </c>
      <c r="K1429" s="63">
        <f>AVERAGE(I1429:J1429)</f>
        <v>0</v>
      </c>
      <c r="L1429" s="56" t="str">
        <f>"EQP-LAWPACK1"</f>
        <v>EQP-LAWPACK1</v>
      </c>
      <c r="M1429" s="14"/>
      <c r="N1429" s="15"/>
      <c r="O1429" s="12"/>
      <c r="P1429" s="34"/>
      <c r="Q1429" s="37"/>
      <c r="R1429" s="47"/>
      <c r="S1429" s="46"/>
    </row>
    <row r="1430" spans="1:19" ht="15.6" hidden="1" customHeight="1" thickBot="1" x14ac:dyDescent="0.3">
      <c r="A1430" t="s">
        <v>23</v>
      </c>
      <c r="B1430" s="60" t="str">
        <f t="shared" ref="B1430:B1432" si="1021">IF(K1430=0,"hide","")</f>
        <v>hide</v>
      </c>
      <c r="D1430" s="48" t="str">
        <f>D1429</f>
        <v>16865</v>
      </c>
      <c r="E1430" s="7"/>
      <c r="F1430" s="27">
        <v>0</v>
      </c>
      <c r="G1430" s="27">
        <v>0</v>
      </c>
      <c r="H1430" s="27">
        <v>0</v>
      </c>
      <c r="I1430" s="27">
        <v>0</v>
      </c>
      <c r="J1430" s="27">
        <v>0</v>
      </c>
      <c r="K1430" s="63">
        <f>AVERAGE(I1430:J1430)</f>
        <v>0</v>
      </c>
      <c r="L1430" s="56" t="str">
        <f>"EQP-LAWPACK2"</f>
        <v>EQP-LAWPACK2</v>
      </c>
      <c r="M1430" s="14"/>
      <c r="N1430" s="15"/>
      <c r="O1430" s="12"/>
      <c r="P1430" s="34"/>
      <c r="Q1430" s="37"/>
      <c r="R1430" s="47"/>
      <c r="S1430" s="46"/>
    </row>
    <row r="1431" spans="1:19" ht="15.6" hidden="1" customHeight="1" thickBot="1" x14ac:dyDescent="0.3">
      <c r="A1431" t="s">
        <v>23</v>
      </c>
      <c r="B1431" s="60" t="str">
        <f t="shared" si="1021"/>
        <v>hide</v>
      </c>
      <c r="D1431" s="48" t="str">
        <f>D1430</f>
        <v>16865</v>
      </c>
      <c r="E1431" s="7"/>
      <c r="F1431" s="27">
        <v>0</v>
      </c>
      <c r="G1431" s="27">
        <v>0</v>
      </c>
      <c r="H1431" s="27">
        <v>0</v>
      </c>
      <c r="I1431" s="27">
        <v>0</v>
      </c>
      <c r="J1431" s="27">
        <v>0</v>
      </c>
      <c r="K1431" s="63">
        <f>AVERAGE(I1431:J1431)</f>
        <v>0</v>
      </c>
      <c r="L1431" s="56" t="str">
        <f>"SW-COMAS-PACKL"</f>
        <v>SW-COMAS-PACKL</v>
      </c>
      <c r="M1431" s="14"/>
      <c r="N1431" s="15"/>
      <c r="O1431" s="12"/>
      <c r="P1431" s="34"/>
      <c r="Q1431" s="37"/>
      <c r="R1431" s="47"/>
      <c r="S1431" s="46"/>
    </row>
    <row r="1432" spans="1:19" ht="15.6" hidden="1" customHeight="1" thickBot="1" x14ac:dyDescent="0.3">
      <c r="A1432" t="s">
        <v>23</v>
      </c>
      <c r="B1432" s="60" t="str">
        <f t="shared" si="1021"/>
        <v>hide</v>
      </c>
      <c r="D1432" s="48" t="str">
        <f>D1431</f>
        <v>16865</v>
      </c>
      <c r="E1432" s="7"/>
      <c r="F1432" s="27">
        <v>0</v>
      </c>
      <c r="G1432" s="27">
        <v>0</v>
      </c>
      <c r="H1432" s="27">
        <v>0</v>
      </c>
      <c r="I1432" s="27">
        <v>0</v>
      </c>
      <c r="J1432" s="27">
        <v>0</v>
      </c>
      <c r="K1432" s="63">
        <f>AVERAGE(I1432:J1432)</f>
        <v>0</v>
      </c>
      <c r="L1432" s="56" t="str">
        <f>"SW-RISER-PACK"</f>
        <v>SW-RISER-PACK</v>
      </c>
      <c r="M1432" s="14"/>
      <c r="N1432" s="15"/>
      <c r="O1432" s="12"/>
      <c r="P1432" s="34"/>
      <c r="Q1432" s="37"/>
      <c r="R1432" s="47"/>
      <c r="S1432" s="46"/>
    </row>
    <row r="1433" spans="1:19" ht="12" hidden="1" customHeight="1" x14ac:dyDescent="0.3">
      <c r="A1433" s="35" t="s">
        <v>908</v>
      </c>
      <c r="B1433" s="49" t="str">
        <f>B1429</f>
        <v>hide</v>
      </c>
      <c r="N1433"/>
      <c r="Q1433" s="33"/>
    </row>
    <row r="1434" spans="1:19" ht="13.8" hidden="1" thickBot="1" x14ac:dyDescent="0.3">
      <c r="A1434" t="s">
        <v>23</v>
      </c>
      <c r="B1434" s="49" t="str">
        <f t="shared" ref="B1434" si="1022">B1433</f>
        <v>hide</v>
      </c>
      <c r="D1434" s="58"/>
      <c r="E1434" s="58"/>
      <c r="F1434" s="52">
        <f>SUM(F1429:F1433)</f>
        <v>0</v>
      </c>
      <c r="G1434" s="52">
        <f>SUM(G1429:G1433)</f>
        <v>0</v>
      </c>
      <c r="H1434" s="52">
        <f>SUM(H1429:H1433)</f>
        <v>0</v>
      </c>
      <c r="I1434" s="52">
        <f>SUM(I1429:I1433)</f>
        <v>0</v>
      </c>
      <c r="J1434" s="52">
        <f>SUM(J1429:J1433)</f>
        <v>0</v>
      </c>
      <c r="K1434" s="52"/>
      <c r="L1434" s="51" t="s">
        <v>4</v>
      </c>
      <c r="M1434" s="58"/>
      <c r="N1434" s="58"/>
      <c r="O1434" s="58"/>
      <c r="P1434" s="58"/>
      <c r="Q1434" s="58"/>
      <c r="R1434" s="58"/>
      <c r="S1434" s="58"/>
    </row>
    <row r="1435" spans="1:19" s="59" customFormat="1" ht="18.75" customHeight="1" thickBot="1" x14ac:dyDescent="0.3">
      <c r="A1435" s="59" t="s">
        <v>23</v>
      </c>
      <c r="B1435" s="60" t="str">
        <f t="shared" ref="B1435:B1436" si="1023">IF(K1435=0,"hide","")</f>
        <v/>
      </c>
      <c r="D1435" s="61" t="str">
        <f>"16866"</f>
        <v>16866</v>
      </c>
      <c r="E1435" s="62" t="str">
        <f>"3"</f>
        <v>3</v>
      </c>
      <c r="F1435" s="63">
        <v>0</v>
      </c>
      <c r="G1435" s="63">
        <v>109.25</v>
      </c>
      <c r="H1435" s="63">
        <v>311.33333333333331</v>
      </c>
      <c r="I1435" s="63">
        <v>162.24999999999997</v>
      </c>
      <c r="J1435" s="63">
        <v>66.487951807228924</v>
      </c>
      <c r="K1435" s="63">
        <f>AVERAGE(I1435:J1435)</f>
        <v>114.36897590361446</v>
      </c>
      <c r="L1435" s="64" t="str">
        <f>"WG Apple Cinnamon MUFFIN"</f>
        <v>WG Apple Cinnamon MUFFIN</v>
      </c>
      <c r="M1435" s="65" t="str">
        <f>"105-2 oz. I.W. (National)"</f>
        <v>105-2 oz. I.W. (National)</v>
      </c>
      <c r="N1435" s="66">
        <v>104.99999999999999</v>
      </c>
      <c r="O1435" s="67" t="str">
        <f>""</f>
        <v/>
      </c>
      <c r="P1435" s="68" t="e">
        <f>1/O1435</f>
        <v>#VALUE!</v>
      </c>
      <c r="Q1435" s="53">
        <v>1</v>
      </c>
      <c r="R1435" s="69">
        <f t="shared" ref="R1435" si="1024">1/Q1435</f>
        <v>1</v>
      </c>
      <c r="S1435" s="70">
        <f t="shared" ref="S1435" si="1025">R1435*N1435</f>
        <v>104.99999999999999</v>
      </c>
    </row>
    <row r="1436" spans="1:19" ht="15.6" hidden="1" customHeight="1" thickBot="1" x14ac:dyDescent="0.3">
      <c r="A1436" t="s">
        <v>23</v>
      </c>
      <c r="B1436" s="60" t="str">
        <f t="shared" si="1023"/>
        <v>hide</v>
      </c>
      <c r="D1436" s="48" t="str">
        <f>D1435</f>
        <v>16866</v>
      </c>
      <c r="E1436" s="7"/>
      <c r="F1436" s="27">
        <v>0</v>
      </c>
      <c r="G1436" s="27">
        <v>0</v>
      </c>
      <c r="H1436" s="27">
        <v>0</v>
      </c>
      <c r="I1436" s="27">
        <v>0</v>
      </c>
      <c r="J1436" s="27">
        <v>0</v>
      </c>
      <c r="K1436" s="63">
        <f>AVERAGE(I1436:J1436)</f>
        <v>0</v>
      </c>
      <c r="L1436" s="56" t="str">
        <f>"EQP-LAWPACK1"</f>
        <v>EQP-LAWPACK1</v>
      </c>
      <c r="M1436" s="14"/>
      <c r="N1436" s="15"/>
      <c r="O1436" s="12"/>
      <c r="P1436" s="34"/>
      <c r="Q1436" s="37"/>
      <c r="R1436" s="47"/>
      <c r="S1436" s="46"/>
    </row>
    <row r="1437" spans="1:19" ht="15.6" hidden="1" customHeight="1" thickBot="1" x14ac:dyDescent="0.3">
      <c r="A1437" t="s">
        <v>23</v>
      </c>
      <c r="B1437" s="60" t="str">
        <f t="shared" ref="B1437:B1439" si="1026">IF(K1437=0,"hide","")</f>
        <v>hide</v>
      </c>
      <c r="D1437" s="48" t="str">
        <f>D1436</f>
        <v>16866</v>
      </c>
      <c r="E1437" s="7"/>
      <c r="F1437" s="27">
        <v>0</v>
      </c>
      <c r="G1437" s="27">
        <v>0</v>
      </c>
      <c r="H1437" s="27">
        <v>0</v>
      </c>
      <c r="I1437" s="27">
        <v>0</v>
      </c>
      <c r="J1437" s="27">
        <v>0</v>
      </c>
      <c r="K1437" s="63">
        <f>AVERAGE(I1437:J1437)</f>
        <v>0</v>
      </c>
      <c r="L1437" s="56" t="str">
        <f>"EQP-LAWPACK2"</f>
        <v>EQP-LAWPACK2</v>
      </c>
      <c r="M1437" s="14"/>
      <c r="N1437" s="15"/>
      <c r="O1437" s="12"/>
      <c r="P1437" s="34"/>
      <c r="Q1437" s="37"/>
      <c r="R1437" s="47"/>
      <c r="S1437" s="46"/>
    </row>
    <row r="1438" spans="1:19" ht="15.6" hidden="1" customHeight="1" thickBot="1" x14ac:dyDescent="0.3">
      <c r="A1438" t="s">
        <v>23</v>
      </c>
      <c r="B1438" s="60" t="str">
        <f t="shared" si="1026"/>
        <v>hide</v>
      </c>
      <c r="D1438" s="48" t="str">
        <f>D1437</f>
        <v>16866</v>
      </c>
      <c r="E1438" s="7"/>
      <c r="F1438" s="27">
        <v>0</v>
      </c>
      <c r="G1438" s="27">
        <v>0</v>
      </c>
      <c r="H1438" s="27">
        <v>0</v>
      </c>
      <c r="I1438" s="27">
        <v>0</v>
      </c>
      <c r="J1438" s="27">
        <v>0</v>
      </c>
      <c r="K1438" s="63">
        <f>AVERAGE(I1438:J1438)</f>
        <v>0</v>
      </c>
      <c r="L1438" s="56" t="str">
        <f>"SW-COMAS-PACKL"</f>
        <v>SW-COMAS-PACKL</v>
      </c>
      <c r="M1438" s="14"/>
      <c r="N1438" s="15"/>
      <c r="O1438" s="12"/>
      <c r="P1438" s="34"/>
      <c r="Q1438" s="37"/>
      <c r="R1438" s="47"/>
      <c r="S1438" s="46"/>
    </row>
    <row r="1439" spans="1:19" ht="15.6" hidden="1" customHeight="1" thickBot="1" x14ac:dyDescent="0.3">
      <c r="A1439" t="s">
        <v>23</v>
      </c>
      <c r="B1439" s="60" t="str">
        <f t="shared" si="1026"/>
        <v>hide</v>
      </c>
      <c r="D1439" s="48" t="str">
        <f>D1438</f>
        <v>16866</v>
      </c>
      <c r="E1439" s="7"/>
      <c r="F1439" s="27">
        <v>0</v>
      </c>
      <c r="G1439" s="27">
        <v>0</v>
      </c>
      <c r="H1439" s="27">
        <v>0</v>
      </c>
      <c r="I1439" s="27">
        <v>0</v>
      </c>
      <c r="J1439" s="27">
        <v>0</v>
      </c>
      <c r="K1439" s="63">
        <f>AVERAGE(I1439:J1439)</f>
        <v>0</v>
      </c>
      <c r="L1439" s="56" t="str">
        <f>"SW-RISER-PACK"</f>
        <v>SW-RISER-PACK</v>
      </c>
      <c r="M1439" s="14"/>
      <c r="N1439" s="15"/>
      <c r="O1439" s="12"/>
      <c r="P1439" s="34"/>
      <c r="Q1439" s="37"/>
      <c r="R1439" s="47"/>
      <c r="S1439" s="46"/>
    </row>
    <row r="1440" spans="1:19" ht="12" hidden="1" customHeight="1" x14ac:dyDescent="0.3">
      <c r="A1440" s="35" t="s">
        <v>908</v>
      </c>
      <c r="B1440" s="49" t="str">
        <f>B1436</f>
        <v>hide</v>
      </c>
      <c r="N1440"/>
      <c r="Q1440" s="33"/>
    </row>
    <row r="1441" spans="1:19" ht="13.8" hidden="1" thickBot="1" x14ac:dyDescent="0.3">
      <c r="A1441" t="s">
        <v>23</v>
      </c>
      <c r="B1441" s="49" t="str">
        <f t="shared" ref="B1441" si="1027">B1440</f>
        <v>hide</v>
      </c>
      <c r="D1441" s="58"/>
      <c r="E1441" s="58"/>
      <c r="F1441" s="52">
        <f>SUM(F1436:F1440)</f>
        <v>0</v>
      </c>
      <c r="G1441" s="52">
        <f>SUM(G1436:G1440)</f>
        <v>0</v>
      </c>
      <c r="H1441" s="52">
        <f>SUM(H1436:H1440)</f>
        <v>0</v>
      </c>
      <c r="I1441" s="52">
        <f>SUM(I1436:I1440)</f>
        <v>0</v>
      </c>
      <c r="J1441" s="52">
        <f>SUM(J1436:J1440)</f>
        <v>0</v>
      </c>
      <c r="K1441" s="52"/>
      <c r="L1441" s="51" t="s">
        <v>4</v>
      </c>
      <c r="M1441" s="58"/>
      <c r="N1441" s="58"/>
      <c r="O1441" s="58"/>
      <c r="P1441" s="58"/>
      <c r="Q1441" s="58"/>
      <c r="R1441" s="58"/>
      <c r="S1441" s="58"/>
    </row>
    <row r="1442" spans="1:19" s="59" customFormat="1" ht="18.75" customHeight="1" thickBot="1" x14ac:dyDescent="0.3">
      <c r="A1442" s="59" t="s">
        <v>23</v>
      </c>
      <c r="B1442" s="60" t="str">
        <f t="shared" ref="B1442:B1443" si="1028">IF(K1442=0,"hide","")</f>
        <v/>
      </c>
      <c r="D1442" s="61" t="str">
        <f>"16869"</f>
        <v>16869</v>
      </c>
      <c r="E1442" s="62" t="str">
        <f>"2"</f>
        <v>2</v>
      </c>
      <c r="F1442" s="63">
        <v>2.9166666666666665</v>
      </c>
      <c r="G1442" s="63">
        <v>108.33333333333333</v>
      </c>
      <c r="H1442" s="63">
        <v>313.16666666666669</v>
      </c>
      <c r="I1442" s="63">
        <v>134.75</v>
      </c>
      <c r="J1442" s="63">
        <v>66.624337349397592</v>
      </c>
      <c r="K1442" s="63">
        <f>AVERAGE(I1442:J1442)</f>
        <v>100.6871686746988</v>
      </c>
      <c r="L1442" s="64" t="str">
        <f>"WG STRAWBERRY MUFFIN"</f>
        <v>WG STRAWBERRY MUFFIN</v>
      </c>
      <c r="M1442" s="65" t="str">
        <f>"105-2 oz. I.W. (National)"</f>
        <v>105-2 oz. I.W. (National)</v>
      </c>
      <c r="N1442" s="66">
        <v>104.99999999999999</v>
      </c>
      <c r="O1442" s="67" t="str">
        <f>""</f>
        <v/>
      </c>
      <c r="P1442" s="68" t="e">
        <f>1/O1442</f>
        <v>#VALUE!</v>
      </c>
      <c r="Q1442" s="53">
        <v>1</v>
      </c>
      <c r="R1442" s="69">
        <f t="shared" ref="R1442" si="1029">1/Q1442</f>
        <v>1</v>
      </c>
      <c r="S1442" s="70">
        <f t="shared" ref="S1442" si="1030">R1442*N1442</f>
        <v>104.99999999999999</v>
      </c>
    </row>
    <row r="1443" spans="1:19" ht="15.6" hidden="1" customHeight="1" thickBot="1" x14ac:dyDescent="0.3">
      <c r="A1443" t="s">
        <v>23</v>
      </c>
      <c r="B1443" s="60" t="str">
        <f t="shared" si="1028"/>
        <v>hide</v>
      </c>
      <c r="D1443" s="48" t="str">
        <f>D1442</f>
        <v>16869</v>
      </c>
      <c r="E1443" s="7"/>
      <c r="F1443" s="27">
        <v>0</v>
      </c>
      <c r="G1443" s="27">
        <v>0</v>
      </c>
      <c r="H1443" s="27">
        <v>0</v>
      </c>
      <c r="I1443" s="27">
        <v>0</v>
      </c>
      <c r="J1443" s="27">
        <v>0</v>
      </c>
      <c r="K1443" s="63">
        <f>AVERAGE(I1443:J1443)</f>
        <v>0</v>
      </c>
      <c r="L1443" s="56" t="str">
        <f>"EQP-LAWPACK1"</f>
        <v>EQP-LAWPACK1</v>
      </c>
      <c r="M1443" s="14"/>
      <c r="N1443" s="15"/>
      <c r="O1443" s="12"/>
      <c r="P1443" s="34"/>
      <c r="Q1443" s="37"/>
      <c r="R1443" s="47"/>
      <c r="S1443" s="46"/>
    </row>
    <row r="1444" spans="1:19" ht="15.6" hidden="1" customHeight="1" thickBot="1" x14ac:dyDescent="0.3">
      <c r="A1444" t="s">
        <v>23</v>
      </c>
      <c r="B1444" s="60" t="str">
        <f t="shared" ref="B1444:B1446" si="1031">IF(K1444=0,"hide","")</f>
        <v>hide</v>
      </c>
      <c r="D1444" s="48" t="str">
        <f>D1443</f>
        <v>16869</v>
      </c>
      <c r="E1444" s="7"/>
      <c r="F1444" s="27">
        <v>0</v>
      </c>
      <c r="G1444" s="27">
        <v>0</v>
      </c>
      <c r="H1444" s="27">
        <v>0</v>
      </c>
      <c r="I1444" s="27">
        <v>0</v>
      </c>
      <c r="J1444" s="27">
        <v>0</v>
      </c>
      <c r="K1444" s="63">
        <f>AVERAGE(I1444:J1444)</f>
        <v>0</v>
      </c>
      <c r="L1444" s="56" t="str">
        <f>"EQP-LAWPACK2"</f>
        <v>EQP-LAWPACK2</v>
      </c>
      <c r="M1444" s="14"/>
      <c r="N1444" s="15"/>
      <c r="O1444" s="12"/>
      <c r="P1444" s="34"/>
      <c r="Q1444" s="37"/>
      <c r="R1444" s="47"/>
      <c r="S1444" s="46"/>
    </row>
    <row r="1445" spans="1:19" ht="15.6" hidden="1" customHeight="1" thickBot="1" x14ac:dyDescent="0.3">
      <c r="A1445" t="s">
        <v>23</v>
      </c>
      <c r="B1445" s="60" t="str">
        <f t="shared" si="1031"/>
        <v>hide</v>
      </c>
      <c r="D1445" s="48" t="str">
        <f>D1444</f>
        <v>16869</v>
      </c>
      <c r="E1445" s="7"/>
      <c r="F1445" s="27">
        <v>0</v>
      </c>
      <c r="G1445" s="27">
        <v>0</v>
      </c>
      <c r="H1445" s="27">
        <v>0</v>
      </c>
      <c r="I1445" s="27">
        <v>0</v>
      </c>
      <c r="J1445" s="27">
        <v>0</v>
      </c>
      <c r="K1445" s="63">
        <f>AVERAGE(I1445:J1445)</f>
        <v>0</v>
      </c>
      <c r="L1445" s="56" t="str">
        <f>"SW-COMAS-PACKL"</f>
        <v>SW-COMAS-PACKL</v>
      </c>
      <c r="M1445" s="14"/>
      <c r="N1445" s="15"/>
      <c r="O1445" s="12"/>
      <c r="P1445" s="34"/>
      <c r="Q1445" s="37"/>
      <c r="R1445" s="47"/>
      <c r="S1445" s="46"/>
    </row>
    <row r="1446" spans="1:19" ht="15.6" hidden="1" customHeight="1" thickBot="1" x14ac:dyDescent="0.3">
      <c r="A1446" t="s">
        <v>23</v>
      </c>
      <c r="B1446" s="60" t="str">
        <f t="shared" si="1031"/>
        <v>hide</v>
      </c>
      <c r="D1446" s="48" t="str">
        <f>D1445</f>
        <v>16869</v>
      </c>
      <c r="E1446" s="7"/>
      <c r="F1446" s="27">
        <v>0</v>
      </c>
      <c r="G1446" s="27">
        <v>0</v>
      </c>
      <c r="H1446" s="27">
        <v>0</v>
      </c>
      <c r="I1446" s="27">
        <v>0</v>
      </c>
      <c r="J1446" s="27">
        <v>0</v>
      </c>
      <c r="K1446" s="63">
        <f>AVERAGE(I1446:J1446)</f>
        <v>0</v>
      </c>
      <c r="L1446" s="56" t="str">
        <f>"SW-RISER-PACK"</f>
        <v>SW-RISER-PACK</v>
      </c>
      <c r="M1446" s="14"/>
      <c r="N1446" s="15"/>
      <c r="O1446" s="12"/>
      <c r="P1446" s="34"/>
      <c r="Q1446" s="37"/>
      <c r="R1446" s="47"/>
      <c r="S1446" s="46"/>
    </row>
    <row r="1447" spans="1:19" ht="12" hidden="1" customHeight="1" x14ac:dyDescent="0.3">
      <c r="A1447" s="35" t="s">
        <v>908</v>
      </c>
      <c r="B1447" s="49" t="str">
        <f>B1443</f>
        <v>hide</v>
      </c>
      <c r="N1447"/>
      <c r="Q1447" s="33"/>
    </row>
    <row r="1448" spans="1:19" ht="13.8" hidden="1" thickBot="1" x14ac:dyDescent="0.3">
      <c r="A1448" t="s">
        <v>23</v>
      </c>
      <c r="B1448" s="49" t="str">
        <f t="shared" ref="B1448" si="1032">B1447</f>
        <v>hide</v>
      </c>
      <c r="D1448" s="58"/>
      <c r="E1448" s="58"/>
      <c r="F1448" s="52">
        <f>SUM(F1443:F1447)</f>
        <v>0</v>
      </c>
      <c r="G1448" s="52">
        <f>SUM(G1443:G1447)</f>
        <v>0</v>
      </c>
      <c r="H1448" s="52">
        <f>SUM(H1443:H1447)</f>
        <v>0</v>
      </c>
      <c r="I1448" s="52">
        <f>SUM(I1443:I1447)</f>
        <v>0</v>
      </c>
      <c r="J1448" s="52">
        <f>SUM(J1443:J1447)</f>
        <v>0</v>
      </c>
      <c r="K1448" s="52"/>
      <c r="L1448" s="51" t="s">
        <v>4</v>
      </c>
      <c r="M1448" s="58"/>
      <c r="N1448" s="58"/>
      <c r="O1448" s="58"/>
      <c r="P1448" s="58"/>
      <c r="Q1448" s="58"/>
      <c r="R1448" s="58"/>
      <c r="S1448" s="58"/>
    </row>
    <row r="1449" spans="1:19" s="59" customFormat="1" ht="18.75" customHeight="1" thickBot="1" x14ac:dyDescent="0.3">
      <c r="A1449" s="59" t="s">
        <v>23</v>
      </c>
      <c r="B1449" s="60" t="str">
        <f t="shared" ref="B1449:B1450" si="1033">IF(K1449=0,"hide","")</f>
        <v/>
      </c>
      <c r="D1449" s="61" t="str">
        <f>"16870"</f>
        <v>16870</v>
      </c>
      <c r="E1449" s="62" t="str">
        <f>"3"</f>
        <v>3</v>
      </c>
      <c r="F1449" s="63">
        <v>0</v>
      </c>
      <c r="G1449" s="63">
        <v>150.08333333333334</v>
      </c>
      <c r="H1449" s="63">
        <v>162</v>
      </c>
      <c r="I1449" s="63">
        <v>64.666666666666657</v>
      </c>
      <c r="J1449" s="63">
        <v>7.9785542168674697</v>
      </c>
      <c r="K1449" s="63">
        <f>AVERAGE(I1449:J1449)</f>
        <v>36.322610441767061</v>
      </c>
      <c r="L1449" s="64" t="str">
        <f>"WG Chocolate Chip MUFFIN"</f>
        <v>WG Chocolate Chip MUFFIN</v>
      </c>
      <c r="M1449" s="65" t="str">
        <f>"105-2 oz. I.W. (National)"</f>
        <v>105-2 oz. I.W. (National)</v>
      </c>
      <c r="N1449" s="66">
        <v>104.99999999999999</v>
      </c>
      <c r="O1449" s="67" t="str">
        <f>""</f>
        <v/>
      </c>
      <c r="P1449" s="68" t="e">
        <f>1/O1449</f>
        <v>#VALUE!</v>
      </c>
      <c r="Q1449" s="53">
        <v>1</v>
      </c>
      <c r="R1449" s="69">
        <f t="shared" ref="R1449" si="1034">1/Q1449</f>
        <v>1</v>
      </c>
      <c r="S1449" s="70">
        <f t="shared" ref="S1449" si="1035">R1449*N1449</f>
        <v>104.99999999999999</v>
      </c>
    </row>
    <row r="1450" spans="1:19" ht="15.6" hidden="1" customHeight="1" thickBot="1" x14ac:dyDescent="0.3">
      <c r="A1450" t="s">
        <v>23</v>
      </c>
      <c r="B1450" s="60" t="str">
        <f t="shared" si="1033"/>
        <v>hide</v>
      </c>
      <c r="D1450" s="48" t="str">
        <f>D1449</f>
        <v>16870</v>
      </c>
      <c r="E1450" s="7"/>
      <c r="F1450" s="27">
        <v>0</v>
      </c>
      <c r="G1450" s="27">
        <v>0</v>
      </c>
      <c r="H1450" s="27">
        <v>0</v>
      </c>
      <c r="I1450" s="27">
        <v>0</v>
      </c>
      <c r="J1450" s="27">
        <v>0</v>
      </c>
      <c r="K1450" s="63">
        <f>AVERAGE(I1450:J1450)</f>
        <v>0</v>
      </c>
      <c r="L1450" s="56" t="str">
        <f>"EQP-LAWPACK1"</f>
        <v>EQP-LAWPACK1</v>
      </c>
      <c r="M1450" s="14"/>
      <c r="N1450" s="15"/>
      <c r="O1450" s="12"/>
      <c r="P1450" s="34"/>
      <c r="Q1450" s="37"/>
      <c r="R1450" s="47"/>
      <c r="S1450" s="46"/>
    </row>
    <row r="1451" spans="1:19" ht="15.6" hidden="1" customHeight="1" thickBot="1" x14ac:dyDescent="0.3">
      <c r="A1451" t="s">
        <v>23</v>
      </c>
      <c r="B1451" s="60" t="str">
        <f t="shared" ref="B1451:B1453" si="1036">IF(K1451=0,"hide","")</f>
        <v>hide</v>
      </c>
      <c r="D1451" s="48" t="str">
        <f>D1450</f>
        <v>16870</v>
      </c>
      <c r="E1451" s="7"/>
      <c r="F1451" s="27">
        <v>0</v>
      </c>
      <c r="G1451" s="27">
        <v>0</v>
      </c>
      <c r="H1451" s="27">
        <v>0</v>
      </c>
      <c r="I1451" s="27">
        <v>0</v>
      </c>
      <c r="J1451" s="27">
        <v>0</v>
      </c>
      <c r="K1451" s="63">
        <f>AVERAGE(I1451:J1451)</f>
        <v>0</v>
      </c>
      <c r="L1451" s="56" t="str">
        <f>"EQP-LAWPACK2"</f>
        <v>EQP-LAWPACK2</v>
      </c>
      <c r="M1451" s="14"/>
      <c r="N1451" s="15"/>
      <c r="O1451" s="12"/>
      <c r="P1451" s="34"/>
      <c r="Q1451" s="37"/>
      <c r="R1451" s="47"/>
      <c r="S1451" s="46"/>
    </row>
    <row r="1452" spans="1:19" ht="15.6" hidden="1" customHeight="1" thickBot="1" x14ac:dyDescent="0.3">
      <c r="A1452" t="s">
        <v>23</v>
      </c>
      <c r="B1452" s="60" t="str">
        <f t="shared" si="1036"/>
        <v>hide</v>
      </c>
      <c r="D1452" s="48" t="str">
        <f>D1451</f>
        <v>16870</v>
      </c>
      <c r="E1452" s="7"/>
      <c r="F1452" s="27">
        <v>0</v>
      </c>
      <c r="G1452" s="27">
        <v>0</v>
      </c>
      <c r="H1452" s="27">
        <v>0</v>
      </c>
      <c r="I1452" s="27">
        <v>0</v>
      </c>
      <c r="J1452" s="27">
        <v>0</v>
      </c>
      <c r="K1452" s="63">
        <f>AVERAGE(I1452:J1452)</f>
        <v>0</v>
      </c>
      <c r="L1452" s="56" t="str">
        <f>"SW-COMAS-PACKL"</f>
        <v>SW-COMAS-PACKL</v>
      </c>
      <c r="M1452" s="14"/>
      <c r="N1452" s="15"/>
      <c r="O1452" s="12"/>
      <c r="P1452" s="34"/>
      <c r="Q1452" s="37"/>
      <c r="R1452" s="47"/>
      <c r="S1452" s="46"/>
    </row>
    <row r="1453" spans="1:19" ht="15.6" hidden="1" customHeight="1" thickBot="1" x14ac:dyDescent="0.3">
      <c r="A1453" t="s">
        <v>23</v>
      </c>
      <c r="B1453" s="60" t="str">
        <f t="shared" si="1036"/>
        <v>hide</v>
      </c>
      <c r="D1453" s="48" t="str">
        <f>D1452</f>
        <v>16870</v>
      </c>
      <c r="E1453" s="7"/>
      <c r="F1453" s="27">
        <v>0</v>
      </c>
      <c r="G1453" s="27">
        <v>0</v>
      </c>
      <c r="H1453" s="27">
        <v>0</v>
      </c>
      <c r="I1453" s="27">
        <v>0</v>
      </c>
      <c r="J1453" s="27">
        <v>0</v>
      </c>
      <c r="K1453" s="63">
        <f>AVERAGE(I1453:J1453)</f>
        <v>0</v>
      </c>
      <c r="L1453" s="56" t="str">
        <f>"SW-RISER-PACK"</f>
        <v>SW-RISER-PACK</v>
      </c>
      <c r="M1453" s="14"/>
      <c r="N1453" s="15"/>
      <c r="O1453" s="12"/>
      <c r="P1453" s="34"/>
      <c r="Q1453" s="37"/>
      <c r="R1453" s="47"/>
      <c r="S1453" s="46"/>
    </row>
    <row r="1454" spans="1:19" ht="12" hidden="1" customHeight="1" x14ac:dyDescent="0.3">
      <c r="A1454" s="35" t="s">
        <v>908</v>
      </c>
      <c r="B1454" s="49" t="str">
        <f>B1450</f>
        <v>hide</v>
      </c>
      <c r="N1454"/>
      <c r="Q1454" s="33"/>
    </row>
    <row r="1455" spans="1:19" ht="13.8" hidden="1" thickBot="1" x14ac:dyDescent="0.3">
      <c r="A1455" t="s">
        <v>23</v>
      </c>
      <c r="B1455" s="49" t="str">
        <f t="shared" ref="B1455" si="1037">B1454</f>
        <v>hide</v>
      </c>
      <c r="D1455" s="58"/>
      <c r="E1455" s="58"/>
      <c r="F1455" s="52">
        <f>SUM(F1450:F1454)</f>
        <v>0</v>
      </c>
      <c r="G1455" s="52">
        <f>SUM(G1450:G1454)</f>
        <v>0</v>
      </c>
      <c r="H1455" s="52">
        <f>SUM(H1450:H1454)</f>
        <v>0</v>
      </c>
      <c r="I1455" s="52">
        <f>SUM(I1450:I1454)</f>
        <v>0</v>
      </c>
      <c r="J1455" s="52">
        <f>SUM(J1450:J1454)</f>
        <v>0</v>
      </c>
      <c r="K1455" s="52"/>
      <c r="L1455" s="51" t="s">
        <v>4</v>
      </c>
      <c r="M1455" s="58"/>
      <c r="N1455" s="58"/>
      <c r="O1455" s="58"/>
      <c r="P1455" s="58"/>
      <c r="Q1455" s="58"/>
      <c r="R1455" s="58"/>
      <c r="S1455" s="58"/>
    </row>
    <row r="1456" spans="1:19" s="59" customFormat="1" ht="18.75" hidden="1" customHeight="1" thickBot="1" x14ac:dyDescent="0.3">
      <c r="A1456" s="59" t="s">
        <v>23</v>
      </c>
      <c r="B1456" s="60" t="str">
        <f t="shared" ref="B1456:B1457" si="1038">IF(K1456=0,"hide","")</f>
        <v>hide</v>
      </c>
      <c r="D1456" s="61" t="str">
        <f>"16873"</f>
        <v>16873</v>
      </c>
      <c r="E1456" s="62" t="str">
        <f>"2"</f>
        <v>2</v>
      </c>
      <c r="F1456" s="63">
        <v>0</v>
      </c>
      <c r="G1456" s="63">
        <v>0</v>
      </c>
      <c r="H1456" s="63">
        <v>0</v>
      </c>
      <c r="I1456" s="63">
        <v>0</v>
      </c>
      <c r="J1456" s="63">
        <v>0</v>
      </c>
      <c r="K1456" s="63">
        <f>AVERAGE(I1456:J1456)</f>
        <v>0</v>
      </c>
      <c r="L1456" s="64" t="str">
        <f>"WG CHOC CHOC CHIP MUFFIN"</f>
        <v>WG CHOC CHOC CHIP MUFFIN</v>
      </c>
      <c r="M1456" s="65" t="str">
        <f>"105-2 oz. I.W. (National)"</f>
        <v>105-2 oz. I.W. (National)</v>
      </c>
      <c r="N1456" s="66">
        <v>104.99999999999999</v>
      </c>
      <c r="O1456" s="67" t="str">
        <f>""</f>
        <v/>
      </c>
      <c r="P1456" s="68" t="e">
        <f>1/O1456</f>
        <v>#VALUE!</v>
      </c>
      <c r="Q1456" s="53">
        <v>1</v>
      </c>
      <c r="R1456" s="69">
        <f t="shared" ref="R1456" si="1039">1/Q1456</f>
        <v>1</v>
      </c>
      <c r="S1456" s="70">
        <f t="shared" ref="S1456" si="1040">R1456*N1456</f>
        <v>104.99999999999999</v>
      </c>
    </row>
    <row r="1457" spans="1:19" ht="15.6" hidden="1" customHeight="1" thickBot="1" x14ac:dyDescent="0.3">
      <c r="A1457" t="s">
        <v>23</v>
      </c>
      <c r="B1457" s="60" t="str">
        <f t="shared" si="1038"/>
        <v>hide</v>
      </c>
      <c r="D1457" s="48" t="str">
        <f>D1456</f>
        <v>16873</v>
      </c>
      <c r="E1457" s="7"/>
      <c r="F1457" s="27">
        <v>0</v>
      </c>
      <c r="G1457" s="27">
        <v>0</v>
      </c>
      <c r="H1457" s="27">
        <v>0</v>
      </c>
      <c r="I1457" s="27">
        <v>0</v>
      </c>
      <c r="J1457" s="27">
        <v>0</v>
      </c>
      <c r="K1457" s="63">
        <f>AVERAGE(I1457:J1457)</f>
        <v>0</v>
      </c>
      <c r="L1457" s="56" t="str">
        <f>"EQP-LAWPACK1"</f>
        <v>EQP-LAWPACK1</v>
      </c>
      <c r="M1457" s="14"/>
      <c r="N1457" s="15"/>
      <c r="O1457" s="12"/>
      <c r="P1457" s="34"/>
      <c r="Q1457" s="37"/>
      <c r="R1457" s="47"/>
      <c r="S1457" s="46"/>
    </row>
    <row r="1458" spans="1:19" ht="15.6" hidden="1" customHeight="1" thickBot="1" x14ac:dyDescent="0.3">
      <c r="A1458" t="s">
        <v>23</v>
      </c>
      <c r="B1458" s="60" t="str">
        <f t="shared" ref="B1458:B1460" si="1041">IF(K1458=0,"hide","")</f>
        <v>hide</v>
      </c>
      <c r="D1458" s="48" t="str">
        <f>D1457</f>
        <v>16873</v>
      </c>
      <c r="E1458" s="7"/>
      <c r="F1458" s="27">
        <v>0</v>
      </c>
      <c r="G1458" s="27">
        <v>0</v>
      </c>
      <c r="H1458" s="27">
        <v>0</v>
      </c>
      <c r="I1458" s="27">
        <v>0</v>
      </c>
      <c r="J1458" s="27">
        <v>0</v>
      </c>
      <c r="K1458" s="63">
        <f>AVERAGE(I1458:J1458)</f>
        <v>0</v>
      </c>
      <c r="L1458" s="56" t="str">
        <f>"EQP-LAWPACK2"</f>
        <v>EQP-LAWPACK2</v>
      </c>
      <c r="M1458" s="14"/>
      <c r="N1458" s="15"/>
      <c r="O1458" s="12"/>
      <c r="P1458" s="34"/>
      <c r="Q1458" s="37"/>
      <c r="R1458" s="47"/>
      <c r="S1458" s="46"/>
    </row>
    <row r="1459" spans="1:19" ht="15.6" hidden="1" customHeight="1" thickBot="1" x14ac:dyDescent="0.3">
      <c r="A1459" t="s">
        <v>23</v>
      </c>
      <c r="B1459" s="60" t="str">
        <f t="shared" si="1041"/>
        <v>hide</v>
      </c>
      <c r="D1459" s="48" t="str">
        <f>D1458</f>
        <v>16873</v>
      </c>
      <c r="E1459" s="7"/>
      <c r="F1459" s="27">
        <v>0</v>
      </c>
      <c r="G1459" s="27">
        <v>0</v>
      </c>
      <c r="H1459" s="27">
        <v>0</v>
      </c>
      <c r="I1459" s="27">
        <v>0</v>
      </c>
      <c r="J1459" s="27">
        <v>0</v>
      </c>
      <c r="K1459" s="63">
        <f>AVERAGE(I1459:J1459)</f>
        <v>0</v>
      </c>
      <c r="L1459" s="56" t="str">
        <f>"SW-COMAS-PACKL"</f>
        <v>SW-COMAS-PACKL</v>
      </c>
      <c r="M1459" s="14"/>
      <c r="N1459" s="15"/>
      <c r="O1459" s="12"/>
      <c r="P1459" s="34"/>
      <c r="Q1459" s="37"/>
      <c r="R1459" s="47"/>
      <c r="S1459" s="46"/>
    </row>
    <row r="1460" spans="1:19" ht="15.6" hidden="1" customHeight="1" thickBot="1" x14ac:dyDescent="0.3">
      <c r="A1460" t="s">
        <v>23</v>
      </c>
      <c r="B1460" s="60" t="str">
        <f t="shared" si="1041"/>
        <v>hide</v>
      </c>
      <c r="D1460" s="48" t="str">
        <f>D1459</f>
        <v>16873</v>
      </c>
      <c r="E1460" s="7"/>
      <c r="F1460" s="27">
        <v>0</v>
      </c>
      <c r="G1460" s="27">
        <v>0</v>
      </c>
      <c r="H1460" s="27">
        <v>0</v>
      </c>
      <c r="I1460" s="27">
        <v>0</v>
      </c>
      <c r="J1460" s="27">
        <v>0</v>
      </c>
      <c r="K1460" s="63">
        <f>AVERAGE(I1460:J1460)</f>
        <v>0</v>
      </c>
      <c r="L1460" s="56" t="str">
        <f>"SW-RISER-PACK"</f>
        <v>SW-RISER-PACK</v>
      </c>
      <c r="M1460" s="14"/>
      <c r="N1460" s="15"/>
      <c r="O1460" s="12"/>
      <c r="P1460" s="34"/>
      <c r="Q1460" s="37"/>
      <c r="R1460" s="47"/>
      <c r="S1460" s="46"/>
    </row>
    <row r="1461" spans="1:19" ht="12" hidden="1" customHeight="1" x14ac:dyDescent="0.3">
      <c r="A1461" s="35" t="s">
        <v>908</v>
      </c>
      <c r="B1461" s="49" t="str">
        <f>B1457</f>
        <v>hide</v>
      </c>
      <c r="N1461"/>
      <c r="Q1461" s="33"/>
    </row>
    <row r="1462" spans="1:19" ht="13.8" hidden="1" thickBot="1" x14ac:dyDescent="0.3">
      <c r="A1462" t="s">
        <v>23</v>
      </c>
      <c r="B1462" s="49" t="str">
        <f t="shared" ref="B1462" si="1042">B1461</f>
        <v>hide</v>
      </c>
      <c r="D1462" s="58"/>
      <c r="E1462" s="58"/>
      <c r="F1462" s="52">
        <f>SUM(F1457:F1461)</f>
        <v>0</v>
      </c>
      <c r="G1462" s="52">
        <f>SUM(G1457:G1461)</f>
        <v>0</v>
      </c>
      <c r="H1462" s="52">
        <f>SUM(H1457:H1461)</f>
        <v>0</v>
      </c>
      <c r="I1462" s="52">
        <f>SUM(I1457:I1461)</f>
        <v>0</v>
      </c>
      <c r="J1462" s="52">
        <f>SUM(J1457:J1461)</f>
        <v>0</v>
      </c>
      <c r="K1462" s="52"/>
      <c r="L1462" s="51" t="s">
        <v>4</v>
      </c>
      <c r="M1462" s="58"/>
      <c r="N1462" s="58"/>
      <c r="O1462" s="58"/>
      <c r="P1462" s="58"/>
      <c r="Q1462" s="58"/>
      <c r="R1462" s="58"/>
      <c r="S1462" s="58"/>
    </row>
    <row r="1463" spans="1:19" s="59" customFormat="1" ht="18.75" customHeight="1" thickBot="1" x14ac:dyDescent="0.3">
      <c r="A1463" s="59" t="s">
        <v>23</v>
      </c>
      <c r="B1463" s="60" t="str">
        <f t="shared" ref="B1463:B1464" si="1043">IF(K1463=0,"hide","")</f>
        <v/>
      </c>
      <c r="D1463" s="61" t="str">
        <f>"16875"</f>
        <v>16875</v>
      </c>
      <c r="E1463" s="62" t="str">
        <f>"3"</f>
        <v>3</v>
      </c>
      <c r="F1463" s="63">
        <v>0</v>
      </c>
      <c r="G1463" s="63">
        <v>103.83333333333333</v>
      </c>
      <c r="H1463" s="63">
        <v>179.33333333333334</v>
      </c>
      <c r="I1463" s="63">
        <v>191.5</v>
      </c>
      <c r="J1463" s="63">
        <v>7.1602409638554212</v>
      </c>
      <c r="K1463" s="63">
        <f>AVERAGE(I1463:J1463)</f>
        <v>99.330120481927707</v>
      </c>
      <c r="L1463" s="64" t="str">
        <f>"WG BANANA MUFFIN"</f>
        <v>WG BANANA MUFFIN</v>
      </c>
      <c r="M1463" s="65" t="str">
        <f>"105-2 oz. I.W. (National)"</f>
        <v>105-2 oz. I.W. (National)</v>
      </c>
      <c r="N1463" s="66">
        <v>104.99999999999999</v>
      </c>
      <c r="O1463" s="67" t="str">
        <f>""</f>
        <v/>
      </c>
      <c r="P1463" s="68" t="e">
        <f>1/O1463</f>
        <v>#VALUE!</v>
      </c>
      <c r="Q1463" s="53">
        <v>1</v>
      </c>
      <c r="R1463" s="69">
        <f t="shared" ref="R1463" si="1044">1/Q1463</f>
        <v>1</v>
      </c>
      <c r="S1463" s="70">
        <f t="shared" ref="S1463" si="1045">R1463*N1463</f>
        <v>104.99999999999999</v>
      </c>
    </row>
    <row r="1464" spans="1:19" ht="15.6" hidden="1" customHeight="1" thickBot="1" x14ac:dyDescent="0.3">
      <c r="A1464" t="s">
        <v>23</v>
      </c>
      <c r="B1464" s="60" t="str">
        <f t="shared" si="1043"/>
        <v>hide</v>
      </c>
      <c r="D1464" s="48" t="str">
        <f>D1463</f>
        <v>16875</v>
      </c>
      <c r="E1464" s="7"/>
      <c r="F1464" s="27">
        <v>0</v>
      </c>
      <c r="G1464" s="27">
        <v>0</v>
      </c>
      <c r="H1464" s="27">
        <v>0</v>
      </c>
      <c r="I1464" s="27">
        <v>0</v>
      </c>
      <c r="J1464" s="27">
        <v>0</v>
      </c>
      <c r="K1464" s="63">
        <f>AVERAGE(I1464:J1464)</f>
        <v>0</v>
      </c>
      <c r="L1464" s="56" t="str">
        <f>"EQP-LAWPACK1"</f>
        <v>EQP-LAWPACK1</v>
      </c>
      <c r="M1464" s="14"/>
      <c r="N1464" s="15"/>
      <c r="O1464" s="12"/>
      <c r="P1464" s="34"/>
      <c r="Q1464" s="37"/>
      <c r="R1464" s="47"/>
      <c r="S1464" s="46"/>
    </row>
    <row r="1465" spans="1:19" ht="15.6" hidden="1" customHeight="1" thickBot="1" x14ac:dyDescent="0.3">
      <c r="A1465" t="s">
        <v>23</v>
      </c>
      <c r="B1465" s="60" t="str">
        <f t="shared" ref="B1465:B1467" si="1046">IF(K1465=0,"hide","")</f>
        <v>hide</v>
      </c>
      <c r="D1465" s="48" t="str">
        <f>D1464</f>
        <v>16875</v>
      </c>
      <c r="E1465" s="7"/>
      <c r="F1465" s="27">
        <v>0</v>
      </c>
      <c r="G1465" s="27">
        <v>0</v>
      </c>
      <c r="H1465" s="27">
        <v>0</v>
      </c>
      <c r="I1465" s="27">
        <v>0</v>
      </c>
      <c r="J1465" s="27">
        <v>0</v>
      </c>
      <c r="K1465" s="63">
        <f>AVERAGE(I1465:J1465)</f>
        <v>0</v>
      </c>
      <c r="L1465" s="56" t="str">
        <f>"EQP-LAWPACK2"</f>
        <v>EQP-LAWPACK2</v>
      </c>
      <c r="M1465" s="14"/>
      <c r="N1465" s="15"/>
      <c r="O1465" s="12"/>
      <c r="P1465" s="34"/>
      <c r="Q1465" s="37"/>
      <c r="R1465" s="47"/>
      <c r="S1465" s="46"/>
    </row>
    <row r="1466" spans="1:19" ht="15.6" hidden="1" customHeight="1" thickBot="1" x14ac:dyDescent="0.3">
      <c r="A1466" t="s">
        <v>23</v>
      </c>
      <c r="B1466" s="60" t="str">
        <f t="shared" si="1046"/>
        <v>hide</v>
      </c>
      <c r="D1466" s="48" t="str">
        <f>D1465</f>
        <v>16875</v>
      </c>
      <c r="E1466" s="7"/>
      <c r="F1466" s="27">
        <v>0</v>
      </c>
      <c r="G1466" s="27">
        <v>0</v>
      </c>
      <c r="H1466" s="27">
        <v>0</v>
      </c>
      <c r="I1466" s="27">
        <v>0</v>
      </c>
      <c r="J1466" s="27">
        <v>0</v>
      </c>
      <c r="K1466" s="63">
        <f>AVERAGE(I1466:J1466)</f>
        <v>0</v>
      </c>
      <c r="L1466" s="56" t="str">
        <f>"SW-COMAS-PACKL"</f>
        <v>SW-COMAS-PACKL</v>
      </c>
      <c r="M1466" s="14"/>
      <c r="N1466" s="15"/>
      <c r="O1466" s="12"/>
      <c r="P1466" s="34"/>
      <c r="Q1466" s="37"/>
      <c r="R1466" s="47"/>
      <c r="S1466" s="46"/>
    </row>
    <row r="1467" spans="1:19" ht="15.6" hidden="1" customHeight="1" thickBot="1" x14ac:dyDescent="0.3">
      <c r="A1467" t="s">
        <v>23</v>
      </c>
      <c r="B1467" s="60" t="str">
        <f t="shared" si="1046"/>
        <v>hide</v>
      </c>
      <c r="D1467" s="48" t="str">
        <f>D1466</f>
        <v>16875</v>
      </c>
      <c r="E1467" s="7"/>
      <c r="F1467" s="27">
        <v>0</v>
      </c>
      <c r="G1467" s="27">
        <v>0</v>
      </c>
      <c r="H1467" s="27">
        <v>0</v>
      </c>
      <c r="I1467" s="27">
        <v>0</v>
      </c>
      <c r="J1467" s="27">
        <v>0</v>
      </c>
      <c r="K1467" s="63">
        <f>AVERAGE(I1467:J1467)</f>
        <v>0</v>
      </c>
      <c r="L1467" s="56" t="str">
        <f>"SW-RISER-PACK"</f>
        <v>SW-RISER-PACK</v>
      </c>
      <c r="M1467" s="14"/>
      <c r="N1467" s="15"/>
      <c r="O1467" s="12"/>
      <c r="P1467" s="34"/>
      <c r="Q1467" s="37"/>
      <c r="R1467" s="47"/>
      <c r="S1467" s="46"/>
    </row>
    <row r="1468" spans="1:19" ht="12" hidden="1" customHeight="1" x14ac:dyDescent="0.3">
      <c r="A1468" s="35" t="s">
        <v>908</v>
      </c>
      <c r="B1468" s="49" t="str">
        <f>B1464</f>
        <v>hide</v>
      </c>
      <c r="N1468"/>
      <c r="Q1468" s="33"/>
    </row>
    <row r="1469" spans="1:19" ht="13.8" hidden="1" thickBot="1" x14ac:dyDescent="0.3">
      <c r="A1469" t="s">
        <v>23</v>
      </c>
      <c r="B1469" s="49" t="str">
        <f t="shared" ref="B1469" si="1047">B1468</f>
        <v>hide</v>
      </c>
      <c r="D1469" s="58"/>
      <c r="E1469" s="58"/>
      <c r="F1469" s="52">
        <f>SUM(F1464:F1468)</f>
        <v>0</v>
      </c>
      <c r="G1469" s="52">
        <f>SUM(G1464:G1468)</f>
        <v>0</v>
      </c>
      <c r="H1469" s="52">
        <f>SUM(H1464:H1468)</f>
        <v>0</v>
      </c>
      <c r="I1469" s="52">
        <f>SUM(I1464:I1468)</f>
        <v>0</v>
      </c>
      <c r="J1469" s="52">
        <f>SUM(J1464:J1468)</f>
        <v>0</v>
      </c>
      <c r="K1469" s="52"/>
      <c r="L1469" s="51" t="s">
        <v>4</v>
      </c>
      <c r="M1469" s="58"/>
      <c r="N1469" s="58"/>
      <c r="O1469" s="58"/>
      <c r="P1469" s="58"/>
      <c r="Q1469" s="58"/>
      <c r="R1469" s="58"/>
      <c r="S1469" s="58"/>
    </row>
    <row r="1470" spans="1:19" s="59" customFormat="1" ht="18.75" customHeight="1" thickBot="1" x14ac:dyDescent="0.3">
      <c r="A1470" s="59" t="s">
        <v>23</v>
      </c>
      <c r="B1470" s="60" t="str">
        <f t="shared" ref="B1470:B1471" si="1048">IF(K1470=0,"hide","")</f>
        <v/>
      </c>
      <c r="D1470" s="61" t="str">
        <f>"17005"</f>
        <v>17005</v>
      </c>
      <c r="E1470" s="62" t="str">
        <f>"5"</f>
        <v>5</v>
      </c>
      <c r="F1470" s="63">
        <v>1488.4166666666667</v>
      </c>
      <c r="G1470" s="63">
        <v>1278.6666666666667</v>
      </c>
      <c r="H1470" s="63">
        <v>1012.0833333333335</v>
      </c>
      <c r="I1470" s="63">
        <v>37.25</v>
      </c>
      <c r="J1470" s="63">
        <v>22.912771084337351</v>
      </c>
      <c r="K1470" s="63">
        <f>AVERAGE(I1470:J1470)</f>
        <v>30.081385542168675</v>
      </c>
      <c r="L1470" s="64" t="str">
        <f>"CORNBREAD LOAVES"</f>
        <v>CORNBREAD LOAVES</v>
      </c>
      <c r="M1470" s="65" t="str">
        <f>"140-2oz. 4-35 pk. #502"</f>
        <v>140-2oz. 4-35 pk. #502</v>
      </c>
      <c r="N1470" s="66">
        <v>140</v>
      </c>
      <c r="O1470" s="67" t="str">
        <f>""</f>
        <v/>
      </c>
      <c r="P1470" s="68" t="e">
        <f>1/O1470</f>
        <v>#VALUE!</v>
      </c>
      <c r="Q1470" s="53">
        <v>1</v>
      </c>
      <c r="R1470" s="69">
        <f t="shared" ref="R1470" si="1049">1/Q1470</f>
        <v>1</v>
      </c>
      <c r="S1470" s="70">
        <f t="shared" ref="S1470" si="1050">R1470*N1470</f>
        <v>140</v>
      </c>
    </row>
    <row r="1471" spans="1:19" ht="15.6" hidden="1" customHeight="1" thickBot="1" x14ac:dyDescent="0.3">
      <c r="A1471" t="s">
        <v>23</v>
      </c>
      <c r="B1471" s="60" t="str">
        <f t="shared" si="1048"/>
        <v>hide</v>
      </c>
      <c r="D1471" s="48" t="str">
        <f>D1470</f>
        <v>17005</v>
      </c>
      <c r="E1471" s="7"/>
      <c r="F1471" s="27">
        <v>0</v>
      </c>
      <c r="G1471" s="27">
        <v>0</v>
      </c>
      <c r="H1471" s="27">
        <v>0</v>
      </c>
      <c r="I1471" s="27">
        <v>0</v>
      </c>
      <c r="J1471" s="27">
        <v>0</v>
      </c>
      <c r="K1471" s="63">
        <f>AVERAGE(I1471:J1471)</f>
        <v>0</v>
      </c>
      <c r="L1471" s="56" t="str">
        <f>"EQP-LAWPACK1"</f>
        <v>EQP-LAWPACK1</v>
      </c>
      <c r="M1471" s="14"/>
      <c r="N1471" s="15"/>
      <c r="O1471" s="12"/>
      <c r="P1471" s="34"/>
      <c r="Q1471" s="37"/>
      <c r="R1471" s="47"/>
      <c r="S1471" s="46"/>
    </row>
    <row r="1472" spans="1:19" ht="15.6" hidden="1" customHeight="1" thickBot="1" x14ac:dyDescent="0.3">
      <c r="A1472" t="s">
        <v>23</v>
      </c>
      <c r="B1472" s="60" t="str">
        <f t="shared" ref="B1472:B1474" si="1051">IF(K1472=0,"hide","")</f>
        <v>hide</v>
      </c>
      <c r="D1472" s="48" t="str">
        <f>D1471</f>
        <v>17005</v>
      </c>
      <c r="E1472" s="7"/>
      <c r="F1472" s="27">
        <v>0</v>
      </c>
      <c r="G1472" s="27">
        <v>0</v>
      </c>
      <c r="H1472" s="27">
        <v>0</v>
      </c>
      <c r="I1472" s="27">
        <v>0</v>
      </c>
      <c r="J1472" s="27">
        <v>0</v>
      </c>
      <c r="K1472" s="63">
        <f>AVERAGE(I1472:J1472)</f>
        <v>0</v>
      </c>
      <c r="L1472" s="56" t="str">
        <f>"EQP-LAWPACK2"</f>
        <v>EQP-LAWPACK2</v>
      </c>
      <c r="M1472" s="14"/>
      <c r="N1472" s="15"/>
      <c r="O1472" s="12"/>
      <c r="P1472" s="34"/>
      <c r="Q1472" s="37"/>
      <c r="R1472" s="47"/>
      <c r="S1472" s="46"/>
    </row>
    <row r="1473" spans="1:19" ht="15.6" hidden="1" customHeight="1" thickBot="1" x14ac:dyDescent="0.3">
      <c r="A1473" t="s">
        <v>23</v>
      </c>
      <c r="B1473" s="60" t="str">
        <f t="shared" si="1051"/>
        <v>hide</v>
      </c>
      <c r="D1473" s="48" t="str">
        <f>D1472</f>
        <v>17005</v>
      </c>
      <c r="E1473" s="7"/>
      <c r="F1473" s="27">
        <v>0</v>
      </c>
      <c r="G1473" s="27">
        <v>0</v>
      </c>
      <c r="H1473" s="27">
        <v>0</v>
      </c>
      <c r="I1473" s="27">
        <v>0</v>
      </c>
      <c r="J1473" s="27">
        <v>0</v>
      </c>
      <c r="K1473" s="63">
        <f>AVERAGE(I1473:J1473)</f>
        <v>0</v>
      </c>
      <c r="L1473" s="56" t="str">
        <f>"SW-COMAS-PACKL"</f>
        <v>SW-COMAS-PACKL</v>
      </c>
      <c r="M1473" s="14"/>
      <c r="N1473" s="15"/>
      <c r="O1473" s="12"/>
      <c r="P1473" s="34"/>
      <c r="Q1473" s="37"/>
      <c r="R1473" s="47"/>
      <c r="S1473" s="46"/>
    </row>
    <row r="1474" spans="1:19" ht="15.6" hidden="1" customHeight="1" thickBot="1" x14ac:dyDescent="0.3">
      <c r="A1474" t="s">
        <v>23</v>
      </c>
      <c r="B1474" s="60" t="str">
        <f t="shared" si="1051"/>
        <v>hide</v>
      </c>
      <c r="D1474" s="48" t="str">
        <f>D1473</f>
        <v>17005</v>
      </c>
      <c r="E1474" s="7"/>
      <c r="F1474" s="27">
        <v>0</v>
      </c>
      <c r="G1474" s="27">
        <v>0</v>
      </c>
      <c r="H1474" s="27">
        <v>0</v>
      </c>
      <c r="I1474" s="27">
        <v>0</v>
      </c>
      <c r="J1474" s="27">
        <v>0</v>
      </c>
      <c r="K1474" s="63">
        <f>AVERAGE(I1474:J1474)</f>
        <v>0</v>
      </c>
      <c r="L1474" s="56" t="str">
        <f>"SW-RISER-PACK"</f>
        <v>SW-RISER-PACK</v>
      </c>
      <c r="M1474" s="14"/>
      <c r="N1474" s="15"/>
      <c r="O1474" s="12"/>
      <c r="P1474" s="34"/>
      <c r="Q1474" s="37"/>
      <c r="R1474" s="47"/>
      <c r="S1474" s="46"/>
    </row>
    <row r="1475" spans="1:19" ht="12" hidden="1" customHeight="1" x14ac:dyDescent="0.3">
      <c r="A1475" s="35" t="s">
        <v>908</v>
      </c>
      <c r="B1475" s="49" t="str">
        <f>B1471</f>
        <v>hide</v>
      </c>
      <c r="N1475"/>
      <c r="Q1475" s="33"/>
    </row>
    <row r="1476" spans="1:19" ht="13.8" hidden="1" thickBot="1" x14ac:dyDescent="0.3">
      <c r="A1476" t="s">
        <v>23</v>
      </c>
      <c r="B1476" s="49" t="str">
        <f t="shared" ref="B1476" si="1052">B1475</f>
        <v>hide</v>
      </c>
      <c r="D1476" s="58"/>
      <c r="E1476" s="58"/>
      <c r="F1476" s="52">
        <f>SUM(F1471:F1475)</f>
        <v>0</v>
      </c>
      <c r="G1476" s="52">
        <f>SUM(G1471:G1475)</f>
        <v>0</v>
      </c>
      <c r="H1476" s="52">
        <f>SUM(H1471:H1475)</f>
        <v>0</v>
      </c>
      <c r="I1476" s="52">
        <f>SUM(I1471:I1475)</f>
        <v>0</v>
      </c>
      <c r="J1476" s="52">
        <f>SUM(J1471:J1475)</f>
        <v>0</v>
      </c>
      <c r="K1476" s="52"/>
      <c r="L1476" s="51" t="s">
        <v>4</v>
      </c>
      <c r="M1476" s="58"/>
      <c r="N1476" s="58"/>
      <c r="O1476" s="58"/>
      <c r="P1476" s="58"/>
      <c r="Q1476" s="58"/>
      <c r="R1476" s="58"/>
      <c r="S1476" s="58"/>
    </row>
    <row r="1477" spans="1:19" s="59" customFormat="1" ht="18.75" hidden="1" customHeight="1" thickBot="1" x14ac:dyDescent="0.3">
      <c r="A1477" s="59" t="s">
        <v>23</v>
      </c>
      <c r="B1477" s="60" t="str">
        <f t="shared" ref="B1477:B1478" si="1053">IF(K1477=0,"hide","")</f>
        <v>hide</v>
      </c>
      <c r="D1477" s="61" t="str">
        <f>"17025"</f>
        <v>17025</v>
      </c>
      <c r="E1477" s="62" t="str">
        <f>"1"</f>
        <v>1</v>
      </c>
      <c r="F1477" s="63">
        <v>46.666666666666664</v>
      </c>
      <c r="G1477" s="63">
        <v>0</v>
      </c>
      <c r="H1477" s="63">
        <v>0</v>
      </c>
      <c r="I1477" s="63">
        <v>0</v>
      </c>
      <c r="J1477" s="63">
        <v>0</v>
      </c>
      <c r="K1477" s="63">
        <f>AVERAGE(I1477:J1477)</f>
        <v>0</v>
      </c>
      <c r="L1477" s="64" t="str">
        <f>"JALAPENO CORNBREAD LOAVES"</f>
        <v>JALAPENO CORNBREAD LOAVES</v>
      </c>
      <c r="M1477" s="65" t="str">
        <f>"140-2oz. 4-35 pk. "</f>
        <v xml:space="preserve">140-2oz. 4-35 pk. </v>
      </c>
      <c r="N1477" s="66">
        <v>140</v>
      </c>
      <c r="O1477" s="67" t="str">
        <f>""</f>
        <v/>
      </c>
      <c r="P1477" s="68" t="e">
        <f>1/O1477</f>
        <v>#VALUE!</v>
      </c>
      <c r="Q1477" s="53">
        <v>1</v>
      </c>
      <c r="R1477" s="69">
        <f t="shared" ref="R1477" si="1054">1/Q1477</f>
        <v>1</v>
      </c>
      <c r="S1477" s="70">
        <f t="shared" ref="S1477" si="1055">R1477*N1477</f>
        <v>140</v>
      </c>
    </row>
    <row r="1478" spans="1:19" ht="15.6" hidden="1" customHeight="1" thickBot="1" x14ac:dyDescent="0.3">
      <c r="A1478" t="s">
        <v>23</v>
      </c>
      <c r="B1478" s="60" t="str">
        <f t="shared" si="1053"/>
        <v>hide</v>
      </c>
      <c r="D1478" s="48" t="str">
        <f>D1477</f>
        <v>17025</v>
      </c>
      <c r="E1478" s="7"/>
      <c r="F1478" s="27">
        <v>0</v>
      </c>
      <c r="G1478" s="27">
        <v>0</v>
      </c>
      <c r="H1478" s="27">
        <v>0</v>
      </c>
      <c r="I1478" s="27">
        <v>0</v>
      </c>
      <c r="J1478" s="27">
        <v>0</v>
      </c>
      <c r="K1478" s="63">
        <f>AVERAGE(I1478:J1478)</f>
        <v>0</v>
      </c>
      <c r="L1478" s="56" t="str">
        <f>"EQP-LAWPACK1"</f>
        <v>EQP-LAWPACK1</v>
      </c>
      <c r="M1478" s="14"/>
      <c r="N1478" s="15"/>
      <c r="O1478" s="12"/>
      <c r="P1478" s="34"/>
      <c r="Q1478" s="37"/>
      <c r="R1478" s="47"/>
      <c r="S1478" s="46"/>
    </row>
    <row r="1479" spans="1:19" ht="15.6" hidden="1" customHeight="1" thickBot="1" x14ac:dyDescent="0.3">
      <c r="A1479" t="s">
        <v>23</v>
      </c>
      <c r="B1479" s="60" t="str">
        <f t="shared" ref="B1479:B1481" si="1056">IF(K1479=0,"hide","")</f>
        <v>hide</v>
      </c>
      <c r="D1479" s="48" t="str">
        <f>D1478</f>
        <v>17025</v>
      </c>
      <c r="E1479" s="7"/>
      <c r="F1479" s="27">
        <v>0</v>
      </c>
      <c r="G1479" s="27">
        <v>0</v>
      </c>
      <c r="H1479" s="27">
        <v>0</v>
      </c>
      <c r="I1479" s="27">
        <v>0</v>
      </c>
      <c r="J1479" s="27">
        <v>0</v>
      </c>
      <c r="K1479" s="63">
        <f>AVERAGE(I1479:J1479)</f>
        <v>0</v>
      </c>
      <c r="L1479" s="56" t="str">
        <f>"EQP-LAWPACK2"</f>
        <v>EQP-LAWPACK2</v>
      </c>
      <c r="M1479" s="14"/>
      <c r="N1479" s="15"/>
      <c r="O1479" s="12"/>
      <c r="P1479" s="34"/>
      <c r="Q1479" s="37"/>
      <c r="R1479" s="47"/>
      <c r="S1479" s="46"/>
    </row>
    <row r="1480" spans="1:19" ht="15.6" hidden="1" customHeight="1" thickBot="1" x14ac:dyDescent="0.3">
      <c r="A1480" t="s">
        <v>23</v>
      </c>
      <c r="B1480" s="60" t="str">
        <f t="shared" si="1056"/>
        <v>hide</v>
      </c>
      <c r="D1480" s="48" t="str">
        <f>D1479</f>
        <v>17025</v>
      </c>
      <c r="E1480" s="7"/>
      <c r="F1480" s="27">
        <v>0</v>
      </c>
      <c r="G1480" s="27">
        <v>0</v>
      </c>
      <c r="H1480" s="27">
        <v>0</v>
      </c>
      <c r="I1480" s="27">
        <v>0</v>
      </c>
      <c r="J1480" s="27">
        <v>0</v>
      </c>
      <c r="K1480" s="63">
        <f>AVERAGE(I1480:J1480)</f>
        <v>0</v>
      </c>
      <c r="L1480" s="56" t="str">
        <f>"SW-COMAS-PACKL"</f>
        <v>SW-COMAS-PACKL</v>
      </c>
      <c r="M1480" s="14"/>
      <c r="N1480" s="15"/>
      <c r="O1480" s="12"/>
      <c r="P1480" s="34"/>
      <c r="Q1480" s="37"/>
      <c r="R1480" s="47"/>
      <c r="S1480" s="46"/>
    </row>
    <row r="1481" spans="1:19" ht="15.6" hidden="1" customHeight="1" thickBot="1" x14ac:dyDescent="0.3">
      <c r="A1481" t="s">
        <v>23</v>
      </c>
      <c r="B1481" s="60" t="str">
        <f t="shared" si="1056"/>
        <v>hide</v>
      </c>
      <c r="D1481" s="48" t="str">
        <f>D1480</f>
        <v>17025</v>
      </c>
      <c r="E1481" s="7"/>
      <c r="F1481" s="27">
        <v>0</v>
      </c>
      <c r="G1481" s="27">
        <v>0</v>
      </c>
      <c r="H1481" s="27">
        <v>0</v>
      </c>
      <c r="I1481" s="27">
        <v>0</v>
      </c>
      <c r="J1481" s="27">
        <v>0</v>
      </c>
      <c r="K1481" s="63">
        <f>AVERAGE(I1481:J1481)</f>
        <v>0</v>
      </c>
      <c r="L1481" s="56" t="str">
        <f>"SW-RISER-PACK"</f>
        <v>SW-RISER-PACK</v>
      </c>
      <c r="M1481" s="14"/>
      <c r="N1481" s="15"/>
      <c r="O1481" s="12"/>
      <c r="P1481" s="34"/>
      <c r="Q1481" s="37"/>
      <c r="R1481" s="47"/>
      <c r="S1481" s="46"/>
    </row>
    <row r="1482" spans="1:19" ht="12" hidden="1" customHeight="1" x14ac:dyDescent="0.3">
      <c r="A1482" s="35" t="s">
        <v>908</v>
      </c>
      <c r="B1482" s="49" t="str">
        <f>B1478</f>
        <v>hide</v>
      </c>
      <c r="N1482"/>
      <c r="Q1482" s="33"/>
    </row>
    <row r="1483" spans="1:19" ht="13.8" hidden="1" thickBot="1" x14ac:dyDescent="0.3">
      <c r="A1483" t="s">
        <v>23</v>
      </c>
      <c r="B1483" s="49" t="str">
        <f t="shared" ref="B1483" si="1057">B1482</f>
        <v>hide</v>
      </c>
      <c r="D1483" s="58"/>
      <c r="E1483" s="58"/>
      <c r="F1483" s="52">
        <f>SUM(F1478:F1482)</f>
        <v>0</v>
      </c>
      <c r="G1483" s="52">
        <f>SUM(G1478:G1482)</f>
        <v>0</v>
      </c>
      <c r="H1483" s="52">
        <f>SUM(H1478:H1482)</f>
        <v>0</v>
      </c>
      <c r="I1483" s="52">
        <f>SUM(I1478:I1482)</f>
        <v>0</v>
      </c>
      <c r="J1483" s="52">
        <f>SUM(J1478:J1482)</f>
        <v>0</v>
      </c>
      <c r="K1483" s="52"/>
      <c r="L1483" s="51" t="s">
        <v>4</v>
      </c>
      <c r="M1483" s="58"/>
      <c r="N1483" s="58"/>
      <c r="O1483" s="58"/>
      <c r="P1483" s="58"/>
      <c r="Q1483" s="58"/>
      <c r="R1483" s="58"/>
      <c r="S1483" s="58"/>
    </row>
    <row r="1484" spans="1:19" s="59" customFormat="1" ht="18.75" customHeight="1" thickBot="1" x14ac:dyDescent="0.3">
      <c r="A1484" s="59" t="s">
        <v>23</v>
      </c>
      <c r="B1484" s="60" t="str">
        <f t="shared" ref="B1484:B1485" si="1058">IF(K1484=0,"hide","")</f>
        <v/>
      </c>
      <c r="D1484" s="61" t="str">
        <f>"17405"</f>
        <v>17405</v>
      </c>
      <c r="E1484" s="62" t="str">
        <f>"15"</f>
        <v>15</v>
      </c>
      <c r="F1484" s="63">
        <v>502.41666666666669</v>
      </c>
      <c r="G1484" s="63">
        <v>232</v>
      </c>
      <c r="H1484" s="63">
        <v>307.91666666666669</v>
      </c>
      <c r="I1484" s="63">
        <v>304.91666666666663</v>
      </c>
      <c r="J1484" s="63">
        <v>608.82506024096392</v>
      </c>
      <c r="K1484" s="63">
        <f>AVERAGE(I1484:J1484)</f>
        <v>456.87086345381528</v>
      </c>
      <c r="L1484" s="64" t="str">
        <f>"CORNBREAD LOAVES"</f>
        <v>CORNBREAD LOAVES</v>
      </c>
      <c r="M1484" s="65" t="str">
        <f>"140-2oz. 4-35 pk."</f>
        <v>140-2oz. 4-35 pk.</v>
      </c>
      <c r="N1484" s="66">
        <v>140</v>
      </c>
      <c r="O1484" s="67" t="str">
        <f>""</f>
        <v/>
      </c>
      <c r="P1484" s="68" t="e">
        <f>1/O1484</f>
        <v>#VALUE!</v>
      </c>
      <c r="Q1484" s="53">
        <v>1</v>
      </c>
      <c r="R1484" s="69">
        <f t="shared" ref="R1484" si="1059">1/Q1484</f>
        <v>1</v>
      </c>
      <c r="S1484" s="70">
        <f t="shared" ref="S1484" si="1060">R1484*N1484</f>
        <v>140</v>
      </c>
    </row>
    <row r="1485" spans="1:19" ht="15.6" hidden="1" customHeight="1" thickBot="1" x14ac:dyDescent="0.3">
      <c r="A1485" t="s">
        <v>23</v>
      </c>
      <c r="B1485" s="60" t="str">
        <f t="shared" si="1058"/>
        <v>hide</v>
      </c>
      <c r="D1485" s="48" t="str">
        <f>D1484</f>
        <v>17405</v>
      </c>
      <c r="E1485" s="7"/>
      <c r="F1485" s="27">
        <v>0</v>
      </c>
      <c r="G1485" s="27">
        <v>0</v>
      </c>
      <c r="H1485" s="27">
        <v>0</v>
      </c>
      <c r="I1485" s="27">
        <v>0</v>
      </c>
      <c r="J1485" s="27">
        <v>0</v>
      </c>
      <c r="K1485" s="63">
        <f>AVERAGE(I1485:J1485)</f>
        <v>0</v>
      </c>
      <c r="L1485" s="56" t="str">
        <f>"EQP-LAWPACK1"</f>
        <v>EQP-LAWPACK1</v>
      </c>
      <c r="M1485" s="14"/>
      <c r="N1485" s="15"/>
      <c r="O1485" s="12"/>
      <c r="P1485" s="34"/>
      <c r="Q1485" s="37"/>
      <c r="R1485" s="47"/>
      <c r="S1485" s="46"/>
    </row>
    <row r="1486" spans="1:19" ht="15.6" hidden="1" customHeight="1" thickBot="1" x14ac:dyDescent="0.3">
      <c r="A1486" t="s">
        <v>23</v>
      </c>
      <c r="B1486" s="60" t="str">
        <f t="shared" ref="B1486:B1488" si="1061">IF(K1486=0,"hide","")</f>
        <v>hide</v>
      </c>
      <c r="D1486" s="48" t="str">
        <f>D1485</f>
        <v>17405</v>
      </c>
      <c r="E1486" s="7"/>
      <c r="F1486" s="27">
        <v>0</v>
      </c>
      <c r="G1486" s="27">
        <v>0</v>
      </c>
      <c r="H1486" s="27">
        <v>0</v>
      </c>
      <c r="I1486" s="27">
        <v>0</v>
      </c>
      <c r="J1486" s="27">
        <v>0</v>
      </c>
      <c r="K1486" s="63">
        <f>AVERAGE(I1486:J1486)</f>
        <v>0</v>
      </c>
      <c r="L1486" s="56" t="str">
        <f>"EQP-LAWPACK2"</f>
        <v>EQP-LAWPACK2</v>
      </c>
      <c r="M1486" s="14"/>
      <c r="N1486" s="15"/>
      <c r="O1486" s="12"/>
      <c r="P1486" s="34"/>
      <c r="Q1486" s="37"/>
      <c r="R1486" s="47"/>
      <c r="S1486" s="46"/>
    </row>
    <row r="1487" spans="1:19" ht="15.6" hidden="1" customHeight="1" thickBot="1" x14ac:dyDescent="0.3">
      <c r="A1487" t="s">
        <v>23</v>
      </c>
      <c r="B1487" s="60" t="str">
        <f t="shared" si="1061"/>
        <v>hide</v>
      </c>
      <c r="D1487" s="48" t="str">
        <f>D1486</f>
        <v>17405</v>
      </c>
      <c r="E1487" s="7"/>
      <c r="F1487" s="27">
        <v>0</v>
      </c>
      <c r="G1487" s="27">
        <v>0</v>
      </c>
      <c r="H1487" s="27">
        <v>0</v>
      </c>
      <c r="I1487" s="27">
        <v>0</v>
      </c>
      <c r="J1487" s="27">
        <v>0</v>
      </c>
      <c r="K1487" s="63">
        <f>AVERAGE(I1487:J1487)</f>
        <v>0</v>
      </c>
      <c r="L1487" s="56" t="str">
        <f>"SW-COMAS-PACKL"</f>
        <v>SW-COMAS-PACKL</v>
      </c>
      <c r="M1487" s="14"/>
      <c r="N1487" s="15"/>
      <c r="O1487" s="12"/>
      <c r="P1487" s="34"/>
      <c r="Q1487" s="37"/>
      <c r="R1487" s="47"/>
      <c r="S1487" s="46"/>
    </row>
    <row r="1488" spans="1:19" ht="15.6" hidden="1" customHeight="1" thickBot="1" x14ac:dyDescent="0.3">
      <c r="A1488" t="s">
        <v>23</v>
      </c>
      <c r="B1488" s="60" t="str">
        <f t="shared" si="1061"/>
        <v>hide</v>
      </c>
      <c r="D1488" s="48" t="str">
        <f>D1487</f>
        <v>17405</v>
      </c>
      <c r="E1488" s="7"/>
      <c r="F1488" s="27">
        <v>0</v>
      </c>
      <c r="G1488" s="27">
        <v>0</v>
      </c>
      <c r="H1488" s="27">
        <v>0</v>
      </c>
      <c r="I1488" s="27">
        <v>0</v>
      </c>
      <c r="J1488" s="27">
        <v>0</v>
      </c>
      <c r="K1488" s="63">
        <f>AVERAGE(I1488:J1488)</f>
        <v>0</v>
      </c>
      <c r="L1488" s="56" t="str">
        <f>"SW-RISER-PACK"</f>
        <v>SW-RISER-PACK</v>
      </c>
      <c r="M1488" s="14"/>
      <c r="N1488" s="15"/>
      <c r="O1488" s="12"/>
      <c r="P1488" s="34"/>
      <c r="Q1488" s="37"/>
      <c r="R1488" s="47"/>
      <c r="S1488" s="46"/>
    </row>
    <row r="1489" spans="1:19" ht="12" hidden="1" customHeight="1" x14ac:dyDescent="0.3">
      <c r="A1489" s="35" t="s">
        <v>908</v>
      </c>
      <c r="B1489" s="49" t="str">
        <f>B1485</f>
        <v>hide</v>
      </c>
      <c r="N1489"/>
      <c r="Q1489" s="33"/>
    </row>
    <row r="1490" spans="1:19" ht="13.8" hidden="1" thickBot="1" x14ac:dyDescent="0.3">
      <c r="A1490" t="s">
        <v>23</v>
      </c>
      <c r="B1490" s="49" t="str">
        <f t="shared" ref="B1490" si="1062">B1489</f>
        <v>hide</v>
      </c>
      <c r="D1490" s="58"/>
      <c r="E1490" s="58"/>
      <c r="F1490" s="52">
        <f>SUM(F1485:F1489)</f>
        <v>0</v>
      </c>
      <c r="G1490" s="52">
        <f>SUM(G1485:G1489)</f>
        <v>0</v>
      </c>
      <c r="H1490" s="52">
        <f>SUM(H1485:H1489)</f>
        <v>0</v>
      </c>
      <c r="I1490" s="52">
        <f>SUM(I1485:I1489)</f>
        <v>0</v>
      </c>
      <c r="J1490" s="52">
        <f>SUM(J1485:J1489)</f>
        <v>0</v>
      </c>
      <c r="K1490" s="52"/>
      <c r="L1490" s="51" t="s">
        <v>4</v>
      </c>
      <c r="M1490" s="58"/>
      <c r="N1490" s="58"/>
      <c r="O1490" s="58"/>
      <c r="P1490" s="58"/>
      <c r="Q1490" s="58"/>
      <c r="R1490" s="58"/>
      <c r="S1490" s="58"/>
    </row>
    <row r="1491" spans="1:19" s="59" customFormat="1" ht="18.75" hidden="1" customHeight="1" thickBot="1" x14ac:dyDescent="0.3">
      <c r="A1491" s="59" t="s">
        <v>23</v>
      </c>
      <c r="B1491" s="60" t="str">
        <f t="shared" ref="B1491:B1492" si="1063">IF(K1491=0,"hide","")</f>
        <v>hide</v>
      </c>
      <c r="D1491" s="61" t="str">
        <f>"17425"</f>
        <v>17425</v>
      </c>
      <c r="E1491" s="62" t="str">
        <f>"1"</f>
        <v>1</v>
      </c>
      <c r="F1491" s="63">
        <v>15.083333333333334</v>
      </c>
      <c r="G1491" s="63">
        <v>0</v>
      </c>
      <c r="H1491" s="63">
        <v>0</v>
      </c>
      <c r="I1491" s="63">
        <v>0</v>
      </c>
      <c r="J1491" s="63">
        <v>0</v>
      </c>
      <c r="K1491" s="63">
        <f>AVERAGE(I1491:J1491)</f>
        <v>0</v>
      </c>
      <c r="L1491" s="64" t="str">
        <f>"JALAPENO CORNBREAD LOAVES"</f>
        <v>JALAPENO CORNBREAD LOAVES</v>
      </c>
      <c r="M1491" s="65" t="str">
        <f>"140-2oz. 4-35 pk."</f>
        <v>140-2oz. 4-35 pk.</v>
      </c>
      <c r="N1491" s="66">
        <v>140</v>
      </c>
      <c r="O1491" s="67" t="str">
        <f>""</f>
        <v/>
      </c>
      <c r="P1491" s="68" t="e">
        <f>1/O1491</f>
        <v>#VALUE!</v>
      </c>
      <c r="Q1491" s="53">
        <v>1</v>
      </c>
      <c r="R1491" s="69">
        <f t="shared" ref="R1491" si="1064">1/Q1491</f>
        <v>1</v>
      </c>
      <c r="S1491" s="70">
        <f t="shared" ref="S1491" si="1065">R1491*N1491</f>
        <v>140</v>
      </c>
    </row>
    <row r="1492" spans="1:19" ht="15.6" hidden="1" customHeight="1" thickBot="1" x14ac:dyDescent="0.3">
      <c r="A1492" t="s">
        <v>23</v>
      </c>
      <c r="B1492" s="60" t="str">
        <f t="shared" si="1063"/>
        <v>hide</v>
      </c>
      <c r="D1492" s="48" t="str">
        <f>D1491</f>
        <v>17425</v>
      </c>
      <c r="E1492" s="7"/>
      <c r="F1492" s="27">
        <v>0</v>
      </c>
      <c r="G1492" s="27">
        <v>0</v>
      </c>
      <c r="H1492" s="27">
        <v>0</v>
      </c>
      <c r="I1492" s="27">
        <v>0</v>
      </c>
      <c r="J1492" s="27">
        <v>0</v>
      </c>
      <c r="K1492" s="63">
        <f>AVERAGE(I1492:J1492)</f>
        <v>0</v>
      </c>
      <c r="L1492" s="56" t="str">
        <f>"EQP-LAWPACK1"</f>
        <v>EQP-LAWPACK1</v>
      </c>
      <c r="M1492" s="14"/>
      <c r="N1492" s="15"/>
      <c r="O1492" s="12"/>
      <c r="P1492" s="34"/>
      <c r="Q1492" s="37"/>
      <c r="R1492" s="47"/>
      <c r="S1492" s="46"/>
    </row>
    <row r="1493" spans="1:19" ht="15.6" hidden="1" customHeight="1" thickBot="1" x14ac:dyDescent="0.3">
      <c r="A1493" t="s">
        <v>23</v>
      </c>
      <c r="B1493" s="60" t="str">
        <f t="shared" ref="B1493:B1495" si="1066">IF(K1493=0,"hide","")</f>
        <v>hide</v>
      </c>
      <c r="D1493" s="48" t="str">
        <f>D1492</f>
        <v>17425</v>
      </c>
      <c r="E1493" s="7"/>
      <c r="F1493" s="27">
        <v>0</v>
      </c>
      <c r="G1493" s="27">
        <v>0</v>
      </c>
      <c r="H1493" s="27">
        <v>0</v>
      </c>
      <c r="I1493" s="27">
        <v>0</v>
      </c>
      <c r="J1493" s="27">
        <v>0</v>
      </c>
      <c r="K1493" s="63">
        <f>AVERAGE(I1493:J1493)</f>
        <v>0</v>
      </c>
      <c r="L1493" s="56" t="str">
        <f>"EQP-LAWPACK2"</f>
        <v>EQP-LAWPACK2</v>
      </c>
      <c r="M1493" s="14"/>
      <c r="N1493" s="15"/>
      <c r="O1493" s="12"/>
      <c r="P1493" s="34"/>
      <c r="Q1493" s="37"/>
      <c r="R1493" s="47"/>
      <c r="S1493" s="46"/>
    </row>
    <row r="1494" spans="1:19" ht="15.6" hidden="1" customHeight="1" thickBot="1" x14ac:dyDescent="0.3">
      <c r="A1494" t="s">
        <v>23</v>
      </c>
      <c r="B1494" s="60" t="str">
        <f t="shared" si="1066"/>
        <v>hide</v>
      </c>
      <c r="D1494" s="48" t="str">
        <f>D1493</f>
        <v>17425</v>
      </c>
      <c r="E1494" s="7"/>
      <c r="F1494" s="27">
        <v>0</v>
      </c>
      <c r="G1494" s="27">
        <v>0</v>
      </c>
      <c r="H1494" s="27">
        <v>0</v>
      </c>
      <c r="I1494" s="27">
        <v>0</v>
      </c>
      <c r="J1494" s="27">
        <v>0</v>
      </c>
      <c r="K1494" s="63">
        <f>AVERAGE(I1494:J1494)</f>
        <v>0</v>
      </c>
      <c r="L1494" s="56" t="str">
        <f>"SW-COMAS-PACKL"</f>
        <v>SW-COMAS-PACKL</v>
      </c>
      <c r="M1494" s="14"/>
      <c r="N1494" s="15"/>
      <c r="O1494" s="12"/>
      <c r="P1494" s="34"/>
      <c r="Q1494" s="37"/>
      <c r="R1494" s="47"/>
      <c r="S1494" s="46"/>
    </row>
    <row r="1495" spans="1:19" ht="15.6" hidden="1" customHeight="1" thickBot="1" x14ac:dyDescent="0.3">
      <c r="A1495" t="s">
        <v>23</v>
      </c>
      <c r="B1495" s="60" t="str">
        <f t="shared" si="1066"/>
        <v>hide</v>
      </c>
      <c r="D1495" s="48" t="str">
        <f>D1494</f>
        <v>17425</v>
      </c>
      <c r="E1495" s="7"/>
      <c r="F1495" s="27">
        <v>0</v>
      </c>
      <c r="G1495" s="27">
        <v>0</v>
      </c>
      <c r="H1495" s="27">
        <v>0</v>
      </c>
      <c r="I1495" s="27">
        <v>0</v>
      </c>
      <c r="J1495" s="27">
        <v>0</v>
      </c>
      <c r="K1495" s="63">
        <f>AVERAGE(I1495:J1495)</f>
        <v>0</v>
      </c>
      <c r="L1495" s="56" t="str">
        <f>"SW-RISER-PACK"</f>
        <v>SW-RISER-PACK</v>
      </c>
      <c r="M1495" s="14"/>
      <c r="N1495" s="15"/>
      <c r="O1495" s="12"/>
      <c r="P1495" s="34"/>
      <c r="Q1495" s="37"/>
      <c r="R1495" s="47"/>
      <c r="S1495" s="46"/>
    </row>
    <row r="1496" spans="1:19" ht="12" hidden="1" customHeight="1" x14ac:dyDescent="0.3">
      <c r="A1496" s="35" t="s">
        <v>908</v>
      </c>
      <c r="B1496" s="49" t="str">
        <f>B1492</f>
        <v>hide</v>
      </c>
      <c r="N1496"/>
      <c r="Q1496" s="33"/>
    </row>
    <row r="1497" spans="1:19" ht="13.8" hidden="1" thickBot="1" x14ac:dyDescent="0.3">
      <c r="A1497" t="s">
        <v>23</v>
      </c>
      <c r="B1497" s="49" t="str">
        <f t="shared" ref="B1497" si="1067">B1496</f>
        <v>hide</v>
      </c>
      <c r="D1497" s="58"/>
      <c r="E1497" s="58"/>
      <c r="F1497" s="52">
        <f>SUM(F1492:F1496)</f>
        <v>0</v>
      </c>
      <c r="G1497" s="52">
        <f>SUM(G1492:G1496)</f>
        <v>0</v>
      </c>
      <c r="H1497" s="52">
        <f>SUM(H1492:H1496)</f>
        <v>0</v>
      </c>
      <c r="I1497" s="52">
        <f>SUM(I1492:I1496)</f>
        <v>0</v>
      </c>
      <c r="J1497" s="52">
        <f>SUM(J1492:J1496)</f>
        <v>0</v>
      </c>
      <c r="K1497" s="52"/>
      <c r="L1497" s="51" t="s">
        <v>4</v>
      </c>
      <c r="M1497" s="58"/>
      <c r="N1497" s="58"/>
      <c r="O1497" s="58"/>
      <c r="P1497" s="58"/>
      <c r="Q1497" s="58"/>
      <c r="R1497" s="58"/>
      <c r="S1497" s="58"/>
    </row>
    <row r="1498" spans="1:19" s="59" customFormat="1" ht="18.75" hidden="1" customHeight="1" thickBot="1" x14ac:dyDescent="0.3">
      <c r="A1498" s="59" t="s">
        <v>23</v>
      </c>
      <c r="B1498" s="60" t="str">
        <f t="shared" ref="B1498:B1499" si="1068">IF(K1498=0,"hide","")</f>
        <v>hide</v>
      </c>
      <c r="D1498" s="61" t="str">
        <f>"17435"</f>
        <v>17435</v>
      </c>
      <c r="E1498" s="62" t="str">
        <f>"3"</f>
        <v>3</v>
      </c>
      <c r="F1498" s="63">
        <v>0</v>
      </c>
      <c r="G1498" s="63">
        <v>0</v>
      </c>
      <c r="H1498" s="63">
        <v>0</v>
      </c>
      <c r="I1498" s="63">
        <v>0</v>
      </c>
      <c r="J1498" s="63">
        <v>0</v>
      </c>
      <c r="K1498" s="63">
        <f>AVERAGE(I1498:J1498)</f>
        <v>0</v>
      </c>
      <c r="L1498" s="64" t="str">
        <f>"JALAPENO &amp; CHEDDAR CORN LOAVES"</f>
        <v>JALAPENO &amp; CHEDDAR CORN LOAVES</v>
      </c>
      <c r="M1498" s="65" t="str">
        <f>"140-2oz. 4-35 pk."</f>
        <v>140-2oz. 4-35 pk.</v>
      </c>
      <c r="N1498" s="66">
        <v>140</v>
      </c>
      <c r="O1498" s="67" t="str">
        <f>""</f>
        <v/>
      </c>
      <c r="P1498" s="68" t="e">
        <f>1/O1498</f>
        <v>#VALUE!</v>
      </c>
      <c r="Q1498" s="53">
        <v>1</v>
      </c>
      <c r="R1498" s="69">
        <f t="shared" ref="R1498" si="1069">1/Q1498</f>
        <v>1</v>
      </c>
      <c r="S1498" s="70">
        <f t="shared" ref="S1498" si="1070">R1498*N1498</f>
        <v>140</v>
      </c>
    </row>
    <row r="1499" spans="1:19" ht="15.6" hidden="1" customHeight="1" thickBot="1" x14ac:dyDescent="0.3">
      <c r="A1499" t="s">
        <v>23</v>
      </c>
      <c r="B1499" s="60" t="str">
        <f t="shared" si="1068"/>
        <v>hide</v>
      </c>
      <c r="D1499" s="48" t="str">
        <f>D1498</f>
        <v>17435</v>
      </c>
      <c r="E1499" s="7"/>
      <c r="F1499" s="27">
        <v>0</v>
      </c>
      <c r="G1499" s="27">
        <v>0</v>
      </c>
      <c r="H1499" s="27">
        <v>0</v>
      </c>
      <c r="I1499" s="27">
        <v>0</v>
      </c>
      <c r="J1499" s="27">
        <v>0</v>
      </c>
      <c r="K1499" s="63">
        <f>AVERAGE(I1499:J1499)</f>
        <v>0</v>
      </c>
      <c r="L1499" s="56" t="str">
        <f>"EQP-LAWPACK1"</f>
        <v>EQP-LAWPACK1</v>
      </c>
      <c r="M1499" s="14"/>
      <c r="N1499" s="15"/>
      <c r="O1499" s="12"/>
      <c r="P1499" s="34"/>
      <c r="Q1499" s="37"/>
      <c r="R1499" s="47"/>
      <c r="S1499" s="46"/>
    </row>
    <row r="1500" spans="1:19" ht="15.6" hidden="1" customHeight="1" thickBot="1" x14ac:dyDescent="0.3">
      <c r="A1500" t="s">
        <v>23</v>
      </c>
      <c r="B1500" s="60" t="str">
        <f t="shared" ref="B1500:B1502" si="1071">IF(K1500=0,"hide","")</f>
        <v>hide</v>
      </c>
      <c r="D1500" s="48" t="str">
        <f>D1499</f>
        <v>17435</v>
      </c>
      <c r="E1500" s="7"/>
      <c r="F1500" s="27">
        <v>0</v>
      </c>
      <c r="G1500" s="27">
        <v>0</v>
      </c>
      <c r="H1500" s="27">
        <v>0</v>
      </c>
      <c r="I1500" s="27">
        <v>0</v>
      </c>
      <c r="J1500" s="27">
        <v>0</v>
      </c>
      <c r="K1500" s="63">
        <f>AVERAGE(I1500:J1500)</f>
        <v>0</v>
      </c>
      <c r="L1500" s="56" t="str">
        <f>"EQP-LAWPACK2"</f>
        <v>EQP-LAWPACK2</v>
      </c>
      <c r="M1500" s="14"/>
      <c r="N1500" s="15"/>
      <c r="O1500" s="12"/>
      <c r="P1500" s="34"/>
      <c r="Q1500" s="37"/>
      <c r="R1500" s="47"/>
      <c r="S1500" s="46"/>
    </row>
    <row r="1501" spans="1:19" ht="15.6" hidden="1" customHeight="1" thickBot="1" x14ac:dyDescent="0.3">
      <c r="A1501" t="s">
        <v>23</v>
      </c>
      <c r="B1501" s="60" t="str">
        <f t="shared" si="1071"/>
        <v>hide</v>
      </c>
      <c r="D1501" s="48" t="str">
        <f>D1500</f>
        <v>17435</v>
      </c>
      <c r="E1501" s="7"/>
      <c r="F1501" s="27">
        <v>0</v>
      </c>
      <c r="G1501" s="27">
        <v>0</v>
      </c>
      <c r="H1501" s="27">
        <v>0</v>
      </c>
      <c r="I1501" s="27">
        <v>0</v>
      </c>
      <c r="J1501" s="27">
        <v>0</v>
      </c>
      <c r="K1501" s="63">
        <f>AVERAGE(I1501:J1501)</f>
        <v>0</v>
      </c>
      <c r="L1501" s="56" t="str">
        <f>"SW-COMAS-PACKL"</f>
        <v>SW-COMAS-PACKL</v>
      </c>
      <c r="M1501" s="14"/>
      <c r="N1501" s="15"/>
      <c r="O1501" s="12"/>
      <c r="P1501" s="34"/>
      <c r="Q1501" s="37"/>
      <c r="R1501" s="47"/>
      <c r="S1501" s="46"/>
    </row>
    <row r="1502" spans="1:19" ht="15.6" hidden="1" customHeight="1" thickBot="1" x14ac:dyDescent="0.3">
      <c r="A1502" t="s">
        <v>23</v>
      </c>
      <c r="B1502" s="60" t="str">
        <f t="shared" si="1071"/>
        <v>hide</v>
      </c>
      <c r="D1502" s="48" t="str">
        <f>D1501</f>
        <v>17435</v>
      </c>
      <c r="E1502" s="7"/>
      <c r="F1502" s="27">
        <v>0</v>
      </c>
      <c r="G1502" s="27">
        <v>0</v>
      </c>
      <c r="H1502" s="27">
        <v>0</v>
      </c>
      <c r="I1502" s="27">
        <v>0</v>
      </c>
      <c r="J1502" s="27">
        <v>0</v>
      </c>
      <c r="K1502" s="63">
        <f>AVERAGE(I1502:J1502)</f>
        <v>0</v>
      </c>
      <c r="L1502" s="56" t="str">
        <f>"SW-RISER-PACK"</f>
        <v>SW-RISER-PACK</v>
      </c>
      <c r="M1502" s="14"/>
      <c r="N1502" s="15"/>
      <c r="O1502" s="12"/>
      <c r="P1502" s="34"/>
      <c r="Q1502" s="37"/>
      <c r="R1502" s="47"/>
      <c r="S1502" s="46"/>
    </row>
    <row r="1503" spans="1:19" ht="12" hidden="1" customHeight="1" x14ac:dyDescent="0.3">
      <c r="A1503" s="35" t="s">
        <v>908</v>
      </c>
      <c r="B1503" s="49" t="str">
        <f>B1499</f>
        <v>hide</v>
      </c>
      <c r="N1503"/>
      <c r="Q1503" s="33"/>
    </row>
    <row r="1504" spans="1:19" ht="13.8" hidden="1" thickBot="1" x14ac:dyDescent="0.3">
      <c r="A1504" t="s">
        <v>23</v>
      </c>
      <c r="B1504" s="49" t="str">
        <f t="shared" ref="B1504" si="1072">B1503</f>
        <v>hide</v>
      </c>
      <c r="D1504" s="58"/>
      <c r="E1504" s="58"/>
      <c r="F1504" s="52">
        <f>SUM(F1499:F1503)</f>
        <v>0</v>
      </c>
      <c r="G1504" s="52">
        <f>SUM(G1499:G1503)</f>
        <v>0</v>
      </c>
      <c r="H1504" s="52">
        <f>SUM(H1499:H1503)</f>
        <v>0</v>
      </c>
      <c r="I1504" s="52">
        <f>SUM(I1499:I1503)</f>
        <v>0</v>
      </c>
      <c r="J1504" s="52">
        <f>SUM(J1499:J1503)</f>
        <v>0</v>
      </c>
      <c r="K1504" s="52"/>
      <c r="L1504" s="51" t="s">
        <v>4</v>
      </c>
      <c r="M1504" s="58"/>
      <c r="N1504" s="58"/>
      <c r="O1504" s="58"/>
      <c r="P1504" s="58"/>
      <c r="Q1504" s="58"/>
      <c r="R1504" s="58"/>
      <c r="S1504" s="58"/>
    </row>
    <row r="1505" spans="1:19" s="59" customFormat="1" ht="18.75" hidden="1" customHeight="1" thickBot="1" x14ac:dyDescent="0.3">
      <c r="A1505" s="59" t="s">
        <v>23</v>
      </c>
      <c r="B1505" s="60" t="str">
        <f t="shared" ref="B1505:B1506" si="1073">IF(K1505=0,"hide","")</f>
        <v>hide</v>
      </c>
      <c r="D1505" s="61" t="str">
        <f>"17451"</f>
        <v>17451</v>
      </c>
      <c r="E1505" s="62" t="str">
        <f>"3"</f>
        <v>3</v>
      </c>
      <c r="F1505" s="63">
        <v>4</v>
      </c>
      <c r="G1505" s="63">
        <v>0</v>
      </c>
      <c r="H1505" s="63">
        <v>0</v>
      </c>
      <c r="I1505" s="63">
        <v>0</v>
      </c>
      <c r="J1505" s="63">
        <v>0</v>
      </c>
      <c r="K1505" s="63">
        <f>AVERAGE(I1505:J1505)</f>
        <v>0</v>
      </c>
      <c r="L1505" s="64" t="str">
        <f>"Banana Loaf"</f>
        <v>Banana Loaf</v>
      </c>
      <c r="M1505" s="65" t="str">
        <f>"140-2oz. 4-35 pk."</f>
        <v>140-2oz. 4-35 pk.</v>
      </c>
      <c r="N1505" s="66">
        <v>140</v>
      </c>
      <c r="O1505" s="67" t="str">
        <f>""</f>
        <v/>
      </c>
      <c r="P1505" s="68" t="e">
        <f>1/O1505</f>
        <v>#VALUE!</v>
      </c>
      <c r="Q1505" s="53">
        <v>1</v>
      </c>
      <c r="R1505" s="69">
        <f t="shared" ref="R1505" si="1074">1/Q1505</f>
        <v>1</v>
      </c>
      <c r="S1505" s="70">
        <f t="shared" ref="S1505" si="1075">R1505*N1505</f>
        <v>140</v>
      </c>
    </row>
    <row r="1506" spans="1:19" ht="15.6" hidden="1" customHeight="1" thickBot="1" x14ac:dyDescent="0.3">
      <c r="A1506" t="s">
        <v>23</v>
      </c>
      <c r="B1506" s="60" t="str">
        <f t="shared" si="1073"/>
        <v>hide</v>
      </c>
      <c r="D1506" s="48" t="str">
        <f>D1505</f>
        <v>17451</v>
      </c>
      <c r="E1506" s="7"/>
      <c r="F1506" s="27">
        <v>0</v>
      </c>
      <c r="G1506" s="27">
        <v>0</v>
      </c>
      <c r="H1506" s="27">
        <v>0</v>
      </c>
      <c r="I1506" s="27">
        <v>0</v>
      </c>
      <c r="J1506" s="27">
        <v>0</v>
      </c>
      <c r="K1506" s="63">
        <f>AVERAGE(I1506:J1506)</f>
        <v>0</v>
      </c>
      <c r="L1506" s="56" t="str">
        <f>"EQP-LAWPACK1"</f>
        <v>EQP-LAWPACK1</v>
      </c>
      <c r="M1506" s="14"/>
      <c r="N1506" s="15"/>
      <c r="O1506" s="12"/>
      <c r="P1506" s="34"/>
      <c r="Q1506" s="37"/>
      <c r="R1506" s="47"/>
      <c r="S1506" s="46"/>
    </row>
    <row r="1507" spans="1:19" ht="15.6" hidden="1" customHeight="1" thickBot="1" x14ac:dyDescent="0.3">
      <c r="A1507" t="s">
        <v>23</v>
      </c>
      <c r="B1507" s="60" t="str">
        <f t="shared" ref="B1507:B1509" si="1076">IF(K1507=0,"hide","")</f>
        <v>hide</v>
      </c>
      <c r="D1507" s="48" t="str">
        <f>D1506</f>
        <v>17451</v>
      </c>
      <c r="E1507" s="7"/>
      <c r="F1507" s="27">
        <v>0</v>
      </c>
      <c r="G1507" s="27">
        <v>0</v>
      </c>
      <c r="H1507" s="27">
        <v>0</v>
      </c>
      <c r="I1507" s="27">
        <v>0</v>
      </c>
      <c r="J1507" s="27">
        <v>0</v>
      </c>
      <c r="K1507" s="63">
        <f>AVERAGE(I1507:J1507)</f>
        <v>0</v>
      </c>
      <c r="L1507" s="56" t="str">
        <f>"EQP-LAWPACK2"</f>
        <v>EQP-LAWPACK2</v>
      </c>
      <c r="M1507" s="14"/>
      <c r="N1507" s="15"/>
      <c r="O1507" s="12"/>
      <c r="P1507" s="34"/>
      <c r="Q1507" s="37"/>
      <c r="R1507" s="47"/>
      <c r="S1507" s="46"/>
    </row>
    <row r="1508" spans="1:19" ht="15.6" hidden="1" customHeight="1" thickBot="1" x14ac:dyDescent="0.3">
      <c r="A1508" t="s">
        <v>23</v>
      </c>
      <c r="B1508" s="60" t="str">
        <f t="shared" si="1076"/>
        <v>hide</v>
      </c>
      <c r="D1508" s="48" t="str">
        <f>D1507</f>
        <v>17451</v>
      </c>
      <c r="E1508" s="7"/>
      <c r="F1508" s="27">
        <v>0</v>
      </c>
      <c r="G1508" s="27">
        <v>0</v>
      </c>
      <c r="H1508" s="27">
        <v>0</v>
      </c>
      <c r="I1508" s="27">
        <v>0</v>
      </c>
      <c r="J1508" s="27">
        <v>0</v>
      </c>
      <c r="K1508" s="63">
        <f>AVERAGE(I1508:J1508)</f>
        <v>0</v>
      </c>
      <c r="L1508" s="56" t="str">
        <f>"SW-COMAS-PACKL"</f>
        <v>SW-COMAS-PACKL</v>
      </c>
      <c r="M1508" s="14"/>
      <c r="N1508" s="15"/>
      <c r="O1508" s="12"/>
      <c r="P1508" s="34"/>
      <c r="Q1508" s="37"/>
      <c r="R1508" s="47"/>
      <c r="S1508" s="46"/>
    </row>
    <row r="1509" spans="1:19" ht="15.6" hidden="1" customHeight="1" thickBot="1" x14ac:dyDescent="0.3">
      <c r="A1509" t="s">
        <v>23</v>
      </c>
      <c r="B1509" s="60" t="str">
        <f t="shared" si="1076"/>
        <v>hide</v>
      </c>
      <c r="D1509" s="48" t="str">
        <f>D1508</f>
        <v>17451</v>
      </c>
      <c r="E1509" s="7"/>
      <c r="F1509" s="27">
        <v>0</v>
      </c>
      <c r="G1509" s="27">
        <v>0</v>
      </c>
      <c r="H1509" s="27">
        <v>0</v>
      </c>
      <c r="I1509" s="27">
        <v>0</v>
      </c>
      <c r="J1509" s="27">
        <v>0</v>
      </c>
      <c r="K1509" s="63">
        <f>AVERAGE(I1509:J1509)</f>
        <v>0</v>
      </c>
      <c r="L1509" s="56" t="str">
        <f>"SW-RISER-PACK"</f>
        <v>SW-RISER-PACK</v>
      </c>
      <c r="M1509" s="14"/>
      <c r="N1509" s="15"/>
      <c r="O1509" s="12"/>
      <c r="P1509" s="34"/>
      <c r="Q1509" s="37"/>
      <c r="R1509" s="47"/>
      <c r="S1509" s="46"/>
    </row>
    <row r="1510" spans="1:19" ht="12" hidden="1" customHeight="1" x14ac:dyDescent="0.3">
      <c r="A1510" s="35" t="s">
        <v>908</v>
      </c>
      <c r="B1510" s="49" t="str">
        <f>B1506</f>
        <v>hide</v>
      </c>
      <c r="N1510"/>
      <c r="Q1510" s="33"/>
    </row>
    <row r="1511" spans="1:19" ht="13.8" hidden="1" thickBot="1" x14ac:dyDescent="0.3">
      <c r="A1511" t="s">
        <v>23</v>
      </c>
      <c r="B1511" s="49" t="str">
        <f t="shared" ref="B1511" si="1077">B1510</f>
        <v>hide</v>
      </c>
      <c r="D1511" s="58"/>
      <c r="E1511" s="58"/>
      <c r="F1511" s="52">
        <f>SUM(F1506:F1510)</f>
        <v>0</v>
      </c>
      <c r="G1511" s="52">
        <f>SUM(G1506:G1510)</f>
        <v>0</v>
      </c>
      <c r="H1511" s="52">
        <f>SUM(H1506:H1510)</f>
        <v>0</v>
      </c>
      <c r="I1511" s="52">
        <f>SUM(I1506:I1510)</f>
        <v>0</v>
      </c>
      <c r="J1511" s="52">
        <f>SUM(J1506:J1510)</f>
        <v>0</v>
      </c>
      <c r="K1511" s="52"/>
      <c r="L1511" s="51" t="s">
        <v>4</v>
      </c>
      <c r="M1511" s="58"/>
      <c r="N1511" s="58"/>
      <c r="O1511" s="58"/>
      <c r="P1511" s="58"/>
      <c r="Q1511" s="58"/>
      <c r="R1511" s="58"/>
      <c r="S1511" s="58"/>
    </row>
    <row r="1512" spans="1:19" s="59" customFormat="1" ht="18.75" hidden="1" customHeight="1" thickBot="1" x14ac:dyDescent="0.3">
      <c r="A1512" s="59" t="s">
        <v>23</v>
      </c>
      <c r="B1512" s="60" t="str">
        <f t="shared" ref="B1512:B1513" si="1078">IF(K1512=0,"hide","")</f>
        <v>hide</v>
      </c>
      <c r="D1512" s="61" t="str">
        <f>"17501"</f>
        <v>17501</v>
      </c>
      <c r="E1512" s="62" t="str">
        <f>"7"</f>
        <v>7</v>
      </c>
      <c r="F1512" s="63">
        <v>7.083333333333333</v>
      </c>
      <c r="G1512" s="63">
        <v>0</v>
      </c>
      <c r="H1512" s="63">
        <v>0</v>
      </c>
      <c r="I1512" s="63">
        <v>0</v>
      </c>
      <c r="J1512" s="63">
        <v>0</v>
      </c>
      <c r="K1512" s="63">
        <f>AVERAGE(I1512:J1512)</f>
        <v>0</v>
      </c>
      <c r="L1512" s="64" t="str">
        <f>"BLUEBERRY CRUMB LOAVES"</f>
        <v>BLUEBERRY CRUMB LOAVES</v>
      </c>
      <c r="M1512" s="65" t="str">
        <f>"140-2oz. 4-35 pk."</f>
        <v>140-2oz. 4-35 pk.</v>
      </c>
      <c r="N1512" s="66">
        <v>140</v>
      </c>
      <c r="O1512" s="67" t="str">
        <f>""</f>
        <v/>
      </c>
      <c r="P1512" s="68" t="e">
        <f>1/O1512</f>
        <v>#VALUE!</v>
      </c>
      <c r="Q1512" s="53">
        <v>1</v>
      </c>
      <c r="R1512" s="69">
        <f t="shared" ref="R1512" si="1079">1/Q1512</f>
        <v>1</v>
      </c>
      <c r="S1512" s="70">
        <f t="shared" ref="S1512" si="1080">R1512*N1512</f>
        <v>140</v>
      </c>
    </row>
    <row r="1513" spans="1:19" ht="15.6" hidden="1" customHeight="1" thickBot="1" x14ac:dyDescent="0.3">
      <c r="A1513" t="s">
        <v>23</v>
      </c>
      <c r="B1513" s="60" t="str">
        <f t="shared" si="1078"/>
        <v>hide</v>
      </c>
      <c r="D1513" s="48" t="str">
        <f>D1512</f>
        <v>17501</v>
      </c>
      <c r="E1513" s="7"/>
      <c r="F1513" s="27">
        <v>0</v>
      </c>
      <c r="G1513" s="27">
        <v>0</v>
      </c>
      <c r="H1513" s="27">
        <v>0</v>
      </c>
      <c r="I1513" s="27">
        <v>0</v>
      </c>
      <c r="J1513" s="27">
        <v>0</v>
      </c>
      <c r="K1513" s="63">
        <f>AVERAGE(I1513:J1513)</f>
        <v>0</v>
      </c>
      <c r="L1513" s="56" t="str">
        <f>"EQP-LAWPACK1"</f>
        <v>EQP-LAWPACK1</v>
      </c>
      <c r="M1513" s="14"/>
      <c r="N1513" s="15"/>
      <c r="O1513" s="12"/>
      <c r="P1513" s="34"/>
      <c r="Q1513" s="37"/>
      <c r="R1513" s="47"/>
      <c r="S1513" s="46"/>
    </row>
    <row r="1514" spans="1:19" ht="15.6" hidden="1" customHeight="1" thickBot="1" x14ac:dyDescent="0.3">
      <c r="A1514" t="s">
        <v>23</v>
      </c>
      <c r="B1514" s="60" t="str">
        <f t="shared" ref="B1514:B1516" si="1081">IF(K1514=0,"hide","")</f>
        <v>hide</v>
      </c>
      <c r="D1514" s="48" t="str">
        <f>D1513</f>
        <v>17501</v>
      </c>
      <c r="E1514" s="7"/>
      <c r="F1514" s="27">
        <v>0</v>
      </c>
      <c r="G1514" s="27">
        <v>0</v>
      </c>
      <c r="H1514" s="27">
        <v>0</v>
      </c>
      <c r="I1514" s="27">
        <v>0</v>
      </c>
      <c r="J1514" s="27">
        <v>0</v>
      </c>
      <c r="K1514" s="63">
        <f>AVERAGE(I1514:J1514)</f>
        <v>0</v>
      </c>
      <c r="L1514" s="56" t="str">
        <f>"EQP-LAWPACK2"</f>
        <v>EQP-LAWPACK2</v>
      </c>
      <c r="M1514" s="14"/>
      <c r="N1514" s="15"/>
      <c r="O1514" s="12"/>
      <c r="P1514" s="34"/>
      <c r="Q1514" s="37"/>
      <c r="R1514" s="47"/>
      <c r="S1514" s="46"/>
    </row>
    <row r="1515" spans="1:19" ht="15.6" hidden="1" customHeight="1" thickBot="1" x14ac:dyDescent="0.3">
      <c r="A1515" t="s">
        <v>23</v>
      </c>
      <c r="B1515" s="60" t="str">
        <f t="shared" si="1081"/>
        <v>hide</v>
      </c>
      <c r="D1515" s="48" t="str">
        <f>D1514</f>
        <v>17501</v>
      </c>
      <c r="E1515" s="7"/>
      <c r="F1515" s="27">
        <v>0</v>
      </c>
      <c r="G1515" s="27">
        <v>0</v>
      </c>
      <c r="H1515" s="27">
        <v>0</v>
      </c>
      <c r="I1515" s="27">
        <v>0</v>
      </c>
      <c r="J1515" s="27">
        <v>0</v>
      </c>
      <c r="K1515" s="63">
        <f>AVERAGE(I1515:J1515)</f>
        <v>0</v>
      </c>
      <c r="L1515" s="56" t="str">
        <f>"SW-COMAS-PACKL"</f>
        <v>SW-COMAS-PACKL</v>
      </c>
      <c r="M1515" s="14"/>
      <c r="N1515" s="15"/>
      <c r="O1515" s="12"/>
      <c r="P1515" s="34"/>
      <c r="Q1515" s="37"/>
      <c r="R1515" s="47"/>
      <c r="S1515" s="46"/>
    </row>
    <row r="1516" spans="1:19" ht="15.6" hidden="1" customHeight="1" thickBot="1" x14ac:dyDescent="0.3">
      <c r="A1516" t="s">
        <v>23</v>
      </c>
      <c r="B1516" s="60" t="str">
        <f t="shared" si="1081"/>
        <v>hide</v>
      </c>
      <c r="D1516" s="48" t="str">
        <f>D1515</f>
        <v>17501</v>
      </c>
      <c r="E1516" s="7"/>
      <c r="F1516" s="27">
        <v>0</v>
      </c>
      <c r="G1516" s="27">
        <v>0</v>
      </c>
      <c r="H1516" s="27">
        <v>0</v>
      </c>
      <c r="I1516" s="27">
        <v>0</v>
      </c>
      <c r="J1516" s="27">
        <v>0</v>
      </c>
      <c r="K1516" s="63">
        <f>AVERAGE(I1516:J1516)</f>
        <v>0</v>
      </c>
      <c r="L1516" s="56" t="str">
        <f>"SW-RISER-PACK"</f>
        <v>SW-RISER-PACK</v>
      </c>
      <c r="M1516" s="14"/>
      <c r="N1516" s="15"/>
      <c r="O1516" s="12"/>
      <c r="P1516" s="34"/>
      <c r="Q1516" s="37"/>
      <c r="R1516" s="47"/>
      <c r="S1516" s="46"/>
    </row>
    <row r="1517" spans="1:19" ht="12" hidden="1" customHeight="1" x14ac:dyDescent="0.3">
      <c r="A1517" s="35" t="s">
        <v>908</v>
      </c>
      <c r="B1517" s="49" t="str">
        <f>B1513</f>
        <v>hide</v>
      </c>
      <c r="N1517"/>
      <c r="Q1517" s="33"/>
    </row>
    <row r="1518" spans="1:19" ht="13.8" hidden="1" thickBot="1" x14ac:dyDescent="0.3">
      <c r="A1518" t="s">
        <v>23</v>
      </c>
      <c r="B1518" s="49" t="str">
        <f t="shared" ref="B1518" si="1082">B1517</f>
        <v>hide</v>
      </c>
      <c r="D1518" s="58"/>
      <c r="E1518" s="58"/>
      <c r="F1518" s="52">
        <f>SUM(F1513:F1517)</f>
        <v>0</v>
      </c>
      <c r="G1518" s="52">
        <f>SUM(G1513:G1517)</f>
        <v>0</v>
      </c>
      <c r="H1518" s="52">
        <f>SUM(H1513:H1517)</f>
        <v>0</v>
      </c>
      <c r="I1518" s="52">
        <f>SUM(I1513:I1517)</f>
        <v>0</v>
      </c>
      <c r="J1518" s="52">
        <f>SUM(J1513:J1517)</f>
        <v>0</v>
      </c>
      <c r="K1518" s="52"/>
      <c r="L1518" s="51" t="s">
        <v>4</v>
      </c>
      <c r="M1518" s="58"/>
      <c r="N1518" s="58"/>
      <c r="O1518" s="58"/>
      <c r="P1518" s="58"/>
      <c r="Q1518" s="58"/>
      <c r="R1518" s="58"/>
      <c r="S1518" s="58"/>
    </row>
    <row r="1519" spans="1:19" s="59" customFormat="1" ht="18.75" hidden="1" customHeight="1" thickBot="1" x14ac:dyDescent="0.3">
      <c r="A1519" s="59" t="s">
        <v>23</v>
      </c>
      <c r="B1519" s="60" t="str">
        <f t="shared" ref="B1519:B1520" si="1083">IF(K1519=0,"hide","")</f>
        <v>hide</v>
      </c>
      <c r="D1519" s="61" t="str">
        <f>"17505"</f>
        <v>17505</v>
      </c>
      <c r="E1519" s="62" t="str">
        <f>"5"</f>
        <v>5</v>
      </c>
      <c r="F1519" s="63">
        <v>0</v>
      </c>
      <c r="G1519" s="63">
        <v>0</v>
      </c>
      <c r="H1519" s="63">
        <v>0</v>
      </c>
      <c r="I1519" s="63">
        <v>0</v>
      </c>
      <c r="J1519" s="63">
        <v>0</v>
      </c>
      <c r="K1519" s="63">
        <f>AVERAGE(I1519:J1519)</f>
        <v>0</v>
      </c>
      <c r="L1519" s="64" t="str">
        <f>"CORNBREAD LOAVES"</f>
        <v>CORNBREAD LOAVES</v>
      </c>
      <c r="M1519" s="65" t="str">
        <f>"140-2oz. 4-35 pk."</f>
        <v>140-2oz. 4-35 pk.</v>
      </c>
      <c r="N1519" s="66">
        <v>140</v>
      </c>
      <c r="O1519" s="67" t="str">
        <f>""</f>
        <v/>
      </c>
      <c r="P1519" s="68" t="e">
        <f>1/O1519</f>
        <v>#VALUE!</v>
      </c>
      <c r="Q1519" s="53">
        <v>1</v>
      </c>
      <c r="R1519" s="69">
        <f t="shared" ref="R1519" si="1084">1/Q1519</f>
        <v>1</v>
      </c>
      <c r="S1519" s="70">
        <f t="shared" ref="S1519" si="1085">R1519*N1519</f>
        <v>140</v>
      </c>
    </row>
    <row r="1520" spans="1:19" ht="15.6" hidden="1" customHeight="1" thickBot="1" x14ac:dyDescent="0.3">
      <c r="A1520" t="s">
        <v>23</v>
      </c>
      <c r="B1520" s="60" t="str">
        <f t="shared" si="1083"/>
        <v>hide</v>
      </c>
      <c r="D1520" s="48" t="str">
        <f>D1519</f>
        <v>17505</v>
      </c>
      <c r="E1520" s="7"/>
      <c r="F1520" s="27">
        <v>0</v>
      </c>
      <c r="G1520" s="27">
        <v>0</v>
      </c>
      <c r="H1520" s="27">
        <v>0</v>
      </c>
      <c r="I1520" s="27">
        <v>0</v>
      </c>
      <c r="J1520" s="27">
        <v>0</v>
      </c>
      <c r="K1520" s="63">
        <f>AVERAGE(I1520:J1520)</f>
        <v>0</v>
      </c>
      <c r="L1520" s="56" t="str">
        <f>"EQP-LAWPACK1"</f>
        <v>EQP-LAWPACK1</v>
      </c>
      <c r="M1520" s="14"/>
      <c r="N1520" s="15"/>
      <c r="O1520" s="12"/>
      <c r="P1520" s="34"/>
      <c r="Q1520" s="37"/>
      <c r="R1520" s="47"/>
      <c r="S1520" s="46"/>
    </row>
    <row r="1521" spans="1:19" ht="15.6" hidden="1" customHeight="1" thickBot="1" x14ac:dyDescent="0.3">
      <c r="A1521" t="s">
        <v>23</v>
      </c>
      <c r="B1521" s="60" t="str">
        <f t="shared" ref="B1521:B1523" si="1086">IF(K1521=0,"hide","")</f>
        <v>hide</v>
      </c>
      <c r="D1521" s="48" t="str">
        <f>D1520</f>
        <v>17505</v>
      </c>
      <c r="E1521" s="7"/>
      <c r="F1521" s="27">
        <v>0</v>
      </c>
      <c r="G1521" s="27">
        <v>0</v>
      </c>
      <c r="H1521" s="27">
        <v>0</v>
      </c>
      <c r="I1521" s="27">
        <v>0</v>
      </c>
      <c r="J1521" s="27">
        <v>0</v>
      </c>
      <c r="K1521" s="63">
        <f>AVERAGE(I1521:J1521)</f>
        <v>0</v>
      </c>
      <c r="L1521" s="56" t="str">
        <f>"EQP-LAWPACK2"</f>
        <v>EQP-LAWPACK2</v>
      </c>
      <c r="M1521" s="14"/>
      <c r="N1521" s="15"/>
      <c r="O1521" s="12"/>
      <c r="P1521" s="34"/>
      <c r="Q1521" s="37"/>
      <c r="R1521" s="47"/>
      <c r="S1521" s="46"/>
    </row>
    <row r="1522" spans="1:19" ht="15.6" hidden="1" customHeight="1" thickBot="1" x14ac:dyDescent="0.3">
      <c r="A1522" t="s">
        <v>23</v>
      </c>
      <c r="B1522" s="60" t="str">
        <f t="shared" si="1086"/>
        <v>hide</v>
      </c>
      <c r="D1522" s="48" t="str">
        <f>D1521</f>
        <v>17505</v>
      </c>
      <c r="E1522" s="7"/>
      <c r="F1522" s="27">
        <v>0</v>
      </c>
      <c r="G1522" s="27">
        <v>0</v>
      </c>
      <c r="H1522" s="27">
        <v>0</v>
      </c>
      <c r="I1522" s="27">
        <v>0</v>
      </c>
      <c r="J1522" s="27">
        <v>0</v>
      </c>
      <c r="K1522" s="63">
        <f>AVERAGE(I1522:J1522)</f>
        <v>0</v>
      </c>
      <c r="L1522" s="56" t="str">
        <f>"SW-COMAS-PACKL"</f>
        <v>SW-COMAS-PACKL</v>
      </c>
      <c r="M1522" s="14"/>
      <c r="N1522" s="15"/>
      <c r="O1522" s="12"/>
      <c r="P1522" s="34"/>
      <c r="Q1522" s="37"/>
      <c r="R1522" s="47"/>
      <c r="S1522" s="46"/>
    </row>
    <row r="1523" spans="1:19" ht="15.6" hidden="1" customHeight="1" thickBot="1" x14ac:dyDescent="0.3">
      <c r="A1523" t="s">
        <v>23</v>
      </c>
      <c r="B1523" s="60" t="str">
        <f t="shared" si="1086"/>
        <v>hide</v>
      </c>
      <c r="D1523" s="48" t="str">
        <f>D1522</f>
        <v>17505</v>
      </c>
      <c r="E1523" s="7"/>
      <c r="F1523" s="27">
        <v>0</v>
      </c>
      <c r="G1523" s="27">
        <v>0</v>
      </c>
      <c r="H1523" s="27">
        <v>0</v>
      </c>
      <c r="I1523" s="27">
        <v>0</v>
      </c>
      <c r="J1523" s="27">
        <v>0</v>
      </c>
      <c r="K1523" s="63">
        <f>AVERAGE(I1523:J1523)</f>
        <v>0</v>
      </c>
      <c r="L1523" s="56" t="str">
        <f>"SW-RISER-PACK"</f>
        <v>SW-RISER-PACK</v>
      </c>
      <c r="M1523" s="14"/>
      <c r="N1523" s="15"/>
      <c r="O1523" s="12"/>
      <c r="P1523" s="34"/>
      <c r="Q1523" s="37"/>
      <c r="R1523" s="47"/>
      <c r="S1523" s="46"/>
    </row>
    <row r="1524" spans="1:19" ht="12" hidden="1" customHeight="1" x14ac:dyDescent="0.3">
      <c r="A1524" s="35" t="s">
        <v>908</v>
      </c>
      <c r="B1524" s="49" t="str">
        <f>B1520</f>
        <v>hide</v>
      </c>
      <c r="N1524"/>
      <c r="Q1524" s="33"/>
    </row>
    <row r="1525" spans="1:19" ht="13.8" hidden="1" thickBot="1" x14ac:dyDescent="0.3">
      <c r="A1525" t="s">
        <v>23</v>
      </c>
      <c r="B1525" s="49" t="str">
        <f t="shared" ref="B1525" si="1087">B1524</f>
        <v>hide</v>
      </c>
      <c r="D1525" s="58"/>
      <c r="E1525" s="58"/>
      <c r="F1525" s="52">
        <f>SUM(F1520:F1524)</f>
        <v>0</v>
      </c>
      <c r="G1525" s="52">
        <f>SUM(G1520:G1524)</f>
        <v>0</v>
      </c>
      <c r="H1525" s="52">
        <f>SUM(H1520:H1524)</f>
        <v>0</v>
      </c>
      <c r="I1525" s="52">
        <f>SUM(I1520:I1524)</f>
        <v>0</v>
      </c>
      <c r="J1525" s="52">
        <f>SUM(J1520:J1524)</f>
        <v>0</v>
      </c>
      <c r="K1525" s="52"/>
      <c r="L1525" s="51" t="s">
        <v>4</v>
      </c>
      <c r="M1525" s="58"/>
      <c r="N1525" s="58"/>
      <c r="O1525" s="58"/>
      <c r="P1525" s="58"/>
      <c r="Q1525" s="58"/>
      <c r="R1525" s="58"/>
      <c r="S1525" s="58"/>
    </row>
    <row r="1526" spans="1:19" s="59" customFormat="1" ht="18.75" hidden="1" customHeight="1" thickBot="1" x14ac:dyDescent="0.3">
      <c r="A1526" s="59" t="s">
        <v>23</v>
      </c>
      <c r="B1526" s="60" t="str">
        <f t="shared" ref="B1526:B1527" si="1088">IF(K1526=0,"hide","")</f>
        <v>hide</v>
      </c>
      <c r="D1526" s="61" t="str">
        <f>"17551"</f>
        <v>17551</v>
      </c>
      <c r="E1526" s="62" t="str">
        <f>"5"</f>
        <v>5</v>
      </c>
      <c r="F1526" s="63">
        <v>97.75</v>
      </c>
      <c r="G1526" s="63">
        <v>0.75</v>
      </c>
      <c r="H1526" s="63">
        <v>0</v>
      </c>
      <c r="I1526" s="63">
        <v>0</v>
      </c>
      <c r="J1526" s="63">
        <v>0</v>
      </c>
      <c r="K1526" s="63">
        <f>AVERAGE(I1526:J1526)</f>
        <v>0</v>
      </c>
      <c r="L1526" s="64" t="str">
        <f>"Banana Bread LOAVES"</f>
        <v>Banana Bread LOAVES</v>
      </c>
      <c r="M1526" s="65" t="str">
        <f>"140-2oz. 4-35 pk."</f>
        <v>140-2oz. 4-35 pk.</v>
      </c>
      <c r="N1526" s="66">
        <v>140</v>
      </c>
      <c r="O1526" s="67" t="str">
        <f>""</f>
        <v/>
      </c>
      <c r="P1526" s="68" t="e">
        <f>1/O1526</f>
        <v>#VALUE!</v>
      </c>
      <c r="Q1526" s="53">
        <v>1</v>
      </c>
      <c r="R1526" s="69">
        <f t="shared" ref="R1526" si="1089">1/Q1526</f>
        <v>1</v>
      </c>
      <c r="S1526" s="70">
        <f t="shared" ref="S1526" si="1090">R1526*N1526</f>
        <v>140</v>
      </c>
    </row>
    <row r="1527" spans="1:19" ht="15.6" hidden="1" customHeight="1" thickBot="1" x14ac:dyDescent="0.3">
      <c r="A1527" t="s">
        <v>23</v>
      </c>
      <c r="B1527" s="60" t="str">
        <f t="shared" si="1088"/>
        <v>hide</v>
      </c>
      <c r="D1527" s="48" t="str">
        <f>D1526</f>
        <v>17551</v>
      </c>
      <c r="E1527" s="7"/>
      <c r="F1527" s="27">
        <v>0</v>
      </c>
      <c r="G1527" s="27">
        <v>0</v>
      </c>
      <c r="H1527" s="27">
        <v>0</v>
      </c>
      <c r="I1527" s="27">
        <v>0</v>
      </c>
      <c r="J1527" s="27">
        <v>0</v>
      </c>
      <c r="K1527" s="63">
        <f>AVERAGE(I1527:J1527)</f>
        <v>0</v>
      </c>
      <c r="L1527" s="56" t="str">
        <f>"EQP-LAWPACK1"</f>
        <v>EQP-LAWPACK1</v>
      </c>
      <c r="M1527" s="14"/>
      <c r="N1527" s="15"/>
      <c r="O1527" s="12"/>
      <c r="P1527" s="34"/>
      <c r="Q1527" s="37"/>
      <c r="R1527" s="47"/>
      <c r="S1527" s="46"/>
    </row>
    <row r="1528" spans="1:19" ht="15.6" hidden="1" customHeight="1" thickBot="1" x14ac:dyDescent="0.3">
      <c r="A1528" t="s">
        <v>23</v>
      </c>
      <c r="B1528" s="60" t="str">
        <f t="shared" ref="B1528:B1530" si="1091">IF(K1528=0,"hide","")</f>
        <v>hide</v>
      </c>
      <c r="D1528" s="48" t="str">
        <f>D1527</f>
        <v>17551</v>
      </c>
      <c r="E1528" s="7"/>
      <c r="F1528" s="27">
        <v>0</v>
      </c>
      <c r="G1528" s="27">
        <v>0</v>
      </c>
      <c r="H1528" s="27">
        <v>0</v>
      </c>
      <c r="I1528" s="27">
        <v>0</v>
      </c>
      <c r="J1528" s="27">
        <v>0</v>
      </c>
      <c r="K1528" s="63">
        <f>AVERAGE(I1528:J1528)</f>
        <v>0</v>
      </c>
      <c r="L1528" s="56" t="str">
        <f>"EQP-LAWPACK2"</f>
        <v>EQP-LAWPACK2</v>
      </c>
      <c r="M1528" s="14"/>
      <c r="N1528" s="15"/>
      <c r="O1528" s="12"/>
      <c r="P1528" s="34"/>
      <c r="Q1528" s="37"/>
      <c r="R1528" s="47"/>
      <c r="S1528" s="46"/>
    </row>
    <row r="1529" spans="1:19" ht="15.6" hidden="1" customHeight="1" thickBot="1" x14ac:dyDescent="0.3">
      <c r="A1529" t="s">
        <v>23</v>
      </c>
      <c r="B1529" s="60" t="str">
        <f t="shared" si="1091"/>
        <v>hide</v>
      </c>
      <c r="D1529" s="48" t="str">
        <f>D1528</f>
        <v>17551</v>
      </c>
      <c r="E1529" s="7"/>
      <c r="F1529" s="27">
        <v>0</v>
      </c>
      <c r="G1529" s="27">
        <v>0</v>
      </c>
      <c r="H1529" s="27">
        <v>0</v>
      </c>
      <c r="I1529" s="27">
        <v>0</v>
      </c>
      <c r="J1529" s="27">
        <v>0</v>
      </c>
      <c r="K1529" s="63">
        <f>AVERAGE(I1529:J1529)</f>
        <v>0</v>
      </c>
      <c r="L1529" s="56" t="str">
        <f>"SW-COMAS-PACKL"</f>
        <v>SW-COMAS-PACKL</v>
      </c>
      <c r="M1529" s="14"/>
      <c r="N1529" s="15"/>
      <c r="O1529" s="12"/>
      <c r="P1529" s="34"/>
      <c r="Q1529" s="37"/>
      <c r="R1529" s="47"/>
      <c r="S1529" s="46"/>
    </row>
    <row r="1530" spans="1:19" ht="15.6" hidden="1" customHeight="1" thickBot="1" x14ac:dyDescent="0.3">
      <c r="A1530" t="s">
        <v>23</v>
      </c>
      <c r="B1530" s="60" t="str">
        <f t="shared" si="1091"/>
        <v>hide</v>
      </c>
      <c r="D1530" s="48" t="str">
        <f>D1529</f>
        <v>17551</v>
      </c>
      <c r="E1530" s="7"/>
      <c r="F1530" s="27">
        <v>0</v>
      </c>
      <c r="G1530" s="27">
        <v>0</v>
      </c>
      <c r="H1530" s="27">
        <v>0</v>
      </c>
      <c r="I1530" s="27">
        <v>0</v>
      </c>
      <c r="J1530" s="27">
        <v>0</v>
      </c>
      <c r="K1530" s="63">
        <f>AVERAGE(I1530:J1530)</f>
        <v>0</v>
      </c>
      <c r="L1530" s="56" t="str">
        <f>"SW-RISER-PACK"</f>
        <v>SW-RISER-PACK</v>
      </c>
      <c r="M1530" s="14"/>
      <c r="N1530" s="15"/>
      <c r="O1530" s="12"/>
      <c r="P1530" s="34"/>
      <c r="Q1530" s="37"/>
      <c r="R1530" s="47"/>
      <c r="S1530" s="46"/>
    </row>
    <row r="1531" spans="1:19" ht="12" hidden="1" customHeight="1" x14ac:dyDescent="0.3">
      <c r="A1531" s="35" t="s">
        <v>908</v>
      </c>
      <c r="B1531" s="49" t="str">
        <f>B1527</f>
        <v>hide</v>
      </c>
      <c r="N1531"/>
      <c r="Q1531" s="33"/>
    </row>
    <row r="1532" spans="1:19" ht="13.8" hidden="1" thickBot="1" x14ac:dyDescent="0.3">
      <c r="A1532" t="s">
        <v>23</v>
      </c>
      <c r="B1532" s="49" t="str">
        <f t="shared" ref="B1532" si="1092">B1531</f>
        <v>hide</v>
      </c>
      <c r="D1532" s="58"/>
      <c r="E1532" s="58"/>
      <c r="F1532" s="52">
        <f>SUM(F1527:F1531)</f>
        <v>0</v>
      </c>
      <c r="G1532" s="52">
        <f>SUM(G1527:G1531)</f>
        <v>0</v>
      </c>
      <c r="H1532" s="52">
        <f>SUM(H1527:H1531)</f>
        <v>0</v>
      </c>
      <c r="I1532" s="52">
        <f>SUM(I1527:I1531)</f>
        <v>0</v>
      </c>
      <c r="J1532" s="52">
        <f>SUM(J1527:J1531)</f>
        <v>0</v>
      </c>
      <c r="K1532" s="52"/>
      <c r="L1532" s="51" t="s">
        <v>4</v>
      </c>
      <c r="M1532" s="58"/>
      <c r="N1532" s="58"/>
      <c r="O1532" s="58"/>
      <c r="P1532" s="58"/>
      <c r="Q1532" s="58"/>
      <c r="R1532" s="58"/>
      <c r="S1532" s="58"/>
    </row>
    <row r="1533" spans="1:19" s="59" customFormat="1" ht="18.75" customHeight="1" thickBot="1" x14ac:dyDescent="0.3">
      <c r="A1533" s="59" t="s">
        <v>23</v>
      </c>
      <c r="B1533" s="60" t="str">
        <f t="shared" ref="B1533:B1534" si="1093">IF(K1533=0,"hide","")</f>
        <v/>
      </c>
      <c r="D1533" s="61" t="str">
        <f>"17605"</f>
        <v>17605</v>
      </c>
      <c r="E1533" s="62" t="str">
        <f>"4"</f>
        <v>4</v>
      </c>
      <c r="F1533" s="63">
        <v>327.5</v>
      </c>
      <c r="G1533" s="63">
        <v>265</v>
      </c>
      <c r="H1533" s="63">
        <v>233.41666666666666</v>
      </c>
      <c r="I1533" s="63">
        <v>217.91666666666666</v>
      </c>
      <c r="J1533" s="63">
        <v>250.74481927710843</v>
      </c>
      <c r="K1533" s="63">
        <f>AVERAGE(I1533:J1533)</f>
        <v>234.33074297188756</v>
      </c>
      <c r="L1533" s="64" t="str">
        <f>"Whole Grain CORNBREAD LOAVES"</f>
        <v>Whole Grain CORNBREAD LOAVES</v>
      </c>
      <c r="M1533" s="65" t="str">
        <f>"140-2oz. 4-35 pk."</f>
        <v>140-2oz. 4-35 pk.</v>
      </c>
      <c r="N1533" s="66">
        <v>140</v>
      </c>
      <c r="O1533" s="67" t="str">
        <f>""</f>
        <v/>
      </c>
      <c r="P1533" s="68" t="e">
        <f>1/O1533</f>
        <v>#VALUE!</v>
      </c>
      <c r="Q1533" s="53">
        <v>1</v>
      </c>
      <c r="R1533" s="69">
        <f t="shared" ref="R1533" si="1094">1/Q1533</f>
        <v>1</v>
      </c>
      <c r="S1533" s="70">
        <f t="shared" ref="S1533" si="1095">R1533*N1533</f>
        <v>140</v>
      </c>
    </row>
    <row r="1534" spans="1:19" ht="15.6" hidden="1" customHeight="1" thickBot="1" x14ac:dyDescent="0.3">
      <c r="A1534" t="s">
        <v>23</v>
      </c>
      <c r="B1534" s="60" t="str">
        <f t="shared" si="1093"/>
        <v>hide</v>
      </c>
      <c r="D1534" s="48" t="str">
        <f>D1533</f>
        <v>17605</v>
      </c>
      <c r="E1534" s="7"/>
      <c r="F1534" s="27">
        <v>0</v>
      </c>
      <c r="G1534" s="27">
        <v>0</v>
      </c>
      <c r="H1534" s="27">
        <v>0</v>
      </c>
      <c r="I1534" s="27">
        <v>0</v>
      </c>
      <c r="J1534" s="27">
        <v>0</v>
      </c>
      <c r="K1534" s="63">
        <f>AVERAGE(I1534:J1534)</f>
        <v>0</v>
      </c>
      <c r="L1534" s="56" t="str">
        <f>"EQP-LAWPACK1"</f>
        <v>EQP-LAWPACK1</v>
      </c>
      <c r="M1534" s="14"/>
      <c r="N1534" s="15"/>
      <c r="O1534" s="12"/>
      <c r="P1534" s="34"/>
      <c r="Q1534" s="37"/>
      <c r="R1534" s="47"/>
      <c r="S1534" s="46"/>
    </row>
    <row r="1535" spans="1:19" ht="15.6" hidden="1" customHeight="1" thickBot="1" x14ac:dyDescent="0.3">
      <c r="A1535" t="s">
        <v>23</v>
      </c>
      <c r="B1535" s="60" t="str">
        <f t="shared" ref="B1535:B1537" si="1096">IF(K1535=0,"hide","")</f>
        <v>hide</v>
      </c>
      <c r="D1535" s="48" t="str">
        <f>D1534</f>
        <v>17605</v>
      </c>
      <c r="E1535" s="7"/>
      <c r="F1535" s="27">
        <v>0</v>
      </c>
      <c r="G1535" s="27">
        <v>0</v>
      </c>
      <c r="H1535" s="27">
        <v>0</v>
      </c>
      <c r="I1535" s="27">
        <v>0</v>
      </c>
      <c r="J1535" s="27">
        <v>0</v>
      </c>
      <c r="K1535" s="63">
        <f>AVERAGE(I1535:J1535)</f>
        <v>0</v>
      </c>
      <c r="L1535" s="56" t="str">
        <f>"EQP-LAWPACK2"</f>
        <v>EQP-LAWPACK2</v>
      </c>
      <c r="M1535" s="14"/>
      <c r="N1535" s="15"/>
      <c r="O1535" s="12"/>
      <c r="P1535" s="34"/>
      <c r="Q1535" s="37"/>
      <c r="R1535" s="47"/>
      <c r="S1535" s="46"/>
    </row>
    <row r="1536" spans="1:19" ht="15.6" hidden="1" customHeight="1" thickBot="1" x14ac:dyDescent="0.3">
      <c r="A1536" t="s">
        <v>23</v>
      </c>
      <c r="B1536" s="60" t="str">
        <f t="shared" si="1096"/>
        <v>hide</v>
      </c>
      <c r="D1536" s="48" t="str">
        <f>D1535</f>
        <v>17605</v>
      </c>
      <c r="E1536" s="7"/>
      <c r="F1536" s="27">
        <v>0</v>
      </c>
      <c r="G1536" s="27">
        <v>0</v>
      </c>
      <c r="H1536" s="27">
        <v>0</v>
      </c>
      <c r="I1536" s="27">
        <v>0</v>
      </c>
      <c r="J1536" s="27">
        <v>0</v>
      </c>
      <c r="K1536" s="63">
        <f>AVERAGE(I1536:J1536)</f>
        <v>0</v>
      </c>
      <c r="L1536" s="56" t="str">
        <f>"SW-COMAS-PACKL"</f>
        <v>SW-COMAS-PACKL</v>
      </c>
      <c r="M1536" s="14"/>
      <c r="N1536" s="15"/>
      <c r="O1536" s="12"/>
      <c r="P1536" s="34"/>
      <c r="Q1536" s="37"/>
      <c r="R1536" s="47"/>
      <c r="S1536" s="46"/>
    </row>
    <row r="1537" spans="1:19" ht="15.6" hidden="1" customHeight="1" thickBot="1" x14ac:dyDescent="0.3">
      <c r="A1537" t="s">
        <v>23</v>
      </c>
      <c r="B1537" s="60" t="str">
        <f t="shared" si="1096"/>
        <v>hide</v>
      </c>
      <c r="D1537" s="48" t="str">
        <f>D1536</f>
        <v>17605</v>
      </c>
      <c r="E1537" s="7"/>
      <c r="F1537" s="27">
        <v>0</v>
      </c>
      <c r="G1537" s="27">
        <v>0</v>
      </c>
      <c r="H1537" s="27">
        <v>0</v>
      </c>
      <c r="I1537" s="27">
        <v>0</v>
      </c>
      <c r="J1537" s="27">
        <v>0</v>
      </c>
      <c r="K1537" s="63">
        <f>AVERAGE(I1537:J1537)</f>
        <v>0</v>
      </c>
      <c r="L1537" s="56" t="str">
        <f>"SW-RISER-PACK"</f>
        <v>SW-RISER-PACK</v>
      </c>
      <c r="M1537" s="14"/>
      <c r="N1537" s="15"/>
      <c r="O1537" s="12"/>
      <c r="P1537" s="34"/>
      <c r="Q1537" s="37"/>
      <c r="R1537" s="47"/>
      <c r="S1537" s="46"/>
    </row>
    <row r="1538" spans="1:19" ht="12" hidden="1" customHeight="1" x14ac:dyDescent="0.3">
      <c r="A1538" s="35" t="s">
        <v>908</v>
      </c>
      <c r="B1538" s="49" t="str">
        <f>B1534</f>
        <v>hide</v>
      </c>
      <c r="N1538"/>
      <c r="Q1538" s="33"/>
    </row>
    <row r="1539" spans="1:19" ht="13.8" hidden="1" thickBot="1" x14ac:dyDescent="0.3">
      <c r="A1539" t="s">
        <v>23</v>
      </c>
      <c r="B1539" s="49" t="str">
        <f t="shared" ref="B1539" si="1097">B1538</f>
        <v>hide</v>
      </c>
      <c r="D1539" s="58"/>
      <c r="E1539" s="58"/>
      <c r="F1539" s="52">
        <f>SUM(F1534:F1538)</f>
        <v>0</v>
      </c>
      <c r="G1539" s="52">
        <f>SUM(G1534:G1538)</f>
        <v>0</v>
      </c>
      <c r="H1539" s="52">
        <f>SUM(H1534:H1538)</f>
        <v>0</v>
      </c>
      <c r="I1539" s="52">
        <f>SUM(I1534:I1538)</f>
        <v>0</v>
      </c>
      <c r="J1539" s="52">
        <f>SUM(J1534:J1538)</f>
        <v>0</v>
      </c>
      <c r="K1539" s="52"/>
      <c r="L1539" s="51" t="s">
        <v>4</v>
      </c>
      <c r="M1539" s="58"/>
      <c r="N1539" s="58"/>
      <c r="O1539" s="58"/>
      <c r="P1539" s="58"/>
      <c r="Q1539" s="58"/>
      <c r="R1539" s="58"/>
      <c r="S1539" s="58"/>
    </row>
    <row r="1540" spans="1:19" s="59" customFormat="1" ht="18.75" hidden="1" customHeight="1" thickBot="1" x14ac:dyDescent="0.3">
      <c r="A1540" s="59" t="s">
        <v>23</v>
      </c>
      <c r="B1540" s="60" t="str">
        <f t="shared" ref="B1540:B1541" si="1098">IF(K1540=0,"hide","")</f>
        <v>hide</v>
      </c>
      <c r="D1540" s="61" t="str">
        <f>"17625"</f>
        <v>17625</v>
      </c>
      <c r="E1540" s="62" t="str">
        <f>"2"</f>
        <v>2</v>
      </c>
      <c r="F1540" s="63">
        <v>11.25</v>
      </c>
      <c r="G1540" s="63">
        <v>0</v>
      </c>
      <c r="H1540" s="63">
        <v>0</v>
      </c>
      <c r="I1540" s="63">
        <v>0</v>
      </c>
      <c r="J1540" s="63">
        <v>0</v>
      </c>
      <c r="K1540" s="63">
        <f>AVERAGE(I1540:J1540)</f>
        <v>0</v>
      </c>
      <c r="L1540" s="64" t="str">
        <f>"WG Jalapeno Cornbread Loaves"</f>
        <v>WG Jalapeno Cornbread Loaves</v>
      </c>
      <c r="M1540" s="65" t="str">
        <f>"140/2 oz"</f>
        <v>140/2 oz</v>
      </c>
      <c r="N1540" s="66">
        <v>140</v>
      </c>
      <c r="O1540" s="67" t="str">
        <f>""</f>
        <v/>
      </c>
      <c r="P1540" s="68" t="e">
        <f>1/O1540</f>
        <v>#VALUE!</v>
      </c>
      <c r="Q1540" s="53">
        <v>1</v>
      </c>
      <c r="R1540" s="69">
        <f t="shared" ref="R1540" si="1099">1/Q1540</f>
        <v>1</v>
      </c>
      <c r="S1540" s="70">
        <f t="shared" ref="S1540" si="1100">R1540*N1540</f>
        <v>140</v>
      </c>
    </row>
    <row r="1541" spans="1:19" ht="15.6" hidden="1" customHeight="1" thickBot="1" x14ac:dyDescent="0.3">
      <c r="A1541" t="s">
        <v>23</v>
      </c>
      <c r="B1541" s="60" t="str">
        <f t="shared" si="1098"/>
        <v>hide</v>
      </c>
      <c r="D1541" s="48" t="str">
        <f>D1540</f>
        <v>17625</v>
      </c>
      <c r="E1541" s="7"/>
      <c r="F1541" s="27">
        <v>0</v>
      </c>
      <c r="G1541" s="27">
        <v>0</v>
      </c>
      <c r="H1541" s="27">
        <v>0</v>
      </c>
      <c r="I1541" s="27">
        <v>0</v>
      </c>
      <c r="J1541" s="27">
        <v>0</v>
      </c>
      <c r="K1541" s="63">
        <f>AVERAGE(I1541:J1541)</f>
        <v>0</v>
      </c>
      <c r="L1541" s="56" t="str">
        <f>"EQP-LAWPACK1"</f>
        <v>EQP-LAWPACK1</v>
      </c>
      <c r="M1541" s="14"/>
      <c r="N1541" s="15"/>
      <c r="O1541" s="12"/>
      <c r="P1541" s="34"/>
      <c r="Q1541" s="37"/>
      <c r="R1541" s="47"/>
      <c r="S1541" s="46"/>
    </row>
    <row r="1542" spans="1:19" ht="15.6" hidden="1" customHeight="1" thickBot="1" x14ac:dyDescent="0.3">
      <c r="A1542" t="s">
        <v>23</v>
      </c>
      <c r="B1542" s="60" t="str">
        <f t="shared" ref="B1542:B1544" si="1101">IF(K1542=0,"hide","")</f>
        <v>hide</v>
      </c>
      <c r="D1542" s="48" t="str">
        <f>D1541</f>
        <v>17625</v>
      </c>
      <c r="E1542" s="7"/>
      <c r="F1542" s="27">
        <v>0</v>
      </c>
      <c r="G1542" s="27">
        <v>0</v>
      </c>
      <c r="H1542" s="27">
        <v>0</v>
      </c>
      <c r="I1542" s="27">
        <v>0</v>
      </c>
      <c r="J1542" s="27">
        <v>0</v>
      </c>
      <c r="K1542" s="63">
        <f>AVERAGE(I1542:J1542)</f>
        <v>0</v>
      </c>
      <c r="L1542" s="56" t="str">
        <f>"EQP-LAWPACK2"</f>
        <v>EQP-LAWPACK2</v>
      </c>
      <c r="M1542" s="14"/>
      <c r="N1542" s="15"/>
      <c r="O1542" s="12"/>
      <c r="P1542" s="34"/>
      <c r="Q1542" s="37"/>
      <c r="R1542" s="47"/>
      <c r="S1542" s="46"/>
    </row>
    <row r="1543" spans="1:19" ht="15.6" hidden="1" customHeight="1" thickBot="1" x14ac:dyDescent="0.3">
      <c r="A1543" t="s">
        <v>23</v>
      </c>
      <c r="B1543" s="60" t="str">
        <f t="shared" si="1101"/>
        <v>hide</v>
      </c>
      <c r="D1543" s="48" t="str">
        <f>D1542</f>
        <v>17625</v>
      </c>
      <c r="E1543" s="7"/>
      <c r="F1543" s="27">
        <v>0</v>
      </c>
      <c r="G1543" s="27">
        <v>0</v>
      </c>
      <c r="H1543" s="27">
        <v>0</v>
      </c>
      <c r="I1543" s="27">
        <v>0</v>
      </c>
      <c r="J1543" s="27">
        <v>0</v>
      </c>
      <c r="K1543" s="63">
        <f>AVERAGE(I1543:J1543)</f>
        <v>0</v>
      </c>
      <c r="L1543" s="56" t="str">
        <f>"SW-COMAS-PACKL"</f>
        <v>SW-COMAS-PACKL</v>
      </c>
      <c r="M1543" s="14"/>
      <c r="N1543" s="15"/>
      <c r="O1543" s="12"/>
      <c r="P1543" s="34"/>
      <c r="Q1543" s="37"/>
      <c r="R1543" s="47"/>
      <c r="S1543" s="46"/>
    </row>
    <row r="1544" spans="1:19" ht="15.6" hidden="1" customHeight="1" thickBot="1" x14ac:dyDescent="0.3">
      <c r="A1544" t="s">
        <v>23</v>
      </c>
      <c r="B1544" s="60" t="str">
        <f t="shared" si="1101"/>
        <v>hide</v>
      </c>
      <c r="D1544" s="48" t="str">
        <f>D1543</f>
        <v>17625</v>
      </c>
      <c r="E1544" s="7"/>
      <c r="F1544" s="27">
        <v>0</v>
      </c>
      <c r="G1544" s="27">
        <v>0</v>
      </c>
      <c r="H1544" s="27">
        <v>0</v>
      </c>
      <c r="I1544" s="27">
        <v>0</v>
      </c>
      <c r="J1544" s="27">
        <v>0</v>
      </c>
      <c r="K1544" s="63">
        <f>AVERAGE(I1544:J1544)</f>
        <v>0</v>
      </c>
      <c r="L1544" s="56" t="str">
        <f>"SW-RISER-PACK"</f>
        <v>SW-RISER-PACK</v>
      </c>
      <c r="M1544" s="14"/>
      <c r="N1544" s="15"/>
      <c r="O1544" s="12"/>
      <c r="P1544" s="34"/>
      <c r="Q1544" s="37"/>
      <c r="R1544" s="47"/>
      <c r="S1544" s="46"/>
    </row>
    <row r="1545" spans="1:19" ht="12" hidden="1" customHeight="1" x14ac:dyDescent="0.3">
      <c r="A1545" s="35" t="s">
        <v>908</v>
      </c>
      <c r="B1545" s="49" t="str">
        <f>B1541</f>
        <v>hide</v>
      </c>
      <c r="N1545"/>
      <c r="Q1545" s="33"/>
    </row>
    <row r="1546" spans="1:19" ht="13.8" hidden="1" thickBot="1" x14ac:dyDescent="0.3">
      <c r="A1546" t="s">
        <v>23</v>
      </c>
      <c r="B1546" s="49" t="str">
        <f t="shared" ref="B1546" si="1102">B1545</f>
        <v>hide</v>
      </c>
      <c r="D1546" s="58"/>
      <c r="E1546" s="58"/>
      <c r="F1546" s="52">
        <f>SUM(F1541:F1545)</f>
        <v>0</v>
      </c>
      <c r="G1546" s="52">
        <f>SUM(G1541:G1545)</f>
        <v>0</v>
      </c>
      <c r="H1546" s="52">
        <f>SUM(H1541:H1545)</f>
        <v>0</v>
      </c>
      <c r="I1546" s="52">
        <f>SUM(I1541:I1545)</f>
        <v>0</v>
      </c>
      <c r="J1546" s="52">
        <f>SUM(J1541:J1545)</f>
        <v>0</v>
      </c>
      <c r="K1546" s="52"/>
      <c r="L1546" s="51" t="s">
        <v>4</v>
      </c>
      <c r="M1546" s="58"/>
      <c r="N1546" s="58"/>
      <c r="O1546" s="58"/>
      <c r="P1546" s="58"/>
      <c r="Q1546" s="58"/>
      <c r="R1546" s="58"/>
      <c r="S1546" s="58"/>
    </row>
    <row r="1547" spans="1:19" s="59" customFormat="1" ht="18.75" hidden="1" customHeight="1" thickBot="1" x14ac:dyDescent="0.3">
      <c r="A1547" s="59" t="s">
        <v>23</v>
      </c>
      <c r="B1547" s="60" t="str">
        <f t="shared" ref="B1547:B1548" si="1103">IF(K1547=0,"hide","")</f>
        <v>hide</v>
      </c>
      <c r="D1547" s="61" t="str">
        <f>"17701"</f>
        <v>17701</v>
      </c>
      <c r="E1547" s="62" t="str">
        <f>"2"</f>
        <v>2</v>
      </c>
      <c r="F1547" s="63">
        <v>0</v>
      </c>
      <c r="G1547" s="63">
        <v>0</v>
      </c>
      <c r="H1547" s="63">
        <v>0</v>
      </c>
      <c r="I1547" s="63">
        <v>0</v>
      </c>
      <c r="J1547" s="63">
        <v>0</v>
      </c>
      <c r="K1547" s="63">
        <f>AVERAGE(I1547:J1547)</f>
        <v>0</v>
      </c>
      <c r="L1547" s="64" t="str">
        <f>"BLUEBERRY LOAVES"</f>
        <v>BLUEBERRY LOAVES</v>
      </c>
      <c r="M1547" s="65" t="str">
        <f>"140-2.25oz. 4-35 pk."</f>
        <v>140-2.25oz. 4-35 pk.</v>
      </c>
      <c r="N1547" s="66">
        <v>140</v>
      </c>
      <c r="O1547" s="67" t="str">
        <f>""</f>
        <v/>
      </c>
      <c r="P1547" s="68" t="e">
        <f>1/O1547</f>
        <v>#VALUE!</v>
      </c>
      <c r="Q1547" s="53">
        <v>1</v>
      </c>
      <c r="R1547" s="69">
        <f t="shared" ref="R1547" si="1104">1/Q1547</f>
        <v>1</v>
      </c>
      <c r="S1547" s="70">
        <f t="shared" ref="S1547" si="1105">R1547*N1547</f>
        <v>140</v>
      </c>
    </row>
    <row r="1548" spans="1:19" ht="15.6" hidden="1" customHeight="1" thickBot="1" x14ac:dyDescent="0.3">
      <c r="A1548" t="s">
        <v>23</v>
      </c>
      <c r="B1548" s="60" t="str">
        <f t="shared" si="1103"/>
        <v>hide</v>
      </c>
      <c r="D1548" s="48" t="str">
        <f>D1547</f>
        <v>17701</v>
      </c>
      <c r="E1548" s="7"/>
      <c r="F1548" s="27">
        <v>0</v>
      </c>
      <c r="G1548" s="27">
        <v>0</v>
      </c>
      <c r="H1548" s="27">
        <v>0</v>
      </c>
      <c r="I1548" s="27">
        <v>0</v>
      </c>
      <c r="J1548" s="27">
        <v>0</v>
      </c>
      <c r="K1548" s="63">
        <f>AVERAGE(I1548:J1548)</f>
        <v>0</v>
      </c>
      <c r="L1548" s="56" t="str">
        <f>"EQP-LAWPACK1"</f>
        <v>EQP-LAWPACK1</v>
      </c>
      <c r="M1548" s="14"/>
      <c r="N1548" s="15"/>
      <c r="O1548" s="12"/>
      <c r="P1548" s="34"/>
      <c r="Q1548" s="37"/>
      <c r="R1548" s="47"/>
      <c r="S1548" s="46"/>
    </row>
    <row r="1549" spans="1:19" ht="15.6" hidden="1" customHeight="1" thickBot="1" x14ac:dyDescent="0.3">
      <c r="A1549" t="s">
        <v>23</v>
      </c>
      <c r="B1549" s="60" t="str">
        <f t="shared" ref="B1549:B1551" si="1106">IF(K1549=0,"hide","")</f>
        <v>hide</v>
      </c>
      <c r="D1549" s="48" t="str">
        <f>D1548</f>
        <v>17701</v>
      </c>
      <c r="E1549" s="7"/>
      <c r="F1549" s="27">
        <v>0</v>
      </c>
      <c r="G1549" s="27">
        <v>0</v>
      </c>
      <c r="H1549" s="27">
        <v>0</v>
      </c>
      <c r="I1549" s="27">
        <v>0</v>
      </c>
      <c r="J1549" s="27">
        <v>0</v>
      </c>
      <c r="K1549" s="63">
        <f>AVERAGE(I1549:J1549)</f>
        <v>0</v>
      </c>
      <c r="L1549" s="56" t="str">
        <f>"EQP-LAWPACK2"</f>
        <v>EQP-LAWPACK2</v>
      </c>
      <c r="M1549" s="14"/>
      <c r="N1549" s="15"/>
      <c r="O1549" s="12"/>
      <c r="P1549" s="34"/>
      <c r="Q1549" s="37"/>
      <c r="R1549" s="47"/>
      <c r="S1549" s="46"/>
    </row>
    <row r="1550" spans="1:19" ht="15.6" hidden="1" customHeight="1" thickBot="1" x14ac:dyDescent="0.3">
      <c r="A1550" t="s">
        <v>23</v>
      </c>
      <c r="B1550" s="60" t="str">
        <f t="shared" si="1106"/>
        <v>hide</v>
      </c>
      <c r="D1550" s="48" t="str">
        <f>D1549</f>
        <v>17701</v>
      </c>
      <c r="E1550" s="7"/>
      <c r="F1550" s="27">
        <v>0</v>
      </c>
      <c r="G1550" s="27">
        <v>0</v>
      </c>
      <c r="H1550" s="27">
        <v>0</v>
      </c>
      <c r="I1550" s="27">
        <v>0</v>
      </c>
      <c r="J1550" s="27">
        <v>0</v>
      </c>
      <c r="K1550" s="63">
        <f>AVERAGE(I1550:J1550)</f>
        <v>0</v>
      </c>
      <c r="L1550" s="56" t="str">
        <f>"SW-COMAS-PACKL"</f>
        <v>SW-COMAS-PACKL</v>
      </c>
      <c r="M1550" s="14"/>
      <c r="N1550" s="15"/>
      <c r="O1550" s="12"/>
      <c r="P1550" s="34"/>
      <c r="Q1550" s="37"/>
      <c r="R1550" s="47"/>
      <c r="S1550" s="46"/>
    </row>
    <row r="1551" spans="1:19" ht="15.6" hidden="1" customHeight="1" thickBot="1" x14ac:dyDescent="0.3">
      <c r="A1551" t="s">
        <v>23</v>
      </c>
      <c r="B1551" s="60" t="str">
        <f t="shared" si="1106"/>
        <v>hide</v>
      </c>
      <c r="D1551" s="48" t="str">
        <f>D1550</f>
        <v>17701</v>
      </c>
      <c r="E1551" s="7"/>
      <c r="F1551" s="27">
        <v>0</v>
      </c>
      <c r="G1551" s="27">
        <v>0</v>
      </c>
      <c r="H1551" s="27">
        <v>0</v>
      </c>
      <c r="I1551" s="27">
        <v>0</v>
      </c>
      <c r="J1551" s="27">
        <v>0</v>
      </c>
      <c r="K1551" s="63">
        <f>AVERAGE(I1551:J1551)</f>
        <v>0</v>
      </c>
      <c r="L1551" s="56" t="str">
        <f>"SW-RISER-PACK"</f>
        <v>SW-RISER-PACK</v>
      </c>
      <c r="M1551" s="14"/>
      <c r="N1551" s="15"/>
      <c r="O1551" s="12"/>
      <c r="P1551" s="34"/>
      <c r="Q1551" s="37"/>
      <c r="R1551" s="47"/>
      <c r="S1551" s="46"/>
    </row>
    <row r="1552" spans="1:19" ht="12" hidden="1" customHeight="1" x14ac:dyDescent="0.3">
      <c r="A1552" s="35" t="s">
        <v>908</v>
      </c>
      <c r="B1552" s="49" t="str">
        <f>B1548</f>
        <v>hide</v>
      </c>
      <c r="N1552"/>
      <c r="Q1552" s="33"/>
    </row>
    <row r="1553" spans="1:19" ht="13.8" hidden="1" thickBot="1" x14ac:dyDescent="0.3">
      <c r="A1553" t="s">
        <v>23</v>
      </c>
      <c r="B1553" s="49" t="str">
        <f t="shared" ref="B1553" si="1107">B1552</f>
        <v>hide</v>
      </c>
      <c r="D1553" s="58"/>
      <c r="E1553" s="58"/>
      <c r="F1553" s="52">
        <f>SUM(F1548:F1552)</f>
        <v>0</v>
      </c>
      <c r="G1553" s="52">
        <f>SUM(G1548:G1552)</f>
        <v>0</v>
      </c>
      <c r="H1553" s="52">
        <f>SUM(H1548:H1552)</f>
        <v>0</v>
      </c>
      <c r="I1553" s="52">
        <f>SUM(I1548:I1552)</f>
        <v>0</v>
      </c>
      <c r="J1553" s="52">
        <f>SUM(J1548:J1552)</f>
        <v>0</v>
      </c>
      <c r="K1553" s="52"/>
      <c r="L1553" s="51" t="s">
        <v>4</v>
      </c>
      <c r="M1553" s="58"/>
      <c r="N1553" s="58"/>
      <c r="O1553" s="58"/>
      <c r="P1553" s="58"/>
      <c r="Q1553" s="58"/>
      <c r="R1553" s="58"/>
      <c r="S1553" s="58"/>
    </row>
    <row r="1554" spans="1:19" s="59" customFormat="1" ht="18.75" customHeight="1" thickBot="1" x14ac:dyDescent="0.3">
      <c r="A1554" s="59" t="s">
        <v>23</v>
      </c>
      <c r="B1554" s="60" t="str">
        <f t="shared" ref="B1554:B1555" si="1108">IF(K1554=0,"hide","")</f>
        <v/>
      </c>
      <c r="D1554" s="61" t="str">
        <f>"17965"</f>
        <v>17965</v>
      </c>
      <c r="E1554" s="62" t="str">
        <f>"3"</f>
        <v>3</v>
      </c>
      <c r="F1554" s="63">
        <v>1061.4166666666667</v>
      </c>
      <c r="G1554" s="63">
        <v>916.33333333333337</v>
      </c>
      <c r="H1554" s="63">
        <v>691.75</v>
      </c>
      <c r="I1554" s="63">
        <v>765.66666666666663</v>
      </c>
      <c r="J1554" s="63">
        <v>572.81927710843377</v>
      </c>
      <c r="K1554" s="63">
        <f>AVERAGE(I1554:J1554)</f>
        <v>669.2429718875502</v>
      </c>
      <c r="L1554" s="64" t="str">
        <f>"1317 Mini Loaf, WG, Crnbrd, Tray Pk"</f>
        <v>1317 Mini Loaf, WG, Crnbrd, Tray Pk</v>
      </c>
      <c r="M1554" s="65" t="str">
        <f>"140/2 oz"</f>
        <v>140/2 oz</v>
      </c>
      <c r="N1554" s="66">
        <v>140</v>
      </c>
      <c r="O1554" s="67" t="str">
        <f>""</f>
        <v/>
      </c>
      <c r="P1554" s="68" t="e">
        <f>1/O1554</f>
        <v>#VALUE!</v>
      </c>
      <c r="Q1554" s="53">
        <v>1</v>
      </c>
      <c r="R1554" s="69">
        <f t="shared" ref="R1554" si="1109">1/Q1554</f>
        <v>1</v>
      </c>
      <c r="S1554" s="70">
        <f t="shared" ref="S1554" si="1110">R1554*N1554</f>
        <v>140</v>
      </c>
    </row>
    <row r="1555" spans="1:19" ht="15.6" hidden="1" customHeight="1" thickBot="1" x14ac:dyDescent="0.3">
      <c r="A1555" t="s">
        <v>23</v>
      </c>
      <c r="B1555" s="60" t="str">
        <f t="shared" si="1108"/>
        <v>hide</v>
      </c>
      <c r="D1555" s="48" t="str">
        <f>D1554</f>
        <v>17965</v>
      </c>
      <c r="E1555" s="7"/>
      <c r="F1555" s="27">
        <v>0</v>
      </c>
      <c r="G1555" s="27">
        <v>0</v>
      </c>
      <c r="H1555" s="27">
        <v>0</v>
      </c>
      <c r="I1555" s="27">
        <v>0</v>
      </c>
      <c r="J1555" s="27">
        <v>0</v>
      </c>
      <c r="K1555" s="63">
        <f>AVERAGE(I1555:J1555)</f>
        <v>0</v>
      </c>
      <c r="L1555" s="56" t="str">
        <f>"EQP-LAWPACK1"</f>
        <v>EQP-LAWPACK1</v>
      </c>
      <c r="M1555" s="14"/>
      <c r="N1555" s="15"/>
      <c r="O1555" s="12"/>
      <c r="P1555" s="34"/>
      <c r="Q1555" s="37"/>
      <c r="R1555" s="47"/>
      <c r="S1555" s="46"/>
    </row>
    <row r="1556" spans="1:19" ht="15.6" hidden="1" customHeight="1" thickBot="1" x14ac:dyDescent="0.3">
      <c r="A1556" t="s">
        <v>23</v>
      </c>
      <c r="B1556" s="60" t="str">
        <f t="shared" ref="B1556:B1558" si="1111">IF(K1556=0,"hide","")</f>
        <v>hide</v>
      </c>
      <c r="D1556" s="48" t="str">
        <f>D1555</f>
        <v>17965</v>
      </c>
      <c r="E1556" s="7"/>
      <c r="F1556" s="27">
        <v>0</v>
      </c>
      <c r="G1556" s="27">
        <v>0</v>
      </c>
      <c r="H1556" s="27">
        <v>0</v>
      </c>
      <c r="I1556" s="27">
        <v>0</v>
      </c>
      <c r="J1556" s="27">
        <v>0</v>
      </c>
      <c r="K1556" s="63">
        <f>AVERAGE(I1556:J1556)</f>
        <v>0</v>
      </c>
      <c r="L1556" s="56" t="str">
        <f>"EQP-LAWPACK2"</f>
        <v>EQP-LAWPACK2</v>
      </c>
      <c r="M1556" s="14"/>
      <c r="N1556" s="15"/>
      <c r="O1556" s="12"/>
      <c r="P1556" s="34"/>
      <c r="Q1556" s="37"/>
      <c r="R1556" s="47"/>
      <c r="S1556" s="46"/>
    </row>
    <row r="1557" spans="1:19" ht="15.6" hidden="1" customHeight="1" thickBot="1" x14ac:dyDescent="0.3">
      <c r="A1557" t="s">
        <v>23</v>
      </c>
      <c r="B1557" s="60" t="str">
        <f t="shared" si="1111"/>
        <v>hide</v>
      </c>
      <c r="D1557" s="48" t="str">
        <f>D1556</f>
        <v>17965</v>
      </c>
      <c r="E1557" s="7"/>
      <c r="F1557" s="27">
        <v>0</v>
      </c>
      <c r="G1557" s="27">
        <v>0</v>
      </c>
      <c r="H1557" s="27">
        <v>0</v>
      </c>
      <c r="I1557" s="27">
        <v>0</v>
      </c>
      <c r="J1557" s="27">
        <v>0</v>
      </c>
      <c r="K1557" s="63">
        <f>AVERAGE(I1557:J1557)</f>
        <v>0</v>
      </c>
      <c r="L1557" s="56" t="str">
        <f>"SW-COMAS-PACKL"</f>
        <v>SW-COMAS-PACKL</v>
      </c>
      <c r="M1557" s="14"/>
      <c r="N1557" s="15"/>
      <c r="O1557" s="12"/>
      <c r="P1557" s="34"/>
      <c r="Q1557" s="37"/>
      <c r="R1557" s="47"/>
      <c r="S1557" s="46"/>
    </row>
    <row r="1558" spans="1:19" ht="15.6" hidden="1" customHeight="1" thickBot="1" x14ac:dyDescent="0.3">
      <c r="A1558" t="s">
        <v>23</v>
      </c>
      <c r="B1558" s="60" t="str">
        <f t="shared" si="1111"/>
        <v>hide</v>
      </c>
      <c r="D1558" s="48" t="str">
        <f>D1557</f>
        <v>17965</v>
      </c>
      <c r="E1558" s="7"/>
      <c r="F1558" s="27">
        <v>0</v>
      </c>
      <c r="G1558" s="27">
        <v>0</v>
      </c>
      <c r="H1558" s="27">
        <v>0</v>
      </c>
      <c r="I1558" s="27">
        <v>0</v>
      </c>
      <c r="J1558" s="27">
        <v>0</v>
      </c>
      <c r="K1558" s="63">
        <f>AVERAGE(I1558:J1558)</f>
        <v>0</v>
      </c>
      <c r="L1558" s="56" t="str">
        <f>"SW-RISER-PACK"</f>
        <v>SW-RISER-PACK</v>
      </c>
      <c r="M1558" s="14"/>
      <c r="N1558" s="15"/>
      <c r="O1558" s="12"/>
      <c r="P1558" s="34"/>
      <c r="Q1558" s="37"/>
      <c r="R1558" s="47"/>
      <c r="S1558" s="46"/>
    </row>
    <row r="1559" spans="1:19" ht="12" hidden="1" customHeight="1" x14ac:dyDescent="0.3">
      <c r="A1559" s="35" t="s">
        <v>908</v>
      </c>
      <c r="B1559" s="49" t="str">
        <f>B1555</f>
        <v>hide</v>
      </c>
      <c r="N1559"/>
      <c r="Q1559" s="33"/>
    </row>
    <row r="1560" spans="1:19" ht="13.8" hidden="1" thickBot="1" x14ac:dyDescent="0.3">
      <c r="A1560" t="s">
        <v>23</v>
      </c>
      <c r="B1560" s="49" t="str">
        <f t="shared" ref="B1560" si="1112">B1559</f>
        <v>hide</v>
      </c>
      <c r="D1560" s="58"/>
      <c r="E1560" s="58"/>
      <c r="F1560" s="52">
        <f>SUM(F1555:F1559)</f>
        <v>0</v>
      </c>
      <c r="G1560" s="52">
        <f>SUM(G1555:G1559)</f>
        <v>0</v>
      </c>
      <c r="H1560" s="52">
        <f>SUM(H1555:H1559)</f>
        <v>0</v>
      </c>
      <c r="I1560" s="52">
        <f>SUM(I1555:I1559)</f>
        <v>0</v>
      </c>
      <c r="J1560" s="52">
        <f>SUM(J1555:J1559)</f>
        <v>0</v>
      </c>
      <c r="K1560" s="52"/>
      <c r="L1560" s="51" t="s">
        <v>4</v>
      </c>
      <c r="M1560" s="58"/>
      <c r="N1560" s="58"/>
      <c r="O1560" s="58"/>
      <c r="P1560" s="58"/>
      <c r="Q1560" s="58"/>
      <c r="R1560" s="58"/>
      <c r="S1560" s="58"/>
    </row>
    <row r="1561" spans="1:19" s="59" customFormat="1" ht="18.75" hidden="1" customHeight="1" thickBot="1" x14ac:dyDescent="0.3">
      <c r="A1561" s="59" t="s">
        <v>23</v>
      </c>
      <c r="B1561" s="60" t="str">
        <f t="shared" ref="B1561:B1562" si="1113">IF(K1561=0,"hide","")</f>
        <v>hide</v>
      </c>
      <c r="D1561" s="61" t="str">
        <f>"17985"</f>
        <v>17985</v>
      </c>
      <c r="E1561" s="62" t="str">
        <f>"3"</f>
        <v>3</v>
      </c>
      <c r="F1561" s="63">
        <v>0</v>
      </c>
      <c r="G1561" s="63">
        <v>0</v>
      </c>
      <c r="H1561" s="63">
        <v>0</v>
      </c>
      <c r="I1561" s="63">
        <v>0</v>
      </c>
      <c r="J1561" s="63">
        <v>0</v>
      </c>
      <c r="K1561" s="63">
        <f>AVERAGE(I1561:J1561)</f>
        <v>0</v>
      </c>
      <c r="L1561" s="64" t="str">
        <f>"1321 Mini Loaf, WG, Crnbrd SW, Tray"</f>
        <v>1321 Mini Loaf, WG, Crnbrd SW, Tray</v>
      </c>
      <c r="M1561" s="65" t="str">
        <f>"140/2oz"</f>
        <v>140/2oz</v>
      </c>
      <c r="N1561" s="66">
        <v>140</v>
      </c>
      <c r="O1561" s="67" t="str">
        <f>""</f>
        <v/>
      </c>
      <c r="P1561" s="68" t="e">
        <f>1/O1561</f>
        <v>#VALUE!</v>
      </c>
      <c r="Q1561" s="53">
        <v>1</v>
      </c>
      <c r="R1561" s="69">
        <f t="shared" ref="R1561" si="1114">1/Q1561</f>
        <v>1</v>
      </c>
      <c r="S1561" s="70">
        <f t="shared" ref="S1561" si="1115">R1561*N1561</f>
        <v>140</v>
      </c>
    </row>
    <row r="1562" spans="1:19" ht="15.6" hidden="1" customHeight="1" thickBot="1" x14ac:dyDescent="0.3">
      <c r="A1562" t="s">
        <v>23</v>
      </c>
      <c r="B1562" s="60" t="str">
        <f t="shared" si="1113"/>
        <v>hide</v>
      </c>
      <c r="D1562" s="48" t="str">
        <f>D1561</f>
        <v>17985</v>
      </c>
      <c r="E1562" s="7"/>
      <c r="F1562" s="27">
        <v>0</v>
      </c>
      <c r="G1562" s="27">
        <v>0</v>
      </c>
      <c r="H1562" s="27">
        <v>0</v>
      </c>
      <c r="I1562" s="27">
        <v>0</v>
      </c>
      <c r="J1562" s="27">
        <v>0</v>
      </c>
      <c r="K1562" s="63">
        <f>AVERAGE(I1562:J1562)</f>
        <v>0</v>
      </c>
      <c r="L1562" s="56" t="str">
        <f>"EQP-LAWPACK1"</f>
        <v>EQP-LAWPACK1</v>
      </c>
      <c r="M1562" s="14"/>
      <c r="N1562" s="15"/>
      <c r="O1562" s="12"/>
      <c r="P1562" s="34"/>
      <c r="Q1562" s="37"/>
      <c r="R1562" s="47"/>
      <c r="S1562" s="46"/>
    </row>
    <row r="1563" spans="1:19" ht="15.6" hidden="1" customHeight="1" thickBot="1" x14ac:dyDescent="0.3">
      <c r="A1563" t="s">
        <v>23</v>
      </c>
      <c r="B1563" s="60" t="str">
        <f t="shared" ref="B1563:B1565" si="1116">IF(K1563=0,"hide","")</f>
        <v>hide</v>
      </c>
      <c r="D1563" s="48" t="str">
        <f>D1562</f>
        <v>17985</v>
      </c>
      <c r="E1563" s="7"/>
      <c r="F1563" s="27">
        <v>0</v>
      </c>
      <c r="G1563" s="27">
        <v>0</v>
      </c>
      <c r="H1563" s="27">
        <v>0</v>
      </c>
      <c r="I1563" s="27">
        <v>0</v>
      </c>
      <c r="J1563" s="27">
        <v>0</v>
      </c>
      <c r="K1563" s="63">
        <f>AVERAGE(I1563:J1563)</f>
        <v>0</v>
      </c>
      <c r="L1563" s="56" t="str">
        <f>"EQP-LAWPACK2"</f>
        <v>EQP-LAWPACK2</v>
      </c>
      <c r="M1563" s="14"/>
      <c r="N1563" s="15"/>
      <c r="O1563" s="12"/>
      <c r="P1563" s="34"/>
      <c r="Q1563" s="37"/>
      <c r="R1563" s="47"/>
      <c r="S1563" s="46"/>
    </row>
    <row r="1564" spans="1:19" ht="15.6" hidden="1" customHeight="1" thickBot="1" x14ac:dyDescent="0.3">
      <c r="A1564" t="s">
        <v>23</v>
      </c>
      <c r="B1564" s="60" t="str">
        <f t="shared" si="1116"/>
        <v>hide</v>
      </c>
      <c r="D1564" s="48" t="str">
        <f>D1563</f>
        <v>17985</v>
      </c>
      <c r="E1564" s="7"/>
      <c r="F1564" s="27">
        <v>0</v>
      </c>
      <c r="G1564" s="27">
        <v>0</v>
      </c>
      <c r="H1564" s="27">
        <v>0</v>
      </c>
      <c r="I1564" s="27">
        <v>0</v>
      </c>
      <c r="J1564" s="27">
        <v>0</v>
      </c>
      <c r="K1564" s="63">
        <f>AVERAGE(I1564:J1564)</f>
        <v>0</v>
      </c>
      <c r="L1564" s="56" t="str">
        <f>"SW-COMAS-PACKL"</f>
        <v>SW-COMAS-PACKL</v>
      </c>
      <c r="M1564" s="14"/>
      <c r="N1564" s="15"/>
      <c r="O1564" s="12"/>
      <c r="P1564" s="34"/>
      <c r="Q1564" s="37"/>
      <c r="R1564" s="47"/>
      <c r="S1564" s="46"/>
    </row>
    <row r="1565" spans="1:19" ht="15.6" hidden="1" customHeight="1" thickBot="1" x14ac:dyDescent="0.3">
      <c r="A1565" t="s">
        <v>23</v>
      </c>
      <c r="B1565" s="60" t="str">
        <f t="shared" si="1116"/>
        <v>hide</v>
      </c>
      <c r="D1565" s="48" t="str">
        <f>D1564</f>
        <v>17985</v>
      </c>
      <c r="E1565" s="7"/>
      <c r="F1565" s="27">
        <v>0</v>
      </c>
      <c r="G1565" s="27">
        <v>0</v>
      </c>
      <c r="H1565" s="27">
        <v>0</v>
      </c>
      <c r="I1565" s="27">
        <v>0</v>
      </c>
      <c r="J1565" s="27">
        <v>0</v>
      </c>
      <c r="K1565" s="63">
        <f>AVERAGE(I1565:J1565)</f>
        <v>0</v>
      </c>
      <c r="L1565" s="56" t="str">
        <f>"SW-RISER-PACK"</f>
        <v>SW-RISER-PACK</v>
      </c>
      <c r="M1565" s="14"/>
      <c r="N1565" s="15"/>
      <c r="O1565" s="12"/>
      <c r="P1565" s="34"/>
      <c r="Q1565" s="37"/>
      <c r="R1565" s="47"/>
      <c r="S1565" s="46"/>
    </row>
    <row r="1566" spans="1:19" ht="12" hidden="1" customHeight="1" x14ac:dyDescent="0.3">
      <c r="A1566" s="35" t="s">
        <v>908</v>
      </c>
      <c r="B1566" s="49" t="str">
        <f>B1562</f>
        <v>hide</v>
      </c>
      <c r="N1566"/>
      <c r="Q1566" s="33"/>
    </row>
    <row r="1567" spans="1:19" ht="13.8" hidden="1" thickBot="1" x14ac:dyDescent="0.3">
      <c r="A1567" t="s">
        <v>23</v>
      </c>
      <c r="B1567" s="49" t="str">
        <f t="shared" ref="B1567" si="1117">B1566</f>
        <v>hide</v>
      </c>
      <c r="D1567" s="58"/>
      <c r="E1567" s="58"/>
      <c r="F1567" s="52">
        <f>SUM(F1562:F1566)</f>
        <v>0</v>
      </c>
      <c r="G1567" s="52">
        <f>SUM(G1562:G1566)</f>
        <v>0</v>
      </c>
      <c r="H1567" s="52">
        <f>SUM(H1562:H1566)</f>
        <v>0</v>
      </c>
      <c r="I1567" s="52">
        <f>SUM(I1562:I1566)</f>
        <v>0</v>
      </c>
      <c r="J1567" s="52">
        <f>SUM(J1562:J1566)</f>
        <v>0</v>
      </c>
      <c r="K1567" s="52"/>
      <c r="L1567" s="51" t="s">
        <v>4</v>
      </c>
      <c r="M1567" s="58"/>
      <c r="N1567" s="58"/>
      <c r="O1567" s="58"/>
      <c r="P1567" s="58"/>
      <c r="Q1567" s="58"/>
      <c r="R1567" s="58"/>
      <c r="S1567" s="58"/>
    </row>
    <row r="1568" spans="1:19" s="59" customFormat="1" ht="18.75" customHeight="1" thickBot="1" x14ac:dyDescent="0.3">
      <c r="A1568" s="59" t="s">
        <v>23</v>
      </c>
      <c r="B1568" s="60" t="str">
        <f t="shared" ref="B1568:B1569" si="1118">IF(K1568=0,"hide","")</f>
        <v/>
      </c>
      <c r="D1568" s="61" t="str">
        <f>"18065"</f>
        <v>18065</v>
      </c>
      <c r="E1568" s="62" t="str">
        <f>"1"</f>
        <v>1</v>
      </c>
      <c r="F1568" s="63">
        <v>0</v>
      </c>
      <c r="G1568" s="63">
        <v>0</v>
      </c>
      <c r="H1568" s="63">
        <v>293.50000000000006</v>
      </c>
      <c r="I1568" s="63">
        <v>608.08333333333326</v>
      </c>
      <c r="J1568" s="63">
        <v>699.38506024096387</v>
      </c>
      <c r="K1568" s="63">
        <f>AVERAGE(I1568:J1568)</f>
        <v>653.73419678714856</v>
      </c>
      <c r="L1568" s="64" t="str">
        <f>"WG CLEAN LABEL CORNBREAD"</f>
        <v>WG CLEAN LABEL CORNBREAD</v>
      </c>
      <c r="M1568" s="65" t="str">
        <f>"4-4 pound trays"</f>
        <v>4-4 pound trays</v>
      </c>
      <c r="N1568" s="66">
        <v>4</v>
      </c>
      <c r="O1568" s="67" t="str">
        <f>""</f>
        <v/>
      </c>
      <c r="P1568" s="68" t="e">
        <f>1/O1568</f>
        <v>#VALUE!</v>
      </c>
      <c r="Q1568" s="53">
        <v>1</v>
      </c>
      <c r="R1568" s="69">
        <f t="shared" ref="R1568" si="1119">1/Q1568</f>
        <v>1</v>
      </c>
      <c r="S1568" s="70">
        <f t="shared" ref="S1568" si="1120">R1568*N1568</f>
        <v>4</v>
      </c>
    </row>
    <row r="1569" spans="1:19" ht="15.6" hidden="1" customHeight="1" thickBot="1" x14ac:dyDescent="0.3">
      <c r="A1569" t="s">
        <v>23</v>
      </c>
      <c r="B1569" s="60" t="str">
        <f t="shared" si="1118"/>
        <v>hide</v>
      </c>
      <c r="D1569" s="48" t="str">
        <f>D1568</f>
        <v>18065</v>
      </c>
      <c r="E1569" s="7"/>
      <c r="F1569" s="27">
        <v>0</v>
      </c>
      <c r="G1569" s="27">
        <v>0</v>
      </c>
      <c r="H1569" s="27">
        <v>0</v>
      </c>
      <c r="I1569" s="27">
        <v>0</v>
      </c>
      <c r="J1569" s="27">
        <v>0</v>
      </c>
      <c r="K1569" s="63">
        <f>AVERAGE(I1569:J1569)</f>
        <v>0</v>
      </c>
      <c r="L1569" s="56" t="str">
        <f>"EQP-LAWPACK1"</f>
        <v>EQP-LAWPACK1</v>
      </c>
      <c r="M1569" s="14"/>
      <c r="N1569" s="15"/>
      <c r="O1569" s="12"/>
      <c r="P1569" s="34"/>
      <c r="Q1569" s="37"/>
      <c r="R1569" s="47"/>
      <c r="S1569" s="46"/>
    </row>
    <row r="1570" spans="1:19" ht="15.6" hidden="1" customHeight="1" thickBot="1" x14ac:dyDescent="0.3">
      <c r="A1570" t="s">
        <v>23</v>
      </c>
      <c r="B1570" s="60" t="str">
        <f t="shared" ref="B1570:B1572" si="1121">IF(K1570=0,"hide","")</f>
        <v>hide</v>
      </c>
      <c r="D1570" s="48" t="str">
        <f>D1569</f>
        <v>18065</v>
      </c>
      <c r="E1570" s="7"/>
      <c r="F1570" s="27">
        <v>0</v>
      </c>
      <c r="G1570" s="27">
        <v>0</v>
      </c>
      <c r="H1570" s="27">
        <v>0</v>
      </c>
      <c r="I1570" s="27">
        <v>0</v>
      </c>
      <c r="J1570" s="27">
        <v>0</v>
      </c>
      <c r="K1570" s="63">
        <f>AVERAGE(I1570:J1570)</f>
        <v>0</v>
      </c>
      <c r="L1570" s="56" t="str">
        <f>"EQP-LAWPACK2"</f>
        <v>EQP-LAWPACK2</v>
      </c>
      <c r="M1570" s="14"/>
      <c r="N1570" s="15"/>
      <c r="O1570" s="12"/>
      <c r="P1570" s="34"/>
      <c r="Q1570" s="37"/>
      <c r="R1570" s="47"/>
      <c r="S1570" s="46"/>
    </row>
    <row r="1571" spans="1:19" ht="15.6" hidden="1" customHeight="1" thickBot="1" x14ac:dyDescent="0.3">
      <c r="A1571" t="s">
        <v>23</v>
      </c>
      <c r="B1571" s="60" t="str">
        <f t="shared" si="1121"/>
        <v>hide</v>
      </c>
      <c r="D1571" s="48" t="str">
        <f>D1570</f>
        <v>18065</v>
      </c>
      <c r="E1571" s="7"/>
      <c r="F1571" s="27">
        <v>0</v>
      </c>
      <c r="G1571" s="27">
        <v>0</v>
      </c>
      <c r="H1571" s="27">
        <v>0</v>
      </c>
      <c r="I1571" s="27">
        <v>0</v>
      </c>
      <c r="J1571" s="27">
        <v>0</v>
      </c>
      <c r="K1571" s="63">
        <f>AVERAGE(I1571:J1571)</f>
        <v>0</v>
      </c>
      <c r="L1571" s="56" t="str">
        <f>"SW-COMAS-PACKL"</f>
        <v>SW-COMAS-PACKL</v>
      </c>
      <c r="M1571" s="14"/>
      <c r="N1571" s="15"/>
      <c r="O1571" s="12"/>
      <c r="P1571" s="34"/>
      <c r="Q1571" s="37"/>
      <c r="R1571" s="47"/>
      <c r="S1571" s="46"/>
    </row>
    <row r="1572" spans="1:19" ht="15.6" hidden="1" customHeight="1" thickBot="1" x14ac:dyDescent="0.3">
      <c r="A1572" t="s">
        <v>23</v>
      </c>
      <c r="B1572" s="60" t="str">
        <f t="shared" si="1121"/>
        <v>hide</v>
      </c>
      <c r="D1572" s="48" t="str">
        <f>D1571</f>
        <v>18065</v>
      </c>
      <c r="E1572" s="7"/>
      <c r="F1572" s="27">
        <v>0</v>
      </c>
      <c r="G1572" s="27">
        <v>0</v>
      </c>
      <c r="H1572" s="27">
        <v>0</v>
      </c>
      <c r="I1572" s="27">
        <v>0</v>
      </c>
      <c r="J1572" s="27">
        <v>0</v>
      </c>
      <c r="K1572" s="63">
        <f>AVERAGE(I1572:J1572)</f>
        <v>0</v>
      </c>
      <c r="L1572" s="56" t="str">
        <f>"SW-RISER-PACK"</f>
        <v>SW-RISER-PACK</v>
      </c>
      <c r="M1572" s="14"/>
      <c r="N1572" s="15"/>
      <c r="O1572" s="12"/>
      <c r="P1572" s="34"/>
      <c r="Q1572" s="37"/>
      <c r="R1572" s="47"/>
      <c r="S1572" s="46"/>
    </row>
    <row r="1573" spans="1:19" ht="12" hidden="1" customHeight="1" x14ac:dyDescent="0.3">
      <c r="A1573" s="35" t="s">
        <v>908</v>
      </c>
      <c r="B1573" s="49" t="str">
        <f>B1569</f>
        <v>hide</v>
      </c>
      <c r="N1573"/>
      <c r="Q1573" s="33"/>
    </row>
    <row r="1574" spans="1:19" ht="13.8" hidden="1" thickBot="1" x14ac:dyDescent="0.3">
      <c r="A1574" t="s">
        <v>23</v>
      </c>
      <c r="B1574" s="49" t="str">
        <f t="shared" ref="B1574" si="1122">B1573</f>
        <v>hide</v>
      </c>
      <c r="D1574" s="58"/>
      <c r="E1574" s="58"/>
      <c r="F1574" s="52">
        <f>SUM(F1569:F1573)</f>
        <v>0</v>
      </c>
      <c r="G1574" s="52">
        <f>SUM(G1569:G1573)</f>
        <v>0</v>
      </c>
      <c r="H1574" s="52">
        <f>SUM(H1569:H1573)</f>
        <v>0</v>
      </c>
      <c r="I1574" s="52">
        <f>SUM(I1569:I1573)</f>
        <v>0</v>
      </c>
      <c r="J1574" s="52">
        <f>SUM(J1569:J1573)</f>
        <v>0</v>
      </c>
      <c r="K1574" s="52"/>
      <c r="L1574" s="51" t="s">
        <v>4</v>
      </c>
      <c r="M1574" s="58"/>
      <c r="N1574" s="58"/>
      <c r="O1574" s="58"/>
      <c r="P1574" s="58"/>
      <c r="Q1574" s="58"/>
      <c r="R1574" s="58"/>
      <c r="S1574" s="58"/>
    </row>
    <row r="1575" spans="1:19" s="59" customFormat="1" ht="18.75" hidden="1" customHeight="1" thickBot="1" x14ac:dyDescent="0.3">
      <c r="A1575" s="59" t="s">
        <v>23</v>
      </c>
      <c r="B1575" s="60" t="str">
        <f t="shared" ref="B1575:B1576" si="1123">IF(K1575=0,"hide","")</f>
        <v>hide</v>
      </c>
      <c r="D1575" s="61" t="str">
        <f>"18265"</f>
        <v>18265</v>
      </c>
      <c r="E1575" s="62" t="str">
        <f>"1"</f>
        <v>1</v>
      </c>
      <c r="F1575" s="63">
        <v>0</v>
      </c>
      <c r="G1575" s="63">
        <v>0</v>
      </c>
      <c r="H1575" s="63">
        <v>0</v>
      </c>
      <c r="I1575" s="63">
        <v>0</v>
      </c>
      <c r="J1575" s="63">
        <v>0</v>
      </c>
      <c r="K1575" s="63">
        <f>AVERAGE(I1575:J1575)</f>
        <v>0</v>
      </c>
      <c r="L1575" s="64" t="str">
        <f>"WG CLEAN LABEL CORNBREAD"</f>
        <v>WG CLEAN LABEL CORNBREAD</v>
      </c>
      <c r="M1575" s="65" t="str">
        <f>"4-4 pound trays"</f>
        <v>4-4 pound trays</v>
      </c>
      <c r="N1575" s="66">
        <v>4</v>
      </c>
      <c r="O1575" s="67" t="str">
        <f>""</f>
        <v/>
      </c>
      <c r="P1575" s="68" t="e">
        <f>1/O1575</f>
        <v>#VALUE!</v>
      </c>
      <c r="Q1575" s="53">
        <v>1</v>
      </c>
      <c r="R1575" s="69">
        <f t="shared" ref="R1575" si="1124">1/Q1575</f>
        <v>1</v>
      </c>
      <c r="S1575" s="70">
        <f t="shared" ref="S1575" si="1125">R1575*N1575</f>
        <v>4</v>
      </c>
    </row>
    <row r="1576" spans="1:19" ht="15.6" hidden="1" customHeight="1" thickBot="1" x14ac:dyDescent="0.3">
      <c r="A1576" t="s">
        <v>23</v>
      </c>
      <c r="B1576" s="60" t="str">
        <f t="shared" si="1123"/>
        <v>hide</v>
      </c>
      <c r="D1576" s="48" t="str">
        <f>D1575</f>
        <v>18265</v>
      </c>
      <c r="E1576" s="7"/>
      <c r="F1576" s="27">
        <v>0</v>
      </c>
      <c r="G1576" s="27">
        <v>0</v>
      </c>
      <c r="H1576" s="27">
        <v>0</v>
      </c>
      <c r="I1576" s="27">
        <v>0</v>
      </c>
      <c r="J1576" s="27">
        <v>0</v>
      </c>
      <c r="K1576" s="63">
        <f>AVERAGE(I1576:J1576)</f>
        <v>0</v>
      </c>
      <c r="L1576" s="56" t="str">
        <f>"EQP-LAWPACK1"</f>
        <v>EQP-LAWPACK1</v>
      </c>
      <c r="M1576" s="14"/>
      <c r="N1576" s="15"/>
      <c r="O1576" s="12"/>
      <c r="P1576" s="34"/>
      <c r="Q1576" s="37"/>
      <c r="R1576" s="47"/>
      <c r="S1576" s="46"/>
    </row>
    <row r="1577" spans="1:19" ht="15.6" hidden="1" customHeight="1" thickBot="1" x14ac:dyDescent="0.3">
      <c r="A1577" t="s">
        <v>23</v>
      </c>
      <c r="B1577" s="60" t="str">
        <f t="shared" ref="B1577:B1579" si="1126">IF(K1577=0,"hide","")</f>
        <v>hide</v>
      </c>
      <c r="D1577" s="48" t="str">
        <f>D1576</f>
        <v>18265</v>
      </c>
      <c r="E1577" s="7"/>
      <c r="F1577" s="27">
        <v>0</v>
      </c>
      <c r="G1577" s="27">
        <v>0</v>
      </c>
      <c r="H1577" s="27">
        <v>0</v>
      </c>
      <c r="I1577" s="27">
        <v>0</v>
      </c>
      <c r="J1577" s="27">
        <v>0</v>
      </c>
      <c r="K1577" s="63">
        <f>AVERAGE(I1577:J1577)</f>
        <v>0</v>
      </c>
      <c r="L1577" s="56" t="str">
        <f>"EQP-LAWPACK2"</f>
        <v>EQP-LAWPACK2</v>
      </c>
      <c r="M1577" s="14"/>
      <c r="N1577" s="15"/>
      <c r="O1577" s="12"/>
      <c r="P1577" s="34"/>
      <c r="Q1577" s="37"/>
      <c r="R1577" s="47"/>
      <c r="S1577" s="46"/>
    </row>
    <row r="1578" spans="1:19" ht="15.6" hidden="1" customHeight="1" thickBot="1" x14ac:dyDescent="0.3">
      <c r="A1578" t="s">
        <v>23</v>
      </c>
      <c r="B1578" s="60" t="str">
        <f t="shared" si="1126"/>
        <v>hide</v>
      </c>
      <c r="D1578" s="48" t="str">
        <f>D1577</f>
        <v>18265</v>
      </c>
      <c r="E1578" s="7"/>
      <c r="F1578" s="27">
        <v>0</v>
      </c>
      <c r="G1578" s="27">
        <v>0</v>
      </c>
      <c r="H1578" s="27">
        <v>0</v>
      </c>
      <c r="I1578" s="27">
        <v>0</v>
      </c>
      <c r="J1578" s="27">
        <v>0</v>
      </c>
      <c r="K1578" s="63">
        <f>AVERAGE(I1578:J1578)</f>
        <v>0</v>
      </c>
      <c r="L1578" s="56" t="str">
        <f>"SW-COMAS-PACKL"</f>
        <v>SW-COMAS-PACKL</v>
      </c>
      <c r="M1578" s="14"/>
      <c r="N1578" s="15"/>
      <c r="O1578" s="12"/>
      <c r="P1578" s="34"/>
      <c r="Q1578" s="37"/>
      <c r="R1578" s="47"/>
      <c r="S1578" s="46"/>
    </row>
    <row r="1579" spans="1:19" ht="15.6" hidden="1" customHeight="1" thickBot="1" x14ac:dyDescent="0.3">
      <c r="A1579" t="s">
        <v>23</v>
      </c>
      <c r="B1579" s="60" t="str">
        <f t="shared" si="1126"/>
        <v>hide</v>
      </c>
      <c r="D1579" s="48" t="str">
        <f>D1578</f>
        <v>18265</v>
      </c>
      <c r="E1579" s="7"/>
      <c r="F1579" s="27">
        <v>0</v>
      </c>
      <c r="G1579" s="27">
        <v>0</v>
      </c>
      <c r="H1579" s="27">
        <v>0</v>
      </c>
      <c r="I1579" s="27">
        <v>0</v>
      </c>
      <c r="J1579" s="27">
        <v>0</v>
      </c>
      <c r="K1579" s="63">
        <f>AVERAGE(I1579:J1579)</f>
        <v>0</v>
      </c>
      <c r="L1579" s="56" t="str">
        <f>"SW-RISER-PACK"</f>
        <v>SW-RISER-PACK</v>
      </c>
      <c r="M1579" s="14"/>
      <c r="N1579" s="15"/>
      <c r="O1579" s="12"/>
      <c r="P1579" s="34"/>
      <c r="Q1579" s="37"/>
      <c r="R1579" s="47"/>
      <c r="S1579" s="46"/>
    </row>
    <row r="1580" spans="1:19" ht="12" hidden="1" customHeight="1" x14ac:dyDescent="0.3">
      <c r="A1580" s="35" t="s">
        <v>908</v>
      </c>
      <c r="B1580" s="49" t="str">
        <f>B1576</f>
        <v>hide</v>
      </c>
      <c r="N1580"/>
      <c r="Q1580" s="33"/>
    </row>
    <row r="1581" spans="1:19" ht="13.8" hidden="1" thickBot="1" x14ac:dyDescent="0.3">
      <c r="A1581" t="s">
        <v>23</v>
      </c>
      <c r="B1581" s="49" t="str">
        <f t="shared" ref="B1581" si="1127">B1580</f>
        <v>hide</v>
      </c>
      <c r="D1581" s="58"/>
      <c r="E1581" s="58"/>
      <c r="F1581" s="52">
        <f>SUM(F1576:F1580)</f>
        <v>0</v>
      </c>
      <c r="G1581" s="52">
        <f>SUM(G1576:G1580)</f>
        <v>0</v>
      </c>
      <c r="H1581" s="52">
        <f>SUM(H1576:H1580)</f>
        <v>0</v>
      </c>
      <c r="I1581" s="52">
        <f>SUM(I1576:I1580)</f>
        <v>0</v>
      </c>
      <c r="J1581" s="52">
        <f>SUM(J1576:J1580)</f>
        <v>0</v>
      </c>
      <c r="K1581" s="52"/>
      <c r="L1581" s="51" t="s">
        <v>4</v>
      </c>
      <c r="M1581" s="58"/>
      <c r="N1581" s="58"/>
      <c r="O1581" s="58"/>
      <c r="P1581" s="58"/>
      <c r="Q1581" s="58"/>
      <c r="R1581" s="58"/>
      <c r="S1581" s="58"/>
    </row>
    <row r="1582" spans="1:19" s="59" customFormat="1" ht="18.75" customHeight="1" thickBot="1" x14ac:dyDescent="0.3">
      <c r="A1582" s="59" t="s">
        <v>23</v>
      </c>
      <c r="B1582" s="60" t="str">
        <f t="shared" ref="B1582:B1583" si="1128">IF(K1582=0,"hide","")</f>
        <v/>
      </c>
      <c r="D1582" s="61" t="str">
        <f>"18305"</f>
        <v>18305</v>
      </c>
      <c r="E1582" s="62" t="str">
        <f>"3"</f>
        <v>3</v>
      </c>
      <c r="F1582" s="63">
        <v>131.75</v>
      </c>
      <c r="G1582" s="63">
        <v>320</v>
      </c>
      <c r="H1582" s="63">
        <v>591</v>
      </c>
      <c r="I1582" s="63">
        <v>867.5</v>
      </c>
      <c r="J1582" s="63">
        <v>872.86746987951813</v>
      </c>
      <c r="K1582" s="63">
        <f>AVERAGE(I1582:J1582)</f>
        <v>870.18373493975901</v>
      </c>
      <c r="L1582" s="64" t="str">
        <f>"CORNBREAD 1/2 SHEETS"</f>
        <v>CORNBREAD 1/2 SHEETS</v>
      </c>
      <c r="M1582" s="65" t="str">
        <f>"4-4 pound trays"</f>
        <v>4-4 pound trays</v>
      </c>
      <c r="N1582" s="66">
        <v>4</v>
      </c>
      <c r="O1582" s="67" t="str">
        <f>""</f>
        <v/>
      </c>
      <c r="P1582" s="68" t="e">
        <f>1/O1582</f>
        <v>#VALUE!</v>
      </c>
      <c r="Q1582" s="53">
        <v>1</v>
      </c>
      <c r="R1582" s="69">
        <f t="shared" ref="R1582" si="1129">1/Q1582</f>
        <v>1</v>
      </c>
      <c r="S1582" s="70">
        <f t="shared" ref="S1582" si="1130">R1582*N1582</f>
        <v>4</v>
      </c>
    </row>
    <row r="1583" spans="1:19" ht="15.6" hidden="1" customHeight="1" thickBot="1" x14ac:dyDescent="0.3">
      <c r="A1583" t="s">
        <v>23</v>
      </c>
      <c r="B1583" s="60" t="str">
        <f t="shared" si="1128"/>
        <v>hide</v>
      </c>
      <c r="D1583" s="48" t="str">
        <f>D1582</f>
        <v>18305</v>
      </c>
      <c r="E1583" s="7"/>
      <c r="F1583" s="27">
        <v>0</v>
      </c>
      <c r="G1583" s="27">
        <v>0</v>
      </c>
      <c r="H1583" s="27">
        <v>0</v>
      </c>
      <c r="I1583" s="27">
        <v>0</v>
      </c>
      <c r="J1583" s="27">
        <v>0</v>
      </c>
      <c r="K1583" s="63">
        <f>AVERAGE(I1583:J1583)</f>
        <v>0</v>
      </c>
      <c r="L1583" s="56" t="str">
        <f>"EQP-LAWPACK1"</f>
        <v>EQP-LAWPACK1</v>
      </c>
      <c r="M1583" s="14"/>
      <c r="N1583" s="15"/>
      <c r="O1583" s="12"/>
      <c r="P1583" s="34"/>
      <c r="Q1583" s="37"/>
      <c r="R1583" s="47"/>
      <c r="S1583" s="46"/>
    </row>
    <row r="1584" spans="1:19" ht="15.6" hidden="1" customHeight="1" thickBot="1" x14ac:dyDescent="0.3">
      <c r="A1584" t="s">
        <v>23</v>
      </c>
      <c r="B1584" s="60" t="str">
        <f t="shared" ref="B1584:B1586" si="1131">IF(K1584=0,"hide","")</f>
        <v>hide</v>
      </c>
      <c r="D1584" s="48" t="str">
        <f>D1583</f>
        <v>18305</v>
      </c>
      <c r="E1584" s="7"/>
      <c r="F1584" s="27">
        <v>0</v>
      </c>
      <c r="G1584" s="27">
        <v>0</v>
      </c>
      <c r="H1584" s="27">
        <v>0</v>
      </c>
      <c r="I1584" s="27">
        <v>0</v>
      </c>
      <c r="J1584" s="27">
        <v>0</v>
      </c>
      <c r="K1584" s="63">
        <f>AVERAGE(I1584:J1584)</f>
        <v>0</v>
      </c>
      <c r="L1584" s="56" t="str">
        <f>"EQP-LAWPACK2"</f>
        <v>EQP-LAWPACK2</v>
      </c>
      <c r="M1584" s="14"/>
      <c r="N1584" s="15"/>
      <c r="O1584" s="12"/>
      <c r="P1584" s="34"/>
      <c r="Q1584" s="37"/>
      <c r="R1584" s="47"/>
      <c r="S1584" s="46"/>
    </row>
    <row r="1585" spans="1:19" ht="15.6" hidden="1" customHeight="1" thickBot="1" x14ac:dyDescent="0.3">
      <c r="A1585" t="s">
        <v>23</v>
      </c>
      <c r="B1585" s="60" t="str">
        <f t="shared" si="1131"/>
        <v>hide</v>
      </c>
      <c r="D1585" s="48" t="str">
        <f>D1584</f>
        <v>18305</v>
      </c>
      <c r="E1585" s="7"/>
      <c r="F1585" s="27">
        <v>0</v>
      </c>
      <c r="G1585" s="27">
        <v>0</v>
      </c>
      <c r="H1585" s="27">
        <v>0</v>
      </c>
      <c r="I1585" s="27">
        <v>0</v>
      </c>
      <c r="J1585" s="27">
        <v>0</v>
      </c>
      <c r="K1585" s="63">
        <f>AVERAGE(I1585:J1585)</f>
        <v>0</v>
      </c>
      <c r="L1585" s="56" t="str">
        <f>"SW-COMAS-PACKL"</f>
        <v>SW-COMAS-PACKL</v>
      </c>
      <c r="M1585" s="14"/>
      <c r="N1585" s="15"/>
      <c r="O1585" s="12"/>
      <c r="P1585" s="34"/>
      <c r="Q1585" s="37"/>
      <c r="R1585" s="47"/>
      <c r="S1585" s="46"/>
    </row>
    <row r="1586" spans="1:19" ht="15.6" hidden="1" customHeight="1" thickBot="1" x14ac:dyDescent="0.3">
      <c r="A1586" t="s">
        <v>23</v>
      </c>
      <c r="B1586" s="60" t="str">
        <f t="shared" si="1131"/>
        <v>hide</v>
      </c>
      <c r="D1586" s="48" t="str">
        <f>D1585</f>
        <v>18305</v>
      </c>
      <c r="E1586" s="7"/>
      <c r="F1586" s="27">
        <v>0</v>
      </c>
      <c r="G1586" s="27">
        <v>0</v>
      </c>
      <c r="H1586" s="27">
        <v>0</v>
      </c>
      <c r="I1586" s="27">
        <v>0</v>
      </c>
      <c r="J1586" s="27">
        <v>0</v>
      </c>
      <c r="K1586" s="63">
        <f>AVERAGE(I1586:J1586)</f>
        <v>0</v>
      </c>
      <c r="L1586" s="56" t="str">
        <f>"SW-RISER-PACK"</f>
        <v>SW-RISER-PACK</v>
      </c>
      <c r="M1586" s="14"/>
      <c r="N1586" s="15"/>
      <c r="O1586" s="12"/>
      <c r="P1586" s="34"/>
      <c r="Q1586" s="37"/>
      <c r="R1586" s="47"/>
      <c r="S1586" s="46"/>
    </row>
    <row r="1587" spans="1:19" ht="12" hidden="1" customHeight="1" x14ac:dyDescent="0.3">
      <c r="A1587" s="35" t="s">
        <v>908</v>
      </c>
      <c r="B1587" s="49" t="str">
        <f>B1583</f>
        <v>hide</v>
      </c>
      <c r="N1587"/>
      <c r="Q1587" s="33"/>
    </row>
    <row r="1588" spans="1:19" ht="13.8" hidden="1" thickBot="1" x14ac:dyDescent="0.3">
      <c r="A1588" t="s">
        <v>23</v>
      </c>
      <c r="B1588" s="49" t="str">
        <f t="shared" ref="B1588" si="1132">B1587</f>
        <v>hide</v>
      </c>
      <c r="D1588" s="58"/>
      <c r="E1588" s="58"/>
      <c r="F1588" s="52">
        <f>SUM(F1583:F1587)</f>
        <v>0</v>
      </c>
      <c r="G1588" s="52">
        <f>SUM(G1583:G1587)</f>
        <v>0</v>
      </c>
      <c r="H1588" s="52">
        <f>SUM(H1583:H1587)</f>
        <v>0</v>
      </c>
      <c r="I1588" s="52">
        <f>SUM(I1583:I1587)</f>
        <v>0</v>
      </c>
      <c r="J1588" s="52">
        <f>SUM(J1583:J1587)</f>
        <v>0</v>
      </c>
      <c r="K1588" s="52"/>
      <c r="L1588" s="51" t="s">
        <v>4</v>
      </c>
      <c r="M1588" s="58"/>
      <c r="N1588" s="58"/>
      <c r="O1588" s="58"/>
      <c r="P1588" s="58"/>
      <c r="Q1588" s="58"/>
      <c r="R1588" s="58"/>
      <c r="S1588" s="58"/>
    </row>
    <row r="1589" spans="1:19" s="59" customFormat="1" ht="18.75" hidden="1" customHeight="1" thickBot="1" x14ac:dyDescent="0.3">
      <c r="A1589" s="59" t="s">
        <v>23</v>
      </c>
      <c r="B1589" s="60" t="str">
        <f t="shared" ref="B1589:B1590" si="1133">IF(K1589=0,"hide","")</f>
        <v>hide</v>
      </c>
      <c r="D1589" s="61" t="str">
        <f>"18325"</f>
        <v>18325</v>
      </c>
      <c r="E1589" s="62" t="str">
        <f>"1"</f>
        <v>1</v>
      </c>
      <c r="F1589" s="63">
        <v>0</v>
      </c>
      <c r="G1589" s="63">
        <v>0</v>
      </c>
      <c r="H1589" s="63">
        <v>0</v>
      </c>
      <c r="I1589" s="63">
        <v>0</v>
      </c>
      <c r="J1589" s="63">
        <v>0</v>
      </c>
      <c r="K1589" s="63">
        <f>AVERAGE(I1589:J1589)</f>
        <v>0</v>
      </c>
      <c r="L1589" s="64" t="str">
        <f>"JALAPENO CORNBREAD 1/2 SHEETS"</f>
        <v>JALAPENO CORNBREAD 1/2 SHEETS</v>
      </c>
      <c r="M1589" s="65" t="str">
        <f>"4-4 pound trays"</f>
        <v>4-4 pound trays</v>
      </c>
      <c r="N1589" s="66">
        <v>4</v>
      </c>
      <c r="O1589" s="67" t="str">
        <f>""</f>
        <v/>
      </c>
      <c r="P1589" s="68" t="e">
        <f>1/O1589</f>
        <v>#VALUE!</v>
      </c>
      <c r="Q1589" s="53">
        <v>1</v>
      </c>
      <c r="R1589" s="69">
        <f t="shared" ref="R1589" si="1134">1/Q1589</f>
        <v>1</v>
      </c>
      <c r="S1589" s="70">
        <f t="shared" ref="S1589" si="1135">R1589*N1589</f>
        <v>4</v>
      </c>
    </row>
    <row r="1590" spans="1:19" ht="15.6" hidden="1" customHeight="1" thickBot="1" x14ac:dyDescent="0.3">
      <c r="A1590" t="s">
        <v>23</v>
      </c>
      <c r="B1590" s="60" t="str">
        <f t="shared" si="1133"/>
        <v>hide</v>
      </c>
      <c r="D1590" s="48" t="str">
        <f>D1589</f>
        <v>18325</v>
      </c>
      <c r="E1590" s="7"/>
      <c r="F1590" s="27">
        <v>0</v>
      </c>
      <c r="G1590" s="27">
        <v>0</v>
      </c>
      <c r="H1590" s="27">
        <v>0</v>
      </c>
      <c r="I1590" s="27">
        <v>0</v>
      </c>
      <c r="J1590" s="27">
        <v>0</v>
      </c>
      <c r="K1590" s="63">
        <f>AVERAGE(I1590:J1590)</f>
        <v>0</v>
      </c>
      <c r="L1590" s="56" t="str">
        <f>"EQP-LAWPACK1"</f>
        <v>EQP-LAWPACK1</v>
      </c>
      <c r="M1590" s="14"/>
      <c r="N1590" s="15"/>
      <c r="O1590" s="12"/>
      <c r="P1590" s="34"/>
      <c r="Q1590" s="37"/>
      <c r="R1590" s="47"/>
      <c r="S1590" s="46"/>
    </row>
    <row r="1591" spans="1:19" ht="15.6" hidden="1" customHeight="1" thickBot="1" x14ac:dyDescent="0.3">
      <c r="A1591" t="s">
        <v>23</v>
      </c>
      <c r="B1591" s="60" t="str">
        <f t="shared" ref="B1591:B1593" si="1136">IF(K1591=0,"hide","")</f>
        <v>hide</v>
      </c>
      <c r="D1591" s="48" t="str">
        <f>D1590</f>
        <v>18325</v>
      </c>
      <c r="E1591" s="7"/>
      <c r="F1591" s="27">
        <v>0</v>
      </c>
      <c r="G1591" s="27">
        <v>0</v>
      </c>
      <c r="H1591" s="27">
        <v>0</v>
      </c>
      <c r="I1591" s="27">
        <v>0</v>
      </c>
      <c r="J1591" s="27">
        <v>0</v>
      </c>
      <c r="K1591" s="63">
        <f>AVERAGE(I1591:J1591)</f>
        <v>0</v>
      </c>
      <c r="L1591" s="56" t="str">
        <f>"EQP-LAWPACK2"</f>
        <v>EQP-LAWPACK2</v>
      </c>
      <c r="M1591" s="14"/>
      <c r="N1591" s="15"/>
      <c r="O1591" s="12"/>
      <c r="P1591" s="34"/>
      <c r="Q1591" s="37"/>
      <c r="R1591" s="47"/>
      <c r="S1591" s="46"/>
    </row>
    <row r="1592" spans="1:19" ht="15.6" hidden="1" customHeight="1" thickBot="1" x14ac:dyDescent="0.3">
      <c r="A1592" t="s">
        <v>23</v>
      </c>
      <c r="B1592" s="60" t="str">
        <f t="shared" si="1136"/>
        <v>hide</v>
      </c>
      <c r="D1592" s="48" t="str">
        <f>D1591</f>
        <v>18325</v>
      </c>
      <c r="E1592" s="7"/>
      <c r="F1592" s="27">
        <v>0</v>
      </c>
      <c r="G1592" s="27">
        <v>0</v>
      </c>
      <c r="H1592" s="27">
        <v>0</v>
      </c>
      <c r="I1592" s="27">
        <v>0</v>
      </c>
      <c r="J1592" s="27">
        <v>0</v>
      </c>
      <c r="K1592" s="63">
        <f>AVERAGE(I1592:J1592)</f>
        <v>0</v>
      </c>
      <c r="L1592" s="56" t="str">
        <f>"SW-COMAS-PACKL"</f>
        <v>SW-COMAS-PACKL</v>
      </c>
      <c r="M1592" s="14"/>
      <c r="N1592" s="15"/>
      <c r="O1592" s="12"/>
      <c r="P1592" s="34"/>
      <c r="Q1592" s="37"/>
      <c r="R1592" s="47"/>
      <c r="S1592" s="46"/>
    </row>
    <row r="1593" spans="1:19" ht="15.6" hidden="1" customHeight="1" thickBot="1" x14ac:dyDescent="0.3">
      <c r="A1593" t="s">
        <v>23</v>
      </c>
      <c r="B1593" s="60" t="str">
        <f t="shared" si="1136"/>
        <v>hide</v>
      </c>
      <c r="D1593" s="48" t="str">
        <f>D1592</f>
        <v>18325</v>
      </c>
      <c r="E1593" s="7"/>
      <c r="F1593" s="27">
        <v>0</v>
      </c>
      <c r="G1593" s="27">
        <v>0</v>
      </c>
      <c r="H1593" s="27">
        <v>0</v>
      </c>
      <c r="I1593" s="27">
        <v>0</v>
      </c>
      <c r="J1593" s="27">
        <v>0</v>
      </c>
      <c r="K1593" s="63">
        <f>AVERAGE(I1593:J1593)</f>
        <v>0</v>
      </c>
      <c r="L1593" s="56" t="str">
        <f>"SW-RISER-PACK"</f>
        <v>SW-RISER-PACK</v>
      </c>
      <c r="M1593" s="14"/>
      <c r="N1593" s="15"/>
      <c r="O1593" s="12"/>
      <c r="P1593" s="34"/>
      <c r="Q1593" s="37"/>
      <c r="R1593" s="47"/>
      <c r="S1593" s="46"/>
    </row>
    <row r="1594" spans="1:19" ht="12" hidden="1" customHeight="1" x14ac:dyDescent="0.3">
      <c r="A1594" s="35" t="s">
        <v>908</v>
      </c>
      <c r="B1594" s="49" t="str">
        <f>B1590</f>
        <v>hide</v>
      </c>
      <c r="N1594"/>
      <c r="Q1594" s="33"/>
    </row>
    <row r="1595" spans="1:19" ht="13.8" hidden="1" thickBot="1" x14ac:dyDescent="0.3">
      <c r="A1595" t="s">
        <v>23</v>
      </c>
      <c r="B1595" s="49" t="str">
        <f t="shared" ref="B1595" si="1137">B1594</f>
        <v>hide</v>
      </c>
      <c r="D1595" s="58"/>
      <c r="E1595" s="58"/>
      <c r="F1595" s="52">
        <f>SUM(F1590:F1594)</f>
        <v>0</v>
      </c>
      <c r="G1595" s="52">
        <f>SUM(G1590:G1594)</f>
        <v>0</v>
      </c>
      <c r="H1595" s="52">
        <f>SUM(H1590:H1594)</f>
        <v>0</v>
      </c>
      <c r="I1595" s="52">
        <f>SUM(I1590:I1594)</f>
        <v>0</v>
      </c>
      <c r="J1595" s="52">
        <f>SUM(J1590:J1594)</f>
        <v>0</v>
      </c>
      <c r="K1595" s="52"/>
      <c r="L1595" s="51" t="s">
        <v>4</v>
      </c>
      <c r="M1595" s="58"/>
      <c r="N1595" s="58"/>
      <c r="O1595" s="58"/>
      <c r="P1595" s="58"/>
      <c r="Q1595" s="58"/>
      <c r="R1595" s="58"/>
      <c r="S1595" s="58"/>
    </row>
    <row r="1596" spans="1:19" s="59" customFormat="1" ht="18.75" customHeight="1" thickBot="1" x14ac:dyDescent="0.3">
      <c r="A1596" s="59" t="s">
        <v>23</v>
      </c>
      <c r="B1596" s="60" t="str">
        <f t="shared" ref="B1596:B1597" si="1138">IF(K1596=0,"hide","")</f>
        <v/>
      </c>
      <c r="D1596" s="61" t="str">
        <f>"18374"</f>
        <v>18374</v>
      </c>
      <c r="E1596" s="62" t="str">
        <f>"1"</f>
        <v>1</v>
      </c>
      <c r="F1596" s="63">
        <v>0</v>
      </c>
      <c r="G1596" s="63">
        <v>0</v>
      </c>
      <c r="H1596" s="63">
        <v>0</v>
      </c>
      <c r="I1596" s="63">
        <v>0</v>
      </c>
      <c r="J1596" s="63">
        <v>48.621445783132529</v>
      </c>
      <c r="K1596" s="63">
        <f>AVERAGE(I1596:J1596)</f>
        <v>24.310722891566265</v>
      </c>
      <c r="L1596" s="64" t="str">
        <f>"Sunwise Cinnamon Toast "</f>
        <v xml:space="preserve">Sunwise Cinnamon Toast </v>
      </c>
      <c r="M1596" s="65" t="str">
        <f>"4-5 pound trays"</f>
        <v>4-5 pound trays</v>
      </c>
      <c r="N1596" s="66">
        <v>4</v>
      </c>
      <c r="O1596" s="67" t="str">
        <f>""</f>
        <v/>
      </c>
      <c r="P1596" s="68" t="e">
        <f>1/O1596</f>
        <v>#VALUE!</v>
      </c>
      <c r="Q1596" s="53">
        <v>1</v>
      </c>
      <c r="R1596" s="69">
        <f t="shared" ref="R1596" si="1139">1/Q1596</f>
        <v>1</v>
      </c>
      <c r="S1596" s="70">
        <f t="shared" ref="S1596" si="1140">R1596*N1596</f>
        <v>4</v>
      </c>
    </row>
    <row r="1597" spans="1:19" ht="15.6" hidden="1" customHeight="1" thickBot="1" x14ac:dyDescent="0.3">
      <c r="A1597" t="s">
        <v>23</v>
      </c>
      <c r="B1597" s="60" t="str">
        <f t="shared" si="1138"/>
        <v>hide</v>
      </c>
      <c r="D1597" s="48" t="str">
        <f>D1596</f>
        <v>18374</v>
      </c>
      <c r="E1597" s="7"/>
      <c r="F1597" s="27">
        <v>0</v>
      </c>
      <c r="G1597" s="27">
        <v>0</v>
      </c>
      <c r="H1597" s="27">
        <v>0</v>
      </c>
      <c r="I1597" s="27">
        <v>0</v>
      </c>
      <c r="J1597" s="27">
        <v>0</v>
      </c>
      <c r="K1597" s="63">
        <f>AVERAGE(I1597:J1597)</f>
        <v>0</v>
      </c>
      <c r="L1597" s="56" t="str">
        <f>"EQP-LAWPACK1"</f>
        <v>EQP-LAWPACK1</v>
      </c>
      <c r="M1597" s="14"/>
      <c r="N1597" s="15"/>
      <c r="O1597" s="12"/>
      <c r="P1597" s="34"/>
      <c r="Q1597" s="37"/>
      <c r="R1597" s="47"/>
      <c r="S1597" s="46"/>
    </row>
    <row r="1598" spans="1:19" ht="15.6" hidden="1" customHeight="1" thickBot="1" x14ac:dyDescent="0.3">
      <c r="A1598" t="s">
        <v>23</v>
      </c>
      <c r="B1598" s="60" t="str">
        <f t="shared" ref="B1598:B1600" si="1141">IF(K1598=0,"hide","")</f>
        <v>hide</v>
      </c>
      <c r="D1598" s="48" t="str">
        <f>D1597</f>
        <v>18374</v>
      </c>
      <c r="E1598" s="7"/>
      <c r="F1598" s="27">
        <v>0</v>
      </c>
      <c r="G1598" s="27">
        <v>0</v>
      </c>
      <c r="H1598" s="27">
        <v>0</v>
      </c>
      <c r="I1598" s="27">
        <v>0</v>
      </c>
      <c r="J1598" s="27">
        <v>0</v>
      </c>
      <c r="K1598" s="63">
        <f>AVERAGE(I1598:J1598)</f>
        <v>0</v>
      </c>
      <c r="L1598" s="56" t="str">
        <f>"EQP-LAWPACK2"</f>
        <v>EQP-LAWPACK2</v>
      </c>
      <c r="M1598" s="14"/>
      <c r="N1598" s="15"/>
      <c r="O1598" s="12"/>
      <c r="P1598" s="34"/>
      <c r="Q1598" s="37"/>
      <c r="R1598" s="47"/>
      <c r="S1598" s="46"/>
    </row>
    <row r="1599" spans="1:19" ht="15.6" hidden="1" customHeight="1" thickBot="1" x14ac:dyDescent="0.3">
      <c r="A1599" t="s">
        <v>23</v>
      </c>
      <c r="B1599" s="60" t="str">
        <f t="shared" si="1141"/>
        <v>hide</v>
      </c>
      <c r="D1599" s="48" t="str">
        <f>D1598</f>
        <v>18374</v>
      </c>
      <c r="E1599" s="7"/>
      <c r="F1599" s="27">
        <v>0</v>
      </c>
      <c r="G1599" s="27">
        <v>0</v>
      </c>
      <c r="H1599" s="27">
        <v>0</v>
      </c>
      <c r="I1599" s="27">
        <v>0</v>
      </c>
      <c r="J1599" s="27">
        <v>0</v>
      </c>
      <c r="K1599" s="63">
        <f>AVERAGE(I1599:J1599)</f>
        <v>0</v>
      </c>
      <c r="L1599" s="56" t="str">
        <f>"SW-COMAS-PACKL"</f>
        <v>SW-COMAS-PACKL</v>
      </c>
      <c r="M1599" s="14"/>
      <c r="N1599" s="15"/>
      <c r="O1599" s="12"/>
      <c r="P1599" s="34"/>
      <c r="Q1599" s="37"/>
      <c r="R1599" s="47"/>
      <c r="S1599" s="46"/>
    </row>
    <row r="1600" spans="1:19" ht="15.6" hidden="1" customHeight="1" thickBot="1" x14ac:dyDescent="0.3">
      <c r="A1600" t="s">
        <v>23</v>
      </c>
      <c r="B1600" s="60" t="str">
        <f t="shared" si="1141"/>
        <v>hide</v>
      </c>
      <c r="D1600" s="48" t="str">
        <f>D1599</f>
        <v>18374</v>
      </c>
      <c r="E1600" s="7"/>
      <c r="F1600" s="27">
        <v>0</v>
      </c>
      <c r="G1600" s="27">
        <v>0</v>
      </c>
      <c r="H1600" s="27">
        <v>0</v>
      </c>
      <c r="I1600" s="27">
        <v>0</v>
      </c>
      <c r="J1600" s="27">
        <v>0</v>
      </c>
      <c r="K1600" s="63">
        <f>AVERAGE(I1600:J1600)</f>
        <v>0</v>
      </c>
      <c r="L1600" s="56" t="str">
        <f>"SW-RISER-PACK"</f>
        <v>SW-RISER-PACK</v>
      </c>
      <c r="M1600" s="14"/>
      <c r="N1600" s="15"/>
      <c r="O1600" s="12"/>
      <c r="P1600" s="34"/>
      <c r="Q1600" s="37"/>
      <c r="R1600" s="47"/>
      <c r="S1600" s="46"/>
    </row>
    <row r="1601" spans="1:19" ht="12" hidden="1" customHeight="1" x14ac:dyDescent="0.3">
      <c r="A1601" s="35" t="s">
        <v>908</v>
      </c>
      <c r="B1601" s="49" t="str">
        <f>B1597</f>
        <v>hide</v>
      </c>
      <c r="N1601"/>
      <c r="Q1601" s="33"/>
    </row>
    <row r="1602" spans="1:19" ht="13.8" hidden="1" thickBot="1" x14ac:dyDescent="0.3">
      <c r="A1602" t="s">
        <v>23</v>
      </c>
      <c r="B1602" s="49" t="str">
        <f t="shared" ref="B1602" si="1142">B1601</f>
        <v>hide</v>
      </c>
      <c r="D1602" s="58"/>
      <c r="E1602" s="58"/>
      <c r="F1602" s="52">
        <f>SUM(F1597:F1601)</f>
        <v>0</v>
      </c>
      <c r="G1602" s="52">
        <f>SUM(G1597:G1601)</f>
        <v>0</v>
      </c>
      <c r="H1602" s="52">
        <f>SUM(H1597:H1601)</f>
        <v>0</v>
      </c>
      <c r="I1602" s="52">
        <f>SUM(I1597:I1601)</f>
        <v>0</v>
      </c>
      <c r="J1602" s="52">
        <f>SUM(J1597:J1601)</f>
        <v>0</v>
      </c>
      <c r="K1602" s="52"/>
      <c r="L1602" s="51" t="s">
        <v>4</v>
      </c>
      <c r="M1602" s="58"/>
      <c r="N1602" s="58"/>
      <c r="O1602" s="58"/>
      <c r="P1602" s="58"/>
      <c r="Q1602" s="58"/>
      <c r="R1602" s="58"/>
      <c r="S1602" s="58"/>
    </row>
    <row r="1603" spans="1:19" s="59" customFormat="1" ht="18.75" hidden="1" customHeight="1" thickBot="1" x14ac:dyDescent="0.3">
      <c r="A1603" s="59" t="s">
        <v>23</v>
      </c>
      <c r="B1603" s="60" t="str">
        <f t="shared" ref="B1603:B1604" si="1143">IF(K1603=0,"hide","")</f>
        <v>hide</v>
      </c>
      <c r="D1603" s="61" t="str">
        <f>"18401"</f>
        <v>18401</v>
      </c>
      <c r="E1603" s="62" t="str">
        <f>"10"</f>
        <v>10</v>
      </c>
      <c r="F1603" s="63">
        <v>13.416666666666666</v>
      </c>
      <c r="G1603" s="63">
        <v>0</v>
      </c>
      <c r="H1603" s="63">
        <v>0</v>
      </c>
      <c r="I1603" s="63">
        <v>0</v>
      </c>
      <c r="J1603" s="63">
        <v>0</v>
      </c>
      <c r="K1603" s="63">
        <f>AVERAGE(I1603:J1603)</f>
        <v>0</v>
      </c>
      <c r="L1603" s="64" t="str">
        <f>"BLUEBERRY MUFFINS"</f>
        <v>BLUEBERRY MUFFINS</v>
      </c>
      <c r="M1603" s="65" t="str">
        <f>"96-2 oz. 4-24 pack"</f>
        <v>96-2 oz. 4-24 pack</v>
      </c>
      <c r="N1603" s="66">
        <v>96</v>
      </c>
      <c r="O1603" s="67" t="str">
        <f>""</f>
        <v/>
      </c>
      <c r="P1603" s="68" t="e">
        <f>1/O1603</f>
        <v>#VALUE!</v>
      </c>
      <c r="Q1603" s="53">
        <v>1</v>
      </c>
      <c r="R1603" s="69">
        <f t="shared" ref="R1603" si="1144">1/Q1603</f>
        <v>1</v>
      </c>
      <c r="S1603" s="70">
        <f t="shared" ref="S1603" si="1145">R1603*N1603</f>
        <v>96</v>
      </c>
    </row>
    <row r="1604" spans="1:19" ht="15.6" hidden="1" customHeight="1" thickBot="1" x14ac:dyDescent="0.3">
      <c r="A1604" t="s">
        <v>23</v>
      </c>
      <c r="B1604" s="60" t="str">
        <f t="shared" si="1143"/>
        <v>hide</v>
      </c>
      <c r="D1604" s="48" t="str">
        <f>D1603</f>
        <v>18401</v>
      </c>
      <c r="E1604" s="7"/>
      <c r="F1604" s="27">
        <v>0</v>
      </c>
      <c r="G1604" s="27">
        <v>0</v>
      </c>
      <c r="H1604" s="27">
        <v>0</v>
      </c>
      <c r="I1604" s="27">
        <v>0</v>
      </c>
      <c r="J1604" s="27">
        <v>0</v>
      </c>
      <c r="K1604" s="63">
        <f>AVERAGE(I1604:J1604)</f>
        <v>0</v>
      </c>
      <c r="L1604" s="56" t="str">
        <f>"EQP-LAWPACK1"</f>
        <v>EQP-LAWPACK1</v>
      </c>
      <c r="M1604" s="14"/>
      <c r="N1604" s="15"/>
      <c r="O1604" s="12"/>
      <c r="P1604" s="34"/>
      <c r="Q1604" s="37"/>
      <c r="R1604" s="47"/>
      <c r="S1604" s="46"/>
    </row>
    <row r="1605" spans="1:19" ht="15.6" hidden="1" customHeight="1" thickBot="1" x14ac:dyDescent="0.3">
      <c r="A1605" t="s">
        <v>23</v>
      </c>
      <c r="B1605" s="60" t="str">
        <f t="shared" ref="B1605:B1607" si="1146">IF(K1605=0,"hide","")</f>
        <v>hide</v>
      </c>
      <c r="D1605" s="48" t="str">
        <f>D1604</f>
        <v>18401</v>
      </c>
      <c r="E1605" s="7"/>
      <c r="F1605" s="27">
        <v>0</v>
      </c>
      <c r="G1605" s="27">
        <v>0</v>
      </c>
      <c r="H1605" s="27">
        <v>0</v>
      </c>
      <c r="I1605" s="27">
        <v>0</v>
      </c>
      <c r="J1605" s="27">
        <v>0</v>
      </c>
      <c r="K1605" s="63">
        <f>AVERAGE(I1605:J1605)</f>
        <v>0</v>
      </c>
      <c r="L1605" s="56" t="str">
        <f>"EQP-LAWPACK2"</f>
        <v>EQP-LAWPACK2</v>
      </c>
      <c r="M1605" s="14"/>
      <c r="N1605" s="15"/>
      <c r="O1605" s="12"/>
      <c r="P1605" s="34"/>
      <c r="Q1605" s="37"/>
      <c r="R1605" s="47"/>
      <c r="S1605" s="46"/>
    </row>
    <row r="1606" spans="1:19" ht="15.6" hidden="1" customHeight="1" thickBot="1" x14ac:dyDescent="0.3">
      <c r="A1606" t="s">
        <v>23</v>
      </c>
      <c r="B1606" s="60" t="str">
        <f t="shared" si="1146"/>
        <v>hide</v>
      </c>
      <c r="D1606" s="48" t="str">
        <f>D1605</f>
        <v>18401</v>
      </c>
      <c r="E1606" s="7"/>
      <c r="F1606" s="27">
        <v>0</v>
      </c>
      <c r="G1606" s="27">
        <v>0</v>
      </c>
      <c r="H1606" s="27">
        <v>0</v>
      </c>
      <c r="I1606" s="27">
        <v>0</v>
      </c>
      <c r="J1606" s="27">
        <v>0</v>
      </c>
      <c r="K1606" s="63">
        <f>AVERAGE(I1606:J1606)</f>
        <v>0</v>
      </c>
      <c r="L1606" s="56" t="str">
        <f>"SW-COMAS-PACKL"</f>
        <v>SW-COMAS-PACKL</v>
      </c>
      <c r="M1606" s="14"/>
      <c r="N1606" s="15"/>
      <c r="O1606" s="12"/>
      <c r="P1606" s="34"/>
      <c r="Q1606" s="37"/>
      <c r="R1606" s="47"/>
      <c r="S1606" s="46"/>
    </row>
    <row r="1607" spans="1:19" ht="15.6" hidden="1" customHeight="1" thickBot="1" x14ac:dyDescent="0.3">
      <c r="A1607" t="s">
        <v>23</v>
      </c>
      <c r="B1607" s="60" t="str">
        <f t="shared" si="1146"/>
        <v>hide</v>
      </c>
      <c r="D1607" s="48" t="str">
        <f>D1606</f>
        <v>18401</v>
      </c>
      <c r="E1607" s="7"/>
      <c r="F1607" s="27">
        <v>0</v>
      </c>
      <c r="G1607" s="27">
        <v>0</v>
      </c>
      <c r="H1607" s="27">
        <v>0</v>
      </c>
      <c r="I1607" s="27">
        <v>0</v>
      </c>
      <c r="J1607" s="27">
        <v>0</v>
      </c>
      <c r="K1607" s="63">
        <f>AVERAGE(I1607:J1607)</f>
        <v>0</v>
      </c>
      <c r="L1607" s="56" t="str">
        <f>"SW-RISER-PACK"</f>
        <v>SW-RISER-PACK</v>
      </c>
      <c r="M1607" s="14"/>
      <c r="N1607" s="15"/>
      <c r="O1607" s="12"/>
      <c r="P1607" s="34"/>
      <c r="Q1607" s="37"/>
      <c r="R1607" s="47"/>
      <c r="S1607" s="46"/>
    </row>
    <row r="1608" spans="1:19" ht="12" hidden="1" customHeight="1" x14ac:dyDescent="0.3">
      <c r="A1608" s="35" t="s">
        <v>908</v>
      </c>
      <c r="B1608" s="49" t="str">
        <f>B1604</f>
        <v>hide</v>
      </c>
      <c r="N1608"/>
      <c r="Q1608" s="33"/>
    </row>
    <row r="1609" spans="1:19" ht="13.8" hidden="1" thickBot="1" x14ac:dyDescent="0.3">
      <c r="A1609" t="s">
        <v>23</v>
      </c>
      <c r="B1609" s="49" t="str">
        <f t="shared" ref="B1609" si="1147">B1608</f>
        <v>hide</v>
      </c>
      <c r="D1609" s="58"/>
      <c r="E1609" s="58"/>
      <c r="F1609" s="52">
        <f>SUM(F1604:F1608)</f>
        <v>0</v>
      </c>
      <c r="G1609" s="52">
        <f>SUM(G1604:G1608)</f>
        <v>0</v>
      </c>
      <c r="H1609" s="52">
        <f>SUM(H1604:H1608)</f>
        <v>0</v>
      </c>
      <c r="I1609" s="52">
        <f>SUM(I1604:I1608)</f>
        <v>0</v>
      </c>
      <c r="J1609" s="52">
        <f>SUM(J1604:J1608)</f>
        <v>0</v>
      </c>
      <c r="K1609" s="52"/>
      <c r="L1609" s="51" t="s">
        <v>4</v>
      </c>
      <c r="M1609" s="58"/>
      <c r="N1609" s="58"/>
      <c r="O1609" s="58"/>
      <c r="P1609" s="58"/>
      <c r="Q1609" s="58"/>
      <c r="R1609" s="58"/>
      <c r="S1609" s="58"/>
    </row>
    <row r="1610" spans="1:19" s="59" customFormat="1" ht="18.75" hidden="1" customHeight="1" thickBot="1" x14ac:dyDescent="0.3">
      <c r="A1610" s="59" t="s">
        <v>23</v>
      </c>
      <c r="B1610" s="60" t="str">
        <f t="shared" ref="B1610:B1611" si="1148">IF(K1610=0,"hide","")</f>
        <v>hide</v>
      </c>
      <c r="D1610" s="61" t="str">
        <f>"18405"</f>
        <v>18405</v>
      </c>
      <c r="E1610" s="62" t="str">
        <f>"3"</f>
        <v>3</v>
      </c>
      <c r="F1610" s="63">
        <v>0</v>
      </c>
      <c r="G1610" s="63">
        <v>26.666666666666668</v>
      </c>
      <c r="H1610" s="63">
        <v>6</v>
      </c>
      <c r="I1610" s="63">
        <v>0</v>
      </c>
      <c r="J1610" s="63">
        <v>0</v>
      </c>
      <c r="K1610" s="63">
        <f>AVERAGE(I1610:J1610)</f>
        <v>0</v>
      </c>
      <c r="L1610" s="64" t="str">
        <f>"CORNBREAD  1/2 SHEETS (UNCUT)"</f>
        <v>CORNBREAD  1/2 SHEETS (UNCUT)</v>
      </c>
      <c r="M1610" s="65" t="str">
        <f>"4-4 pound trays"</f>
        <v>4-4 pound trays</v>
      </c>
      <c r="N1610" s="66">
        <v>4</v>
      </c>
      <c r="O1610" s="67" t="str">
        <f>""</f>
        <v/>
      </c>
      <c r="P1610" s="68" t="e">
        <f>1/O1610</f>
        <v>#VALUE!</v>
      </c>
      <c r="Q1610" s="53">
        <v>1</v>
      </c>
      <c r="R1610" s="69">
        <f t="shared" ref="R1610" si="1149">1/Q1610</f>
        <v>1</v>
      </c>
      <c r="S1610" s="70">
        <f t="shared" ref="S1610" si="1150">R1610*N1610</f>
        <v>4</v>
      </c>
    </row>
    <row r="1611" spans="1:19" ht="15.6" hidden="1" customHeight="1" thickBot="1" x14ac:dyDescent="0.3">
      <c r="A1611" t="s">
        <v>23</v>
      </c>
      <c r="B1611" s="60" t="str">
        <f t="shared" si="1148"/>
        <v>hide</v>
      </c>
      <c r="D1611" s="48" t="str">
        <f>D1610</f>
        <v>18405</v>
      </c>
      <c r="E1611" s="7"/>
      <c r="F1611" s="27">
        <v>0</v>
      </c>
      <c r="G1611" s="27">
        <v>0</v>
      </c>
      <c r="H1611" s="27">
        <v>0</v>
      </c>
      <c r="I1611" s="27">
        <v>0</v>
      </c>
      <c r="J1611" s="27">
        <v>0</v>
      </c>
      <c r="K1611" s="63">
        <f>AVERAGE(I1611:J1611)</f>
        <v>0</v>
      </c>
      <c r="L1611" s="56" t="str">
        <f>"EQP-LAWPACK1"</f>
        <v>EQP-LAWPACK1</v>
      </c>
      <c r="M1611" s="14"/>
      <c r="N1611" s="15"/>
      <c r="O1611" s="12"/>
      <c r="P1611" s="34"/>
      <c r="Q1611" s="37"/>
      <c r="R1611" s="47"/>
      <c r="S1611" s="46"/>
    </row>
    <row r="1612" spans="1:19" ht="15.6" hidden="1" customHeight="1" thickBot="1" x14ac:dyDescent="0.3">
      <c r="A1612" t="s">
        <v>23</v>
      </c>
      <c r="B1612" s="60" t="str">
        <f t="shared" ref="B1612:B1614" si="1151">IF(K1612=0,"hide","")</f>
        <v>hide</v>
      </c>
      <c r="D1612" s="48" t="str">
        <f>D1611</f>
        <v>18405</v>
      </c>
      <c r="E1612" s="7"/>
      <c r="F1612" s="27">
        <v>0</v>
      </c>
      <c r="G1612" s="27">
        <v>0</v>
      </c>
      <c r="H1612" s="27">
        <v>0</v>
      </c>
      <c r="I1612" s="27">
        <v>0</v>
      </c>
      <c r="J1612" s="27">
        <v>0</v>
      </c>
      <c r="K1612" s="63">
        <f>AVERAGE(I1612:J1612)</f>
        <v>0</v>
      </c>
      <c r="L1612" s="56" t="str">
        <f>"EQP-LAWPACK2"</f>
        <v>EQP-LAWPACK2</v>
      </c>
      <c r="M1612" s="14"/>
      <c r="N1612" s="15"/>
      <c r="O1612" s="12"/>
      <c r="P1612" s="34"/>
      <c r="Q1612" s="37"/>
      <c r="R1612" s="47"/>
      <c r="S1612" s="46"/>
    </row>
    <row r="1613" spans="1:19" ht="15.6" hidden="1" customHeight="1" thickBot="1" x14ac:dyDescent="0.3">
      <c r="A1613" t="s">
        <v>23</v>
      </c>
      <c r="B1613" s="60" t="str">
        <f t="shared" si="1151"/>
        <v>hide</v>
      </c>
      <c r="D1613" s="48" t="str">
        <f>D1612</f>
        <v>18405</v>
      </c>
      <c r="E1613" s="7"/>
      <c r="F1613" s="27">
        <v>0</v>
      </c>
      <c r="G1613" s="27">
        <v>0</v>
      </c>
      <c r="H1613" s="27">
        <v>0</v>
      </c>
      <c r="I1613" s="27">
        <v>0</v>
      </c>
      <c r="J1613" s="27">
        <v>0</v>
      </c>
      <c r="K1613" s="63">
        <f>AVERAGE(I1613:J1613)</f>
        <v>0</v>
      </c>
      <c r="L1613" s="56" t="str">
        <f>"SW-COMAS-PACKL"</f>
        <v>SW-COMAS-PACKL</v>
      </c>
      <c r="M1613" s="14"/>
      <c r="N1613" s="15"/>
      <c r="O1613" s="12"/>
      <c r="P1613" s="34"/>
      <c r="Q1613" s="37"/>
      <c r="R1613" s="47"/>
      <c r="S1613" s="46"/>
    </row>
    <row r="1614" spans="1:19" ht="15.6" hidden="1" customHeight="1" thickBot="1" x14ac:dyDescent="0.3">
      <c r="A1614" t="s">
        <v>23</v>
      </c>
      <c r="B1614" s="60" t="str">
        <f t="shared" si="1151"/>
        <v>hide</v>
      </c>
      <c r="D1614" s="48" t="str">
        <f>D1613</f>
        <v>18405</v>
      </c>
      <c r="E1614" s="7"/>
      <c r="F1614" s="27">
        <v>0</v>
      </c>
      <c r="G1614" s="27">
        <v>0</v>
      </c>
      <c r="H1614" s="27">
        <v>0</v>
      </c>
      <c r="I1614" s="27">
        <v>0</v>
      </c>
      <c r="J1614" s="27">
        <v>0</v>
      </c>
      <c r="K1614" s="63">
        <f>AVERAGE(I1614:J1614)</f>
        <v>0</v>
      </c>
      <c r="L1614" s="56" t="str">
        <f>"SW-RISER-PACK"</f>
        <v>SW-RISER-PACK</v>
      </c>
      <c r="M1614" s="14"/>
      <c r="N1614" s="15"/>
      <c r="O1614" s="12"/>
      <c r="P1614" s="34"/>
      <c r="Q1614" s="37"/>
      <c r="R1614" s="47"/>
      <c r="S1614" s="46"/>
    </row>
    <row r="1615" spans="1:19" ht="12" hidden="1" customHeight="1" x14ac:dyDescent="0.3">
      <c r="A1615" s="35" t="s">
        <v>908</v>
      </c>
      <c r="B1615" s="49" t="str">
        <f>B1611</f>
        <v>hide</v>
      </c>
      <c r="N1615"/>
      <c r="Q1615" s="33"/>
    </row>
    <row r="1616" spans="1:19" ht="13.8" hidden="1" thickBot="1" x14ac:dyDescent="0.3">
      <c r="A1616" t="s">
        <v>23</v>
      </c>
      <c r="B1616" s="49" t="str">
        <f t="shared" ref="B1616" si="1152">B1615</f>
        <v>hide</v>
      </c>
      <c r="D1616" s="58"/>
      <c r="E1616" s="58"/>
      <c r="F1616" s="52">
        <f>SUM(F1611:F1615)</f>
        <v>0</v>
      </c>
      <c r="G1616" s="52">
        <f>SUM(G1611:G1615)</f>
        <v>0</v>
      </c>
      <c r="H1616" s="52">
        <f>SUM(H1611:H1615)</f>
        <v>0</v>
      </c>
      <c r="I1616" s="52">
        <f>SUM(I1611:I1615)</f>
        <v>0</v>
      </c>
      <c r="J1616" s="52">
        <f>SUM(J1611:J1615)</f>
        <v>0</v>
      </c>
      <c r="K1616" s="52"/>
      <c r="L1616" s="51" t="s">
        <v>4</v>
      </c>
      <c r="M1616" s="58"/>
      <c r="N1616" s="58"/>
      <c r="O1616" s="58"/>
      <c r="P1616" s="58"/>
      <c r="Q1616" s="58"/>
      <c r="R1616" s="58"/>
      <c r="S1616" s="58"/>
    </row>
    <row r="1617" spans="1:19" s="59" customFormat="1" ht="18.75" hidden="1" customHeight="1" thickBot="1" x14ac:dyDescent="0.3">
      <c r="A1617" s="59" t="s">
        <v>23</v>
      </c>
      <c r="B1617" s="60" t="str">
        <f t="shared" ref="B1617:B1618" si="1153">IF(K1617=0,"hide","")</f>
        <v>hide</v>
      </c>
      <c r="D1617" s="61" t="str">
        <f>"18407"</f>
        <v>18407</v>
      </c>
      <c r="E1617" s="62" t="str">
        <f>"1"</f>
        <v>1</v>
      </c>
      <c r="F1617" s="63">
        <v>0</v>
      </c>
      <c r="G1617" s="63">
        <v>0</v>
      </c>
      <c r="H1617" s="63">
        <v>0</v>
      </c>
      <c r="I1617" s="63">
        <v>0</v>
      </c>
      <c r="J1617" s="63">
        <v>0</v>
      </c>
      <c r="K1617" s="63">
        <f>AVERAGE(I1617:J1617)</f>
        <v>0</v>
      </c>
      <c r="L1617" s="64" t="str">
        <f>"BANANA NUT MUFFINS"</f>
        <v>BANANA NUT MUFFINS</v>
      </c>
      <c r="M1617" s="65" t="str">
        <f>"96-2 oz. 4-24 pack"</f>
        <v>96-2 oz. 4-24 pack</v>
      </c>
      <c r="N1617" s="66">
        <v>96</v>
      </c>
      <c r="O1617" s="67" t="str">
        <f>""</f>
        <v/>
      </c>
      <c r="P1617" s="68" t="e">
        <f>1/O1617</f>
        <v>#VALUE!</v>
      </c>
      <c r="Q1617" s="53">
        <v>1</v>
      </c>
      <c r="R1617" s="69">
        <f t="shared" ref="R1617" si="1154">1/Q1617</f>
        <v>1</v>
      </c>
      <c r="S1617" s="70">
        <f t="shared" ref="S1617" si="1155">R1617*N1617</f>
        <v>96</v>
      </c>
    </row>
    <row r="1618" spans="1:19" ht="15.6" hidden="1" customHeight="1" thickBot="1" x14ac:dyDescent="0.3">
      <c r="A1618" t="s">
        <v>23</v>
      </c>
      <c r="B1618" s="60" t="str">
        <f t="shared" si="1153"/>
        <v>hide</v>
      </c>
      <c r="D1618" s="48" t="str">
        <f>D1617</f>
        <v>18407</v>
      </c>
      <c r="E1618" s="7"/>
      <c r="F1618" s="27">
        <v>0</v>
      </c>
      <c r="G1618" s="27">
        <v>0</v>
      </c>
      <c r="H1618" s="27">
        <v>0</v>
      </c>
      <c r="I1618" s="27">
        <v>0</v>
      </c>
      <c r="J1618" s="27">
        <v>0</v>
      </c>
      <c r="K1618" s="63">
        <f>AVERAGE(I1618:J1618)</f>
        <v>0</v>
      </c>
      <c r="L1618" s="56" t="str">
        <f>"EQP-LAWPACK1"</f>
        <v>EQP-LAWPACK1</v>
      </c>
      <c r="M1618" s="14"/>
      <c r="N1618" s="15"/>
      <c r="O1618" s="12"/>
      <c r="P1618" s="34"/>
      <c r="Q1618" s="37"/>
      <c r="R1618" s="47"/>
      <c r="S1618" s="46"/>
    </row>
    <row r="1619" spans="1:19" ht="15.6" hidden="1" customHeight="1" thickBot="1" x14ac:dyDescent="0.3">
      <c r="A1619" t="s">
        <v>23</v>
      </c>
      <c r="B1619" s="60" t="str">
        <f t="shared" ref="B1619:B1621" si="1156">IF(K1619=0,"hide","")</f>
        <v>hide</v>
      </c>
      <c r="D1619" s="48" t="str">
        <f>D1618</f>
        <v>18407</v>
      </c>
      <c r="E1619" s="7"/>
      <c r="F1619" s="27">
        <v>0</v>
      </c>
      <c r="G1619" s="27">
        <v>0</v>
      </c>
      <c r="H1619" s="27">
        <v>0</v>
      </c>
      <c r="I1619" s="27">
        <v>0</v>
      </c>
      <c r="J1619" s="27">
        <v>0</v>
      </c>
      <c r="K1619" s="63">
        <f>AVERAGE(I1619:J1619)</f>
        <v>0</v>
      </c>
      <c r="L1619" s="56" t="str">
        <f>"EQP-LAWPACK2"</f>
        <v>EQP-LAWPACK2</v>
      </c>
      <c r="M1619" s="14"/>
      <c r="N1619" s="15"/>
      <c r="O1619" s="12"/>
      <c r="P1619" s="34"/>
      <c r="Q1619" s="37"/>
      <c r="R1619" s="47"/>
      <c r="S1619" s="46"/>
    </row>
    <row r="1620" spans="1:19" ht="15.6" hidden="1" customHeight="1" thickBot="1" x14ac:dyDescent="0.3">
      <c r="A1620" t="s">
        <v>23</v>
      </c>
      <c r="B1620" s="60" t="str">
        <f t="shared" si="1156"/>
        <v>hide</v>
      </c>
      <c r="D1620" s="48" t="str">
        <f>D1619</f>
        <v>18407</v>
      </c>
      <c r="E1620" s="7"/>
      <c r="F1620" s="27">
        <v>0</v>
      </c>
      <c r="G1620" s="27">
        <v>0</v>
      </c>
      <c r="H1620" s="27">
        <v>0</v>
      </c>
      <c r="I1620" s="27">
        <v>0</v>
      </c>
      <c r="J1620" s="27">
        <v>0</v>
      </c>
      <c r="K1620" s="63">
        <f>AVERAGE(I1620:J1620)</f>
        <v>0</v>
      </c>
      <c r="L1620" s="56" t="str">
        <f>"SW-COMAS-PACKL"</f>
        <v>SW-COMAS-PACKL</v>
      </c>
      <c r="M1620" s="14"/>
      <c r="N1620" s="15"/>
      <c r="O1620" s="12"/>
      <c r="P1620" s="34"/>
      <c r="Q1620" s="37"/>
      <c r="R1620" s="47"/>
      <c r="S1620" s="46"/>
    </row>
    <row r="1621" spans="1:19" ht="15.6" hidden="1" customHeight="1" thickBot="1" x14ac:dyDescent="0.3">
      <c r="A1621" t="s">
        <v>23</v>
      </c>
      <c r="B1621" s="60" t="str">
        <f t="shared" si="1156"/>
        <v>hide</v>
      </c>
      <c r="D1621" s="48" t="str">
        <f>D1620</f>
        <v>18407</v>
      </c>
      <c r="E1621" s="7"/>
      <c r="F1621" s="27">
        <v>0</v>
      </c>
      <c r="G1621" s="27">
        <v>0</v>
      </c>
      <c r="H1621" s="27">
        <v>0</v>
      </c>
      <c r="I1621" s="27">
        <v>0</v>
      </c>
      <c r="J1621" s="27">
        <v>0</v>
      </c>
      <c r="K1621" s="63">
        <f>AVERAGE(I1621:J1621)</f>
        <v>0</v>
      </c>
      <c r="L1621" s="56" t="str">
        <f>"SW-RISER-PACK"</f>
        <v>SW-RISER-PACK</v>
      </c>
      <c r="M1621" s="14"/>
      <c r="N1621" s="15"/>
      <c r="O1621" s="12"/>
      <c r="P1621" s="34"/>
      <c r="Q1621" s="37"/>
      <c r="R1621" s="47"/>
      <c r="S1621" s="46"/>
    </row>
    <row r="1622" spans="1:19" ht="12" hidden="1" customHeight="1" x14ac:dyDescent="0.3">
      <c r="A1622" s="35" t="s">
        <v>908</v>
      </c>
      <c r="B1622" s="49" t="str">
        <f>B1618</f>
        <v>hide</v>
      </c>
      <c r="N1622"/>
      <c r="Q1622" s="33"/>
    </row>
    <row r="1623" spans="1:19" ht="13.8" hidden="1" thickBot="1" x14ac:dyDescent="0.3">
      <c r="A1623" t="s">
        <v>23</v>
      </c>
      <c r="B1623" s="49" t="str">
        <f t="shared" ref="B1623" si="1157">B1622</f>
        <v>hide</v>
      </c>
      <c r="D1623" s="58"/>
      <c r="E1623" s="58"/>
      <c r="F1623" s="52">
        <f>SUM(F1618:F1622)</f>
        <v>0</v>
      </c>
      <c r="G1623" s="52">
        <f>SUM(G1618:G1622)</f>
        <v>0</v>
      </c>
      <c r="H1623" s="52">
        <f>SUM(H1618:H1622)</f>
        <v>0</v>
      </c>
      <c r="I1623" s="52">
        <f>SUM(I1618:I1622)</f>
        <v>0</v>
      </c>
      <c r="J1623" s="52">
        <f>SUM(J1618:J1622)</f>
        <v>0</v>
      </c>
      <c r="K1623" s="52"/>
      <c r="L1623" s="51" t="s">
        <v>4</v>
      </c>
      <c r="M1623" s="58"/>
      <c r="N1623" s="58"/>
      <c r="O1623" s="58"/>
      <c r="P1623" s="58"/>
      <c r="Q1623" s="58"/>
      <c r="R1623" s="58"/>
      <c r="S1623" s="58"/>
    </row>
    <row r="1624" spans="1:19" s="59" customFormat="1" ht="18.75" hidden="1" customHeight="1" thickBot="1" x14ac:dyDescent="0.3">
      <c r="A1624" s="59" t="s">
        <v>23</v>
      </c>
      <c r="B1624" s="60" t="str">
        <f t="shared" ref="B1624:B1625" si="1158">IF(K1624=0,"hide","")</f>
        <v>hide</v>
      </c>
      <c r="D1624" s="61" t="str">
        <f>"18425"</f>
        <v>18425</v>
      </c>
      <c r="E1624" s="62" t="str">
        <f>"2"</f>
        <v>2</v>
      </c>
      <c r="F1624" s="63">
        <v>0</v>
      </c>
      <c r="G1624" s="63">
        <v>21.333333333333332</v>
      </c>
      <c r="H1624" s="63">
        <v>0</v>
      </c>
      <c r="I1624" s="63">
        <v>0</v>
      </c>
      <c r="J1624" s="63">
        <v>0</v>
      </c>
      <c r="K1624" s="63">
        <f>AVERAGE(I1624:J1624)</f>
        <v>0</v>
      </c>
      <c r="L1624" s="64" t="str">
        <f>"JALAPENO CORNBREAD 1/2 SHEETS (UNCUT)"</f>
        <v>JALAPENO CORNBREAD 1/2 SHEETS (UNCUT)</v>
      </c>
      <c r="M1624" s="65" t="str">
        <f>"4-4 pound trays"</f>
        <v>4-4 pound trays</v>
      </c>
      <c r="N1624" s="66">
        <v>4</v>
      </c>
      <c r="O1624" s="67" t="str">
        <f>""</f>
        <v/>
      </c>
      <c r="P1624" s="68" t="e">
        <f>1/O1624</f>
        <v>#VALUE!</v>
      </c>
      <c r="Q1624" s="53">
        <v>1</v>
      </c>
      <c r="R1624" s="69">
        <f t="shared" ref="R1624" si="1159">1/Q1624</f>
        <v>1</v>
      </c>
      <c r="S1624" s="70">
        <f t="shared" ref="S1624" si="1160">R1624*N1624</f>
        <v>4</v>
      </c>
    </row>
    <row r="1625" spans="1:19" ht="15.6" hidden="1" customHeight="1" thickBot="1" x14ac:dyDescent="0.3">
      <c r="A1625" t="s">
        <v>23</v>
      </c>
      <c r="B1625" s="60" t="str">
        <f t="shared" si="1158"/>
        <v>hide</v>
      </c>
      <c r="D1625" s="48" t="str">
        <f>D1624</f>
        <v>18425</v>
      </c>
      <c r="E1625" s="7"/>
      <c r="F1625" s="27">
        <v>0</v>
      </c>
      <c r="G1625" s="27">
        <v>0</v>
      </c>
      <c r="H1625" s="27">
        <v>0</v>
      </c>
      <c r="I1625" s="27">
        <v>0</v>
      </c>
      <c r="J1625" s="27">
        <v>0</v>
      </c>
      <c r="K1625" s="63">
        <f>AVERAGE(I1625:J1625)</f>
        <v>0</v>
      </c>
      <c r="L1625" s="56" t="str">
        <f>"EQP-LAWPACK1"</f>
        <v>EQP-LAWPACK1</v>
      </c>
      <c r="M1625" s="14"/>
      <c r="N1625" s="15"/>
      <c r="O1625" s="12"/>
      <c r="P1625" s="34"/>
      <c r="Q1625" s="37"/>
      <c r="R1625" s="47"/>
      <c r="S1625" s="46"/>
    </row>
    <row r="1626" spans="1:19" ht="15.6" hidden="1" customHeight="1" thickBot="1" x14ac:dyDescent="0.3">
      <c r="A1626" t="s">
        <v>23</v>
      </c>
      <c r="B1626" s="60" t="str">
        <f t="shared" ref="B1626:B1628" si="1161">IF(K1626=0,"hide","")</f>
        <v>hide</v>
      </c>
      <c r="D1626" s="48" t="str">
        <f>D1625</f>
        <v>18425</v>
      </c>
      <c r="E1626" s="7"/>
      <c r="F1626" s="27">
        <v>0</v>
      </c>
      <c r="G1626" s="27">
        <v>0</v>
      </c>
      <c r="H1626" s="27">
        <v>0</v>
      </c>
      <c r="I1626" s="27">
        <v>0</v>
      </c>
      <c r="J1626" s="27">
        <v>0</v>
      </c>
      <c r="K1626" s="63">
        <f>AVERAGE(I1626:J1626)</f>
        <v>0</v>
      </c>
      <c r="L1626" s="56" t="str">
        <f>"EQP-LAWPACK2"</f>
        <v>EQP-LAWPACK2</v>
      </c>
      <c r="M1626" s="14"/>
      <c r="N1626" s="15"/>
      <c r="O1626" s="12"/>
      <c r="P1626" s="34"/>
      <c r="Q1626" s="37"/>
      <c r="R1626" s="47"/>
      <c r="S1626" s="46"/>
    </row>
    <row r="1627" spans="1:19" ht="15.6" hidden="1" customHeight="1" thickBot="1" x14ac:dyDescent="0.3">
      <c r="A1627" t="s">
        <v>23</v>
      </c>
      <c r="B1627" s="60" t="str">
        <f t="shared" si="1161"/>
        <v>hide</v>
      </c>
      <c r="D1627" s="48" t="str">
        <f>D1626</f>
        <v>18425</v>
      </c>
      <c r="E1627" s="7"/>
      <c r="F1627" s="27">
        <v>0</v>
      </c>
      <c r="G1627" s="27">
        <v>0</v>
      </c>
      <c r="H1627" s="27">
        <v>0</v>
      </c>
      <c r="I1627" s="27">
        <v>0</v>
      </c>
      <c r="J1627" s="27">
        <v>0</v>
      </c>
      <c r="K1627" s="63">
        <f>AVERAGE(I1627:J1627)</f>
        <v>0</v>
      </c>
      <c r="L1627" s="56" t="str">
        <f>"SW-COMAS-PACKL"</f>
        <v>SW-COMAS-PACKL</v>
      </c>
      <c r="M1627" s="14"/>
      <c r="N1627" s="15"/>
      <c r="O1627" s="12"/>
      <c r="P1627" s="34"/>
      <c r="Q1627" s="37"/>
      <c r="R1627" s="47"/>
      <c r="S1627" s="46"/>
    </row>
    <row r="1628" spans="1:19" ht="15.6" hidden="1" customHeight="1" thickBot="1" x14ac:dyDescent="0.3">
      <c r="A1628" t="s">
        <v>23</v>
      </c>
      <c r="B1628" s="60" t="str">
        <f t="shared" si="1161"/>
        <v>hide</v>
      </c>
      <c r="D1628" s="48" t="str">
        <f>D1627</f>
        <v>18425</v>
      </c>
      <c r="E1628" s="7"/>
      <c r="F1628" s="27">
        <v>0</v>
      </c>
      <c r="G1628" s="27">
        <v>0</v>
      </c>
      <c r="H1628" s="27">
        <v>0</v>
      </c>
      <c r="I1628" s="27">
        <v>0</v>
      </c>
      <c r="J1628" s="27">
        <v>0</v>
      </c>
      <c r="K1628" s="63">
        <f>AVERAGE(I1628:J1628)</f>
        <v>0</v>
      </c>
      <c r="L1628" s="56" t="str">
        <f>"SW-RISER-PACK"</f>
        <v>SW-RISER-PACK</v>
      </c>
      <c r="M1628" s="14"/>
      <c r="N1628" s="15"/>
      <c r="O1628" s="12"/>
      <c r="P1628" s="34"/>
      <c r="Q1628" s="37"/>
      <c r="R1628" s="47"/>
      <c r="S1628" s="46"/>
    </row>
    <row r="1629" spans="1:19" ht="12" hidden="1" customHeight="1" x14ac:dyDescent="0.3">
      <c r="A1629" s="35" t="s">
        <v>908</v>
      </c>
      <c r="B1629" s="49" t="str">
        <f>B1625</f>
        <v>hide</v>
      </c>
      <c r="N1629"/>
      <c r="Q1629" s="33"/>
    </row>
    <row r="1630" spans="1:19" ht="13.8" hidden="1" thickBot="1" x14ac:dyDescent="0.3">
      <c r="A1630" t="s">
        <v>23</v>
      </c>
      <c r="B1630" s="49" t="str">
        <f t="shared" ref="B1630" si="1162">B1629</f>
        <v>hide</v>
      </c>
      <c r="D1630" s="58"/>
      <c r="E1630" s="58"/>
      <c r="F1630" s="52">
        <f>SUM(F1625:F1629)</f>
        <v>0</v>
      </c>
      <c r="G1630" s="52">
        <f>SUM(G1625:G1629)</f>
        <v>0</v>
      </c>
      <c r="H1630" s="52">
        <f>SUM(H1625:H1629)</f>
        <v>0</v>
      </c>
      <c r="I1630" s="52">
        <f>SUM(I1625:I1629)</f>
        <v>0</v>
      </c>
      <c r="J1630" s="52">
        <f>SUM(J1625:J1629)</f>
        <v>0</v>
      </c>
      <c r="K1630" s="52"/>
      <c r="L1630" s="51" t="s">
        <v>4</v>
      </c>
      <c r="M1630" s="58"/>
      <c r="N1630" s="58"/>
      <c r="O1630" s="58"/>
      <c r="P1630" s="58"/>
      <c r="Q1630" s="58"/>
      <c r="R1630" s="58"/>
      <c r="S1630" s="58"/>
    </row>
    <row r="1631" spans="1:19" s="59" customFormat="1" ht="18.75" hidden="1" customHeight="1" thickBot="1" x14ac:dyDescent="0.3">
      <c r="A1631" s="59" t="s">
        <v>23</v>
      </c>
      <c r="B1631" s="60" t="str">
        <f t="shared" ref="B1631:B1632" si="1163">IF(K1631=0,"hide","")</f>
        <v>hide</v>
      </c>
      <c r="D1631" s="61" t="str">
        <f>"18965"</f>
        <v>18965</v>
      </c>
      <c r="E1631" s="62" t="str">
        <f>"1"</f>
        <v>1</v>
      </c>
      <c r="F1631" s="63">
        <v>0</v>
      </c>
      <c r="G1631" s="63">
        <v>0</v>
      </c>
      <c r="H1631" s="63">
        <v>0</v>
      </c>
      <c r="I1631" s="63">
        <v>0</v>
      </c>
      <c r="J1631" s="63">
        <v>0</v>
      </c>
      <c r="K1631" s="63">
        <f>AVERAGE(I1631:J1631)</f>
        <v>0</v>
      </c>
      <c r="L1631" s="64" t="str">
        <f>"WG CORNBREAD 1/2 SHEETS"</f>
        <v>WG CORNBREAD 1/2 SHEETS</v>
      </c>
      <c r="M1631" s="65" t="str">
        <f>"4-4 pound trays"</f>
        <v>4-4 pound trays</v>
      </c>
      <c r="N1631" s="66">
        <v>4</v>
      </c>
      <c r="O1631" s="67" t="str">
        <f>""</f>
        <v/>
      </c>
      <c r="P1631" s="68" t="e">
        <f>1/O1631</f>
        <v>#VALUE!</v>
      </c>
      <c r="Q1631" s="53">
        <v>1</v>
      </c>
      <c r="R1631" s="69">
        <f t="shared" ref="R1631" si="1164">1/Q1631</f>
        <v>1</v>
      </c>
      <c r="S1631" s="70">
        <f t="shared" ref="S1631" si="1165">R1631*N1631</f>
        <v>4</v>
      </c>
    </row>
    <row r="1632" spans="1:19" ht="15.6" hidden="1" customHeight="1" thickBot="1" x14ac:dyDescent="0.3">
      <c r="A1632" t="s">
        <v>23</v>
      </c>
      <c r="B1632" s="60" t="str">
        <f t="shared" si="1163"/>
        <v>hide</v>
      </c>
      <c r="D1632" s="48" t="str">
        <f>D1631</f>
        <v>18965</v>
      </c>
      <c r="E1632" s="7"/>
      <c r="F1632" s="27">
        <v>0</v>
      </c>
      <c r="G1632" s="27">
        <v>0</v>
      </c>
      <c r="H1632" s="27">
        <v>0</v>
      </c>
      <c r="I1632" s="27">
        <v>0</v>
      </c>
      <c r="J1632" s="27">
        <v>0</v>
      </c>
      <c r="K1632" s="63">
        <f>AVERAGE(I1632:J1632)</f>
        <v>0</v>
      </c>
      <c r="L1632" s="56" t="str">
        <f>"EQP-LAWPACK1"</f>
        <v>EQP-LAWPACK1</v>
      </c>
      <c r="M1632" s="14"/>
      <c r="N1632" s="15"/>
      <c r="O1632" s="12"/>
      <c r="P1632" s="34"/>
      <c r="Q1632" s="37"/>
      <c r="R1632" s="47"/>
      <c r="S1632" s="46"/>
    </row>
    <row r="1633" spans="1:19" ht="15.6" hidden="1" customHeight="1" thickBot="1" x14ac:dyDescent="0.3">
      <c r="A1633" t="s">
        <v>23</v>
      </c>
      <c r="B1633" s="60" t="str">
        <f t="shared" ref="B1633:B1635" si="1166">IF(K1633=0,"hide","")</f>
        <v>hide</v>
      </c>
      <c r="D1633" s="48" t="str">
        <f>D1632</f>
        <v>18965</v>
      </c>
      <c r="E1633" s="7"/>
      <c r="F1633" s="27">
        <v>0</v>
      </c>
      <c r="G1633" s="27">
        <v>0</v>
      </c>
      <c r="H1633" s="27">
        <v>0</v>
      </c>
      <c r="I1633" s="27">
        <v>0</v>
      </c>
      <c r="J1633" s="27">
        <v>0</v>
      </c>
      <c r="K1633" s="63">
        <f>AVERAGE(I1633:J1633)</f>
        <v>0</v>
      </c>
      <c r="L1633" s="56" t="str">
        <f>"EQP-LAWPACK2"</f>
        <v>EQP-LAWPACK2</v>
      </c>
      <c r="M1633" s="14"/>
      <c r="N1633" s="15"/>
      <c r="O1633" s="12"/>
      <c r="P1633" s="34"/>
      <c r="Q1633" s="37"/>
      <c r="R1633" s="47"/>
      <c r="S1633" s="46"/>
    </row>
    <row r="1634" spans="1:19" ht="15.6" hidden="1" customHeight="1" thickBot="1" x14ac:dyDescent="0.3">
      <c r="A1634" t="s">
        <v>23</v>
      </c>
      <c r="B1634" s="60" t="str">
        <f t="shared" si="1166"/>
        <v>hide</v>
      </c>
      <c r="D1634" s="48" t="str">
        <f>D1633</f>
        <v>18965</v>
      </c>
      <c r="E1634" s="7"/>
      <c r="F1634" s="27">
        <v>0</v>
      </c>
      <c r="G1634" s="27">
        <v>0</v>
      </c>
      <c r="H1634" s="27">
        <v>0</v>
      </c>
      <c r="I1634" s="27">
        <v>0</v>
      </c>
      <c r="J1634" s="27">
        <v>0</v>
      </c>
      <c r="K1634" s="63">
        <f>AVERAGE(I1634:J1634)</f>
        <v>0</v>
      </c>
      <c r="L1634" s="56" t="str">
        <f>"SW-COMAS-PACKL"</f>
        <v>SW-COMAS-PACKL</v>
      </c>
      <c r="M1634" s="14"/>
      <c r="N1634" s="15"/>
      <c r="O1634" s="12"/>
      <c r="P1634" s="34"/>
      <c r="Q1634" s="37"/>
      <c r="R1634" s="47"/>
      <c r="S1634" s="46"/>
    </row>
    <row r="1635" spans="1:19" ht="15.6" hidden="1" customHeight="1" thickBot="1" x14ac:dyDescent="0.3">
      <c r="A1635" t="s">
        <v>23</v>
      </c>
      <c r="B1635" s="60" t="str">
        <f t="shared" si="1166"/>
        <v>hide</v>
      </c>
      <c r="D1635" s="48" t="str">
        <f>D1634</f>
        <v>18965</v>
      </c>
      <c r="E1635" s="7"/>
      <c r="F1635" s="27">
        <v>0</v>
      </c>
      <c r="G1635" s="27">
        <v>0</v>
      </c>
      <c r="H1635" s="27">
        <v>0</v>
      </c>
      <c r="I1635" s="27">
        <v>0</v>
      </c>
      <c r="J1635" s="27">
        <v>0</v>
      </c>
      <c r="K1635" s="63">
        <f>AVERAGE(I1635:J1635)</f>
        <v>0</v>
      </c>
      <c r="L1635" s="56" t="str">
        <f>"SW-RISER-PACK"</f>
        <v>SW-RISER-PACK</v>
      </c>
      <c r="M1635" s="14"/>
      <c r="N1635" s="15"/>
      <c r="O1635" s="12"/>
      <c r="P1635" s="34"/>
      <c r="Q1635" s="37"/>
      <c r="R1635" s="47"/>
      <c r="S1635" s="46"/>
    </row>
    <row r="1636" spans="1:19" ht="12" hidden="1" customHeight="1" x14ac:dyDescent="0.3">
      <c r="A1636" s="35" t="s">
        <v>908</v>
      </c>
      <c r="B1636" s="49" t="str">
        <f>B1632</f>
        <v>hide</v>
      </c>
      <c r="N1636"/>
      <c r="Q1636" s="33"/>
    </row>
    <row r="1637" spans="1:19" ht="13.8" hidden="1" thickBot="1" x14ac:dyDescent="0.3">
      <c r="A1637" t="s">
        <v>23</v>
      </c>
      <c r="B1637" s="49" t="str">
        <f t="shared" ref="B1637" si="1167">B1636</f>
        <v>hide</v>
      </c>
      <c r="D1637" s="58"/>
      <c r="E1637" s="58"/>
      <c r="F1637" s="52">
        <f>SUM(F1632:F1636)</f>
        <v>0</v>
      </c>
      <c r="G1637" s="52">
        <f>SUM(G1632:G1636)</f>
        <v>0</v>
      </c>
      <c r="H1637" s="52">
        <f>SUM(H1632:H1636)</f>
        <v>0</v>
      </c>
      <c r="I1637" s="52">
        <f>SUM(I1632:I1636)</f>
        <v>0</v>
      </c>
      <c r="J1637" s="52">
        <f>SUM(J1632:J1636)</f>
        <v>0</v>
      </c>
      <c r="K1637" s="52"/>
      <c r="L1637" s="51" t="s">
        <v>4</v>
      </c>
      <c r="M1637" s="58"/>
      <c r="N1637" s="58"/>
      <c r="O1637" s="58"/>
      <c r="P1637" s="58"/>
      <c r="Q1637" s="58"/>
      <c r="R1637" s="58"/>
      <c r="S1637" s="58"/>
    </row>
    <row r="1638" spans="1:19" s="59" customFormat="1" ht="18.75" hidden="1" customHeight="1" thickBot="1" x14ac:dyDescent="0.3">
      <c r="A1638" s="59" t="s">
        <v>23</v>
      </c>
      <c r="B1638" s="60" t="str">
        <f t="shared" ref="B1638:B1639" si="1168">IF(K1638=0,"hide","")</f>
        <v>hide</v>
      </c>
      <c r="D1638" s="61" t="str">
        <f>"19101"</f>
        <v>19101</v>
      </c>
      <c r="E1638" s="62" t="str">
        <f>"4"</f>
        <v>4</v>
      </c>
      <c r="F1638" s="63">
        <v>60.833333333333336</v>
      </c>
      <c r="G1638" s="63">
        <v>22.083333333333332</v>
      </c>
      <c r="H1638" s="63">
        <v>13</v>
      </c>
      <c r="I1638" s="63">
        <v>0</v>
      </c>
      <c r="J1638" s="63">
        <v>0</v>
      </c>
      <c r="K1638" s="63">
        <f>AVERAGE(I1638:J1638)</f>
        <v>0</v>
      </c>
      <c r="L1638" s="64" t="str">
        <f>"BLUEBERRY MUFFINS"</f>
        <v>BLUEBERRY MUFFINS</v>
      </c>
      <c r="M1638" s="65" t="str">
        <f>"120-1.5 oz. 8-15 pack"</f>
        <v>120-1.5 oz. 8-15 pack</v>
      </c>
      <c r="N1638" s="66">
        <v>120</v>
      </c>
      <c r="O1638" s="67" t="str">
        <f>""</f>
        <v/>
      </c>
      <c r="P1638" s="68" t="e">
        <f>1/O1638</f>
        <v>#VALUE!</v>
      </c>
      <c r="Q1638" s="53">
        <v>1</v>
      </c>
      <c r="R1638" s="69">
        <f t="shared" ref="R1638" si="1169">1/Q1638</f>
        <v>1</v>
      </c>
      <c r="S1638" s="70">
        <f t="shared" ref="S1638" si="1170">R1638*N1638</f>
        <v>120</v>
      </c>
    </row>
    <row r="1639" spans="1:19" ht="15.6" hidden="1" customHeight="1" thickBot="1" x14ac:dyDescent="0.3">
      <c r="A1639" t="s">
        <v>23</v>
      </c>
      <c r="B1639" s="60" t="str">
        <f t="shared" si="1168"/>
        <v>hide</v>
      </c>
      <c r="D1639" s="48" t="str">
        <f>D1638</f>
        <v>19101</v>
      </c>
      <c r="E1639" s="7"/>
      <c r="F1639" s="27">
        <v>0</v>
      </c>
      <c r="G1639" s="27">
        <v>0</v>
      </c>
      <c r="H1639" s="27">
        <v>0</v>
      </c>
      <c r="I1639" s="27">
        <v>0</v>
      </c>
      <c r="J1639" s="27">
        <v>0</v>
      </c>
      <c r="K1639" s="63">
        <f>AVERAGE(I1639:J1639)</f>
        <v>0</v>
      </c>
      <c r="L1639" s="56" t="str">
        <f>"EQP-LAWPACK1"</f>
        <v>EQP-LAWPACK1</v>
      </c>
      <c r="M1639" s="14"/>
      <c r="N1639" s="15"/>
      <c r="O1639" s="12"/>
      <c r="P1639" s="34"/>
      <c r="Q1639" s="37"/>
      <c r="R1639" s="47"/>
      <c r="S1639" s="46"/>
    </row>
    <row r="1640" spans="1:19" ht="15.6" hidden="1" customHeight="1" thickBot="1" x14ac:dyDescent="0.3">
      <c r="A1640" t="s">
        <v>23</v>
      </c>
      <c r="B1640" s="60" t="str">
        <f t="shared" ref="B1640:B1642" si="1171">IF(K1640=0,"hide","")</f>
        <v>hide</v>
      </c>
      <c r="D1640" s="48" t="str">
        <f>D1639</f>
        <v>19101</v>
      </c>
      <c r="E1640" s="7"/>
      <c r="F1640" s="27">
        <v>0</v>
      </c>
      <c r="G1640" s="27">
        <v>0</v>
      </c>
      <c r="H1640" s="27">
        <v>0</v>
      </c>
      <c r="I1640" s="27">
        <v>0</v>
      </c>
      <c r="J1640" s="27">
        <v>0</v>
      </c>
      <c r="K1640" s="63">
        <f>AVERAGE(I1640:J1640)</f>
        <v>0</v>
      </c>
      <c r="L1640" s="56" t="str">
        <f>"EQP-LAWPACK2"</f>
        <v>EQP-LAWPACK2</v>
      </c>
      <c r="M1640" s="14"/>
      <c r="N1640" s="15"/>
      <c r="O1640" s="12"/>
      <c r="P1640" s="34"/>
      <c r="Q1640" s="37"/>
      <c r="R1640" s="47"/>
      <c r="S1640" s="46"/>
    </row>
    <row r="1641" spans="1:19" ht="15.6" hidden="1" customHeight="1" thickBot="1" x14ac:dyDescent="0.3">
      <c r="A1641" t="s">
        <v>23</v>
      </c>
      <c r="B1641" s="60" t="str">
        <f t="shared" si="1171"/>
        <v>hide</v>
      </c>
      <c r="D1641" s="48" t="str">
        <f>D1640</f>
        <v>19101</v>
      </c>
      <c r="E1641" s="7"/>
      <c r="F1641" s="27">
        <v>0</v>
      </c>
      <c r="G1641" s="27">
        <v>0</v>
      </c>
      <c r="H1641" s="27">
        <v>0</v>
      </c>
      <c r="I1641" s="27">
        <v>0</v>
      </c>
      <c r="J1641" s="27">
        <v>0</v>
      </c>
      <c r="K1641" s="63">
        <f>AVERAGE(I1641:J1641)</f>
        <v>0</v>
      </c>
      <c r="L1641" s="56" t="str">
        <f>"SW-COMAS-PACKL"</f>
        <v>SW-COMAS-PACKL</v>
      </c>
      <c r="M1641" s="14"/>
      <c r="N1641" s="15"/>
      <c r="O1641" s="12"/>
      <c r="P1641" s="34"/>
      <c r="Q1641" s="37"/>
      <c r="R1641" s="47"/>
      <c r="S1641" s="46"/>
    </row>
    <row r="1642" spans="1:19" ht="15.6" hidden="1" customHeight="1" thickBot="1" x14ac:dyDescent="0.3">
      <c r="A1642" t="s">
        <v>23</v>
      </c>
      <c r="B1642" s="60" t="str">
        <f t="shared" si="1171"/>
        <v>hide</v>
      </c>
      <c r="D1642" s="48" t="str">
        <f>D1641</f>
        <v>19101</v>
      </c>
      <c r="E1642" s="7"/>
      <c r="F1642" s="27">
        <v>0</v>
      </c>
      <c r="G1642" s="27">
        <v>0</v>
      </c>
      <c r="H1642" s="27">
        <v>0</v>
      </c>
      <c r="I1642" s="27">
        <v>0</v>
      </c>
      <c r="J1642" s="27">
        <v>0</v>
      </c>
      <c r="K1642" s="63">
        <f>AVERAGE(I1642:J1642)</f>
        <v>0</v>
      </c>
      <c r="L1642" s="56" t="str">
        <f>"SW-RISER-PACK"</f>
        <v>SW-RISER-PACK</v>
      </c>
      <c r="M1642" s="14"/>
      <c r="N1642" s="15"/>
      <c r="O1642" s="12"/>
      <c r="P1642" s="34"/>
      <c r="Q1642" s="37"/>
      <c r="R1642" s="47"/>
      <c r="S1642" s="46"/>
    </row>
    <row r="1643" spans="1:19" ht="12" hidden="1" customHeight="1" x14ac:dyDescent="0.3">
      <c r="A1643" s="35" t="s">
        <v>908</v>
      </c>
      <c r="B1643" s="49" t="str">
        <f>B1639</f>
        <v>hide</v>
      </c>
      <c r="N1643"/>
      <c r="Q1643" s="33"/>
    </row>
    <row r="1644" spans="1:19" ht="13.8" hidden="1" thickBot="1" x14ac:dyDescent="0.3">
      <c r="A1644" t="s">
        <v>23</v>
      </c>
      <c r="B1644" s="49" t="str">
        <f t="shared" ref="B1644" si="1172">B1643</f>
        <v>hide</v>
      </c>
      <c r="D1644" s="58"/>
      <c r="E1644" s="58"/>
      <c r="F1644" s="52">
        <f>SUM(F1639:F1643)</f>
        <v>0</v>
      </c>
      <c r="G1644" s="52">
        <f>SUM(G1639:G1643)</f>
        <v>0</v>
      </c>
      <c r="H1644" s="52">
        <f>SUM(H1639:H1643)</f>
        <v>0</v>
      </c>
      <c r="I1644" s="52">
        <f>SUM(I1639:I1643)</f>
        <v>0</v>
      </c>
      <c r="J1644" s="52">
        <f>SUM(J1639:J1643)</f>
        <v>0</v>
      </c>
      <c r="K1644" s="52"/>
      <c r="L1644" s="51" t="s">
        <v>4</v>
      </c>
      <c r="M1644" s="58"/>
      <c r="N1644" s="58"/>
      <c r="O1644" s="58"/>
      <c r="P1644" s="58"/>
      <c r="Q1644" s="58"/>
      <c r="R1644" s="58"/>
      <c r="S1644" s="58"/>
    </row>
    <row r="1645" spans="1:19" s="59" customFormat="1" ht="18.75" hidden="1" customHeight="1" thickBot="1" x14ac:dyDescent="0.3">
      <c r="A1645" s="59" t="s">
        <v>23</v>
      </c>
      <c r="B1645" s="60" t="str">
        <f t="shared" ref="B1645:B1646" si="1173">IF(K1645=0,"hide","")</f>
        <v>hide</v>
      </c>
      <c r="D1645" s="61" t="str">
        <f>"19105"</f>
        <v>19105</v>
      </c>
      <c r="E1645" s="62" t="str">
        <f>"2"</f>
        <v>2</v>
      </c>
      <c r="F1645" s="63">
        <v>9.6666666666666661</v>
      </c>
      <c r="G1645" s="63">
        <v>0</v>
      </c>
      <c r="H1645" s="63">
        <v>0</v>
      </c>
      <c r="I1645" s="63">
        <v>0</v>
      </c>
      <c r="J1645" s="63">
        <v>0</v>
      </c>
      <c r="K1645" s="63">
        <f>AVERAGE(I1645:J1645)</f>
        <v>0</v>
      </c>
      <c r="L1645" s="64" t="str">
        <f>"CORN MUFFINS"</f>
        <v>CORN MUFFINS</v>
      </c>
      <c r="M1645" s="65" t="str">
        <f>"120-1.5 oz. 8-15 pack"</f>
        <v>120-1.5 oz. 8-15 pack</v>
      </c>
      <c r="N1645" s="66">
        <v>120</v>
      </c>
      <c r="O1645" s="67" t="str">
        <f>""</f>
        <v/>
      </c>
      <c r="P1645" s="68" t="e">
        <f>1/O1645</f>
        <v>#VALUE!</v>
      </c>
      <c r="Q1645" s="53">
        <v>1</v>
      </c>
      <c r="R1645" s="69">
        <f t="shared" ref="R1645" si="1174">1/Q1645</f>
        <v>1</v>
      </c>
      <c r="S1645" s="70">
        <f t="shared" ref="S1645" si="1175">R1645*N1645</f>
        <v>120</v>
      </c>
    </row>
    <row r="1646" spans="1:19" ht="15.6" hidden="1" customHeight="1" thickBot="1" x14ac:dyDescent="0.3">
      <c r="A1646" t="s">
        <v>23</v>
      </c>
      <c r="B1646" s="60" t="str">
        <f t="shared" si="1173"/>
        <v>hide</v>
      </c>
      <c r="D1646" s="48" t="str">
        <f>D1645</f>
        <v>19105</v>
      </c>
      <c r="E1646" s="7"/>
      <c r="F1646" s="27">
        <v>0</v>
      </c>
      <c r="G1646" s="27">
        <v>0</v>
      </c>
      <c r="H1646" s="27">
        <v>0</v>
      </c>
      <c r="I1646" s="27">
        <v>0</v>
      </c>
      <c r="J1646" s="27">
        <v>0</v>
      </c>
      <c r="K1646" s="63">
        <f>AVERAGE(I1646:J1646)</f>
        <v>0</v>
      </c>
      <c r="L1646" s="56" t="str">
        <f>"EQP-LAWPACK1"</f>
        <v>EQP-LAWPACK1</v>
      </c>
      <c r="M1646" s="14"/>
      <c r="N1646" s="15"/>
      <c r="O1646" s="12"/>
      <c r="P1646" s="34"/>
      <c r="Q1646" s="37"/>
      <c r="R1646" s="47"/>
      <c r="S1646" s="46"/>
    </row>
    <row r="1647" spans="1:19" ht="15.6" hidden="1" customHeight="1" thickBot="1" x14ac:dyDescent="0.3">
      <c r="A1647" t="s">
        <v>23</v>
      </c>
      <c r="B1647" s="60" t="str">
        <f t="shared" ref="B1647:B1649" si="1176">IF(K1647=0,"hide","")</f>
        <v>hide</v>
      </c>
      <c r="D1647" s="48" t="str">
        <f>D1646</f>
        <v>19105</v>
      </c>
      <c r="E1647" s="7"/>
      <c r="F1647" s="27">
        <v>0</v>
      </c>
      <c r="G1647" s="27">
        <v>0</v>
      </c>
      <c r="H1647" s="27">
        <v>0</v>
      </c>
      <c r="I1647" s="27">
        <v>0</v>
      </c>
      <c r="J1647" s="27">
        <v>0</v>
      </c>
      <c r="K1647" s="63">
        <f>AVERAGE(I1647:J1647)</f>
        <v>0</v>
      </c>
      <c r="L1647" s="56" t="str">
        <f>"EQP-LAWPACK2"</f>
        <v>EQP-LAWPACK2</v>
      </c>
      <c r="M1647" s="14"/>
      <c r="N1647" s="15"/>
      <c r="O1647" s="12"/>
      <c r="P1647" s="34"/>
      <c r="Q1647" s="37"/>
      <c r="R1647" s="47"/>
      <c r="S1647" s="46"/>
    </row>
    <row r="1648" spans="1:19" ht="15.6" hidden="1" customHeight="1" thickBot="1" x14ac:dyDescent="0.3">
      <c r="A1648" t="s">
        <v>23</v>
      </c>
      <c r="B1648" s="60" t="str">
        <f t="shared" si="1176"/>
        <v>hide</v>
      </c>
      <c r="D1648" s="48" t="str">
        <f>D1647</f>
        <v>19105</v>
      </c>
      <c r="E1648" s="7"/>
      <c r="F1648" s="27">
        <v>0</v>
      </c>
      <c r="G1648" s="27">
        <v>0</v>
      </c>
      <c r="H1648" s="27">
        <v>0</v>
      </c>
      <c r="I1648" s="27">
        <v>0</v>
      </c>
      <c r="J1648" s="27">
        <v>0</v>
      </c>
      <c r="K1648" s="63">
        <f>AVERAGE(I1648:J1648)</f>
        <v>0</v>
      </c>
      <c r="L1648" s="56" t="str">
        <f>"SW-COMAS-PACKL"</f>
        <v>SW-COMAS-PACKL</v>
      </c>
      <c r="M1648" s="14"/>
      <c r="N1648" s="15"/>
      <c r="O1648" s="12"/>
      <c r="P1648" s="34"/>
      <c r="Q1648" s="37"/>
      <c r="R1648" s="47"/>
      <c r="S1648" s="46"/>
    </row>
    <row r="1649" spans="1:19" ht="15.6" hidden="1" customHeight="1" thickBot="1" x14ac:dyDescent="0.3">
      <c r="A1649" t="s">
        <v>23</v>
      </c>
      <c r="B1649" s="60" t="str">
        <f t="shared" si="1176"/>
        <v>hide</v>
      </c>
      <c r="D1649" s="48" t="str">
        <f>D1648</f>
        <v>19105</v>
      </c>
      <c r="E1649" s="7"/>
      <c r="F1649" s="27">
        <v>0</v>
      </c>
      <c r="G1649" s="27">
        <v>0</v>
      </c>
      <c r="H1649" s="27">
        <v>0</v>
      </c>
      <c r="I1649" s="27">
        <v>0</v>
      </c>
      <c r="J1649" s="27">
        <v>0</v>
      </c>
      <c r="K1649" s="63">
        <f>AVERAGE(I1649:J1649)</f>
        <v>0</v>
      </c>
      <c r="L1649" s="56" t="str">
        <f>"SW-RISER-PACK"</f>
        <v>SW-RISER-PACK</v>
      </c>
      <c r="M1649" s="14"/>
      <c r="N1649" s="15"/>
      <c r="O1649" s="12"/>
      <c r="P1649" s="34"/>
      <c r="Q1649" s="37"/>
      <c r="R1649" s="47"/>
      <c r="S1649" s="46"/>
    </row>
    <row r="1650" spans="1:19" ht="12" hidden="1" customHeight="1" x14ac:dyDescent="0.3">
      <c r="A1650" s="35" t="s">
        <v>908</v>
      </c>
      <c r="B1650" s="49" t="str">
        <f>B1646</f>
        <v>hide</v>
      </c>
      <c r="N1650"/>
      <c r="Q1650" s="33"/>
    </row>
    <row r="1651" spans="1:19" ht="13.8" hidden="1" thickBot="1" x14ac:dyDescent="0.3">
      <c r="A1651" t="s">
        <v>23</v>
      </c>
      <c r="B1651" s="49" t="str">
        <f t="shared" ref="B1651" si="1177">B1650</f>
        <v>hide</v>
      </c>
      <c r="D1651" s="58"/>
      <c r="E1651" s="58"/>
      <c r="F1651" s="52">
        <f>SUM(F1646:F1650)</f>
        <v>0</v>
      </c>
      <c r="G1651" s="52">
        <f>SUM(G1646:G1650)</f>
        <v>0</v>
      </c>
      <c r="H1651" s="52">
        <f>SUM(H1646:H1650)</f>
        <v>0</v>
      </c>
      <c r="I1651" s="52">
        <f>SUM(I1646:I1650)</f>
        <v>0</v>
      </c>
      <c r="J1651" s="52">
        <f>SUM(J1646:J1650)</f>
        <v>0</v>
      </c>
      <c r="K1651" s="52"/>
      <c r="L1651" s="51" t="s">
        <v>4</v>
      </c>
      <c r="M1651" s="58"/>
      <c r="N1651" s="58"/>
      <c r="O1651" s="58"/>
      <c r="P1651" s="58"/>
      <c r="Q1651" s="58"/>
      <c r="R1651" s="58"/>
      <c r="S1651" s="58"/>
    </row>
    <row r="1652" spans="1:19" s="59" customFormat="1" ht="18.75" hidden="1" customHeight="1" thickBot="1" x14ac:dyDescent="0.3">
      <c r="A1652" s="59" t="s">
        <v>23</v>
      </c>
      <c r="B1652" s="60" t="str">
        <f t="shared" ref="B1652:B1653" si="1178">IF(K1652=0,"hide","")</f>
        <v>hide</v>
      </c>
      <c r="D1652" s="61" t="str">
        <f>"19106"</f>
        <v>19106</v>
      </c>
      <c r="E1652" s="62" t="str">
        <f>"2"</f>
        <v>2</v>
      </c>
      <c r="F1652" s="63">
        <v>0.83333333333333337</v>
      </c>
      <c r="G1652" s="63">
        <v>0</v>
      </c>
      <c r="H1652" s="63">
        <v>0</v>
      </c>
      <c r="I1652" s="63">
        <v>0</v>
      </c>
      <c r="J1652" s="63">
        <v>0</v>
      </c>
      <c r="K1652" s="63">
        <f>AVERAGE(I1652:J1652)</f>
        <v>0</v>
      </c>
      <c r="L1652" s="64" t="str">
        <f>"APPLE CINNAMON MUFFINS"</f>
        <v>APPLE CINNAMON MUFFINS</v>
      </c>
      <c r="M1652" s="65" t="str">
        <f>"120-1.5 oz. 8-15 pack"</f>
        <v>120-1.5 oz. 8-15 pack</v>
      </c>
      <c r="N1652" s="66">
        <v>120</v>
      </c>
      <c r="O1652" s="67" t="str">
        <f>""</f>
        <v/>
      </c>
      <c r="P1652" s="68" t="e">
        <f>1/O1652</f>
        <v>#VALUE!</v>
      </c>
      <c r="Q1652" s="53">
        <v>1</v>
      </c>
      <c r="R1652" s="69">
        <f t="shared" ref="R1652" si="1179">1/Q1652</f>
        <v>1</v>
      </c>
      <c r="S1652" s="70">
        <f t="shared" ref="S1652" si="1180">R1652*N1652</f>
        <v>120</v>
      </c>
    </row>
    <row r="1653" spans="1:19" ht="15.6" hidden="1" customHeight="1" thickBot="1" x14ac:dyDescent="0.3">
      <c r="A1653" t="s">
        <v>23</v>
      </c>
      <c r="B1653" s="60" t="str">
        <f t="shared" si="1178"/>
        <v>hide</v>
      </c>
      <c r="D1653" s="48" t="str">
        <f>D1652</f>
        <v>19106</v>
      </c>
      <c r="E1653" s="7"/>
      <c r="F1653" s="27">
        <v>0</v>
      </c>
      <c r="G1653" s="27">
        <v>0</v>
      </c>
      <c r="H1653" s="27">
        <v>0</v>
      </c>
      <c r="I1653" s="27">
        <v>0</v>
      </c>
      <c r="J1653" s="27">
        <v>0</v>
      </c>
      <c r="K1653" s="63">
        <f>AVERAGE(I1653:J1653)</f>
        <v>0</v>
      </c>
      <c r="L1653" s="56" t="str">
        <f>"EQP-LAWPACK1"</f>
        <v>EQP-LAWPACK1</v>
      </c>
      <c r="M1653" s="14"/>
      <c r="N1653" s="15"/>
      <c r="O1653" s="12"/>
      <c r="P1653" s="34"/>
      <c r="Q1653" s="37"/>
      <c r="R1653" s="47"/>
      <c r="S1653" s="46"/>
    </row>
    <row r="1654" spans="1:19" ht="15.6" hidden="1" customHeight="1" thickBot="1" x14ac:dyDescent="0.3">
      <c r="A1654" t="s">
        <v>23</v>
      </c>
      <c r="B1654" s="60" t="str">
        <f t="shared" ref="B1654:B1656" si="1181">IF(K1654=0,"hide","")</f>
        <v>hide</v>
      </c>
      <c r="D1654" s="48" t="str">
        <f>D1653</f>
        <v>19106</v>
      </c>
      <c r="E1654" s="7"/>
      <c r="F1654" s="27">
        <v>0</v>
      </c>
      <c r="G1654" s="27">
        <v>0</v>
      </c>
      <c r="H1654" s="27">
        <v>0</v>
      </c>
      <c r="I1654" s="27">
        <v>0</v>
      </c>
      <c r="J1654" s="27">
        <v>0</v>
      </c>
      <c r="K1654" s="63">
        <f>AVERAGE(I1654:J1654)</f>
        <v>0</v>
      </c>
      <c r="L1654" s="56" t="str">
        <f>"EQP-LAWPACK2"</f>
        <v>EQP-LAWPACK2</v>
      </c>
      <c r="M1654" s="14"/>
      <c r="N1654" s="15"/>
      <c r="O1654" s="12"/>
      <c r="P1654" s="34"/>
      <c r="Q1654" s="37"/>
      <c r="R1654" s="47"/>
      <c r="S1654" s="46"/>
    </row>
    <row r="1655" spans="1:19" ht="15.6" hidden="1" customHeight="1" thickBot="1" x14ac:dyDescent="0.3">
      <c r="A1655" t="s">
        <v>23</v>
      </c>
      <c r="B1655" s="60" t="str">
        <f t="shared" si="1181"/>
        <v>hide</v>
      </c>
      <c r="D1655" s="48" t="str">
        <f>D1654</f>
        <v>19106</v>
      </c>
      <c r="E1655" s="7"/>
      <c r="F1655" s="27">
        <v>0</v>
      </c>
      <c r="G1655" s="27">
        <v>0</v>
      </c>
      <c r="H1655" s="27">
        <v>0</v>
      </c>
      <c r="I1655" s="27">
        <v>0</v>
      </c>
      <c r="J1655" s="27">
        <v>0</v>
      </c>
      <c r="K1655" s="63">
        <f>AVERAGE(I1655:J1655)</f>
        <v>0</v>
      </c>
      <c r="L1655" s="56" t="str">
        <f>"SW-COMAS-PACKL"</f>
        <v>SW-COMAS-PACKL</v>
      </c>
      <c r="M1655" s="14"/>
      <c r="N1655" s="15"/>
      <c r="O1655" s="12"/>
      <c r="P1655" s="34"/>
      <c r="Q1655" s="37"/>
      <c r="R1655" s="47"/>
      <c r="S1655" s="46"/>
    </row>
    <row r="1656" spans="1:19" ht="15.6" hidden="1" customHeight="1" thickBot="1" x14ac:dyDescent="0.3">
      <c r="A1656" t="s">
        <v>23</v>
      </c>
      <c r="B1656" s="60" t="str">
        <f t="shared" si="1181"/>
        <v>hide</v>
      </c>
      <c r="D1656" s="48" t="str">
        <f>D1655</f>
        <v>19106</v>
      </c>
      <c r="E1656" s="7"/>
      <c r="F1656" s="27">
        <v>0</v>
      </c>
      <c r="G1656" s="27">
        <v>0</v>
      </c>
      <c r="H1656" s="27">
        <v>0</v>
      </c>
      <c r="I1656" s="27">
        <v>0</v>
      </c>
      <c r="J1656" s="27">
        <v>0</v>
      </c>
      <c r="K1656" s="63">
        <f>AVERAGE(I1656:J1656)</f>
        <v>0</v>
      </c>
      <c r="L1656" s="56" t="str">
        <f>"SW-RISER-PACK"</f>
        <v>SW-RISER-PACK</v>
      </c>
      <c r="M1656" s="14"/>
      <c r="N1656" s="15"/>
      <c r="O1656" s="12"/>
      <c r="P1656" s="34"/>
      <c r="Q1656" s="37"/>
      <c r="R1656" s="47"/>
      <c r="S1656" s="46"/>
    </row>
    <row r="1657" spans="1:19" ht="12" hidden="1" customHeight="1" x14ac:dyDescent="0.3">
      <c r="A1657" s="35" t="s">
        <v>908</v>
      </c>
      <c r="B1657" s="49" t="str">
        <f>B1653</f>
        <v>hide</v>
      </c>
      <c r="N1657"/>
      <c r="Q1657" s="33"/>
    </row>
    <row r="1658" spans="1:19" ht="13.8" hidden="1" thickBot="1" x14ac:dyDescent="0.3">
      <c r="A1658" t="s">
        <v>23</v>
      </c>
      <c r="B1658" s="49" t="str">
        <f t="shared" ref="B1658" si="1182">B1657</f>
        <v>hide</v>
      </c>
      <c r="D1658" s="58"/>
      <c r="E1658" s="58"/>
      <c r="F1658" s="52">
        <f>SUM(F1653:F1657)</f>
        <v>0</v>
      </c>
      <c r="G1658" s="52">
        <f>SUM(G1653:G1657)</f>
        <v>0</v>
      </c>
      <c r="H1658" s="52">
        <f>SUM(H1653:H1657)</f>
        <v>0</v>
      </c>
      <c r="I1658" s="52">
        <f>SUM(I1653:I1657)</f>
        <v>0</v>
      </c>
      <c r="J1658" s="52">
        <f>SUM(J1653:J1657)</f>
        <v>0</v>
      </c>
      <c r="K1658" s="52"/>
      <c r="L1658" s="51" t="s">
        <v>4</v>
      </c>
      <c r="M1658" s="58"/>
      <c r="N1658" s="58"/>
      <c r="O1658" s="58"/>
      <c r="P1658" s="58"/>
      <c r="Q1658" s="58"/>
      <c r="R1658" s="58"/>
      <c r="S1658" s="58"/>
    </row>
    <row r="1659" spans="1:19" s="59" customFormat="1" ht="18.75" hidden="1" customHeight="1" thickBot="1" x14ac:dyDescent="0.3">
      <c r="A1659" s="59" t="s">
        <v>23</v>
      </c>
      <c r="B1659" s="60" t="str">
        <f t="shared" ref="B1659:B1660" si="1183">IF(K1659=0,"hide","")</f>
        <v>hide</v>
      </c>
      <c r="D1659" s="61" t="str">
        <f>"19107"</f>
        <v>19107</v>
      </c>
      <c r="E1659" s="62" t="str">
        <f>"1"</f>
        <v>1</v>
      </c>
      <c r="F1659" s="63">
        <v>0</v>
      </c>
      <c r="G1659" s="63">
        <v>0</v>
      </c>
      <c r="H1659" s="63">
        <v>0</v>
      </c>
      <c r="I1659" s="63">
        <v>0</v>
      </c>
      <c r="J1659" s="63">
        <v>0</v>
      </c>
      <c r="K1659" s="63">
        <f>AVERAGE(I1659:J1659)</f>
        <v>0</v>
      </c>
      <c r="L1659" s="64" t="str">
        <f>"BANANA NUT MUFFINS"</f>
        <v>BANANA NUT MUFFINS</v>
      </c>
      <c r="M1659" s="65" t="str">
        <f>"120-1.5 oz. 8-15 pack"</f>
        <v>120-1.5 oz. 8-15 pack</v>
      </c>
      <c r="N1659" s="66">
        <v>120</v>
      </c>
      <c r="O1659" s="67" t="str">
        <f>""</f>
        <v/>
      </c>
      <c r="P1659" s="68" t="e">
        <f>1/O1659</f>
        <v>#VALUE!</v>
      </c>
      <c r="Q1659" s="53">
        <v>1</v>
      </c>
      <c r="R1659" s="69">
        <f t="shared" ref="R1659" si="1184">1/Q1659</f>
        <v>1</v>
      </c>
      <c r="S1659" s="70">
        <f t="shared" ref="S1659" si="1185">R1659*N1659</f>
        <v>120</v>
      </c>
    </row>
    <row r="1660" spans="1:19" ht="15.6" hidden="1" customHeight="1" thickBot="1" x14ac:dyDescent="0.3">
      <c r="A1660" t="s">
        <v>23</v>
      </c>
      <c r="B1660" s="60" t="str">
        <f t="shared" si="1183"/>
        <v>hide</v>
      </c>
      <c r="D1660" s="48" t="str">
        <f>D1659</f>
        <v>19107</v>
      </c>
      <c r="E1660" s="7"/>
      <c r="F1660" s="27">
        <v>0</v>
      </c>
      <c r="G1660" s="27">
        <v>0</v>
      </c>
      <c r="H1660" s="27">
        <v>0</v>
      </c>
      <c r="I1660" s="27">
        <v>0</v>
      </c>
      <c r="J1660" s="27">
        <v>0</v>
      </c>
      <c r="K1660" s="63">
        <f>AVERAGE(I1660:J1660)</f>
        <v>0</v>
      </c>
      <c r="L1660" s="56" t="str">
        <f>"EQP-LAWPACK1"</f>
        <v>EQP-LAWPACK1</v>
      </c>
      <c r="M1660" s="14"/>
      <c r="N1660" s="15"/>
      <c r="O1660" s="12"/>
      <c r="P1660" s="34"/>
      <c r="Q1660" s="37"/>
      <c r="R1660" s="47"/>
      <c r="S1660" s="46"/>
    </row>
    <row r="1661" spans="1:19" ht="15.6" hidden="1" customHeight="1" thickBot="1" x14ac:dyDescent="0.3">
      <c r="A1661" t="s">
        <v>23</v>
      </c>
      <c r="B1661" s="60" t="str">
        <f t="shared" ref="B1661:B1663" si="1186">IF(K1661=0,"hide","")</f>
        <v>hide</v>
      </c>
      <c r="D1661" s="48" t="str">
        <f>D1660</f>
        <v>19107</v>
      </c>
      <c r="E1661" s="7"/>
      <c r="F1661" s="27">
        <v>0</v>
      </c>
      <c r="G1661" s="27">
        <v>0</v>
      </c>
      <c r="H1661" s="27">
        <v>0</v>
      </c>
      <c r="I1661" s="27">
        <v>0</v>
      </c>
      <c r="J1661" s="27">
        <v>0</v>
      </c>
      <c r="K1661" s="63">
        <f>AVERAGE(I1661:J1661)</f>
        <v>0</v>
      </c>
      <c r="L1661" s="56" t="str">
        <f>"EQP-LAWPACK2"</f>
        <v>EQP-LAWPACK2</v>
      </c>
      <c r="M1661" s="14"/>
      <c r="N1661" s="15"/>
      <c r="O1661" s="12"/>
      <c r="P1661" s="34"/>
      <c r="Q1661" s="37"/>
      <c r="R1661" s="47"/>
      <c r="S1661" s="46"/>
    </row>
    <row r="1662" spans="1:19" ht="15.6" hidden="1" customHeight="1" thickBot="1" x14ac:dyDescent="0.3">
      <c r="A1662" t="s">
        <v>23</v>
      </c>
      <c r="B1662" s="60" t="str">
        <f t="shared" si="1186"/>
        <v>hide</v>
      </c>
      <c r="D1662" s="48" t="str">
        <f>D1661</f>
        <v>19107</v>
      </c>
      <c r="E1662" s="7"/>
      <c r="F1662" s="27">
        <v>0</v>
      </c>
      <c r="G1662" s="27">
        <v>0</v>
      </c>
      <c r="H1662" s="27">
        <v>0</v>
      </c>
      <c r="I1662" s="27">
        <v>0</v>
      </c>
      <c r="J1662" s="27">
        <v>0</v>
      </c>
      <c r="K1662" s="63">
        <f>AVERAGE(I1662:J1662)</f>
        <v>0</v>
      </c>
      <c r="L1662" s="56" t="str">
        <f>"SW-COMAS-PACKL"</f>
        <v>SW-COMAS-PACKL</v>
      </c>
      <c r="M1662" s="14"/>
      <c r="N1662" s="15"/>
      <c r="O1662" s="12"/>
      <c r="P1662" s="34"/>
      <c r="Q1662" s="37"/>
      <c r="R1662" s="47"/>
      <c r="S1662" s="46"/>
    </row>
    <row r="1663" spans="1:19" ht="15.6" hidden="1" customHeight="1" thickBot="1" x14ac:dyDescent="0.3">
      <c r="A1663" t="s">
        <v>23</v>
      </c>
      <c r="B1663" s="60" t="str">
        <f t="shared" si="1186"/>
        <v>hide</v>
      </c>
      <c r="D1663" s="48" t="str">
        <f>D1662</f>
        <v>19107</v>
      </c>
      <c r="E1663" s="7"/>
      <c r="F1663" s="27">
        <v>0</v>
      </c>
      <c r="G1663" s="27">
        <v>0</v>
      </c>
      <c r="H1663" s="27">
        <v>0</v>
      </c>
      <c r="I1663" s="27">
        <v>0</v>
      </c>
      <c r="J1663" s="27">
        <v>0</v>
      </c>
      <c r="K1663" s="63">
        <f>AVERAGE(I1663:J1663)</f>
        <v>0</v>
      </c>
      <c r="L1663" s="56" t="str">
        <f>"SW-RISER-PACK"</f>
        <v>SW-RISER-PACK</v>
      </c>
      <c r="M1663" s="14"/>
      <c r="N1663" s="15"/>
      <c r="O1663" s="12"/>
      <c r="P1663" s="34"/>
      <c r="Q1663" s="37"/>
      <c r="R1663" s="47"/>
      <c r="S1663" s="46"/>
    </row>
    <row r="1664" spans="1:19" ht="12" hidden="1" customHeight="1" x14ac:dyDescent="0.3">
      <c r="A1664" s="35" t="s">
        <v>908</v>
      </c>
      <c r="B1664" s="49" t="str">
        <f>B1660</f>
        <v>hide</v>
      </c>
      <c r="N1664"/>
      <c r="Q1664" s="33"/>
    </row>
    <row r="1665" spans="1:19" ht="13.8" hidden="1" thickBot="1" x14ac:dyDescent="0.3">
      <c r="A1665" t="s">
        <v>23</v>
      </c>
      <c r="B1665" s="49" t="str">
        <f t="shared" ref="B1665" si="1187">B1664</f>
        <v>hide</v>
      </c>
      <c r="D1665" s="58"/>
      <c r="E1665" s="58"/>
      <c r="F1665" s="52">
        <f>SUM(F1660:F1664)</f>
        <v>0</v>
      </c>
      <c r="G1665" s="52">
        <f>SUM(G1660:G1664)</f>
        <v>0</v>
      </c>
      <c r="H1665" s="52">
        <f>SUM(H1660:H1664)</f>
        <v>0</v>
      </c>
      <c r="I1665" s="52">
        <f>SUM(I1660:I1664)</f>
        <v>0</v>
      </c>
      <c r="J1665" s="52">
        <f>SUM(J1660:J1664)</f>
        <v>0</v>
      </c>
      <c r="K1665" s="52"/>
      <c r="L1665" s="51" t="s">
        <v>4</v>
      </c>
      <c r="M1665" s="58"/>
      <c r="N1665" s="58"/>
      <c r="O1665" s="58"/>
      <c r="P1665" s="58"/>
      <c r="Q1665" s="58"/>
      <c r="R1665" s="58"/>
      <c r="S1665" s="58"/>
    </row>
    <row r="1666" spans="1:19" s="59" customFormat="1" ht="18.75" hidden="1" customHeight="1" thickBot="1" x14ac:dyDescent="0.3">
      <c r="A1666" s="59" t="s">
        <v>23</v>
      </c>
      <c r="B1666" s="60" t="str">
        <f t="shared" ref="B1666:B1667" si="1188">IF(K1666=0,"hide","")</f>
        <v>hide</v>
      </c>
      <c r="D1666" s="61" t="str">
        <f>"19112"</f>
        <v>19112</v>
      </c>
      <c r="E1666" s="62" t="str">
        <f>"2"</f>
        <v>2</v>
      </c>
      <c r="F1666" s="63">
        <v>0</v>
      </c>
      <c r="G1666" s="63">
        <v>0</v>
      </c>
      <c r="H1666" s="63">
        <v>0</v>
      </c>
      <c r="I1666" s="63">
        <v>0</v>
      </c>
      <c r="J1666" s="63">
        <v>0</v>
      </c>
      <c r="K1666" s="63">
        <f>AVERAGE(I1666:J1666)</f>
        <v>0</v>
      </c>
      <c r="L1666" s="64" t="str">
        <f>"BRAN MUFFINS"</f>
        <v>BRAN MUFFINS</v>
      </c>
      <c r="M1666" s="65" t="str">
        <f>"120-1.5 oz. 8-15 pack"</f>
        <v>120-1.5 oz. 8-15 pack</v>
      </c>
      <c r="N1666" s="66">
        <v>120</v>
      </c>
      <c r="O1666" s="67" t="str">
        <f>""</f>
        <v/>
      </c>
      <c r="P1666" s="68" t="e">
        <f>1/O1666</f>
        <v>#VALUE!</v>
      </c>
      <c r="Q1666" s="53">
        <v>1</v>
      </c>
      <c r="R1666" s="69">
        <f t="shared" ref="R1666" si="1189">1/Q1666</f>
        <v>1</v>
      </c>
      <c r="S1666" s="70">
        <f t="shared" ref="S1666" si="1190">R1666*N1666</f>
        <v>120</v>
      </c>
    </row>
    <row r="1667" spans="1:19" ht="15.6" hidden="1" customHeight="1" thickBot="1" x14ac:dyDescent="0.3">
      <c r="A1667" t="s">
        <v>23</v>
      </c>
      <c r="B1667" s="60" t="str">
        <f t="shared" si="1188"/>
        <v>hide</v>
      </c>
      <c r="D1667" s="48" t="str">
        <f>D1666</f>
        <v>19112</v>
      </c>
      <c r="E1667" s="7"/>
      <c r="F1667" s="27">
        <v>0</v>
      </c>
      <c r="G1667" s="27">
        <v>0</v>
      </c>
      <c r="H1667" s="27">
        <v>0</v>
      </c>
      <c r="I1667" s="27">
        <v>0</v>
      </c>
      <c r="J1667" s="27">
        <v>0</v>
      </c>
      <c r="K1667" s="63">
        <f>AVERAGE(I1667:J1667)</f>
        <v>0</v>
      </c>
      <c r="L1667" s="56" t="str">
        <f>"EQP-LAWPACK1"</f>
        <v>EQP-LAWPACK1</v>
      </c>
      <c r="M1667" s="14"/>
      <c r="N1667" s="15"/>
      <c r="O1667" s="12"/>
      <c r="P1667" s="34"/>
      <c r="Q1667" s="37"/>
      <c r="R1667" s="47"/>
      <c r="S1667" s="46"/>
    </row>
    <row r="1668" spans="1:19" ht="15.6" hidden="1" customHeight="1" thickBot="1" x14ac:dyDescent="0.3">
      <c r="A1668" t="s">
        <v>23</v>
      </c>
      <c r="B1668" s="60" t="str">
        <f t="shared" ref="B1668:B1670" si="1191">IF(K1668=0,"hide","")</f>
        <v>hide</v>
      </c>
      <c r="D1668" s="48" t="str">
        <f>D1667</f>
        <v>19112</v>
      </c>
      <c r="E1668" s="7"/>
      <c r="F1668" s="27">
        <v>0</v>
      </c>
      <c r="G1668" s="27">
        <v>0</v>
      </c>
      <c r="H1668" s="27">
        <v>0</v>
      </c>
      <c r="I1668" s="27">
        <v>0</v>
      </c>
      <c r="J1668" s="27">
        <v>0</v>
      </c>
      <c r="K1668" s="63">
        <f>AVERAGE(I1668:J1668)</f>
        <v>0</v>
      </c>
      <c r="L1668" s="56" t="str">
        <f>"EQP-LAWPACK2"</f>
        <v>EQP-LAWPACK2</v>
      </c>
      <c r="M1668" s="14"/>
      <c r="N1668" s="15"/>
      <c r="O1668" s="12"/>
      <c r="P1668" s="34"/>
      <c r="Q1668" s="37"/>
      <c r="R1668" s="47"/>
      <c r="S1668" s="46"/>
    </row>
    <row r="1669" spans="1:19" ht="15.6" hidden="1" customHeight="1" thickBot="1" x14ac:dyDescent="0.3">
      <c r="A1669" t="s">
        <v>23</v>
      </c>
      <c r="B1669" s="60" t="str">
        <f t="shared" si="1191"/>
        <v>hide</v>
      </c>
      <c r="D1669" s="48" t="str">
        <f>D1668</f>
        <v>19112</v>
      </c>
      <c r="E1669" s="7"/>
      <c r="F1669" s="27">
        <v>0</v>
      </c>
      <c r="G1669" s="27">
        <v>0</v>
      </c>
      <c r="H1669" s="27">
        <v>0</v>
      </c>
      <c r="I1669" s="27">
        <v>0</v>
      </c>
      <c r="J1669" s="27">
        <v>0</v>
      </c>
      <c r="K1669" s="63">
        <f>AVERAGE(I1669:J1669)</f>
        <v>0</v>
      </c>
      <c r="L1669" s="56" t="str">
        <f>"SW-COMAS-PACKL"</f>
        <v>SW-COMAS-PACKL</v>
      </c>
      <c r="M1669" s="14"/>
      <c r="N1669" s="15"/>
      <c r="O1669" s="12"/>
      <c r="P1669" s="34"/>
      <c r="Q1669" s="37"/>
      <c r="R1669" s="47"/>
      <c r="S1669" s="46"/>
    </row>
    <row r="1670" spans="1:19" ht="15.6" hidden="1" customHeight="1" thickBot="1" x14ac:dyDescent="0.3">
      <c r="A1670" t="s">
        <v>23</v>
      </c>
      <c r="B1670" s="60" t="str">
        <f t="shared" si="1191"/>
        <v>hide</v>
      </c>
      <c r="D1670" s="48" t="str">
        <f>D1669</f>
        <v>19112</v>
      </c>
      <c r="E1670" s="7"/>
      <c r="F1670" s="27">
        <v>0</v>
      </c>
      <c r="G1670" s="27">
        <v>0</v>
      </c>
      <c r="H1670" s="27">
        <v>0</v>
      </c>
      <c r="I1670" s="27">
        <v>0</v>
      </c>
      <c r="J1670" s="27">
        <v>0</v>
      </c>
      <c r="K1670" s="63">
        <f>AVERAGE(I1670:J1670)</f>
        <v>0</v>
      </c>
      <c r="L1670" s="56" t="str">
        <f>"SW-RISER-PACK"</f>
        <v>SW-RISER-PACK</v>
      </c>
      <c r="M1670" s="14"/>
      <c r="N1670" s="15"/>
      <c r="O1670" s="12"/>
      <c r="P1670" s="34"/>
      <c r="Q1670" s="37"/>
      <c r="R1670" s="47"/>
      <c r="S1670" s="46"/>
    </row>
    <row r="1671" spans="1:19" ht="12" hidden="1" customHeight="1" x14ac:dyDescent="0.3">
      <c r="A1671" s="35" t="s">
        <v>908</v>
      </c>
      <c r="B1671" s="49" t="str">
        <f>B1667</f>
        <v>hide</v>
      </c>
      <c r="N1671"/>
      <c r="Q1671" s="33"/>
    </row>
    <row r="1672" spans="1:19" ht="13.8" hidden="1" thickBot="1" x14ac:dyDescent="0.3">
      <c r="A1672" t="s">
        <v>23</v>
      </c>
      <c r="B1672" s="49" t="str">
        <f t="shared" ref="B1672" si="1192">B1671</f>
        <v>hide</v>
      </c>
      <c r="D1672" s="58"/>
      <c r="E1672" s="58"/>
      <c r="F1672" s="52">
        <f>SUM(F1667:F1671)</f>
        <v>0</v>
      </c>
      <c r="G1672" s="52">
        <f>SUM(G1667:G1671)</f>
        <v>0</v>
      </c>
      <c r="H1672" s="52">
        <f>SUM(H1667:H1671)</f>
        <v>0</v>
      </c>
      <c r="I1672" s="52">
        <f>SUM(I1667:I1671)</f>
        <v>0</v>
      </c>
      <c r="J1672" s="52">
        <f>SUM(J1667:J1671)</f>
        <v>0</v>
      </c>
      <c r="K1672" s="52"/>
      <c r="L1672" s="51" t="s">
        <v>4</v>
      </c>
      <c r="M1672" s="58"/>
      <c r="N1672" s="58"/>
      <c r="O1672" s="58"/>
      <c r="P1672" s="58"/>
      <c r="Q1672" s="58"/>
      <c r="R1672" s="58"/>
      <c r="S1672" s="58"/>
    </row>
    <row r="1673" spans="1:19" s="59" customFormat="1" ht="18.75" customHeight="1" thickBot="1" x14ac:dyDescent="0.3">
      <c r="A1673" s="59" t="s">
        <v>23</v>
      </c>
      <c r="B1673" s="60" t="str">
        <f t="shared" ref="B1673:B1674" si="1193">IF(K1673=0,"hide","")</f>
        <v/>
      </c>
      <c r="D1673" s="61" t="str">
        <f>"20003"</f>
        <v>20003</v>
      </c>
      <c r="E1673" s="62" t="str">
        <f>"1"</f>
        <v>1</v>
      </c>
      <c r="F1673" s="63">
        <v>0</v>
      </c>
      <c r="G1673" s="63">
        <v>0</v>
      </c>
      <c r="H1673" s="63">
        <v>0</v>
      </c>
      <c r="I1673" s="63">
        <v>0</v>
      </c>
      <c r="J1673" s="63">
        <v>926.67156626506028</v>
      </c>
      <c r="K1673" s="63">
        <f>AVERAGE(I1673:J1673)</f>
        <v>463.33578313253014</v>
      </c>
      <c r="L1673" s="64" t="str">
        <f>"SunButter Jammies Sandwich GRAPE"</f>
        <v>SunButter Jammies Sandwich GRAPE</v>
      </c>
      <c r="M1673" s="65" t="str">
        <f>"32-2oz IW  8 cartons of 4"</f>
        <v>32-2oz IW  8 cartons of 4</v>
      </c>
      <c r="N1673" s="66">
        <v>32</v>
      </c>
      <c r="O1673" s="67" t="str">
        <f>""</f>
        <v/>
      </c>
      <c r="P1673" s="68" t="e">
        <f>1/O1673</f>
        <v>#VALUE!</v>
      </c>
      <c r="Q1673" s="53">
        <v>1</v>
      </c>
      <c r="R1673" s="69">
        <f t="shared" ref="R1673" si="1194">1/Q1673</f>
        <v>1</v>
      </c>
      <c r="S1673" s="70">
        <f t="shared" ref="S1673" si="1195">R1673*N1673</f>
        <v>32</v>
      </c>
    </row>
    <row r="1674" spans="1:19" ht="15.6" hidden="1" customHeight="1" thickBot="1" x14ac:dyDescent="0.3">
      <c r="A1674" t="s">
        <v>23</v>
      </c>
      <c r="B1674" s="60" t="str">
        <f t="shared" si="1193"/>
        <v>hide</v>
      </c>
      <c r="D1674" s="48" t="str">
        <f>D1673</f>
        <v>20003</v>
      </c>
      <c r="E1674" s="7"/>
      <c r="F1674" s="27">
        <v>0</v>
      </c>
      <c r="G1674" s="27">
        <v>0</v>
      </c>
      <c r="H1674" s="27">
        <v>0</v>
      </c>
      <c r="I1674" s="27">
        <v>0</v>
      </c>
      <c r="J1674" s="27">
        <v>0</v>
      </c>
      <c r="K1674" s="63">
        <f>AVERAGE(I1674:J1674)</f>
        <v>0</v>
      </c>
      <c r="L1674" s="56" t="str">
        <f>"EQP-LAWPACK1"</f>
        <v>EQP-LAWPACK1</v>
      </c>
      <c r="M1674" s="14"/>
      <c r="N1674" s="15"/>
      <c r="O1674" s="12"/>
      <c r="P1674" s="34"/>
      <c r="Q1674" s="37"/>
      <c r="R1674" s="47"/>
      <c r="S1674" s="46"/>
    </row>
    <row r="1675" spans="1:19" ht="15.6" hidden="1" customHeight="1" thickBot="1" x14ac:dyDescent="0.3">
      <c r="A1675" t="s">
        <v>23</v>
      </c>
      <c r="B1675" s="60" t="str">
        <f t="shared" ref="B1675:B1677" si="1196">IF(K1675=0,"hide","")</f>
        <v>hide</v>
      </c>
      <c r="D1675" s="48" t="str">
        <f>D1674</f>
        <v>20003</v>
      </c>
      <c r="E1675" s="7"/>
      <c r="F1675" s="27">
        <v>0</v>
      </c>
      <c r="G1675" s="27">
        <v>0</v>
      </c>
      <c r="H1675" s="27">
        <v>0</v>
      </c>
      <c r="I1675" s="27">
        <v>0</v>
      </c>
      <c r="J1675" s="27">
        <v>0</v>
      </c>
      <c r="K1675" s="63">
        <f>AVERAGE(I1675:J1675)</f>
        <v>0</v>
      </c>
      <c r="L1675" s="56" t="str">
        <f>"EQP-LAWPACK2"</f>
        <v>EQP-LAWPACK2</v>
      </c>
      <c r="M1675" s="14"/>
      <c r="N1675" s="15"/>
      <c r="O1675" s="12"/>
      <c r="P1675" s="34"/>
      <c r="Q1675" s="37"/>
      <c r="R1675" s="47"/>
      <c r="S1675" s="46"/>
    </row>
    <row r="1676" spans="1:19" ht="15.6" customHeight="1" thickBot="1" x14ac:dyDescent="0.3">
      <c r="A1676" t="s">
        <v>23</v>
      </c>
      <c r="B1676" s="60" t="str">
        <f t="shared" si="1196"/>
        <v/>
      </c>
      <c r="D1676" s="48" t="str">
        <f>D1675</f>
        <v>20003</v>
      </c>
      <c r="E1676" s="7"/>
      <c r="F1676" s="27">
        <v>0</v>
      </c>
      <c r="G1676" s="27">
        <v>0</v>
      </c>
      <c r="H1676" s="27">
        <v>0</v>
      </c>
      <c r="I1676" s="27">
        <v>0</v>
      </c>
      <c r="J1676" s="27">
        <v>-186.16626506024096</v>
      </c>
      <c r="K1676" s="63">
        <f>AVERAGE(I1676:J1676)</f>
        <v>-93.08313253012048</v>
      </c>
      <c r="L1676" s="56" t="str">
        <f>"SW-COMAS-PACKL"</f>
        <v>SW-COMAS-PACKL</v>
      </c>
      <c r="M1676" s="14"/>
      <c r="N1676" s="15"/>
      <c r="O1676" s="12"/>
      <c r="P1676" s="34"/>
      <c r="Q1676" s="37"/>
      <c r="R1676" s="47"/>
      <c r="S1676" s="46"/>
    </row>
    <row r="1677" spans="1:19" ht="15.6" customHeight="1" thickBot="1" x14ac:dyDescent="0.3">
      <c r="A1677" t="s">
        <v>23</v>
      </c>
      <c r="B1677" s="60" t="str">
        <f t="shared" si="1196"/>
        <v/>
      </c>
      <c r="D1677" s="48" t="str">
        <f>D1676</f>
        <v>20003</v>
      </c>
      <c r="E1677" s="7"/>
      <c r="F1677" s="27">
        <v>0</v>
      </c>
      <c r="G1677" s="27">
        <v>0</v>
      </c>
      <c r="H1677" s="27">
        <v>0</v>
      </c>
      <c r="I1677" s="27">
        <v>0</v>
      </c>
      <c r="J1677" s="27">
        <v>-1023.3689156626505</v>
      </c>
      <c r="K1677" s="63">
        <f>AVERAGE(I1677:J1677)</f>
        <v>-511.68445783132523</v>
      </c>
      <c r="L1677" s="56" t="str">
        <f>"SW-RISER-PACK"</f>
        <v>SW-RISER-PACK</v>
      </c>
      <c r="M1677" s="14"/>
      <c r="N1677" s="15"/>
      <c r="O1677" s="12"/>
      <c r="P1677" s="34"/>
      <c r="Q1677" s="37"/>
      <c r="R1677" s="47"/>
      <c r="S1677" s="46"/>
    </row>
    <row r="1678" spans="1:19" ht="12" hidden="1" customHeight="1" x14ac:dyDescent="0.3">
      <c r="A1678" s="35" t="s">
        <v>908</v>
      </c>
      <c r="B1678" s="49" t="str">
        <f>B1674</f>
        <v>hide</v>
      </c>
      <c r="N1678"/>
      <c r="Q1678" s="33"/>
    </row>
    <row r="1679" spans="1:19" ht="13.8" hidden="1" thickBot="1" x14ac:dyDescent="0.3">
      <c r="A1679" t="s">
        <v>23</v>
      </c>
      <c r="B1679" s="49" t="str">
        <f t="shared" ref="B1679" si="1197">B1678</f>
        <v>hide</v>
      </c>
      <c r="D1679" s="58"/>
      <c r="E1679" s="58"/>
      <c r="F1679" s="52">
        <f>SUM(F1674:F1678)</f>
        <v>0</v>
      </c>
      <c r="G1679" s="52">
        <f>SUM(G1674:G1678)</f>
        <v>0</v>
      </c>
      <c r="H1679" s="52">
        <f>SUM(H1674:H1678)</f>
        <v>0</v>
      </c>
      <c r="I1679" s="52">
        <f>SUM(I1674:I1678)</f>
        <v>0</v>
      </c>
      <c r="J1679" s="52">
        <f>SUM(J1674:J1678)</f>
        <v>-1209.5351807228915</v>
      </c>
      <c r="K1679" s="52"/>
      <c r="L1679" s="51" t="s">
        <v>4</v>
      </c>
      <c r="M1679" s="58"/>
      <c r="N1679" s="58"/>
      <c r="O1679" s="58"/>
      <c r="P1679" s="58"/>
      <c r="Q1679" s="58"/>
      <c r="R1679" s="58"/>
      <c r="S1679" s="58"/>
    </row>
    <row r="1680" spans="1:19" s="59" customFormat="1" ht="18.75" customHeight="1" thickBot="1" x14ac:dyDescent="0.3">
      <c r="A1680" s="59" t="s">
        <v>23</v>
      </c>
      <c r="B1680" s="60" t="str">
        <f t="shared" ref="B1680:B1681" si="1198">IF(K1680=0,"hide","")</f>
        <v/>
      </c>
      <c r="D1680" s="61" t="str">
        <f>"20006"</f>
        <v>20006</v>
      </c>
      <c r="E1680" s="62" t="str">
        <f>"1"</f>
        <v>1</v>
      </c>
      <c r="F1680" s="63">
        <v>0</v>
      </c>
      <c r="G1680" s="63">
        <v>0</v>
      </c>
      <c r="H1680" s="63">
        <v>0</v>
      </c>
      <c r="I1680" s="63">
        <v>0</v>
      </c>
      <c r="J1680" s="63">
        <v>633.64722891566271</v>
      </c>
      <c r="K1680" s="63">
        <f>AVERAGE(I1680:J1680)</f>
        <v>316.82361445783135</v>
      </c>
      <c r="L1680" s="64" t="str">
        <f>"SunButter Jammies Sandwich STRAWBERY"</f>
        <v>SunButter Jammies Sandwich STRAWBERY</v>
      </c>
      <c r="M1680" s="65" t="str">
        <f>"32-2oz IW  8 cartons of 4"</f>
        <v>32-2oz IW  8 cartons of 4</v>
      </c>
      <c r="N1680" s="66">
        <v>32</v>
      </c>
      <c r="O1680" s="67" t="str">
        <f>""</f>
        <v/>
      </c>
      <c r="P1680" s="68" t="e">
        <f>1/O1680</f>
        <v>#VALUE!</v>
      </c>
      <c r="Q1680" s="53">
        <v>1</v>
      </c>
      <c r="R1680" s="69">
        <f t="shared" ref="R1680" si="1199">1/Q1680</f>
        <v>1</v>
      </c>
      <c r="S1680" s="70">
        <f t="shared" ref="S1680" si="1200">R1680*N1680</f>
        <v>32</v>
      </c>
    </row>
    <row r="1681" spans="1:19" ht="15.6" hidden="1" customHeight="1" thickBot="1" x14ac:dyDescent="0.3">
      <c r="A1681" t="s">
        <v>23</v>
      </c>
      <c r="B1681" s="60" t="str">
        <f t="shared" si="1198"/>
        <v>hide</v>
      </c>
      <c r="D1681" s="48" t="str">
        <f>D1680</f>
        <v>20006</v>
      </c>
      <c r="E1681" s="7"/>
      <c r="F1681" s="27">
        <v>0</v>
      </c>
      <c r="G1681" s="27">
        <v>0</v>
      </c>
      <c r="H1681" s="27">
        <v>0</v>
      </c>
      <c r="I1681" s="27">
        <v>0</v>
      </c>
      <c r="J1681" s="27">
        <v>0</v>
      </c>
      <c r="K1681" s="63">
        <f>AVERAGE(I1681:J1681)</f>
        <v>0</v>
      </c>
      <c r="L1681" s="56" t="str">
        <f>"EQP-LAWPACK1"</f>
        <v>EQP-LAWPACK1</v>
      </c>
      <c r="M1681" s="14"/>
      <c r="N1681" s="15"/>
      <c r="O1681" s="12"/>
      <c r="P1681" s="34"/>
      <c r="Q1681" s="37"/>
      <c r="R1681" s="47"/>
      <c r="S1681" s="46"/>
    </row>
    <row r="1682" spans="1:19" ht="15.6" hidden="1" customHeight="1" thickBot="1" x14ac:dyDescent="0.3">
      <c r="A1682" t="s">
        <v>23</v>
      </c>
      <c r="B1682" s="60" t="str">
        <f t="shared" ref="B1682:B1684" si="1201">IF(K1682=0,"hide","")</f>
        <v>hide</v>
      </c>
      <c r="D1682" s="48" t="str">
        <f>D1681</f>
        <v>20006</v>
      </c>
      <c r="E1682" s="7"/>
      <c r="F1682" s="27">
        <v>0</v>
      </c>
      <c r="G1682" s="27">
        <v>0</v>
      </c>
      <c r="H1682" s="27">
        <v>0</v>
      </c>
      <c r="I1682" s="27">
        <v>0</v>
      </c>
      <c r="J1682" s="27">
        <v>0</v>
      </c>
      <c r="K1682" s="63">
        <f>AVERAGE(I1682:J1682)</f>
        <v>0</v>
      </c>
      <c r="L1682" s="56" t="str">
        <f>"EQP-LAWPACK2"</f>
        <v>EQP-LAWPACK2</v>
      </c>
      <c r="M1682" s="14"/>
      <c r="N1682" s="15"/>
      <c r="O1682" s="12"/>
      <c r="P1682" s="34"/>
      <c r="Q1682" s="37"/>
      <c r="R1682" s="47"/>
      <c r="S1682" s="46"/>
    </row>
    <row r="1683" spans="1:19" ht="15.6" customHeight="1" thickBot="1" x14ac:dyDescent="0.3">
      <c r="A1683" t="s">
        <v>23</v>
      </c>
      <c r="B1683" s="60" t="str">
        <f t="shared" si="1201"/>
        <v/>
      </c>
      <c r="D1683" s="48" t="str">
        <f>D1682</f>
        <v>20006</v>
      </c>
      <c r="E1683" s="7"/>
      <c r="F1683" s="27">
        <v>0</v>
      </c>
      <c r="G1683" s="27">
        <v>0</v>
      </c>
      <c r="H1683" s="27">
        <v>0</v>
      </c>
      <c r="I1683" s="27">
        <v>0</v>
      </c>
      <c r="J1683" s="27">
        <v>-70.51132530120482</v>
      </c>
      <c r="K1683" s="63">
        <f>AVERAGE(I1683:J1683)</f>
        <v>-35.25566265060241</v>
      </c>
      <c r="L1683" s="56" t="str">
        <f>"SW-COMAS-PACKL"</f>
        <v>SW-COMAS-PACKL</v>
      </c>
      <c r="M1683" s="14"/>
      <c r="N1683" s="15"/>
      <c r="O1683" s="12"/>
      <c r="P1683" s="34"/>
      <c r="Q1683" s="37"/>
      <c r="R1683" s="47"/>
      <c r="S1683" s="46"/>
    </row>
    <row r="1684" spans="1:19" ht="15.6" customHeight="1" thickBot="1" x14ac:dyDescent="0.3">
      <c r="A1684" t="s">
        <v>23</v>
      </c>
      <c r="B1684" s="60" t="str">
        <f t="shared" si="1201"/>
        <v/>
      </c>
      <c r="D1684" s="48" t="str">
        <f>D1683</f>
        <v>20006</v>
      </c>
      <c r="E1684" s="7"/>
      <c r="F1684" s="27">
        <v>0</v>
      </c>
      <c r="G1684" s="27">
        <v>0</v>
      </c>
      <c r="H1684" s="27">
        <v>0</v>
      </c>
      <c r="I1684" s="27">
        <v>0</v>
      </c>
      <c r="J1684" s="27">
        <v>-611.41638554216865</v>
      </c>
      <c r="K1684" s="63">
        <f>AVERAGE(I1684:J1684)</f>
        <v>-305.70819277108433</v>
      </c>
      <c r="L1684" s="56" t="str">
        <f>"SW-RISER-PACK"</f>
        <v>SW-RISER-PACK</v>
      </c>
      <c r="M1684" s="14"/>
      <c r="N1684" s="15"/>
      <c r="O1684" s="12"/>
      <c r="P1684" s="34"/>
      <c r="Q1684" s="37"/>
      <c r="R1684" s="47"/>
      <c r="S1684" s="46"/>
    </row>
    <row r="1685" spans="1:19" ht="12" hidden="1" customHeight="1" x14ac:dyDescent="0.3">
      <c r="A1685" s="35" t="s">
        <v>908</v>
      </c>
      <c r="B1685" s="49" t="str">
        <f>B1681</f>
        <v>hide</v>
      </c>
      <c r="N1685"/>
      <c r="Q1685" s="33"/>
    </row>
    <row r="1686" spans="1:19" ht="13.8" hidden="1" thickBot="1" x14ac:dyDescent="0.3">
      <c r="A1686" t="s">
        <v>23</v>
      </c>
      <c r="B1686" s="49" t="str">
        <f t="shared" ref="B1686" si="1202">B1685</f>
        <v>hide</v>
      </c>
      <c r="D1686" s="58"/>
      <c r="E1686" s="58"/>
      <c r="F1686" s="52">
        <f>SUM(F1681:F1685)</f>
        <v>0</v>
      </c>
      <c r="G1686" s="52">
        <f>SUM(G1681:G1685)</f>
        <v>0</v>
      </c>
      <c r="H1686" s="52">
        <f>SUM(H1681:H1685)</f>
        <v>0</v>
      </c>
      <c r="I1686" s="52">
        <f>SUM(I1681:I1685)</f>
        <v>0</v>
      </c>
      <c r="J1686" s="52">
        <f>SUM(J1681:J1685)</f>
        <v>-681.92771084337346</v>
      </c>
      <c r="K1686" s="52"/>
      <c r="L1686" s="51" t="s">
        <v>4</v>
      </c>
      <c r="M1686" s="58"/>
      <c r="N1686" s="58"/>
      <c r="O1686" s="58"/>
      <c r="P1686" s="58"/>
      <c r="Q1686" s="58"/>
      <c r="R1686" s="58"/>
      <c r="S1686" s="58"/>
    </row>
    <row r="1687" spans="1:19" s="59" customFormat="1" ht="18.75" customHeight="1" thickBot="1" x14ac:dyDescent="0.3">
      <c r="A1687" s="59" t="s">
        <v>23</v>
      </c>
      <c r="B1687" s="60" t="str">
        <f t="shared" ref="B1687:B1688" si="1203">IF(K1687=0,"hide","")</f>
        <v/>
      </c>
      <c r="D1687" s="61" t="str">
        <f>"20012"</f>
        <v>20012</v>
      </c>
      <c r="E1687" s="62" t="str">
        <f>"2"</f>
        <v>2</v>
      </c>
      <c r="F1687" s="63">
        <v>0</v>
      </c>
      <c r="G1687" s="63">
        <v>0</v>
      </c>
      <c r="H1687" s="63">
        <v>0</v>
      </c>
      <c r="I1687" s="63">
        <v>0</v>
      </c>
      <c r="J1687" s="63">
        <v>288.79638554216871</v>
      </c>
      <c r="K1687" s="63">
        <f>AVERAGE(I1687:J1687)</f>
        <v>144.39819277108435</v>
      </c>
      <c r="L1687" s="64" t="str">
        <f>"SunButter Jammies Sandwich GRAPE"</f>
        <v>SunButter Jammies Sandwich GRAPE</v>
      </c>
      <c r="M1687" s="65" t="str">
        <f>"180-2oz IW 15 cartons of 12"</f>
        <v>180-2oz IW 15 cartons of 12</v>
      </c>
      <c r="N1687" s="66">
        <v>180</v>
      </c>
      <c r="O1687" s="67" t="str">
        <f>""</f>
        <v/>
      </c>
      <c r="P1687" s="68" t="e">
        <f>1/O1687</f>
        <v>#VALUE!</v>
      </c>
      <c r="Q1687" s="53">
        <v>1</v>
      </c>
      <c r="R1687" s="69">
        <f t="shared" ref="R1687" si="1204">1/Q1687</f>
        <v>1</v>
      </c>
      <c r="S1687" s="70">
        <f t="shared" ref="S1687" si="1205">R1687*N1687</f>
        <v>180</v>
      </c>
    </row>
    <row r="1688" spans="1:19" ht="15.6" hidden="1" customHeight="1" thickBot="1" x14ac:dyDescent="0.3">
      <c r="A1688" t="s">
        <v>23</v>
      </c>
      <c r="B1688" s="60" t="str">
        <f t="shared" si="1203"/>
        <v>hide</v>
      </c>
      <c r="D1688" s="48" t="str">
        <f>D1687</f>
        <v>20012</v>
      </c>
      <c r="E1688" s="7"/>
      <c r="F1688" s="27">
        <v>0</v>
      </c>
      <c r="G1688" s="27">
        <v>0</v>
      </c>
      <c r="H1688" s="27">
        <v>0</v>
      </c>
      <c r="I1688" s="27">
        <v>0</v>
      </c>
      <c r="J1688" s="27">
        <v>0</v>
      </c>
      <c r="K1688" s="63">
        <f>AVERAGE(I1688:J1688)</f>
        <v>0</v>
      </c>
      <c r="L1688" s="56" t="str">
        <f>"EQP-LAWPACK1"</f>
        <v>EQP-LAWPACK1</v>
      </c>
      <c r="M1688" s="14"/>
      <c r="N1688" s="15"/>
      <c r="O1688" s="12"/>
      <c r="P1688" s="34"/>
      <c r="Q1688" s="37"/>
      <c r="R1688" s="47"/>
      <c r="S1688" s="46"/>
    </row>
    <row r="1689" spans="1:19" ht="15.6" hidden="1" customHeight="1" thickBot="1" x14ac:dyDescent="0.3">
      <c r="A1689" t="s">
        <v>23</v>
      </c>
      <c r="B1689" s="60" t="str">
        <f t="shared" ref="B1689:B1691" si="1206">IF(K1689=0,"hide","")</f>
        <v>hide</v>
      </c>
      <c r="D1689" s="48" t="str">
        <f>D1688</f>
        <v>20012</v>
      </c>
      <c r="E1689" s="7"/>
      <c r="F1689" s="27">
        <v>0</v>
      </c>
      <c r="G1689" s="27">
        <v>0</v>
      </c>
      <c r="H1689" s="27">
        <v>0</v>
      </c>
      <c r="I1689" s="27">
        <v>0</v>
      </c>
      <c r="J1689" s="27">
        <v>0</v>
      </c>
      <c r="K1689" s="63">
        <f>AVERAGE(I1689:J1689)</f>
        <v>0</v>
      </c>
      <c r="L1689" s="56" t="str">
        <f>"EQP-LAWPACK2"</f>
        <v>EQP-LAWPACK2</v>
      </c>
      <c r="M1689" s="14"/>
      <c r="N1689" s="15"/>
      <c r="O1689" s="12"/>
      <c r="P1689" s="34"/>
      <c r="Q1689" s="37"/>
      <c r="R1689" s="47"/>
      <c r="S1689" s="46"/>
    </row>
    <row r="1690" spans="1:19" ht="15.6" customHeight="1" thickBot="1" x14ac:dyDescent="0.3">
      <c r="A1690" t="s">
        <v>23</v>
      </c>
      <c r="B1690" s="60" t="str">
        <f t="shared" si="1206"/>
        <v/>
      </c>
      <c r="D1690" s="48" t="str">
        <f>D1689</f>
        <v>20012</v>
      </c>
      <c r="E1690" s="7"/>
      <c r="F1690" s="27">
        <v>0</v>
      </c>
      <c r="G1690" s="27">
        <v>0</v>
      </c>
      <c r="H1690" s="27">
        <v>0</v>
      </c>
      <c r="I1690" s="27">
        <v>0</v>
      </c>
      <c r="J1690" s="27">
        <v>-81.149397590361446</v>
      </c>
      <c r="K1690" s="63">
        <f>AVERAGE(I1690:J1690)</f>
        <v>-40.574698795180723</v>
      </c>
      <c r="L1690" s="56" t="str">
        <f>"SW-COMAS-PACKL"</f>
        <v>SW-COMAS-PACKL</v>
      </c>
      <c r="M1690" s="14"/>
      <c r="N1690" s="15"/>
      <c r="O1690" s="12"/>
      <c r="P1690" s="34"/>
      <c r="Q1690" s="37"/>
      <c r="R1690" s="47"/>
      <c r="S1690" s="46"/>
    </row>
    <row r="1691" spans="1:19" ht="15.6" customHeight="1" thickBot="1" x14ac:dyDescent="0.3">
      <c r="A1691" t="s">
        <v>23</v>
      </c>
      <c r="B1691" s="60" t="str">
        <f t="shared" si="1206"/>
        <v/>
      </c>
      <c r="D1691" s="48" t="str">
        <f>D1690</f>
        <v>20012</v>
      </c>
      <c r="E1691" s="7"/>
      <c r="F1691" s="27">
        <v>0</v>
      </c>
      <c r="G1691" s="27">
        <v>0</v>
      </c>
      <c r="H1691" s="27">
        <v>0</v>
      </c>
      <c r="I1691" s="27">
        <v>0</v>
      </c>
      <c r="J1691" s="27">
        <v>-309.86795180722891</v>
      </c>
      <c r="K1691" s="63">
        <f>AVERAGE(I1691:J1691)</f>
        <v>-154.93397590361445</v>
      </c>
      <c r="L1691" s="56" t="str">
        <f>"SW-RISER-PACK"</f>
        <v>SW-RISER-PACK</v>
      </c>
      <c r="M1691" s="14"/>
      <c r="N1691" s="15"/>
      <c r="O1691" s="12"/>
      <c r="P1691" s="34"/>
      <c r="Q1691" s="37"/>
      <c r="R1691" s="47"/>
      <c r="S1691" s="46"/>
    </row>
    <row r="1692" spans="1:19" ht="12" hidden="1" customHeight="1" x14ac:dyDescent="0.3">
      <c r="A1692" s="35" t="s">
        <v>908</v>
      </c>
      <c r="B1692" s="49" t="str">
        <f>B1688</f>
        <v>hide</v>
      </c>
      <c r="N1692"/>
      <c r="Q1692" s="33"/>
    </row>
    <row r="1693" spans="1:19" ht="13.8" hidden="1" thickBot="1" x14ac:dyDescent="0.3">
      <c r="A1693" t="s">
        <v>23</v>
      </c>
      <c r="B1693" s="49" t="str">
        <f t="shared" ref="B1693" si="1207">B1692</f>
        <v>hide</v>
      </c>
      <c r="D1693" s="58"/>
      <c r="E1693" s="58"/>
      <c r="F1693" s="52">
        <f>SUM(F1688:F1692)</f>
        <v>0</v>
      </c>
      <c r="G1693" s="52">
        <f>SUM(G1688:G1692)</f>
        <v>0</v>
      </c>
      <c r="H1693" s="52">
        <f>SUM(H1688:H1692)</f>
        <v>0</v>
      </c>
      <c r="I1693" s="52">
        <f>SUM(I1688:I1692)</f>
        <v>0</v>
      </c>
      <c r="J1693" s="52">
        <f>SUM(J1688:J1692)</f>
        <v>-391.01734939759035</v>
      </c>
      <c r="K1693" s="52"/>
      <c r="L1693" s="51" t="s">
        <v>4</v>
      </c>
      <c r="M1693" s="58"/>
      <c r="N1693" s="58"/>
      <c r="O1693" s="58"/>
      <c r="P1693" s="58"/>
      <c r="Q1693" s="58"/>
      <c r="R1693" s="58"/>
      <c r="S1693" s="58"/>
    </row>
    <row r="1694" spans="1:19" s="59" customFormat="1" ht="18.75" hidden="1" customHeight="1" thickBot="1" x14ac:dyDescent="0.3">
      <c r="A1694" s="59" t="s">
        <v>23</v>
      </c>
      <c r="B1694" s="60" t="str">
        <f t="shared" ref="B1694:B1695" si="1208">IF(K1694=0,"hide","")</f>
        <v>hide</v>
      </c>
      <c r="D1694" s="61" t="str">
        <f>"20020"</f>
        <v>20020</v>
      </c>
      <c r="E1694" s="62" t="str">
        <f>"1"</f>
        <v>1</v>
      </c>
      <c r="F1694" s="63">
        <v>0</v>
      </c>
      <c r="G1694" s="63">
        <v>0</v>
      </c>
      <c r="H1694" s="63">
        <v>0</v>
      </c>
      <c r="I1694" s="63">
        <v>0</v>
      </c>
      <c r="J1694" s="63">
        <v>0</v>
      </c>
      <c r="K1694" s="63">
        <f>AVERAGE(I1694:J1694)</f>
        <v>0</v>
      </c>
      <c r="L1694" s="64" t="str">
        <f>"SunButter CDN Jammie GRAPE Sandwich"</f>
        <v>SunButter CDN Jammie GRAPE Sandwich</v>
      </c>
      <c r="M1694" s="65" t="str">
        <f>"32-2oz IW  8 cartons of 4"</f>
        <v>32-2oz IW  8 cartons of 4</v>
      </c>
      <c r="N1694" s="66">
        <v>32</v>
      </c>
      <c r="O1694" s="67" t="str">
        <f>""</f>
        <v/>
      </c>
      <c r="P1694" s="68" t="e">
        <f>1/O1694</f>
        <v>#VALUE!</v>
      </c>
      <c r="Q1694" s="53">
        <v>1</v>
      </c>
      <c r="R1694" s="69">
        <f t="shared" ref="R1694" si="1209">1/Q1694</f>
        <v>1</v>
      </c>
      <c r="S1694" s="70">
        <f t="shared" ref="S1694" si="1210">R1694*N1694</f>
        <v>32</v>
      </c>
    </row>
    <row r="1695" spans="1:19" ht="15.6" hidden="1" customHeight="1" thickBot="1" x14ac:dyDescent="0.3">
      <c r="A1695" t="s">
        <v>23</v>
      </c>
      <c r="B1695" s="60" t="str">
        <f t="shared" si="1208"/>
        <v>hide</v>
      </c>
      <c r="D1695" s="48" t="str">
        <f>D1694</f>
        <v>20020</v>
      </c>
      <c r="E1695" s="7"/>
      <c r="F1695" s="27">
        <v>0</v>
      </c>
      <c r="G1695" s="27">
        <v>0</v>
      </c>
      <c r="H1695" s="27">
        <v>0</v>
      </c>
      <c r="I1695" s="27">
        <v>0</v>
      </c>
      <c r="J1695" s="27">
        <v>0</v>
      </c>
      <c r="K1695" s="63">
        <f>AVERAGE(I1695:J1695)</f>
        <v>0</v>
      </c>
      <c r="L1695" s="56" t="str">
        <f>"EQP-LAWPACK1"</f>
        <v>EQP-LAWPACK1</v>
      </c>
      <c r="M1695" s="14"/>
      <c r="N1695" s="15"/>
      <c r="O1695" s="12"/>
      <c r="P1695" s="34"/>
      <c r="Q1695" s="37"/>
      <c r="R1695" s="47"/>
      <c r="S1695" s="46"/>
    </row>
    <row r="1696" spans="1:19" ht="15.6" hidden="1" customHeight="1" thickBot="1" x14ac:dyDescent="0.3">
      <c r="A1696" t="s">
        <v>23</v>
      </c>
      <c r="B1696" s="60" t="str">
        <f t="shared" ref="B1696:B1698" si="1211">IF(K1696=0,"hide","")</f>
        <v>hide</v>
      </c>
      <c r="D1696" s="48" t="str">
        <f>D1695</f>
        <v>20020</v>
      </c>
      <c r="E1696" s="7"/>
      <c r="F1696" s="27">
        <v>0</v>
      </c>
      <c r="G1696" s="27">
        <v>0</v>
      </c>
      <c r="H1696" s="27">
        <v>0</v>
      </c>
      <c r="I1696" s="27">
        <v>0</v>
      </c>
      <c r="J1696" s="27">
        <v>0</v>
      </c>
      <c r="K1696" s="63">
        <f>AVERAGE(I1696:J1696)</f>
        <v>0</v>
      </c>
      <c r="L1696" s="56" t="str">
        <f>"EQP-LAWPACK2"</f>
        <v>EQP-LAWPACK2</v>
      </c>
      <c r="M1696" s="14"/>
      <c r="N1696" s="15"/>
      <c r="O1696" s="12"/>
      <c r="P1696" s="34"/>
      <c r="Q1696" s="37"/>
      <c r="R1696" s="47"/>
      <c r="S1696" s="46"/>
    </row>
    <row r="1697" spans="1:19" ht="15.6" hidden="1" customHeight="1" thickBot="1" x14ac:dyDescent="0.3">
      <c r="A1697" t="s">
        <v>23</v>
      </c>
      <c r="B1697" s="60" t="str">
        <f t="shared" si="1211"/>
        <v>hide</v>
      </c>
      <c r="D1697" s="48" t="str">
        <f>D1696</f>
        <v>20020</v>
      </c>
      <c r="E1697" s="7"/>
      <c r="F1697" s="27">
        <v>0</v>
      </c>
      <c r="G1697" s="27">
        <v>0</v>
      </c>
      <c r="H1697" s="27">
        <v>0</v>
      </c>
      <c r="I1697" s="27">
        <v>0</v>
      </c>
      <c r="J1697" s="27">
        <v>0</v>
      </c>
      <c r="K1697" s="63">
        <f>AVERAGE(I1697:J1697)</f>
        <v>0</v>
      </c>
      <c r="L1697" s="56" t="str">
        <f>"SW-COMAS-PACKL"</f>
        <v>SW-COMAS-PACKL</v>
      </c>
      <c r="M1697" s="14"/>
      <c r="N1697" s="15"/>
      <c r="O1697" s="12"/>
      <c r="P1697" s="34"/>
      <c r="Q1697" s="37"/>
      <c r="R1697" s="47"/>
      <c r="S1697" s="46"/>
    </row>
    <row r="1698" spans="1:19" ht="15.6" hidden="1" customHeight="1" thickBot="1" x14ac:dyDescent="0.3">
      <c r="A1698" t="s">
        <v>23</v>
      </c>
      <c r="B1698" s="60" t="str">
        <f t="shared" si="1211"/>
        <v>hide</v>
      </c>
      <c r="D1698" s="48" t="str">
        <f>D1697</f>
        <v>20020</v>
      </c>
      <c r="E1698" s="7"/>
      <c r="F1698" s="27">
        <v>0</v>
      </c>
      <c r="G1698" s="27">
        <v>0</v>
      </c>
      <c r="H1698" s="27">
        <v>0</v>
      </c>
      <c r="I1698" s="27">
        <v>0</v>
      </c>
      <c r="J1698" s="27">
        <v>0</v>
      </c>
      <c r="K1698" s="63">
        <f>AVERAGE(I1698:J1698)</f>
        <v>0</v>
      </c>
      <c r="L1698" s="56" t="str">
        <f>"SW-RISER-PACK"</f>
        <v>SW-RISER-PACK</v>
      </c>
      <c r="M1698" s="14"/>
      <c r="N1698" s="15"/>
      <c r="O1698" s="12"/>
      <c r="P1698" s="34"/>
      <c r="Q1698" s="37"/>
      <c r="R1698" s="47"/>
      <c r="S1698" s="46"/>
    </row>
    <row r="1699" spans="1:19" ht="12" hidden="1" customHeight="1" x14ac:dyDescent="0.3">
      <c r="A1699" s="35" t="s">
        <v>908</v>
      </c>
      <c r="B1699" s="49" t="str">
        <f>B1695</f>
        <v>hide</v>
      </c>
      <c r="N1699"/>
      <c r="Q1699" s="33"/>
    </row>
    <row r="1700" spans="1:19" ht="13.8" hidden="1" thickBot="1" x14ac:dyDescent="0.3">
      <c r="A1700" t="s">
        <v>23</v>
      </c>
      <c r="B1700" s="49" t="str">
        <f t="shared" ref="B1700" si="1212">B1699</f>
        <v>hide</v>
      </c>
      <c r="D1700" s="58"/>
      <c r="E1700" s="58"/>
      <c r="F1700" s="52">
        <f>SUM(F1695:F1699)</f>
        <v>0</v>
      </c>
      <c r="G1700" s="52">
        <f>SUM(G1695:G1699)</f>
        <v>0</v>
      </c>
      <c r="H1700" s="52">
        <f>SUM(H1695:H1699)</f>
        <v>0</v>
      </c>
      <c r="I1700" s="52">
        <f>SUM(I1695:I1699)</f>
        <v>0</v>
      </c>
      <c r="J1700" s="52">
        <f>SUM(J1695:J1699)</f>
        <v>0</v>
      </c>
      <c r="K1700" s="52"/>
      <c r="L1700" s="51" t="s">
        <v>4</v>
      </c>
      <c r="M1700" s="58"/>
      <c r="N1700" s="58"/>
      <c r="O1700" s="58"/>
      <c r="P1700" s="58"/>
      <c r="Q1700" s="58"/>
      <c r="R1700" s="58"/>
      <c r="S1700" s="58"/>
    </row>
    <row r="1701" spans="1:19" s="59" customFormat="1" ht="18.75" hidden="1" customHeight="1" thickBot="1" x14ac:dyDescent="0.3">
      <c r="A1701" s="59" t="s">
        <v>23</v>
      </c>
      <c r="B1701" s="60" t="str">
        <f t="shared" ref="B1701:B1702" si="1213">IF(K1701=0,"hide","")</f>
        <v>hide</v>
      </c>
      <c r="D1701" s="61" t="str">
        <f>"20023"</f>
        <v>20023</v>
      </c>
      <c r="E1701" s="62" t="str">
        <f>"1"</f>
        <v>1</v>
      </c>
      <c r="F1701" s="63">
        <v>0</v>
      </c>
      <c r="G1701" s="63">
        <v>0</v>
      </c>
      <c r="H1701" s="63">
        <v>0</v>
      </c>
      <c r="I1701" s="63">
        <v>0</v>
      </c>
      <c r="J1701" s="63">
        <v>0</v>
      </c>
      <c r="K1701" s="63">
        <f>AVERAGE(I1701:J1701)</f>
        <v>0</v>
      </c>
      <c r="L1701" s="64" t="str">
        <f>"SunButter CDN Jammie STRWBRY Sandwich"</f>
        <v>SunButter CDN Jammie STRWBRY Sandwich</v>
      </c>
      <c r="M1701" s="65" t="str">
        <f>"32-2oz IW  8 cartons of 4"</f>
        <v>32-2oz IW  8 cartons of 4</v>
      </c>
      <c r="N1701" s="66">
        <v>32</v>
      </c>
      <c r="O1701" s="67" t="str">
        <f>""</f>
        <v/>
      </c>
      <c r="P1701" s="68" t="e">
        <f>1/O1701</f>
        <v>#VALUE!</v>
      </c>
      <c r="Q1701" s="53">
        <v>1</v>
      </c>
      <c r="R1701" s="69">
        <f t="shared" ref="R1701" si="1214">1/Q1701</f>
        <v>1</v>
      </c>
      <c r="S1701" s="70">
        <f t="shared" ref="S1701" si="1215">R1701*N1701</f>
        <v>32</v>
      </c>
    </row>
    <row r="1702" spans="1:19" ht="15.6" hidden="1" customHeight="1" thickBot="1" x14ac:dyDescent="0.3">
      <c r="A1702" t="s">
        <v>23</v>
      </c>
      <c r="B1702" s="60" t="str">
        <f t="shared" si="1213"/>
        <v>hide</v>
      </c>
      <c r="D1702" s="48" t="str">
        <f>D1701</f>
        <v>20023</v>
      </c>
      <c r="E1702" s="7"/>
      <c r="F1702" s="27">
        <v>0</v>
      </c>
      <c r="G1702" s="27">
        <v>0</v>
      </c>
      <c r="H1702" s="27">
        <v>0</v>
      </c>
      <c r="I1702" s="27">
        <v>0</v>
      </c>
      <c r="J1702" s="27">
        <v>0</v>
      </c>
      <c r="K1702" s="63">
        <f>AVERAGE(I1702:J1702)</f>
        <v>0</v>
      </c>
      <c r="L1702" s="56" t="str">
        <f>"EQP-LAWPACK1"</f>
        <v>EQP-LAWPACK1</v>
      </c>
      <c r="M1702" s="14"/>
      <c r="N1702" s="15"/>
      <c r="O1702" s="12"/>
      <c r="P1702" s="34"/>
      <c r="Q1702" s="37"/>
      <c r="R1702" s="47"/>
      <c r="S1702" s="46"/>
    </row>
    <row r="1703" spans="1:19" ht="15.6" hidden="1" customHeight="1" thickBot="1" x14ac:dyDescent="0.3">
      <c r="A1703" t="s">
        <v>23</v>
      </c>
      <c r="B1703" s="60" t="str">
        <f t="shared" ref="B1703:B1705" si="1216">IF(K1703=0,"hide","")</f>
        <v>hide</v>
      </c>
      <c r="D1703" s="48" t="str">
        <f>D1702</f>
        <v>20023</v>
      </c>
      <c r="E1703" s="7"/>
      <c r="F1703" s="27">
        <v>0</v>
      </c>
      <c r="G1703" s="27">
        <v>0</v>
      </c>
      <c r="H1703" s="27">
        <v>0</v>
      </c>
      <c r="I1703" s="27">
        <v>0</v>
      </c>
      <c r="J1703" s="27">
        <v>0</v>
      </c>
      <c r="K1703" s="63">
        <f>AVERAGE(I1703:J1703)</f>
        <v>0</v>
      </c>
      <c r="L1703" s="56" t="str">
        <f>"EQP-LAWPACK2"</f>
        <v>EQP-LAWPACK2</v>
      </c>
      <c r="M1703" s="14"/>
      <c r="N1703" s="15"/>
      <c r="O1703" s="12"/>
      <c r="P1703" s="34"/>
      <c r="Q1703" s="37"/>
      <c r="R1703" s="47"/>
      <c r="S1703" s="46"/>
    </row>
    <row r="1704" spans="1:19" ht="15.6" hidden="1" customHeight="1" thickBot="1" x14ac:dyDescent="0.3">
      <c r="A1704" t="s">
        <v>23</v>
      </c>
      <c r="B1704" s="60" t="str">
        <f t="shared" si="1216"/>
        <v>hide</v>
      </c>
      <c r="D1704" s="48" t="str">
        <f>D1703</f>
        <v>20023</v>
      </c>
      <c r="E1704" s="7"/>
      <c r="F1704" s="27">
        <v>0</v>
      </c>
      <c r="G1704" s="27">
        <v>0</v>
      </c>
      <c r="H1704" s="27">
        <v>0</v>
      </c>
      <c r="I1704" s="27">
        <v>0</v>
      </c>
      <c r="J1704" s="27">
        <v>0</v>
      </c>
      <c r="K1704" s="63">
        <f>AVERAGE(I1704:J1704)</f>
        <v>0</v>
      </c>
      <c r="L1704" s="56" t="str">
        <f>"SW-COMAS-PACKL"</f>
        <v>SW-COMAS-PACKL</v>
      </c>
      <c r="M1704" s="14"/>
      <c r="N1704" s="15"/>
      <c r="O1704" s="12"/>
      <c r="P1704" s="34"/>
      <c r="Q1704" s="37"/>
      <c r="R1704" s="47"/>
      <c r="S1704" s="46"/>
    </row>
    <row r="1705" spans="1:19" ht="15.6" hidden="1" customHeight="1" thickBot="1" x14ac:dyDescent="0.3">
      <c r="A1705" t="s">
        <v>23</v>
      </c>
      <c r="B1705" s="60" t="str">
        <f t="shared" si="1216"/>
        <v>hide</v>
      </c>
      <c r="D1705" s="48" t="str">
        <f>D1704</f>
        <v>20023</v>
      </c>
      <c r="E1705" s="7"/>
      <c r="F1705" s="27">
        <v>0</v>
      </c>
      <c r="G1705" s="27">
        <v>0</v>
      </c>
      <c r="H1705" s="27">
        <v>0</v>
      </c>
      <c r="I1705" s="27">
        <v>0</v>
      </c>
      <c r="J1705" s="27">
        <v>0</v>
      </c>
      <c r="K1705" s="63">
        <f>AVERAGE(I1705:J1705)</f>
        <v>0</v>
      </c>
      <c r="L1705" s="56" t="str">
        <f>"SW-RISER-PACK"</f>
        <v>SW-RISER-PACK</v>
      </c>
      <c r="M1705" s="14"/>
      <c r="N1705" s="15"/>
      <c r="O1705" s="12"/>
      <c r="P1705" s="34"/>
      <c r="Q1705" s="37"/>
      <c r="R1705" s="47"/>
      <c r="S1705" s="46"/>
    </row>
    <row r="1706" spans="1:19" ht="12" hidden="1" customHeight="1" x14ac:dyDescent="0.3">
      <c r="A1706" s="35" t="s">
        <v>908</v>
      </c>
      <c r="B1706" s="49" t="str">
        <f>B1702</f>
        <v>hide</v>
      </c>
      <c r="N1706"/>
      <c r="Q1706" s="33"/>
    </row>
    <row r="1707" spans="1:19" ht="13.8" hidden="1" thickBot="1" x14ac:dyDescent="0.3">
      <c r="A1707" t="s">
        <v>23</v>
      </c>
      <c r="B1707" s="49" t="str">
        <f t="shared" ref="B1707" si="1217">B1706</f>
        <v>hide</v>
      </c>
      <c r="D1707" s="58"/>
      <c r="E1707" s="58"/>
      <c r="F1707" s="52">
        <f>SUM(F1702:F1706)</f>
        <v>0</v>
      </c>
      <c r="G1707" s="52">
        <f>SUM(G1702:G1706)</f>
        <v>0</v>
      </c>
      <c r="H1707" s="52">
        <f>SUM(H1702:H1706)</f>
        <v>0</v>
      </c>
      <c r="I1707" s="52">
        <f>SUM(I1702:I1706)</f>
        <v>0</v>
      </c>
      <c r="J1707" s="52">
        <f>SUM(J1702:J1706)</f>
        <v>0</v>
      </c>
      <c r="K1707" s="52"/>
      <c r="L1707" s="51" t="s">
        <v>4</v>
      </c>
      <c r="M1707" s="58"/>
      <c r="N1707" s="58"/>
      <c r="O1707" s="58"/>
      <c r="P1707" s="58"/>
      <c r="Q1707" s="58"/>
      <c r="R1707" s="58"/>
      <c r="S1707" s="58"/>
    </row>
    <row r="1708" spans="1:19" s="59" customFormat="1" ht="18.75" customHeight="1" thickBot="1" x14ac:dyDescent="0.3">
      <c r="A1708" s="59" t="s">
        <v>23</v>
      </c>
      <c r="B1708" s="60" t="str">
        <f t="shared" ref="B1708:B1709" si="1218">IF(K1708=0,"hide","")</f>
        <v/>
      </c>
      <c r="D1708" s="61" t="str">
        <f>"20101"</f>
        <v>20101</v>
      </c>
      <c r="E1708" s="62" t="str">
        <f>"8"</f>
        <v>8</v>
      </c>
      <c r="F1708" s="63">
        <v>639.16666666666663</v>
      </c>
      <c r="G1708" s="63">
        <v>771.91666666666663</v>
      </c>
      <c r="H1708" s="63">
        <v>1459.5</v>
      </c>
      <c r="I1708" s="63">
        <v>586.58333333333337</v>
      </c>
      <c r="J1708" s="63">
        <v>222.44481927710842</v>
      </c>
      <c r="K1708" s="63">
        <f>AVERAGE(I1708:J1708)</f>
        <v>404.5140763052209</v>
      </c>
      <c r="L1708" s="64" t="str">
        <f>"BLUEBERRY MUFFINS"</f>
        <v>BLUEBERRY MUFFINS</v>
      </c>
      <c r="M1708" s="65" t="str">
        <f>"72-2 oz. I.W."</f>
        <v>72-2 oz. I.W.</v>
      </c>
      <c r="N1708" s="66">
        <v>72</v>
      </c>
      <c r="O1708" s="67" t="str">
        <f>""</f>
        <v/>
      </c>
      <c r="P1708" s="68" t="e">
        <f>1/O1708</f>
        <v>#VALUE!</v>
      </c>
      <c r="Q1708" s="53">
        <v>1</v>
      </c>
      <c r="R1708" s="69">
        <f t="shared" ref="R1708" si="1219">1/Q1708</f>
        <v>1</v>
      </c>
      <c r="S1708" s="70">
        <f t="shared" ref="S1708" si="1220">R1708*N1708</f>
        <v>72</v>
      </c>
    </row>
    <row r="1709" spans="1:19" ht="15.6" hidden="1" customHeight="1" thickBot="1" x14ac:dyDescent="0.3">
      <c r="A1709" t="s">
        <v>23</v>
      </c>
      <c r="B1709" s="60" t="str">
        <f t="shared" si="1218"/>
        <v>hide</v>
      </c>
      <c r="D1709" s="48" t="str">
        <f>D1708</f>
        <v>20101</v>
      </c>
      <c r="E1709" s="7"/>
      <c r="F1709" s="27">
        <v>0</v>
      </c>
      <c r="G1709" s="27">
        <v>0</v>
      </c>
      <c r="H1709" s="27">
        <v>0</v>
      </c>
      <c r="I1709" s="27">
        <v>0</v>
      </c>
      <c r="J1709" s="27">
        <v>0</v>
      </c>
      <c r="K1709" s="63">
        <f>AVERAGE(I1709:J1709)</f>
        <v>0</v>
      </c>
      <c r="L1709" s="56" t="str">
        <f>"EQP-LAWPACK1"</f>
        <v>EQP-LAWPACK1</v>
      </c>
      <c r="M1709" s="14"/>
      <c r="N1709" s="15"/>
      <c r="O1709" s="12"/>
      <c r="P1709" s="34"/>
      <c r="Q1709" s="37"/>
      <c r="R1709" s="47"/>
      <c r="S1709" s="46"/>
    </row>
    <row r="1710" spans="1:19" ht="15.6" hidden="1" customHeight="1" thickBot="1" x14ac:dyDescent="0.3">
      <c r="A1710" t="s">
        <v>23</v>
      </c>
      <c r="B1710" s="60" t="str">
        <f t="shared" ref="B1710:B1712" si="1221">IF(K1710=0,"hide","")</f>
        <v>hide</v>
      </c>
      <c r="D1710" s="48" t="str">
        <f>D1709</f>
        <v>20101</v>
      </c>
      <c r="E1710" s="7"/>
      <c r="F1710" s="27">
        <v>0</v>
      </c>
      <c r="G1710" s="27">
        <v>0</v>
      </c>
      <c r="H1710" s="27">
        <v>0</v>
      </c>
      <c r="I1710" s="27">
        <v>0</v>
      </c>
      <c r="J1710" s="27">
        <v>0</v>
      </c>
      <c r="K1710" s="63">
        <f>AVERAGE(I1710:J1710)</f>
        <v>0</v>
      </c>
      <c r="L1710" s="56" t="str">
        <f>"EQP-LAWPACK2"</f>
        <v>EQP-LAWPACK2</v>
      </c>
      <c r="M1710" s="14"/>
      <c r="N1710" s="15"/>
      <c r="O1710" s="12"/>
      <c r="P1710" s="34"/>
      <c r="Q1710" s="37"/>
      <c r="R1710" s="47"/>
      <c r="S1710" s="46"/>
    </row>
    <row r="1711" spans="1:19" ht="15.6" hidden="1" customHeight="1" thickBot="1" x14ac:dyDescent="0.3">
      <c r="A1711" t="s">
        <v>23</v>
      </c>
      <c r="B1711" s="60" t="str">
        <f t="shared" si="1221"/>
        <v>hide</v>
      </c>
      <c r="D1711" s="48" t="str">
        <f>D1710</f>
        <v>20101</v>
      </c>
      <c r="E1711" s="7"/>
      <c r="F1711" s="27">
        <v>0</v>
      </c>
      <c r="G1711" s="27">
        <v>0</v>
      </c>
      <c r="H1711" s="27">
        <v>0</v>
      </c>
      <c r="I1711" s="27">
        <v>0</v>
      </c>
      <c r="J1711" s="27">
        <v>0</v>
      </c>
      <c r="K1711" s="63">
        <f>AVERAGE(I1711:J1711)</f>
        <v>0</v>
      </c>
      <c r="L1711" s="56" t="str">
        <f>"SW-COMAS-PACKL"</f>
        <v>SW-COMAS-PACKL</v>
      </c>
      <c r="M1711" s="14"/>
      <c r="N1711" s="15"/>
      <c r="O1711" s="12"/>
      <c r="P1711" s="34"/>
      <c r="Q1711" s="37"/>
      <c r="R1711" s="47"/>
      <c r="S1711" s="46"/>
    </row>
    <row r="1712" spans="1:19" ht="15.6" hidden="1" customHeight="1" thickBot="1" x14ac:dyDescent="0.3">
      <c r="A1712" t="s">
        <v>23</v>
      </c>
      <c r="B1712" s="60" t="str">
        <f t="shared" si="1221"/>
        <v>hide</v>
      </c>
      <c r="D1712" s="48" t="str">
        <f>D1711</f>
        <v>20101</v>
      </c>
      <c r="E1712" s="7"/>
      <c r="F1712" s="27">
        <v>0</v>
      </c>
      <c r="G1712" s="27">
        <v>0</v>
      </c>
      <c r="H1712" s="27">
        <v>0</v>
      </c>
      <c r="I1712" s="27">
        <v>0</v>
      </c>
      <c r="J1712" s="27">
        <v>0</v>
      </c>
      <c r="K1712" s="63">
        <f>AVERAGE(I1712:J1712)</f>
        <v>0</v>
      </c>
      <c r="L1712" s="56" t="str">
        <f>"SW-RISER-PACK"</f>
        <v>SW-RISER-PACK</v>
      </c>
      <c r="M1712" s="14"/>
      <c r="N1712" s="15"/>
      <c r="O1712" s="12"/>
      <c r="P1712" s="34"/>
      <c r="Q1712" s="37"/>
      <c r="R1712" s="47"/>
      <c r="S1712" s="46"/>
    </row>
    <row r="1713" spans="1:19" ht="12" hidden="1" customHeight="1" x14ac:dyDescent="0.3">
      <c r="A1713" s="35" t="s">
        <v>908</v>
      </c>
      <c r="B1713" s="49" t="str">
        <f>B1709</f>
        <v>hide</v>
      </c>
      <c r="N1713"/>
      <c r="Q1713" s="33"/>
    </row>
    <row r="1714" spans="1:19" ht="13.8" hidden="1" thickBot="1" x14ac:dyDescent="0.3">
      <c r="A1714" t="s">
        <v>23</v>
      </c>
      <c r="B1714" s="49" t="str">
        <f t="shared" ref="B1714" si="1222">B1713</f>
        <v>hide</v>
      </c>
      <c r="D1714" s="58"/>
      <c r="E1714" s="58"/>
      <c r="F1714" s="52">
        <f>SUM(F1709:F1713)</f>
        <v>0</v>
      </c>
      <c r="G1714" s="52">
        <f>SUM(G1709:G1713)</f>
        <v>0</v>
      </c>
      <c r="H1714" s="52">
        <f>SUM(H1709:H1713)</f>
        <v>0</v>
      </c>
      <c r="I1714" s="52">
        <f>SUM(I1709:I1713)</f>
        <v>0</v>
      </c>
      <c r="J1714" s="52">
        <f>SUM(J1709:J1713)</f>
        <v>0</v>
      </c>
      <c r="K1714" s="52"/>
      <c r="L1714" s="51" t="s">
        <v>4</v>
      </c>
      <c r="M1714" s="58"/>
      <c r="N1714" s="58"/>
      <c r="O1714" s="58"/>
      <c r="P1714" s="58"/>
      <c r="Q1714" s="58"/>
      <c r="R1714" s="58"/>
      <c r="S1714" s="58"/>
    </row>
    <row r="1715" spans="1:19" s="59" customFormat="1" ht="18.75" hidden="1" customHeight="1" thickBot="1" x14ac:dyDescent="0.3">
      <c r="A1715" s="59" t="s">
        <v>23</v>
      </c>
      <c r="B1715" s="60" t="str">
        <f t="shared" ref="B1715:B1716" si="1223">IF(K1715=0,"hide","")</f>
        <v>hide</v>
      </c>
      <c r="D1715" s="61" t="str">
        <f>"20102"</f>
        <v>20102</v>
      </c>
      <c r="E1715" s="62" t="str">
        <f>"4"</f>
        <v>4</v>
      </c>
      <c r="F1715" s="63">
        <v>0</v>
      </c>
      <c r="G1715" s="63">
        <v>0</v>
      </c>
      <c r="H1715" s="63">
        <v>0</v>
      </c>
      <c r="I1715" s="63">
        <v>0</v>
      </c>
      <c r="J1715" s="63">
        <v>0</v>
      </c>
      <c r="K1715" s="63">
        <f>AVERAGE(I1715:J1715)</f>
        <v>0</v>
      </c>
      <c r="L1715" s="64" t="str">
        <f>"CRANBERRY MUFFINS"</f>
        <v>CRANBERRY MUFFINS</v>
      </c>
      <c r="M1715" s="65" t="str">
        <f>"72-2 oz. I.W."</f>
        <v>72-2 oz. I.W.</v>
      </c>
      <c r="N1715" s="66">
        <v>72</v>
      </c>
      <c r="O1715" s="67" t="str">
        <f>""</f>
        <v/>
      </c>
      <c r="P1715" s="68" t="e">
        <f>1/O1715</f>
        <v>#VALUE!</v>
      </c>
      <c r="Q1715" s="53">
        <v>1</v>
      </c>
      <c r="R1715" s="69">
        <f t="shared" ref="R1715" si="1224">1/Q1715</f>
        <v>1</v>
      </c>
      <c r="S1715" s="70">
        <f t="shared" ref="S1715" si="1225">R1715*N1715</f>
        <v>72</v>
      </c>
    </row>
    <row r="1716" spans="1:19" ht="15.6" hidden="1" customHeight="1" thickBot="1" x14ac:dyDescent="0.3">
      <c r="A1716" t="s">
        <v>23</v>
      </c>
      <c r="B1716" s="60" t="str">
        <f t="shared" si="1223"/>
        <v>hide</v>
      </c>
      <c r="D1716" s="48" t="str">
        <f>D1715</f>
        <v>20102</v>
      </c>
      <c r="E1716" s="7"/>
      <c r="F1716" s="27">
        <v>0</v>
      </c>
      <c r="G1716" s="27">
        <v>0</v>
      </c>
      <c r="H1716" s="27">
        <v>0</v>
      </c>
      <c r="I1716" s="27">
        <v>0</v>
      </c>
      <c r="J1716" s="27">
        <v>0</v>
      </c>
      <c r="K1716" s="63">
        <f>AVERAGE(I1716:J1716)</f>
        <v>0</v>
      </c>
      <c r="L1716" s="56" t="str">
        <f>"EQP-LAWPACK1"</f>
        <v>EQP-LAWPACK1</v>
      </c>
      <c r="M1716" s="14"/>
      <c r="N1716" s="15"/>
      <c r="O1716" s="12"/>
      <c r="P1716" s="34"/>
      <c r="Q1716" s="37"/>
      <c r="R1716" s="47"/>
      <c r="S1716" s="46"/>
    </row>
    <row r="1717" spans="1:19" ht="15.6" hidden="1" customHeight="1" thickBot="1" x14ac:dyDescent="0.3">
      <c r="A1717" t="s">
        <v>23</v>
      </c>
      <c r="B1717" s="60" t="str">
        <f t="shared" ref="B1717:B1719" si="1226">IF(K1717=0,"hide","")</f>
        <v>hide</v>
      </c>
      <c r="D1717" s="48" t="str">
        <f>D1716</f>
        <v>20102</v>
      </c>
      <c r="E1717" s="7"/>
      <c r="F1717" s="27">
        <v>0</v>
      </c>
      <c r="G1717" s="27">
        <v>0</v>
      </c>
      <c r="H1717" s="27">
        <v>0</v>
      </c>
      <c r="I1717" s="27">
        <v>0</v>
      </c>
      <c r="J1717" s="27">
        <v>0</v>
      </c>
      <c r="K1717" s="63">
        <f>AVERAGE(I1717:J1717)</f>
        <v>0</v>
      </c>
      <c r="L1717" s="56" t="str">
        <f>"EQP-LAWPACK2"</f>
        <v>EQP-LAWPACK2</v>
      </c>
      <c r="M1717" s="14"/>
      <c r="N1717" s="15"/>
      <c r="O1717" s="12"/>
      <c r="P1717" s="34"/>
      <c r="Q1717" s="37"/>
      <c r="R1717" s="47"/>
      <c r="S1717" s="46"/>
    </row>
    <row r="1718" spans="1:19" ht="15.6" hidden="1" customHeight="1" thickBot="1" x14ac:dyDescent="0.3">
      <c r="A1718" t="s">
        <v>23</v>
      </c>
      <c r="B1718" s="60" t="str">
        <f t="shared" si="1226"/>
        <v>hide</v>
      </c>
      <c r="D1718" s="48" t="str">
        <f>D1717</f>
        <v>20102</v>
      </c>
      <c r="E1718" s="7"/>
      <c r="F1718" s="27">
        <v>0</v>
      </c>
      <c r="G1718" s="27">
        <v>0</v>
      </c>
      <c r="H1718" s="27">
        <v>0</v>
      </c>
      <c r="I1718" s="27">
        <v>0</v>
      </c>
      <c r="J1718" s="27">
        <v>0</v>
      </c>
      <c r="K1718" s="63">
        <f>AVERAGE(I1718:J1718)</f>
        <v>0</v>
      </c>
      <c r="L1718" s="56" t="str">
        <f>"SW-COMAS-PACKL"</f>
        <v>SW-COMAS-PACKL</v>
      </c>
      <c r="M1718" s="14"/>
      <c r="N1718" s="15"/>
      <c r="O1718" s="12"/>
      <c r="P1718" s="34"/>
      <c r="Q1718" s="37"/>
      <c r="R1718" s="47"/>
      <c r="S1718" s="46"/>
    </row>
    <row r="1719" spans="1:19" ht="15.6" hidden="1" customHeight="1" thickBot="1" x14ac:dyDescent="0.3">
      <c r="A1719" t="s">
        <v>23</v>
      </c>
      <c r="B1719" s="60" t="str">
        <f t="shared" si="1226"/>
        <v>hide</v>
      </c>
      <c r="D1719" s="48" t="str">
        <f>D1718</f>
        <v>20102</v>
      </c>
      <c r="E1719" s="7"/>
      <c r="F1719" s="27">
        <v>0</v>
      </c>
      <c r="G1719" s="27">
        <v>0</v>
      </c>
      <c r="H1719" s="27">
        <v>0</v>
      </c>
      <c r="I1719" s="27">
        <v>0</v>
      </c>
      <c r="J1719" s="27">
        <v>0</v>
      </c>
      <c r="K1719" s="63">
        <f>AVERAGE(I1719:J1719)</f>
        <v>0</v>
      </c>
      <c r="L1719" s="56" t="str">
        <f>"SW-RISER-PACK"</f>
        <v>SW-RISER-PACK</v>
      </c>
      <c r="M1719" s="14"/>
      <c r="N1719" s="15"/>
      <c r="O1719" s="12"/>
      <c r="P1719" s="34"/>
      <c r="Q1719" s="37"/>
      <c r="R1719" s="47"/>
      <c r="S1719" s="46"/>
    </row>
    <row r="1720" spans="1:19" ht="12" hidden="1" customHeight="1" x14ac:dyDescent="0.3">
      <c r="A1720" s="35" t="s">
        <v>908</v>
      </c>
      <c r="B1720" s="49" t="str">
        <f>B1716</f>
        <v>hide</v>
      </c>
      <c r="N1720"/>
      <c r="Q1720" s="33"/>
    </row>
    <row r="1721" spans="1:19" ht="13.8" hidden="1" thickBot="1" x14ac:dyDescent="0.3">
      <c r="A1721" t="s">
        <v>23</v>
      </c>
      <c r="B1721" s="49" t="str">
        <f t="shared" ref="B1721" si="1227">B1720</f>
        <v>hide</v>
      </c>
      <c r="D1721" s="58"/>
      <c r="E1721" s="58"/>
      <c r="F1721" s="52">
        <f>SUM(F1716:F1720)</f>
        <v>0</v>
      </c>
      <c r="G1721" s="52">
        <f>SUM(G1716:G1720)</f>
        <v>0</v>
      </c>
      <c r="H1721" s="52">
        <f>SUM(H1716:H1720)</f>
        <v>0</v>
      </c>
      <c r="I1721" s="52">
        <f>SUM(I1716:I1720)</f>
        <v>0</v>
      </c>
      <c r="J1721" s="52">
        <f>SUM(J1716:J1720)</f>
        <v>0</v>
      </c>
      <c r="K1721" s="52"/>
      <c r="L1721" s="51" t="s">
        <v>4</v>
      </c>
      <c r="M1721" s="58"/>
      <c r="N1721" s="58"/>
      <c r="O1721" s="58"/>
      <c r="P1721" s="58"/>
      <c r="Q1721" s="58"/>
      <c r="R1721" s="58"/>
      <c r="S1721" s="58"/>
    </row>
    <row r="1722" spans="1:19" s="59" customFormat="1" ht="18.75" hidden="1" customHeight="1" thickBot="1" x14ac:dyDescent="0.3">
      <c r="A1722" s="59" t="s">
        <v>23</v>
      </c>
      <c r="B1722" s="60" t="str">
        <f t="shared" ref="B1722:B1723" si="1228">IF(K1722=0,"hide","")</f>
        <v>hide</v>
      </c>
      <c r="D1722" s="61" t="str">
        <f>"20103"</f>
        <v>20103</v>
      </c>
      <c r="E1722" s="62" t="str">
        <f>"4"</f>
        <v>4</v>
      </c>
      <c r="F1722" s="63">
        <v>0</v>
      </c>
      <c r="G1722" s="63">
        <v>0</v>
      </c>
      <c r="H1722" s="63">
        <v>0</v>
      </c>
      <c r="I1722" s="63">
        <v>0</v>
      </c>
      <c r="J1722" s="63">
        <v>0</v>
      </c>
      <c r="K1722" s="63">
        <f>AVERAGE(I1722:J1722)</f>
        <v>0</v>
      </c>
      <c r="L1722" s="64" t="str">
        <f>"ORANGE CRANBERRY MUFFINS"</f>
        <v>ORANGE CRANBERRY MUFFINS</v>
      </c>
      <c r="M1722" s="65" t="str">
        <f>"72-2 oz. I.W."</f>
        <v>72-2 oz. I.W.</v>
      </c>
      <c r="N1722" s="66">
        <v>72</v>
      </c>
      <c r="O1722" s="67" t="str">
        <f>""</f>
        <v/>
      </c>
      <c r="P1722" s="68" t="e">
        <f>1/O1722</f>
        <v>#VALUE!</v>
      </c>
      <c r="Q1722" s="53">
        <v>1</v>
      </c>
      <c r="R1722" s="69">
        <f t="shared" ref="R1722" si="1229">1/Q1722</f>
        <v>1</v>
      </c>
      <c r="S1722" s="70">
        <f t="shared" ref="S1722" si="1230">R1722*N1722</f>
        <v>72</v>
      </c>
    </row>
    <row r="1723" spans="1:19" ht="15.6" hidden="1" customHeight="1" thickBot="1" x14ac:dyDescent="0.3">
      <c r="A1723" t="s">
        <v>23</v>
      </c>
      <c r="B1723" s="60" t="str">
        <f t="shared" si="1228"/>
        <v>hide</v>
      </c>
      <c r="D1723" s="48" t="str">
        <f>D1722</f>
        <v>20103</v>
      </c>
      <c r="E1723" s="7"/>
      <c r="F1723" s="27">
        <v>0</v>
      </c>
      <c r="G1723" s="27">
        <v>0</v>
      </c>
      <c r="H1723" s="27">
        <v>0</v>
      </c>
      <c r="I1723" s="27">
        <v>0</v>
      </c>
      <c r="J1723" s="27">
        <v>0</v>
      </c>
      <c r="K1723" s="63">
        <f>AVERAGE(I1723:J1723)</f>
        <v>0</v>
      </c>
      <c r="L1723" s="56" t="str">
        <f>"EQP-LAWPACK1"</f>
        <v>EQP-LAWPACK1</v>
      </c>
      <c r="M1723" s="14"/>
      <c r="N1723" s="15"/>
      <c r="O1723" s="12"/>
      <c r="P1723" s="34"/>
      <c r="Q1723" s="37"/>
      <c r="R1723" s="47"/>
      <c r="S1723" s="46"/>
    </row>
    <row r="1724" spans="1:19" ht="15.6" hidden="1" customHeight="1" thickBot="1" x14ac:dyDescent="0.3">
      <c r="A1724" t="s">
        <v>23</v>
      </c>
      <c r="B1724" s="60" t="str">
        <f t="shared" ref="B1724:B1726" si="1231">IF(K1724=0,"hide","")</f>
        <v>hide</v>
      </c>
      <c r="D1724" s="48" t="str">
        <f>D1723</f>
        <v>20103</v>
      </c>
      <c r="E1724" s="7"/>
      <c r="F1724" s="27">
        <v>0</v>
      </c>
      <c r="G1724" s="27">
        <v>0</v>
      </c>
      <c r="H1724" s="27">
        <v>0</v>
      </c>
      <c r="I1724" s="27">
        <v>0</v>
      </c>
      <c r="J1724" s="27">
        <v>0</v>
      </c>
      <c r="K1724" s="63">
        <f>AVERAGE(I1724:J1724)</f>
        <v>0</v>
      </c>
      <c r="L1724" s="56" t="str">
        <f>"EQP-LAWPACK2"</f>
        <v>EQP-LAWPACK2</v>
      </c>
      <c r="M1724" s="14"/>
      <c r="N1724" s="15"/>
      <c r="O1724" s="12"/>
      <c r="P1724" s="34"/>
      <c r="Q1724" s="37"/>
      <c r="R1724" s="47"/>
      <c r="S1724" s="46"/>
    </row>
    <row r="1725" spans="1:19" ht="15.6" hidden="1" customHeight="1" thickBot="1" x14ac:dyDescent="0.3">
      <c r="A1725" t="s">
        <v>23</v>
      </c>
      <c r="B1725" s="60" t="str">
        <f t="shared" si="1231"/>
        <v>hide</v>
      </c>
      <c r="D1725" s="48" t="str">
        <f>D1724</f>
        <v>20103</v>
      </c>
      <c r="E1725" s="7"/>
      <c r="F1725" s="27">
        <v>0</v>
      </c>
      <c r="G1725" s="27">
        <v>0</v>
      </c>
      <c r="H1725" s="27">
        <v>0</v>
      </c>
      <c r="I1725" s="27">
        <v>0</v>
      </c>
      <c r="J1725" s="27">
        <v>0</v>
      </c>
      <c r="K1725" s="63">
        <f>AVERAGE(I1725:J1725)</f>
        <v>0</v>
      </c>
      <c r="L1725" s="56" t="str">
        <f>"SW-COMAS-PACKL"</f>
        <v>SW-COMAS-PACKL</v>
      </c>
      <c r="M1725" s="14"/>
      <c r="N1725" s="15"/>
      <c r="O1725" s="12"/>
      <c r="P1725" s="34"/>
      <c r="Q1725" s="37"/>
      <c r="R1725" s="47"/>
      <c r="S1725" s="46"/>
    </row>
    <row r="1726" spans="1:19" ht="15.6" hidden="1" customHeight="1" thickBot="1" x14ac:dyDescent="0.3">
      <c r="A1726" t="s">
        <v>23</v>
      </c>
      <c r="B1726" s="60" t="str">
        <f t="shared" si="1231"/>
        <v>hide</v>
      </c>
      <c r="D1726" s="48" t="str">
        <f>D1725</f>
        <v>20103</v>
      </c>
      <c r="E1726" s="7"/>
      <c r="F1726" s="27">
        <v>0</v>
      </c>
      <c r="G1726" s="27">
        <v>0</v>
      </c>
      <c r="H1726" s="27">
        <v>0</v>
      </c>
      <c r="I1726" s="27">
        <v>0</v>
      </c>
      <c r="J1726" s="27">
        <v>0</v>
      </c>
      <c r="K1726" s="63">
        <f>AVERAGE(I1726:J1726)</f>
        <v>0</v>
      </c>
      <c r="L1726" s="56" t="str">
        <f>"SW-RISER-PACK"</f>
        <v>SW-RISER-PACK</v>
      </c>
      <c r="M1726" s="14"/>
      <c r="N1726" s="15"/>
      <c r="O1726" s="12"/>
      <c r="P1726" s="34"/>
      <c r="Q1726" s="37"/>
      <c r="R1726" s="47"/>
      <c r="S1726" s="46"/>
    </row>
    <row r="1727" spans="1:19" ht="12" hidden="1" customHeight="1" x14ac:dyDescent="0.3">
      <c r="A1727" s="35" t="s">
        <v>908</v>
      </c>
      <c r="B1727" s="49" t="str">
        <f>B1723</f>
        <v>hide</v>
      </c>
      <c r="N1727"/>
      <c r="Q1727" s="33"/>
    </row>
    <row r="1728" spans="1:19" ht="13.8" hidden="1" thickBot="1" x14ac:dyDescent="0.3">
      <c r="A1728" t="s">
        <v>23</v>
      </c>
      <c r="B1728" s="49" t="str">
        <f t="shared" ref="B1728" si="1232">B1727</f>
        <v>hide</v>
      </c>
      <c r="D1728" s="58"/>
      <c r="E1728" s="58"/>
      <c r="F1728" s="52">
        <f>SUM(F1723:F1727)</f>
        <v>0</v>
      </c>
      <c r="G1728" s="52">
        <f>SUM(G1723:G1727)</f>
        <v>0</v>
      </c>
      <c r="H1728" s="52">
        <f>SUM(H1723:H1727)</f>
        <v>0</v>
      </c>
      <c r="I1728" s="52">
        <f>SUM(I1723:I1727)</f>
        <v>0</v>
      </c>
      <c r="J1728" s="52">
        <f>SUM(J1723:J1727)</f>
        <v>0</v>
      </c>
      <c r="K1728" s="52"/>
      <c r="L1728" s="51" t="s">
        <v>4</v>
      </c>
      <c r="M1728" s="58"/>
      <c r="N1728" s="58"/>
      <c r="O1728" s="58"/>
      <c r="P1728" s="58"/>
      <c r="Q1728" s="58"/>
      <c r="R1728" s="58"/>
      <c r="S1728" s="58"/>
    </row>
    <row r="1729" spans="1:19" s="59" customFormat="1" ht="18.75" customHeight="1" thickBot="1" x14ac:dyDescent="0.3">
      <c r="A1729" s="59" t="s">
        <v>23</v>
      </c>
      <c r="B1729" s="60" t="str">
        <f t="shared" ref="B1729:B1730" si="1233">IF(K1729=0,"hide","")</f>
        <v/>
      </c>
      <c r="D1729" s="61" t="str">
        <f>"20105"</f>
        <v>20105</v>
      </c>
      <c r="E1729" s="62" t="str">
        <f>"4"</f>
        <v>4</v>
      </c>
      <c r="F1729" s="63">
        <v>1179.5</v>
      </c>
      <c r="G1729" s="63">
        <v>1146.9166666666667</v>
      </c>
      <c r="H1729" s="63">
        <v>1740.0833333333333</v>
      </c>
      <c r="I1729" s="63">
        <v>1229.0833333333333</v>
      </c>
      <c r="J1729" s="63">
        <v>604.80168674698803</v>
      </c>
      <c r="K1729" s="63">
        <f>AVERAGE(I1729:J1729)</f>
        <v>916.94251004016064</v>
      </c>
      <c r="L1729" s="64" t="str">
        <f>"CORN MUFFINS"</f>
        <v>CORN MUFFINS</v>
      </c>
      <c r="M1729" s="65" t="str">
        <f>"72-2 oz. I.W."</f>
        <v>72-2 oz. I.W.</v>
      </c>
      <c r="N1729" s="66">
        <v>72</v>
      </c>
      <c r="O1729" s="67" t="str">
        <f>""</f>
        <v/>
      </c>
      <c r="P1729" s="68" t="e">
        <f>1/O1729</f>
        <v>#VALUE!</v>
      </c>
      <c r="Q1729" s="53">
        <v>1</v>
      </c>
      <c r="R1729" s="69">
        <f t="shared" ref="R1729" si="1234">1/Q1729</f>
        <v>1</v>
      </c>
      <c r="S1729" s="70">
        <f t="shared" ref="S1729" si="1235">R1729*N1729</f>
        <v>72</v>
      </c>
    </row>
    <row r="1730" spans="1:19" ht="15.6" hidden="1" customHeight="1" thickBot="1" x14ac:dyDescent="0.3">
      <c r="A1730" t="s">
        <v>23</v>
      </c>
      <c r="B1730" s="60" t="str">
        <f t="shared" si="1233"/>
        <v>hide</v>
      </c>
      <c r="D1730" s="48" t="str">
        <f>D1729</f>
        <v>20105</v>
      </c>
      <c r="E1730" s="7"/>
      <c r="F1730" s="27">
        <v>0</v>
      </c>
      <c r="G1730" s="27">
        <v>0</v>
      </c>
      <c r="H1730" s="27">
        <v>0</v>
      </c>
      <c r="I1730" s="27">
        <v>0</v>
      </c>
      <c r="J1730" s="27">
        <v>0</v>
      </c>
      <c r="K1730" s="63">
        <f>AVERAGE(I1730:J1730)</f>
        <v>0</v>
      </c>
      <c r="L1730" s="56" t="str">
        <f>"EQP-LAWPACK1"</f>
        <v>EQP-LAWPACK1</v>
      </c>
      <c r="M1730" s="14"/>
      <c r="N1730" s="15"/>
      <c r="O1730" s="12"/>
      <c r="P1730" s="34"/>
      <c r="Q1730" s="37"/>
      <c r="R1730" s="47"/>
      <c r="S1730" s="46"/>
    </row>
    <row r="1731" spans="1:19" ht="15.6" hidden="1" customHeight="1" thickBot="1" x14ac:dyDescent="0.3">
      <c r="A1731" t="s">
        <v>23</v>
      </c>
      <c r="B1731" s="60" t="str">
        <f t="shared" ref="B1731:B1733" si="1236">IF(K1731=0,"hide","")</f>
        <v>hide</v>
      </c>
      <c r="D1731" s="48" t="str">
        <f>D1730</f>
        <v>20105</v>
      </c>
      <c r="E1731" s="7"/>
      <c r="F1731" s="27">
        <v>0</v>
      </c>
      <c r="G1731" s="27">
        <v>0</v>
      </c>
      <c r="H1731" s="27">
        <v>0</v>
      </c>
      <c r="I1731" s="27">
        <v>0</v>
      </c>
      <c r="J1731" s="27">
        <v>0</v>
      </c>
      <c r="K1731" s="63">
        <f>AVERAGE(I1731:J1731)</f>
        <v>0</v>
      </c>
      <c r="L1731" s="56" t="str">
        <f>"EQP-LAWPACK2"</f>
        <v>EQP-LAWPACK2</v>
      </c>
      <c r="M1731" s="14"/>
      <c r="N1731" s="15"/>
      <c r="O1731" s="12"/>
      <c r="P1731" s="34"/>
      <c r="Q1731" s="37"/>
      <c r="R1731" s="47"/>
      <c r="S1731" s="46"/>
    </row>
    <row r="1732" spans="1:19" ht="15.6" hidden="1" customHeight="1" thickBot="1" x14ac:dyDescent="0.3">
      <c r="A1732" t="s">
        <v>23</v>
      </c>
      <c r="B1732" s="60" t="str">
        <f t="shared" si="1236"/>
        <v>hide</v>
      </c>
      <c r="D1732" s="48" t="str">
        <f>D1731</f>
        <v>20105</v>
      </c>
      <c r="E1732" s="7"/>
      <c r="F1732" s="27">
        <v>0</v>
      </c>
      <c r="G1732" s="27">
        <v>0</v>
      </c>
      <c r="H1732" s="27">
        <v>0</v>
      </c>
      <c r="I1732" s="27">
        <v>0</v>
      </c>
      <c r="J1732" s="27">
        <v>0</v>
      </c>
      <c r="K1732" s="63">
        <f>AVERAGE(I1732:J1732)</f>
        <v>0</v>
      </c>
      <c r="L1732" s="56" t="str">
        <f>"SW-COMAS-PACKL"</f>
        <v>SW-COMAS-PACKL</v>
      </c>
      <c r="M1732" s="14"/>
      <c r="N1732" s="15"/>
      <c r="O1732" s="12"/>
      <c r="P1732" s="34"/>
      <c r="Q1732" s="37"/>
      <c r="R1732" s="47"/>
      <c r="S1732" s="46"/>
    </row>
    <row r="1733" spans="1:19" ht="15.6" hidden="1" customHeight="1" thickBot="1" x14ac:dyDescent="0.3">
      <c r="A1733" t="s">
        <v>23</v>
      </c>
      <c r="B1733" s="60" t="str">
        <f t="shared" si="1236"/>
        <v>hide</v>
      </c>
      <c r="D1733" s="48" t="str">
        <f>D1732</f>
        <v>20105</v>
      </c>
      <c r="E1733" s="7"/>
      <c r="F1733" s="27">
        <v>0</v>
      </c>
      <c r="G1733" s="27">
        <v>0</v>
      </c>
      <c r="H1733" s="27">
        <v>0</v>
      </c>
      <c r="I1733" s="27">
        <v>0</v>
      </c>
      <c r="J1733" s="27">
        <v>0</v>
      </c>
      <c r="K1733" s="63">
        <f>AVERAGE(I1733:J1733)</f>
        <v>0</v>
      </c>
      <c r="L1733" s="56" t="str">
        <f>"SW-RISER-PACK"</f>
        <v>SW-RISER-PACK</v>
      </c>
      <c r="M1733" s="14"/>
      <c r="N1733" s="15"/>
      <c r="O1733" s="12"/>
      <c r="P1733" s="34"/>
      <c r="Q1733" s="37"/>
      <c r="R1733" s="47"/>
      <c r="S1733" s="46"/>
    </row>
    <row r="1734" spans="1:19" ht="12" hidden="1" customHeight="1" x14ac:dyDescent="0.3">
      <c r="A1734" s="35" t="s">
        <v>908</v>
      </c>
      <c r="B1734" s="49" t="str">
        <f>B1730</f>
        <v>hide</v>
      </c>
      <c r="N1734"/>
      <c r="Q1734" s="33"/>
    </row>
    <row r="1735" spans="1:19" ht="13.8" hidden="1" thickBot="1" x14ac:dyDescent="0.3">
      <c r="A1735" t="s">
        <v>23</v>
      </c>
      <c r="B1735" s="49" t="str">
        <f t="shared" ref="B1735" si="1237">B1734</f>
        <v>hide</v>
      </c>
      <c r="D1735" s="58"/>
      <c r="E1735" s="58"/>
      <c r="F1735" s="52">
        <f>SUM(F1730:F1734)</f>
        <v>0</v>
      </c>
      <c r="G1735" s="52">
        <f>SUM(G1730:G1734)</f>
        <v>0</v>
      </c>
      <c r="H1735" s="52">
        <f>SUM(H1730:H1734)</f>
        <v>0</v>
      </c>
      <c r="I1735" s="52">
        <f>SUM(I1730:I1734)</f>
        <v>0</v>
      </c>
      <c r="J1735" s="52">
        <f>SUM(J1730:J1734)</f>
        <v>0</v>
      </c>
      <c r="K1735" s="52"/>
      <c r="L1735" s="51" t="s">
        <v>4</v>
      </c>
      <c r="M1735" s="58"/>
      <c r="N1735" s="58"/>
      <c r="O1735" s="58"/>
      <c r="P1735" s="58"/>
      <c r="Q1735" s="58"/>
      <c r="R1735" s="58"/>
      <c r="S1735" s="58"/>
    </row>
    <row r="1736" spans="1:19" s="59" customFormat="1" ht="18.75" customHeight="1" thickBot="1" x14ac:dyDescent="0.3">
      <c r="A1736" s="59" t="s">
        <v>23</v>
      </c>
      <c r="B1736" s="60" t="str">
        <f t="shared" ref="B1736:B1737" si="1238">IF(K1736=0,"hide","")</f>
        <v/>
      </c>
      <c r="D1736" s="61" t="str">
        <f>"20106"</f>
        <v>20106</v>
      </c>
      <c r="E1736" s="62" t="str">
        <f>"3"</f>
        <v>3</v>
      </c>
      <c r="F1736" s="63">
        <v>89.833333333333329</v>
      </c>
      <c r="G1736" s="63">
        <v>79.583333333333329</v>
      </c>
      <c r="H1736" s="63">
        <v>258.41666666666669</v>
      </c>
      <c r="I1736" s="63">
        <v>175.5</v>
      </c>
      <c r="J1736" s="63">
        <v>102.49373493975904</v>
      </c>
      <c r="K1736" s="63">
        <f>AVERAGE(I1736:J1736)</f>
        <v>138.99686746987953</v>
      </c>
      <c r="L1736" s="64" t="str">
        <f>"APPLE CINNAMON MUFFINS"</f>
        <v>APPLE CINNAMON MUFFINS</v>
      </c>
      <c r="M1736" s="65" t="str">
        <f>"72-2 oz. I.W."</f>
        <v>72-2 oz. I.W.</v>
      </c>
      <c r="N1736" s="66">
        <v>72</v>
      </c>
      <c r="O1736" s="67" t="str">
        <f>""</f>
        <v/>
      </c>
      <c r="P1736" s="68" t="e">
        <f>1/O1736</f>
        <v>#VALUE!</v>
      </c>
      <c r="Q1736" s="53">
        <v>1</v>
      </c>
      <c r="R1736" s="69">
        <f t="shared" ref="R1736" si="1239">1/Q1736</f>
        <v>1</v>
      </c>
      <c r="S1736" s="70">
        <f t="shared" ref="S1736" si="1240">R1736*N1736</f>
        <v>72</v>
      </c>
    </row>
    <row r="1737" spans="1:19" ht="15.6" hidden="1" customHeight="1" thickBot="1" x14ac:dyDescent="0.3">
      <c r="A1737" t="s">
        <v>23</v>
      </c>
      <c r="B1737" s="60" t="str">
        <f t="shared" si="1238"/>
        <v>hide</v>
      </c>
      <c r="D1737" s="48" t="str">
        <f>D1736</f>
        <v>20106</v>
      </c>
      <c r="E1737" s="7"/>
      <c r="F1737" s="27">
        <v>0</v>
      </c>
      <c r="G1737" s="27">
        <v>0</v>
      </c>
      <c r="H1737" s="27">
        <v>0</v>
      </c>
      <c r="I1737" s="27">
        <v>0</v>
      </c>
      <c r="J1737" s="27">
        <v>0</v>
      </c>
      <c r="K1737" s="63">
        <f>AVERAGE(I1737:J1737)</f>
        <v>0</v>
      </c>
      <c r="L1737" s="56" t="str">
        <f>"EQP-LAWPACK1"</f>
        <v>EQP-LAWPACK1</v>
      </c>
      <c r="M1737" s="14"/>
      <c r="N1737" s="15"/>
      <c r="O1737" s="12"/>
      <c r="P1737" s="34"/>
      <c r="Q1737" s="37"/>
      <c r="R1737" s="47"/>
      <c r="S1737" s="46"/>
    </row>
    <row r="1738" spans="1:19" ht="15.6" hidden="1" customHeight="1" thickBot="1" x14ac:dyDescent="0.3">
      <c r="A1738" t="s">
        <v>23</v>
      </c>
      <c r="B1738" s="60" t="str">
        <f t="shared" ref="B1738:B1740" si="1241">IF(K1738=0,"hide","")</f>
        <v>hide</v>
      </c>
      <c r="D1738" s="48" t="str">
        <f>D1737</f>
        <v>20106</v>
      </c>
      <c r="E1738" s="7"/>
      <c r="F1738" s="27">
        <v>0</v>
      </c>
      <c r="G1738" s="27">
        <v>0</v>
      </c>
      <c r="H1738" s="27">
        <v>0</v>
      </c>
      <c r="I1738" s="27">
        <v>0</v>
      </c>
      <c r="J1738" s="27">
        <v>0</v>
      </c>
      <c r="K1738" s="63">
        <f>AVERAGE(I1738:J1738)</f>
        <v>0</v>
      </c>
      <c r="L1738" s="56" t="str">
        <f>"EQP-LAWPACK2"</f>
        <v>EQP-LAWPACK2</v>
      </c>
      <c r="M1738" s="14"/>
      <c r="N1738" s="15"/>
      <c r="O1738" s="12"/>
      <c r="P1738" s="34"/>
      <c r="Q1738" s="37"/>
      <c r="R1738" s="47"/>
      <c r="S1738" s="46"/>
    </row>
    <row r="1739" spans="1:19" ht="15.6" hidden="1" customHeight="1" thickBot="1" x14ac:dyDescent="0.3">
      <c r="A1739" t="s">
        <v>23</v>
      </c>
      <c r="B1739" s="60" t="str">
        <f t="shared" si="1241"/>
        <v>hide</v>
      </c>
      <c r="D1739" s="48" t="str">
        <f>D1738</f>
        <v>20106</v>
      </c>
      <c r="E1739" s="7"/>
      <c r="F1739" s="27">
        <v>0</v>
      </c>
      <c r="G1739" s="27">
        <v>0</v>
      </c>
      <c r="H1739" s="27">
        <v>0</v>
      </c>
      <c r="I1739" s="27">
        <v>0</v>
      </c>
      <c r="J1739" s="27">
        <v>0</v>
      </c>
      <c r="K1739" s="63">
        <f>AVERAGE(I1739:J1739)</f>
        <v>0</v>
      </c>
      <c r="L1739" s="56" t="str">
        <f>"SW-COMAS-PACKL"</f>
        <v>SW-COMAS-PACKL</v>
      </c>
      <c r="M1739" s="14"/>
      <c r="N1739" s="15"/>
      <c r="O1739" s="12"/>
      <c r="P1739" s="34"/>
      <c r="Q1739" s="37"/>
      <c r="R1739" s="47"/>
      <c r="S1739" s="46"/>
    </row>
    <row r="1740" spans="1:19" ht="15.6" hidden="1" customHeight="1" thickBot="1" x14ac:dyDescent="0.3">
      <c r="A1740" t="s">
        <v>23</v>
      </c>
      <c r="B1740" s="60" t="str">
        <f t="shared" si="1241"/>
        <v>hide</v>
      </c>
      <c r="D1740" s="48" t="str">
        <f>D1739</f>
        <v>20106</v>
      </c>
      <c r="E1740" s="7"/>
      <c r="F1740" s="27">
        <v>0</v>
      </c>
      <c r="G1740" s="27">
        <v>0</v>
      </c>
      <c r="H1740" s="27">
        <v>0</v>
      </c>
      <c r="I1740" s="27">
        <v>0</v>
      </c>
      <c r="J1740" s="27">
        <v>0</v>
      </c>
      <c r="K1740" s="63">
        <f>AVERAGE(I1740:J1740)</f>
        <v>0</v>
      </c>
      <c r="L1740" s="56" t="str">
        <f>"SW-RISER-PACK"</f>
        <v>SW-RISER-PACK</v>
      </c>
      <c r="M1740" s="14"/>
      <c r="N1740" s="15"/>
      <c r="O1740" s="12"/>
      <c r="P1740" s="34"/>
      <c r="Q1740" s="37"/>
      <c r="R1740" s="47"/>
      <c r="S1740" s="46"/>
    </row>
    <row r="1741" spans="1:19" ht="12" hidden="1" customHeight="1" x14ac:dyDescent="0.3">
      <c r="A1741" s="35" t="s">
        <v>908</v>
      </c>
      <c r="B1741" s="49" t="str">
        <f>B1737</f>
        <v>hide</v>
      </c>
      <c r="N1741"/>
      <c r="Q1741" s="33"/>
    </row>
    <row r="1742" spans="1:19" ht="13.8" hidden="1" thickBot="1" x14ac:dyDescent="0.3">
      <c r="A1742" t="s">
        <v>23</v>
      </c>
      <c r="B1742" s="49" t="str">
        <f t="shared" ref="B1742" si="1242">B1741</f>
        <v>hide</v>
      </c>
      <c r="D1742" s="58"/>
      <c r="E1742" s="58"/>
      <c r="F1742" s="52">
        <f>SUM(F1737:F1741)</f>
        <v>0</v>
      </c>
      <c r="G1742" s="52">
        <f>SUM(G1737:G1741)</f>
        <v>0</v>
      </c>
      <c r="H1742" s="52">
        <f>SUM(H1737:H1741)</f>
        <v>0</v>
      </c>
      <c r="I1742" s="52">
        <f>SUM(I1737:I1741)</f>
        <v>0</v>
      </c>
      <c r="J1742" s="52">
        <f>SUM(J1737:J1741)</f>
        <v>0</v>
      </c>
      <c r="K1742" s="52"/>
      <c r="L1742" s="51" t="s">
        <v>4</v>
      </c>
      <c r="M1742" s="58"/>
      <c r="N1742" s="58"/>
      <c r="O1742" s="58"/>
      <c r="P1742" s="58"/>
      <c r="Q1742" s="58"/>
      <c r="R1742" s="58"/>
      <c r="S1742" s="58"/>
    </row>
    <row r="1743" spans="1:19" s="59" customFormat="1" ht="18.75" customHeight="1" thickBot="1" x14ac:dyDescent="0.3">
      <c r="A1743" s="59" t="s">
        <v>23</v>
      </c>
      <c r="B1743" s="60" t="str">
        <f t="shared" ref="B1743:B1744" si="1243">IF(K1743=0,"hide","")</f>
        <v/>
      </c>
      <c r="D1743" s="61" t="str">
        <f>"20110"</f>
        <v>20110</v>
      </c>
      <c r="E1743" s="62" t="str">
        <f>"8"</f>
        <v>8</v>
      </c>
      <c r="F1743" s="63">
        <v>452.91666666666669</v>
      </c>
      <c r="G1743" s="63">
        <v>452</v>
      </c>
      <c r="H1743" s="63">
        <v>580.66666666666663</v>
      </c>
      <c r="I1743" s="63">
        <v>466.5</v>
      </c>
      <c r="J1743" s="63">
        <v>352.48843373493975</v>
      </c>
      <c r="K1743" s="63">
        <f>AVERAGE(I1743:J1743)</f>
        <v>409.49421686746985</v>
      </c>
      <c r="L1743" s="64" t="str">
        <f>"CHOCOLATE CHIP MUFFINS"</f>
        <v>CHOCOLATE CHIP MUFFINS</v>
      </c>
      <c r="M1743" s="65" t="str">
        <f>"72-2 oz. I.W."</f>
        <v>72-2 oz. I.W.</v>
      </c>
      <c r="N1743" s="66">
        <v>72</v>
      </c>
      <c r="O1743" s="67" t="str">
        <f>""</f>
        <v/>
      </c>
      <c r="P1743" s="68" t="e">
        <f>1/O1743</f>
        <v>#VALUE!</v>
      </c>
      <c r="Q1743" s="53">
        <v>1</v>
      </c>
      <c r="R1743" s="69">
        <f t="shared" ref="R1743" si="1244">1/Q1743</f>
        <v>1</v>
      </c>
      <c r="S1743" s="70">
        <f t="shared" ref="S1743" si="1245">R1743*N1743</f>
        <v>72</v>
      </c>
    </row>
    <row r="1744" spans="1:19" ht="15.6" hidden="1" customHeight="1" thickBot="1" x14ac:dyDescent="0.3">
      <c r="A1744" t="s">
        <v>23</v>
      </c>
      <c r="B1744" s="60" t="str">
        <f t="shared" si="1243"/>
        <v>hide</v>
      </c>
      <c r="D1744" s="48" t="str">
        <f>D1743</f>
        <v>20110</v>
      </c>
      <c r="E1744" s="7"/>
      <c r="F1744" s="27">
        <v>0</v>
      </c>
      <c r="G1744" s="27">
        <v>0</v>
      </c>
      <c r="H1744" s="27">
        <v>0</v>
      </c>
      <c r="I1744" s="27">
        <v>0</v>
      </c>
      <c r="J1744" s="27">
        <v>0</v>
      </c>
      <c r="K1744" s="63">
        <f>AVERAGE(I1744:J1744)</f>
        <v>0</v>
      </c>
      <c r="L1744" s="56" t="str">
        <f>"EQP-LAWPACK1"</f>
        <v>EQP-LAWPACK1</v>
      </c>
      <c r="M1744" s="14"/>
      <c r="N1744" s="15"/>
      <c r="O1744" s="12"/>
      <c r="P1744" s="34"/>
      <c r="Q1744" s="37"/>
      <c r="R1744" s="47"/>
      <c r="S1744" s="46"/>
    </row>
    <row r="1745" spans="1:19" ht="15.6" hidden="1" customHeight="1" thickBot="1" x14ac:dyDescent="0.3">
      <c r="A1745" t="s">
        <v>23</v>
      </c>
      <c r="B1745" s="60" t="str">
        <f t="shared" ref="B1745:B1747" si="1246">IF(K1745=0,"hide","")</f>
        <v>hide</v>
      </c>
      <c r="D1745" s="48" t="str">
        <f>D1744</f>
        <v>20110</v>
      </c>
      <c r="E1745" s="7"/>
      <c r="F1745" s="27">
        <v>0</v>
      </c>
      <c r="G1745" s="27">
        <v>0</v>
      </c>
      <c r="H1745" s="27">
        <v>0</v>
      </c>
      <c r="I1745" s="27">
        <v>0</v>
      </c>
      <c r="J1745" s="27">
        <v>0</v>
      </c>
      <c r="K1745" s="63">
        <f>AVERAGE(I1745:J1745)</f>
        <v>0</v>
      </c>
      <c r="L1745" s="56" t="str">
        <f>"EQP-LAWPACK2"</f>
        <v>EQP-LAWPACK2</v>
      </c>
      <c r="M1745" s="14"/>
      <c r="N1745" s="15"/>
      <c r="O1745" s="12"/>
      <c r="P1745" s="34"/>
      <c r="Q1745" s="37"/>
      <c r="R1745" s="47"/>
      <c r="S1745" s="46"/>
    </row>
    <row r="1746" spans="1:19" ht="15.6" hidden="1" customHeight="1" thickBot="1" x14ac:dyDescent="0.3">
      <c r="A1746" t="s">
        <v>23</v>
      </c>
      <c r="B1746" s="60" t="str">
        <f t="shared" si="1246"/>
        <v>hide</v>
      </c>
      <c r="D1746" s="48" t="str">
        <f>D1745</f>
        <v>20110</v>
      </c>
      <c r="E1746" s="7"/>
      <c r="F1746" s="27">
        <v>0</v>
      </c>
      <c r="G1746" s="27">
        <v>0</v>
      </c>
      <c r="H1746" s="27">
        <v>0</v>
      </c>
      <c r="I1746" s="27">
        <v>0</v>
      </c>
      <c r="J1746" s="27">
        <v>0</v>
      </c>
      <c r="K1746" s="63">
        <f>AVERAGE(I1746:J1746)</f>
        <v>0</v>
      </c>
      <c r="L1746" s="56" t="str">
        <f>"SW-COMAS-PACKL"</f>
        <v>SW-COMAS-PACKL</v>
      </c>
      <c r="M1746" s="14"/>
      <c r="N1746" s="15"/>
      <c r="O1746" s="12"/>
      <c r="P1746" s="34"/>
      <c r="Q1746" s="37"/>
      <c r="R1746" s="47"/>
      <c r="S1746" s="46"/>
    </row>
    <row r="1747" spans="1:19" ht="15.6" hidden="1" customHeight="1" thickBot="1" x14ac:dyDescent="0.3">
      <c r="A1747" t="s">
        <v>23</v>
      </c>
      <c r="B1747" s="60" t="str">
        <f t="shared" si="1246"/>
        <v>hide</v>
      </c>
      <c r="D1747" s="48" t="str">
        <f>D1746</f>
        <v>20110</v>
      </c>
      <c r="E1747" s="7"/>
      <c r="F1747" s="27">
        <v>0</v>
      </c>
      <c r="G1747" s="27">
        <v>0</v>
      </c>
      <c r="H1747" s="27">
        <v>0</v>
      </c>
      <c r="I1747" s="27">
        <v>0</v>
      </c>
      <c r="J1747" s="27">
        <v>0</v>
      </c>
      <c r="K1747" s="63">
        <f>AVERAGE(I1747:J1747)</f>
        <v>0</v>
      </c>
      <c r="L1747" s="56" t="str">
        <f>"SW-RISER-PACK"</f>
        <v>SW-RISER-PACK</v>
      </c>
      <c r="M1747" s="14"/>
      <c r="N1747" s="15"/>
      <c r="O1747" s="12"/>
      <c r="P1747" s="34"/>
      <c r="Q1747" s="37"/>
      <c r="R1747" s="47"/>
      <c r="S1747" s="46"/>
    </row>
    <row r="1748" spans="1:19" ht="12" hidden="1" customHeight="1" x14ac:dyDescent="0.3">
      <c r="A1748" s="35" t="s">
        <v>908</v>
      </c>
      <c r="B1748" s="49" t="str">
        <f>B1744</f>
        <v>hide</v>
      </c>
      <c r="N1748"/>
      <c r="Q1748" s="33"/>
    </row>
    <row r="1749" spans="1:19" ht="13.8" hidden="1" thickBot="1" x14ac:dyDescent="0.3">
      <c r="A1749" t="s">
        <v>23</v>
      </c>
      <c r="B1749" s="49" t="str">
        <f t="shared" ref="B1749" si="1247">B1748</f>
        <v>hide</v>
      </c>
      <c r="D1749" s="58"/>
      <c r="E1749" s="58"/>
      <c r="F1749" s="52">
        <f>SUM(F1744:F1748)</f>
        <v>0</v>
      </c>
      <c r="G1749" s="52">
        <f>SUM(G1744:G1748)</f>
        <v>0</v>
      </c>
      <c r="H1749" s="52">
        <f>SUM(H1744:H1748)</f>
        <v>0</v>
      </c>
      <c r="I1749" s="52">
        <f>SUM(I1744:I1748)</f>
        <v>0</v>
      </c>
      <c r="J1749" s="52">
        <f>SUM(J1744:J1748)</f>
        <v>0</v>
      </c>
      <c r="K1749" s="52"/>
      <c r="L1749" s="51" t="s">
        <v>4</v>
      </c>
      <c r="M1749" s="58"/>
      <c r="N1749" s="58"/>
      <c r="O1749" s="58"/>
      <c r="P1749" s="58"/>
      <c r="Q1749" s="58"/>
      <c r="R1749" s="58"/>
      <c r="S1749" s="58"/>
    </row>
    <row r="1750" spans="1:19" s="59" customFormat="1" ht="18.75" hidden="1" customHeight="1" thickBot="1" x14ac:dyDescent="0.3">
      <c r="A1750" s="59" t="s">
        <v>23</v>
      </c>
      <c r="B1750" s="60" t="str">
        <f t="shared" ref="B1750:B1751" si="1248">IF(K1750=0,"hide","")</f>
        <v>hide</v>
      </c>
      <c r="D1750" s="61" t="str">
        <f>"20148"</f>
        <v>20148</v>
      </c>
      <c r="E1750" s="62" t="str">
        <f>"3"</f>
        <v>3</v>
      </c>
      <c r="F1750" s="63">
        <v>1.6666666666666667</v>
      </c>
      <c r="G1750" s="63">
        <v>231</v>
      </c>
      <c r="H1750" s="63">
        <v>4.833333333333333</v>
      </c>
      <c r="I1750" s="63">
        <v>0</v>
      </c>
      <c r="J1750" s="63">
        <v>0</v>
      </c>
      <c r="K1750" s="63">
        <f>AVERAGE(I1750:J1750)</f>
        <v>0</v>
      </c>
      <c r="L1750" s="64" t="str">
        <f>"Pumpkin Muffins"</f>
        <v>Pumpkin Muffins</v>
      </c>
      <c r="M1750" s="65" t="str">
        <f>"72-2 oz. I.W."</f>
        <v>72-2 oz. I.W.</v>
      </c>
      <c r="N1750" s="66">
        <v>72</v>
      </c>
      <c r="O1750" s="67" t="str">
        <f>""</f>
        <v/>
      </c>
      <c r="P1750" s="68" t="e">
        <f>1/O1750</f>
        <v>#VALUE!</v>
      </c>
      <c r="Q1750" s="53">
        <v>1</v>
      </c>
      <c r="R1750" s="69">
        <f t="shared" ref="R1750" si="1249">1/Q1750</f>
        <v>1</v>
      </c>
      <c r="S1750" s="70">
        <f t="shared" ref="S1750" si="1250">R1750*N1750</f>
        <v>72</v>
      </c>
    </row>
    <row r="1751" spans="1:19" ht="15.6" hidden="1" customHeight="1" thickBot="1" x14ac:dyDescent="0.3">
      <c r="A1751" t="s">
        <v>23</v>
      </c>
      <c r="B1751" s="60" t="str">
        <f t="shared" si="1248"/>
        <v>hide</v>
      </c>
      <c r="D1751" s="48" t="str">
        <f>D1750</f>
        <v>20148</v>
      </c>
      <c r="E1751" s="7"/>
      <c r="F1751" s="27">
        <v>0</v>
      </c>
      <c r="G1751" s="27">
        <v>0</v>
      </c>
      <c r="H1751" s="27">
        <v>0</v>
      </c>
      <c r="I1751" s="27">
        <v>0</v>
      </c>
      <c r="J1751" s="27">
        <v>0</v>
      </c>
      <c r="K1751" s="63">
        <f>AVERAGE(I1751:J1751)</f>
        <v>0</v>
      </c>
      <c r="L1751" s="56" t="str">
        <f>"EQP-LAWPACK1"</f>
        <v>EQP-LAWPACK1</v>
      </c>
      <c r="M1751" s="14"/>
      <c r="N1751" s="15"/>
      <c r="O1751" s="12"/>
      <c r="P1751" s="34"/>
      <c r="Q1751" s="37"/>
      <c r="R1751" s="47"/>
      <c r="S1751" s="46"/>
    </row>
    <row r="1752" spans="1:19" ht="15.6" hidden="1" customHeight="1" thickBot="1" x14ac:dyDescent="0.3">
      <c r="A1752" t="s">
        <v>23</v>
      </c>
      <c r="B1752" s="60" t="str">
        <f t="shared" ref="B1752:B1754" si="1251">IF(K1752=0,"hide","")</f>
        <v>hide</v>
      </c>
      <c r="D1752" s="48" t="str">
        <f>D1751</f>
        <v>20148</v>
      </c>
      <c r="E1752" s="7"/>
      <c r="F1752" s="27">
        <v>0</v>
      </c>
      <c r="G1752" s="27">
        <v>0</v>
      </c>
      <c r="H1752" s="27">
        <v>0</v>
      </c>
      <c r="I1752" s="27">
        <v>0</v>
      </c>
      <c r="J1752" s="27">
        <v>0</v>
      </c>
      <c r="K1752" s="63">
        <f>AVERAGE(I1752:J1752)</f>
        <v>0</v>
      </c>
      <c r="L1752" s="56" t="str">
        <f>"EQP-LAWPACK2"</f>
        <v>EQP-LAWPACK2</v>
      </c>
      <c r="M1752" s="14"/>
      <c r="N1752" s="15"/>
      <c r="O1752" s="12"/>
      <c r="P1752" s="34"/>
      <c r="Q1752" s="37"/>
      <c r="R1752" s="47"/>
      <c r="S1752" s="46"/>
    </row>
    <row r="1753" spans="1:19" ht="15.6" hidden="1" customHeight="1" thickBot="1" x14ac:dyDescent="0.3">
      <c r="A1753" t="s">
        <v>23</v>
      </c>
      <c r="B1753" s="60" t="str">
        <f t="shared" si="1251"/>
        <v>hide</v>
      </c>
      <c r="D1753" s="48" t="str">
        <f>D1752</f>
        <v>20148</v>
      </c>
      <c r="E1753" s="7"/>
      <c r="F1753" s="27">
        <v>0</v>
      </c>
      <c r="G1753" s="27">
        <v>0</v>
      </c>
      <c r="H1753" s="27">
        <v>0</v>
      </c>
      <c r="I1753" s="27">
        <v>0</v>
      </c>
      <c r="J1753" s="27">
        <v>0</v>
      </c>
      <c r="K1753" s="63">
        <f>AVERAGE(I1753:J1753)</f>
        <v>0</v>
      </c>
      <c r="L1753" s="56" t="str">
        <f>"SW-COMAS-PACKL"</f>
        <v>SW-COMAS-PACKL</v>
      </c>
      <c r="M1753" s="14"/>
      <c r="N1753" s="15"/>
      <c r="O1753" s="12"/>
      <c r="P1753" s="34"/>
      <c r="Q1753" s="37"/>
      <c r="R1753" s="47"/>
      <c r="S1753" s="46"/>
    </row>
    <row r="1754" spans="1:19" ht="15.6" hidden="1" customHeight="1" thickBot="1" x14ac:dyDescent="0.3">
      <c r="A1754" t="s">
        <v>23</v>
      </c>
      <c r="B1754" s="60" t="str">
        <f t="shared" si="1251"/>
        <v>hide</v>
      </c>
      <c r="D1754" s="48" t="str">
        <f>D1753</f>
        <v>20148</v>
      </c>
      <c r="E1754" s="7"/>
      <c r="F1754" s="27">
        <v>0</v>
      </c>
      <c r="G1754" s="27">
        <v>0</v>
      </c>
      <c r="H1754" s="27">
        <v>0</v>
      </c>
      <c r="I1754" s="27">
        <v>0</v>
      </c>
      <c r="J1754" s="27">
        <v>0</v>
      </c>
      <c r="K1754" s="63">
        <f>AVERAGE(I1754:J1754)</f>
        <v>0</v>
      </c>
      <c r="L1754" s="56" t="str">
        <f>"SW-RISER-PACK"</f>
        <v>SW-RISER-PACK</v>
      </c>
      <c r="M1754" s="14"/>
      <c r="N1754" s="15"/>
      <c r="O1754" s="12"/>
      <c r="P1754" s="34"/>
      <c r="Q1754" s="37"/>
      <c r="R1754" s="47"/>
      <c r="S1754" s="46"/>
    </row>
    <row r="1755" spans="1:19" ht="12" hidden="1" customHeight="1" x14ac:dyDescent="0.3">
      <c r="A1755" s="35" t="s">
        <v>908</v>
      </c>
      <c r="B1755" s="49" t="str">
        <f>B1751</f>
        <v>hide</v>
      </c>
      <c r="N1755"/>
      <c r="Q1755" s="33"/>
    </row>
    <row r="1756" spans="1:19" ht="13.8" hidden="1" thickBot="1" x14ac:dyDescent="0.3">
      <c r="A1756" t="s">
        <v>23</v>
      </c>
      <c r="B1756" s="49" t="str">
        <f t="shared" ref="B1756" si="1252">B1755</f>
        <v>hide</v>
      </c>
      <c r="D1756" s="58"/>
      <c r="E1756" s="58"/>
      <c r="F1756" s="52">
        <f>SUM(F1751:F1755)</f>
        <v>0</v>
      </c>
      <c r="G1756" s="52">
        <f>SUM(G1751:G1755)</f>
        <v>0</v>
      </c>
      <c r="H1756" s="52">
        <f>SUM(H1751:H1755)</f>
        <v>0</v>
      </c>
      <c r="I1756" s="52">
        <f>SUM(I1751:I1755)</f>
        <v>0</v>
      </c>
      <c r="J1756" s="52">
        <f>SUM(J1751:J1755)</f>
        <v>0</v>
      </c>
      <c r="K1756" s="52"/>
      <c r="L1756" s="51" t="s">
        <v>4</v>
      </c>
      <c r="M1756" s="58"/>
      <c r="N1756" s="58"/>
      <c r="O1756" s="58"/>
      <c r="P1756" s="58"/>
      <c r="Q1756" s="58"/>
      <c r="R1756" s="58"/>
      <c r="S1756" s="58"/>
    </row>
    <row r="1757" spans="1:19" s="59" customFormat="1" ht="18.75" customHeight="1" thickBot="1" x14ac:dyDescent="0.3">
      <c r="A1757" s="59" t="s">
        <v>23</v>
      </c>
      <c r="B1757" s="60" t="str">
        <f t="shared" ref="B1757:B1758" si="1253">IF(K1757=0,"hide","")</f>
        <v/>
      </c>
      <c r="D1757" s="61" t="str">
        <f>"20151"</f>
        <v>20151</v>
      </c>
      <c r="E1757" s="62" t="str">
        <f>"4"</f>
        <v>4</v>
      </c>
      <c r="F1757" s="63">
        <v>64.166666666666671</v>
      </c>
      <c r="G1757" s="63">
        <v>99.333333333333329</v>
      </c>
      <c r="H1757" s="63">
        <v>147.08333333333334</v>
      </c>
      <c r="I1757" s="63">
        <v>33.000000000000007</v>
      </c>
      <c r="J1757" s="63">
        <v>0</v>
      </c>
      <c r="K1757" s="63">
        <f>AVERAGE(I1757:J1757)</f>
        <v>16.500000000000004</v>
      </c>
      <c r="L1757" s="64" t="str">
        <f>"BANANA MUFFINS"</f>
        <v>BANANA MUFFINS</v>
      </c>
      <c r="M1757" s="65" t="str">
        <f>"72-2 oz. I.W."</f>
        <v>72-2 oz. I.W.</v>
      </c>
      <c r="N1757" s="66">
        <v>72</v>
      </c>
      <c r="O1757" s="67" t="str">
        <f>""</f>
        <v/>
      </c>
      <c r="P1757" s="68" t="e">
        <f>1/O1757</f>
        <v>#VALUE!</v>
      </c>
      <c r="Q1757" s="53">
        <v>1</v>
      </c>
      <c r="R1757" s="69">
        <f t="shared" ref="R1757" si="1254">1/Q1757</f>
        <v>1</v>
      </c>
      <c r="S1757" s="70">
        <f t="shared" ref="S1757" si="1255">R1757*N1757</f>
        <v>72</v>
      </c>
    </row>
    <row r="1758" spans="1:19" ht="15.6" hidden="1" customHeight="1" thickBot="1" x14ac:dyDescent="0.3">
      <c r="A1758" t="s">
        <v>23</v>
      </c>
      <c r="B1758" s="60" t="str">
        <f t="shared" si="1253"/>
        <v>hide</v>
      </c>
      <c r="D1758" s="48" t="str">
        <f>D1757</f>
        <v>20151</v>
      </c>
      <c r="E1758" s="7"/>
      <c r="F1758" s="27">
        <v>0</v>
      </c>
      <c r="G1758" s="27">
        <v>0</v>
      </c>
      <c r="H1758" s="27">
        <v>0</v>
      </c>
      <c r="I1758" s="27">
        <v>0</v>
      </c>
      <c r="J1758" s="27">
        <v>0</v>
      </c>
      <c r="K1758" s="63">
        <f>AVERAGE(I1758:J1758)</f>
        <v>0</v>
      </c>
      <c r="L1758" s="56" t="str">
        <f>"EQP-LAWPACK1"</f>
        <v>EQP-LAWPACK1</v>
      </c>
      <c r="M1758" s="14"/>
      <c r="N1758" s="15"/>
      <c r="O1758" s="12"/>
      <c r="P1758" s="34"/>
      <c r="Q1758" s="37"/>
      <c r="R1758" s="47"/>
      <c r="S1758" s="46"/>
    </row>
    <row r="1759" spans="1:19" ht="15.6" hidden="1" customHeight="1" thickBot="1" x14ac:dyDescent="0.3">
      <c r="A1759" t="s">
        <v>23</v>
      </c>
      <c r="B1759" s="60" t="str">
        <f t="shared" ref="B1759:B1761" si="1256">IF(K1759=0,"hide","")</f>
        <v>hide</v>
      </c>
      <c r="D1759" s="48" t="str">
        <f>D1758</f>
        <v>20151</v>
      </c>
      <c r="E1759" s="7"/>
      <c r="F1759" s="27">
        <v>0</v>
      </c>
      <c r="G1759" s="27">
        <v>0</v>
      </c>
      <c r="H1759" s="27">
        <v>0</v>
      </c>
      <c r="I1759" s="27">
        <v>0</v>
      </c>
      <c r="J1759" s="27">
        <v>0</v>
      </c>
      <c r="K1759" s="63">
        <f>AVERAGE(I1759:J1759)</f>
        <v>0</v>
      </c>
      <c r="L1759" s="56" t="str">
        <f>"EQP-LAWPACK2"</f>
        <v>EQP-LAWPACK2</v>
      </c>
      <c r="M1759" s="14"/>
      <c r="N1759" s="15"/>
      <c r="O1759" s="12"/>
      <c r="P1759" s="34"/>
      <c r="Q1759" s="37"/>
      <c r="R1759" s="47"/>
      <c r="S1759" s="46"/>
    </row>
    <row r="1760" spans="1:19" ht="15.6" hidden="1" customHeight="1" thickBot="1" x14ac:dyDescent="0.3">
      <c r="A1760" t="s">
        <v>23</v>
      </c>
      <c r="B1760" s="60" t="str">
        <f t="shared" si="1256"/>
        <v>hide</v>
      </c>
      <c r="D1760" s="48" t="str">
        <f>D1759</f>
        <v>20151</v>
      </c>
      <c r="E1760" s="7"/>
      <c r="F1760" s="27">
        <v>0</v>
      </c>
      <c r="G1760" s="27">
        <v>0</v>
      </c>
      <c r="H1760" s="27">
        <v>0</v>
      </c>
      <c r="I1760" s="27">
        <v>0</v>
      </c>
      <c r="J1760" s="27">
        <v>0</v>
      </c>
      <c r="K1760" s="63">
        <f>AVERAGE(I1760:J1760)</f>
        <v>0</v>
      </c>
      <c r="L1760" s="56" t="str">
        <f>"SW-COMAS-PACKL"</f>
        <v>SW-COMAS-PACKL</v>
      </c>
      <c r="M1760" s="14"/>
      <c r="N1760" s="15"/>
      <c r="O1760" s="12"/>
      <c r="P1760" s="34"/>
      <c r="Q1760" s="37"/>
      <c r="R1760" s="47"/>
      <c r="S1760" s="46"/>
    </row>
    <row r="1761" spans="1:19" ht="15.6" hidden="1" customHeight="1" thickBot="1" x14ac:dyDescent="0.3">
      <c r="A1761" t="s">
        <v>23</v>
      </c>
      <c r="B1761" s="60" t="str">
        <f t="shared" si="1256"/>
        <v>hide</v>
      </c>
      <c r="D1761" s="48" t="str">
        <f>D1760</f>
        <v>20151</v>
      </c>
      <c r="E1761" s="7"/>
      <c r="F1761" s="27">
        <v>0</v>
      </c>
      <c r="G1761" s="27">
        <v>0</v>
      </c>
      <c r="H1761" s="27">
        <v>0</v>
      </c>
      <c r="I1761" s="27">
        <v>0</v>
      </c>
      <c r="J1761" s="27">
        <v>0</v>
      </c>
      <c r="K1761" s="63">
        <f>AVERAGE(I1761:J1761)</f>
        <v>0</v>
      </c>
      <c r="L1761" s="56" t="str">
        <f>"SW-RISER-PACK"</f>
        <v>SW-RISER-PACK</v>
      </c>
      <c r="M1761" s="14"/>
      <c r="N1761" s="15"/>
      <c r="O1761" s="12"/>
      <c r="P1761" s="34"/>
      <c r="Q1761" s="37"/>
      <c r="R1761" s="47"/>
      <c r="S1761" s="46"/>
    </row>
    <row r="1762" spans="1:19" ht="12" hidden="1" customHeight="1" x14ac:dyDescent="0.3">
      <c r="A1762" s="35" t="s">
        <v>908</v>
      </c>
      <c r="B1762" s="49" t="str">
        <f>B1758</f>
        <v>hide</v>
      </c>
      <c r="N1762"/>
      <c r="Q1762" s="33"/>
    </row>
    <row r="1763" spans="1:19" ht="13.8" hidden="1" thickBot="1" x14ac:dyDescent="0.3">
      <c r="A1763" t="s">
        <v>23</v>
      </c>
      <c r="B1763" s="49" t="str">
        <f t="shared" ref="B1763" si="1257">B1762</f>
        <v>hide</v>
      </c>
      <c r="D1763" s="58"/>
      <c r="E1763" s="58"/>
      <c r="F1763" s="52">
        <f>SUM(F1758:F1762)</f>
        <v>0</v>
      </c>
      <c r="G1763" s="52">
        <f>SUM(G1758:G1762)</f>
        <v>0</v>
      </c>
      <c r="H1763" s="52">
        <f>SUM(H1758:H1762)</f>
        <v>0</v>
      </c>
      <c r="I1763" s="52">
        <f>SUM(I1758:I1762)</f>
        <v>0</v>
      </c>
      <c r="J1763" s="52">
        <f>SUM(J1758:J1762)</f>
        <v>0</v>
      </c>
      <c r="K1763" s="52"/>
      <c r="L1763" s="51" t="s">
        <v>4</v>
      </c>
      <c r="M1763" s="58"/>
      <c r="N1763" s="58"/>
      <c r="O1763" s="58"/>
      <c r="P1763" s="58"/>
      <c r="Q1763" s="58"/>
      <c r="R1763" s="58"/>
      <c r="S1763" s="58"/>
    </row>
    <row r="1764" spans="1:19" s="59" customFormat="1" ht="18.75" hidden="1" customHeight="1" thickBot="1" x14ac:dyDescent="0.3">
      <c r="A1764" s="59" t="s">
        <v>23</v>
      </c>
      <c r="B1764" s="60" t="str">
        <f t="shared" ref="B1764:B1765" si="1258">IF(K1764=0,"hide","")</f>
        <v>hide</v>
      </c>
      <c r="D1764" s="61" t="str">
        <f>"20218"</f>
        <v>20218</v>
      </c>
      <c r="E1764" s="62" t="str">
        <f>"2"</f>
        <v>2</v>
      </c>
      <c r="F1764" s="63">
        <v>1.0833333333333333</v>
      </c>
      <c r="G1764" s="63">
        <v>0</v>
      </c>
      <c r="H1764" s="63">
        <v>0</v>
      </c>
      <c r="I1764" s="63">
        <v>0</v>
      </c>
      <c r="J1764" s="63">
        <v>0</v>
      </c>
      <c r="K1764" s="63">
        <f>AVERAGE(I1764:J1764)</f>
        <v>0</v>
      </c>
      <c r="L1764" s="64" t="str">
        <f>"SWEET POTATO MUFFINS"</f>
        <v>SWEET POTATO MUFFINS</v>
      </c>
      <c r="M1764" s="65" t="str">
        <f>"72-2 oz. I.W."</f>
        <v>72-2 oz. I.W.</v>
      </c>
      <c r="N1764" s="66">
        <v>72</v>
      </c>
      <c r="O1764" s="67" t="str">
        <f>""</f>
        <v/>
      </c>
      <c r="P1764" s="68" t="e">
        <f>1/O1764</f>
        <v>#VALUE!</v>
      </c>
      <c r="Q1764" s="53">
        <v>1</v>
      </c>
      <c r="R1764" s="69">
        <f t="shared" ref="R1764" si="1259">1/Q1764</f>
        <v>1</v>
      </c>
      <c r="S1764" s="70">
        <f t="shared" ref="S1764" si="1260">R1764*N1764</f>
        <v>72</v>
      </c>
    </row>
    <row r="1765" spans="1:19" ht="15.6" hidden="1" customHeight="1" thickBot="1" x14ac:dyDescent="0.3">
      <c r="A1765" t="s">
        <v>23</v>
      </c>
      <c r="B1765" s="60" t="str">
        <f t="shared" si="1258"/>
        <v>hide</v>
      </c>
      <c r="D1765" s="48" t="str">
        <f>D1764</f>
        <v>20218</v>
      </c>
      <c r="E1765" s="7"/>
      <c r="F1765" s="27">
        <v>0</v>
      </c>
      <c r="G1765" s="27">
        <v>0</v>
      </c>
      <c r="H1765" s="27">
        <v>0</v>
      </c>
      <c r="I1765" s="27">
        <v>0</v>
      </c>
      <c r="J1765" s="27">
        <v>0</v>
      </c>
      <c r="K1765" s="63">
        <f>AVERAGE(I1765:J1765)</f>
        <v>0</v>
      </c>
      <c r="L1765" s="56" t="str">
        <f>"EQP-LAWPACK1"</f>
        <v>EQP-LAWPACK1</v>
      </c>
      <c r="M1765" s="14"/>
      <c r="N1765" s="15"/>
      <c r="O1765" s="12"/>
      <c r="P1765" s="34"/>
      <c r="Q1765" s="37"/>
      <c r="R1765" s="47"/>
      <c r="S1765" s="46"/>
    </row>
    <row r="1766" spans="1:19" ht="15.6" hidden="1" customHeight="1" thickBot="1" x14ac:dyDescent="0.3">
      <c r="A1766" t="s">
        <v>23</v>
      </c>
      <c r="B1766" s="60" t="str">
        <f t="shared" ref="B1766:B1768" si="1261">IF(K1766=0,"hide","")</f>
        <v>hide</v>
      </c>
      <c r="D1766" s="48" t="str">
        <f>D1765</f>
        <v>20218</v>
      </c>
      <c r="E1766" s="7"/>
      <c r="F1766" s="27">
        <v>0</v>
      </c>
      <c r="G1766" s="27">
        <v>0</v>
      </c>
      <c r="H1766" s="27">
        <v>0</v>
      </c>
      <c r="I1766" s="27">
        <v>0</v>
      </c>
      <c r="J1766" s="27">
        <v>0</v>
      </c>
      <c r="K1766" s="63">
        <f>AVERAGE(I1766:J1766)</f>
        <v>0</v>
      </c>
      <c r="L1766" s="56" t="str">
        <f>"EQP-LAWPACK2"</f>
        <v>EQP-LAWPACK2</v>
      </c>
      <c r="M1766" s="14"/>
      <c r="N1766" s="15"/>
      <c r="O1766" s="12"/>
      <c r="P1766" s="34"/>
      <c r="Q1766" s="37"/>
      <c r="R1766" s="47"/>
      <c r="S1766" s="46"/>
    </row>
    <row r="1767" spans="1:19" ht="15.6" hidden="1" customHeight="1" thickBot="1" x14ac:dyDescent="0.3">
      <c r="A1767" t="s">
        <v>23</v>
      </c>
      <c r="B1767" s="60" t="str">
        <f t="shared" si="1261"/>
        <v>hide</v>
      </c>
      <c r="D1767" s="48" t="str">
        <f>D1766</f>
        <v>20218</v>
      </c>
      <c r="E1767" s="7"/>
      <c r="F1767" s="27">
        <v>0</v>
      </c>
      <c r="G1767" s="27">
        <v>0</v>
      </c>
      <c r="H1767" s="27">
        <v>0</v>
      </c>
      <c r="I1767" s="27">
        <v>0</v>
      </c>
      <c r="J1767" s="27">
        <v>0</v>
      </c>
      <c r="K1767" s="63">
        <f>AVERAGE(I1767:J1767)</f>
        <v>0</v>
      </c>
      <c r="L1767" s="56" t="str">
        <f>"SW-COMAS-PACKL"</f>
        <v>SW-COMAS-PACKL</v>
      </c>
      <c r="M1767" s="14"/>
      <c r="N1767" s="15"/>
      <c r="O1767" s="12"/>
      <c r="P1767" s="34"/>
      <c r="Q1767" s="37"/>
      <c r="R1767" s="47"/>
      <c r="S1767" s="46"/>
    </row>
    <row r="1768" spans="1:19" ht="15.6" hidden="1" customHeight="1" thickBot="1" x14ac:dyDescent="0.3">
      <c r="A1768" t="s">
        <v>23</v>
      </c>
      <c r="B1768" s="60" t="str">
        <f t="shared" si="1261"/>
        <v>hide</v>
      </c>
      <c r="D1768" s="48" t="str">
        <f>D1767</f>
        <v>20218</v>
      </c>
      <c r="E1768" s="7"/>
      <c r="F1768" s="27">
        <v>0</v>
      </c>
      <c r="G1768" s="27">
        <v>0</v>
      </c>
      <c r="H1768" s="27">
        <v>0</v>
      </c>
      <c r="I1768" s="27">
        <v>0</v>
      </c>
      <c r="J1768" s="27">
        <v>0</v>
      </c>
      <c r="K1768" s="63">
        <f>AVERAGE(I1768:J1768)</f>
        <v>0</v>
      </c>
      <c r="L1768" s="56" t="str">
        <f>"SW-RISER-PACK"</f>
        <v>SW-RISER-PACK</v>
      </c>
      <c r="M1768" s="14"/>
      <c r="N1768" s="15"/>
      <c r="O1768" s="12"/>
      <c r="P1768" s="34"/>
      <c r="Q1768" s="37"/>
      <c r="R1768" s="47"/>
      <c r="S1768" s="46"/>
    </row>
    <row r="1769" spans="1:19" ht="12" hidden="1" customHeight="1" x14ac:dyDescent="0.3">
      <c r="A1769" s="35" t="s">
        <v>908</v>
      </c>
      <c r="B1769" s="49" t="str">
        <f>B1765</f>
        <v>hide</v>
      </c>
      <c r="N1769"/>
      <c r="Q1769" s="33"/>
    </row>
    <row r="1770" spans="1:19" ht="13.8" hidden="1" thickBot="1" x14ac:dyDescent="0.3">
      <c r="A1770" t="s">
        <v>23</v>
      </c>
      <c r="B1770" s="49" t="str">
        <f t="shared" ref="B1770" si="1262">B1769</f>
        <v>hide</v>
      </c>
      <c r="D1770" s="58"/>
      <c r="E1770" s="58"/>
      <c r="F1770" s="52">
        <f>SUM(F1765:F1769)</f>
        <v>0</v>
      </c>
      <c r="G1770" s="52">
        <f>SUM(G1765:G1769)</f>
        <v>0</v>
      </c>
      <c r="H1770" s="52">
        <f>SUM(H1765:H1769)</f>
        <v>0</v>
      </c>
      <c r="I1770" s="52">
        <f>SUM(I1765:I1769)</f>
        <v>0</v>
      </c>
      <c r="J1770" s="52">
        <f>SUM(J1765:J1769)</f>
        <v>0</v>
      </c>
      <c r="K1770" s="52"/>
      <c r="L1770" s="51" t="s">
        <v>4</v>
      </c>
      <c r="M1770" s="58"/>
      <c r="N1770" s="58"/>
      <c r="O1770" s="58"/>
      <c r="P1770" s="58"/>
      <c r="Q1770" s="58"/>
      <c r="R1770" s="58"/>
      <c r="S1770" s="58"/>
    </row>
    <row r="1771" spans="1:19" s="59" customFormat="1" ht="18.75" customHeight="1" thickBot="1" x14ac:dyDescent="0.3">
      <c r="A1771" s="59" t="s">
        <v>23</v>
      </c>
      <c r="B1771" s="60" t="str">
        <f t="shared" ref="B1771:B1772" si="1263">IF(K1771=0,"hide","")</f>
        <v/>
      </c>
      <c r="D1771" s="61" t="str">
        <f>"20605"</f>
        <v>20605</v>
      </c>
      <c r="E1771" s="62" t="str">
        <f>"5"</f>
        <v>5</v>
      </c>
      <c r="F1771" s="63">
        <v>122.5</v>
      </c>
      <c r="G1771" s="63">
        <v>93.083333333333329</v>
      </c>
      <c r="H1771" s="63">
        <v>44.333333333333336</v>
      </c>
      <c r="I1771" s="63">
        <v>39.750000000000007</v>
      </c>
      <c r="J1771" s="63">
        <v>60.214216867469879</v>
      </c>
      <c r="K1771" s="63">
        <f>AVERAGE(I1771:J1771)</f>
        <v>49.982108433734943</v>
      </c>
      <c r="L1771" s="64" t="str">
        <f>"Smart Choice Corn Muffin"</f>
        <v>Smart Choice Corn Muffin</v>
      </c>
      <c r="M1771" s="65" t="str">
        <f>"72-2 oz. I.W."</f>
        <v>72-2 oz. I.W.</v>
      </c>
      <c r="N1771" s="66">
        <v>72</v>
      </c>
      <c r="O1771" s="67" t="str">
        <f>""</f>
        <v/>
      </c>
      <c r="P1771" s="68" t="e">
        <f>1/O1771</f>
        <v>#VALUE!</v>
      </c>
      <c r="Q1771" s="53">
        <v>1</v>
      </c>
      <c r="R1771" s="69">
        <f t="shared" ref="R1771" si="1264">1/Q1771</f>
        <v>1</v>
      </c>
      <c r="S1771" s="70">
        <f t="shared" ref="S1771" si="1265">R1771*N1771</f>
        <v>72</v>
      </c>
    </row>
    <row r="1772" spans="1:19" ht="15.6" hidden="1" customHeight="1" thickBot="1" x14ac:dyDescent="0.3">
      <c r="A1772" t="s">
        <v>23</v>
      </c>
      <c r="B1772" s="60" t="str">
        <f t="shared" si="1263"/>
        <v>hide</v>
      </c>
      <c r="D1772" s="48" t="str">
        <f>D1771</f>
        <v>20605</v>
      </c>
      <c r="E1772" s="7"/>
      <c r="F1772" s="27">
        <v>0</v>
      </c>
      <c r="G1772" s="27">
        <v>0</v>
      </c>
      <c r="H1772" s="27">
        <v>0</v>
      </c>
      <c r="I1772" s="27">
        <v>0</v>
      </c>
      <c r="J1772" s="27">
        <v>0</v>
      </c>
      <c r="K1772" s="63">
        <f>AVERAGE(I1772:J1772)</f>
        <v>0</v>
      </c>
      <c r="L1772" s="56" t="str">
        <f>"EQP-LAWPACK1"</f>
        <v>EQP-LAWPACK1</v>
      </c>
      <c r="M1772" s="14"/>
      <c r="N1772" s="15"/>
      <c r="O1772" s="12"/>
      <c r="P1772" s="34"/>
      <c r="Q1772" s="37"/>
      <c r="R1772" s="47"/>
      <c r="S1772" s="46"/>
    </row>
    <row r="1773" spans="1:19" ht="15.6" hidden="1" customHeight="1" thickBot="1" x14ac:dyDescent="0.3">
      <c r="A1773" t="s">
        <v>23</v>
      </c>
      <c r="B1773" s="60" t="str">
        <f t="shared" ref="B1773:B1775" si="1266">IF(K1773=0,"hide","")</f>
        <v>hide</v>
      </c>
      <c r="D1773" s="48" t="str">
        <f>D1772</f>
        <v>20605</v>
      </c>
      <c r="E1773" s="7"/>
      <c r="F1773" s="27">
        <v>0</v>
      </c>
      <c r="G1773" s="27">
        <v>0</v>
      </c>
      <c r="H1773" s="27">
        <v>0</v>
      </c>
      <c r="I1773" s="27">
        <v>0</v>
      </c>
      <c r="J1773" s="27">
        <v>0</v>
      </c>
      <c r="K1773" s="63">
        <f>AVERAGE(I1773:J1773)</f>
        <v>0</v>
      </c>
      <c r="L1773" s="56" t="str">
        <f>"EQP-LAWPACK2"</f>
        <v>EQP-LAWPACK2</v>
      </c>
      <c r="M1773" s="14"/>
      <c r="N1773" s="15"/>
      <c r="O1773" s="12"/>
      <c r="P1773" s="34"/>
      <c r="Q1773" s="37"/>
      <c r="R1773" s="47"/>
      <c r="S1773" s="46"/>
    </row>
    <row r="1774" spans="1:19" ht="15.6" hidden="1" customHeight="1" thickBot="1" x14ac:dyDescent="0.3">
      <c r="A1774" t="s">
        <v>23</v>
      </c>
      <c r="B1774" s="60" t="str">
        <f t="shared" si="1266"/>
        <v>hide</v>
      </c>
      <c r="D1774" s="48" t="str">
        <f>D1773</f>
        <v>20605</v>
      </c>
      <c r="E1774" s="7"/>
      <c r="F1774" s="27">
        <v>0</v>
      </c>
      <c r="G1774" s="27">
        <v>0</v>
      </c>
      <c r="H1774" s="27">
        <v>0</v>
      </c>
      <c r="I1774" s="27">
        <v>0</v>
      </c>
      <c r="J1774" s="27">
        <v>0</v>
      </c>
      <c r="K1774" s="63">
        <f>AVERAGE(I1774:J1774)</f>
        <v>0</v>
      </c>
      <c r="L1774" s="56" t="str">
        <f>"SW-COMAS-PACKL"</f>
        <v>SW-COMAS-PACKL</v>
      </c>
      <c r="M1774" s="14"/>
      <c r="N1774" s="15"/>
      <c r="O1774" s="12"/>
      <c r="P1774" s="34"/>
      <c r="Q1774" s="37"/>
      <c r="R1774" s="47"/>
      <c r="S1774" s="46"/>
    </row>
    <row r="1775" spans="1:19" ht="15.6" hidden="1" customHeight="1" thickBot="1" x14ac:dyDescent="0.3">
      <c r="A1775" t="s">
        <v>23</v>
      </c>
      <c r="B1775" s="60" t="str">
        <f t="shared" si="1266"/>
        <v>hide</v>
      </c>
      <c r="D1775" s="48" t="str">
        <f>D1774</f>
        <v>20605</v>
      </c>
      <c r="E1775" s="7"/>
      <c r="F1775" s="27">
        <v>0</v>
      </c>
      <c r="G1775" s="27">
        <v>0</v>
      </c>
      <c r="H1775" s="27">
        <v>0</v>
      </c>
      <c r="I1775" s="27">
        <v>0</v>
      </c>
      <c r="J1775" s="27">
        <v>0</v>
      </c>
      <c r="K1775" s="63">
        <f>AVERAGE(I1775:J1775)</f>
        <v>0</v>
      </c>
      <c r="L1775" s="56" t="str">
        <f>"SW-RISER-PACK"</f>
        <v>SW-RISER-PACK</v>
      </c>
      <c r="M1775" s="14"/>
      <c r="N1775" s="15"/>
      <c r="O1775" s="12"/>
      <c r="P1775" s="34"/>
      <c r="Q1775" s="37"/>
      <c r="R1775" s="47"/>
      <c r="S1775" s="46"/>
    </row>
    <row r="1776" spans="1:19" ht="12" hidden="1" customHeight="1" x14ac:dyDescent="0.3">
      <c r="A1776" s="35" t="s">
        <v>908</v>
      </c>
      <c r="B1776" s="49" t="str">
        <f>B1772</f>
        <v>hide</v>
      </c>
      <c r="N1776"/>
      <c r="Q1776" s="33"/>
    </row>
    <row r="1777" spans="1:19" ht="13.8" hidden="1" thickBot="1" x14ac:dyDescent="0.3">
      <c r="A1777" t="s">
        <v>23</v>
      </c>
      <c r="B1777" s="49" t="str">
        <f t="shared" ref="B1777" si="1267">B1776</f>
        <v>hide</v>
      </c>
      <c r="D1777" s="58"/>
      <c r="E1777" s="58"/>
      <c r="F1777" s="52">
        <f>SUM(F1772:F1776)</f>
        <v>0</v>
      </c>
      <c r="G1777" s="52">
        <f>SUM(G1772:G1776)</f>
        <v>0</v>
      </c>
      <c r="H1777" s="52">
        <f>SUM(H1772:H1776)</f>
        <v>0</v>
      </c>
      <c r="I1777" s="52">
        <f>SUM(I1772:I1776)</f>
        <v>0</v>
      </c>
      <c r="J1777" s="52">
        <f>SUM(J1772:J1776)</f>
        <v>0</v>
      </c>
      <c r="K1777" s="52"/>
      <c r="L1777" s="51" t="s">
        <v>4</v>
      </c>
      <c r="M1777" s="58"/>
      <c r="N1777" s="58"/>
      <c r="O1777" s="58"/>
      <c r="P1777" s="58"/>
      <c r="Q1777" s="58"/>
      <c r="R1777" s="58"/>
      <c r="S1777" s="58"/>
    </row>
    <row r="1778" spans="1:19" s="59" customFormat="1" ht="18.75" customHeight="1" thickBot="1" x14ac:dyDescent="0.3">
      <c r="A1778" s="59" t="s">
        <v>23</v>
      </c>
      <c r="B1778" s="60" t="str">
        <f t="shared" ref="B1778:B1779" si="1268">IF(K1778=0,"hide","")</f>
        <v/>
      </c>
      <c r="D1778" s="61" t="str">
        <f>"20661"</f>
        <v>20661</v>
      </c>
      <c r="E1778" s="62" t="str">
        <f>"7"</f>
        <v>7</v>
      </c>
      <c r="F1778" s="63">
        <v>1262.5</v>
      </c>
      <c r="G1778" s="63">
        <v>1330.2499999999998</v>
      </c>
      <c r="H1778" s="63">
        <v>1969.25</v>
      </c>
      <c r="I1778" s="63">
        <v>1433.8333333333333</v>
      </c>
      <c r="J1778" s="63">
        <v>685.88289156626513</v>
      </c>
      <c r="K1778" s="63">
        <f>AVERAGE(I1778:J1778)</f>
        <v>1059.8581124497991</v>
      </c>
      <c r="L1778" s="64" t="str">
        <f>"Smart ChoiceBlueberry Muffin"</f>
        <v>Smart ChoiceBlueberry Muffin</v>
      </c>
      <c r="M1778" s="65" t="str">
        <f>"72-2 oz. I.W."</f>
        <v>72-2 oz. I.W.</v>
      </c>
      <c r="N1778" s="66">
        <v>72</v>
      </c>
      <c r="O1778" s="67" t="str">
        <f>""</f>
        <v/>
      </c>
      <c r="P1778" s="68" t="e">
        <f>1/O1778</f>
        <v>#VALUE!</v>
      </c>
      <c r="Q1778" s="53">
        <v>1</v>
      </c>
      <c r="R1778" s="69">
        <f t="shared" ref="R1778" si="1269">1/Q1778</f>
        <v>1</v>
      </c>
      <c r="S1778" s="70">
        <f t="shared" ref="S1778" si="1270">R1778*N1778</f>
        <v>72</v>
      </c>
    </row>
    <row r="1779" spans="1:19" ht="15.6" hidden="1" customHeight="1" thickBot="1" x14ac:dyDescent="0.3">
      <c r="A1779" t="s">
        <v>23</v>
      </c>
      <c r="B1779" s="60" t="str">
        <f t="shared" si="1268"/>
        <v>hide</v>
      </c>
      <c r="D1779" s="48" t="str">
        <f>D1778</f>
        <v>20661</v>
      </c>
      <c r="E1779" s="7"/>
      <c r="F1779" s="27">
        <v>0</v>
      </c>
      <c r="G1779" s="27">
        <v>0</v>
      </c>
      <c r="H1779" s="27">
        <v>0</v>
      </c>
      <c r="I1779" s="27">
        <v>0</v>
      </c>
      <c r="J1779" s="27">
        <v>0</v>
      </c>
      <c r="K1779" s="63">
        <f>AVERAGE(I1779:J1779)</f>
        <v>0</v>
      </c>
      <c r="L1779" s="56" t="str">
        <f>"EQP-LAWPACK1"</f>
        <v>EQP-LAWPACK1</v>
      </c>
      <c r="M1779" s="14"/>
      <c r="N1779" s="15"/>
      <c r="O1779" s="12"/>
      <c r="P1779" s="34"/>
      <c r="Q1779" s="37"/>
      <c r="R1779" s="47"/>
      <c r="S1779" s="46"/>
    </row>
    <row r="1780" spans="1:19" ht="15.6" hidden="1" customHeight="1" thickBot="1" x14ac:dyDescent="0.3">
      <c r="A1780" t="s">
        <v>23</v>
      </c>
      <c r="B1780" s="60" t="str">
        <f t="shared" ref="B1780:B1782" si="1271">IF(K1780=0,"hide","")</f>
        <v>hide</v>
      </c>
      <c r="D1780" s="48" t="str">
        <f>D1779</f>
        <v>20661</v>
      </c>
      <c r="E1780" s="7"/>
      <c r="F1780" s="27">
        <v>0</v>
      </c>
      <c r="G1780" s="27">
        <v>0</v>
      </c>
      <c r="H1780" s="27">
        <v>0</v>
      </c>
      <c r="I1780" s="27">
        <v>0</v>
      </c>
      <c r="J1780" s="27">
        <v>0</v>
      </c>
      <c r="K1780" s="63">
        <f>AVERAGE(I1780:J1780)</f>
        <v>0</v>
      </c>
      <c r="L1780" s="56" t="str">
        <f>"EQP-LAWPACK2"</f>
        <v>EQP-LAWPACK2</v>
      </c>
      <c r="M1780" s="14"/>
      <c r="N1780" s="15"/>
      <c r="O1780" s="12"/>
      <c r="P1780" s="34"/>
      <c r="Q1780" s="37"/>
      <c r="R1780" s="47"/>
      <c r="S1780" s="46"/>
    </row>
    <row r="1781" spans="1:19" ht="15.6" hidden="1" customHeight="1" thickBot="1" x14ac:dyDescent="0.3">
      <c r="A1781" t="s">
        <v>23</v>
      </c>
      <c r="B1781" s="60" t="str">
        <f t="shared" si="1271"/>
        <v>hide</v>
      </c>
      <c r="D1781" s="48" t="str">
        <f>D1780</f>
        <v>20661</v>
      </c>
      <c r="E1781" s="7"/>
      <c r="F1781" s="27">
        <v>0</v>
      </c>
      <c r="G1781" s="27">
        <v>0</v>
      </c>
      <c r="H1781" s="27">
        <v>0</v>
      </c>
      <c r="I1781" s="27">
        <v>0</v>
      </c>
      <c r="J1781" s="27">
        <v>0</v>
      </c>
      <c r="K1781" s="63">
        <f>AVERAGE(I1781:J1781)</f>
        <v>0</v>
      </c>
      <c r="L1781" s="56" t="str">
        <f>"SW-COMAS-PACKL"</f>
        <v>SW-COMAS-PACKL</v>
      </c>
      <c r="M1781" s="14"/>
      <c r="N1781" s="15"/>
      <c r="O1781" s="12"/>
      <c r="P1781" s="34"/>
      <c r="Q1781" s="37"/>
      <c r="R1781" s="47"/>
      <c r="S1781" s="46"/>
    </row>
    <row r="1782" spans="1:19" ht="15.6" hidden="1" customHeight="1" thickBot="1" x14ac:dyDescent="0.3">
      <c r="A1782" t="s">
        <v>23</v>
      </c>
      <c r="B1782" s="60" t="str">
        <f t="shared" si="1271"/>
        <v>hide</v>
      </c>
      <c r="D1782" s="48" t="str">
        <f>D1781</f>
        <v>20661</v>
      </c>
      <c r="E1782" s="7"/>
      <c r="F1782" s="27">
        <v>0</v>
      </c>
      <c r="G1782" s="27">
        <v>0</v>
      </c>
      <c r="H1782" s="27">
        <v>0</v>
      </c>
      <c r="I1782" s="27">
        <v>0</v>
      </c>
      <c r="J1782" s="27">
        <v>0</v>
      </c>
      <c r="K1782" s="63">
        <f>AVERAGE(I1782:J1782)</f>
        <v>0</v>
      </c>
      <c r="L1782" s="56" t="str">
        <f>"SW-RISER-PACK"</f>
        <v>SW-RISER-PACK</v>
      </c>
      <c r="M1782" s="14"/>
      <c r="N1782" s="15"/>
      <c r="O1782" s="12"/>
      <c r="P1782" s="34"/>
      <c r="Q1782" s="37"/>
      <c r="R1782" s="47"/>
      <c r="S1782" s="46"/>
    </row>
    <row r="1783" spans="1:19" ht="12" hidden="1" customHeight="1" x14ac:dyDescent="0.3">
      <c r="A1783" s="35" t="s">
        <v>908</v>
      </c>
      <c r="B1783" s="49" t="str">
        <f>B1779</f>
        <v>hide</v>
      </c>
      <c r="N1783"/>
      <c r="Q1783" s="33"/>
    </row>
    <row r="1784" spans="1:19" ht="13.8" hidden="1" thickBot="1" x14ac:dyDescent="0.3">
      <c r="A1784" t="s">
        <v>23</v>
      </c>
      <c r="B1784" s="49" t="str">
        <f t="shared" ref="B1784" si="1272">B1783</f>
        <v>hide</v>
      </c>
      <c r="D1784" s="58"/>
      <c r="E1784" s="58"/>
      <c r="F1784" s="52">
        <f>SUM(F1779:F1783)</f>
        <v>0</v>
      </c>
      <c r="G1784" s="52">
        <f>SUM(G1779:G1783)</f>
        <v>0</v>
      </c>
      <c r="H1784" s="52">
        <f>SUM(H1779:H1783)</f>
        <v>0</v>
      </c>
      <c r="I1784" s="52">
        <f>SUM(I1779:I1783)</f>
        <v>0</v>
      </c>
      <c r="J1784" s="52">
        <f>SUM(J1779:J1783)</f>
        <v>0</v>
      </c>
      <c r="K1784" s="52"/>
      <c r="L1784" s="51" t="s">
        <v>4</v>
      </c>
      <c r="M1784" s="58"/>
      <c r="N1784" s="58"/>
      <c r="O1784" s="58"/>
      <c r="P1784" s="58"/>
      <c r="Q1784" s="58"/>
      <c r="R1784" s="58"/>
      <c r="S1784" s="58"/>
    </row>
    <row r="1785" spans="1:19" s="59" customFormat="1" ht="18.75" hidden="1" customHeight="1" thickBot="1" x14ac:dyDescent="0.3">
      <c r="A1785" s="59" t="s">
        <v>23</v>
      </c>
      <c r="B1785" s="60" t="str">
        <f t="shared" ref="B1785:B1786" si="1273">IF(K1785=0,"hide","")</f>
        <v>hide</v>
      </c>
      <c r="D1785" s="61" t="str">
        <f>"20663"</f>
        <v>20663</v>
      </c>
      <c r="E1785" s="62" t="str">
        <f>"5"</f>
        <v>5</v>
      </c>
      <c r="F1785" s="63">
        <v>25.083333333333332</v>
      </c>
      <c r="G1785" s="63">
        <v>9.7499999999999982</v>
      </c>
      <c r="H1785" s="63">
        <v>1</v>
      </c>
      <c r="I1785" s="63">
        <v>0</v>
      </c>
      <c r="J1785" s="63">
        <v>0</v>
      </c>
      <c r="K1785" s="63">
        <f>AVERAGE(I1785:J1785)</f>
        <v>0</v>
      </c>
      <c r="L1785" s="64" t="str">
        <f>"Smart Choice Org. Cran Muffin"</f>
        <v>Smart Choice Org. Cran Muffin</v>
      </c>
      <c r="M1785" s="65" t="str">
        <f>"72-2 oz. I.W."</f>
        <v>72-2 oz. I.W.</v>
      </c>
      <c r="N1785" s="66">
        <v>72</v>
      </c>
      <c r="O1785" s="67" t="str">
        <f>""</f>
        <v/>
      </c>
      <c r="P1785" s="68" t="e">
        <f>1/O1785</f>
        <v>#VALUE!</v>
      </c>
      <c r="Q1785" s="53">
        <v>1</v>
      </c>
      <c r="R1785" s="69">
        <f t="shared" ref="R1785" si="1274">1/Q1785</f>
        <v>1</v>
      </c>
      <c r="S1785" s="70">
        <f t="shared" ref="S1785" si="1275">R1785*N1785</f>
        <v>72</v>
      </c>
    </row>
    <row r="1786" spans="1:19" ht="15.6" hidden="1" customHeight="1" thickBot="1" x14ac:dyDescent="0.3">
      <c r="A1786" t="s">
        <v>23</v>
      </c>
      <c r="B1786" s="60" t="str">
        <f t="shared" si="1273"/>
        <v>hide</v>
      </c>
      <c r="D1786" s="48" t="str">
        <f>D1785</f>
        <v>20663</v>
      </c>
      <c r="E1786" s="7"/>
      <c r="F1786" s="27">
        <v>0</v>
      </c>
      <c r="G1786" s="27">
        <v>0</v>
      </c>
      <c r="H1786" s="27">
        <v>0</v>
      </c>
      <c r="I1786" s="27">
        <v>0</v>
      </c>
      <c r="J1786" s="27">
        <v>0</v>
      </c>
      <c r="K1786" s="63">
        <f>AVERAGE(I1786:J1786)</f>
        <v>0</v>
      </c>
      <c r="L1786" s="56" t="str">
        <f>"EQP-LAWPACK1"</f>
        <v>EQP-LAWPACK1</v>
      </c>
      <c r="M1786" s="14"/>
      <c r="N1786" s="15"/>
      <c r="O1786" s="12"/>
      <c r="P1786" s="34"/>
      <c r="Q1786" s="37"/>
      <c r="R1786" s="47"/>
      <c r="S1786" s="46"/>
    </row>
    <row r="1787" spans="1:19" ht="15.6" hidden="1" customHeight="1" thickBot="1" x14ac:dyDescent="0.3">
      <c r="A1787" t="s">
        <v>23</v>
      </c>
      <c r="B1787" s="60" t="str">
        <f t="shared" ref="B1787:B1789" si="1276">IF(K1787=0,"hide","")</f>
        <v>hide</v>
      </c>
      <c r="D1787" s="48" t="str">
        <f>D1786</f>
        <v>20663</v>
      </c>
      <c r="E1787" s="7"/>
      <c r="F1787" s="27">
        <v>0</v>
      </c>
      <c r="G1787" s="27">
        <v>0</v>
      </c>
      <c r="H1787" s="27">
        <v>0</v>
      </c>
      <c r="I1787" s="27">
        <v>0</v>
      </c>
      <c r="J1787" s="27">
        <v>0</v>
      </c>
      <c r="K1787" s="63">
        <f>AVERAGE(I1787:J1787)</f>
        <v>0</v>
      </c>
      <c r="L1787" s="56" t="str">
        <f>"EQP-LAWPACK2"</f>
        <v>EQP-LAWPACK2</v>
      </c>
      <c r="M1787" s="14"/>
      <c r="N1787" s="15"/>
      <c r="O1787" s="12"/>
      <c r="P1787" s="34"/>
      <c r="Q1787" s="37"/>
      <c r="R1787" s="47"/>
      <c r="S1787" s="46"/>
    </row>
    <row r="1788" spans="1:19" ht="15.6" hidden="1" customHeight="1" thickBot="1" x14ac:dyDescent="0.3">
      <c r="A1788" t="s">
        <v>23</v>
      </c>
      <c r="B1788" s="60" t="str">
        <f t="shared" si="1276"/>
        <v>hide</v>
      </c>
      <c r="D1788" s="48" t="str">
        <f>D1787</f>
        <v>20663</v>
      </c>
      <c r="E1788" s="7"/>
      <c r="F1788" s="27">
        <v>0</v>
      </c>
      <c r="G1788" s="27">
        <v>0</v>
      </c>
      <c r="H1788" s="27">
        <v>0</v>
      </c>
      <c r="I1788" s="27">
        <v>0</v>
      </c>
      <c r="J1788" s="27">
        <v>0</v>
      </c>
      <c r="K1788" s="63">
        <f>AVERAGE(I1788:J1788)</f>
        <v>0</v>
      </c>
      <c r="L1788" s="56" t="str">
        <f>"SW-COMAS-PACKL"</f>
        <v>SW-COMAS-PACKL</v>
      </c>
      <c r="M1788" s="14"/>
      <c r="N1788" s="15"/>
      <c r="O1788" s="12"/>
      <c r="P1788" s="34"/>
      <c r="Q1788" s="37"/>
      <c r="R1788" s="47"/>
      <c r="S1788" s="46"/>
    </row>
    <row r="1789" spans="1:19" ht="15.6" hidden="1" customHeight="1" thickBot="1" x14ac:dyDescent="0.3">
      <c r="A1789" t="s">
        <v>23</v>
      </c>
      <c r="B1789" s="60" t="str">
        <f t="shared" si="1276"/>
        <v>hide</v>
      </c>
      <c r="D1789" s="48" t="str">
        <f>D1788</f>
        <v>20663</v>
      </c>
      <c r="E1789" s="7"/>
      <c r="F1789" s="27">
        <v>0</v>
      </c>
      <c r="G1789" s="27">
        <v>0</v>
      </c>
      <c r="H1789" s="27">
        <v>0</v>
      </c>
      <c r="I1789" s="27">
        <v>0</v>
      </c>
      <c r="J1789" s="27">
        <v>0</v>
      </c>
      <c r="K1789" s="63">
        <f>AVERAGE(I1789:J1789)</f>
        <v>0</v>
      </c>
      <c r="L1789" s="56" t="str">
        <f>"SW-RISER-PACK"</f>
        <v>SW-RISER-PACK</v>
      </c>
      <c r="M1789" s="14"/>
      <c r="N1789" s="15"/>
      <c r="O1789" s="12"/>
      <c r="P1789" s="34"/>
      <c r="Q1789" s="37"/>
      <c r="R1789" s="47"/>
      <c r="S1789" s="46"/>
    </row>
    <row r="1790" spans="1:19" ht="12" hidden="1" customHeight="1" x14ac:dyDescent="0.3">
      <c r="A1790" s="35" t="s">
        <v>908</v>
      </c>
      <c r="B1790" s="49" t="str">
        <f>B1786</f>
        <v>hide</v>
      </c>
      <c r="N1790"/>
      <c r="Q1790" s="33"/>
    </row>
    <row r="1791" spans="1:19" ht="13.8" hidden="1" thickBot="1" x14ac:dyDescent="0.3">
      <c r="A1791" t="s">
        <v>23</v>
      </c>
      <c r="B1791" s="49" t="str">
        <f t="shared" ref="B1791" si="1277">B1790</f>
        <v>hide</v>
      </c>
      <c r="D1791" s="58"/>
      <c r="E1791" s="58"/>
      <c r="F1791" s="52">
        <f>SUM(F1786:F1790)</f>
        <v>0</v>
      </c>
      <c r="G1791" s="52">
        <f>SUM(G1786:G1790)</f>
        <v>0</v>
      </c>
      <c r="H1791" s="52">
        <f>SUM(H1786:H1790)</f>
        <v>0</v>
      </c>
      <c r="I1791" s="52">
        <f>SUM(I1786:I1790)</f>
        <v>0</v>
      </c>
      <c r="J1791" s="52">
        <f>SUM(J1786:J1790)</f>
        <v>0</v>
      </c>
      <c r="K1791" s="52"/>
      <c r="L1791" s="51" t="s">
        <v>4</v>
      </c>
      <c r="M1791" s="58"/>
      <c r="N1791" s="58"/>
      <c r="O1791" s="58"/>
      <c r="P1791" s="58"/>
      <c r="Q1791" s="58"/>
      <c r="R1791" s="58"/>
      <c r="S1791" s="58"/>
    </row>
    <row r="1792" spans="1:19" s="59" customFormat="1" ht="18.75" customHeight="1" thickBot="1" x14ac:dyDescent="0.3">
      <c r="A1792" s="59" t="s">
        <v>23</v>
      </c>
      <c r="B1792" s="60" t="str">
        <f t="shared" ref="B1792:B1793" si="1278">IF(K1792=0,"hide","")</f>
        <v/>
      </c>
      <c r="D1792" s="61" t="str">
        <f>"20666"</f>
        <v>20666</v>
      </c>
      <c r="E1792" s="62" t="str">
        <f>"5"</f>
        <v>5</v>
      </c>
      <c r="F1792" s="63">
        <v>296.33333333333337</v>
      </c>
      <c r="G1792" s="63">
        <v>435.91666666666669</v>
      </c>
      <c r="H1792" s="63">
        <v>830.75</v>
      </c>
      <c r="I1792" s="63">
        <v>717.25</v>
      </c>
      <c r="J1792" s="63">
        <v>421.15855421686751</v>
      </c>
      <c r="K1792" s="63">
        <f>AVERAGE(I1792:J1792)</f>
        <v>569.20427710843376</v>
      </c>
      <c r="L1792" s="64" t="str">
        <f>"Smart Choice Apple Cin. Muffin"</f>
        <v>Smart Choice Apple Cin. Muffin</v>
      </c>
      <c r="M1792" s="65" t="str">
        <f>"72-2 oz. I.W."</f>
        <v>72-2 oz. I.W.</v>
      </c>
      <c r="N1792" s="66">
        <v>72</v>
      </c>
      <c r="O1792" s="67" t="str">
        <f>""</f>
        <v/>
      </c>
      <c r="P1792" s="68" t="e">
        <f>1/O1792</f>
        <v>#VALUE!</v>
      </c>
      <c r="Q1792" s="53">
        <v>1</v>
      </c>
      <c r="R1792" s="69">
        <f t="shared" ref="R1792" si="1279">1/Q1792</f>
        <v>1</v>
      </c>
      <c r="S1792" s="70">
        <f t="shared" ref="S1792" si="1280">R1792*N1792</f>
        <v>72</v>
      </c>
    </row>
    <row r="1793" spans="1:19" ht="15.6" hidden="1" customHeight="1" thickBot="1" x14ac:dyDescent="0.3">
      <c r="A1793" t="s">
        <v>23</v>
      </c>
      <c r="B1793" s="60" t="str">
        <f t="shared" si="1278"/>
        <v>hide</v>
      </c>
      <c r="D1793" s="48" t="str">
        <f>D1792</f>
        <v>20666</v>
      </c>
      <c r="E1793" s="7"/>
      <c r="F1793" s="27">
        <v>0</v>
      </c>
      <c r="G1793" s="27">
        <v>0</v>
      </c>
      <c r="H1793" s="27">
        <v>0</v>
      </c>
      <c r="I1793" s="27">
        <v>0</v>
      </c>
      <c r="J1793" s="27">
        <v>0</v>
      </c>
      <c r="K1793" s="63">
        <f>AVERAGE(I1793:J1793)</f>
        <v>0</v>
      </c>
      <c r="L1793" s="56" t="str">
        <f>"EQP-LAWPACK1"</f>
        <v>EQP-LAWPACK1</v>
      </c>
      <c r="M1793" s="14"/>
      <c r="N1793" s="15"/>
      <c r="O1793" s="12"/>
      <c r="P1793" s="34"/>
      <c r="Q1793" s="37"/>
      <c r="R1793" s="47"/>
      <c r="S1793" s="46"/>
    </row>
    <row r="1794" spans="1:19" ht="15.6" hidden="1" customHeight="1" thickBot="1" x14ac:dyDescent="0.3">
      <c r="A1794" t="s">
        <v>23</v>
      </c>
      <c r="B1794" s="60" t="str">
        <f t="shared" ref="B1794:B1796" si="1281">IF(K1794=0,"hide","")</f>
        <v>hide</v>
      </c>
      <c r="D1794" s="48" t="str">
        <f>D1793</f>
        <v>20666</v>
      </c>
      <c r="E1794" s="7"/>
      <c r="F1794" s="27">
        <v>0</v>
      </c>
      <c r="G1794" s="27">
        <v>0</v>
      </c>
      <c r="H1794" s="27">
        <v>0</v>
      </c>
      <c r="I1794" s="27">
        <v>0</v>
      </c>
      <c r="J1794" s="27">
        <v>0</v>
      </c>
      <c r="K1794" s="63">
        <f>AVERAGE(I1794:J1794)</f>
        <v>0</v>
      </c>
      <c r="L1794" s="56" t="str">
        <f>"EQP-LAWPACK2"</f>
        <v>EQP-LAWPACK2</v>
      </c>
      <c r="M1794" s="14"/>
      <c r="N1794" s="15"/>
      <c r="O1794" s="12"/>
      <c r="P1794" s="34"/>
      <c r="Q1794" s="37"/>
      <c r="R1794" s="47"/>
      <c r="S1794" s="46"/>
    </row>
    <row r="1795" spans="1:19" ht="15.6" hidden="1" customHeight="1" thickBot="1" x14ac:dyDescent="0.3">
      <c r="A1795" t="s">
        <v>23</v>
      </c>
      <c r="B1795" s="60" t="str">
        <f t="shared" si="1281"/>
        <v>hide</v>
      </c>
      <c r="D1795" s="48" t="str">
        <f>D1794</f>
        <v>20666</v>
      </c>
      <c r="E1795" s="7"/>
      <c r="F1795" s="27">
        <v>0</v>
      </c>
      <c r="G1795" s="27">
        <v>0</v>
      </c>
      <c r="H1795" s="27">
        <v>0</v>
      </c>
      <c r="I1795" s="27">
        <v>0</v>
      </c>
      <c r="J1795" s="27">
        <v>0</v>
      </c>
      <c r="K1795" s="63">
        <f>AVERAGE(I1795:J1795)</f>
        <v>0</v>
      </c>
      <c r="L1795" s="56" t="str">
        <f>"SW-COMAS-PACKL"</f>
        <v>SW-COMAS-PACKL</v>
      </c>
      <c r="M1795" s="14"/>
      <c r="N1795" s="15"/>
      <c r="O1795" s="12"/>
      <c r="P1795" s="34"/>
      <c r="Q1795" s="37"/>
      <c r="R1795" s="47"/>
      <c r="S1795" s="46"/>
    </row>
    <row r="1796" spans="1:19" ht="15.6" hidden="1" customHeight="1" thickBot="1" x14ac:dyDescent="0.3">
      <c r="A1796" t="s">
        <v>23</v>
      </c>
      <c r="B1796" s="60" t="str">
        <f t="shared" si="1281"/>
        <v>hide</v>
      </c>
      <c r="D1796" s="48" t="str">
        <f>D1795</f>
        <v>20666</v>
      </c>
      <c r="E1796" s="7"/>
      <c r="F1796" s="27">
        <v>0</v>
      </c>
      <c r="G1796" s="27">
        <v>0</v>
      </c>
      <c r="H1796" s="27">
        <v>0</v>
      </c>
      <c r="I1796" s="27">
        <v>0</v>
      </c>
      <c r="J1796" s="27">
        <v>0</v>
      </c>
      <c r="K1796" s="63">
        <f>AVERAGE(I1796:J1796)</f>
        <v>0</v>
      </c>
      <c r="L1796" s="56" t="str">
        <f>"SW-RISER-PACK"</f>
        <v>SW-RISER-PACK</v>
      </c>
      <c r="M1796" s="14"/>
      <c r="N1796" s="15"/>
      <c r="O1796" s="12"/>
      <c r="P1796" s="34"/>
      <c r="Q1796" s="37"/>
      <c r="R1796" s="47"/>
      <c r="S1796" s="46"/>
    </row>
    <row r="1797" spans="1:19" ht="12" hidden="1" customHeight="1" x14ac:dyDescent="0.3">
      <c r="A1797" s="35" t="s">
        <v>908</v>
      </c>
      <c r="B1797" s="49" t="str">
        <f>B1793</f>
        <v>hide</v>
      </c>
      <c r="N1797"/>
      <c r="Q1797" s="33"/>
    </row>
    <row r="1798" spans="1:19" ht="13.8" hidden="1" thickBot="1" x14ac:dyDescent="0.3">
      <c r="A1798" t="s">
        <v>23</v>
      </c>
      <c r="B1798" s="49" t="str">
        <f t="shared" ref="B1798" si="1282">B1797</f>
        <v>hide</v>
      </c>
      <c r="D1798" s="58"/>
      <c r="E1798" s="58"/>
      <c r="F1798" s="52">
        <f>SUM(F1793:F1797)</f>
        <v>0</v>
      </c>
      <c r="G1798" s="52">
        <f>SUM(G1793:G1797)</f>
        <v>0</v>
      </c>
      <c r="H1798" s="52">
        <f>SUM(H1793:H1797)</f>
        <v>0</v>
      </c>
      <c r="I1798" s="52">
        <f>SUM(I1793:I1797)</f>
        <v>0</v>
      </c>
      <c r="J1798" s="52">
        <f>SUM(J1793:J1797)</f>
        <v>0</v>
      </c>
      <c r="K1798" s="52"/>
      <c r="L1798" s="51" t="s">
        <v>4</v>
      </c>
      <c r="M1798" s="58"/>
      <c r="N1798" s="58"/>
      <c r="O1798" s="58"/>
      <c r="P1798" s="58"/>
      <c r="Q1798" s="58"/>
      <c r="R1798" s="58"/>
      <c r="S1798" s="58"/>
    </row>
    <row r="1799" spans="1:19" s="59" customFormat="1" ht="18.75" hidden="1" customHeight="1" thickBot="1" x14ac:dyDescent="0.3">
      <c r="A1799" s="59" t="s">
        <v>23</v>
      </c>
      <c r="B1799" s="60" t="str">
        <f t="shared" ref="B1799:B1800" si="1283">IF(K1799=0,"hide","")</f>
        <v>hide</v>
      </c>
      <c r="D1799" s="61" t="str">
        <f>"20670"</f>
        <v>20670</v>
      </c>
      <c r="E1799" s="62" t="str">
        <f>"4"</f>
        <v>4</v>
      </c>
      <c r="F1799" s="63">
        <v>184.83333333333334</v>
      </c>
      <c r="G1799" s="63">
        <v>136.5</v>
      </c>
      <c r="H1799" s="63">
        <v>10.666666666666666</v>
      </c>
      <c r="I1799" s="63">
        <v>0</v>
      </c>
      <c r="J1799" s="63">
        <v>0</v>
      </c>
      <c r="K1799" s="63">
        <f>AVERAGE(I1799:J1799)</f>
        <v>0</v>
      </c>
      <c r="L1799" s="64" t="str">
        <f>"SMART CHOICE CHOC.CHIP MUFFIN"</f>
        <v>SMART CHOICE CHOC.CHIP MUFFIN</v>
      </c>
      <c r="M1799" s="65" t="str">
        <f>"72- 2oz. I.W."</f>
        <v>72- 2oz. I.W.</v>
      </c>
      <c r="N1799" s="66">
        <v>72</v>
      </c>
      <c r="O1799" s="67" t="str">
        <f>""</f>
        <v/>
      </c>
      <c r="P1799" s="68" t="e">
        <f>1/O1799</f>
        <v>#VALUE!</v>
      </c>
      <c r="Q1799" s="53">
        <v>1</v>
      </c>
      <c r="R1799" s="69">
        <f t="shared" ref="R1799" si="1284">1/Q1799</f>
        <v>1</v>
      </c>
      <c r="S1799" s="70">
        <f t="shared" ref="S1799" si="1285">R1799*N1799</f>
        <v>72</v>
      </c>
    </row>
    <row r="1800" spans="1:19" ht="15.6" hidden="1" customHeight="1" thickBot="1" x14ac:dyDescent="0.3">
      <c r="A1800" t="s">
        <v>23</v>
      </c>
      <c r="B1800" s="60" t="str">
        <f t="shared" si="1283"/>
        <v>hide</v>
      </c>
      <c r="D1800" s="48" t="str">
        <f>D1799</f>
        <v>20670</v>
      </c>
      <c r="E1800" s="7"/>
      <c r="F1800" s="27">
        <v>0</v>
      </c>
      <c r="G1800" s="27">
        <v>0</v>
      </c>
      <c r="H1800" s="27">
        <v>0</v>
      </c>
      <c r="I1800" s="27">
        <v>0</v>
      </c>
      <c r="J1800" s="27">
        <v>0</v>
      </c>
      <c r="K1800" s="63">
        <f>AVERAGE(I1800:J1800)</f>
        <v>0</v>
      </c>
      <c r="L1800" s="56" t="str">
        <f>"EQP-LAWPACK1"</f>
        <v>EQP-LAWPACK1</v>
      </c>
      <c r="M1800" s="14"/>
      <c r="N1800" s="15"/>
      <c r="O1800" s="12"/>
      <c r="P1800" s="34"/>
      <c r="Q1800" s="37"/>
      <c r="R1800" s="47"/>
      <c r="S1800" s="46"/>
    </row>
    <row r="1801" spans="1:19" ht="15.6" hidden="1" customHeight="1" thickBot="1" x14ac:dyDescent="0.3">
      <c r="A1801" t="s">
        <v>23</v>
      </c>
      <c r="B1801" s="60" t="str">
        <f t="shared" ref="B1801:B1803" si="1286">IF(K1801=0,"hide","")</f>
        <v>hide</v>
      </c>
      <c r="D1801" s="48" t="str">
        <f>D1800</f>
        <v>20670</v>
      </c>
      <c r="E1801" s="7"/>
      <c r="F1801" s="27">
        <v>0</v>
      </c>
      <c r="G1801" s="27">
        <v>0</v>
      </c>
      <c r="H1801" s="27">
        <v>0</v>
      </c>
      <c r="I1801" s="27">
        <v>0</v>
      </c>
      <c r="J1801" s="27">
        <v>0</v>
      </c>
      <c r="K1801" s="63">
        <f>AVERAGE(I1801:J1801)</f>
        <v>0</v>
      </c>
      <c r="L1801" s="56" t="str">
        <f>"EQP-LAWPACK2"</f>
        <v>EQP-LAWPACK2</v>
      </c>
      <c r="M1801" s="14"/>
      <c r="N1801" s="15"/>
      <c r="O1801" s="12"/>
      <c r="P1801" s="34"/>
      <c r="Q1801" s="37"/>
      <c r="R1801" s="47"/>
      <c r="S1801" s="46"/>
    </row>
    <row r="1802" spans="1:19" ht="15.6" hidden="1" customHeight="1" thickBot="1" x14ac:dyDescent="0.3">
      <c r="A1802" t="s">
        <v>23</v>
      </c>
      <c r="B1802" s="60" t="str">
        <f t="shared" si="1286"/>
        <v>hide</v>
      </c>
      <c r="D1802" s="48" t="str">
        <f>D1801</f>
        <v>20670</v>
      </c>
      <c r="E1802" s="7"/>
      <c r="F1802" s="27">
        <v>0</v>
      </c>
      <c r="G1802" s="27">
        <v>0</v>
      </c>
      <c r="H1802" s="27">
        <v>0</v>
      </c>
      <c r="I1802" s="27">
        <v>0</v>
      </c>
      <c r="J1802" s="27">
        <v>0</v>
      </c>
      <c r="K1802" s="63">
        <f>AVERAGE(I1802:J1802)</f>
        <v>0</v>
      </c>
      <c r="L1802" s="56" t="str">
        <f>"SW-COMAS-PACKL"</f>
        <v>SW-COMAS-PACKL</v>
      </c>
      <c r="M1802" s="14"/>
      <c r="N1802" s="15"/>
      <c r="O1802" s="12"/>
      <c r="P1802" s="34"/>
      <c r="Q1802" s="37"/>
      <c r="R1802" s="47"/>
      <c r="S1802" s="46"/>
    </row>
    <row r="1803" spans="1:19" ht="15.6" hidden="1" customHeight="1" thickBot="1" x14ac:dyDescent="0.3">
      <c r="A1803" t="s">
        <v>23</v>
      </c>
      <c r="B1803" s="60" t="str">
        <f t="shared" si="1286"/>
        <v>hide</v>
      </c>
      <c r="D1803" s="48" t="str">
        <f>D1802</f>
        <v>20670</v>
      </c>
      <c r="E1803" s="7"/>
      <c r="F1803" s="27">
        <v>0</v>
      </c>
      <c r="G1803" s="27">
        <v>0</v>
      </c>
      <c r="H1803" s="27">
        <v>0</v>
      </c>
      <c r="I1803" s="27">
        <v>0</v>
      </c>
      <c r="J1803" s="27">
        <v>0</v>
      </c>
      <c r="K1803" s="63">
        <f>AVERAGE(I1803:J1803)</f>
        <v>0</v>
      </c>
      <c r="L1803" s="56" t="str">
        <f>"SW-RISER-PACK"</f>
        <v>SW-RISER-PACK</v>
      </c>
      <c r="M1803" s="14"/>
      <c r="N1803" s="15"/>
      <c r="O1803" s="12"/>
      <c r="P1803" s="34"/>
      <c r="Q1803" s="37"/>
      <c r="R1803" s="47"/>
      <c r="S1803" s="46"/>
    </row>
    <row r="1804" spans="1:19" ht="12" hidden="1" customHeight="1" x14ac:dyDescent="0.3">
      <c r="A1804" s="35" t="s">
        <v>908</v>
      </c>
      <c r="B1804" s="49" t="str">
        <f>B1800</f>
        <v>hide</v>
      </c>
      <c r="N1804"/>
      <c r="Q1804" s="33"/>
    </row>
    <row r="1805" spans="1:19" ht="13.8" hidden="1" thickBot="1" x14ac:dyDescent="0.3">
      <c r="A1805" t="s">
        <v>23</v>
      </c>
      <c r="B1805" s="49" t="str">
        <f t="shared" ref="B1805" si="1287">B1804</f>
        <v>hide</v>
      </c>
      <c r="D1805" s="58"/>
      <c r="E1805" s="58"/>
      <c r="F1805" s="52">
        <f>SUM(F1800:F1804)</f>
        <v>0</v>
      </c>
      <c r="G1805" s="52">
        <f>SUM(G1800:G1804)</f>
        <v>0</v>
      </c>
      <c r="H1805" s="52">
        <f>SUM(H1800:H1804)</f>
        <v>0</v>
      </c>
      <c r="I1805" s="52">
        <f>SUM(I1800:I1804)</f>
        <v>0</v>
      </c>
      <c r="J1805" s="52">
        <f>SUM(J1800:J1804)</f>
        <v>0</v>
      </c>
      <c r="K1805" s="52"/>
      <c r="L1805" s="51" t="s">
        <v>4</v>
      </c>
      <c r="M1805" s="58"/>
      <c r="N1805" s="58"/>
      <c r="O1805" s="58"/>
      <c r="P1805" s="58"/>
      <c r="Q1805" s="58"/>
      <c r="R1805" s="58"/>
      <c r="S1805" s="58"/>
    </row>
    <row r="1806" spans="1:19" s="59" customFormat="1" ht="18.75" customHeight="1" thickBot="1" x14ac:dyDescent="0.3">
      <c r="A1806" s="59" t="s">
        <v>23</v>
      </c>
      <c r="B1806" s="60" t="str">
        <f t="shared" ref="B1806:B1807" si="1288">IF(K1806=0,"hide","")</f>
        <v/>
      </c>
      <c r="D1806" s="61" t="str">
        <f>"20675"</f>
        <v>20675</v>
      </c>
      <c r="E1806" s="62" t="str">
        <f>"5"</f>
        <v>5</v>
      </c>
      <c r="F1806" s="63">
        <v>275.74999999999994</v>
      </c>
      <c r="G1806" s="63">
        <v>259.41666666666663</v>
      </c>
      <c r="H1806" s="63">
        <v>293.50000000000006</v>
      </c>
      <c r="I1806" s="63">
        <v>439.58333333333331</v>
      </c>
      <c r="J1806" s="63">
        <v>261.79204819277112</v>
      </c>
      <c r="K1806" s="63">
        <f>AVERAGE(I1806:J1806)</f>
        <v>350.68769076305222</v>
      </c>
      <c r="L1806" s="64" t="str">
        <f>"Smart Choice Banana Muffin"</f>
        <v>Smart Choice Banana Muffin</v>
      </c>
      <c r="M1806" s="65" t="str">
        <f>"72-2 oz. I.W."</f>
        <v>72-2 oz. I.W.</v>
      </c>
      <c r="N1806" s="66">
        <v>72</v>
      </c>
      <c r="O1806" s="67" t="str">
        <f>""</f>
        <v/>
      </c>
      <c r="P1806" s="68" t="e">
        <f>1/O1806</f>
        <v>#VALUE!</v>
      </c>
      <c r="Q1806" s="53">
        <v>1</v>
      </c>
      <c r="R1806" s="69">
        <f t="shared" ref="R1806" si="1289">1/Q1806</f>
        <v>1</v>
      </c>
      <c r="S1806" s="70">
        <f t="shared" ref="S1806" si="1290">R1806*N1806</f>
        <v>72</v>
      </c>
    </row>
    <row r="1807" spans="1:19" ht="15.6" hidden="1" customHeight="1" thickBot="1" x14ac:dyDescent="0.3">
      <c r="A1807" t="s">
        <v>23</v>
      </c>
      <c r="B1807" s="60" t="str">
        <f t="shared" si="1288"/>
        <v>hide</v>
      </c>
      <c r="D1807" s="48" t="str">
        <f>D1806</f>
        <v>20675</v>
      </c>
      <c r="E1807" s="7"/>
      <c r="F1807" s="27">
        <v>0</v>
      </c>
      <c r="G1807" s="27">
        <v>0</v>
      </c>
      <c r="H1807" s="27">
        <v>0</v>
      </c>
      <c r="I1807" s="27">
        <v>0</v>
      </c>
      <c r="J1807" s="27">
        <v>0</v>
      </c>
      <c r="K1807" s="63">
        <f>AVERAGE(I1807:J1807)</f>
        <v>0</v>
      </c>
      <c r="L1807" s="56" t="str">
        <f>"EQP-LAWPACK1"</f>
        <v>EQP-LAWPACK1</v>
      </c>
      <c r="M1807" s="14"/>
      <c r="N1807" s="15"/>
      <c r="O1807" s="12"/>
      <c r="P1807" s="34"/>
      <c r="Q1807" s="37"/>
      <c r="R1807" s="47"/>
      <c r="S1807" s="46"/>
    </row>
    <row r="1808" spans="1:19" ht="15.6" hidden="1" customHeight="1" thickBot="1" x14ac:dyDescent="0.3">
      <c r="A1808" t="s">
        <v>23</v>
      </c>
      <c r="B1808" s="60" t="str">
        <f t="shared" ref="B1808:B1810" si="1291">IF(K1808=0,"hide","")</f>
        <v>hide</v>
      </c>
      <c r="D1808" s="48" t="str">
        <f>D1807</f>
        <v>20675</v>
      </c>
      <c r="E1808" s="7"/>
      <c r="F1808" s="27">
        <v>0</v>
      </c>
      <c r="G1808" s="27">
        <v>0</v>
      </c>
      <c r="H1808" s="27">
        <v>0</v>
      </c>
      <c r="I1808" s="27">
        <v>0</v>
      </c>
      <c r="J1808" s="27">
        <v>0</v>
      </c>
      <c r="K1808" s="63">
        <f>AVERAGE(I1808:J1808)</f>
        <v>0</v>
      </c>
      <c r="L1808" s="56" t="str">
        <f>"EQP-LAWPACK2"</f>
        <v>EQP-LAWPACK2</v>
      </c>
      <c r="M1808" s="14"/>
      <c r="N1808" s="15"/>
      <c r="O1808" s="12"/>
      <c r="P1808" s="34"/>
      <c r="Q1808" s="37"/>
      <c r="R1808" s="47"/>
      <c r="S1808" s="46"/>
    </row>
    <row r="1809" spans="1:19" ht="15.6" hidden="1" customHeight="1" thickBot="1" x14ac:dyDescent="0.3">
      <c r="A1809" t="s">
        <v>23</v>
      </c>
      <c r="B1809" s="60" t="str">
        <f t="shared" si="1291"/>
        <v>hide</v>
      </c>
      <c r="D1809" s="48" t="str">
        <f>D1808</f>
        <v>20675</v>
      </c>
      <c r="E1809" s="7"/>
      <c r="F1809" s="27">
        <v>0</v>
      </c>
      <c r="G1809" s="27">
        <v>0</v>
      </c>
      <c r="H1809" s="27">
        <v>0</v>
      </c>
      <c r="I1809" s="27">
        <v>0</v>
      </c>
      <c r="J1809" s="27">
        <v>0</v>
      </c>
      <c r="K1809" s="63">
        <f>AVERAGE(I1809:J1809)</f>
        <v>0</v>
      </c>
      <c r="L1809" s="56" t="str">
        <f>"SW-COMAS-PACKL"</f>
        <v>SW-COMAS-PACKL</v>
      </c>
      <c r="M1809" s="14"/>
      <c r="N1809" s="15"/>
      <c r="O1809" s="12"/>
      <c r="P1809" s="34"/>
      <c r="Q1809" s="37"/>
      <c r="R1809" s="47"/>
      <c r="S1809" s="46"/>
    </row>
    <row r="1810" spans="1:19" ht="15.6" hidden="1" customHeight="1" thickBot="1" x14ac:dyDescent="0.3">
      <c r="A1810" t="s">
        <v>23</v>
      </c>
      <c r="B1810" s="60" t="str">
        <f t="shared" si="1291"/>
        <v>hide</v>
      </c>
      <c r="D1810" s="48" t="str">
        <f>D1809</f>
        <v>20675</v>
      </c>
      <c r="E1810" s="7"/>
      <c r="F1810" s="27">
        <v>0</v>
      </c>
      <c r="G1810" s="27">
        <v>0</v>
      </c>
      <c r="H1810" s="27">
        <v>0</v>
      </c>
      <c r="I1810" s="27">
        <v>0</v>
      </c>
      <c r="J1810" s="27">
        <v>0</v>
      </c>
      <c r="K1810" s="63">
        <f>AVERAGE(I1810:J1810)</f>
        <v>0</v>
      </c>
      <c r="L1810" s="56" t="str">
        <f>"SW-RISER-PACK"</f>
        <v>SW-RISER-PACK</v>
      </c>
      <c r="M1810" s="14"/>
      <c r="N1810" s="15"/>
      <c r="O1810" s="12"/>
      <c r="P1810" s="34"/>
      <c r="Q1810" s="37"/>
      <c r="R1810" s="47"/>
      <c r="S1810" s="46"/>
    </row>
    <row r="1811" spans="1:19" ht="12" hidden="1" customHeight="1" x14ac:dyDescent="0.3">
      <c r="A1811" s="35" t="s">
        <v>908</v>
      </c>
      <c r="B1811" s="49" t="str">
        <f>B1807</f>
        <v>hide</v>
      </c>
      <c r="N1811"/>
      <c r="Q1811" s="33"/>
    </row>
    <row r="1812" spans="1:19" ht="13.8" hidden="1" thickBot="1" x14ac:dyDescent="0.3">
      <c r="A1812" t="s">
        <v>23</v>
      </c>
      <c r="B1812" s="49" t="str">
        <f t="shared" ref="B1812" si="1292">B1811</f>
        <v>hide</v>
      </c>
      <c r="D1812" s="58"/>
      <c r="E1812" s="58"/>
      <c r="F1812" s="52">
        <f>SUM(F1807:F1811)</f>
        <v>0</v>
      </c>
      <c r="G1812" s="52">
        <f>SUM(G1807:G1811)</f>
        <v>0</v>
      </c>
      <c r="H1812" s="52">
        <f>SUM(H1807:H1811)</f>
        <v>0</v>
      </c>
      <c r="I1812" s="52">
        <f>SUM(I1807:I1811)</f>
        <v>0</v>
      </c>
      <c r="J1812" s="52">
        <f>SUM(J1807:J1811)</f>
        <v>0</v>
      </c>
      <c r="K1812" s="52"/>
      <c r="L1812" s="51" t="s">
        <v>4</v>
      </c>
      <c r="M1812" s="58"/>
      <c r="N1812" s="58"/>
      <c r="O1812" s="58"/>
      <c r="P1812" s="58"/>
      <c r="Q1812" s="58"/>
      <c r="R1812" s="58"/>
      <c r="S1812" s="58"/>
    </row>
    <row r="1813" spans="1:19" s="59" customFormat="1" ht="18.75" hidden="1" customHeight="1" thickBot="1" x14ac:dyDescent="0.3">
      <c r="A1813" s="59" t="s">
        <v>23</v>
      </c>
      <c r="B1813" s="60" t="str">
        <f t="shared" ref="B1813:B1814" si="1293">IF(K1813=0,"hide","")</f>
        <v>hide</v>
      </c>
      <c r="D1813" s="61" t="str">
        <f>"20701"</f>
        <v>20701</v>
      </c>
      <c r="E1813" s="62" t="str">
        <f>"4"</f>
        <v>4</v>
      </c>
      <c r="F1813" s="63">
        <v>258.16666666666669</v>
      </c>
      <c r="G1813" s="63">
        <v>123.33333333333333</v>
      </c>
      <c r="H1813" s="63">
        <v>107.25</v>
      </c>
      <c r="I1813" s="63">
        <v>0</v>
      </c>
      <c r="J1813" s="63">
        <v>0</v>
      </c>
      <c r="K1813" s="63">
        <f>AVERAGE(I1813:J1813)</f>
        <v>0</v>
      </c>
      <c r="L1813" s="64" t="str">
        <f>"BLUEBERRY (Fortified) MUFFINS"</f>
        <v>BLUEBERRY (Fortified) MUFFINS</v>
      </c>
      <c r="M1813" s="65" t="str">
        <f>"72-2 oz. I.W."</f>
        <v>72-2 oz. I.W.</v>
      </c>
      <c r="N1813" s="66">
        <v>72</v>
      </c>
      <c r="O1813" s="67" t="str">
        <f>""</f>
        <v/>
      </c>
      <c r="P1813" s="68" t="e">
        <f>1/O1813</f>
        <v>#VALUE!</v>
      </c>
      <c r="Q1813" s="53">
        <v>1</v>
      </c>
      <c r="R1813" s="69">
        <f t="shared" ref="R1813" si="1294">1/Q1813</f>
        <v>1</v>
      </c>
      <c r="S1813" s="70">
        <f t="shared" ref="S1813" si="1295">R1813*N1813</f>
        <v>72</v>
      </c>
    </row>
    <row r="1814" spans="1:19" ht="15.6" hidden="1" customHeight="1" thickBot="1" x14ac:dyDescent="0.3">
      <c r="A1814" t="s">
        <v>23</v>
      </c>
      <c r="B1814" s="60" t="str">
        <f t="shared" si="1293"/>
        <v>hide</v>
      </c>
      <c r="D1814" s="48" t="str">
        <f>D1813</f>
        <v>20701</v>
      </c>
      <c r="E1814" s="7"/>
      <c r="F1814" s="27">
        <v>0</v>
      </c>
      <c r="G1814" s="27">
        <v>0</v>
      </c>
      <c r="H1814" s="27">
        <v>0</v>
      </c>
      <c r="I1814" s="27">
        <v>0</v>
      </c>
      <c r="J1814" s="27">
        <v>0</v>
      </c>
      <c r="K1814" s="63">
        <f>AVERAGE(I1814:J1814)</f>
        <v>0</v>
      </c>
      <c r="L1814" s="56" t="str">
        <f>"EQP-LAWPACK1"</f>
        <v>EQP-LAWPACK1</v>
      </c>
      <c r="M1814" s="14"/>
      <c r="N1814" s="15"/>
      <c r="O1814" s="12"/>
      <c r="P1814" s="34"/>
      <c r="Q1814" s="37"/>
      <c r="R1814" s="47"/>
      <c r="S1814" s="46"/>
    </row>
    <row r="1815" spans="1:19" ht="15.6" hidden="1" customHeight="1" thickBot="1" x14ac:dyDescent="0.3">
      <c r="A1815" t="s">
        <v>23</v>
      </c>
      <c r="B1815" s="60" t="str">
        <f t="shared" ref="B1815:B1817" si="1296">IF(K1815=0,"hide","")</f>
        <v>hide</v>
      </c>
      <c r="D1815" s="48" t="str">
        <f>D1814</f>
        <v>20701</v>
      </c>
      <c r="E1815" s="7"/>
      <c r="F1815" s="27">
        <v>0</v>
      </c>
      <c r="G1815" s="27">
        <v>0</v>
      </c>
      <c r="H1815" s="27">
        <v>0</v>
      </c>
      <c r="I1815" s="27">
        <v>0</v>
      </c>
      <c r="J1815" s="27">
        <v>0</v>
      </c>
      <c r="K1815" s="63">
        <f>AVERAGE(I1815:J1815)</f>
        <v>0</v>
      </c>
      <c r="L1815" s="56" t="str">
        <f>"EQP-LAWPACK2"</f>
        <v>EQP-LAWPACK2</v>
      </c>
      <c r="M1815" s="14"/>
      <c r="N1815" s="15"/>
      <c r="O1815" s="12"/>
      <c r="P1815" s="34"/>
      <c r="Q1815" s="37"/>
      <c r="R1815" s="47"/>
      <c r="S1815" s="46"/>
    </row>
    <row r="1816" spans="1:19" ht="15.6" hidden="1" customHeight="1" thickBot="1" x14ac:dyDescent="0.3">
      <c r="A1816" t="s">
        <v>23</v>
      </c>
      <c r="B1816" s="60" t="str">
        <f t="shared" si="1296"/>
        <v>hide</v>
      </c>
      <c r="D1816" s="48" t="str">
        <f>D1815</f>
        <v>20701</v>
      </c>
      <c r="E1816" s="7"/>
      <c r="F1816" s="27">
        <v>0</v>
      </c>
      <c r="G1816" s="27">
        <v>0</v>
      </c>
      <c r="H1816" s="27">
        <v>0</v>
      </c>
      <c r="I1816" s="27">
        <v>0</v>
      </c>
      <c r="J1816" s="27">
        <v>0</v>
      </c>
      <c r="K1816" s="63">
        <f>AVERAGE(I1816:J1816)</f>
        <v>0</v>
      </c>
      <c r="L1816" s="56" t="str">
        <f>"SW-COMAS-PACKL"</f>
        <v>SW-COMAS-PACKL</v>
      </c>
      <c r="M1816" s="14"/>
      <c r="N1816" s="15"/>
      <c r="O1816" s="12"/>
      <c r="P1816" s="34"/>
      <c r="Q1816" s="37"/>
      <c r="R1816" s="47"/>
      <c r="S1816" s="46"/>
    </row>
    <row r="1817" spans="1:19" ht="15.6" hidden="1" customHeight="1" thickBot="1" x14ac:dyDescent="0.3">
      <c r="A1817" t="s">
        <v>23</v>
      </c>
      <c r="B1817" s="60" t="str">
        <f t="shared" si="1296"/>
        <v>hide</v>
      </c>
      <c r="D1817" s="48" t="str">
        <f>D1816</f>
        <v>20701</v>
      </c>
      <c r="E1817" s="7"/>
      <c r="F1817" s="27">
        <v>0</v>
      </c>
      <c r="G1817" s="27">
        <v>0</v>
      </c>
      <c r="H1817" s="27">
        <v>0</v>
      </c>
      <c r="I1817" s="27">
        <v>0</v>
      </c>
      <c r="J1817" s="27">
        <v>0</v>
      </c>
      <c r="K1817" s="63">
        <f>AVERAGE(I1817:J1817)</f>
        <v>0</v>
      </c>
      <c r="L1817" s="56" t="str">
        <f>"SW-RISER-PACK"</f>
        <v>SW-RISER-PACK</v>
      </c>
      <c r="M1817" s="14"/>
      <c r="N1817" s="15"/>
      <c r="O1817" s="12"/>
      <c r="P1817" s="34"/>
      <c r="Q1817" s="37"/>
      <c r="R1817" s="47"/>
      <c r="S1817" s="46"/>
    </row>
    <row r="1818" spans="1:19" ht="12" hidden="1" customHeight="1" x14ac:dyDescent="0.3">
      <c r="A1818" s="35" t="s">
        <v>908</v>
      </c>
      <c r="B1818" s="49" t="str">
        <f>B1814</f>
        <v>hide</v>
      </c>
      <c r="N1818"/>
      <c r="Q1818" s="33"/>
    </row>
    <row r="1819" spans="1:19" ht="13.8" hidden="1" thickBot="1" x14ac:dyDescent="0.3">
      <c r="A1819" t="s">
        <v>23</v>
      </c>
      <c r="B1819" s="49" t="str">
        <f t="shared" ref="B1819" si="1297">B1818</f>
        <v>hide</v>
      </c>
      <c r="D1819" s="58"/>
      <c r="E1819" s="58"/>
      <c r="F1819" s="52">
        <f>SUM(F1814:F1818)</f>
        <v>0</v>
      </c>
      <c r="G1819" s="52">
        <f>SUM(G1814:G1818)</f>
        <v>0</v>
      </c>
      <c r="H1819" s="52">
        <f>SUM(H1814:H1818)</f>
        <v>0</v>
      </c>
      <c r="I1819" s="52">
        <f>SUM(I1814:I1818)</f>
        <v>0</v>
      </c>
      <c r="J1819" s="52">
        <f>SUM(J1814:J1818)</f>
        <v>0</v>
      </c>
      <c r="K1819" s="52"/>
      <c r="L1819" s="51" t="s">
        <v>4</v>
      </c>
      <c r="M1819" s="58"/>
      <c r="N1819" s="58"/>
      <c r="O1819" s="58"/>
      <c r="P1819" s="58"/>
      <c r="Q1819" s="58"/>
      <c r="R1819" s="58"/>
      <c r="S1819" s="58"/>
    </row>
    <row r="1820" spans="1:19" s="59" customFormat="1" ht="18.75" hidden="1" customHeight="1" thickBot="1" x14ac:dyDescent="0.3">
      <c r="A1820" s="59" t="s">
        <v>23</v>
      </c>
      <c r="B1820" s="60" t="str">
        <f t="shared" ref="B1820:B1821" si="1298">IF(K1820=0,"hide","")</f>
        <v>hide</v>
      </c>
      <c r="D1820" s="61" t="str">
        <f>"20751"</f>
        <v>20751</v>
      </c>
      <c r="E1820" s="62" t="str">
        <f>"3"</f>
        <v>3</v>
      </c>
      <c r="F1820" s="63">
        <v>6.083333333333333</v>
      </c>
      <c r="G1820" s="63">
        <v>0</v>
      </c>
      <c r="H1820" s="63">
        <v>0</v>
      </c>
      <c r="I1820" s="63">
        <v>0</v>
      </c>
      <c r="J1820" s="63">
        <v>0</v>
      </c>
      <c r="K1820" s="63">
        <f>AVERAGE(I1820:J1820)</f>
        <v>0</v>
      </c>
      <c r="L1820" s="64" t="str">
        <f>"BANANA (Fortified) MUFFINS"</f>
        <v>BANANA (Fortified) MUFFINS</v>
      </c>
      <c r="M1820" s="65" t="str">
        <f>"72-2 oz. I.W."</f>
        <v>72-2 oz. I.W.</v>
      </c>
      <c r="N1820" s="66">
        <v>72</v>
      </c>
      <c r="O1820" s="67" t="str">
        <f>""</f>
        <v/>
      </c>
      <c r="P1820" s="68" t="e">
        <f>1/O1820</f>
        <v>#VALUE!</v>
      </c>
      <c r="Q1820" s="53">
        <v>1</v>
      </c>
      <c r="R1820" s="69">
        <f t="shared" ref="R1820" si="1299">1/Q1820</f>
        <v>1</v>
      </c>
      <c r="S1820" s="70">
        <f t="shared" ref="S1820" si="1300">R1820*N1820</f>
        <v>72</v>
      </c>
    </row>
    <row r="1821" spans="1:19" ht="15.6" hidden="1" customHeight="1" thickBot="1" x14ac:dyDescent="0.3">
      <c r="A1821" t="s">
        <v>23</v>
      </c>
      <c r="B1821" s="60" t="str">
        <f t="shared" si="1298"/>
        <v>hide</v>
      </c>
      <c r="D1821" s="48" t="str">
        <f>D1820</f>
        <v>20751</v>
      </c>
      <c r="E1821" s="7"/>
      <c r="F1821" s="27">
        <v>0</v>
      </c>
      <c r="G1821" s="27">
        <v>0</v>
      </c>
      <c r="H1821" s="27">
        <v>0</v>
      </c>
      <c r="I1821" s="27">
        <v>0</v>
      </c>
      <c r="J1821" s="27">
        <v>0</v>
      </c>
      <c r="K1821" s="63">
        <f>AVERAGE(I1821:J1821)</f>
        <v>0</v>
      </c>
      <c r="L1821" s="56" t="str">
        <f>"EQP-LAWPACK1"</f>
        <v>EQP-LAWPACK1</v>
      </c>
      <c r="M1821" s="14"/>
      <c r="N1821" s="15"/>
      <c r="O1821" s="12"/>
      <c r="P1821" s="34"/>
      <c r="Q1821" s="37"/>
      <c r="R1821" s="47"/>
      <c r="S1821" s="46"/>
    </row>
    <row r="1822" spans="1:19" ht="15.6" hidden="1" customHeight="1" thickBot="1" x14ac:dyDescent="0.3">
      <c r="A1822" t="s">
        <v>23</v>
      </c>
      <c r="B1822" s="60" t="str">
        <f t="shared" ref="B1822:B1824" si="1301">IF(K1822=0,"hide","")</f>
        <v>hide</v>
      </c>
      <c r="D1822" s="48" t="str">
        <f>D1821</f>
        <v>20751</v>
      </c>
      <c r="E1822" s="7"/>
      <c r="F1822" s="27">
        <v>0</v>
      </c>
      <c r="G1822" s="27">
        <v>0</v>
      </c>
      <c r="H1822" s="27">
        <v>0</v>
      </c>
      <c r="I1822" s="27">
        <v>0</v>
      </c>
      <c r="J1822" s="27">
        <v>0</v>
      </c>
      <c r="K1822" s="63">
        <f>AVERAGE(I1822:J1822)</f>
        <v>0</v>
      </c>
      <c r="L1822" s="56" t="str">
        <f>"EQP-LAWPACK2"</f>
        <v>EQP-LAWPACK2</v>
      </c>
      <c r="M1822" s="14"/>
      <c r="N1822" s="15"/>
      <c r="O1822" s="12"/>
      <c r="P1822" s="34"/>
      <c r="Q1822" s="37"/>
      <c r="R1822" s="47"/>
      <c r="S1822" s="46"/>
    </row>
    <row r="1823" spans="1:19" ht="15.6" hidden="1" customHeight="1" thickBot="1" x14ac:dyDescent="0.3">
      <c r="A1823" t="s">
        <v>23</v>
      </c>
      <c r="B1823" s="60" t="str">
        <f t="shared" si="1301"/>
        <v>hide</v>
      </c>
      <c r="D1823" s="48" t="str">
        <f>D1822</f>
        <v>20751</v>
      </c>
      <c r="E1823" s="7"/>
      <c r="F1823" s="27">
        <v>0</v>
      </c>
      <c r="G1823" s="27">
        <v>0</v>
      </c>
      <c r="H1823" s="27">
        <v>0</v>
      </c>
      <c r="I1823" s="27">
        <v>0</v>
      </c>
      <c r="J1823" s="27">
        <v>0</v>
      </c>
      <c r="K1823" s="63">
        <f>AVERAGE(I1823:J1823)</f>
        <v>0</v>
      </c>
      <c r="L1823" s="56" t="str">
        <f>"SW-COMAS-PACKL"</f>
        <v>SW-COMAS-PACKL</v>
      </c>
      <c r="M1823" s="14"/>
      <c r="N1823" s="15"/>
      <c r="O1823" s="12"/>
      <c r="P1823" s="34"/>
      <c r="Q1823" s="37"/>
      <c r="R1823" s="47"/>
      <c r="S1823" s="46"/>
    </row>
    <row r="1824" spans="1:19" ht="15.6" hidden="1" customHeight="1" thickBot="1" x14ac:dyDescent="0.3">
      <c r="A1824" t="s">
        <v>23</v>
      </c>
      <c r="B1824" s="60" t="str">
        <f t="shared" si="1301"/>
        <v>hide</v>
      </c>
      <c r="D1824" s="48" t="str">
        <f>D1823</f>
        <v>20751</v>
      </c>
      <c r="E1824" s="7"/>
      <c r="F1824" s="27">
        <v>0</v>
      </c>
      <c r="G1824" s="27">
        <v>0</v>
      </c>
      <c r="H1824" s="27">
        <v>0</v>
      </c>
      <c r="I1824" s="27">
        <v>0</v>
      </c>
      <c r="J1824" s="27">
        <v>0</v>
      </c>
      <c r="K1824" s="63">
        <f>AVERAGE(I1824:J1824)</f>
        <v>0</v>
      </c>
      <c r="L1824" s="56" t="str">
        <f>"SW-RISER-PACK"</f>
        <v>SW-RISER-PACK</v>
      </c>
      <c r="M1824" s="14"/>
      <c r="N1824" s="15"/>
      <c r="O1824" s="12"/>
      <c r="P1824" s="34"/>
      <c r="Q1824" s="37"/>
      <c r="R1824" s="47"/>
      <c r="S1824" s="46"/>
    </row>
    <row r="1825" spans="1:19" ht="12" hidden="1" customHeight="1" x14ac:dyDescent="0.3">
      <c r="A1825" s="35" t="s">
        <v>908</v>
      </c>
      <c r="B1825" s="49" t="str">
        <f>B1821</f>
        <v>hide</v>
      </c>
      <c r="N1825"/>
      <c r="Q1825" s="33"/>
    </row>
    <row r="1826" spans="1:19" ht="13.8" hidden="1" thickBot="1" x14ac:dyDescent="0.3">
      <c r="A1826" t="s">
        <v>23</v>
      </c>
      <c r="B1826" s="49" t="str">
        <f t="shared" ref="B1826" si="1302">B1825</f>
        <v>hide</v>
      </c>
      <c r="D1826" s="58"/>
      <c r="E1826" s="58"/>
      <c r="F1826" s="52">
        <f>SUM(F1821:F1825)</f>
        <v>0</v>
      </c>
      <c r="G1826" s="52">
        <f>SUM(G1821:G1825)</f>
        <v>0</v>
      </c>
      <c r="H1826" s="52">
        <f>SUM(H1821:H1825)</f>
        <v>0</v>
      </c>
      <c r="I1826" s="52">
        <f>SUM(I1821:I1825)</f>
        <v>0</v>
      </c>
      <c r="J1826" s="52">
        <f>SUM(J1821:J1825)</f>
        <v>0</v>
      </c>
      <c r="K1826" s="52"/>
      <c r="L1826" s="51" t="s">
        <v>4</v>
      </c>
      <c r="M1826" s="58"/>
      <c r="N1826" s="58"/>
      <c r="O1826" s="58"/>
      <c r="P1826" s="58"/>
      <c r="Q1826" s="58"/>
      <c r="R1826" s="58"/>
      <c r="S1826" s="58"/>
    </row>
    <row r="1827" spans="1:19" s="59" customFormat="1" ht="18.75" customHeight="1" thickBot="1" x14ac:dyDescent="0.3">
      <c r="A1827" s="59" t="s">
        <v>23</v>
      </c>
      <c r="B1827" s="60" t="str">
        <f t="shared" ref="B1827:B1828" si="1303">IF(K1827=0,"hide","")</f>
        <v/>
      </c>
      <c r="D1827" s="61" t="str">
        <f>"21005"</f>
        <v>21005</v>
      </c>
      <c r="E1827" s="62" t="str">
        <f>"2"</f>
        <v>2</v>
      </c>
      <c r="F1827" s="63">
        <v>543.66666666666663</v>
      </c>
      <c r="G1827" s="63">
        <v>345.83333333333331</v>
      </c>
      <c r="H1827" s="63">
        <v>0</v>
      </c>
      <c r="I1827" s="63">
        <v>273.5</v>
      </c>
      <c r="J1827" s="63">
        <v>0</v>
      </c>
      <c r="K1827" s="63">
        <f>AVERAGE(I1827:J1827)</f>
        <v>136.75</v>
      </c>
      <c r="L1827" s="64" t="str">
        <f>"CORNBREAD BOWLS"</f>
        <v>CORNBREAD BOWLS</v>
      </c>
      <c r="M1827" s="65" t="str">
        <f>"24-2.5oz. 12 packs of 2"</f>
        <v>24-2.5oz. 12 packs of 2</v>
      </c>
      <c r="N1827" s="66">
        <v>24</v>
      </c>
      <c r="O1827" s="67" t="str">
        <f>""</f>
        <v/>
      </c>
      <c r="P1827" s="68" t="e">
        <f>1/O1827</f>
        <v>#VALUE!</v>
      </c>
      <c r="Q1827" s="53">
        <v>1</v>
      </c>
      <c r="R1827" s="69">
        <f t="shared" ref="R1827" si="1304">1/Q1827</f>
        <v>1</v>
      </c>
      <c r="S1827" s="70">
        <f t="shared" ref="S1827" si="1305">R1827*N1827</f>
        <v>24</v>
      </c>
    </row>
    <row r="1828" spans="1:19" ht="15.6" hidden="1" customHeight="1" thickBot="1" x14ac:dyDescent="0.3">
      <c r="A1828" t="s">
        <v>23</v>
      </c>
      <c r="B1828" s="60" t="str">
        <f t="shared" si="1303"/>
        <v>hide</v>
      </c>
      <c r="D1828" s="48" t="str">
        <f>D1827</f>
        <v>21005</v>
      </c>
      <c r="E1828" s="7"/>
      <c r="F1828" s="27">
        <v>0</v>
      </c>
      <c r="G1828" s="27">
        <v>0</v>
      </c>
      <c r="H1828" s="27">
        <v>0</v>
      </c>
      <c r="I1828" s="27">
        <v>0</v>
      </c>
      <c r="J1828" s="27">
        <v>0</v>
      </c>
      <c r="K1828" s="63">
        <f>AVERAGE(I1828:J1828)</f>
        <v>0</v>
      </c>
      <c r="L1828" s="56" t="str">
        <f>"EQP-LAWPACK1"</f>
        <v>EQP-LAWPACK1</v>
      </c>
      <c r="M1828" s="14"/>
      <c r="N1828" s="15"/>
      <c r="O1828" s="12"/>
      <c r="P1828" s="34"/>
      <c r="Q1828" s="37"/>
      <c r="R1828" s="47"/>
      <c r="S1828" s="46"/>
    </row>
    <row r="1829" spans="1:19" ht="15.6" hidden="1" customHeight="1" thickBot="1" x14ac:dyDescent="0.3">
      <c r="A1829" t="s">
        <v>23</v>
      </c>
      <c r="B1829" s="60" t="str">
        <f t="shared" ref="B1829:B1831" si="1306">IF(K1829=0,"hide","")</f>
        <v>hide</v>
      </c>
      <c r="D1829" s="48" t="str">
        <f>D1828</f>
        <v>21005</v>
      </c>
      <c r="E1829" s="7"/>
      <c r="F1829" s="27">
        <v>0</v>
      </c>
      <c r="G1829" s="27">
        <v>0</v>
      </c>
      <c r="H1829" s="27">
        <v>0</v>
      </c>
      <c r="I1829" s="27">
        <v>0</v>
      </c>
      <c r="J1829" s="27">
        <v>0</v>
      </c>
      <c r="K1829" s="63">
        <f>AVERAGE(I1829:J1829)</f>
        <v>0</v>
      </c>
      <c r="L1829" s="56" t="str">
        <f>"EQP-LAWPACK2"</f>
        <v>EQP-LAWPACK2</v>
      </c>
      <c r="M1829" s="14"/>
      <c r="N1829" s="15"/>
      <c r="O1829" s="12"/>
      <c r="P1829" s="34"/>
      <c r="Q1829" s="37"/>
      <c r="R1829" s="47"/>
      <c r="S1829" s="46"/>
    </row>
    <row r="1830" spans="1:19" ht="15.6" hidden="1" customHeight="1" thickBot="1" x14ac:dyDescent="0.3">
      <c r="A1830" t="s">
        <v>23</v>
      </c>
      <c r="B1830" s="60" t="str">
        <f t="shared" si="1306"/>
        <v>hide</v>
      </c>
      <c r="D1830" s="48" t="str">
        <f>D1829</f>
        <v>21005</v>
      </c>
      <c r="E1830" s="7"/>
      <c r="F1830" s="27">
        <v>0</v>
      </c>
      <c r="G1830" s="27">
        <v>0</v>
      </c>
      <c r="H1830" s="27">
        <v>0</v>
      </c>
      <c r="I1830" s="27">
        <v>0</v>
      </c>
      <c r="J1830" s="27">
        <v>0</v>
      </c>
      <c r="K1830" s="63">
        <f>AVERAGE(I1830:J1830)</f>
        <v>0</v>
      </c>
      <c r="L1830" s="56" t="str">
        <f>"SW-COMAS-PACKL"</f>
        <v>SW-COMAS-PACKL</v>
      </c>
      <c r="M1830" s="14"/>
      <c r="N1830" s="15"/>
      <c r="O1830" s="12"/>
      <c r="P1830" s="34"/>
      <c r="Q1830" s="37"/>
      <c r="R1830" s="47"/>
      <c r="S1830" s="46"/>
    </row>
    <row r="1831" spans="1:19" ht="15.6" hidden="1" customHeight="1" thickBot="1" x14ac:dyDescent="0.3">
      <c r="A1831" t="s">
        <v>23</v>
      </c>
      <c r="B1831" s="60" t="str">
        <f t="shared" si="1306"/>
        <v>hide</v>
      </c>
      <c r="D1831" s="48" t="str">
        <f>D1830</f>
        <v>21005</v>
      </c>
      <c r="E1831" s="7"/>
      <c r="F1831" s="27">
        <v>0</v>
      </c>
      <c r="G1831" s="27">
        <v>0</v>
      </c>
      <c r="H1831" s="27">
        <v>0</v>
      </c>
      <c r="I1831" s="27">
        <v>0</v>
      </c>
      <c r="J1831" s="27">
        <v>0</v>
      </c>
      <c r="K1831" s="63">
        <f>AVERAGE(I1831:J1831)</f>
        <v>0</v>
      </c>
      <c r="L1831" s="56" t="str">
        <f>"SW-RISER-PACK"</f>
        <v>SW-RISER-PACK</v>
      </c>
      <c r="M1831" s="14"/>
      <c r="N1831" s="15"/>
      <c r="O1831" s="12"/>
      <c r="P1831" s="34"/>
      <c r="Q1831" s="37"/>
      <c r="R1831" s="47"/>
      <c r="S1831" s="46"/>
    </row>
    <row r="1832" spans="1:19" ht="12" hidden="1" customHeight="1" x14ac:dyDescent="0.3">
      <c r="A1832" s="35" t="s">
        <v>908</v>
      </c>
      <c r="B1832" s="49" t="str">
        <f>B1828</f>
        <v>hide</v>
      </c>
      <c r="N1832"/>
      <c r="Q1832" s="33"/>
    </row>
    <row r="1833" spans="1:19" ht="13.8" hidden="1" thickBot="1" x14ac:dyDescent="0.3">
      <c r="A1833" t="s">
        <v>23</v>
      </c>
      <c r="B1833" s="49" t="str">
        <f t="shared" ref="B1833" si="1307">B1832</f>
        <v>hide</v>
      </c>
      <c r="D1833" s="58"/>
      <c r="E1833" s="58"/>
      <c r="F1833" s="52">
        <f>SUM(F1828:F1832)</f>
        <v>0</v>
      </c>
      <c r="G1833" s="52">
        <f>SUM(G1828:G1832)</f>
        <v>0</v>
      </c>
      <c r="H1833" s="52">
        <f>SUM(H1828:H1832)</f>
        <v>0</v>
      </c>
      <c r="I1833" s="52">
        <f>SUM(I1828:I1832)</f>
        <v>0</v>
      </c>
      <c r="J1833" s="52">
        <f>SUM(J1828:J1832)</f>
        <v>0</v>
      </c>
      <c r="K1833" s="52"/>
      <c r="L1833" s="51" t="s">
        <v>4</v>
      </c>
      <c r="M1833" s="58"/>
      <c r="N1833" s="58"/>
      <c r="O1833" s="58"/>
      <c r="P1833" s="58"/>
      <c r="Q1833" s="58"/>
      <c r="R1833" s="58"/>
      <c r="S1833" s="58"/>
    </row>
    <row r="1834" spans="1:19" s="59" customFormat="1" ht="18.75" hidden="1" customHeight="1" thickBot="1" x14ac:dyDescent="0.3">
      <c r="A1834" s="59" t="s">
        <v>23</v>
      </c>
      <c r="B1834" s="60" t="str">
        <f t="shared" ref="B1834:B1835" si="1308">IF(K1834=0,"hide","")</f>
        <v>hide</v>
      </c>
      <c r="D1834" s="61" t="str">
        <f>"21106"</f>
        <v>21106</v>
      </c>
      <c r="E1834" s="62" t="str">
        <f>"1"</f>
        <v>1</v>
      </c>
      <c r="F1834" s="63">
        <v>0</v>
      </c>
      <c r="G1834" s="63">
        <v>0</v>
      </c>
      <c r="H1834" s="63">
        <v>0</v>
      </c>
      <c r="I1834" s="63">
        <v>0</v>
      </c>
      <c r="J1834" s="63">
        <v>0</v>
      </c>
      <c r="K1834" s="63">
        <f>AVERAGE(I1834:J1834)</f>
        <v>0</v>
      </c>
      <c r="L1834" s="64" t="str">
        <f>""</f>
        <v/>
      </c>
      <c r="M1834" s="65" t="str">
        <f>""</f>
        <v/>
      </c>
      <c r="N1834" s="66" t="str">
        <f>""</f>
        <v/>
      </c>
      <c r="O1834" s="67" t="str">
        <f>""</f>
        <v/>
      </c>
      <c r="P1834" s="68" t="e">
        <f>1/O1834</f>
        <v>#VALUE!</v>
      </c>
      <c r="Q1834" s="53">
        <v>1</v>
      </c>
      <c r="R1834" s="69">
        <f t="shared" ref="R1834" si="1309">1/Q1834</f>
        <v>1</v>
      </c>
      <c r="S1834" s="70" t="e">
        <f t="shared" ref="S1834" si="1310">R1834*N1834</f>
        <v>#VALUE!</v>
      </c>
    </row>
    <row r="1835" spans="1:19" ht="15.6" hidden="1" customHeight="1" thickBot="1" x14ac:dyDescent="0.3">
      <c r="A1835" t="s">
        <v>23</v>
      </c>
      <c r="B1835" s="60" t="str">
        <f t="shared" si="1308"/>
        <v>hide</v>
      </c>
      <c r="D1835" s="48" t="str">
        <f>D1834</f>
        <v>21106</v>
      </c>
      <c r="E1835" s="7"/>
      <c r="F1835" s="27">
        <v>0</v>
      </c>
      <c r="G1835" s="27">
        <v>0</v>
      </c>
      <c r="H1835" s="27">
        <v>0</v>
      </c>
      <c r="I1835" s="27">
        <v>0</v>
      </c>
      <c r="J1835" s="27">
        <v>0</v>
      </c>
      <c r="K1835" s="63">
        <f>AVERAGE(I1835:J1835)</f>
        <v>0</v>
      </c>
      <c r="L1835" s="56" t="str">
        <f>"EQP-LAWPACK1"</f>
        <v>EQP-LAWPACK1</v>
      </c>
      <c r="M1835" s="14"/>
      <c r="N1835" s="15"/>
      <c r="O1835" s="12"/>
      <c r="P1835" s="34"/>
      <c r="Q1835" s="37"/>
      <c r="R1835" s="47"/>
      <c r="S1835" s="46"/>
    </row>
    <row r="1836" spans="1:19" ht="15.6" hidden="1" customHeight="1" thickBot="1" x14ac:dyDescent="0.3">
      <c r="A1836" t="s">
        <v>23</v>
      </c>
      <c r="B1836" s="60" t="str">
        <f t="shared" ref="B1836:B1838" si="1311">IF(K1836=0,"hide","")</f>
        <v>hide</v>
      </c>
      <c r="D1836" s="48" t="str">
        <f>D1835</f>
        <v>21106</v>
      </c>
      <c r="E1836" s="7"/>
      <c r="F1836" s="27">
        <v>0</v>
      </c>
      <c r="G1836" s="27">
        <v>0</v>
      </c>
      <c r="H1836" s="27">
        <v>0</v>
      </c>
      <c r="I1836" s="27">
        <v>0</v>
      </c>
      <c r="J1836" s="27">
        <v>0</v>
      </c>
      <c r="K1836" s="63">
        <f>AVERAGE(I1836:J1836)</f>
        <v>0</v>
      </c>
      <c r="L1836" s="56" t="str">
        <f>"EQP-LAWPACK2"</f>
        <v>EQP-LAWPACK2</v>
      </c>
      <c r="M1836" s="14"/>
      <c r="N1836" s="15"/>
      <c r="O1836" s="12"/>
      <c r="P1836" s="34"/>
      <c r="Q1836" s="37"/>
      <c r="R1836" s="47"/>
      <c r="S1836" s="46"/>
    </row>
    <row r="1837" spans="1:19" ht="15.6" hidden="1" customHeight="1" thickBot="1" x14ac:dyDescent="0.3">
      <c r="A1837" t="s">
        <v>23</v>
      </c>
      <c r="B1837" s="60" t="str">
        <f t="shared" si="1311"/>
        <v>hide</v>
      </c>
      <c r="D1837" s="48" t="str">
        <f>D1836</f>
        <v>21106</v>
      </c>
      <c r="E1837" s="7"/>
      <c r="F1837" s="27">
        <v>0</v>
      </c>
      <c r="G1837" s="27">
        <v>0</v>
      </c>
      <c r="H1837" s="27">
        <v>0</v>
      </c>
      <c r="I1837" s="27">
        <v>0</v>
      </c>
      <c r="J1837" s="27">
        <v>0</v>
      </c>
      <c r="K1837" s="63">
        <f>AVERAGE(I1837:J1837)</f>
        <v>0</v>
      </c>
      <c r="L1837" s="56" t="str">
        <f>"SW-COMAS-PACKL"</f>
        <v>SW-COMAS-PACKL</v>
      </c>
      <c r="M1837" s="14"/>
      <c r="N1837" s="15"/>
      <c r="O1837" s="12"/>
      <c r="P1837" s="34"/>
      <c r="Q1837" s="37"/>
      <c r="R1837" s="47"/>
      <c r="S1837" s="46"/>
    </row>
    <row r="1838" spans="1:19" ht="15.6" hidden="1" customHeight="1" thickBot="1" x14ac:dyDescent="0.3">
      <c r="A1838" t="s">
        <v>23</v>
      </c>
      <c r="B1838" s="60" t="str">
        <f t="shared" si="1311"/>
        <v>hide</v>
      </c>
      <c r="D1838" s="48" t="str">
        <f>D1837</f>
        <v>21106</v>
      </c>
      <c r="E1838" s="7"/>
      <c r="F1838" s="27">
        <v>0</v>
      </c>
      <c r="G1838" s="27">
        <v>0</v>
      </c>
      <c r="H1838" s="27">
        <v>0</v>
      </c>
      <c r="I1838" s="27">
        <v>0</v>
      </c>
      <c r="J1838" s="27">
        <v>0</v>
      </c>
      <c r="K1838" s="63">
        <f>AVERAGE(I1838:J1838)</f>
        <v>0</v>
      </c>
      <c r="L1838" s="56" t="str">
        <f>"SW-RISER-PACK"</f>
        <v>SW-RISER-PACK</v>
      </c>
      <c r="M1838" s="14"/>
      <c r="N1838" s="15"/>
      <c r="O1838" s="12"/>
      <c r="P1838" s="34"/>
      <c r="Q1838" s="37"/>
      <c r="R1838" s="47"/>
      <c r="S1838" s="46"/>
    </row>
    <row r="1839" spans="1:19" ht="12" hidden="1" customHeight="1" x14ac:dyDescent="0.3">
      <c r="A1839" s="35" t="s">
        <v>908</v>
      </c>
      <c r="B1839" s="49" t="str">
        <f>B1835</f>
        <v>hide</v>
      </c>
      <c r="N1839"/>
      <c r="Q1839" s="33"/>
    </row>
    <row r="1840" spans="1:19" ht="13.8" hidden="1" thickBot="1" x14ac:dyDescent="0.3">
      <c r="A1840" t="s">
        <v>23</v>
      </c>
      <c r="B1840" s="49" t="str">
        <f t="shared" ref="B1840" si="1312">B1839</f>
        <v>hide</v>
      </c>
      <c r="D1840" s="58"/>
      <c r="E1840" s="58"/>
      <c r="F1840" s="52">
        <f>SUM(F1835:F1839)</f>
        <v>0</v>
      </c>
      <c r="G1840" s="52">
        <f>SUM(G1835:G1839)</f>
        <v>0</v>
      </c>
      <c r="H1840" s="52">
        <f>SUM(H1835:H1839)</f>
        <v>0</v>
      </c>
      <c r="I1840" s="52">
        <f>SUM(I1835:I1839)</f>
        <v>0</v>
      </c>
      <c r="J1840" s="52">
        <f>SUM(J1835:J1839)</f>
        <v>0</v>
      </c>
      <c r="K1840" s="52"/>
      <c r="L1840" s="51" t="s">
        <v>4</v>
      </c>
      <c r="M1840" s="58"/>
      <c r="N1840" s="58"/>
      <c r="O1840" s="58"/>
      <c r="P1840" s="58"/>
      <c r="Q1840" s="58"/>
      <c r="R1840" s="58"/>
      <c r="S1840" s="58"/>
    </row>
    <row r="1841" spans="1:19" s="59" customFormat="1" ht="18.75" hidden="1" customHeight="1" thickBot="1" x14ac:dyDescent="0.3">
      <c r="A1841" s="59" t="s">
        <v>23</v>
      </c>
      <c r="B1841" s="60" t="str">
        <f t="shared" ref="B1841:B1842" si="1313">IF(K1841=0,"hide","")</f>
        <v>hide</v>
      </c>
      <c r="D1841" s="61" t="str">
        <f>"21405"</f>
        <v>21405</v>
      </c>
      <c r="E1841" s="62" t="str">
        <f>"5"</f>
        <v>5</v>
      </c>
      <c r="F1841" s="63">
        <v>49.916666666666664</v>
      </c>
      <c r="G1841" s="63">
        <v>51.083333333333336</v>
      </c>
      <c r="H1841" s="63">
        <v>1.8333333333333333</v>
      </c>
      <c r="I1841" s="63">
        <v>0</v>
      </c>
      <c r="J1841" s="63">
        <v>0</v>
      </c>
      <c r="K1841" s="63">
        <f>AVERAGE(I1841:J1841)</f>
        <v>0</v>
      </c>
      <c r="L1841" s="64" t="str">
        <f>"CORNBREAD BOWLS"</f>
        <v>CORNBREAD BOWLS</v>
      </c>
      <c r="M1841" s="65" t="str">
        <f>"24-2.5oz. 12 packs of 2"</f>
        <v>24-2.5oz. 12 packs of 2</v>
      </c>
      <c r="N1841" s="66">
        <v>24</v>
      </c>
      <c r="O1841" s="67" t="str">
        <f>""</f>
        <v/>
      </c>
      <c r="P1841" s="68" t="e">
        <f>1/O1841</f>
        <v>#VALUE!</v>
      </c>
      <c r="Q1841" s="53">
        <v>1</v>
      </c>
      <c r="R1841" s="69">
        <f t="shared" ref="R1841" si="1314">1/Q1841</f>
        <v>1</v>
      </c>
      <c r="S1841" s="70">
        <f t="shared" ref="S1841" si="1315">R1841*N1841</f>
        <v>24</v>
      </c>
    </row>
    <row r="1842" spans="1:19" ht="15.6" hidden="1" customHeight="1" thickBot="1" x14ac:dyDescent="0.3">
      <c r="A1842" t="s">
        <v>23</v>
      </c>
      <c r="B1842" s="60" t="str">
        <f t="shared" si="1313"/>
        <v>hide</v>
      </c>
      <c r="D1842" s="48" t="str">
        <f>D1841</f>
        <v>21405</v>
      </c>
      <c r="E1842" s="7"/>
      <c r="F1842" s="27">
        <v>0</v>
      </c>
      <c r="G1842" s="27">
        <v>0</v>
      </c>
      <c r="H1842" s="27">
        <v>0</v>
      </c>
      <c r="I1842" s="27">
        <v>0</v>
      </c>
      <c r="J1842" s="27">
        <v>0</v>
      </c>
      <c r="K1842" s="63">
        <f>AVERAGE(I1842:J1842)</f>
        <v>0</v>
      </c>
      <c r="L1842" s="56" t="str">
        <f>"EQP-LAWPACK1"</f>
        <v>EQP-LAWPACK1</v>
      </c>
      <c r="M1842" s="14"/>
      <c r="N1842" s="15"/>
      <c r="O1842" s="12"/>
      <c r="P1842" s="34"/>
      <c r="Q1842" s="37"/>
      <c r="R1842" s="47"/>
      <c r="S1842" s="46"/>
    </row>
    <row r="1843" spans="1:19" ht="15.6" hidden="1" customHeight="1" thickBot="1" x14ac:dyDescent="0.3">
      <c r="A1843" t="s">
        <v>23</v>
      </c>
      <c r="B1843" s="60" t="str">
        <f t="shared" ref="B1843:B1845" si="1316">IF(K1843=0,"hide","")</f>
        <v>hide</v>
      </c>
      <c r="D1843" s="48" t="str">
        <f>D1842</f>
        <v>21405</v>
      </c>
      <c r="E1843" s="7"/>
      <c r="F1843" s="27">
        <v>0</v>
      </c>
      <c r="G1843" s="27">
        <v>0</v>
      </c>
      <c r="H1843" s="27">
        <v>0</v>
      </c>
      <c r="I1843" s="27">
        <v>0</v>
      </c>
      <c r="J1843" s="27">
        <v>0</v>
      </c>
      <c r="K1843" s="63">
        <f>AVERAGE(I1843:J1843)</f>
        <v>0</v>
      </c>
      <c r="L1843" s="56" t="str">
        <f>"EQP-LAWPACK2"</f>
        <v>EQP-LAWPACK2</v>
      </c>
      <c r="M1843" s="14"/>
      <c r="N1843" s="15"/>
      <c r="O1843" s="12"/>
      <c r="P1843" s="34"/>
      <c r="Q1843" s="37"/>
      <c r="R1843" s="47"/>
      <c r="S1843" s="46"/>
    </row>
    <row r="1844" spans="1:19" ht="15.6" hidden="1" customHeight="1" thickBot="1" x14ac:dyDescent="0.3">
      <c r="A1844" t="s">
        <v>23</v>
      </c>
      <c r="B1844" s="60" t="str">
        <f t="shared" si="1316"/>
        <v>hide</v>
      </c>
      <c r="D1844" s="48" t="str">
        <f>D1843</f>
        <v>21405</v>
      </c>
      <c r="E1844" s="7"/>
      <c r="F1844" s="27">
        <v>0</v>
      </c>
      <c r="G1844" s="27">
        <v>0</v>
      </c>
      <c r="H1844" s="27">
        <v>0</v>
      </c>
      <c r="I1844" s="27">
        <v>0</v>
      </c>
      <c r="J1844" s="27">
        <v>0</v>
      </c>
      <c r="K1844" s="63">
        <f>AVERAGE(I1844:J1844)</f>
        <v>0</v>
      </c>
      <c r="L1844" s="56" t="str">
        <f>"SW-COMAS-PACKL"</f>
        <v>SW-COMAS-PACKL</v>
      </c>
      <c r="M1844" s="14"/>
      <c r="N1844" s="15"/>
      <c r="O1844" s="12"/>
      <c r="P1844" s="34"/>
      <c r="Q1844" s="37"/>
      <c r="R1844" s="47"/>
      <c r="S1844" s="46"/>
    </row>
    <row r="1845" spans="1:19" ht="15.6" hidden="1" customHeight="1" thickBot="1" x14ac:dyDescent="0.3">
      <c r="A1845" t="s">
        <v>23</v>
      </c>
      <c r="B1845" s="60" t="str">
        <f t="shared" si="1316"/>
        <v>hide</v>
      </c>
      <c r="D1845" s="48" t="str">
        <f>D1844</f>
        <v>21405</v>
      </c>
      <c r="E1845" s="7"/>
      <c r="F1845" s="27">
        <v>0</v>
      </c>
      <c r="G1845" s="27">
        <v>0</v>
      </c>
      <c r="H1845" s="27">
        <v>0</v>
      </c>
      <c r="I1845" s="27">
        <v>0</v>
      </c>
      <c r="J1845" s="27">
        <v>0</v>
      </c>
      <c r="K1845" s="63">
        <f>AVERAGE(I1845:J1845)</f>
        <v>0</v>
      </c>
      <c r="L1845" s="56" t="str">
        <f>"SW-RISER-PACK"</f>
        <v>SW-RISER-PACK</v>
      </c>
      <c r="M1845" s="14"/>
      <c r="N1845" s="15"/>
      <c r="O1845" s="12"/>
      <c r="P1845" s="34"/>
      <c r="Q1845" s="37"/>
      <c r="R1845" s="47"/>
      <c r="S1845" s="46"/>
    </row>
    <row r="1846" spans="1:19" ht="12" hidden="1" customHeight="1" x14ac:dyDescent="0.3">
      <c r="A1846" s="35" t="s">
        <v>908</v>
      </c>
      <c r="B1846" s="49" t="str">
        <f>B1842</f>
        <v>hide</v>
      </c>
      <c r="N1846"/>
      <c r="Q1846" s="33"/>
    </row>
    <row r="1847" spans="1:19" ht="13.8" hidden="1" thickBot="1" x14ac:dyDescent="0.3">
      <c r="A1847" t="s">
        <v>23</v>
      </c>
      <c r="B1847" s="49" t="str">
        <f t="shared" ref="B1847" si="1317">B1846</f>
        <v>hide</v>
      </c>
      <c r="D1847" s="58"/>
      <c r="E1847" s="58"/>
      <c r="F1847" s="52">
        <f>SUM(F1842:F1846)</f>
        <v>0</v>
      </c>
      <c r="G1847" s="52">
        <f>SUM(G1842:G1846)</f>
        <v>0</v>
      </c>
      <c r="H1847" s="52">
        <f>SUM(H1842:H1846)</f>
        <v>0</v>
      </c>
      <c r="I1847" s="52">
        <f>SUM(I1842:I1846)</f>
        <v>0</v>
      </c>
      <c r="J1847" s="52">
        <f>SUM(J1842:J1846)</f>
        <v>0</v>
      </c>
      <c r="K1847" s="52"/>
      <c r="L1847" s="51" t="s">
        <v>4</v>
      </c>
      <c r="M1847" s="58"/>
      <c r="N1847" s="58"/>
      <c r="O1847" s="58"/>
      <c r="P1847" s="58"/>
      <c r="Q1847" s="58"/>
      <c r="R1847" s="58"/>
      <c r="S1847" s="58"/>
    </row>
    <row r="1848" spans="1:19" s="59" customFormat="1" ht="18.75" hidden="1" customHeight="1" thickBot="1" x14ac:dyDescent="0.3">
      <c r="A1848" s="59" t="s">
        <v>23</v>
      </c>
      <c r="B1848" s="60" t="str">
        <f t="shared" ref="B1848:B1849" si="1318">IF(K1848=0,"hide","")</f>
        <v>hide</v>
      </c>
      <c r="D1848" s="61" t="str">
        <f>"21430"</f>
        <v>21430</v>
      </c>
      <c r="E1848" s="62" t="str">
        <f>"1"</f>
        <v>1</v>
      </c>
      <c r="F1848" s="63">
        <v>0</v>
      </c>
      <c r="G1848" s="63">
        <v>19.083333333333332</v>
      </c>
      <c r="H1848" s="63">
        <v>0</v>
      </c>
      <c r="I1848" s="63">
        <v>0</v>
      </c>
      <c r="J1848" s="63">
        <v>0</v>
      </c>
      <c r="K1848" s="63">
        <f>AVERAGE(I1848:J1848)</f>
        <v>0</v>
      </c>
      <c r="L1848" s="64" t="str">
        <f>"CHOCOLATE BOWL"</f>
        <v>CHOCOLATE BOWL</v>
      </c>
      <c r="M1848" s="65" t="str">
        <f>"24-3oz. 12 packs of 2"</f>
        <v>24-3oz. 12 packs of 2</v>
      </c>
      <c r="N1848" s="66">
        <v>24</v>
      </c>
      <c r="O1848" s="67" t="str">
        <f>""</f>
        <v/>
      </c>
      <c r="P1848" s="68" t="e">
        <f>1/O1848</f>
        <v>#VALUE!</v>
      </c>
      <c r="Q1848" s="53">
        <v>1</v>
      </c>
      <c r="R1848" s="69">
        <f t="shared" ref="R1848" si="1319">1/Q1848</f>
        <v>1</v>
      </c>
      <c r="S1848" s="70">
        <f t="shared" ref="S1848" si="1320">R1848*N1848</f>
        <v>24</v>
      </c>
    </row>
    <row r="1849" spans="1:19" ht="15.6" hidden="1" customHeight="1" thickBot="1" x14ac:dyDescent="0.3">
      <c r="A1849" t="s">
        <v>23</v>
      </c>
      <c r="B1849" s="60" t="str">
        <f t="shared" si="1318"/>
        <v>hide</v>
      </c>
      <c r="D1849" s="48" t="str">
        <f>D1848</f>
        <v>21430</v>
      </c>
      <c r="E1849" s="7"/>
      <c r="F1849" s="27">
        <v>0</v>
      </c>
      <c r="G1849" s="27">
        <v>0</v>
      </c>
      <c r="H1849" s="27">
        <v>0</v>
      </c>
      <c r="I1849" s="27">
        <v>0</v>
      </c>
      <c r="J1849" s="27">
        <v>0</v>
      </c>
      <c r="K1849" s="63">
        <f>AVERAGE(I1849:J1849)</f>
        <v>0</v>
      </c>
      <c r="L1849" s="56" t="str">
        <f>"EQP-LAWPACK1"</f>
        <v>EQP-LAWPACK1</v>
      </c>
      <c r="M1849" s="14"/>
      <c r="N1849" s="15"/>
      <c r="O1849" s="12"/>
      <c r="P1849" s="34"/>
      <c r="Q1849" s="37"/>
      <c r="R1849" s="47"/>
      <c r="S1849" s="46"/>
    </row>
    <row r="1850" spans="1:19" ht="15.6" hidden="1" customHeight="1" thickBot="1" x14ac:dyDescent="0.3">
      <c r="A1850" t="s">
        <v>23</v>
      </c>
      <c r="B1850" s="60" t="str">
        <f t="shared" ref="B1850:B1852" si="1321">IF(K1850=0,"hide","")</f>
        <v>hide</v>
      </c>
      <c r="D1850" s="48" t="str">
        <f>D1849</f>
        <v>21430</v>
      </c>
      <c r="E1850" s="7"/>
      <c r="F1850" s="27">
        <v>0</v>
      </c>
      <c r="G1850" s="27">
        <v>0</v>
      </c>
      <c r="H1850" s="27">
        <v>0</v>
      </c>
      <c r="I1850" s="27">
        <v>0</v>
      </c>
      <c r="J1850" s="27">
        <v>0</v>
      </c>
      <c r="K1850" s="63">
        <f>AVERAGE(I1850:J1850)</f>
        <v>0</v>
      </c>
      <c r="L1850" s="56" t="str">
        <f>"EQP-LAWPACK2"</f>
        <v>EQP-LAWPACK2</v>
      </c>
      <c r="M1850" s="14"/>
      <c r="N1850" s="15"/>
      <c r="O1850" s="12"/>
      <c r="P1850" s="34"/>
      <c r="Q1850" s="37"/>
      <c r="R1850" s="47"/>
      <c r="S1850" s="46"/>
    </row>
    <row r="1851" spans="1:19" ht="15.6" hidden="1" customHeight="1" thickBot="1" x14ac:dyDescent="0.3">
      <c r="A1851" t="s">
        <v>23</v>
      </c>
      <c r="B1851" s="60" t="str">
        <f t="shared" si="1321"/>
        <v>hide</v>
      </c>
      <c r="D1851" s="48" t="str">
        <f>D1850</f>
        <v>21430</v>
      </c>
      <c r="E1851" s="7"/>
      <c r="F1851" s="27">
        <v>0</v>
      </c>
      <c r="G1851" s="27">
        <v>0</v>
      </c>
      <c r="H1851" s="27">
        <v>0</v>
      </c>
      <c r="I1851" s="27">
        <v>0</v>
      </c>
      <c r="J1851" s="27">
        <v>0</v>
      </c>
      <c r="K1851" s="63">
        <f>AVERAGE(I1851:J1851)</f>
        <v>0</v>
      </c>
      <c r="L1851" s="56" t="str">
        <f>"SW-COMAS-PACKL"</f>
        <v>SW-COMAS-PACKL</v>
      </c>
      <c r="M1851" s="14"/>
      <c r="N1851" s="15"/>
      <c r="O1851" s="12"/>
      <c r="P1851" s="34"/>
      <c r="Q1851" s="37"/>
      <c r="R1851" s="47"/>
      <c r="S1851" s="46"/>
    </row>
    <row r="1852" spans="1:19" ht="15.6" hidden="1" customHeight="1" thickBot="1" x14ac:dyDescent="0.3">
      <c r="A1852" t="s">
        <v>23</v>
      </c>
      <c r="B1852" s="60" t="str">
        <f t="shared" si="1321"/>
        <v>hide</v>
      </c>
      <c r="D1852" s="48" t="str">
        <f>D1851</f>
        <v>21430</v>
      </c>
      <c r="E1852" s="7"/>
      <c r="F1852" s="27">
        <v>0</v>
      </c>
      <c r="G1852" s="27">
        <v>0</v>
      </c>
      <c r="H1852" s="27">
        <v>0</v>
      </c>
      <c r="I1852" s="27">
        <v>0</v>
      </c>
      <c r="J1852" s="27">
        <v>0</v>
      </c>
      <c r="K1852" s="63">
        <f>AVERAGE(I1852:J1852)</f>
        <v>0</v>
      </c>
      <c r="L1852" s="56" t="str">
        <f>"SW-RISER-PACK"</f>
        <v>SW-RISER-PACK</v>
      </c>
      <c r="M1852" s="14"/>
      <c r="N1852" s="15"/>
      <c r="O1852" s="12"/>
      <c r="P1852" s="34"/>
      <c r="Q1852" s="37"/>
      <c r="R1852" s="47"/>
      <c r="S1852" s="46"/>
    </row>
    <row r="1853" spans="1:19" ht="12" hidden="1" customHeight="1" x14ac:dyDescent="0.3">
      <c r="A1853" s="35" t="s">
        <v>908</v>
      </c>
      <c r="B1853" s="49" t="str">
        <f>B1849</f>
        <v>hide</v>
      </c>
      <c r="N1853"/>
      <c r="Q1853" s="33"/>
    </row>
    <row r="1854" spans="1:19" ht="13.8" hidden="1" thickBot="1" x14ac:dyDescent="0.3">
      <c r="A1854" t="s">
        <v>23</v>
      </c>
      <c r="B1854" s="49" t="str">
        <f t="shared" ref="B1854" si="1322">B1853</f>
        <v>hide</v>
      </c>
      <c r="D1854" s="58"/>
      <c r="E1854" s="58"/>
      <c r="F1854" s="52">
        <f>SUM(F1849:F1853)</f>
        <v>0</v>
      </c>
      <c r="G1854" s="52">
        <f>SUM(G1849:G1853)</f>
        <v>0</v>
      </c>
      <c r="H1854" s="52">
        <f>SUM(H1849:H1853)</f>
        <v>0</v>
      </c>
      <c r="I1854" s="52">
        <f>SUM(I1849:I1853)</f>
        <v>0</v>
      </c>
      <c r="J1854" s="52">
        <f>SUM(J1849:J1853)</f>
        <v>0</v>
      </c>
      <c r="K1854" s="52"/>
      <c r="L1854" s="51" t="s">
        <v>4</v>
      </c>
      <c r="M1854" s="58"/>
      <c r="N1854" s="58"/>
      <c r="O1854" s="58"/>
      <c r="P1854" s="58"/>
      <c r="Q1854" s="58"/>
      <c r="R1854" s="58"/>
      <c r="S1854" s="58"/>
    </row>
    <row r="1855" spans="1:19" s="59" customFormat="1" ht="18.75" hidden="1" customHeight="1" thickBot="1" x14ac:dyDescent="0.3">
      <c r="A1855" s="59" t="s">
        <v>23</v>
      </c>
      <c r="B1855" s="60" t="str">
        <f t="shared" ref="B1855:B1856" si="1323">IF(K1855=0,"hide","")</f>
        <v>hide</v>
      </c>
      <c r="D1855" s="61" t="str">
        <f>"21828"</f>
        <v>21828</v>
      </c>
      <c r="E1855" s="62" t="str">
        <f>"1"</f>
        <v>1</v>
      </c>
      <c r="F1855" s="63">
        <v>0</v>
      </c>
      <c r="G1855" s="63">
        <v>0</v>
      </c>
      <c r="H1855" s="63">
        <v>0</v>
      </c>
      <c r="I1855" s="63">
        <v>0</v>
      </c>
      <c r="J1855" s="63">
        <v>0</v>
      </c>
      <c r="K1855" s="63">
        <f>AVERAGE(I1855:J1855)</f>
        <v>0</v>
      </c>
      <c r="L1855" s="64" t="str">
        <f>"SoyBut GRAPE Jelly Sandwiches"</f>
        <v>SoyBut GRAPE Jelly Sandwiches</v>
      </c>
      <c r="M1855" s="65" t="str">
        <f>"24-2oz IW  6 cartons of 4"</f>
        <v>24-2oz IW  6 cartons of 4</v>
      </c>
      <c r="N1855" s="66">
        <v>24</v>
      </c>
      <c r="O1855" s="67" t="str">
        <f>""</f>
        <v/>
      </c>
      <c r="P1855" s="68" t="e">
        <f>1/O1855</f>
        <v>#VALUE!</v>
      </c>
      <c r="Q1855" s="53">
        <v>1</v>
      </c>
      <c r="R1855" s="69">
        <f t="shared" ref="R1855" si="1324">1/Q1855</f>
        <v>1</v>
      </c>
      <c r="S1855" s="70">
        <f t="shared" ref="S1855" si="1325">R1855*N1855</f>
        <v>24</v>
      </c>
    </row>
    <row r="1856" spans="1:19" ht="15.6" hidden="1" customHeight="1" thickBot="1" x14ac:dyDescent="0.3">
      <c r="A1856" t="s">
        <v>23</v>
      </c>
      <c r="B1856" s="60" t="str">
        <f t="shared" si="1323"/>
        <v>hide</v>
      </c>
      <c r="D1856" s="48" t="str">
        <f>D1855</f>
        <v>21828</v>
      </c>
      <c r="E1856" s="7"/>
      <c r="F1856" s="27">
        <v>0</v>
      </c>
      <c r="G1856" s="27">
        <v>0</v>
      </c>
      <c r="H1856" s="27">
        <v>0</v>
      </c>
      <c r="I1856" s="27">
        <v>0</v>
      </c>
      <c r="J1856" s="27">
        <v>0</v>
      </c>
      <c r="K1856" s="63">
        <f>AVERAGE(I1856:J1856)</f>
        <v>0</v>
      </c>
      <c r="L1856" s="56" t="str">
        <f>"EQP-LAWPACK1"</f>
        <v>EQP-LAWPACK1</v>
      </c>
      <c r="M1856" s="14"/>
      <c r="N1856" s="15"/>
      <c r="O1856" s="12"/>
      <c r="P1856" s="34"/>
      <c r="Q1856" s="37"/>
      <c r="R1856" s="47"/>
      <c r="S1856" s="46"/>
    </row>
    <row r="1857" spans="1:19" ht="15.6" hidden="1" customHeight="1" thickBot="1" x14ac:dyDescent="0.3">
      <c r="A1857" t="s">
        <v>23</v>
      </c>
      <c r="B1857" s="60" t="str">
        <f t="shared" ref="B1857:B1859" si="1326">IF(K1857=0,"hide","")</f>
        <v>hide</v>
      </c>
      <c r="D1857" s="48" t="str">
        <f>D1856</f>
        <v>21828</v>
      </c>
      <c r="E1857" s="7"/>
      <c r="F1857" s="27">
        <v>0</v>
      </c>
      <c r="G1857" s="27">
        <v>0</v>
      </c>
      <c r="H1857" s="27">
        <v>0</v>
      </c>
      <c r="I1857" s="27">
        <v>0</v>
      </c>
      <c r="J1857" s="27">
        <v>0</v>
      </c>
      <c r="K1857" s="63">
        <f>AVERAGE(I1857:J1857)</f>
        <v>0</v>
      </c>
      <c r="L1857" s="56" t="str">
        <f>"EQP-LAWPACK2"</f>
        <v>EQP-LAWPACK2</v>
      </c>
      <c r="M1857" s="14"/>
      <c r="N1857" s="15"/>
      <c r="O1857" s="12"/>
      <c r="P1857" s="34"/>
      <c r="Q1857" s="37"/>
      <c r="R1857" s="47"/>
      <c r="S1857" s="46"/>
    </row>
    <row r="1858" spans="1:19" ht="15.6" hidden="1" customHeight="1" thickBot="1" x14ac:dyDescent="0.3">
      <c r="A1858" t="s">
        <v>23</v>
      </c>
      <c r="B1858" s="60" t="str">
        <f t="shared" si="1326"/>
        <v>hide</v>
      </c>
      <c r="D1858" s="48" t="str">
        <f>D1857</f>
        <v>21828</v>
      </c>
      <c r="E1858" s="7"/>
      <c r="F1858" s="27">
        <v>0</v>
      </c>
      <c r="G1858" s="27">
        <v>0</v>
      </c>
      <c r="H1858" s="27">
        <v>0</v>
      </c>
      <c r="I1858" s="27">
        <v>0</v>
      </c>
      <c r="J1858" s="27">
        <v>0</v>
      </c>
      <c r="K1858" s="63">
        <f>AVERAGE(I1858:J1858)</f>
        <v>0</v>
      </c>
      <c r="L1858" s="56" t="str">
        <f>"SW-COMAS-PACKL"</f>
        <v>SW-COMAS-PACKL</v>
      </c>
      <c r="M1858" s="14"/>
      <c r="N1858" s="15"/>
      <c r="O1858" s="12"/>
      <c r="P1858" s="34"/>
      <c r="Q1858" s="37"/>
      <c r="R1858" s="47"/>
      <c r="S1858" s="46"/>
    </row>
    <row r="1859" spans="1:19" ht="15.6" hidden="1" customHeight="1" thickBot="1" x14ac:dyDescent="0.3">
      <c r="A1859" t="s">
        <v>23</v>
      </c>
      <c r="B1859" s="60" t="str">
        <f t="shared" si="1326"/>
        <v>hide</v>
      </c>
      <c r="D1859" s="48" t="str">
        <f>D1858</f>
        <v>21828</v>
      </c>
      <c r="E1859" s="7"/>
      <c r="F1859" s="27">
        <v>0</v>
      </c>
      <c r="G1859" s="27">
        <v>0</v>
      </c>
      <c r="H1859" s="27">
        <v>0</v>
      </c>
      <c r="I1859" s="27">
        <v>0</v>
      </c>
      <c r="J1859" s="27">
        <v>0</v>
      </c>
      <c r="K1859" s="63">
        <f>AVERAGE(I1859:J1859)</f>
        <v>0</v>
      </c>
      <c r="L1859" s="56" t="str">
        <f>"SW-RISER-PACK"</f>
        <v>SW-RISER-PACK</v>
      </c>
      <c r="M1859" s="14"/>
      <c r="N1859" s="15"/>
      <c r="O1859" s="12"/>
      <c r="P1859" s="34"/>
      <c r="Q1859" s="37"/>
      <c r="R1859" s="47"/>
      <c r="S1859" s="46"/>
    </row>
    <row r="1860" spans="1:19" ht="12" hidden="1" customHeight="1" x14ac:dyDescent="0.3">
      <c r="A1860" s="35" t="s">
        <v>908</v>
      </c>
      <c r="B1860" s="49" t="str">
        <f>B1856</f>
        <v>hide</v>
      </c>
      <c r="N1860"/>
      <c r="Q1860" s="33"/>
    </row>
    <row r="1861" spans="1:19" ht="13.8" hidden="1" thickBot="1" x14ac:dyDescent="0.3">
      <c r="A1861" t="s">
        <v>23</v>
      </c>
      <c r="B1861" s="49" t="str">
        <f t="shared" ref="B1861" si="1327">B1860</f>
        <v>hide</v>
      </c>
      <c r="D1861" s="58"/>
      <c r="E1861" s="58"/>
      <c r="F1861" s="52">
        <f>SUM(F1856:F1860)</f>
        <v>0</v>
      </c>
      <c r="G1861" s="52">
        <f>SUM(G1856:G1860)</f>
        <v>0</v>
      </c>
      <c r="H1861" s="52">
        <f>SUM(H1856:H1860)</f>
        <v>0</v>
      </c>
      <c r="I1861" s="52">
        <f>SUM(I1856:I1860)</f>
        <v>0</v>
      </c>
      <c r="J1861" s="52">
        <f>SUM(J1856:J1860)</f>
        <v>0</v>
      </c>
      <c r="K1861" s="52"/>
      <c r="L1861" s="51" t="s">
        <v>4</v>
      </c>
      <c r="M1861" s="58"/>
      <c r="N1861" s="58"/>
      <c r="O1861" s="58"/>
      <c r="P1861" s="58"/>
      <c r="Q1861" s="58"/>
      <c r="R1861" s="58"/>
      <c r="S1861" s="58"/>
    </row>
    <row r="1862" spans="1:19" s="59" customFormat="1" ht="18.75" hidden="1" customHeight="1" thickBot="1" x14ac:dyDescent="0.3">
      <c r="A1862" s="59" t="s">
        <v>23</v>
      </c>
      <c r="B1862" s="60" t="str">
        <f t="shared" ref="B1862:B1863" si="1328">IF(K1862=0,"hide","")</f>
        <v>hide</v>
      </c>
      <c r="D1862" s="61" t="str">
        <f>"21858"</f>
        <v>21858</v>
      </c>
      <c r="E1862" s="62" t="str">
        <f>"1"</f>
        <v>1</v>
      </c>
      <c r="F1862" s="63">
        <v>0</v>
      </c>
      <c r="G1862" s="63">
        <v>0</v>
      </c>
      <c r="H1862" s="63">
        <v>0</v>
      </c>
      <c r="I1862" s="63">
        <v>0</v>
      </c>
      <c r="J1862" s="63">
        <v>0</v>
      </c>
      <c r="K1862" s="63">
        <f>AVERAGE(I1862:J1862)</f>
        <v>0</v>
      </c>
      <c r="L1862" s="64" t="str">
        <f>"SoyButt STRAWBRY Jelly Sandwich"</f>
        <v>SoyButt STRAWBRY Jelly Sandwich</v>
      </c>
      <c r="M1862" s="65" t="str">
        <f>"24-2oz IW  6 cartons of 4"</f>
        <v>24-2oz IW  6 cartons of 4</v>
      </c>
      <c r="N1862" s="66">
        <v>24</v>
      </c>
      <c r="O1862" s="67" t="str">
        <f>""</f>
        <v/>
      </c>
      <c r="P1862" s="68" t="e">
        <f>1/O1862</f>
        <v>#VALUE!</v>
      </c>
      <c r="Q1862" s="53">
        <v>1</v>
      </c>
      <c r="R1862" s="69">
        <f t="shared" ref="R1862" si="1329">1/Q1862</f>
        <v>1</v>
      </c>
      <c r="S1862" s="70">
        <f t="shared" ref="S1862" si="1330">R1862*N1862</f>
        <v>24</v>
      </c>
    </row>
    <row r="1863" spans="1:19" ht="15.6" hidden="1" customHeight="1" thickBot="1" x14ac:dyDescent="0.3">
      <c r="A1863" t="s">
        <v>23</v>
      </c>
      <c r="B1863" s="60" t="str">
        <f t="shared" si="1328"/>
        <v>hide</v>
      </c>
      <c r="D1863" s="48" t="str">
        <f>D1862</f>
        <v>21858</v>
      </c>
      <c r="E1863" s="7"/>
      <c r="F1863" s="27">
        <v>0</v>
      </c>
      <c r="G1863" s="27">
        <v>0</v>
      </c>
      <c r="H1863" s="27">
        <v>0</v>
      </c>
      <c r="I1863" s="27">
        <v>0</v>
      </c>
      <c r="J1863" s="27">
        <v>0</v>
      </c>
      <c r="K1863" s="63">
        <f>AVERAGE(I1863:J1863)</f>
        <v>0</v>
      </c>
      <c r="L1863" s="56" t="str">
        <f>"EQP-LAWPACK1"</f>
        <v>EQP-LAWPACK1</v>
      </c>
      <c r="M1863" s="14"/>
      <c r="N1863" s="15"/>
      <c r="O1863" s="12"/>
      <c r="P1863" s="34"/>
      <c r="Q1863" s="37"/>
      <c r="R1863" s="47"/>
      <c r="S1863" s="46"/>
    </row>
    <row r="1864" spans="1:19" ht="15.6" hidden="1" customHeight="1" thickBot="1" x14ac:dyDescent="0.3">
      <c r="A1864" t="s">
        <v>23</v>
      </c>
      <c r="B1864" s="60" t="str">
        <f t="shared" ref="B1864:B1866" si="1331">IF(K1864=0,"hide","")</f>
        <v>hide</v>
      </c>
      <c r="D1864" s="48" t="str">
        <f>D1863</f>
        <v>21858</v>
      </c>
      <c r="E1864" s="7"/>
      <c r="F1864" s="27">
        <v>0</v>
      </c>
      <c r="G1864" s="27">
        <v>0</v>
      </c>
      <c r="H1864" s="27">
        <v>0</v>
      </c>
      <c r="I1864" s="27">
        <v>0</v>
      </c>
      <c r="J1864" s="27">
        <v>0</v>
      </c>
      <c r="K1864" s="63">
        <f>AVERAGE(I1864:J1864)</f>
        <v>0</v>
      </c>
      <c r="L1864" s="56" t="str">
        <f>"EQP-LAWPACK2"</f>
        <v>EQP-LAWPACK2</v>
      </c>
      <c r="M1864" s="14"/>
      <c r="N1864" s="15"/>
      <c r="O1864" s="12"/>
      <c r="P1864" s="34"/>
      <c r="Q1864" s="37"/>
      <c r="R1864" s="47"/>
      <c r="S1864" s="46"/>
    </row>
    <row r="1865" spans="1:19" ht="15.6" hidden="1" customHeight="1" thickBot="1" x14ac:dyDescent="0.3">
      <c r="A1865" t="s">
        <v>23</v>
      </c>
      <c r="B1865" s="60" t="str">
        <f t="shared" si="1331"/>
        <v>hide</v>
      </c>
      <c r="D1865" s="48" t="str">
        <f>D1864</f>
        <v>21858</v>
      </c>
      <c r="E1865" s="7"/>
      <c r="F1865" s="27">
        <v>0</v>
      </c>
      <c r="G1865" s="27">
        <v>0</v>
      </c>
      <c r="H1865" s="27">
        <v>0</v>
      </c>
      <c r="I1865" s="27">
        <v>0</v>
      </c>
      <c r="J1865" s="27">
        <v>0</v>
      </c>
      <c r="K1865" s="63">
        <f>AVERAGE(I1865:J1865)</f>
        <v>0</v>
      </c>
      <c r="L1865" s="56" t="str">
        <f>"SW-COMAS-PACKL"</f>
        <v>SW-COMAS-PACKL</v>
      </c>
      <c r="M1865" s="14"/>
      <c r="N1865" s="15"/>
      <c r="O1865" s="12"/>
      <c r="P1865" s="34"/>
      <c r="Q1865" s="37"/>
      <c r="R1865" s="47"/>
      <c r="S1865" s="46"/>
    </row>
    <row r="1866" spans="1:19" ht="15.6" hidden="1" customHeight="1" thickBot="1" x14ac:dyDescent="0.3">
      <c r="A1866" t="s">
        <v>23</v>
      </c>
      <c r="B1866" s="60" t="str">
        <f t="shared" si="1331"/>
        <v>hide</v>
      </c>
      <c r="D1866" s="48" t="str">
        <f>D1865</f>
        <v>21858</v>
      </c>
      <c r="E1866" s="7"/>
      <c r="F1866" s="27">
        <v>0</v>
      </c>
      <c r="G1866" s="27">
        <v>0</v>
      </c>
      <c r="H1866" s="27">
        <v>0</v>
      </c>
      <c r="I1866" s="27">
        <v>0</v>
      </c>
      <c r="J1866" s="27">
        <v>0</v>
      </c>
      <c r="K1866" s="63">
        <f>AVERAGE(I1866:J1866)</f>
        <v>0</v>
      </c>
      <c r="L1866" s="56" t="str">
        <f>"SW-RISER-PACK"</f>
        <v>SW-RISER-PACK</v>
      </c>
      <c r="M1866" s="14"/>
      <c r="N1866" s="15"/>
      <c r="O1866" s="12"/>
      <c r="P1866" s="34"/>
      <c r="Q1866" s="37"/>
      <c r="R1866" s="47"/>
      <c r="S1866" s="46"/>
    </row>
    <row r="1867" spans="1:19" ht="12" hidden="1" customHeight="1" x14ac:dyDescent="0.3">
      <c r="A1867" s="35" t="s">
        <v>908</v>
      </c>
      <c r="B1867" s="49" t="str">
        <f>B1863</f>
        <v>hide</v>
      </c>
      <c r="N1867"/>
      <c r="Q1867" s="33"/>
    </row>
    <row r="1868" spans="1:19" ht="13.8" hidden="1" thickBot="1" x14ac:dyDescent="0.3">
      <c r="A1868" t="s">
        <v>23</v>
      </c>
      <c r="B1868" s="49" t="str">
        <f t="shared" ref="B1868" si="1332">B1867</f>
        <v>hide</v>
      </c>
      <c r="D1868" s="58"/>
      <c r="E1868" s="58"/>
      <c r="F1868" s="52">
        <f>SUM(F1863:F1867)</f>
        <v>0</v>
      </c>
      <c r="G1868" s="52">
        <f>SUM(G1863:G1867)</f>
        <v>0</v>
      </c>
      <c r="H1868" s="52">
        <f>SUM(H1863:H1867)</f>
        <v>0</v>
      </c>
      <c r="I1868" s="52">
        <f>SUM(I1863:I1867)</f>
        <v>0</v>
      </c>
      <c r="J1868" s="52">
        <f>SUM(J1863:J1867)</f>
        <v>0</v>
      </c>
      <c r="K1868" s="52"/>
      <c r="L1868" s="51" t="s">
        <v>4</v>
      </c>
      <c r="M1868" s="58"/>
      <c r="N1868" s="58"/>
      <c r="O1868" s="58"/>
      <c r="P1868" s="58"/>
      <c r="Q1868" s="58"/>
      <c r="R1868" s="58"/>
      <c r="S1868" s="58"/>
    </row>
    <row r="1869" spans="1:19" s="59" customFormat="1" ht="18.75" customHeight="1" thickBot="1" x14ac:dyDescent="0.3">
      <c r="A1869" s="59" t="s">
        <v>23</v>
      </c>
      <c r="B1869" s="60" t="str">
        <f t="shared" ref="B1869:B1870" si="1333">IF(K1869=0,"hide","")</f>
        <v/>
      </c>
      <c r="D1869" s="61" t="str">
        <f>"22101"</f>
        <v>22101</v>
      </c>
      <c r="E1869" s="62" t="str">
        <f>"4"</f>
        <v>4</v>
      </c>
      <c r="F1869" s="63">
        <v>271.49999999999994</v>
      </c>
      <c r="G1869" s="63">
        <v>169.08333333333334</v>
      </c>
      <c r="H1869" s="63">
        <v>139.91666666666666</v>
      </c>
      <c r="I1869" s="63">
        <v>176.75</v>
      </c>
      <c r="J1869" s="63">
        <v>236.08337349397596</v>
      </c>
      <c r="K1869" s="63">
        <f>AVERAGE(I1869:J1869)</f>
        <v>206.41668674698798</v>
      </c>
      <c r="L1869" s="64" t="str">
        <f>"BLUEBERRY MUFFINS"</f>
        <v>BLUEBERRY MUFFINS</v>
      </c>
      <c r="M1869" s="65" t="str">
        <f>"96-2 oz. 8 trays of 12"</f>
        <v>96-2 oz. 8 trays of 12</v>
      </c>
      <c r="N1869" s="66">
        <v>96</v>
      </c>
      <c r="O1869" s="67" t="str">
        <f>""</f>
        <v/>
      </c>
      <c r="P1869" s="68" t="e">
        <f>1/O1869</f>
        <v>#VALUE!</v>
      </c>
      <c r="Q1869" s="53">
        <v>1</v>
      </c>
      <c r="R1869" s="69">
        <f t="shared" ref="R1869" si="1334">1/Q1869</f>
        <v>1</v>
      </c>
      <c r="S1869" s="70">
        <f t="shared" ref="S1869" si="1335">R1869*N1869</f>
        <v>96</v>
      </c>
    </row>
    <row r="1870" spans="1:19" ht="15.6" hidden="1" customHeight="1" thickBot="1" x14ac:dyDescent="0.3">
      <c r="A1870" t="s">
        <v>23</v>
      </c>
      <c r="B1870" s="60" t="str">
        <f t="shared" si="1333"/>
        <v>hide</v>
      </c>
      <c r="D1870" s="48" t="str">
        <f>D1869</f>
        <v>22101</v>
      </c>
      <c r="E1870" s="7"/>
      <c r="F1870" s="27">
        <v>0</v>
      </c>
      <c r="G1870" s="27">
        <v>0</v>
      </c>
      <c r="H1870" s="27">
        <v>0</v>
      </c>
      <c r="I1870" s="27">
        <v>0</v>
      </c>
      <c r="J1870" s="27">
        <v>0</v>
      </c>
      <c r="K1870" s="63">
        <f>AVERAGE(I1870:J1870)</f>
        <v>0</v>
      </c>
      <c r="L1870" s="56" t="str">
        <f>"EQP-LAWPACK1"</f>
        <v>EQP-LAWPACK1</v>
      </c>
      <c r="M1870" s="14"/>
      <c r="N1870" s="15"/>
      <c r="O1870" s="12"/>
      <c r="P1870" s="34"/>
      <c r="Q1870" s="37"/>
      <c r="R1870" s="47"/>
      <c r="S1870" s="46"/>
    </row>
    <row r="1871" spans="1:19" ht="15.6" hidden="1" customHeight="1" thickBot="1" x14ac:dyDescent="0.3">
      <c r="A1871" t="s">
        <v>23</v>
      </c>
      <c r="B1871" s="60" t="str">
        <f t="shared" ref="B1871:B1873" si="1336">IF(K1871=0,"hide","")</f>
        <v>hide</v>
      </c>
      <c r="D1871" s="48" t="str">
        <f>D1870</f>
        <v>22101</v>
      </c>
      <c r="E1871" s="7"/>
      <c r="F1871" s="27">
        <v>0</v>
      </c>
      <c r="G1871" s="27">
        <v>0</v>
      </c>
      <c r="H1871" s="27">
        <v>0</v>
      </c>
      <c r="I1871" s="27">
        <v>0</v>
      </c>
      <c r="J1871" s="27">
        <v>0</v>
      </c>
      <c r="K1871" s="63">
        <f>AVERAGE(I1871:J1871)</f>
        <v>0</v>
      </c>
      <c r="L1871" s="56" t="str">
        <f>"EQP-LAWPACK2"</f>
        <v>EQP-LAWPACK2</v>
      </c>
      <c r="M1871" s="14"/>
      <c r="N1871" s="15"/>
      <c r="O1871" s="12"/>
      <c r="P1871" s="34"/>
      <c r="Q1871" s="37"/>
      <c r="R1871" s="47"/>
      <c r="S1871" s="46"/>
    </row>
    <row r="1872" spans="1:19" ht="15.6" hidden="1" customHeight="1" thickBot="1" x14ac:dyDescent="0.3">
      <c r="A1872" t="s">
        <v>23</v>
      </c>
      <c r="B1872" s="60" t="str">
        <f t="shared" si="1336"/>
        <v>hide</v>
      </c>
      <c r="D1872" s="48" t="str">
        <f>D1871</f>
        <v>22101</v>
      </c>
      <c r="E1872" s="7"/>
      <c r="F1872" s="27">
        <v>0</v>
      </c>
      <c r="G1872" s="27">
        <v>0</v>
      </c>
      <c r="H1872" s="27">
        <v>0</v>
      </c>
      <c r="I1872" s="27">
        <v>0</v>
      </c>
      <c r="J1872" s="27">
        <v>0</v>
      </c>
      <c r="K1872" s="63">
        <f>AVERAGE(I1872:J1872)</f>
        <v>0</v>
      </c>
      <c r="L1872" s="56" t="str">
        <f>"SW-COMAS-PACKL"</f>
        <v>SW-COMAS-PACKL</v>
      </c>
      <c r="M1872" s="14"/>
      <c r="N1872" s="15"/>
      <c r="O1872" s="12"/>
      <c r="P1872" s="34"/>
      <c r="Q1872" s="37"/>
      <c r="R1872" s="47"/>
      <c r="S1872" s="46"/>
    </row>
    <row r="1873" spans="1:19" ht="15.6" hidden="1" customHeight="1" thickBot="1" x14ac:dyDescent="0.3">
      <c r="A1873" t="s">
        <v>23</v>
      </c>
      <c r="B1873" s="60" t="str">
        <f t="shared" si="1336"/>
        <v>hide</v>
      </c>
      <c r="D1873" s="48" t="str">
        <f>D1872</f>
        <v>22101</v>
      </c>
      <c r="E1873" s="7"/>
      <c r="F1873" s="27">
        <v>0</v>
      </c>
      <c r="G1873" s="27">
        <v>0</v>
      </c>
      <c r="H1873" s="27">
        <v>0</v>
      </c>
      <c r="I1873" s="27">
        <v>0</v>
      </c>
      <c r="J1873" s="27">
        <v>0</v>
      </c>
      <c r="K1873" s="63">
        <f>AVERAGE(I1873:J1873)</f>
        <v>0</v>
      </c>
      <c r="L1873" s="56" t="str">
        <f>"SW-RISER-PACK"</f>
        <v>SW-RISER-PACK</v>
      </c>
      <c r="M1873" s="14"/>
      <c r="N1873" s="15"/>
      <c r="O1873" s="12"/>
      <c r="P1873" s="34"/>
      <c r="Q1873" s="37"/>
      <c r="R1873" s="47"/>
      <c r="S1873" s="46"/>
    </row>
    <row r="1874" spans="1:19" ht="12" hidden="1" customHeight="1" x14ac:dyDescent="0.3">
      <c r="A1874" s="35" t="s">
        <v>908</v>
      </c>
      <c r="B1874" s="49" t="str">
        <f>B1870</f>
        <v>hide</v>
      </c>
      <c r="N1874"/>
      <c r="Q1874" s="33"/>
    </row>
    <row r="1875" spans="1:19" ht="13.8" hidden="1" thickBot="1" x14ac:dyDescent="0.3">
      <c r="A1875" t="s">
        <v>23</v>
      </c>
      <c r="B1875" s="49" t="str">
        <f t="shared" ref="B1875" si="1337">B1874</f>
        <v>hide</v>
      </c>
      <c r="D1875" s="58"/>
      <c r="E1875" s="58"/>
      <c r="F1875" s="52">
        <f>SUM(F1870:F1874)</f>
        <v>0</v>
      </c>
      <c r="G1875" s="52">
        <f>SUM(G1870:G1874)</f>
        <v>0</v>
      </c>
      <c r="H1875" s="52">
        <f>SUM(H1870:H1874)</f>
        <v>0</v>
      </c>
      <c r="I1875" s="52">
        <f>SUM(I1870:I1874)</f>
        <v>0</v>
      </c>
      <c r="J1875" s="52">
        <f>SUM(J1870:J1874)</f>
        <v>0</v>
      </c>
      <c r="K1875" s="52"/>
      <c r="L1875" s="51" t="s">
        <v>4</v>
      </c>
      <c r="M1875" s="58"/>
      <c r="N1875" s="58"/>
      <c r="O1875" s="58"/>
      <c r="P1875" s="58"/>
      <c r="Q1875" s="58"/>
      <c r="R1875" s="58"/>
      <c r="S1875" s="58"/>
    </row>
    <row r="1876" spans="1:19" s="59" customFormat="1" ht="18.75" customHeight="1" thickBot="1" x14ac:dyDescent="0.3">
      <c r="A1876" s="59" t="s">
        <v>23</v>
      </c>
      <c r="B1876" s="60" t="str">
        <f t="shared" ref="B1876:B1877" si="1338">IF(K1876=0,"hide","")</f>
        <v/>
      </c>
      <c r="D1876" s="61" t="str">
        <f>"22105"</f>
        <v>22105</v>
      </c>
      <c r="E1876" s="62" t="str">
        <f>"2"</f>
        <v>2</v>
      </c>
      <c r="F1876" s="63">
        <v>128.5</v>
      </c>
      <c r="G1876" s="63">
        <v>105.75</v>
      </c>
      <c r="H1876" s="63">
        <v>197.91666666666666</v>
      </c>
      <c r="I1876" s="63">
        <v>510.58333333333326</v>
      </c>
      <c r="J1876" s="63">
        <v>483.55493975903624</v>
      </c>
      <c r="K1876" s="63">
        <f>AVERAGE(I1876:J1876)</f>
        <v>497.06913654618472</v>
      </c>
      <c r="L1876" s="64" t="str">
        <f>"CORN MUFFINS"</f>
        <v>CORN MUFFINS</v>
      </c>
      <c r="M1876" s="65" t="str">
        <f>"96-2 oz. 8 trays of 12"</f>
        <v>96-2 oz. 8 trays of 12</v>
      </c>
      <c r="N1876" s="66">
        <v>96</v>
      </c>
      <c r="O1876" s="67" t="str">
        <f>""</f>
        <v/>
      </c>
      <c r="P1876" s="68" t="e">
        <f>1/O1876</f>
        <v>#VALUE!</v>
      </c>
      <c r="Q1876" s="53">
        <v>1</v>
      </c>
      <c r="R1876" s="69">
        <f t="shared" ref="R1876" si="1339">1/Q1876</f>
        <v>1</v>
      </c>
      <c r="S1876" s="70">
        <f t="shared" ref="S1876" si="1340">R1876*N1876</f>
        <v>96</v>
      </c>
    </row>
    <row r="1877" spans="1:19" ht="15.6" hidden="1" customHeight="1" thickBot="1" x14ac:dyDescent="0.3">
      <c r="A1877" t="s">
        <v>23</v>
      </c>
      <c r="B1877" s="60" t="str">
        <f t="shared" si="1338"/>
        <v>hide</v>
      </c>
      <c r="D1877" s="48" t="str">
        <f>D1876</f>
        <v>22105</v>
      </c>
      <c r="E1877" s="7"/>
      <c r="F1877" s="27">
        <v>0</v>
      </c>
      <c r="G1877" s="27">
        <v>0</v>
      </c>
      <c r="H1877" s="27">
        <v>0</v>
      </c>
      <c r="I1877" s="27">
        <v>0</v>
      </c>
      <c r="J1877" s="27">
        <v>0</v>
      </c>
      <c r="K1877" s="63">
        <f>AVERAGE(I1877:J1877)</f>
        <v>0</v>
      </c>
      <c r="L1877" s="56" t="str">
        <f>"EQP-LAWPACK1"</f>
        <v>EQP-LAWPACK1</v>
      </c>
      <c r="M1877" s="14"/>
      <c r="N1877" s="15"/>
      <c r="O1877" s="12"/>
      <c r="P1877" s="34"/>
      <c r="Q1877" s="37"/>
      <c r="R1877" s="47"/>
      <c r="S1877" s="46"/>
    </row>
    <row r="1878" spans="1:19" ht="15.6" hidden="1" customHeight="1" thickBot="1" x14ac:dyDescent="0.3">
      <c r="A1878" t="s">
        <v>23</v>
      </c>
      <c r="B1878" s="60" t="str">
        <f t="shared" ref="B1878:B1880" si="1341">IF(K1878=0,"hide","")</f>
        <v>hide</v>
      </c>
      <c r="D1878" s="48" t="str">
        <f>D1877</f>
        <v>22105</v>
      </c>
      <c r="E1878" s="7"/>
      <c r="F1878" s="27">
        <v>0</v>
      </c>
      <c r="G1878" s="27">
        <v>0</v>
      </c>
      <c r="H1878" s="27">
        <v>0</v>
      </c>
      <c r="I1878" s="27">
        <v>0</v>
      </c>
      <c r="J1878" s="27">
        <v>0</v>
      </c>
      <c r="K1878" s="63">
        <f>AVERAGE(I1878:J1878)</f>
        <v>0</v>
      </c>
      <c r="L1878" s="56" t="str">
        <f>"EQP-LAWPACK2"</f>
        <v>EQP-LAWPACK2</v>
      </c>
      <c r="M1878" s="14"/>
      <c r="N1878" s="15"/>
      <c r="O1878" s="12"/>
      <c r="P1878" s="34"/>
      <c r="Q1878" s="37"/>
      <c r="R1878" s="47"/>
      <c r="S1878" s="46"/>
    </row>
    <row r="1879" spans="1:19" ht="15.6" hidden="1" customHeight="1" thickBot="1" x14ac:dyDescent="0.3">
      <c r="A1879" t="s">
        <v>23</v>
      </c>
      <c r="B1879" s="60" t="str">
        <f t="shared" si="1341"/>
        <v>hide</v>
      </c>
      <c r="D1879" s="48" t="str">
        <f>D1878</f>
        <v>22105</v>
      </c>
      <c r="E1879" s="7"/>
      <c r="F1879" s="27">
        <v>0</v>
      </c>
      <c r="G1879" s="27">
        <v>0</v>
      </c>
      <c r="H1879" s="27">
        <v>0</v>
      </c>
      <c r="I1879" s="27">
        <v>0</v>
      </c>
      <c r="J1879" s="27">
        <v>0</v>
      </c>
      <c r="K1879" s="63">
        <f>AVERAGE(I1879:J1879)</f>
        <v>0</v>
      </c>
      <c r="L1879" s="56" t="str">
        <f>"SW-COMAS-PACKL"</f>
        <v>SW-COMAS-PACKL</v>
      </c>
      <c r="M1879" s="14"/>
      <c r="N1879" s="15"/>
      <c r="O1879" s="12"/>
      <c r="P1879" s="34"/>
      <c r="Q1879" s="37"/>
      <c r="R1879" s="47"/>
      <c r="S1879" s="46"/>
    </row>
    <row r="1880" spans="1:19" ht="15.6" hidden="1" customHeight="1" thickBot="1" x14ac:dyDescent="0.3">
      <c r="A1880" t="s">
        <v>23</v>
      </c>
      <c r="B1880" s="60" t="str">
        <f t="shared" si="1341"/>
        <v>hide</v>
      </c>
      <c r="D1880" s="48" t="str">
        <f>D1879</f>
        <v>22105</v>
      </c>
      <c r="E1880" s="7"/>
      <c r="F1880" s="27">
        <v>0</v>
      </c>
      <c r="G1880" s="27">
        <v>0</v>
      </c>
      <c r="H1880" s="27">
        <v>0</v>
      </c>
      <c r="I1880" s="27">
        <v>0</v>
      </c>
      <c r="J1880" s="27">
        <v>0</v>
      </c>
      <c r="K1880" s="63">
        <f>AVERAGE(I1880:J1880)</f>
        <v>0</v>
      </c>
      <c r="L1880" s="56" t="str">
        <f>"SW-RISER-PACK"</f>
        <v>SW-RISER-PACK</v>
      </c>
      <c r="M1880" s="14"/>
      <c r="N1880" s="15"/>
      <c r="O1880" s="12"/>
      <c r="P1880" s="34"/>
      <c r="Q1880" s="37"/>
      <c r="R1880" s="47"/>
      <c r="S1880" s="46"/>
    </row>
    <row r="1881" spans="1:19" ht="12" hidden="1" customHeight="1" x14ac:dyDescent="0.3">
      <c r="A1881" s="35" t="s">
        <v>908</v>
      </c>
      <c r="B1881" s="49" t="str">
        <f>B1877</f>
        <v>hide</v>
      </c>
      <c r="N1881"/>
      <c r="Q1881" s="33"/>
    </row>
    <row r="1882" spans="1:19" ht="13.8" hidden="1" thickBot="1" x14ac:dyDescent="0.3">
      <c r="A1882" t="s">
        <v>23</v>
      </c>
      <c r="B1882" s="49" t="str">
        <f t="shared" ref="B1882" si="1342">B1881</f>
        <v>hide</v>
      </c>
      <c r="D1882" s="58"/>
      <c r="E1882" s="58"/>
      <c r="F1882" s="52">
        <f>SUM(F1877:F1881)</f>
        <v>0</v>
      </c>
      <c r="G1882" s="52">
        <f>SUM(G1877:G1881)</f>
        <v>0</v>
      </c>
      <c r="H1882" s="52">
        <f>SUM(H1877:H1881)</f>
        <v>0</v>
      </c>
      <c r="I1882" s="52">
        <f>SUM(I1877:I1881)</f>
        <v>0</v>
      </c>
      <c r="J1882" s="52">
        <f>SUM(J1877:J1881)</f>
        <v>0</v>
      </c>
      <c r="K1882" s="52"/>
      <c r="L1882" s="51" t="s">
        <v>4</v>
      </c>
      <c r="M1882" s="58"/>
      <c r="N1882" s="58"/>
      <c r="O1882" s="58"/>
      <c r="P1882" s="58"/>
      <c r="Q1882" s="58"/>
      <c r="R1882" s="58"/>
      <c r="S1882" s="58"/>
    </row>
    <row r="1883" spans="1:19" s="59" customFormat="1" ht="18.75" customHeight="1" thickBot="1" x14ac:dyDescent="0.3">
      <c r="A1883" s="59" t="s">
        <v>23</v>
      </c>
      <c r="B1883" s="60" t="str">
        <f t="shared" ref="B1883:B1884" si="1343">IF(K1883=0,"hide","")</f>
        <v/>
      </c>
      <c r="D1883" s="61" t="str">
        <f>"22106"</f>
        <v>22106</v>
      </c>
      <c r="E1883" s="62" t="str">
        <f>"2"</f>
        <v>2</v>
      </c>
      <c r="F1883" s="63">
        <v>126.33333333333331</v>
      </c>
      <c r="G1883" s="63">
        <v>50.416666666666664</v>
      </c>
      <c r="H1883" s="63">
        <v>35.25</v>
      </c>
      <c r="I1883" s="63">
        <v>0</v>
      </c>
      <c r="J1883" s="63">
        <v>13.093012048192772</v>
      </c>
      <c r="K1883" s="63">
        <f>AVERAGE(I1883:J1883)</f>
        <v>6.5465060240963862</v>
      </c>
      <c r="L1883" s="64" t="str">
        <f>"APPLE CINNAMON MUFFINS"</f>
        <v>APPLE CINNAMON MUFFINS</v>
      </c>
      <c r="M1883" s="65" t="str">
        <f>"96-2 oz. 8 trays of 12"</f>
        <v>96-2 oz. 8 trays of 12</v>
      </c>
      <c r="N1883" s="66">
        <v>96</v>
      </c>
      <c r="O1883" s="67" t="str">
        <f>""</f>
        <v/>
      </c>
      <c r="P1883" s="68" t="e">
        <f>1/O1883</f>
        <v>#VALUE!</v>
      </c>
      <c r="Q1883" s="53">
        <v>1</v>
      </c>
      <c r="R1883" s="69">
        <f t="shared" ref="R1883" si="1344">1/Q1883</f>
        <v>1</v>
      </c>
      <c r="S1883" s="70">
        <f t="shared" ref="S1883" si="1345">R1883*N1883</f>
        <v>96</v>
      </c>
    </row>
    <row r="1884" spans="1:19" ht="15.6" hidden="1" customHeight="1" thickBot="1" x14ac:dyDescent="0.3">
      <c r="A1884" t="s">
        <v>23</v>
      </c>
      <c r="B1884" s="60" t="str">
        <f t="shared" si="1343"/>
        <v>hide</v>
      </c>
      <c r="D1884" s="48" t="str">
        <f>D1883</f>
        <v>22106</v>
      </c>
      <c r="E1884" s="7"/>
      <c r="F1884" s="27">
        <v>0</v>
      </c>
      <c r="G1884" s="27">
        <v>0</v>
      </c>
      <c r="H1884" s="27">
        <v>0</v>
      </c>
      <c r="I1884" s="27">
        <v>0</v>
      </c>
      <c r="J1884" s="27">
        <v>0</v>
      </c>
      <c r="K1884" s="63">
        <f>AVERAGE(I1884:J1884)</f>
        <v>0</v>
      </c>
      <c r="L1884" s="56" t="str">
        <f>"EQP-LAWPACK1"</f>
        <v>EQP-LAWPACK1</v>
      </c>
      <c r="M1884" s="14"/>
      <c r="N1884" s="15"/>
      <c r="O1884" s="12"/>
      <c r="P1884" s="34"/>
      <c r="Q1884" s="37"/>
      <c r="R1884" s="47"/>
      <c r="S1884" s="46"/>
    </row>
    <row r="1885" spans="1:19" ht="15.6" hidden="1" customHeight="1" thickBot="1" x14ac:dyDescent="0.3">
      <c r="A1885" t="s">
        <v>23</v>
      </c>
      <c r="B1885" s="60" t="str">
        <f t="shared" ref="B1885:B1887" si="1346">IF(K1885=0,"hide","")</f>
        <v>hide</v>
      </c>
      <c r="D1885" s="48" t="str">
        <f>D1884</f>
        <v>22106</v>
      </c>
      <c r="E1885" s="7"/>
      <c r="F1885" s="27">
        <v>0</v>
      </c>
      <c r="G1885" s="27">
        <v>0</v>
      </c>
      <c r="H1885" s="27">
        <v>0</v>
      </c>
      <c r="I1885" s="27">
        <v>0</v>
      </c>
      <c r="J1885" s="27">
        <v>0</v>
      </c>
      <c r="K1885" s="63">
        <f>AVERAGE(I1885:J1885)</f>
        <v>0</v>
      </c>
      <c r="L1885" s="56" t="str">
        <f>"EQP-LAWPACK2"</f>
        <v>EQP-LAWPACK2</v>
      </c>
      <c r="M1885" s="14"/>
      <c r="N1885" s="15"/>
      <c r="O1885" s="12"/>
      <c r="P1885" s="34"/>
      <c r="Q1885" s="37"/>
      <c r="R1885" s="47"/>
      <c r="S1885" s="46"/>
    </row>
    <row r="1886" spans="1:19" ht="15.6" hidden="1" customHeight="1" thickBot="1" x14ac:dyDescent="0.3">
      <c r="A1886" t="s">
        <v>23</v>
      </c>
      <c r="B1886" s="60" t="str">
        <f t="shared" si="1346"/>
        <v>hide</v>
      </c>
      <c r="D1886" s="48" t="str">
        <f>D1885</f>
        <v>22106</v>
      </c>
      <c r="E1886" s="7"/>
      <c r="F1886" s="27">
        <v>0</v>
      </c>
      <c r="G1886" s="27">
        <v>0</v>
      </c>
      <c r="H1886" s="27">
        <v>0</v>
      </c>
      <c r="I1886" s="27">
        <v>0</v>
      </c>
      <c r="J1886" s="27">
        <v>0</v>
      </c>
      <c r="K1886" s="63">
        <f>AVERAGE(I1886:J1886)</f>
        <v>0</v>
      </c>
      <c r="L1886" s="56" t="str">
        <f>"SW-COMAS-PACKL"</f>
        <v>SW-COMAS-PACKL</v>
      </c>
      <c r="M1886" s="14"/>
      <c r="N1886" s="15"/>
      <c r="O1886" s="12"/>
      <c r="P1886" s="34"/>
      <c r="Q1886" s="37"/>
      <c r="R1886" s="47"/>
      <c r="S1886" s="46"/>
    </row>
    <row r="1887" spans="1:19" ht="15.6" hidden="1" customHeight="1" thickBot="1" x14ac:dyDescent="0.3">
      <c r="A1887" t="s">
        <v>23</v>
      </c>
      <c r="B1887" s="60" t="str">
        <f t="shared" si="1346"/>
        <v>hide</v>
      </c>
      <c r="D1887" s="48" t="str">
        <f>D1886</f>
        <v>22106</v>
      </c>
      <c r="E1887" s="7"/>
      <c r="F1887" s="27">
        <v>0</v>
      </c>
      <c r="G1887" s="27">
        <v>0</v>
      </c>
      <c r="H1887" s="27">
        <v>0</v>
      </c>
      <c r="I1887" s="27">
        <v>0</v>
      </c>
      <c r="J1887" s="27">
        <v>0</v>
      </c>
      <c r="K1887" s="63">
        <f>AVERAGE(I1887:J1887)</f>
        <v>0</v>
      </c>
      <c r="L1887" s="56" t="str">
        <f>"SW-RISER-PACK"</f>
        <v>SW-RISER-PACK</v>
      </c>
      <c r="M1887" s="14"/>
      <c r="N1887" s="15"/>
      <c r="O1887" s="12"/>
      <c r="P1887" s="34"/>
      <c r="Q1887" s="37"/>
      <c r="R1887" s="47"/>
      <c r="S1887" s="46"/>
    </row>
    <row r="1888" spans="1:19" ht="12" hidden="1" customHeight="1" x14ac:dyDescent="0.3">
      <c r="A1888" s="35" t="s">
        <v>908</v>
      </c>
      <c r="B1888" s="49" t="str">
        <f>B1884</f>
        <v>hide</v>
      </c>
      <c r="N1888"/>
      <c r="Q1888" s="33"/>
    </row>
    <row r="1889" spans="1:19" ht="13.8" hidden="1" thickBot="1" x14ac:dyDescent="0.3">
      <c r="A1889" t="s">
        <v>23</v>
      </c>
      <c r="B1889" s="49" t="str">
        <f t="shared" ref="B1889" si="1347">B1888</f>
        <v>hide</v>
      </c>
      <c r="D1889" s="58"/>
      <c r="E1889" s="58"/>
      <c r="F1889" s="52">
        <f>SUM(F1884:F1888)</f>
        <v>0</v>
      </c>
      <c r="G1889" s="52">
        <f>SUM(G1884:G1888)</f>
        <v>0</v>
      </c>
      <c r="H1889" s="52">
        <f>SUM(H1884:H1888)</f>
        <v>0</v>
      </c>
      <c r="I1889" s="52">
        <f>SUM(I1884:I1888)</f>
        <v>0</v>
      </c>
      <c r="J1889" s="52">
        <f>SUM(J1884:J1888)</f>
        <v>0</v>
      </c>
      <c r="K1889" s="52"/>
      <c r="L1889" s="51" t="s">
        <v>4</v>
      </c>
      <c r="M1889" s="58"/>
      <c r="N1889" s="58"/>
      <c r="O1889" s="58"/>
      <c r="P1889" s="58"/>
      <c r="Q1889" s="58"/>
      <c r="R1889" s="58"/>
      <c r="S1889" s="58"/>
    </row>
    <row r="1890" spans="1:19" s="59" customFormat="1" ht="18.75" customHeight="1" thickBot="1" x14ac:dyDescent="0.3">
      <c r="A1890" s="59" t="s">
        <v>23</v>
      </c>
      <c r="B1890" s="60" t="str">
        <f t="shared" ref="B1890:B1891" si="1348">IF(K1890=0,"hide","")</f>
        <v/>
      </c>
      <c r="D1890" s="61" t="str">
        <f>"22109"</f>
        <v>22109</v>
      </c>
      <c r="E1890" s="62" t="str">
        <f>"2"</f>
        <v>2</v>
      </c>
      <c r="F1890" s="63">
        <v>66.666666666666671</v>
      </c>
      <c r="G1890" s="63">
        <v>82.416666666666671</v>
      </c>
      <c r="H1890" s="63">
        <v>52</v>
      </c>
      <c r="I1890" s="63">
        <v>58.666666666666664</v>
      </c>
      <c r="J1890" s="63">
        <v>45.620963855421685</v>
      </c>
      <c r="K1890" s="63">
        <f>AVERAGE(I1890:J1890)</f>
        <v>52.143815261044175</v>
      </c>
      <c r="L1890" s="64" t="str">
        <f>"RAISIN BRAN MUFFINS"</f>
        <v>RAISIN BRAN MUFFINS</v>
      </c>
      <c r="M1890" s="65" t="str">
        <f>"96-2 oz. 8 trays of 12"</f>
        <v>96-2 oz. 8 trays of 12</v>
      </c>
      <c r="N1890" s="66">
        <v>96</v>
      </c>
      <c r="O1890" s="67" t="str">
        <f>""</f>
        <v/>
      </c>
      <c r="P1890" s="68" t="e">
        <f>1/O1890</f>
        <v>#VALUE!</v>
      </c>
      <c r="Q1890" s="53">
        <v>1</v>
      </c>
      <c r="R1890" s="69">
        <f t="shared" ref="R1890" si="1349">1/Q1890</f>
        <v>1</v>
      </c>
      <c r="S1890" s="70">
        <f t="shared" ref="S1890" si="1350">R1890*N1890</f>
        <v>96</v>
      </c>
    </row>
    <row r="1891" spans="1:19" ht="15.6" hidden="1" customHeight="1" thickBot="1" x14ac:dyDescent="0.3">
      <c r="A1891" t="s">
        <v>23</v>
      </c>
      <c r="B1891" s="60" t="str">
        <f t="shared" si="1348"/>
        <v>hide</v>
      </c>
      <c r="D1891" s="48" t="str">
        <f>D1890</f>
        <v>22109</v>
      </c>
      <c r="E1891" s="7"/>
      <c r="F1891" s="27">
        <v>0</v>
      </c>
      <c r="G1891" s="27">
        <v>0</v>
      </c>
      <c r="H1891" s="27">
        <v>0</v>
      </c>
      <c r="I1891" s="27">
        <v>0</v>
      </c>
      <c r="J1891" s="27">
        <v>0</v>
      </c>
      <c r="K1891" s="63">
        <f>AVERAGE(I1891:J1891)</f>
        <v>0</v>
      </c>
      <c r="L1891" s="56" t="str">
        <f>"EQP-LAWPACK1"</f>
        <v>EQP-LAWPACK1</v>
      </c>
      <c r="M1891" s="14"/>
      <c r="N1891" s="15"/>
      <c r="O1891" s="12"/>
      <c r="P1891" s="34"/>
      <c r="Q1891" s="37"/>
      <c r="R1891" s="47"/>
      <c r="S1891" s="46"/>
    </row>
    <row r="1892" spans="1:19" ht="15.6" hidden="1" customHeight="1" thickBot="1" x14ac:dyDescent="0.3">
      <c r="A1892" t="s">
        <v>23</v>
      </c>
      <c r="B1892" s="60" t="str">
        <f t="shared" ref="B1892:B1894" si="1351">IF(K1892=0,"hide","")</f>
        <v>hide</v>
      </c>
      <c r="D1892" s="48" t="str">
        <f>D1891</f>
        <v>22109</v>
      </c>
      <c r="E1892" s="7"/>
      <c r="F1892" s="27">
        <v>0</v>
      </c>
      <c r="G1892" s="27">
        <v>0</v>
      </c>
      <c r="H1892" s="27">
        <v>0</v>
      </c>
      <c r="I1892" s="27">
        <v>0</v>
      </c>
      <c r="J1892" s="27">
        <v>0</v>
      </c>
      <c r="K1892" s="63">
        <f>AVERAGE(I1892:J1892)</f>
        <v>0</v>
      </c>
      <c r="L1892" s="56" t="str">
        <f>"EQP-LAWPACK2"</f>
        <v>EQP-LAWPACK2</v>
      </c>
      <c r="M1892" s="14"/>
      <c r="N1892" s="15"/>
      <c r="O1892" s="12"/>
      <c r="P1892" s="34"/>
      <c r="Q1892" s="37"/>
      <c r="R1892" s="47"/>
      <c r="S1892" s="46"/>
    </row>
    <row r="1893" spans="1:19" ht="15.6" hidden="1" customHeight="1" thickBot="1" x14ac:dyDescent="0.3">
      <c r="A1893" t="s">
        <v>23</v>
      </c>
      <c r="B1893" s="60" t="str">
        <f t="shared" si="1351"/>
        <v>hide</v>
      </c>
      <c r="D1893" s="48" t="str">
        <f>D1892</f>
        <v>22109</v>
      </c>
      <c r="E1893" s="7"/>
      <c r="F1893" s="27">
        <v>0</v>
      </c>
      <c r="G1893" s="27">
        <v>0</v>
      </c>
      <c r="H1893" s="27">
        <v>0</v>
      </c>
      <c r="I1893" s="27">
        <v>0</v>
      </c>
      <c r="J1893" s="27">
        <v>0</v>
      </c>
      <c r="K1893" s="63">
        <f>AVERAGE(I1893:J1893)</f>
        <v>0</v>
      </c>
      <c r="L1893" s="56" t="str">
        <f>"SW-COMAS-PACKL"</f>
        <v>SW-COMAS-PACKL</v>
      </c>
      <c r="M1893" s="14"/>
      <c r="N1893" s="15"/>
      <c r="O1893" s="12"/>
      <c r="P1893" s="34"/>
      <c r="Q1893" s="37"/>
      <c r="R1893" s="47"/>
      <c r="S1893" s="46"/>
    </row>
    <row r="1894" spans="1:19" ht="15.6" hidden="1" customHeight="1" thickBot="1" x14ac:dyDescent="0.3">
      <c r="A1894" t="s">
        <v>23</v>
      </c>
      <c r="B1894" s="60" t="str">
        <f t="shared" si="1351"/>
        <v>hide</v>
      </c>
      <c r="D1894" s="48" t="str">
        <f>D1893</f>
        <v>22109</v>
      </c>
      <c r="E1894" s="7"/>
      <c r="F1894" s="27">
        <v>0</v>
      </c>
      <c r="G1894" s="27">
        <v>0</v>
      </c>
      <c r="H1894" s="27">
        <v>0</v>
      </c>
      <c r="I1894" s="27">
        <v>0</v>
      </c>
      <c r="J1894" s="27">
        <v>0</v>
      </c>
      <c r="K1894" s="63">
        <f>AVERAGE(I1894:J1894)</f>
        <v>0</v>
      </c>
      <c r="L1894" s="56" t="str">
        <f>"SW-RISER-PACK"</f>
        <v>SW-RISER-PACK</v>
      </c>
      <c r="M1894" s="14"/>
      <c r="N1894" s="15"/>
      <c r="O1894" s="12"/>
      <c r="P1894" s="34"/>
      <c r="Q1894" s="37"/>
      <c r="R1894" s="47"/>
      <c r="S1894" s="46"/>
    </row>
    <row r="1895" spans="1:19" ht="12" hidden="1" customHeight="1" x14ac:dyDescent="0.3">
      <c r="A1895" s="35" t="s">
        <v>908</v>
      </c>
      <c r="B1895" s="49" t="str">
        <f>B1891</f>
        <v>hide</v>
      </c>
      <c r="N1895"/>
      <c r="Q1895" s="33"/>
    </row>
    <row r="1896" spans="1:19" ht="13.8" hidden="1" thickBot="1" x14ac:dyDescent="0.3">
      <c r="A1896" t="s">
        <v>23</v>
      </c>
      <c r="B1896" s="49" t="str">
        <f t="shared" ref="B1896" si="1352">B1895</f>
        <v>hide</v>
      </c>
      <c r="D1896" s="58"/>
      <c r="E1896" s="58"/>
      <c r="F1896" s="52">
        <f>SUM(F1891:F1895)</f>
        <v>0</v>
      </c>
      <c r="G1896" s="52">
        <f>SUM(G1891:G1895)</f>
        <v>0</v>
      </c>
      <c r="H1896" s="52">
        <f>SUM(H1891:H1895)</f>
        <v>0</v>
      </c>
      <c r="I1896" s="52">
        <f>SUM(I1891:I1895)</f>
        <v>0</v>
      </c>
      <c r="J1896" s="52">
        <f>SUM(J1891:J1895)</f>
        <v>0</v>
      </c>
      <c r="K1896" s="52"/>
      <c r="L1896" s="51" t="s">
        <v>4</v>
      </c>
      <c r="M1896" s="58"/>
      <c r="N1896" s="58"/>
      <c r="O1896" s="58"/>
      <c r="P1896" s="58"/>
      <c r="Q1896" s="58"/>
      <c r="R1896" s="58"/>
      <c r="S1896" s="58"/>
    </row>
    <row r="1897" spans="1:19" s="59" customFormat="1" ht="18.75" customHeight="1" thickBot="1" x14ac:dyDescent="0.3">
      <c r="A1897" s="59" t="s">
        <v>23</v>
      </c>
      <c r="B1897" s="60" t="str">
        <f t="shared" ref="B1897:B1898" si="1353">IF(K1897=0,"hide","")</f>
        <v/>
      </c>
      <c r="D1897" s="61" t="str">
        <f>"22110"</f>
        <v>22110</v>
      </c>
      <c r="E1897" s="62" t="str">
        <f>"2"</f>
        <v>2</v>
      </c>
      <c r="F1897" s="63">
        <v>58.333333333333336</v>
      </c>
      <c r="G1897" s="63">
        <v>21.75</v>
      </c>
      <c r="H1897" s="63">
        <v>54.583333333333336</v>
      </c>
      <c r="I1897" s="63">
        <v>10.666666666666666</v>
      </c>
      <c r="J1897" s="63">
        <v>30.277590361445789</v>
      </c>
      <c r="K1897" s="63">
        <f>AVERAGE(I1897:J1897)</f>
        <v>20.472128514056227</v>
      </c>
      <c r="L1897" s="64" t="str">
        <f>"CHOCOLATE CHIP MUFFINS"</f>
        <v>CHOCOLATE CHIP MUFFINS</v>
      </c>
      <c r="M1897" s="65" t="str">
        <f>"96-2 oz. 8 trays of 12"</f>
        <v>96-2 oz. 8 trays of 12</v>
      </c>
      <c r="N1897" s="66">
        <v>96</v>
      </c>
      <c r="O1897" s="67" t="str">
        <f>""</f>
        <v/>
      </c>
      <c r="P1897" s="68" t="e">
        <f>1/O1897</f>
        <v>#VALUE!</v>
      </c>
      <c r="Q1897" s="53">
        <v>1</v>
      </c>
      <c r="R1897" s="69">
        <f t="shared" ref="R1897" si="1354">1/Q1897</f>
        <v>1</v>
      </c>
      <c r="S1897" s="70">
        <f t="shared" ref="S1897" si="1355">R1897*N1897</f>
        <v>96</v>
      </c>
    </row>
    <row r="1898" spans="1:19" ht="15.6" hidden="1" customHeight="1" thickBot="1" x14ac:dyDescent="0.3">
      <c r="A1898" t="s">
        <v>23</v>
      </c>
      <c r="B1898" s="60" t="str">
        <f t="shared" si="1353"/>
        <v>hide</v>
      </c>
      <c r="D1898" s="48" t="str">
        <f>D1897</f>
        <v>22110</v>
      </c>
      <c r="E1898" s="7"/>
      <c r="F1898" s="27">
        <v>0</v>
      </c>
      <c r="G1898" s="27">
        <v>0</v>
      </c>
      <c r="H1898" s="27">
        <v>0</v>
      </c>
      <c r="I1898" s="27">
        <v>0</v>
      </c>
      <c r="J1898" s="27">
        <v>0</v>
      </c>
      <c r="K1898" s="63">
        <f>AVERAGE(I1898:J1898)</f>
        <v>0</v>
      </c>
      <c r="L1898" s="56" t="str">
        <f>"EQP-LAWPACK1"</f>
        <v>EQP-LAWPACK1</v>
      </c>
      <c r="M1898" s="14"/>
      <c r="N1898" s="15"/>
      <c r="O1898" s="12"/>
      <c r="P1898" s="34"/>
      <c r="Q1898" s="37"/>
      <c r="R1898" s="47"/>
      <c r="S1898" s="46"/>
    </row>
    <row r="1899" spans="1:19" ht="15.6" hidden="1" customHeight="1" thickBot="1" x14ac:dyDescent="0.3">
      <c r="A1899" t="s">
        <v>23</v>
      </c>
      <c r="B1899" s="60" t="str">
        <f t="shared" ref="B1899:B1901" si="1356">IF(K1899=0,"hide","")</f>
        <v>hide</v>
      </c>
      <c r="D1899" s="48" t="str">
        <f>D1898</f>
        <v>22110</v>
      </c>
      <c r="E1899" s="7"/>
      <c r="F1899" s="27">
        <v>0</v>
      </c>
      <c r="G1899" s="27">
        <v>0</v>
      </c>
      <c r="H1899" s="27">
        <v>0</v>
      </c>
      <c r="I1899" s="27">
        <v>0</v>
      </c>
      <c r="J1899" s="27">
        <v>0</v>
      </c>
      <c r="K1899" s="63">
        <f>AVERAGE(I1899:J1899)</f>
        <v>0</v>
      </c>
      <c r="L1899" s="56" t="str">
        <f>"EQP-LAWPACK2"</f>
        <v>EQP-LAWPACK2</v>
      </c>
      <c r="M1899" s="14"/>
      <c r="N1899" s="15"/>
      <c r="O1899" s="12"/>
      <c r="P1899" s="34"/>
      <c r="Q1899" s="37"/>
      <c r="R1899" s="47"/>
      <c r="S1899" s="46"/>
    </row>
    <row r="1900" spans="1:19" ht="15.6" hidden="1" customHeight="1" thickBot="1" x14ac:dyDescent="0.3">
      <c r="A1900" t="s">
        <v>23</v>
      </c>
      <c r="B1900" s="60" t="str">
        <f t="shared" si="1356"/>
        <v>hide</v>
      </c>
      <c r="D1900" s="48" t="str">
        <f>D1899</f>
        <v>22110</v>
      </c>
      <c r="E1900" s="7"/>
      <c r="F1900" s="27">
        <v>0</v>
      </c>
      <c r="G1900" s="27">
        <v>0</v>
      </c>
      <c r="H1900" s="27">
        <v>0</v>
      </c>
      <c r="I1900" s="27">
        <v>0</v>
      </c>
      <c r="J1900" s="27">
        <v>0</v>
      </c>
      <c r="K1900" s="63">
        <f>AVERAGE(I1900:J1900)</f>
        <v>0</v>
      </c>
      <c r="L1900" s="56" t="str">
        <f>"SW-COMAS-PACKL"</f>
        <v>SW-COMAS-PACKL</v>
      </c>
      <c r="M1900" s="14"/>
      <c r="N1900" s="15"/>
      <c r="O1900" s="12"/>
      <c r="P1900" s="34"/>
      <c r="Q1900" s="37"/>
      <c r="R1900" s="47"/>
      <c r="S1900" s="46"/>
    </row>
    <row r="1901" spans="1:19" ht="15.6" hidden="1" customHeight="1" thickBot="1" x14ac:dyDescent="0.3">
      <c r="A1901" t="s">
        <v>23</v>
      </c>
      <c r="B1901" s="60" t="str">
        <f t="shared" si="1356"/>
        <v>hide</v>
      </c>
      <c r="D1901" s="48" t="str">
        <f>D1900</f>
        <v>22110</v>
      </c>
      <c r="E1901" s="7"/>
      <c r="F1901" s="27">
        <v>0</v>
      </c>
      <c r="G1901" s="27">
        <v>0</v>
      </c>
      <c r="H1901" s="27">
        <v>0</v>
      </c>
      <c r="I1901" s="27">
        <v>0</v>
      </c>
      <c r="J1901" s="27">
        <v>0</v>
      </c>
      <c r="K1901" s="63">
        <f>AVERAGE(I1901:J1901)</f>
        <v>0</v>
      </c>
      <c r="L1901" s="56" t="str">
        <f>"SW-RISER-PACK"</f>
        <v>SW-RISER-PACK</v>
      </c>
      <c r="M1901" s="14"/>
      <c r="N1901" s="15"/>
      <c r="O1901" s="12"/>
      <c r="P1901" s="34"/>
      <c r="Q1901" s="37"/>
      <c r="R1901" s="47"/>
      <c r="S1901" s="46"/>
    </row>
    <row r="1902" spans="1:19" ht="12" hidden="1" customHeight="1" x14ac:dyDescent="0.3">
      <c r="A1902" s="35" t="s">
        <v>908</v>
      </c>
      <c r="B1902" s="49" t="str">
        <f>B1898</f>
        <v>hide</v>
      </c>
      <c r="N1902"/>
      <c r="Q1902" s="33"/>
    </row>
    <row r="1903" spans="1:19" ht="13.8" hidden="1" thickBot="1" x14ac:dyDescent="0.3">
      <c r="A1903" t="s">
        <v>23</v>
      </c>
      <c r="B1903" s="49" t="str">
        <f t="shared" ref="B1903" si="1357">B1902</f>
        <v>hide</v>
      </c>
      <c r="D1903" s="58"/>
      <c r="E1903" s="58"/>
      <c r="F1903" s="52">
        <f>SUM(F1898:F1902)</f>
        <v>0</v>
      </c>
      <c r="G1903" s="52">
        <f>SUM(G1898:G1902)</f>
        <v>0</v>
      </c>
      <c r="H1903" s="52">
        <f>SUM(H1898:H1902)</f>
        <v>0</v>
      </c>
      <c r="I1903" s="52">
        <f>SUM(I1898:I1902)</f>
        <v>0</v>
      </c>
      <c r="J1903" s="52">
        <f>SUM(J1898:J1902)</f>
        <v>0</v>
      </c>
      <c r="K1903" s="52"/>
      <c r="L1903" s="51" t="s">
        <v>4</v>
      </c>
      <c r="M1903" s="58"/>
      <c r="N1903" s="58"/>
      <c r="O1903" s="58"/>
      <c r="P1903" s="58"/>
      <c r="Q1903" s="58"/>
      <c r="R1903" s="58"/>
      <c r="S1903" s="58"/>
    </row>
    <row r="1904" spans="1:19" s="59" customFormat="1" ht="18.75" hidden="1" customHeight="1" thickBot="1" x14ac:dyDescent="0.3">
      <c r="A1904" s="59" t="s">
        <v>23</v>
      </c>
      <c r="B1904" s="60" t="str">
        <f t="shared" ref="B1904:B1905" si="1358">IF(K1904=0,"hide","")</f>
        <v>hide</v>
      </c>
      <c r="D1904" s="61" t="str">
        <f>"22111"</f>
        <v>22111</v>
      </c>
      <c r="E1904" s="62" t="str">
        <f>"1"</f>
        <v>1</v>
      </c>
      <c r="F1904" s="63">
        <v>37.750000000000007</v>
      </c>
      <c r="G1904" s="63">
        <v>18.666666666666668</v>
      </c>
      <c r="H1904" s="63">
        <v>5.333333333333333</v>
      </c>
      <c r="I1904" s="63">
        <v>0</v>
      </c>
      <c r="J1904" s="63">
        <v>0</v>
      </c>
      <c r="K1904" s="63">
        <f>AVERAGE(I1904:J1904)</f>
        <v>0</v>
      </c>
      <c r="L1904" s="64" t="str">
        <f>"Carrot Muffin"</f>
        <v>Carrot Muffin</v>
      </c>
      <c r="M1904" s="65" t="str">
        <f>"96/2 oz"</f>
        <v>96/2 oz</v>
      </c>
      <c r="N1904" s="66">
        <v>96</v>
      </c>
      <c r="O1904" s="67" t="str">
        <f>""</f>
        <v/>
      </c>
      <c r="P1904" s="68" t="e">
        <f>1/O1904</f>
        <v>#VALUE!</v>
      </c>
      <c r="Q1904" s="53">
        <v>1</v>
      </c>
      <c r="R1904" s="69">
        <f t="shared" ref="R1904" si="1359">1/Q1904</f>
        <v>1</v>
      </c>
      <c r="S1904" s="70">
        <f t="shared" ref="S1904" si="1360">R1904*N1904</f>
        <v>96</v>
      </c>
    </row>
    <row r="1905" spans="1:19" ht="15.6" hidden="1" customHeight="1" thickBot="1" x14ac:dyDescent="0.3">
      <c r="A1905" t="s">
        <v>23</v>
      </c>
      <c r="B1905" s="60" t="str">
        <f t="shared" si="1358"/>
        <v>hide</v>
      </c>
      <c r="D1905" s="48" t="str">
        <f>D1904</f>
        <v>22111</v>
      </c>
      <c r="E1905" s="7"/>
      <c r="F1905" s="27">
        <v>0</v>
      </c>
      <c r="G1905" s="27">
        <v>0</v>
      </c>
      <c r="H1905" s="27">
        <v>0</v>
      </c>
      <c r="I1905" s="27">
        <v>0</v>
      </c>
      <c r="J1905" s="27">
        <v>0</v>
      </c>
      <c r="K1905" s="63">
        <f>AVERAGE(I1905:J1905)</f>
        <v>0</v>
      </c>
      <c r="L1905" s="56" t="str">
        <f>"EQP-LAWPACK1"</f>
        <v>EQP-LAWPACK1</v>
      </c>
      <c r="M1905" s="14"/>
      <c r="N1905" s="15"/>
      <c r="O1905" s="12"/>
      <c r="P1905" s="34"/>
      <c r="Q1905" s="37"/>
      <c r="R1905" s="47"/>
      <c r="S1905" s="46"/>
    </row>
    <row r="1906" spans="1:19" ht="15.6" hidden="1" customHeight="1" thickBot="1" x14ac:dyDescent="0.3">
      <c r="A1906" t="s">
        <v>23</v>
      </c>
      <c r="B1906" s="60" t="str">
        <f t="shared" ref="B1906:B1908" si="1361">IF(K1906=0,"hide","")</f>
        <v>hide</v>
      </c>
      <c r="D1906" s="48" t="str">
        <f>D1905</f>
        <v>22111</v>
      </c>
      <c r="E1906" s="7"/>
      <c r="F1906" s="27">
        <v>0</v>
      </c>
      <c r="G1906" s="27">
        <v>0</v>
      </c>
      <c r="H1906" s="27">
        <v>0</v>
      </c>
      <c r="I1906" s="27">
        <v>0</v>
      </c>
      <c r="J1906" s="27">
        <v>0</v>
      </c>
      <c r="K1906" s="63">
        <f>AVERAGE(I1906:J1906)</f>
        <v>0</v>
      </c>
      <c r="L1906" s="56" t="str">
        <f>"EQP-LAWPACK2"</f>
        <v>EQP-LAWPACK2</v>
      </c>
      <c r="M1906" s="14"/>
      <c r="N1906" s="15"/>
      <c r="O1906" s="12"/>
      <c r="P1906" s="34"/>
      <c r="Q1906" s="37"/>
      <c r="R1906" s="47"/>
      <c r="S1906" s="46"/>
    </row>
    <row r="1907" spans="1:19" ht="15.6" hidden="1" customHeight="1" thickBot="1" x14ac:dyDescent="0.3">
      <c r="A1907" t="s">
        <v>23</v>
      </c>
      <c r="B1907" s="60" t="str">
        <f t="shared" si="1361"/>
        <v>hide</v>
      </c>
      <c r="D1907" s="48" t="str">
        <f>D1906</f>
        <v>22111</v>
      </c>
      <c r="E1907" s="7"/>
      <c r="F1907" s="27">
        <v>0</v>
      </c>
      <c r="G1907" s="27">
        <v>0</v>
      </c>
      <c r="H1907" s="27">
        <v>0</v>
      </c>
      <c r="I1907" s="27">
        <v>0</v>
      </c>
      <c r="J1907" s="27">
        <v>0</v>
      </c>
      <c r="K1907" s="63">
        <f>AVERAGE(I1907:J1907)</f>
        <v>0</v>
      </c>
      <c r="L1907" s="56" t="str">
        <f>"SW-COMAS-PACKL"</f>
        <v>SW-COMAS-PACKL</v>
      </c>
      <c r="M1907" s="14"/>
      <c r="N1907" s="15"/>
      <c r="O1907" s="12"/>
      <c r="P1907" s="34"/>
      <c r="Q1907" s="37"/>
      <c r="R1907" s="47"/>
      <c r="S1907" s="46"/>
    </row>
    <row r="1908" spans="1:19" ht="15.6" hidden="1" customHeight="1" thickBot="1" x14ac:dyDescent="0.3">
      <c r="A1908" t="s">
        <v>23</v>
      </c>
      <c r="B1908" s="60" t="str">
        <f t="shared" si="1361"/>
        <v>hide</v>
      </c>
      <c r="D1908" s="48" t="str">
        <f>D1907</f>
        <v>22111</v>
      </c>
      <c r="E1908" s="7"/>
      <c r="F1908" s="27">
        <v>0</v>
      </c>
      <c r="G1908" s="27">
        <v>0</v>
      </c>
      <c r="H1908" s="27">
        <v>0</v>
      </c>
      <c r="I1908" s="27">
        <v>0</v>
      </c>
      <c r="J1908" s="27">
        <v>0</v>
      </c>
      <c r="K1908" s="63">
        <f>AVERAGE(I1908:J1908)</f>
        <v>0</v>
      </c>
      <c r="L1908" s="56" t="str">
        <f>"SW-RISER-PACK"</f>
        <v>SW-RISER-PACK</v>
      </c>
      <c r="M1908" s="14"/>
      <c r="N1908" s="15"/>
      <c r="O1908" s="12"/>
      <c r="P1908" s="34"/>
      <c r="Q1908" s="37"/>
      <c r="R1908" s="47"/>
      <c r="S1908" s="46"/>
    </row>
    <row r="1909" spans="1:19" ht="12" hidden="1" customHeight="1" x14ac:dyDescent="0.3">
      <c r="A1909" s="35" t="s">
        <v>908</v>
      </c>
      <c r="B1909" s="49" t="str">
        <f>B1905</f>
        <v>hide</v>
      </c>
      <c r="N1909"/>
      <c r="Q1909" s="33"/>
    </row>
    <row r="1910" spans="1:19" ht="13.8" hidden="1" thickBot="1" x14ac:dyDescent="0.3">
      <c r="A1910" t="s">
        <v>23</v>
      </c>
      <c r="B1910" s="49" t="str">
        <f t="shared" ref="B1910" si="1362">B1909</f>
        <v>hide</v>
      </c>
      <c r="D1910" s="58"/>
      <c r="E1910" s="58"/>
      <c r="F1910" s="52">
        <f>SUM(F1905:F1909)</f>
        <v>0</v>
      </c>
      <c r="G1910" s="52">
        <f>SUM(G1905:G1909)</f>
        <v>0</v>
      </c>
      <c r="H1910" s="52">
        <f>SUM(H1905:H1909)</f>
        <v>0</v>
      </c>
      <c r="I1910" s="52">
        <f>SUM(I1905:I1909)</f>
        <v>0</v>
      </c>
      <c r="J1910" s="52">
        <f>SUM(J1905:J1909)</f>
        <v>0</v>
      </c>
      <c r="K1910" s="52"/>
      <c r="L1910" s="51" t="s">
        <v>4</v>
      </c>
      <c r="M1910" s="58"/>
      <c r="N1910" s="58"/>
      <c r="O1910" s="58"/>
      <c r="P1910" s="58"/>
      <c r="Q1910" s="58"/>
      <c r="R1910" s="58"/>
      <c r="S1910" s="58"/>
    </row>
    <row r="1911" spans="1:19" s="59" customFormat="1" ht="18.75" hidden="1" customHeight="1" thickBot="1" x14ac:dyDescent="0.3">
      <c r="A1911" s="59" t="s">
        <v>23</v>
      </c>
      <c r="B1911" s="60" t="str">
        <f t="shared" ref="B1911:B1912" si="1363">IF(K1911=0,"hide","")</f>
        <v>hide</v>
      </c>
      <c r="D1911" s="61" t="str">
        <f>"22151"</f>
        <v>22151</v>
      </c>
      <c r="E1911" s="62" t="str">
        <f>"2"</f>
        <v>2</v>
      </c>
      <c r="F1911" s="63">
        <v>102.33333333333333</v>
      </c>
      <c r="G1911" s="63">
        <v>18.666666666666668</v>
      </c>
      <c r="H1911" s="63">
        <v>5.5</v>
      </c>
      <c r="I1911" s="63">
        <v>0</v>
      </c>
      <c r="J1911" s="63">
        <v>0</v>
      </c>
      <c r="K1911" s="63">
        <f>AVERAGE(I1911:J1911)</f>
        <v>0</v>
      </c>
      <c r="L1911" s="64" t="str">
        <f>"BANANA MUFFINS"</f>
        <v>BANANA MUFFINS</v>
      </c>
      <c r="M1911" s="65" t="str">
        <f>"96-2 oz. 8 trays of 12"</f>
        <v>96-2 oz. 8 trays of 12</v>
      </c>
      <c r="N1911" s="66">
        <v>96</v>
      </c>
      <c r="O1911" s="67" t="str">
        <f>""</f>
        <v/>
      </c>
      <c r="P1911" s="68" t="e">
        <f>1/O1911</f>
        <v>#VALUE!</v>
      </c>
      <c r="Q1911" s="53">
        <v>1</v>
      </c>
      <c r="R1911" s="69">
        <f t="shared" ref="R1911" si="1364">1/Q1911</f>
        <v>1</v>
      </c>
      <c r="S1911" s="70">
        <f t="shared" ref="S1911" si="1365">R1911*N1911</f>
        <v>96</v>
      </c>
    </row>
    <row r="1912" spans="1:19" ht="15.6" hidden="1" customHeight="1" thickBot="1" x14ac:dyDescent="0.3">
      <c r="A1912" t="s">
        <v>23</v>
      </c>
      <c r="B1912" s="60" t="str">
        <f t="shared" si="1363"/>
        <v>hide</v>
      </c>
      <c r="D1912" s="48" t="str">
        <f>D1911</f>
        <v>22151</v>
      </c>
      <c r="E1912" s="7"/>
      <c r="F1912" s="27">
        <v>0</v>
      </c>
      <c r="G1912" s="27">
        <v>0</v>
      </c>
      <c r="H1912" s="27">
        <v>0</v>
      </c>
      <c r="I1912" s="27">
        <v>0</v>
      </c>
      <c r="J1912" s="27">
        <v>0</v>
      </c>
      <c r="K1912" s="63">
        <f>AVERAGE(I1912:J1912)</f>
        <v>0</v>
      </c>
      <c r="L1912" s="56" t="str">
        <f>"EQP-LAWPACK1"</f>
        <v>EQP-LAWPACK1</v>
      </c>
      <c r="M1912" s="14"/>
      <c r="N1912" s="15"/>
      <c r="O1912" s="12"/>
      <c r="P1912" s="34"/>
      <c r="Q1912" s="37"/>
      <c r="R1912" s="47"/>
      <c r="S1912" s="46"/>
    </row>
    <row r="1913" spans="1:19" ht="15.6" hidden="1" customHeight="1" thickBot="1" x14ac:dyDescent="0.3">
      <c r="A1913" t="s">
        <v>23</v>
      </c>
      <c r="B1913" s="60" t="str">
        <f t="shared" ref="B1913:B1915" si="1366">IF(K1913=0,"hide","")</f>
        <v>hide</v>
      </c>
      <c r="D1913" s="48" t="str">
        <f>D1912</f>
        <v>22151</v>
      </c>
      <c r="E1913" s="7"/>
      <c r="F1913" s="27">
        <v>0</v>
      </c>
      <c r="G1913" s="27">
        <v>0</v>
      </c>
      <c r="H1913" s="27">
        <v>0</v>
      </c>
      <c r="I1913" s="27">
        <v>0</v>
      </c>
      <c r="J1913" s="27">
        <v>0</v>
      </c>
      <c r="K1913" s="63">
        <f>AVERAGE(I1913:J1913)</f>
        <v>0</v>
      </c>
      <c r="L1913" s="56" t="str">
        <f>"EQP-LAWPACK2"</f>
        <v>EQP-LAWPACK2</v>
      </c>
      <c r="M1913" s="14"/>
      <c r="N1913" s="15"/>
      <c r="O1913" s="12"/>
      <c r="P1913" s="34"/>
      <c r="Q1913" s="37"/>
      <c r="R1913" s="47"/>
      <c r="S1913" s="46"/>
    </row>
    <row r="1914" spans="1:19" ht="15.6" hidden="1" customHeight="1" thickBot="1" x14ac:dyDescent="0.3">
      <c r="A1914" t="s">
        <v>23</v>
      </c>
      <c r="B1914" s="60" t="str">
        <f t="shared" si="1366"/>
        <v>hide</v>
      </c>
      <c r="D1914" s="48" t="str">
        <f>D1913</f>
        <v>22151</v>
      </c>
      <c r="E1914" s="7"/>
      <c r="F1914" s="27">
        <v>0</v>
      </c>
      <c r="G1914" s="27">
        <v>0</v>
      </c>
      <c r="H1914" s="27">
        <v>0</v>
      </c>
      <c r="I1914" s="27">
        <v>0</v>
      </c>
      <c r="J1914" s="27">
        <v>0</v>
      </c>
      <c r="K1914" s="63">
        <f>AVERAGE(I1914:J1914)</f>
        <v>0</v>
      </c>
      <c r="L1914" s="56" t="str">
        <f>"SW-COMAS-PACKL"</f>
        <v>SW-COMAS-PACKL</v>
      </c>
      <c r="M1914" s="14"/>
      <c r="N1914" s="15"/>
      <c r="O1914" s="12"/>
      <c r="P1914" s="34"/>
      <c r="Q1914" s="37"/>
      <c r="R1914" s="47"/>
      <c r="S1914" s="46"/>
    </row>
    <row r="1915" spans="1:19" ht="15.6" hidden="1" customHeight="1" thickBot="1" x14ac:dyDescent="0.3">
      <c r="A1915" t="s">
        <v>23</v>
      </c>
      <c r="B1915" s="60" t="str">
        <f t="shared" si="1366"/>
        <v>hide</v>
      </c>
      <c r="D1915" s="48" t="str">
        <f>D1914</f>
        <v>22151</v>
      </c>
      <c r="E1915" s="7"/>
      <c r="F1915" s="27">
        <v>0</v>
      </c>
      <c r="G1915" s="27">
        <v>0</v>
      </c>
      <c r="H1915" s="27">
        <v>0</v>
      </c>
      <c r="I1915" s="27">
        <v>0</v>
      </c>
      <c r="J1915" s="27">
        <v>0</v>
      </c>
      <c r="K1915" s="63">
        <f>AVERAGE(I1915:J1915)</f>
        <v>0</v>
      </c>
      <c r="L1915" s="56" t="str">
        <f>"SW-RISER-PACK"</f>
        <v>SW-RISER-PACK</v>
      </c>
      <c r="M1915" s="14"/>
      <c r="N1915" s="15"/>
      <c r="O1915" s="12"/>
      <c r="P1915" s="34"/>
      <c r="Q1915" s="37"/>
      <c r="R1915" s="47"/>
      <c r="S1915" s="46"/>
    </row>
    <row r="1916" spans="1:19" ht="12" hidden="1" customHeight="1" x14ac:dyDescent="0.3">
      <c r="A1916" s="35" t="s">
        <v>908</v>
      </c>
      <c r="B1916" s="49" t="str">
        <f>B1912</f>
        <v>hide</v>
      </c>
      <c r="N1916"/>
      <c r="Q1916" s="33"/>
    </row>
    <row r="1917" spans="1:19" ht="13.8" hidden="1" thickBot="1" x14ac:dyDescent="0.3">
      <c r="A1917" t="s">
        <v>23</v>
      </c>
      <c r="B1917" s="49" t="str">
        <f t="shared" ref="B1917" si="1367">B1916</f>
        <v>hide</v>
      </c>
      <c r="D1917" s="58"/>
      <c r="E1917" s="58"/>
      <c r="F1917" s="52">
        <f>SUM(F1912:F1916)</f>
        <v>0</v>
      </c>
      <c r="G1917" s="52">
        <f>SUM(G1912:G1916)</f>
        <v>0</v>
      </c>
      <c r="H1917" s="52">
        <f>SUM(H1912:H1916)</f>
        <v>0</v>
      </c>
      <c r="I1917" s="52">
        <f>SUM(I1912:I1916)</f>
        <v>0</v>
      </c>
      <c r="J1917" s="52">
        <f>SUM(J1912:J1916)</f>
        <v>0</v>
      </c>
      <c r="K1917" s="52"/>
      <c r="L1917" s="51" t="s">
        <v>4</v>
      </c>
      <c r="M1917" s="58"/>
      <c r="N1917" s="58"/>
      <c r="O1917" s="58"/>
      <c r="P1917" s="58"/>
      <c r="Q1917" s="58"/>
      <c r="R1917" s="58"/>
      <c r="S1917" s="58"/>
    </row>
    <row r="1918" spans="1:19" s="59" customFormat="1" ht="18.75" hidden="1" customHeight="1" thickBot="1" x14ac:dyDescent="0.3">
      <c r="A1918" s="59" t="s">
        <v>23</v>
      </c>
      <c r="B1918" s="60" t="str">
        <f t="shared" ref="B1918:B1919" si="1368">IF(K1918=0,"hide","")</f>
        <v>hide</v>
      </c>
      <c r="D1918" s="61" t="str">
        <f>"22801"</f>
        <v>22801</v>
      </c>
      <c r="E1918" s="62" t="str">
        <f>"2"</f>
        <v>2</v>
      </c>
      <c r="F1918" s="63">
        <v>0</v>
      </c>
      <c r="G1918" s="63">
        <v>0</v>
      </c>
      <c r="H1918" s="63">
        <v>0</v>
      </c>
      <c r="I1918" s="63">
        <v>0</v>
      </c>
      <c r="J1918" s="63">
        <v>0</v>
      </c>
      <c r="K1918" s="63">
        <f>AVERAGE(I1918:J1918)</f>
        <v>0</v>
      </c>
      <c r="L1918" s="64" t="str">
        <f>"BLUEBERRY MUFFINS"</f>
        <v>BLUEBERRY MUFFINS</v>
      </c>
      <c r="M1918" s="65" t="str">
        <f>"96-2 oz. 8 trays of 12"</f>
        <v>96-2 oz. 8 trays of 12</v>
      </c>
      <c r="N1918" s="66">
        <v>96</v>
      </c>
      <c r="O1918" s="67" t="str">
        <f>""</f>
        <v/>
      </c>
      <c r="P1918" s="68" t="e">
        <f>1/O1918</f>
        <v>#VALUE!</v>
      </c>
      <c r="Q1918" s="53">
        <v>1</v>
      </c>
      <c r="R1918" s="69">
        <f t="shared" ref="R1918" si="1369">1/Q1918</f>
        <v>1</v>
      </c>
      <c r="S1918" s="70">
        <f t="shared" ref="S1918" si="1370">R1918*N1918</f>
        <v>96</v>
      </c>
    </row>
    <row r="1919" spans="1:19" ht="15.6" hidden="1" customHeight="1" thickBot="1" x14ac:dyDescent="0.3">
      <c r="A1919" t="s">
        <v>23</v>
      </c>
      <c r="B1919" s="60" t="str">
        <f t="shared" si="1368"/>
        <v>hide</v>
      </c>
      <c r="D1919" s="48" t="str">
        <f>D1918</f>
        <v>22801</v>
      </c>
      <c r="E1919" s="7"/>
      <c r="F1919" s="27">
        <v>0</v>
      </c>
      <c r="G1919" s="27">
        <v>0</v>
      </c>
      <c r="H1919" s="27">
        <v>0</v>
      </c>
      <c r="I1919" s="27">
        <v>0</v>
      </c>
      <c r="J1919" s="27">
        <v>0</v>
      </c>
      <c r="K1919" s="63">
        <f>AVERAGE(I1919:J1919)</f>
        <v>0</v>
      </c>
      <c r="L1919" s="56" t="str">
        <f>"EQP-LAWPACK1"</f>
        <v>EQP-LAWPACK1</v>
      </c>
      <c r="M1919" s="14"/>
      <c r="N1919" s="15"/>
      <c r="O1919" s="12"/>
      <c r="P1919" s="34"/>
      <c r="Q1919" s="37"/>
      <c r="R1919" s="47"/>
      <c r="S1919" s="46"/>
    </row>
    <row r="1920" spans="1:19" ht="15.6" hidden="1" customHeight="1" thickBot="1" x14ac:dyDescent="0.3">
      <c r="A1920" t="s">
        <v>23</v>
      </c>
      <c r="B1920" s="60" t="str">
        <f t="shared" ref="B1920:B1922" si="1371">IF(K1920=0,"hide","")</f>
        <v>hide</v>
      </c>
      <c r="D1920" s="48" t="str">
        <f>D1919</f>
        <v>22801</v>
      </c>
      <c r="E1920" s="7"/>
      <c r="F1920" s="27">
        <v>0</v>
      </c>
      <c r="G1920" s="27">
        <v>0</v>
      </c>
      <c r="H1920" s="27">
        <v>0</v>
      </c>
      <c r="I1920" s="27">
        <v>0</v>
      </c>
      <c r="J1920" s="27">
        <v>0</v>
      </c>
      <c r="K1920" s="63">
        <f>AVERAGE(I1920:J1920)</f>
        <v>0</v>
      </c>
      <c r="L1920" s="56" t="str">
        <f>"EQP-LAWPACK2"</f>
        <v>EQP-LAWPACK2</v>
      </c>
      <c r="M1920" s="14"/>
      <c r="N1920" s="15"/>
      <c r="O1920" s="12"/>
      <c r="P1920" s="34"/>
      <c r="Q1920" s="37"/>
      <c r="R1920" s="47"/>
      <c r="S1920" s="46"/>
    </row>
    <row r="1921" spans="1:19" ht="15.6" hidden="1" customHeight="1" thickBot="1" x14ac:dyDescent="0.3">
      <c r="A1921" t="s">
        <v>23</v>
      </c>
      <c r="B1921" s="60" t="str">
        <f t="shared" si="1371"/>
        <v>hide</v>
      </c>
      <c r="D1921" s="48" t="str">
        <f>D1920</f>
        <v>22801</v>
      </c>
      <c r="E1921" s="7"/>
      <c r="F1921" s="27">
        <v>0</v>
      </c>
      <c r="G1921" s="27">
        <v>0</v>
      </c>
      <c r="H1921" s="27">
        <v>0</v>
      </c>
      <c r="I1921" s="27">
        <v>0</v>
      </c>
      <c r="J1921" s="27">
        <v>0</v>
      </c>
      <c r="K1921" s="63">
        <f>AVERAGE(I1921:J1921)</f>
        <v>0</v>
      </c>
      <c r="L1921" s="56" t="str">
        <f>"SW-COMAS-PACKL"</f>
        <v>SW-COMAS-PACKL</v>
      </c>
      <c r="M1921" s="14"/>
      <c r="N1921" s="15"/>
      <c r="O1921" s="12"/>
      <c r="P1921" s="34"/>
      <c r="Q1921" s="37"/>
      <c r="R1921" s="47"/>
      <c r="S1921" s="46"/>
    </row>
    <row r="1922" spans="1:19" ht="15.6" hidden="1" customHeight="1" thickBot="1" x14ac:dyDescent="0.3">
      <c r="A1922" t="s">
        <v>23</v>
      </c>
      <c r="B1922" s="60" t="str">
        <f t="shared" si="1371"/>
        <v>hide</v>
      </c>
      <c r="D1922" s="48" t="str">
        <f>D1921</f>
        <v>22801</v>
      </c>
      <c r="E1922" s="7"/>
      <c r="F1922" s="27">
        <v>0</v>
      </c>
      <c r="G1922" s="27">
        <v>0</v>
      </c>
      <c r="H1922" s="27">
        <v>0</v>
      </c>
      <c r="I1922" s="27">
        <v>0</v>
      </c>
      <c r="J1922" s="27">
        <v>0</v>
      </c>
      <c r="K1922" s="63">
        <f>AVERAGE(I1922:J1922)</f>
        <v>0</v>
      </c>
      <c r="L1922" s="56" t="str">
        <f>"SW-RISER-PACK"</f>
        <v>SW-RISER-PACK</v>
      </c>
      <c r="M1922" s="14"/>
      <c r="N1922" s="15"/>
      <c r="O1922" s="12"/>
      <c r="P1922" s="34"/>
      <c r="Q1922" s="37"/>
      <c r="R1922" s="47"/>
      <c r="S1922" s="46"/>
    </row>
    <row r="1923" spans="1:19" ht="12" hidden="1" customHeight="1" x14ac:dyDescent="0.3">
      <c r="A1923" s="35" t="s">
        <v>908</v>
      </c>
      <c r="B1923" s="49" t="str">
        <f>B1919</f>
        <v>hide</v>
      </c>
      <c r="N1923"/>
      <c r="Q1923" s="33"/>
    </row>
    <row r="1924" spans="1:19" ht="13.8" hidden="1" thickBot="1" x14ac:dyDescent="0.3">
      <c r="A1924" t="s">
        <v>23</v>
      </c>
      <c r="B1924" s="49" t="str">
        <f t="shared" ref="B1924" si="1372">B1923</f>
        <v>hide</v>
      </c>
      <c r="D1924" s="58"/>
      <c r="E1924" s="58"/>
      <c r="F1924" s="52">
        <f>SUM(F1919:F1923)</f>
        <v>0</v>
      </c>
      <c r="G1924" s="52">
        <f>SUM(G1919:G1923)</f>
        <v>0</v>
      </c>
      <c r="H1924" s="52">
        <f>SUM(H1919:H1923)</f>
        <v>0</v>
      </c>
      <c r="I1924" s="52">
        <f>SUM(I1919:I1923)</f>
        <v>0</v>
      </c>
      <c r="J1924" s="52">
        <f>SUM(J1919:J1923)</f>
        <v>0</v>
      </c>
      <c r="K1924" s="52"/>
      <c r="L1924" s="51" t="s">
        <v>4</v>
      </c>
      <c r="M1924" s="58"/>
      <c r="N1924" s="58"/>
      <c r="O1924" s="58"/>
      <c r="P1924" s="58"/>
      <c r="Q1924" s="58"/>
      <c r="R1924" s="58"/>
      <c r="S1924" s="58"/>
    </row>
    <row r="1925" spans="1:19" s="59" customFormat="1" ht="18.75" hidden="1" customHeight="1" thickBot="1" x14ac:dyDescent="0.3">
      <c r="A1925" s="59" t="s">
        <v>23</v>
      </c>
      <c r="B1925" s="60" t="str">
        <f t="shared" ref="B1925:B1926" si="1373">IF(K1925=0,"hide","")</f>
        <v>hide</v>
      </c>
      <c r="D1925" s="61" t="str">
        <f>"22805"</f>
        <v>22805</v>
      </c>
      <c r="E1925" s="62" t="str">
        <f>"2"</f>
        <v>2</v>
      </c>
      <c r="F1925" s="63">
        <v>0</v>
      </c>
      <c r="G1925" s="63">
        <v>0</v>
      </c>
      <c r="H1925" s="63">
        <v>0</v>
      </c>
      <c r="I1925" s="63">
        <v>0</v>
      </c>
      <c r="J1925" s="63">
        <v>0</v>
      </c>
      <c r="K1925" s="63">
        <f>AVERAGE(I1925:J1925)</f>
        <v>0</v>
      </c>
      <c r="L1925" s="64" t="str">
        <f>"CORN MUFFINS"</f>
        <v>CORN MUFFINS</v>
      </c>
      <c r="M1925" s="65" t="str">
        <f>"96-2 oz. 8 trays of 12"</f>
        <v>96-2 oz. 8 trays of 12</v>
      </c>
      <c r="N1925" s="66">
        <v>96</v>
      </c>
      <c r="O1925" s="67" t="str">
        <f>""</f>
        <v/>
      </c>
      <c r="P1925" s="68" t="e">
        <f>1/O1925</f>
        <v>#VALUE!</v>
      </c>
      <c r="Q1925" s="53">
        <v>1</v>
      </c>
      <c r="R1925" s="69">
        <f t="shared" ref="R1925" si="1374">1/Q1925</f>
        <v>1</v>
      </c>
      <c r="S1925" s="70">
        <f t="shared" ref="S1925" si="1375">R1925*N1925</f>
        <v>96</v>
      </c>
    </row>
    <row r="1926" spans="1:19" ht="15.6" hidden="1" customHeight="1" thickBot="1" x14ac:dyDescent="0.3">
      <c r="A1926" t="s">
        <v>23</v>
      </c>
      <c r="B1926" s="60" t="str">
        <f t="shared" si="1373"/>
        <v>hide</v>
      </c>
      <c r="D1926" s="48" t="str">
        <f>D1925</f>
        <v>22805</v>
      </c>
      <c r="E1926" s="7"/>
      <c r="F1926" s="27">
        <v>0</v>
      </c>
      <c r="G1926" s="27">
        <v>0</v>
      </c>
      <c r="H1926" s="27">
        <v>0</v>
      </c>
      <c r="I1926" s="27">
        <v>0</v>
      </c>
      <c r="J1926" s="27">
        <v>0</v>
      </c>
      <c r="K1926" s="63">
        <f>AVERAGE(I1926:J1926)</f>
        <v>0</v>
      </c>
      <c r="L1926" s="56" t="str">
        <f>"EQP-LAWPACK1"</f>
        <v>EQP-LAWPACK1</v>
      </c>
      <c r="M1926" s="14"/>
      <c r="N1926" s="15"/>
      <c r="O1926" s="12"/>
      <c r="P1926" s="34"/>
      <c r="Q1926" s="37"/>
      <c r="R1926" s="47"/>
      <c r="S1926" s="46"/>
    </row>
    <row r="1927" spans="1:19" ht="15.6" hidden="1" customHeight="1" thickBot="1" x14ac:dyDescent="0.3">
      <c r="A1927" t="s">
        <v>23</v>
      </c>
      <c r="B1927" s="60" t="str">
        <f t="shared" ref="B1927:B1929" si="1376">IF(K1927=0,"hide","")</f>
        <v>hide</v>
      </c>
      <c r="D1927" s="48" t="str">
        <f>D1926</f>
        <v>22805</v>
      </c>
      <c r="E1927" s="7"/>
      <c r="F1927" s="27">
        <v>0</v>
      </c>
      <c r="G1927" s="27">
        <v>0</v>
      </c>
      <c r="H1927" s="27">
        <v>0</v>
      </c>
      <c r="I1927" s="27">
        <v>0</v>
      </c>
      <c r="J1927" s="27">
        <v>0</v>
      </c>
      <c r="K1927" s="63">
        <f>AVERAGE(I1927:J1927)</f>
        <v>0</v>
      </c>
      <c r="L1927" s="56" t="str">
        <f>"EQP-LAWPACK2"</f>
        <v>EQP-LAWPACK2</v>
      </c>
      <c r="M1927" s="14"/>
      <c r="N1927" s="15"/>
      <c r="O1927" s="12"/>
      <c r="P1927" s="34"/>
      <c r="Q1927" s="37"/>
      <c r="R1927" s="47"/>
      <c r="S1927" s="46"/>
    </row>
    <row r="1928" spans="1:19" ht="15.6" hidden="1" customHeight="1" thickBot="1" x14ac:dyDescent="0.3">
      <c r="A1928" t="s">
        <v>23</v>
      </c>
      <c r="B1928" s="60" t="str">
        <f t="shared" si="1376"/>
        <v>hide</v>
      </c>
      <c r="D1928" s="48" t="str">
        <f>D1927</f>
        <v>22805</v>
      </c>
      <c r="E1928" s="7"/>
      <c r="F1928" s="27">
        <v>0</v>
      </c>
      <c r="G1928" s="27">
        <v>0</v>
      </c>
      <c r="H1928" s="27">
        <v>0</v>
      </c>
      <c r="I1928" s="27">
        <v>0</v>
      </c>
      <c r="J1928" s="27">
        <v>0</v>
      </c>
      <c r="K1928" s="63">
        <f>AVERAGE(I1928:J1928)</f>
        <v>0</v>
      </c>
      <c r="L1928" s="56" t="str">
        <f>"SW-COMAS-PACKL"</f>
        <v>SW-COMAS-PACKL</v>
      </c>
      <c r="M1928" s="14"/>
      <c r="N1928" s="15"/>
      <c r="O1928" s="12"/>
      <c r="P1928" s="34"/>
      <c r="Q1928" s="37"/>
      <c r="R1928" s="47"/>
      <c r="S1928" s="46"/>
    </row>
    <row r="1929" spans="1:19" ht="15.6" hidden="1" customHeight="1" thickBot="1" x14ac:dyDescent="0.3">
      <c r="A1929" t="s">
        <v>23</v>
      </c>
      <c r="B1929" s="60" t="str">
        <f t="shared" si="1376"/>
        <v>hide</v>
      </c>
      <c r="D1929" s="48" t="str">
        <f>D1928</f>
        <v>22805</v>
      </c>
      <c r="E1929" s="7"/>
      <c r="F1929" s="27">
        <v>0</v>
      </c>
      <c r="G1929" s="27">
        <v>0</v>
      </c>
      <c r="H1929" s="27">
        <v>0</v>
      </c>
      <c r="I1929" s="27">
        <v>0</v>
      </c>
      <c r="J1929" s="27">
        <v>0</v>
      </c>
      <c r="K1929" s="63">
        <f>AVERAGE(I1929:J1929)</f>
        <v>0</v>
      </c>
      <c r="L1929" s="56" t="str">
        <f>"SW-RISER-PACK"</f>
        <v>SW-RISER-PACK</v>
      </c>
      <c r="M1929" s="14"/>
      <c r="N1929" s="15"/>
      <c r="O1929" s="12"/>
      <c r="P1929" s="34"/>
      <c r="Q1929" s="37"/>
      <c r="R1929" s="47"/>
      <c r="S1929" s="46"/>
    </row>
    <row r="1930" spans="1:19" ht="12" hidden="1" customHeight="1" x14ac:dyDescent="0.3">
      <c r="A1930" s="35" t="s">
        <v>908</v>
      </c>
      <c r="B1930" s="49" t="str">
        <f>B1926</f>
        <v>hide</v>
      </c>
      <c r="N1930"/>
      <c r="Q1930" s="33"/>
    </row>
    <row r="1931" spans="1:19" ht="13.8" hidden="1" thickBot="1" x14ac:dyDescent="0.3">
      <c r="A1931" t="s">
        <v>23</v>
      </c>
      <c r="B1931" s="49" t="str">
        <f t="shared" ref="B1931" si="1377">B1930</f>
        <v>hide</v>
      </c>
      <c r="D1931" s="58"/>
      <c r="E1931" s="58"/>
      <c r="F1931" s="52">
        <f>SUM(F1926:F1930)</f>
        <v>0</v>
      </c>
      <c r="G1931" s="52">
        <f>SUM(G1926:G1930)</f>
        <v>0</v>
      </c>
      <c r="H1931" s="52">
        <f>SUM(H1926:H1930)</f>
        <v>0</v>
      </c>
      <c r="I1931" s="52">
        <f>SUM(I1926:I1930)</f>
        <v>0</v>
      </c>
      <c r="J1931" s="52">
        <f>SUM(J1926:J1930)</f>
        <v>0</v>
      </c>
      <c r="K1931" s="52"/>
      <c r="L1931" s="51" t="s">
        <v>4</v>
      </c>
      <c r="M1931" s="58"/>
      <c r="N1931" s="58"/>
      <c r="O1931" s="58"/>
      <c r="P1931" s="58"/>
      <c r="Q1931" s="58"/>
      <c r="R1931" s="58"/>
      <c r="S1931" s="58"/>
    </row>
    <row r="1932" spans="1:19" s="59" customFormat="1" ht="18.75" hidden="1" customHeight="1" thickBot="1" x14ac:dyDescent="0.3">
      <c r="A1932" s="59" t="s">
        <v>23</v>
      </c>
      <c r="B1932" s="60" t="str">
        <f t="shared" ref="B1932:B1933" si="1378">IF(K1932=0,"hide","")</f>
        <v>hide</v>
      </c>
      <c r="D1932" s="61" t="str">
        <f>"22806"</f>
        <v>22806</v>
      </c>
      <c r="E1932" s="62" t="str">
        <f>"2"</f>
        <v>2</v>
      </c>
      <c r="F1932" s="63">
        <v>0</v>
      </c>
      <c r="G1932" s="63">
        <v>0</v>
      </c>
      <c r="H1932" s="63">
        <v>0</v>
      </c>
      <c r="I1932" s="63">
        <v>0</v>
      </c>
      <c r="J1932" s="63">
        <v>0</v>
      </c>
      <c r="K1932" s="63">
        <f>AVERAGE(I1932:J1932)</f>
        <v>0</v>
      </c>
      <c r="L1932" s="64" t="str">
        <f>"APPLE CINNAMON MUFFINS"</f>
        <v>APPLE CINNAMON MUFFINS</v>
      </c>
      <c r="M1932" s="65" t="str">
        <f>"96-2 oz. 8 trays of 12"</f>
        <v>96-2 oz. 8 trays of 12</v>
      </c>
      <c r="N1932" s="66">
        <v>96</v>
      </c>
      <c r="O1932" s="67" t="str">
        <f>""</f>
        <v/>
      </c>
      <c r="P1932" s="68" t="e">
        <f>1/O1932</f>
        <v>#VALUE!</v>
      </c>
      <c r="Q1932" s="53">
        <v>1</v>
      </c>
      <c r="R1932" s="69">
        <f t="shared" ref="R1932" si="1379">1/Q1932</f>
        <v>1</v>
      </c>
      <c r="S1932" s="70">
        <f t="shared" ref="S1932" si="1380">R1932*N1932</f>
        <v>96</v>
      </c>
    </row>
    <row r="1933" spans="1:19" ht="15.6" hidden="1" customHeight="1" thickBot="1" x14ac:dyDescent="0.3">
      <c r="A1933" t="s">
        <v>23</v>
      </c>
      <c r="B1933" s="60" t="str">
        <f t="shared" si="1378"/>
        <v>hide</v>
      </c>
      <c r="D1933" s="48" t="str">
        <f>D1932</f>
        <v>22806</v>
      </c>
      <c r="E1933" s="7"/>
      <c r="F1933" s="27">
        <v>0</v>
      </c>
      <c r="G1933" s="27">
        <v>0</v>
      </c>
      <c r="H1933" s="27">
        <v>0</v>
      </c>
      <c r="I1933" s="27">
        <v>0</v>
      </c>
      <c r="J1933" s="27">
        <v>0</v>
      </c>
      <c r="K1933" s="63">
        <f>AVERAGE(I1933:J1933)</f>
        <v>0</v>
      </c>
      <c r="L1933" s="56" t="str">
        <f>"EQP-LAWPACK1"</f>
        <v>EQP-LAWPACK1</v>
      </c>
      <c r="M1933" s="14"/>
      <c r="N1933" s="15"/>
      <c r="O1933" s="12"/>
      <c r="P1933" s="34"/>
      <c r="Q1933" s="37"/>
      <c r="R1933" s="47"/>
      <c r="S1933" s="46"/>
    </row>
    <row r="1934" spans="1:19" ht="15.6" hidden="1" customHeight="1" thickBot="1" x14ac:dyDescent="0.3">
      <c r="A1934" t="s">
        <v>23</v>
      </c>
      <c r="B1934" s="60" t="str">
        <f t="shared" ref="B1934:B1936" si="1381">IF(K1934=0,"hide","")</f>
        <v>hide</v>
      </c>
      <c r="D1934" s="48" t="str">
        <f>D1933</f>
        <v>22806</v>
      </c>
      <c r="E1934" s="7"/>
      <c r="F1934" s="27">
        <v>0</v>
      </c>
      <c r="G1934" s="27">
        <v>0</v>
      </c>
      <c r="H1934" s="27">
        <v>0</v>
      </c>
      <c r="I1934" s="27">
        <v>0</v>
      </c>
      <c r="J1934" s="27">
        <v>0</v>
      </c>
      <c r="K1934" s="63">
        <f>AVERAGE(I1934:J1934)</f>
        <v>0</v>
      </c>
      <c r="L1934" s="56" t="str">
        <f>"EQP-LAWPACK2"</f>
        <v>EQP-LAWPACK2</v>
      </c>
      <c r="M1934" s="14"/>
      <c r="N1934" s="15"/>
      <c r="O1934" s="12"/>
      <c r="P1934" s="34"/>
      <c r="Q1934" s="37"/>
      <c r="R1934" s="47"/>
      <c r="S1934" s="46"/>
    </row>
    <row r="1935" spans="1:19" ht="15.6" hidden="1" customHeight="1" thickBot="1" x14ac:dyDescent="0.3">
      <c r="A1935" t="s">
        <v>23</v>
      </c>
      <c r="B1935" s="60" t="str">
        <f t="shared" si="1381"/>
        <v>hide</v>
      </c>
      <c r="D1935" s="48" t="str">
        <f>D1934</f>
        <v>22806</v>
      </c>
      <c r="E1935" s="7"/>
      <c r="F1935" s="27">
        <v>0</v>
      </c>
      <c r="G1935" s="27">
        <v>0</v>
      </c>
      <c r="H1935" s="27">
        <v>0</v>
      </c>
      <c r="I1935" s="27">
        <v>0</v>
      </c>
      <c r="J1935" s="27">
        <v>0</v>
      </c>
      <c r="K1935" s="63">
        <f>AVERAGE(I1935:J1935)</f>
        <v>0</v>
      </c>
      <c r="L1935" s="56" t="str">
        <f>"SW-COMAS-PACKL"</f>
        <v>SW-COMAS-PACKL</v>
      </c>
      <c r="M1935" s="14"/>
      <c r="N1935" s="15"/>
      <c r="O1935" s="12"/>
      <c r="P1935" s="34"/>
      <c r="Q1935" s="37"/>
      <c r="R1935" s="47"/>
      <c r="S1935" s="46"/>
    </row>
    <row r="1936" spans="1:19" ht="15.6" hidden="1" customHeight="1" thickBot="1" x14ac:dyDescent="0.3">
      <c r="A1936" t="s">
        <v>23</v>
      </c>
      <c r="B1936" s="60" t="str">
        <f t="shared" si="1381"/>
        <v>hide</v>
      </c>
      <c r="D1936" s="48" t="str">
        <f>D1935</f>
        <v>22806</v>
      </c>
      <c r="E1936" s="7"/>
      <c r="F1936" s="27">
        <v>0</v>
      </c>
      <c r="G1936" s="27">
        <v>0</v>
      </c>
      <c r="H1936" s="27">
        <v>0</v>
      </c>
      <c r="I1936" s="27">
        <v>0</v>
      </c>
      <c r="J1936" s="27">
        <v>0</v>
      </c>
      <c r="K1936" s="63">
        <f>AVERAGE(I1936:J1936)</f>
        <v>0</v>
      </c>
      <c r="L1936" s="56" t="str">
        <f>"SW-RISER-PACK"</f>
        <v>SW-RISER-PACK</v>
      </c>
      <c r="M1936" s="14"/>
      <c r="N1936" s="15"/>
      <c r="O1936" s="12"/>
      <c r="P1936" s="34"/>
      <c r="Q1936" s="37"/>
      <c r="R1936" s="47"/>
      <c r="S1936" s="46"/>
    </row>
    <row r="1937" spans="1:19" ht="12" hidden="1" customHeight="1" x14ac:dyDescent="0.3">
      <c r="A1937" s="35" t="s">
        <v>908</v>
      </c>
      <c r="B1937" s="49" t="str">
        <f>B1933</f>
        <v>hide</v>
      </c>
      <c r="N1937"/>
      <c r="Q1937" s="33"/>
    </row>
    <row r="1938" spans="1:19" ht="13.8" hidden="1" thickBot="1" x14ac:dyDescent="0.3">
      <c r="A1938" t="s">
        <v>23</v>
      </c>
      <c r="B1938" s="49" t="str">
        <f t="shared" ref="B1938" si="1382">B1937</f>
        <v>hide</v>
      </c>
      <c r="D1938" s="58"/>
      <c r="E1938" s="58"/>
      <c r="F1938" s="52">
        <f>SUM(F1933:F1937)</f>
        <v>0</v>
      </c>
      <c r="G1938" s="52">
        <f>SUM(G1933:G1937)</f>
        <v>0</v>
      </c>
      <c r="H1938" s="52">
        <f>SUM(H1933:H1937)</f>
        <v>0</v>
      </c>
      <c r="I1938" s="52">
        <f>SUM(I1933:I1937)</f>
        <v>0</v>
      </c>
      <c r="J1938" s="52">
        <f>SUM(J1933:J1937)</f>
        <v>0</v>
      </c>
      <c r="K1938" s="52"/>
      <c r="L1938" s="51" t="s">
        <v>4</v>
      </c>
      <c r="M1938" s="58"/>
      <c r="N1938" s="58"/>
      <c r="O1938" s="58"/>
      <c r="P1938" s="58"/>
      <c r="Q1938" s="58"/>
      <c r="R1938" s="58"/>
      <c r="S1938" s="58"/>
    </row>
    <row r="1939" spans="1:19" s="59" customFormat="1" ht="18.75" hidden="1" customHeight="1" thickBot="1" x14ac:dyDescent="0.3">
      <c r="A1939" s="59" t="s">
        <v>23</v>
      </c>
      <c r="B1939" s="60" t="str">
        <f t="shared" ref="B1939:B1940" si="1383">IF(K1939=0,"hide","")</f>
        <v>hide</v>
      </c>
      <c r="D1939" s="61" t="str">
        <f>"22807"</f>
        <v>22807</v>
      </c>
      <c r="E1939" s="62" t="str">
        <f>"1"</f>
        <v>1</v>
      </c>
      <c r="F1939" s="63">
        <v>0</v>
      </c>
      <c r="G1939" s="63">
        <v>0</v>
      </c>
      <c r="H1939" s="63">
        <v>0</v>
      </c>
      <c r="I1939" s="63">
        <v>0</v>
      </c>
      <c r="J1939" s="63">
        <v>0</v>
      </c>
      <c r="K1939" s="63">
        <f>AVERAGE(I1939:J1939)</f>
        <v>0</v>
      </c>
      <c r="L1939" s="64" t="str">
        <f>"BANANA NUT MUFFINS"</f>
        <v>BANANA NUT MUFFINS</v>
      </c>
      <c r="M1939" s="65" t="str">
        <f>"96-2 oz. 8 trays of 12"</f>
        <v>96-2 oz. 8 trays of 12</v>
      </c>
      <c r="N1939" s="66">
        <v>96</v>
      </c>
      <c r="O1939" s="67" t="str">
        <f>""</f>
        <v/>
      </c>
      <c r="P1939" s="68" t="e">
        <f>1/O1939</f>
        <v>#VALUE!</v>
      </c>
      <c r="Q1939" s="53">
        <v>1</v>
      </c>
      <c r="R1939" s="69">
        <f t="shared" ref="R1939" si="1384">1/Q1939</f>
        <v>1</v>
      </c>
      <c r="S1939" s="70">
        <f t="shared" ref="S1939" si="1385">R1939*N1939</f>
        <v>96</v>
      </c>
    </row>
    <row r="1940" spans="1:19" ht="15.6" hidden="1" customHeight="1" thickBot="1" x14ac:dyDescent="0.3">
      <c r="A1940" t="s">
        <v>23</v>
      </c>
      <c r="B1940" s="60" t="str">
        <f t="shared" si="1383"/>
        <v>hide</v>
      </c>
      <c r="D1940" s="48" t="str">
        <f>D1939</f>
        <v>22807</v>
      </c>
      <c r="E1940" s="7"/>
      <c r="F1940" s="27">
        <v>0</v>
      </c>
      <c r="G1940" s="27">
        <v>0</v>
      </c>
      <c r="H1940" s="27">
        <v>0</v>
      </c>
      <c r="I1940" s="27">
        <v>0</v>
      </c>
      <c r="J1940" s="27">
        <v>0</v>
      </c>
      <c r="K1940" s="63">
        <f>AVERAGE(I1940:J1940)</f>
        <v>0</v>
      </c>
      <c r="L1940" s="56" t="str">
        <f>"EQP-LAWPACK1"</f>
        <v>EQP-LAWPACK1</v>
      </c>
      <c r="M1940" s="14"/>
      <c r="N1940" s="15"/>
      <c r="O1940" s="12"/>
      <c r="P1940" s="34"/>
      <c r="Q1940" s="37"/>
      <c r="R1940" s="47"/>
      <c r="S1940" s="46"/>
    </row>
    <row r="1941" spans="1:19" ht="15.6" hidden="1" customHeight="1" thickBot="1" x14ac:dyDescent="0.3">
      <c r="A1941" t="s">
        <v>23</v>
      </c>
      <c r="B1941" s="60" t="str">
        <f t="shared" ref="B1941:B1943" si="1386">IF(K1941=0,"hide","")</f>
        <v>hide</v>
      </c>
      <c r="D1941" s="48" t="str">
        <f>D1940</f>
        <v>22807</v>
      </c>
      <c r="E1941" s="7"/>
      <c r="F1941" s="27">
        <v>0</v>
      </c>
      <c r="G1941" s="27">
        <v>0</v>
      </c>
      <c r="H1941" s="27">
        <v>0</v>
      </c>
      <c r="I1941" s="27">
        <v>0</v>
      </c>
      <c r="J1941" s="27">
        <v>0</v>
      </c>
      <c r="K1941" s="63">
        <f>AVERAGE(I1941:J1941)</f>
        <v>0</v>
      </c>
      <c r="L1941" s="56" t="str">
        <f>"EQP-LAWPACK2"</f>
        <v>EQP-LAWPACK2</v>
      </c>
      <c r="M1941" s="14"/>
      <c r="N1941" s="15"/>
      <c r="O1941" s="12"/>
      <c r="P1941" s="34"/>
      <c r="Q1941" s="37"/>
      <c r="R1941" s="47"/>
      <c r="S1941" s="46"/>
    </row>
    <row r="1942" spans="1:19" ht="15.6" hidden="1" customHeight="1" thickBot="1" x14ac:dyDescent="0.3">
      <c r="A1942" t="s">
        <v>23</v>
      </c>
      <c r="B1942" s="60" t="str">
        <f t="shared" si="1386"/>
        <v>hide</v>
      </c>
      <c r="D1942" s="48" t="str">
        <f>D1941</f>
        <v>22807</v>
      </c>
      <c r="E1942" s="7"/>
      <c r="F1942" s="27">
        <v>0</v>
      </c>
      <c r="G1942" s="27">
        <v>0</v>
      </c>
      <c r="H1942" s="27">
        <v>0</v>
      </c>
      <c r="I1942" s="27">
        <v>0</v>
      </c>
      <c r="J1942" s="27">
        <v>0</v>
      </c>
      <c r="K1942" s="63">
        <f>AVERAGE(I1942:J1942)</f>
        <v>0</v>
      </c>
      <c r="L1942" s="56" t="str">
        <f>"SW-COMAS-PACKL"</f>
        <v>SW-COMAS-PACKL</v>
      </c>
      <c r="M1942" s="14"/>
      <c r="N1942" s="15"/>
      <c r="O1942" s="12"/>
      <c r="P1942" s="34"/>
      <c r="Q1942" s="37"/>
      <c r="R1942" s="47"/>
      <c r="S1942" s="46"/>
    </row>
    <row r="1943" spans="1:19" ht="15.6" hidden="1" customHeight="1" thickBot="1" x14ac:dyDescent="0.3">
      <c r="A1943" t="s">
        <v>23</v>
      </c>
      <c r="B1943" s="60" t="str">
        <f t="shared" si="1386"/>
        <v>hide</v>
      </c>
      <c r="D1943" s="48" t="str">
        <f>D1942</f>
        <v>22807</v>
      </c>
      <c r="E1943" s="7"/>
      <c r="F1943" s="27">
        <v>0</v>
      </c>
      <c r="G1943" s="27">
        <v>0</v>
      </c>
      <c r="H1943" s="27">
        <v>0</v>
      </c>
      <c r="I1943" s="27">
        <v>0</v>
      </c>
      <c r="J1943" s="27">
        <v>0</v>
      </c>
      <c r="K1943" s="63">
        <f>AVERAGE(I1943:J1943)</f>
        <v>0</v>
      </c>
      <c r="L1943" s="56" t="str">
        <f>"SW-RISER-PACK"</f>
        <v>SW-RISER-PACK</v>
      </c>
      <c r="M1943" s="14"/>
      <c r="N1943" s="15"/>
      <c r="O1943" s="12"/>
      <c r="P1943" s="34"/>
      <c r="Q1943" s="37"/>
      <c r="R1943" s="47"/>
      <c r="S1943" s="46"/>
    </row>
    <row r="1944" spans="1:19" ht="12" hidden="1" customHeight="1" x14ac:dyDescent="0.3">
      <c r="A1944" s="35" t="s">
        <v>908</v>
      </c>
      <c r="B1944" s="49" t="str">
        <f>B1940</f>
        <v>hide</v>
      </c>
      <c r="N1944"/>
      <c r="Q1944" s="33"/>
    </row>
    <row r="1945" spans="1:19" ht="13.8" hidden="1" thickBot="1" x14ac:dyDescent="0.3">
      <c r="A1945" t="s">
        <v>23</v>
      </c>
      <c r="B1945" s="49" t="str">
        <f t="shared" ref="B1945" si="1387">B1944</f>
        <v>hide</v>
      </c>
      <c r="D1945" s="58"/>
      <c r="E1945" s="58"/>
      <c r="F1945" s="52">
        <f>SUM(F1940:F1944)</f>
        <v>0</v>
      </c>
      <c r="G1945" s="52">
        <f>SUM(G1940:G1944)</f>
        <v>0</v>
      </c>
      <c r="H1945" s="52">
        <f>SUM(H1940:H1944)</f>
        <v>0</v>
      </c>
      <c r="I1945" s="52">
        <f>SUM(I1940:I1944)</f>
        <v>0</v>
      </c>
      <c r="J1945" s="52">
        <f>SUM(J1940:J1944)</f>
        <v>0</v>
      </c>
      <c r="K1945" s="52"/>
      <c r="L1945" s="51" t="s">
        <v>4</v>
      </c>
      <c r="M1945" s="58"/>
      <c r="N1945" s="58"/>
      <c r="O1945" s="58"/>
      <c r="P1945" s="58"/>
      <c r="Q1945" s="58"/>
      <c r="R1945" s="58"/>
      <c r="S1945" s="58"/>
    </row>
    <row r="1946" spans="1:19" s="59" customFormat="1" ht="18.75" hidden="1" customHeight="1" thickBot="1" x14ac:dyDescent="0.3">
      <c r="A1946" s="59" t="s">
        <v>23</v>
      </c>
      <c r="B1946" s="60" t="str">
        <f t="shared" ref="B1946:B1947" si="1388">IF(K1946=0,"hide","")</f>
        <v>hide</v>
      </c>
      <c r="D1946" s="61" t="str">
        <f>"22811"</f>
        <v>22811</v>
      </c>
      <c r="E1946" s="62" t="str">
        <f>"1"</f>
        <v>1</v>
      </c>
      <c r="F1946" s="63">
        <v>0</v>
      </c>
      <c r="G1946" s="63">
        <v>0</v>
      </c>
      <c r="H1946" s="63">
        <v>0</v>
      </c>
      <c r="I1946" s="63">
        <v>0</v>
      </c>
      <c r="J1946" s="63">
        <v>0</v>
      </c>
      <c r="K1946" s="63">
        <f>AVERAGE(I1946:J1946)</f>
        <v>0</v>
      </c>
      <c r="L1946" s="64" t="str">
        <f>"CARROT MUFFINS"</f>
        <v>CARROT MUFFINS</v>
      </c>
      <c r="M1946" s="65" t="str">
        <f>"96-2 oz. 8 trays of 12"</f>
        <v>96-2 oz. 8 trays of 12</v>
      </c>
      <c r="N1946" s="66">
        <v>96</v>
      </c>
      <c r="O1946" s="67" t="str">
        <f>""</f>
        <v/>
      </c>
      <c r="P1946" s="68" t="e">
        <f>1/O1946</f>
        <v>#VALUE!</v>
      </c>
      <c r="Q1946" s="53">
        <v>1</v>
      </c>
      <c r="R1946" s="69">
        <f t="shared" ref="R1946" si="1389">1/Q1946</f>
        <v>1</v>
      </c>
      <c r="S1946" s="70">
        <f t="shared" ref="S1946" si="1390">R1946*N1946</f>
        <v>96</v>
      </c>
    </row>
    <row r="1947" spans="1:19" ht="15.6" hidden="1" customHeight="1" thickBot="1" x14ac:dyDescent="0.3">
      <c r="A1947" t="s">
        <v>23</v>
      </c>
      <c r="B1947" s="60" t="str">
        <f t="shared" si="1388"/>
        <v>hide</v>
      </c>
      <c r="D1947" s="48" t="str">
        <f>D1946</f>
        <v>22811</v>
      </c>
      <c r="E1947" s="7"/>
      <c r="F1947" s="27">
        <v>0</v>
      </c>
      <c r="G1947" s="27">
        <v>0</v>
      </c>
      <c r="H1947" s="27">
        <v>0</v>
      </c>
      <c r="I1947" s="27">
        <v>0</v>
      </c>
      <c r="J1947" s="27">
        <v>0</v>
      </c>
      <c r="K1947" s="63">
        <f>AVERAGE(I1947:J1947)</f>
        <v>0</v>
      </c>
      <c r="L1947" s="56" t="str">
        <f>"EQP-LAWPACK1"</f>
        <v>EQP-LAWPACK1</v>
      </c>
      <c r="M1947" s="14"/>
      <c r="N1947" s="15"/>
      <c r="O1947" s="12"/>
      <c r="P1947" s="34"/>
      <c r="Q1947" s="37"/>
      <c r="R1947" s="47"/>
      <c r="S1947" s="46"/>
    </row>
    <row r="1948" spans="1:19" ht="15.6" hidden="1" customHeight="1" thickBot="1" x14ac:dyDescent="0.3">
      <c r="A1948" t="s">
        <v>23</v>
      </c>
      <c r="B1948" s="60" t="str">
        <f t="shared" ref="B1948:B1950" si="1391">IF(K1948=0,"hide","")</f>
        <v>hide</v>
      </c>
      <c r="D1948" s="48" t="str">
        <f>D1947</f>
        <v>22811</v>
      </c>
      <c r="E1948" s="7"/>
      <c r="F1948" s="27">
        <v>0</v>
      </c>
      <c r="G1948" s="27">
        <v>0</v>
      </c>
      <c r="H1948" s="27">
        <v>0</v>
      </c>
      <c r="I1948" s="27">
        <v>0</v>
      </c>
      <c r="J1948" s="27">
        <v>0</v>
      </c>
      <c r="K1948" s="63">
        <f>AVERAGE(I1948:J1948)</f>
        <v>0</v>
      </c>
      <c r="L1948" s="56" t="str">
        <f>"EQP-LAWPACK2"</f>
        <v>EQP-LAWPACK2</v>
      </c>
      <c r="M1948" s="14"/>
      <c r="N1948" s="15"/>
      <c r="O1948" s="12"/>
      <c r="P1948" s="34"/>
      <c r="Q1948" s="37"/>
      <c r="R1948" s="47"/>
      <c r="S1948" s="46"/>
    </row>
    <row r="1949" spans="1:19" ht="15.6" hidden="1" customHeight="1" thickBot="1" x14ac:dyDescent="0.3">
      <c r="A1949" t="s">
        <v>23</v>
      </c>
      <c r="B1949" s="60" t="str">
        <f t="shared" si="1391"/>
        <v>hide</v>
      </c>
      <c r="D1949" s="48" t="str">
        <f>D1948</f>
        <v>22811</v>
      </c>
      <c r="E1949" s="7"/>
      <c r="F1949" s="27">
        <v>0</v>
      </c>
      <c r="G1949" s="27">
        <v>0</v>
      </c>
      <c r="H1949" s="27">
        <v>0</v>
      </c>
      <c r="I1949" s="27">
        <v>0</v>
      </c>
      <c r="J1949" s="27">
        <v>0</v>
      </c>
      <c r="K1949" s="63">
        <f>AVERAGE(I1949:J1949)</f>
        <v>0</v>
      </c>
      <c r="L1949" s="56" t="str">
        <f>"SW-COMAS-PACKL"</f>
        <v>SW-COMAS-PACKL</v>
      </c>
      <c r="M1949" s="14"/>
      <c r="N1949" s="15"/>
      <c r="O1949" s="12"/>
      <c r="P1949" s="34"/>
      <c r="Q1949" s="37"/>
      <c r="R1949" s="47"/>
      <c r="S1949" s="46"/>
    </row>
    <row r="1950" spans="1:19" ht="15.6" hidden="1" customHeight="1" thickBot="1" x14ac:dyDescent="0.3">
      <c r="A1950" t="s">
        <v>23</v>
      </c>
      <c r="B1950" s="60" t="str">
        <f t="shared" si="1391"/>
        <v>hide</v>
      </c>
      <c r="D1950" s="48" t="str">
        <f>D1949</f>
        <v>22811</v>
      </c>
      <c r="E1950" s="7"/>
      <c r="F1950" s="27">
        <v>0</v>
      </c>
      <c r="G1950" s="27">
        <v>0</v>
      </c>
      <c r="H1950" s="27">
        <v>0</v>
      </c>
      <c r="I1950" s="27">
        <v>0</v>
      </c>
      <c r="J1950" s="27">
        <v>0</v>
      </c>
      <c r="K1950" s="63">
        <f>AVERAGE(I1950:J1950)</f>
        <v>0</v>
      </c>
      <c r="L1950" s="56" t="str">
        <f>"SW-RISER-PACK"</f>
        <v>SW-RISER-PACK</v>
      </c>
      <c r="M1950" s="14"/>
      <c r="N1950" s="15"/>
      <c r="O1950" s="12"/>
      <c r="P1950" s="34"/>
      <c r="Q1950" s="37"/>
      <c r="R1950" s="47"/>
      <c r="S1950" s="46"/>
    </row>
    <row r="1951" spans="1:19" ht="12" hidden="1" customHeight="1" x14ac:dyDescent="0.3">
      <c r="A1951" s="35" t="s">
        <v>908</v>
      </c>
      <c r="B1951" s="49" t="str">
        <f>B1947</f>
        <v>hide</v>
      </c>
      <c r="N1951"/>
      <c r="Q1951" s="33"/>
    </row>
    <row r="1952" spans="1:19" ht="13.8" hidden="1" thickBot="1" x14ac:dyDescent="0.3">
      <c r="A1952" t="s">
        <v>23</v>
      </c>
      <c r="B1952" s="49" t="str">
        <f t="shared" ref="B1952" si="1392">B1951</f>
        <v>hide</v>
      </c>
      <c r="D1952" s="58"/>
      <c r="E1952" s="58"/>
      <c r="F1952" s="52">
        <f>SUM(F1947:F1951)</f>
        <v>0</v>
      </c>
      <c r="G1952" s="52">
        <f>SUM(G1947:G1951)</f>
        <v>0</v>
      </c>
      <c r="H1952" s="52">
        <f>SUM(H1947:H1951)</f>
        <v>0</v>
      </c>
      <c r="I1952" s="52">
        <f>SUM(I1947:I1951)</f>
        <v>0</v>
      </c>
      <c r="J1952" s="52">
        <f>SUM(J1947:J1951)</f>
        <v>0</v>
      </c>
      <c r="K1952" s="52"/>
      <c r="L1952" s="51" t="s">
        <v>4</v>
      </c>
      <c r="M1952" s="58"/>
      <c r="N1952" s="58"/>
      <c r="O1952" s="58"/>
      <c r="P1952" s="58"/>
      <c r="Q1952" s="58"/>
      <c r="R1952" s="58"/>
      <c r="S1952" s="58"/>
    </row>
    <row r="1953" spans="1:19" s="59" customFormat="1" ht="18.75" hidden="1" customHeight="1" thickBot="1" x14ac:dyDescent="0.3">
      <c r="A1953" s="59" t="s">
        <v>23</v>
      </c>
      <c r="B1953" s="60" t="str">
        <f t="shared" ref="B1953:B1954" si="1393">IF(K1953=0,"hide","")</f>
        <v>hide</v>
      </c>
      <c r="D1953" s="61" t="str">
        <f>"22851"</f>
        <v>22851</v>
      </c>
      <c r="E1953" s="62" t="str">
        <f>"1"</f>
        <v>1</v>
      </c>
      <c r="F1953" s="63">
        <v>0</v>
      </c>
      <c r="G1953" s="63">
        <v>0</v>
      </c>
      <c r="H1953" s="63">
        <v>0</v>
      </c>
      <c r="I1953" s="63">
        <v>0</v>
      </c>
      <c r="J1953" s="63">
        <v>0</v>
      </c>
      <c r="K1953" s="63">
        <f>AVERAGE(I1953:J1953)</f>
        <v>0</v>
      </c>
      <c r="L1953" s="64" t="str">
        <f>"BANANA MUFFINS"</f>
        <v>BANANA MUFFINS</v>
      </c>
      <c r="M1953" s="65" t="str">
        <f>"96-2 oz. 8 trays of 12"</f>
        <v>96-2 oz. 8 trays of 12</v>
      </c>
      <c r="N1953" s="66">
        <v>96</v>
      </c>
      <c r="O1953" s="67" t="str">
        <f>""</f>
        <v/>
      </c>
      <c r="P1953" s="68" t="e">
        <f>1/O1953</f>
        <v>#VALUE!</v>
      </c>
      <c r="Q1953" s="53">
        <v>1</v>
      </c>
      <c r="R1953" s="69">
        <f t="shared" ref="R1953" si="1394">1/Q1953</f>
        <v>1</v>
      </c>
      <c r="S1953" s="70">
        <f t="shared" ref="S1953" si="1395">R1953*N1953</f>
        <v>96</v>
      </c>
    </row>
    <row r="1954" spans="1:19" ht="15.6" hidden="1" customHeight="1" thickBot="1" x14ac:dyDescent="0.3">
      <c r="A1954" t="s">
        <v>23</v>
      </c>
      <c r="B1954" s="60" t="str">
        <f t="shared" si="1393"/>
        <v>hide</v>
      </c>
      <c r="D1954" s="48" t="str">
        <f>D1953</f>
        <v>22851</v>
      </c>
      <c r="E1954" s="7"/>
      <c r="F1954" s="27">
        <v>0</v>
      </c>
      <c r="G1954" s="27">
        <v>0</v>
      </c>
      <c r="H1954" s="27">
        <v>0</v>
      </c>
      <c r="I1954" s="27">
        <v>0</v>
      </c>
      <c r="J1954" s="27">
        <v>0</v>
      </c>
      <c r="K1954" s="63">
        <f>AVERAGE(I1954:J1954)</f>
        <v>0</v>
      </c>
      <c r="L1954" s="56" t="str">
        <f>"EQP-LAWPACK1"</f>
        <v>EQP-LAWPACK1</v>
      </c>
      <c r="M1954" s="14"/>
      <c r="N1954" s="15"/>
      <c r="O1954" s="12"/>
      <c r="P1954" s="34"/>
      <c r="Q1954" s="37"/>
      <c r="R1954" s="47"/>
      <c r="S1954" s="46"/>
    </row>
    <row r="1955" spans="1:19" ht="15.6" hidden="1" customHeight="1" thickBot="1" x14ac:dyDescent="0.3">
      <c r="A1955" t="s">
        <v>23</v>
      </c>
      <c r="B1955" s="60" t="str">
        <f t="shared" ref="B1955:B1957" si="1396">IF(K1955=0,"hide","")</f>
        <v>hide</v>
      </c>
      <c r="D1955" s="48" t="str">
        <f>D1954</f>
        <v>22851</v>
      </c>
      <c r="E1955" s="7"/>
      <c r="F1955" s="27">
        <v>0</v>
      </c>
      <c r="G1955" s="27">
        <v>0</v>
      </c>
      <c r="H1955" s="27">
        <v>0</v>
      </c>
      <c r="I1955" s="27">
        <v>0</v>
      </c>
      <c r="J1955" s="27">
        <v>0</v>
      </c>
      <c r="K1955" s="63">
        <f>AVERAGE(I1955:J1955)</f>
        <v>0</v>
      </c>
      <c r="L1955" s="56" t="str">
        <f>"EQP-LAWPACK2"</f>
        <v>EQP-LAWPACK2</v>
      </c>
      <c r="M1955" s="14"/>
      <c r="N1955" s="15"/>
      <c r="O1955" s="12"/>
      <c r="P1955" s="34"/>
      <c r="Q1955" s="37"/>
      <c r="R1955" s="47"/>
      <c r="S1955" s="46"/>
    </row>
    <row r="1956" spans="1:19" ht="15.6" hidden="1" customHeight="1" thickBot="1" x14ac:dyDescent="0.3">
      <c r="A1956" t="s">
        <v>23</v>
      </c>
      <c r="B1956" s="60" t="str">
        <f t="shared" si="1396"/>
        <v>hide</v>
      </c>
      <c r="D1956" s="48" t="str">
        <f>D1955</f>
        <v>22851</v>
      </c>
      <c r="E1956" s="7"/>
      <c r="F1956" s="27">
        <v>0</v>
      </c>
      <c r="G1956" s="27">
        <v>0</v>
      </c>
      <c r="H1956" s="27">
        <v>0</v>
      </c>
      <c r="I1956" s="27">
        <v>0</v>
      </c>
      <c r="J1956" s="27">
        <v>0</v>
      </c>
      <c r="K1956" s="63">
        <f>AVERAGE(I1956:J1956)</f>
        <v>0</v>
      </c>
      <c r="L1956" s="56" t="str">
        <f>"SW-COMAS-PACKL"</f>
        <v>SW-COMAS-PACKL</v>
      </c>
      <c r="M1956" s="14"/>
      <c r="N1956" s="15"/>
      <c r="O1956" s="12"/>
      <c r="P1956" s="34"/>
      <c r="Q1956" s="37"/>
      <c r="R1956" s="47"/>
      <c r="S1956" s="46"/>
    </row>
    <row r="1957" spans="1:19" ht="15.6" hidden="1" customHeight="1" thickBot="1" x14ac:dyDescent="0.3">
      <c r="A1957" t="s">
        <v>23</v>
      </c>
      <c r="B1957" s="60" t="str">
        <f t="shared" si="1396"/>
        <v>hide</v>
      </c>
      <c r="D1957" s="48" t="str">
        <f>D1956</f>
        <v>22851</v>
      </c>
      <c r="E1957" s="7"/>
      <c r="F1957" s="27">
        <v>0</v>
      </c>
      <c r="G1957" s="27">
        <v>0</v>
      </c>
      <c r="H1957" s="27">
        <v>0</v>
      </c>
      <c r="I1957" s="27">
        <v>0</v>
      </c>
      <c r="J1957" s="27">
        <v>0</v>
      </c>
      <c r="K1957" s="63">
        <f>AVERAGE(I1957:J1957)</f>
        <v>0</v>
      </c>
      <c r="L1957" s="56" t="str">
        <f>"SW-RISER-PACK"</f>
        <v>SW-RISER-PACK</v>
      </c>
      <c r="M1957" s="14"/>
      <c r="N1957" s="15"/>
      <c r="O1957" s="12"/>
      <c r="P1957" s="34"/>
      <c r="Q1957" s="37"/>
      <c r="R1957" s="47"/>
      <c r="S1957" s="46"/>
    </row>
    <row r="1958" spans="1:19" ht="12" hidden="1" customHeight="1" x14ac:dyDescent="0.3">
      <c r="A1958" s="35" t="s">
        <v>908</v>
      </c>
      <c r="B1958" s="49" t="str">
        <f>B1954</f>
        <v>hide</v>
      </c>
      <c r="N1958"/>
      <c r="Q1958" s="33"/>
    </row>
    <row r="1959" spans="1:19" ht="13.8" hidden="1" thickBot="1" x14ac:dyDescent="0.3">
      <c r="A1959" t="s">
        <v>23</v>
      </c>
      <c r="B1959" s="49" t="str">
        <f t="shared" ref="B1959" si="1397">B1958</f>
        <v>hide</v>
      </c>
      <c r="D1959" s="58"/>
      <c r="E1959" s="58"/>
      <c r="F1959" s="52">
        <f>SUM(F1954:F1958)</f>
        <v>0</v>
      </c>
      <c r="G1959" s="52">
        <f>SUM(G1954:G1958)</f>
        <v>0</v>
      </c>
      <c r="H1959" s="52">
        <f>SUM(H1954:H1958)</f>
        <v>0</v>
      </c>
      <c r="I1959" s="52">
        <f>SUM(I1954:I1958)</f>
        <v>0</v>
      </c>
      <c r="J1959" s="52">
        <f>SUM(J1954:J1958)</f>
        <v>0</v>
      </c>
      <c r="K1959" s="52"/>
      <c r="L1959" s="51" t="s">
        <v>4</v>
      </c>
      <c r="M1959" s="58"/>
      <c r="N1959" s="58"/>
      <c r="O1959" s="58"/>
      <c r="P1959" s="58"/>
      <c r="Q1959" s="58"/>
      <c r="R1959" s="58"/>
      <c r="S1959" s="58"/>
    </row>
    <row r="1960" spans="1:19" s="59" customFormat="1" ht="18.75" hidden="1" customHeight="1" thickBot="1" x14ac:dyDescent="0.3">
      <c r="A1960" s="59" t="s">
        <v>23</v>
      </c>
      <c r="B1960" s="60" t="str">
        <f t="shared" ref="B1960:B1961" si="1398">IF(K1960=0,"hide","")</f>
        <v>hide</v>
      </c>
      <c r="D1960" s="61" t="str">
        <f>"22901"</f>
        <v>22901</v>
      </c>
      <c r="E1960" s="62" t="str">
        <f>"2"</f>
        <v>2</v>
      </c>
      <c r="F1960" s="63">
        <v>3.9166666666666665</v>
      </c>
      <c r="G1960" s="63">
        <v>0</v>
      </c>
      <c r="H1960" s="63">
        <v>0</v>
      </c>
      <c r="I1960" s="63">
        <v>0</v>
      </c>
      <c r="J1960" s="63">
        <v>0</v>
      </c>
      <c r="K1960" s="63">
        <f>AVERAGE(I1960:J1960)</f>
        <v>0</v>
      </c>
      <c r="L1960" s="64" t="str">
        <f>"1243 Muffin, Wild Blbry, Tray Pk"</f>
        <v>1243 Muffin, Wild Blbry, Tray Pk</v>
      </c>
      <c r="M1960" s="65" t="str">
        <f>"96/2 oz"</f>
        <v>96/2 oz</v>
      </c>
      <c r="N1960" s="66">
        <v>96</v>
      </c>
      <c r="O1960" s="67" t="str">
        <f>""</f>
        <v/>
      </c>
      <c r="P1960" s="68" t="e">
        <f>1/O1960</f>
        <v>#VALUE!</v>
      </c>
      <c r="Q1960" s="53">
        <v>1</v>
      </c>
      <c r="R1960" s="69">
        <f t="shared" ref="R1960" si="1399">1/Q1960</f>
        <v>1</v>
      </c>
      <c r="S1960" s="70">
        <f t="shared" ref="S1960" si="1400">R1960*N1960</f>
        <v>96</v>
      </c>
    </row>
    <row r="1961" spans="1:19" ht="15.6" hidden="1" customHeight="1" thickBot="1" x14ac:dyDescent="0.3">
      <c r="A1961" t="s">
        <v>23</v>
      </c>
      <c r="B1961" s="60" t="str">
        <f t="shared" si="1398"/>
        <v>hide</v>
      </c>
      <c r="D1961" s="48" t="str">
        <f>D1960</f>
        <v>22901</v>
      </c>
      <c r="E1961" s="7"/>
      <c r="F1961" s="27">
        <v>0</v>
      </c>
      <c r="G1961" s="27">
        <v>0</v>
      </c>
      <c r="H1961" s="27">
        <v>0</v>
      </c>
      <c r="I1961" s="27">
        <v>0</v>
      </c>
      <c r="J1961" s="27">
        <v>0</v>
      </c>
      <c r="K1961" s="63">
        <f>AVERAGE(I1961:J1961)</f>
        <v>0</v>
      </c>
      <c r="L1961" s="56" t="str">
        <f>"EQP-LAWPACK1"</f>
        <v>EQP-LAWPACK1</v>
      </c>
      <c r="M1961" s="14"/>
      <c r="N1961" s="15"/>
      <c r="O1961" s="12"/>
      <c r="P1961" s="34"/>
      <c r="Q1961" s="37"/>
      <c r="R1961" s="47"/>
      <c r="S1961" s="46"/>
    </row>
    <row r="1962" spans="1:19" ht="15.6" hidden="1" customHeight="1" thickBot="1" x14ac:dyDescent="0.3">
      <c r="A1962" t="s">
        <v>23</v>
      </c>
      <c r="B1962" s="60" t="str">
        <f t="shared" ref="B1962:B1964" si="1401">IF(K1962=0,"hide","")</f>
        <v>hide</v>
      </c>
      <c r="D1962" s="48" t="str">
        <f>D1961</f>
        <v>22901</v>
      </c>
      <c r="E1962" s="7"/>
      <c r="F1962" s="27">
        <v>0</v>
      </c>
      <c r="G1962" s="27">
        <v>0</v>
      </c>
      <c r="H1962" s="27">
        <v>0</v>
      </c>
      <c r="I1962" s="27">
        <v>0</v>
      </c>
      <c r="J1962" s="27">
        <v>0</v>
      </c>
      <c r="K1962" s="63">
        <f>AVERAGE(I1962:J1962)</f>
        <v>0</v>
      </c>
      <c r="L1962" s="56" t="str">
        <f>"EQP-LAWPACK2"</f>
        <v>EQP-LAWPACK2</v>
      </c>
      <c r="M1962" s="14"/>
      <c r="N1962" s="15"/>
      <c r="O1962" s="12"/>
      <c r="P1962" s="34"/>
      <c r="Q1962" s="37"/>
      <c r="R1962" s="47"/>
      <c r="S1962" s="46"/>
    </row>
    <row r="1963" spans="1:19" ht="15.6" hidden="1" customHeight="1" thickBot="1" x14ac:dyDescent="0.3">
      <c r="A1963" t="s">
        <v>23</v>
      </c>
      <c r="B1963" s="60" t="str">
        <f t="shared" si="1401"/>
        <v>hide</v>
      </c>
      <c r="D1963" s="48" t="str">
        <f>D1962</f>
        <v>22901</v>
      </c>
      <c r="E1963" s="7"/>
      <c r="F1963" s="27">
        <v>0</v>
      </c>
      <c r="G1963" s="27">
        <v>0</v>
      </c>
      <c r="H1963" s="27">
        <v>0</v>
      </c>
      <c r="I1963" s="27">
        <v>0</v>
      </c>
      <c r="J1963" s="27">
        <v>0</v>
      </c>
      <c r="K1963" s="63">
        <f>AVERAGE(I1963:J1963)</f>
        <v>0</v>
      </c>
      <c r="L1963" s="56" t="str">
        <f>"SW-COMAS-PACKL"</f>
        <v>SW-COMAS-PACKL</v>
      </c>
      <c r="M1963" s="14"/>
      <c r="N1963" s="15"/>
      <c r="O1963" s="12"/>
      <c r="P1963" s="34"/>
      <c r="Q1963" s="37"/>
      <c r="R1963" s="47"/>
      <c r="S1963" s="46"/>
    </row>
    <row r="1964" spans="1:19" ht="15.6" hidden="1" customHeight="1" thickBot="1" x14ac:dyDescent="0.3">
      <c r="A1964" t="s">
        <v>23</v>
      </c>
      <c r="B1964" s="60" t="str">
        <f t="shared" si="1401"/>
        <v>hide</v>
      </c>
      <c r="D1964" s="48" t="str">
        <f>D1963</f>
        <v>22901</v>
      </c>
      <c r="E1964" s="7"/>
      <c r="F1964" s="27">
        <v>0</v>
      </c>
      <c r="G1964" s="27">
        <v>0</v>
      </c>
      <c r="H1964" s="27">
        <v>0</v>
      </c>
      <c r="I1964" s="27">
        <v>0</v>
      </c>
      <c r="J1964" s="27">
        <v>0</v>
      </c>
      <c r="K1964" s="63">
        <f>AVERAGE(I1964:J1964)</f>
        <v>0</v>
      </c>
      <c r="L1964" s="56" t="str">
        <f>"SW-RISER-PACK"</f>
        <v>SW-RISER-PACK</v>
      </c>
      <c r="M1964" s="14"/>
      <c r="N1964" s="15"/>
      <c r="O1964" s="12"/>
      <c r="P1964" s="34"/>
      <c r="Q1964" s="37"/>
      <c r="R1964" s="47"/>
      <c r="S1964" s="46"/>
    </row>
    <row r="1965" spans="1:19" ht="12" hidden="1" customHeight="1" x14ac:dyDescent="0.3">
      <c r="A1965" s="35" t="s">
        <v>908</v>
      </c>
      <c r="B1965" s="49" t="str">
        <f>B1961</f>
        <v>hide</v>
      </c>
      <c r="N1965"/>
      <c r="Q1965" s="33"/>
    </row>
    <row r="1966" spans="1:19" ht="13.8" hidden="1" thickBot="1" x14ac:dyDescent="0.3">
      <c r="A1966" t="s">
        <v>23</v>
      </c>
      <c r="B1966" s="49" t="str">
        <f t="shared" ref="B1966" si="1402">B1965</f>
        <v>hide</v>
      </c>
      <c r="D1966" s="58"/>
      <c r="E1966" s="58"/>
      <c r="F1966" s="52">
        <f>SUM(F1961:F1965)</f>
        <v>0</v>
      </c>
      <c r="G1966" s="52">
        <f>SUM(G1961:G1965)</f>
        <v>0</v>
      </c>
      <c r="H1966" s="52">
        <f>SUM(H1961:H1965)</f>
        <v>0</v>
      </c>
      <c r="I1966" s="52">
        <f>SUM(I1961:I1965)</f>
        <v>0</v>
      </c>
      <c r="J1966" s="52">
        <f>SUM(J1961:J1965)</f>
        <v>0</v>
      </c>
      <c r="K1966" s="52"/>
      <c r="L1966" s="51" t="s">
        <v>4</v>
      </c>
      <c r="M1966" s="58"/>
      <c r="N1966" s="58"/>
      <c r="O1966" s="58"/>
      <c r="P1966" s="58"/>
      <c r="Q1966" s="58"/>
      <c r="R1966" s="58"/>
      <c r="S1966" s="58"/>
    </row>
    <row r="1967" spans="1:19" s="59" customFormat="1" ht="18.75" hidden="1" customHeight="1" thickBot="1" x14ac:dyDescent="0.3">
      <c r="A1967" s="59" t="s">
        <v>23</v>
      </c>
      <c r="B1967" s="60" t="str">
        <f t="shared" ref="B1967:B1968" si="1403">IF(K1967=0,"hide","")</f>
        <v>hide</v>
      </c>
      <c r="D1967" s="61" t="str">
        <f>"22906"</f>
        <v>22906</v>
      </c>
      <c r="E1967" s="62" t="str">
        <f>"2"</f>
        <v>2</v>
      </c>
      <c r="F1967" s="63">
        <v>0</v>
      </c>
      <c r="G1967" s="63">
        <v>0</v>
      </c>
      <c r="H1967" s="63">
        <v>0</v>
      </c>
      <c r="I1967" s="63">
        <v>0</v>
      </c>
      <c r="J1967" s="63">
        <v>0</v>
      </c>
      <c r="K1967" s="63">
        <f>AVERAGE(I1967:J1967)</f>
        <v>0</v>
      </c>
      <c r="L1967" s="64" t="str">
        <f>"1280 Muffin, Apple Cinn, Tray Pk"</f>
        <v>1280 Muffin, Apple Cinn, Tray Pk</v>
      </c>
      <c r="M1967" s="65" t="str">
        <f>"96/2 oz"</f>
        <v>96/2 oz</v>
      </c>
      <c r="N1967" s="66">
        <v>96</v>
      </c>
      <c r="O1967" s="67" t="str">
        <f>""</f>
        <v/>
      </c>
      <c r="P1967" s="68" t="e">
        <f>1/O1967</f>
        <v>#VALUE!</v>
      </c>
      <c r="Q1967" s="53">
        <v>1</v>
      </c>
      <c r="R1967" s="69">
        <f t="shared" ref="R1967" si="1404">1/Q1967</f>
        <v>1</v>
      </c>
      <c r="S1967" s="70">
        <f t="shared" ref="S1967" si="1405">R1967*N1967</f>
        <v>96</v>
      </c>
    </row>
    <row r="1968" spans="1:19" ht="15.6" hidden="1" customHeight="1" thickBot="1" x14ac:dyDescent="0.3">
      <c r="A1968" t="s">
        <v>23</v>
      </c>
      <c r="B1968" s="60" t="str">
        <f t="shared" si="1403"/>
        <v>hide</v>
      </c>
      <c r="D1968" s="48" t="str">
        <f>D1967</f>
        <v>22906</v>
      </c>
      <c r="E1968" s="7"/>
      <c r="F1968" s="27">
        <v>0</v>
      </c>
      <c r="G1968" s="27">
        <v>0</v>
      </c>
      <c r="H1968" s="27">
        <v>0</v>
      </c>
      <c r="I1968" s="27">
        <v>0</v>
      </c>
      <c r="J1968" s="27">
        <v>0</v>
      </c>
      <c r="K1968" s="63">
        <f>AVERAGE(I1968:J1968)</f>
        <v>0</v>
      </c>
      <c r="L1968" s="56" t="str">
        <f>"EQP-LAWPACK1"</f>
        <v>EQP-LAWPACK1</v>
      </c>
      <c r="M1968" s="14"/>
      <c r="N1968" s="15"/>
      <c r="O1968" s="12"/>
      <c r="P1968" s="34"/>
      <c r="Q1968" s="37"/>
      <c r="R1968" s="47"/>
      <c r="S1968" s="46"/>
    </row>
    <row r="1969" spans="1:19" ht="15.6" hidden="1" customHeight="1" thickBot="1" x14ac:dyDescent="0.3">
      <c r="A1969" t="s">
        <v>23</v>
      </c>
      <c r="B1969" s="60" t="str">
        <f t="shared" ref="B1969:B1971" si="1406">IF(K1969=0,"hide","")</f>
        <v>hide</v>
      </c>
      <c r="D1969" s="48" t="str">
        <f>D1968</f>
        <v>22906</v>
      </c>
      <c r="E1969" s="7"/>
      <c r="F1969" s="27">
        <v>0</v>
      </c>
      <c r="G1969" s="27">
        <v>0</v>
      </c>
      <c r="H1969" s="27">
        <v>0</v>
      </c>
      <c r="I1969" s="27">
        <v>0</v>
      </c>
      <c r="J1969" s="27">
        <v>0</v>
      </c>
      <c r="K1969" s="63">
        <f>AVERAGE(I1969:J1969)</f>
        <v>0</v>
      </c>
      <c r="L1969" s="56" t="str">
        <f>"EQP-LAWPACK2"</f>
        <v>EQP-LAWPACK2</v>
      </c>
      <c r="M1969" s="14"/>
      <c r="N1969" s="15"/>
      <c r="O1969" s="12"/>
      <c r="P1969" s="34"/>
      <c r="Q1969" s="37"/>
      <c r="R1969" s="47"/>
      <c r="S1969" s="46"/>
    </row>
    <row r="1970" spans="1:19" ht="15.6" hidden="1" customHeight="1" thickBot="1" x14ac:dyDescent="0.3">
      <c r="A1970" t="s">
        <v>23</v>
      </c>
      <c r="B1970" s="60" t="str">
        <f t="shared" si="1406"/>
        <v>hide</v>
      </c>
      <c r="D1970" s="48" t="str">
        <f>D1969</f>
        <v>22906</v>
      </c>
      <c r="E1970" s="7"/>
      <c r="F1970" s="27">
        <v>0</v>
      </c>
      <c r="G1970" s="27">
        <v>0</v>
      </c>
      <c r="H1970" s="27">
        <v>0</v>
      </c>
      <c r="I1970" s="27">
        <v>0</v>
      </c>
      <c r="J1970" s="27">
        <v>0</v>
      </c>
      <c r="K1970" s="63">
        <f>AVERAGE(I1970:J1970)</f>
        <v>0</v>
      </c>
      <c r="L1970" s="56" t="str">
        <f>"SW-COMAS-PACKL"</f>
        <v>SW-COMAS-PACKL</v>
      </c>
      <c r="M1970" s="14"/>
      <c r="N1970" s="15"/>
      <c r="O1970" s="12"/>
      <c r="P1970" s="34"/>
      <c r="Q1970" s="37"/>
      <c r="R1970" s="47"/>
      <c r="S1970" s="46"/>
    </row>
    <row r="1971" spans="1:19" ht="15.6" hidden="1" customHeight="1" thickBot="1" x14ac:dyDescent="0.3">
      <c r="A1971" t="s">
        <v>23</v>
      </c>
      <c r="B1971" s="60" t="str">
        <f t="shared" si="1406"/>
        <v>hide</v>
      </c>
      <c r="D1971" s="48" t="str">
        <f>D1970</f>
        <v>22906</v>
      </c>
      <c r="E1971" s="7"/>
      <c r="F1971" s="27">
        <v>0</v>
      </c>
      <c r="G1971" s="27">
        <v>0</v>
      </c>
      <c r="H1971" s="27">
        <v>0</v>
      </c>
      <c r="I1971" s="27">
        <v>0</v>
      </c>
      <c r="J1971" s="27">
        <v>0</v>
      </c>
      <c r="K1971" s="63">
        <f>AVERAGE(I1971:J1971)</f>
        <v>0</v>
      </c>
      <c r="L1971" s="56" t="str">
        <f>"SW-RISER-PACK"</f>
        <v>SW-RISER-PACK</v>
      </c>
      <c r="M1971" s="14"/>
      <c r="N1971" s="15"/>
      <c r="O1971" s="12"/>
      <c r="P1971" s="34"/>
      <c r="Q1971" s="37"/>
      <c r="R1971" s="47"/>
      <c r="S1971" s="46"/>
    </row>
    <row r="1972" spans="1:19" ht="12" hidden="1" customHeight="1" x14ac:dyDescent="0.3">
      <c r="A1972" s="35" t="s">
        <v>908</v>
      </c>
      <c r="B1972" s="49" t="str">
        <f>B1968</f>
        <v>hide</v>
      </c>
      <c r="N1972"/>
      <c r="Q1972" s="33"/>
    </row>
    <row r="1973" spans="1:19" ht="13.8" hidden="1" thickBot="1" x14ac:dyDescent="0.3">
      <c r="A1973" t="s">
        <v>23</v>
      </c>
      <c r="B1973" s="49" t="str">
        <f t="shared" ref="B1973" si="1407">B1972</f>
        <v>hide</v>
      </c>
      <c r="D1973" s="58"/>
      <c r="E1973" s="58"/>
      <c r="F1973" s="52">
        <f>SUM(F1968:F1972)</f>
        <v>0</v>
      </c>
      <c r="G1973" s="52">
        <f>SUM(G1968:G1972)</f>
        <v>0</v>
      </c>
      <c r="H1973" s="52">
        <f>SUM(H1968:H1972)</f>
        <v>0</v>
      </c>
      <c r="I1973" s="52">
        <f>SUM(I1968:I1972)</f>
        <v>0</v>
      </c>
      <c r="J1973" s="52">
        <f>SUM(J1968:J1972)</f>
        <v>0</v>
      </c>
      <c r="K1973" s="52"/>
      <c r="L1973" s="51" t="s">
        <v>4</v>
      </c>
      <c r="M1973" s="58"/>
      <c r="N1973" s="58"/>
      <c r="O1973" s="58"/>
      <c r="P1973" s="58"/>
      <c r="Q1973" s="58"/>
      <c r="R1973" s="58"/>
      <c r="S1973" s="58"/>
    </row>
    <row r="1974" spans="1:19" s="59" customFormat="1" ht="18.75" hidden="1" customHeight="1" thickBot="1" x14ac:dyDescent="0.3">
      <c r="A1974" s="59" t="s">
        <v>23</v>
      </c>
      <c r="B1974" s="60" t="str">
        <f t="shared" ref="B1974:B1975" si="1408">IF(K1974=0,"hide","")</f>
        <v>hide</v>
      </c>
      <c r="D1974" s="61" t="str">
        <f>"22910"</f>
        <v>22910</v>
      </c>
      <c r="E1974" s="62" t="str">
        <f>"2"</f>
        <v>2</v>
      </c>
      <c r="F1974" s="63">
        <v>37.5</v>
      </c>
      <c r="G1974" s="63">
        <v>11.833333333333334</v>
      </c>
      <c r="H1974" s="63">
        <v>0</v>
      </c>
      <c r="I1974" s="63">
        <v>0</v>
      </c>
      <c r="J1974" s="63">
        <v>0</v>
      </c>
      <c r="K1974" s="63">
        <f>AVERAGE(I1974:J1974)</f>
        <v>0</v>
      </c>
      <c r="L1974" s="64" t="str">
        <f>"1245 Muffin, Choc Chip, Tray Pk"</f>
        <v>1245 Muffin, Choc Chip, Tray Pk</v>
      </c>
      <c r="M1974" s="65" t="str">
        <f>"96/2 oz"</f>
        <v>96/2 oz</v>
      </c>
      <c r="N1974" s="66">
        <v>96</v>
      </c>
      <c r="O1974" s="67" t="str">
        <f>""</f>
        <v/>
      </c>
      <c r="P1974" s="68" t="e">
        <f>1/O1974</f>
        <v>#VALUE!</v>
      </c>
      <c r="Q1974" s="53">
        <v>1</v>
      </c>
      <c r="R1974" s="69">
        <f t="shared" ref="R1974" si="1409">1/Q1974</f>
        <v>1</v>
      </c>
      <c r="S1974" s="70">
        <f t="shared" ref="S1974" si="1410">R1974*N1974</f>
        <v>96</v>
      </c>
    </row>
    <row r="1975" spans="1:19" ht="15.6" hidden="1" customHeight="1" thickBot="1" x14ac:dyDescent="0.3">
      <c r="A1975" t="s">
        <v>23</v>
      </c>
      <c r="B1975" s="60" t="str">
        <f t="shared" si="1408"/>
        <v>hide</v>
      </c>
      <c r="D1975" s="48" t="str">
        <f>D1974</f>
        <v>22910</v>
      </c>
      <c r="E1975" s="7"/>
      <c r="F1975" s="27">
        <v>0</v>
      </c>
      <c r="G1975" s="27">
        <v>0</v>
      </c>
      <c r="H1975" s="27">
        <v>0</v>
      </c>
      <c r="I1975" s="27">
        <v>0</v>
      </c>
      <c r="J1975" s="27">
        <v>0</v>
      </c>
      <c r="K1975" s="63">
        <f>AVERAGE(I1975:J1975)</f>
        <v>0</v>
      </c>
      <c r="L1975" s="56" t="str">
        <f>"EQP-LAWPACK1"</f>
        <v>EQP-LAWPACK1</v>
      </c>
      <c r="M1975" s="14"/>
      <c r="N1975" s="15"/>
      <c r="O1975" s="12"/>
      <c r="P1975" s="34"/>
      <c r="Q1975" s="37"/>
      <c r="R1975" s="47"/>
      <c r="S1975" s="46"/>
    </row>
    <row r="1976" spans="1:19" ht="15.6" hidden="1" customHeight="1" thickBot="1" x14ac:dyDescent="0.3">
      <c r="A1976" t="s">
        <v>23</v>
      </c>
      <c r="B1976" s="60" t="str">
        <f t="shared" ref="B1976:B1978" si="1411">IF(K1976=0,"hide","")</f>
        <v>hide</v>
      </c>
      <c r="D1976" s="48" t="str">
        <f>D1975</f>
        <v>22910</v>
      </c>
      <c r="E1976" s="7"/>
      <c r="F1976" s="27">
        <v>0</v>
      </c>
      <c r="G1976" s="27">
        <v>0</v>
      </c>
      <c r="H1976" s="27">
        <v>0</v>
      </c>
      <c r="I1976" s="27">
        <v>0</v>
      </c>
      <c r="J1976" s="27">
        <v>0</v>
      </c>
      <c r="K1976" s="63">
        <f>AVERAGE(I1976:J1976)</f>
        <v>0</v>
      </c>
      <c r="L1976" s="56" t="str">
        <f>"EQP-LAWPACK2"</f>
        <v>EQP-LAWPACK2</v>
      </c>
      <c r="M1976" s="14"/>
      <c r="N1976" s="15"/>
      <c r="O1976" s="12"/>
      <c r="P1976" s="34"/>
      <c r="Q1976" s="37"/>
      <c r="R1976" s="47"/>
      <c r="S1976" s="46"/>
    </row>
    <row r="1977" spans="1:19" ht="15.6" hidden="1" customHeight="1" thickBot="1" x14ac:dyDescent="0.3">
      <c r="A1977" t="s">
        <v>23</v>
      </c>
      <c r="B1977" s="60" t="str">
        <f t="shared" si="1411"/>
        <v>hide</v>
      </c>
      <c r="D1977" s="48" t="str">
        <f>D1976</f>
        <v>22910</v>
      </c>
      <c r="E1977" s="7"/>
      <c r="F1977" s="27">
        <v>0</v>
      </c>
      <c r="G1977" s="27">
        <v>0</v>
      </c>
      <c r="H1977" s="27">
        <v>0</v>
      </c>
      <c r="I1977" s="27">
        <v>0</v>
      </c>
      <c r="J1977" s="27">
        <v>0</v>
      </c>
      <c r="K1977" s="63">
        <f>AVERAGE(I1977:J1977)</f>
        <v>0</v>
      </c>
      <c r="L1977" s="56" t="str">
        <f>"SW-COMAS-PACKL"</f>
        <v>SW-COMAS-PACKL</v>
      </c>
      <c r="M1977" s="14"/>
      <c r="N1977" s="15"/>
      <c r="O1977" s="12"/>
      <c r="P1977" s="34"/>
      <c r="Q1977" s="37"/>
      <c r="R1977" s="47"/>
      <c r="S1977" s="46"/>
    </row>
    <row r="1978" spans="1:19" ht="15.6" hidden="1" customHeight="1" thickBot="1" x14ac:dyDescent="0.3">
      <c r="A1978" t="s">
        <v>23</v>
      </c>
      <c r="B1978" s="60" t="str">
        <f t="shared" si="1411"/>
        <v>hide</v>
      </c>
      <c r="D1978" s="48" t="str">
        <f>D1977</f>
        <v>22910</v>
      </c>
      <c r="E1978" s="7"/>
      <c r="F1978" s="27">
        <v>0</v>
      </c>
      <c r="G1978" s="27">
        <v>0</v>
      </c>
      <c r="H1978" s="27">
        <v>0</v>
      </c>
      <c r="I1978" s="27">
        <v>0</v>
      </c>
      <c r="J1978" s="27">
        <v>0</v>
      </c>
      <c r="K1978" s="63">
        <f>AVERAGE(I1978:J1978)</f>
        <v>0</v>
      </c>
      <c r="L1978" s="56" t="str">
        <f>"SW-RISER-PACK"</f>
        <v>SW-RISER-PACK</v>
      </c>
      <c r="M1978" s="14"/>
      <c r="N1978" s="15"/>
      <c r="O1978" s="12"/>
      <c r="P1978" s="34"/>
      <c r="Q1978" s="37"/>
      <c r="R1978" s="47"/>
      <c r="S1978" s="46"/>
    </row>
    <row r="1979" spans="1:19" ht="12" hidden="1" customHeight="1" x14ac:dyDescent="0.3">
      <c r="A1979" s="35" t="s">
        <v>908</v>
      </c>
      <c r="B1979" s="49" t="str">
        <f>B1975</f>
        <v>hide</v>
      </c>
      <c r="N1979"/>
      <c r="Q1979" s="33"/>
    </row>
    <row r="1980" spans="1:19" ht="13.8" hidden="1" thickBot="1" x14ac:dyDescent="0.3">
      <c r="A1980" t="s">
        <v>23</v>
      </c>
      <c r="B1980" s="49" t="str">
        <f t="shared" ref="B1980" si="1412">B1979</f>
        <v>hide</v>
      </c>
      <c r="D1980" s="58"/>
      <c r="E1980" s="58"/>
      <c r="F1980" s="52">
        <f>SUM(F1975:F1979)</f>
        <v>0</v>
      </c>
      <c r="G1980" s="52">
        <f>SUM(G1975:G1979)</f>
        <v>0</v>
      </c>
      <c r="H1980" s="52">
        <f>SUM(H1975:H1979)</f>
        <v>0</v>
      </c>
      <c r="I1980" s="52">
        <f>SUM(I1975:I1979)</f>
        <v>0</v>
      </c>
      <c r="J1980" s="52">
        <f>SUM(J1975:J1979)</f>
        <v>0</v>
      </c>
      <c r="K1980" s="52"/>
      <c r="L1980" s="51" t="s">
        <v>4</v>
      </c>
      <c r="M1980" s="58"/>
      <c r="N1980" s="58"/>
      <c r="O1980" s="58"/>
      <c r="P1980" s="58"/>
      <c r="Q1980" s="58"/>
      <c r="R1980" s="58"/>
      <c r="S1980" s="58"/>
    </row>
    <row r="1981" spans="1:19" s="59" customFormat="1" ht="18.75" hidden="1" customHeight="1" thickBot="1" x14ac:dyDescent="0.3">
      <c r="A1981" s="59" t="s">
        <v>23</v>
      </c>
      <c r="B1981" s="60" t="str">
        <f t="shared" ref="B1981:B1982" si="1413">IF(K1981=0,"hide","")</f>
        <v>hide</v>
      </c>
      <c r="D1981" s="61" t="str">
        <f>"23201"</f>
        <v>23201</v>
      </c>
      <c r="E1981" s="62" t="str">
        <f>"7"</f>
        <v>7</v>
      </c>
      <c r="F1981" s="63">
        <v>0</v>
      </c>
      <c r="G1981" s="63">
        <v>0</v>
      </c>
      <c r="H1981" s="63">
        <v>0</v>
      </c>
      <c r="I1981" s="63">
        <v>0</v>
      </c>
      <c r="J1981" s="63">
        <v>0</v>
      </c>
      <c r="K1981" s="63">
        <f>AVERAGE(I1981:J1981)</f>
        <v>0</v>
      </c>
      <c r="L1981" s="64" t="str">
        <f>"BLUEBERRY MUFFINS"</f>
        <v>BLUEBERRY MUFFINS</v>
      </c>
      <c r="M1981" s="65" t="str">
        <f>"48-3 oz. I.W."</f>
        <v>48-3 oz. I.W.</v>
      </c>
      <c r="N1981" s="66">
        <v>48</v>
      </c>
      <c r="O1981" s="67" t="str">
        <f>""</f>
        <v/>
      </c>
      <c r="P1981" s="68" t="e">
        <f>1/O1981</f>
        <v>#VALUE!</v>
      </c>
      <c r="Q1981" s="53">
        <v>1</v>
      </c>
      <c r="R1981" s="69">
        <f t="shared" ref="R1981" si="1414">1/Q1981</f>
        <v>1</v>
      </c>
      <c r="S1981" s="70">
        <f t="shared" ref="S1981" si="1415">R1981*N1981</f>
        <v>48</v>
      </c>
    </row>
    <row r="1982" spans="1:19" ht="15.6" hidden="1" customHeight="1" thickBot="1" x14ac:dyDescent="0.3">
      <c r="A1982" t="s">
        <v>23</v>
      </c>
      <c r="B1982" s="60" t="str">
        <f t="shared" si="1413"/>
        <v>hide</v>
      </c>
      <c r="D1982" s="48" t="str">
        <f>D1981</f>
        <v>23201</v>
      </c>
      <c r="E1982" s="7"/>
      <c r="F1982" s="27">
        <v>0</v>
      </c>
      <c r="G1982" s="27">
        <v>0</v>
      </c>
      <c r="H1982" s="27">
        <v>0</v>
      </c>
      <c r="I1982" s="27">
        <v>0</v>
      </c>
      <c r="J1982" s="27">
        <v>0</v>
      </c>
      <c r="K1982" s="63">
        <f>AVERAGE(I1982:J1982)</f>
        <v>0</v>
      </c>
      <c r="L1982" s="56" t="str">
        <f>"EQP-LAWPACK1"</f>
        <v>EQP-LAWPACK1</v>
      </c>
      <c r="M1982" s="14"/>
      <c r="N1982" s="15"/>
      <c r="O1982" s="12"/>
      <c r="P1982" s="34"/>
      <c r="Q1982" s="37"/>
      <c r="R1982" s="47"/>
      <c r="S1982" s="46"/>
    </row>
    <row r="1983" spans="1:19" ht="15.6" hidden="1" customHeight="1" thickBot="1" x14ac:dyDescent="0.3">
      <c r="A1983" t="s">
        <v>23</v>
      </c>
      <c r="B1983" s="60" t="str">
        <f t="shared" ref="B1983:B1985" si="1416">IF(K1983=0,"hide","")</f>
        <v>hide</v>
      </c>
      <c r="D1983" s="48" t="str">
        <f>D1982</f>
        <v>23201</v>
      </c>
      <c r="E1983" s="7"/>
      <c r="F1983" s="27">
        <v>0</v>
      </c>
      <c r="G1983" s="27">
        <v>0</v>
      </c>
      <c r="H1983" s="27">
        <v>0</v>
      </c>
      <c r="I1983" s="27">
        <v>0</v>
      </c>
      <c r="J1983" s="27">
        <v>0</v>
      </c>
      <c r="K1983" s="63">
        <f>AVERAGE(I1983:J1983)</f>
        <v>0</v>
      </c>
      <c r="L1983" s="56" t="str">
        <f>"EQP-LAWPACK2"</f>
        <v>EQP-LAWPACK2</v>
      </c>
      <c r="M1983" s="14"/>
      <c r="N1983" s="15"/>
      <c r="O1983" s="12"/>
      <c r="P1983" s="34"/>
      <c r="Q1983" s="37"/>
      <c r="R1983" s="47"/>
      <c r="S1983" s="46"/>
    </row>
    <row r="1984" spans="1:19" ht="15.6" hidden="1" customHeight="1" thickBot="1" x14ac:dyDescent="0.3">
      <c r="A1984" t="s">
        <v>23</v>
      </c>
      <c r="B1984" s="60" t="str">
        <f t="shared" si="1416"/>
        <v>hide</v>
      </c>
      <c r="D1984" s="48" t="str">
        <f>D1983</f>
        <v>23201</v>
      </c>
      <c r="E1984" s="7"/>
      <c r="F1984" s="27">
        <v>0</v>
      </c>
      <c r="G1984" s="27">
        <v>0</v>
      </c>
      <c r="H1984" s="27">
        <v>0</v>
      </c>
      <c r="I1984" s="27">
        <v>0</v>
      </c>
      <c r="J1984" s="27">
        <v>0</v>
      </c>
      <c r="K1984" s="63">
        <f>AVERAGE(I1984:J1984)</f>
        <v>0</v>
      </c>
      <c r="L1984" s="56" t="str">
        <f>"SW-COMAS-PACKL"</f>
        <v>SW-COMAS-PACKL</v>
      </c>
      <c r="M1984" s="14"/>
      <c r="N1984" s="15"/>
      <c r="O1984" s="12"/>
      <c r="P1984" s="34"/>
      <c r="Q1984" s="37"/>
      <c r="R1984" s="47"/>
      <c r="S1984" s="46"/>
    </row>
    <row r="1985" spans="1:19" ht="15.6" hidden="1" customHeight="1" thickBot="1" x14ac:dyDescent="0.3">
      <c r="A1985" t="s">
        <v>23</v>
      </c>
      <c r="B1985" s="60" t="str">
        <f t="shared" si="1416"/>
        <v>hide</v>
      </c>
      <c r="D1985" s="48" t="str">
        <f>D1984</f>
        <v>23201</v>
      </c>
      <c r="E1985" s="7"/>
      <c r="F1985" s="27">
        <v>0</v>
      </c>
      <c r="G1985" s="27">
        <v>0</v>
      </c>
      <c r="H1985" s="27">
        <v>0</v>
      </c>
      <c r="I1985" s="27">
        <v>0</v>
      </c>
      <c r="J1985" s="27">
        <v>0</v>
      </c>
      <c r="K1985" s="63">
        <f>AVERAGE(I1985:J1985)</f>
        <v>0</v>
      </c>
      <c r="L1985" s="56" t="str">
        <f>"SW-RISER-PACK"</f>
        <v>SW-RISER-PACK</v>
      </c>
      <c r="M1985" s="14"/>
      <c r="N1985" s="15"/>
      <c r="O1985" s="12"/>
      <c r="P1985" s="34"/>
      <c r="Q1985" s="37"/>
      <c r="R1985" s="47"/>
      <c r="S1985" s="46"/>
    </row>
    <row r="1986" spans="1:19" ht="12" hidden="1" customHeight="1" x14ac:dyDescent="0.3">
      <c r="A1986" s="35" t="s">
        <v>908</v>
      </c>
      <c r="B1986" s="49" t="str">
        <f>B1982</f>
        <v>hide</v>
      </c>
      <c r="N1986"/>
      <c r="Q1986" s="33"/>
    </row>
    <row r="1987" spans="1:19" ht="13.8" hidden="1" thickBot="1" x14ac:dyDescent="0.3">
      <c r="A1987" t="s">
        <v>23</v>
      </c>
      <c r="B1987" s="49" t="str">
        <f t="shared" ref="B1987" si="1417">B1986</f>
        <v>hide</v>
      </c>
      <c r="D1987" s="58"/>
      <c r="E1987" s="58"/>
      <c r="F1987" s="52">
        <f>SUM(F1982:F1986)</f>
        <v>0</v>
      </c>
      <c r="G1987" s="52">
        <f>SUM(G1982:G1986)</f>
        <v>0</v>
      </c>
      <c r="H1987" s="52">
        <f>SUM(H1982:H1986)</f>
        <v>0</v>
      </c>
      <c r="I1987" s="52">
        <f>SUM(I1982:I1986)</f>
        <v>0</v>
      </c>
      <c r="J1987" s="52">
        <f>SUM(J1982:J1986)</f>
        <v>0</v>
      </c>
      <c r="K1987" s="52"/>
      <c r="L1987" s="51" t="s">
        <v>4</v>
      </c>
      <c r="M1987" s="58"/>
      <c r="N1987" s="58"/>
      <c r="O1987" s="58"/>
      <c r="P1987" s="58"/>
      <c r="Q1987" s="58"/>
      <c r="R1987" s="58"/>
      <c r="S1987" s="58"/>
    </row>
    <row r="1988" spans="1:19" s="59" customFormat="1" ht="18.75" hidden="1" customHeight="1" thickBot="1" x14ac:dyDescent="0.3">
      <c r="A1988" s="59" t="s">
        <v>23</v>
      </c>
      <c r="B1988" s="60" t="str">
        <f t="shared" ref="B1988:B1989" si="1418">IF(K1988=0,"hide","")</f>
        <v>hide</v>
      </c>
      <c r="D1988" s="61" t="str">
        <f>"23205"</f>
        <v>23205</v>
      </c>
      <c r="E1988" s="62" t="str">
        <f>"3"</f>
        <v>3</v>
      </c>
      <c r="F1988" s="63">
        <v>0</v>
      </c>
      <c r="G1988" s="63">
        <v>0</v>
      </c>
      <c r="H1988" s="63">
        <v>0</v>
      </c>
      <c r="I1988" s="63">
        <v>0</v>
      </c>
      <c r="J1988" s="63">
        <v>0</v>
      </c>
      <c r="K1988" s="63">
        <f>AVERAGE(I1988:J1988)</f>
        <v>0</v>
      </c>
      <c r="L1988" s="64" t="str">
        <f>"CORN MUFFINS"</f>
        <v>CORN MUFFINS</v>
      </c>
      <c r="M1988" s="65" t="str">
        <f>"48-3 oz. I.W."</f>
        <v>48-3 oz. I.W.</v>
      </c>
      <c r="N1988" s="66">
        <v>48</v>
      </c>
      <c r="O1988" s="67" t="str">
        <f>""</f>
        <v/>
      </c>
      <c r="P1988" s="68" t="e">
        <f>1/O1988</f>
        <v>#VALUE!</v>
      </c>
      <c r="Q1988" s="53">
        <v>1</v>
      </c>
      <c r="R1988" s="69">
        <f t="shared" ref="R1988" si="1419">1/Q1988</f>
        <v>1</v>
      </c>
      <c r="S1988" s="70">
        <f t="shared" ref="S1988" si="1420">R1988*N1988</f>
        <v>48</v>
      </c>
    </row>
    <row r="1989" spans="1:19" ht="15.6" hidden="1" customHeight="1" thickBot="1" x14ac:dyDescent="0.3">
      <c r="A1989" t="s">
        <v>23</v>
      </c>
      <c r="B1989" s="60" t="str">
        <f t="shared" si="1418"/>
        <v>hide</v>
      </c>
      <c r="D1989" s="48" t="str">
        <f>D1988</f>
        <v>23205</v>
      </c>
      <c r="E1989" s="7"/>
      <c r="F1989" s="27">
        <v>0</v>
      </c>
      <c r="G1989" s="27">
        <v>0</v>
      </c>
      <c r="H1989" s="27">
        <v>0</v>
      </c>
      <c r="I1989" s="27">
        <v>0</v>
      </c>
      <c r="J1989" s="27">
        <v>0</v>
      </c>
      <c r="K1989" s="63">
        <f>AVERAGE(I1989:J1989)</f>
        <v>0</v>
      </c>
      <c r="L1989" s="56" t="str">
        <f>"EQP-LAWPACK1"</f>
        <v>EQP-LAWPACK1</v>
      </c>
      <c r="M1989" s="14"/>
      <c r="N1989" s="15"/>
      <c r="O1989" s="12"/>
      <c r="P1989" s="34"/>
      <c r="Q1989" s="37"/>
      <c r="R1989" s="47"/>
      <c r="S1989" s="46"/>
    </row>
    <row r="1990" spans="1:19" ht="15.6" hidden="1" customHeight="1" thickBot="1" x14ac:dyDescent="0.3">
      <c r="A1990" t="s">
        <v>23</v>
      </c>
      <c r="B1990" s="60" t="str">
        <f t="shared" ref="B1990:B1992" si="1421">IF(K1990=0,"hide","")</f>
        <v>hide</v>
      </c>
      <c r="D1990" s="48" t="str">
        <f>D1989</f>
        <v>23205</v>
      </c>
      <c r="E1990" s="7"/>
      <c r="F1990" s="27">
        <v>0</v>
      </c>
      <c r="G1990" s="27">
        <v>0</v>
      </c>
      <c r="H1990" s="27">
        <v>0</v>
      </c>
      <c r="I1990" s="27">
        <v>0</v>
      </c>
      <c r="J1990" s="27">
        <v>0</v>
      </c>
      <c r="K1990" s="63">
        <f>AVERAGE(I1990:J1990)</f>
        <v>0</v>
      </c>
      <c r="L1990" s="56" t="str">
        <f>"EQP-LAWPACK2"</f>
        <v>EQP-LAWPACK2</v>
      </c>
      <c r="M1990" s="14"/>
      <c r="N1990" s="15"/>
      <c r="O1990" s="12"/>
      <c r="P1990" s="34"/>
      <c r="Q1990" s="37"/>
      <c r="R1990" s="47"/>
      <c r="S1990" s="46"/>
    </row>
    <row r="1991" spans="1:19" ht="15.6" hidden="1" customHeight="1" thickBot="1" x14ac:dyDescent="0.3">
      <c r="A1991" t="s">
        <v>23</v>
      </c>
      <c r="B1991" s="60" t="str">
        <f t="shared" si="1421"/>
        <v>hide</v>
      </c>
      <c r="D1991" s="48" t="str">
        <f>D1990</f>
        <v>23205</v>
      </c>
      <c r="E1991" s="7"/>
      <c r="F1991" s="27">
        <v>0</v>
      </c>
      <c r="G1991" s="27">
        <v>0</v>
      </c>
      <c r="H1991" s="27">
        <v>0</v>
      </c>
      <c r="I1991" s="27">
        <v>0</v>
      </c>
      <c r="J1991" s="27">
        <v>0</v>
      </c>
      <c r="K1991" s="63">
        <f>AVERAGE(I1991:J1991)</f>
        <v>0</v>
      </c>
      <c r="L1991" s="56" t="str">
        <f>"SW-COMAS-PACKL"</f>
        <v>SW-COMAS-PACKL</v>
      </c>
      <c r="M1991" s="14"/>
      <c r="N1991" s="15"/>
      <c r="O1991" s="12"/>
      <c r="P1991" s="34"/>
      <c r="Q1991" s="37"/>
      <c r="R1991" s="47"/>
      <c r="S1991" s="46"/>
    </row>
    <row r="1992" spans="1:19" ht="15.6" hidden="1" customHeight="1" thickBot="1" x14ac:dyDescent="0.3">
      <c r="A1992" t="s">
        <v>23</v>
      </c>
      <c r="B1992" s="60" t="str">
        <f t="shared" si="1421"/>
        <v>hide</v>
      </c>
      <c r="D1992" s="48" t="str">
        <f>D1991</f>
        <v>23205</v>
      </c>
      <c r="E1992" s="7"/>
      <c r="F1992" s="27">
        <v>0</v>
      </c>
      <c r="G1992" s="27">
        <v>0</v>
      </c>
      <c r="H1992" s="27">
        <v>0</v>
      </c>
      <c r="I1992" s="27">
        <v>0</v>
      </c>
      <c r="J1992" s="27">
        <v>0</v>
      </c>
      <c r="K1992" s="63">
        <f>AVERAGE(I1992:J1992)</f>
        <v>0</v>
      </c>
      <c r="L1992" s="56" t="str">
        <f>"SW-RISER-PACK"</f>
        <v>SW-RISER-PACK</v>
      </c>
      <c r="M1992" s="14"/>
      <c r="N1992" s="15"/>
      <c r="O1992" s="12"/>
      <c r="P1992" s="34"/>
      <c r="Q1992" s="37"/>
      <c r="R1992" s="47"/>
      <c r="S1992" s="46"/>
    </row>
    <row r="1993" spans="1:19" ht="12" hidden="1" customHeight="1" x14ac:dyDescent="0.3">
      <c r="A1993" s="35" t="s">
        <v>908</v>
      </c>
      <c r="B1993" s="49" t="str">
        <f>B1989</f>
        <v>hide</v>
      </c>
      <c r="N1993"/>
      <c r="Q1993" s="33"/>
    </row>
    <row r="1994" spans="1:19" ht="13.8" hidden="1" thickBot="1" x14ac:dyDescent="0.3">
      <c r="A1994" t="s">
        <v>23</v>
      </c>
      <c r="B1994" s="49" t="str">
        <f t="shared" ref="B1994" si="1422">B1993</f>
        <v>hide</v>
      </c>
      <c r="D1994" s="58"/>
      <c r="E1994" s="58"/>
      <c r="F1994" s="52">
        <f>SUM(F1989:F1993)</f>
        <v>0</v>
      </c>
      <c r="G1994" s="52">
        <f>SUM(G1989:G1993)</f>
        <v>0</v>
      </c>
      <c r="H1994" s="52">
        <f>SUM(H1989:H1993)</f>
        <v>0</v>
      </c>
      <c r="I1994" s="52">
        <f>SUM(I1989:I1993)</f>
        <v>0</v>
      </c>
      <c r="J1994" s="52">
        <f>SUM(J1989:J1993)</f>
        <v>0</v>
      </c>
      <c r="K1994" s="52"/>
      <c r="L1994" s="51" t="s">
        <v>4</v>
      </c>
      <c r="M1994" s="58"/>
      <c r="N1994" s="58"/>
      <c r="O1994" s="58"/>
      <c r="P1994" s="58"/>
      <c r="Q1994" s="58"/>
      <c r="R1994" s="58"/>
      <c r="S1994" s="58"/>
    </row>
    <row r="1995" spans="1:19" s="59" customFormat="1" ht="18.75" hidden="1" customHeight="1" thickBot="1" x14ac:dyDescent="0.3">
      <c r="A1995" s="59" t="s">
        <v>23</v>
      </c>
      <c r="B1995" s="60" t="str">
        <f t="shared" ref="B1995:B1996" si="1423">IF(K1995=0,"hide","")</f>
        <v>hide</v>
      </c>
      <c r="D1995" s="61" t="str">
        <f>"23206"</f>
        <v>23206</v>
      </c>
      <c r="E1995" s="62" t="str">
        <f>"5"</f>
        <v>5</v>
      </c>
      <c r="F1995" s="63">
        <v>0</v>
      </c>
      <c r="G1995" s="63">
        <v>0</v>
      </c>
      <c r="H1995" s="63">
        <v>0</v>
      </c>
      <c r="I1995" s="63">
        <v>0</v>
      </c>
      <c r="J1995" s="63">
        <v>0</v>
      </c>
      <c r="K1995" s="63">
        <f>AVERAGE(I1995:J1995)</f>
        <v>0</v>
      </c>
      <c r="L1995" s="64" t="str">
        <f>"APPLE CINNAMON MUFFINS"</f>
        <v>APPLE CINNAMON MUFFINS</v>
      </c>
      <c r="M1995" s="65" t="str">
        <f>"48-3 oz. I.W."</f>
        <v>48-3 oz. I.W.</v>
      </c>
      <c r="N1995" s="66">
        <v>48</v>
      </c>
      <c r="O1995" s="67">
        <v>2.7399999999999998E-3</v>
      </c>
      <c r="P1995" s="68">
        <f>1/O1995</f>
        <v>364.96350364963507</v>
      </c>
      <c r="Q1995" s="53">
        <v>2.7399999999999998E-3</v>
      </c>
      <c r="R1995" s="69">
        <f t="shared" ref="R1995" si="1424">1/Q1995</f>
        <v>364.96350364963507</v>
      </c>
      <c r="S1995" s="70">
        <f t="shared" ref="S1995" si="1425">R1995*N1995</f>
        <v>17518.248175182482</v>
      </c>
    </row>
    <row r="1996" spans="1:19" ht="15.6" hidden="1" customHeight="1" thickBot="1" x14ac:dyDescent="0.3">
      <c r="A1996" t="s">
        <v>23</v>
      </c>
      <c r="B1996" s="60" t="str">
        <f t="shared" si="1423"/>
        <v>hide</v>
      </c>
      <c r="D1996" s="48" t="str">
        <f>D1995</f>
        <v>23206</v>
      </c>
      <c r="E1996" s="7"/>
      <c r="F1996" s="27">
        <v>0</v>
      </c>
      <c r="G1996" s="27">
        <v>0</v>
      </c>
      <c r="H1996" s="27">
        <v>0</v>
      </c>
      <c r="I1996" s="27">
        <v>0</v>
      </c>
      <c r="J1996" s="27">
        <v>0</v>
      </c>
      <c r="K1996" s="63">
        <f>AVERAGE(I1996:J1996)</f>
        <v>0</v>
      </c>
      <c r="L1996" s="56" t="str">
        <f>"EQP-LAWPACK1"</f>
        <v>EQP-LAWPACK1</v>
      </c>
      <c r="M1996" s="14"/>
      <c r="N1996" s="15"/>
      <c r="O1996" s="12"/>
      <c r="P1996" s="34"/>
      <c r="Q1996" s="37"/>
      <c r="R1996" s="47"/>
      <c r="S1996" s="46"/>
    </row>
    <row r="1997" spans="1:19" ht="15.6" hidden="1" customHeight="1" thickBot="1" x14ac:dyDescent="0.3">
      <c r="A1997" t="s">
        <v>23</v>
      </c>
      <c r="B1997" s="60" t="str">
        <f t="shared" ref="B1997:B1999" si="1426">IF(K1997=0,"hide","")</f>
        <v>hide</v>
      </c>
      <c r="D1997" s="48" t="str">
        <f>D1996</f>
        <v>23206</v>
      </c>
      <c r="E1997" s="7"/>
      <c r="F1997" s="27">
        <v>0</v>
      </c>
      <c r="G1997" s="27">
        <v>0</v>
      </c>
      <c r="H1997" s="27">
        <v>0</v>
      </c>
      <c r="I1997" s="27">
        <v>0</v>
      </c>
      <c r="J1997" s="27">
        <v>0</v>
      </c>
      <c r="K1997" s="63">
        <f>AVERAGE(I1997:J1997)</f>
        <v>0</v>
      </c>
      <c r="L1997" s="56" t="str">
        <f>"EQP-LAWPACK2"</f>
        <v>EQP-LAWPACK2</v>
      </c>
      <c r="M1997" s="14"/>
      <c r="N1997" s="15"/>
      <c r="O1997" s="12"/>
      <c r="P1997" s="34"/>
      <c r="Q1997" s="37"/>
      <c r="R1997" s="47"/>
      <c r="S1997" s="46"/>
    </row>
    <row r="1998" spans="1:19" ht="15.6" hidden="1" customHeight="1" thickBot="1" x14ac:dyDescent="0.3">
      <c r="A1998" t="s">
        <v>23</v>
      </c>
      <c r="B1998" s="60" t="str">
        <f t="shared" si="1426"/>
        <v>hide</v>
      </c>
      <c r="D1998" s="48" t="str">
        <f>D1997</f>
        <v>23206</v>
      </c>
      <c r="E1998" s="7"/>
      <c r="F1998" s="27">
        <v>0</v>
      </c>
      <c r="G1998" s="27">
        <v>0</v>
      </c>
      <c r="H1998" s="27">
        <v>0</v>
      </c>
      <c r="I1998" s="27">
        <v>0</v>
      </c>
      <c r="J1998" s="27">
        <v>0</v>
      </c>
      <c r="K1998" s="63">
        <f>AVERAGE(I1998:J1998)</f>
        <v>0</v>
      </c>
      <c r="L1998" s="56" t="str">
        <f>"SW-COMAS-PACKL"</f>
        <v>SW-COMAS-PACKL</v>
      </c>
      <c r="M1998" s="14"/>
      <c r="N1998" s="15"/>
      <c r="O1998" s="12"/>
      <c r="P1998" s="34"/>
      <c r="Q1998" s="37"/>
      <c r="R1998" s="47"/>
      <c r="S1998" s="46"/>
    </row>
    <row r="1999" spans="1:19" ht="15.6" hidden="1" customHeight="1" thickBot="1" x14ac:dyDescent="0.3">
      <c r="A1999" t="s">
        <v>23</v>
      </c>
      <c r="B1999" s="60" t="str">
        <f t="shared" si="1426"/>
        <v>hide</v>
      </c>
      <c r="D1999" s="48" t="str">
        <f>D1998</f>
        <v>23206</v>
      </c>
      <c r="E1999" s="7"/>
      <c r="F1999" s="27">
        <v>0</v>
      </c>
      <c r="G1999" s="27">
        <v>0</v>
      </c>
      <c r="H1999" s="27">
        <v>0</v>
      </c>
      <c r="I1999" s="27">
        <v>0</v>
      </c>
      <c r="J1999" s="27">
        <v>0</v>
      </c>
      <c r="K1999" s="63">
        <f>AVERAGE(I1999:J1999)</f>
        <v>0</v>
      </c>
      <c r="L1999" s="56" t="str">
        <f>"SW-RISER-PACK"</f>
        <v>SW-RISER-PACK</v>
      </c>
      <c r="M1999" s="14"/>
      <c r="N1999" s="15"/>
      <c r="O1999" s="12"/>
      <c r="P1999" s="34"/>
      <c r="Q1999" s="37"/>
      <c r="R1999" s="47"/>
      <c r="S1999" s="46"/>
    </row>
    <row r="2000" spans="1:19" ht="12" hidden="1" customHeight="1" x14ac:dyDescent="0.3">
      <c r="A2000" s="35" t="s">
        <v>908</v>
      </c>
      <c r="B2000" s="49" t="str">
        <f>B1996</f>
        <v>hide</v>
      </c>
      <c r="N2000"/>
      <c r="Q2000" s="33"/>
    </row>
    <row r="2001" spans="1:19" ht="13.8" hidden="1" thickBot="1" x14ac:dyDescent="0.3">
      <c r="A2001" t="s">
        <v>23</v>
      </c>
      <c r="B2001" s="49" t="str">
        <f t="shared" ref="B2001" si="1427">B2000</f>
        <v>hide</v>
      </c>
      <c r="D2001" s="58"/>
      <c r="E2001" s="58"/>
      <c r="F2001" s="52">
        <f>SUM(F1996:F2000)</f>
        <v>0</v>
      </c>
      <c r="G2001" s="52">
        <f>SUM(G1996:G2000)</f>
        <v>0</v>
      </c>
      <c r="H2001" s="52">
        <f>SUM(H1996:H2000)</f>
        <v>0</v>
      </c>
      <c r="I2001" s="52">
        <f>SUM(I1996:I2000)</f>
        <v>0</v>
      </c>
      <c r="J2001" s="52">
        <f>SUM(J1996:J2000)</f>
        <v>0</v>
      </c>
      <c r="K2001" s="52"/>
      <c r="L2001" s="51" t="s">
        <v>4</v>
      </c>
      <c r="M2001" s="58"/>
      <c r="N2001" s="58"/>
      <c r="O2001" s="58"/>
      <c r="P2001" s="58"/>
      <c r="Q2001" s="58"/>
      <c r="R2001" s="58"/>
      <c r="S2001" s="58"/>
    </row>
    <row r="2002" spans="1:19" s="59" customFormat="1" ht="18.75" hidden="1" customHeight="1" thickBot="1" x14ac:dyDescent="0.3">
      <c r="A2002" s="59" t="s">
        <v>23</v>
      </c>
      <c r="B2002" s="60" t="str">
        <f t="shared" ref="B2002:B2003" si="1428">IF(K2002=0,"hide","")</f>
        <v>hide</v>
      </c>
      <c r="D2002" s="61" t="str">
        <f>"23207"</f>
        <v>23207</v>
      </c>
      <c r="E2002" s="62" t="str">
        <f>"1"</f>
        <v>1</v>
      </c>
      <c r="F2002" s="63">
        <v>0</v>
      </c>
      <c r="G2002" s="63">
        <v>0</v>
      </c>
      <c r="H2002" s="63">
        <v>0</v>
      </c>
      <c r="I2002" s="63">
        <v>0</v>
      </c>
      <c r="J2002" s="63">
        <v>0</v>
      </c>
      <c r="K2002" s="63">
        <f>AVERAGE(I2002:J2002)</f>
        <v>0</v>
      </c>
      <c r="L2002" s="64" t="str">
        <f>"BANANA NUT MUFFINS"</f>
        <v>BANANA NUT MUFFINS</v>
      </c>
      <c r="M2002" s="65" t="str">
        <f>"48-3 oz. I.W."</f>
        <v>48-3 oz. I.W.</v>
      </c>
      <c r="N2002" s="66">
        <v>48</v>
      </c>
      <c r="O2002" s="67" t="str">
        <f>""</f>
        <v/>
      </c>
      <c r="P2002" s="68" t="e">
        <f>1/O2002</f>
        <v>#VALUE!</v>
      </c>
      <c r="Q2002" s="53">
        <v>1</v>
      </c>
      <c r="R2002" s="69">
        <f t="shared" ref="R2002" si="1429">1/Q2002</f>
        <v>1</v>
      </c>
      <c r="S2002" s="70">
        <f t="shared" ref="S2002" si="1430">R2002*N2002</f>
        <v>48</v>
      </c>
    </row>
    <row r="2003" spans="1:19" ht="15.6" hidden="1" customHeight="1" thickBot="1" x14ac:dyDescent="0.3">
      <c r="A2003" t="s">
        <v>23</v>
      </c>
      <c r="B2003" s="60" t="str">
        <f t="shared" si="1428"/>
        <v>hide</v>
      </c>
      <c r="D2003" s="48" t="str">
        <f>D2002</f>
        <v>23207</v>
      </c>
      <c r="E2003" s="7"/>
      <c r="F2003" s="27">
        <v>0</v>
      </c>
      <c r="G2003" s="27">
        <v>0</v>
      </c>
      <c r="H2003" s="27">
        <v>0</v>
      </c>
      <c r="I2003" s="27">
        <v>0</v>
      </c>
      <c r="J2003" s="27">
        <v>0</v>
      </c>
      <c r="K2003" s="63">
        <f>AVERAGE(I2003:J2003)</f>
        <v>0</v>
      </c>
      <c r="L2003" s="56" t="str">
        <f>"EQP-LAWPACK1"</f>
        <v>EQP-LAWPACK1</v>
      </c>
      <c r="M2003" s="14"/>
      <c r="N2003" s="15"/>
      <c r="O2003" s="12"/>
      <c r="P2003" s="34"/>
      <c r="Q2003" s="37"/>
      <c r="R2003" s="47"/>
      <c r="S2003" s="46"/>
    </row>
    <row r="2004" spans="1:19" ht="15.6" hidden="1" customHeight="1" thickBot="1" x14ac:dyDescent="0.3">
      <c r="A2004" t="s">
        <v>23</v>
      </c>
      <c r="B2004" s="60" t="str">
        <f t="shared" ref="B2004:B2006" si="1431">IF(K2004=0,"hide","")</f>
        <v>hide</v>
      </c>
      <c r="D2004" s="48" t="str">
        <f>D2003</f>
        <v>23207</v>
      </c>
      <c r="E2004" s="7"/>
      <c r="F2004" s="27">
        <v>0</v>
      </c>
      <c r="G2004" s="27">
        <v>0</v>
      </c>
      <c r="H2004" s="27">
        <v>0</v>
      </c>
      <c r="I2004" s="27">
        <v>0</v>
      </c>
      <c r="J2004" s="27">
        <v>0</v>
      </c>
      <c r="K2004" s="63">
        <f>AVERAGE(I2004:J2004)</f>
        <v>0</v>
      </c>
      <c r="L2004" s="56" t="str">
        <f>"EQP-LAWPACK2"</f>
        <v>EQP-LAWPACK2</v>
      </c>
      <c r="M2004" s="14"/>
      <c r="N2004" s="15"/>
      <c r="O2004" s="12"/>
      <c r="P2004" s="34"/>
      <c r="Q2004" s="37"/>
      <c r="R2004" s="47"/>
      <c r="S2004" s="46"/>
    </row>
    <row r="2005" spans="1:19" ht="15.6" hidden="1" customHeight="1" thickBot="1" x14ac:dyDescent="0.3">
      <c r="A2005" t="s">
        <v>23</v>
      </c>
      <c r="B2005" s="60" t="str">
        <f t="shared" si="1431"/>
        <v>hide</v>
      </c>
      <c r="D2005" s="48" t="str">
        <f>D2004</f>
        <v>23207</v>
      </c>
      <c r="E2005" s="7"/>
      <c r="F2005" s="27">
        <v>0</v>
      </c>
      <c r="G2005" s="27">
        <v>0</v>
      </c>
      <c r="H2005" s="27">
        <v>0</v>
      </c>
      <c r="I2005" s="27">
        <v>0</v>
      </c>
      <c r="J2005" s="27">
        <v>0</v>
      </c>
      <c r="K2005" s="63">
        <f>AVERAGE(I2005:J2005)</f>
        <v>0</v>
      </c>
      <c r="L2005" s="56" t="str">
        <f>"SW-COMAS-PACKL"</f>
        <v>SW-COMAS-PACKL</v>
      </c>
      <c r="M2005" s="14"/>
      <c r="N2005" s="15"/>
      <c r="O2005" s="12"/>
      <c r="P2005" s="34"/>
      <c r="Q2005" s="37"/>
      <c r="R2005" s="47"/>
      <c r="S2005" s="46"/>
    </row>
    <row r="2006" spans="1:19" ht="15.6" hidden="1" customHeight="1" thickBot="1" x14ac:dyDescent="0.3">
      <c r="A2006" t="s">
        <v>23</v>
      </c>
      <c r="B2006" s="60" t="str">
        <f t="shared" si="1431"/>
        <v>hide</v>
      </c>
      <c r="D2006" s="48" t="str">
        <f>D2005</f>
        <v>23207</v>
      </c>
      <c r="E2006" s="7"/>
      <c r="F2006" s="27">
        <v>0</v>
      </c>
      <c r="G2006" s="27">
        <v>0</v>
      </c>
      <c r="H2006" s="27">
        <v>0</v>
      </c>
      <c r="I2006" s="27">
        <v>0</v>
      </c>
      <c r="J2006" s="27">
        <v>0</v>
      </c>
      <c r="K2006" s="63">
        <f>AVERAGE(I2006:J2006)</f>
        <v>0</v>
      </c>
      <c r="L2006" s="56" t="str">
        <f>"SW-RISER-PACK"</f>
        <v>SW-RISER-PACK</v>
      </c>
      <c r="M2006" s="14"/>
      <c r="N2006" s="15"/>
      <c r="O2006" s="12"/>
      <c r="P2006" s="34"/>
      <c r="Q2006" s="37"/>
      <c r="R2006" s="47"/>
      <c r="S2006" s="46"/>
    </row>
    <row r="2007" spans="1:19" ht="12" hidden="1" customHeight="1" x14ac:dyDescent="0.3">
      <c r="A2007" s="35" t="s">
        <v>908</v>
      </c>
      <c r="B2007" s="49" t="str">
        <f>B2003</f>
        <v>hide</v>
      </c>
      <c r="N2007"/>
      <c r="Q2007" s="33"/>
    </row>
    <row r="2008" spans="1:19" ht="13.8" hidden="1" thickBot="1" x14ac:dyDescent="0.3">
      <c r="A2008" t="s">
        <v>23</v>
      </c>
      <c r="B2008" s="49" t="str">
        <f t="shared" ref="B2008" si="1432">B2007</f>
        <v>hide</v>
      </c>
      <c r="D2008" s="58"/>
      <c r="E2008" s="58"/>
      <c r="F2008" s="52">
        <f>SUM(F2003:F2007)</f>
        <v>0</v>
      </c>
      <c r="G2008" s="52">
        <f>SUM(G2003:G2007)</f>
        <v>0</v>
      </c>
      <c r="H2008" s="52">
        <f>SUM(H2003:H2007)</f>
        <v>0</v>
      </c>
      <c r="I2008" s="52">
        <f>SUM(I2003:I2007)</f>
        <v>0</v>
      </c>
      <c r="J2008" s="52">
        <f>SUM(J2003:J2007)</f>
        <v>0</v>
      </c>
      <c r="K2008" s="52"/>
      <c r="L2008" s="51" t="s">
        <v>4</v>
      </c>
      <c r="M2008" s="58"/>
      <c r="N2008" s="58"/>
      <c r="O2008" s="58"/>
      <c r="P2008" s="58"/>
      <c r="Q2008" s="58"/>
      <c r="R2008" s="58"/>
      <c r="S2008" s="58"/>
    </row>
    <row r="2009" spans="1:19" s="59" customFormat="1" ht="18.75" hidden="1" customHeight="1" thickBot="1" x14ac:dyDescent="0.3">
      <c r="A2009" s="59" t="s">
        <v>23</v>
      </c>
      <c r="B2009" s="60" t="str">
        <f t="shared" ref="B2009:B2010" si="1433">IF(K2009=0,"hide","")</f>
        <v>hide</v>
      </c>
      <c r="D2009" s="61" t="str">
        <f>"23210"</f>
        <v>23210</v>
      </c>
      <c r="E2009" s="62" t="str">
        <f>"5"</f>
        <v>5</v>
      </c>
      <c r="F2009" s="63">
        <v>0</v>
      </c>
      <c r="G2009" s="63">
        <v>0</v>
      </c>
      <c r="H2009" s="63">
        <v>0</v>
      </c>
      <c r="I2009" s="63">
        <v>0</v>
      </c>
      <c r="J2009" s="63">
        <v>0</v>
      </c>
      <c r="K2009" s="63">
        <f>AVERAGE(I2009:J2009)</f>
        <v>0</v>
      </c>
      <c r="L2009" s="64" t="str">
        <f>"CHOCOLATE CHIP MUFFINS"</f>
        <v>CHOCOLATE CHIP MUFFINS</v>
      </c>
      <c r="M2009" s="65" t="str">
        <f>"48-3 oz. I.W."</f>
        <v>48-3 oz. I.W.</v>
      </c>
      <c r="N2009" s="66">
        <v>48</v>
      </c>
      <c r="O2009" s="67" t="str">
        <f>""</f>
        <v/>
      </c>
      <c r="P2009" s="68" t="e">
        <f>1/O2009</f>
        <v>#VALUE!</v>
      </c>
      <c r="Q2009" s="53">
        <v>1</v>
      </c>
      <c r="R2009" s="69">
        <f t="shared" ref="R2009" si="1434">1/Q2009</f>
        <v>1</v>
      </c>
      <c r="S2009" s="70">
        <f t="shared" ref="S2009" si="1435">R2009*N2009</f>
        <v>48</v>
      </c>
    </row>
    <row r="2010" spans="1:19" ht="15.6" hidden="1" customHeight="1" thickBot="1" x14ac:dyDescent="0.3">
      <c r="A2010" t="s">
        <v>23</v>
      </c>
      <c r="B2010" s="60" t="str">
        <f t="shared" si="1433"/>
        <v>hide</v>
      </c>
      <c r="D2010" s="48" t="str">
        <f>D2009</f>
        <v>23210</v>
      </c>
      <c r="E2010" s="7"/>
      <c r="F2010" s="27">
        <v>0</v>
      </c>
      <c r="G2010" s="27">
        <v>0</v>
      </c>
      <c r="H2010" s="27">
        <v>0</v>
      </c>
      <c r="I2010" s="27">
        <v>0</v>
      </c>
      <c r="J2010" s="27">
        <v>0</v>
      </c>
      <c r="K2010" s="63">
        <f>AVERAGE(I2010:J2010)</f>
        <v>0</v>
      </c>
      <c r="L2010" s="56" t="str">
        <f>"EQP-LAWPACK1"</f>
        <v>EQP-LAWPACK1</v>
      </c>
      <c r="M2010" s="14"/>
      <c r="N2010" s="15"/>
      <c r="O2010" s="12"/>
      <c r="P2010" s="34"/>
      <c r="Q2010" s="37"/>
      <c r="R2010" s="47"/>
      <c r="S2010" s="46"/>
    </row>
    <row r="2011" spans="1:19" ht="15.6" hidden="1" customHeight="1" thickBot="1" x14ac:dyDescent="0.3">
      <c r="A2011" t="s">
        <v>23</v>
      </c>
      <c r="B2011" s="60" t="str">
        <f t="shared" ref="B2011:B2013" si="1436">IF(K2011=0,"hide","")</f>
        <v>hide</v>
      </c>
      <c r="D2011" s="48" t="str">
        <f>D2010</f>
        <v>23210</v>
      </c>
      <c r="E2011" s="7"/>
      <c r="F2011" s="27">
        <v>0</v>
      </c>
      <c r="G2011" s="27">
        <v>0</v>
      </c>
      <c r="H2011" s="27">
        <v>0</v>
      </c>
      <c r="I2011" s="27">
        <v>0</v>
      </c>
      <c r="J2011" s="27">
        <v>0</v>
      </c>
      <c r="K2011" s="63">
        <f>AVERAGE(I2011:J2011)</f>
        <v>0</v>
      </c>
      <c r="L2011" s="56" t="str">
        <f>"EQP-LAWPACK2"</f>
        <v>EQP-LAWPACK2</v>
      </c>
      <c r="M2011" s="14"/>
      <c r="N2011" s="15"/>
      <c r="O2011" s="12"/>
      <c r="P2011" s="34"/>
      <c r="Q2011" s="37"/>
      <c r="R2011" s="47"/>
      <c r="S2011" s="46"/>
    </row>
    <row r="2012" spans="1:19" ht="15.6" hidden="1" customHeight="1" thickBot="1" x14ac:dyDescent="0.3">
      <c r="A2012" t="s">
        <v>23</v>
      </c>
      <c r="B2012" s="60" t="str">
        <f t="shared" si="1436"/>
        <v>hide</v>
      </c>
      <c r="D2012" s="48" t="str">
        <f>D2011</f>
        <v>23210</v>
      </c>
      <c r="E2012" s="7"/>
      <c r="F2012" s="27">
        <v>0</v>
      </c>
      <c r="G2012" s="27">
        <v>0</v>
      </c>
      <c r="H2012" s="27">
        <v>0</v>
      </c>
      <c r="I2012" s="27">
        <v>0</v>
      </c>
      <c r="J2012" s="27">
        <v>0</v>
      </c>
      <c r="K2012" s="63">
        <f>AVERAGE(I2012:J2012)</f>
        <v>0</v>
      </c>
      <c r="L2012" s="56" t="str">
        <f>"SW-COMAS-PACKL"</f>
        <v>SW-COMAS-PACKL</v>
      </c>
      <c r="M2012" s="14"/>
      <c r="N2012" s="15"/>
      <c r="O2012" s="12"/>
      <c r="P2012" s="34"/>
      <c r="Q2012" s="37"/>
      <c r="R2012" s="47"/>
      <c r="S2012" s="46"/>
    </row>
    <row r="2013" spans="1:19" ht="15.6" hidden="1" customHeight="1" thickBot="1" x14ac:dyDescent="0.3">
      <c r="A2013" t="s">
        <v>23</v>
      </c>
      <c r="B2013" s="60" t="str">
        <f t="shared" si="1436"/>
        <v>hide</v>
      </c>
      <c r="D2013" s="48" t="str">
        <f>D2012</f>
        <v>23210</v>
      </c>
      <c r="E2013" s="7"/>
      <c r="F2013" s="27">
        <v>0</v>
      </c>
      <c r="G2013" s="27">
        <v>0</v>
      </c>
      <c r="H2013" s="27">
        <v>0</v>
      </c>
      <c r="I2013" s="27">
        <v>0</v>
      </c>
      <c r="J2013" s="27">
        <v>0</v>
      </c>
      <c r="K2013" s="63">
        <f>AVERAGE(I2013:J2013)</f>
        <v>0</v>
      </c>
      <c r="L2013" s="56" t="str">
        <f>"SW-RISER-PACK"</f>
        <v>SW-RISER-PACK</v>
      </c>
      <c r="M2013" s="14"/>
      <c r="N2013" s="15"/>
      <c r="O2013" s="12"/>
      <c r="P2013" s="34"/>
      <c r="Q2013" s="37"/>
      <c r="R2013" s="47"/>
      <c r="S2013" s="46"/>
    </row>
    <row r="2014" spans="1:19" ht="12" hidden="1" customHeight="1" x14ac:dyDescent="0.3">
      <c r="A2014" s="35" t="s">
        <v>908</v>
      </c>
      <c r="B2014" s="49" t="str">
        <f>B2010</f>
        <v>hide</v>
      </c>
      <c r="N2014"/>
      <c r="Q2014" s="33"/>
    </row>
    <row r="2015" spans="1:19" ht="13.8" hidden="1" thickBot="1" x14ac:dyDescent="0.3">
      <c r="A2015" t="s">
        <v>23</v>
      </c>
      <c r="B2015" s="49" t="str">
        <f t="shared" ref="B2015" si="1437">B2014</f>
        <v>hide</v>
      </c>
      <c r="D2015" s="58"/>
      <c r="E2015" s="58"/>
      <c r="F2015" s="52">
        <f>SUM(F2010:F2014)</f>
        <v>0</v>
      </c>
      <c r="G2015" s="52">
        <f>SUM(G2010:G2014)</f>
        <v>0</v>
      </c>
      <c r="H2015" s="52">
        <f>SUM(H2010:H2014)</f>
        <v>0</v>
      </c>
      <c r="I2015" s="52">
        <f>SUM(I2010:I2014)</f>
        <v>0</v>
      </c>
      <c r="J2015" s="52">
        <f>SUM(J2010:J2014)</f>
        <v>0</v>
      </c>
      <c r="K2015" s="52"/>
      <c r="L2015" s="51" t="s">
        <v>4</v>
      </c>
      <c r="M2015" s="58"/>
      <c r="N2015" s="58"/>
      <c r="O2015" s="58"/>
      <c r="P2015" s="58"/>
      <c r="Q2015" s="58"/>
      <c r="R2015" s="58"/>
      <c r="S2015" s="58"/>
    </row>
    <row r="2016" spans="1:19" s="59" customFormat="1" ht="18.75" hidden="1" customHeight="1" thickBot="1" x14ac:dyDescent="0.3">
      <c r="A2016" s="59" t="s">
        <v>23</v>
      </c>
      <c r="B2016" s="60" t="str">
        <f t="shared" ref="B2016:B2017" si="1438">IF(K2016=0,"hide","")</f>
        <v>hide</v>
      </c>
      <c r="D2016" s="61" t="str">
        <f>"23601"</f>
        <v>23601</v>
      </c>
      <c r="E2016" s="62" t="str">
        <f>"4"</f>
        <v>4</v>
      </c>
      <c r="F2016" s="63">
        <v>0</v>
      </c>
      <c r="G2016" s="63">
        <v>0</v>
      </c>
      <c r="H2016" s="63">
        <v>0</v>
      </c>
      <c r="I2016" s="63">
        <v>0</v>
      </c>
      <c r="J2016" s="63">
        <v>0</v>
      </c>
      <c r="K2016" s="63">
        <f>AVERAGE(I2016:J2016)</f>
        <v>0</v>
      </c>
      <c r="L2016" s="64" t="str">
        <f>"Whole Wheat Blueberry Muffins"</f>
        <v>Whole Wheat Blueberry Muffins</v>
      </c>
      <c r="M2016" s="65" t="str">
        <f>"48-3 oz. IW"</f>
        <v>48-3 oz. IW</v>
      </c>
      <c r="N2016" s="66">
        <v>48</v>
      </c>
      <c r="O2016" s="67" t="str">
        <f>""</f>
        <v/>
      </c>
      <c r="P2016" s="68" t="e">
        <f>1/O2016</f>
        <v>#VALUE!</v>
      </c>
      <c r="Q2016" s="53">
        <v>1</v>
      </c>
      <c r="R2016" s="69">
        <f t="shared" ref="R2016" si="1439">1/Q2016</f>
        <v>1</v>
      </c>
      <c r="S2016" s="70">
        <f t="shared" ref="S2016" si="1440">R2016*N2016</f>
        <v>48</v>
      </c>
    </row>
    <row r="2017" spans="1:19" ht="15.6" hidden="1" customHeight="1" thickBot="1" x14ac:dyDescent="0.3">
      <c r="A2017" t="s">
        <v>23</v>
      </c>
      <c r="B2017" s="60" t="str">
        <f t="shared" si="1438"/>
        <v>hide</v>
      </c>
      <c r="D2017" s="48" t="str">
        <f>D2016</f>
        <v>23601</v>
      </c>
      <c r="E2017" s="7"/>
      <c r="F2017" s="27">
        <v>0</v>
      </c>
      <c r="G2017" s="27">
        <v>0</v>
      </c>
      <c r="H2017" s="27">
        <v>0</v>
      </c>
      <c r="I2017" s="27">
        <v>0</v>
      </c>
      <c r="J2017" s="27">
        <v>0</v>
      </c>
      <c r="K2017" s="63">
        <f>AVERAGE(I2017:J2017)</f>
        <v>0</v>
      </c>
      <c r="L2017" s="56" t="str">
        <f>"EQP-LAWPACK1"</f>
        <v>EQP-LAWPACK1</v>
      </c>
      <c r="M2017" s="14"/>
      <c r="N2017" s="15"/>
      <c r="O2017" s="12"/>
      <c r="P2017" s="34"/>
      <c r="Q2017" s="37"/>
      <c r="R2017" s="47"/>
      <c r="S2017" s="46"/>
    </row>
    <row r="2018" spans="1:19" ht="15.6" hidden="1" customHeight="1" thickBot="1" x14ac:dyDescent="0.3">
      <c r="A2018" t="s">
        <v>23</v>
      </c>
      <c r="B2018" s="60" t="str">
        <f t="shared" ref="B2018:B2020" si="1441">IF(K2018=0,"hide","")</f>
        <v>hide</v>
      </c>
      <c r="D2018" s="48" t="str">
        <f>D2017</f>
        <v>23601</v>
      </c>
      <c r="E2018" s="7"/>
      <c r="F2018" s="27">
        <v>0</v>
      </c>
      <c r="G2018" s="27">
        <v>0</v>
      </c>
      <c r="H2018" s="27">
        <v>0</v>
      </c>
      <c r="I2018" s="27">
        <v>0</v>
      </c>
      <c r="J2018" s="27">
        <v>0</v>
      </c>
      <c r="K2018" s="63">
        <f>AVERAGE(I2018:J2018)</f>
        <v>0</v>
      </c>
      <c r="L2018" s="56" t="str">
        <f>"EQP-LAWPACK2"</f>
        <v>EQP-LAWPACK2</v>
      </c>
      <c r="M2018" s="14"/>
      <c r="N2018" s="15"/>
      <c r="O2018" s="12"/>
      <c r="P2018" s="34"/>
      <c r="Q2018" s="37"/>
      <c r="R2018" s="47"/>
      <c r="S2018" s="46"/>
    </row>
    <row r="2019" spans="1:19" ht="15.6" hidden="1" customHeight="1" thickBot="1" x14ac:dyDescent="0.3">
      <c r="A2019" t="s">
        <v>23</v>
      </c>
      <c r="B2019" s="60" t="str">
        <f t="shared" si="1441"/>
        <v>hide</v>
      </c>
      <c r="D2019" s="48" t="str">
        <f>D2018</f>
        <v>23601</v>
      </c>
      <c r="E2019" s="7"/>
      <c r="F2019" s="27">
        <v>0</v>
      </c>
      <c r="G2019" s="27">
        <v>0</v>
      </c>
      <c r="H2019" s="27">
        <v>0</v>
      </c>
      <c r="I2019" s="27">
        <v>0</v>
      </c>
      <c r="J2019" s="27">
        <v>0</v>
      </c>
      <c r="K2019" s="63">
        <f>AVERAGE(I2019:J2019)</f>
        <v>0</v>
      </c>
      <c r="L2019" s="56" t="str">
        <f>"SW-COMAS-PACKL"</f>
        <v>SW-COMAS-PACKL</v>
      </c>
      <c r="M2019" s="14"/>
      <c r="N2019" s="15"/>
      <c r="O2019" s="12"/>
      <c r="P2019" s="34"/>
      <c r="Q2019" s="37"/>
      <c r="R2019" s="47"/>
      <c r="S2019" s="46"/>
    </row>
    <row r="2020" spans="1:19" ht="15.6" hidden="1" customHeight="1" thickBot="1" x14ac:dyDescent="0.3">
      <c r="A2020" t="s">
        <v>23</v>
      </c>
      <c r="B2020" s="60" t="str">
        <f t="shared" si="1441"/>
        <v>hide</v>
      </c>
      <c r="D2020" s="48" t="str">
        <f>D2019</f>
        <v>23601</v>
      </c>
      <c r="E2020" s="7"/>
      <c r="F2020" s="27">
        <v>0</v>
      </c>
      <c r="G2020" s="27">
        <v>0</v>
      </c>
      <c r="H2020" s="27">
        <v>0</v>
      </c>
      <c r="I2020" s="27">
        <v>0</v>
      </c>
      <c r="J2020" s="27">
        <v>0</v>
      </c>
      <c r="K2020" s="63">
        <f>AVERAGE(I2020:J2020)</f>
        <v>0</v>
      </c>
      <c r="L2020" s="56" t="str">
        <f>"SW-RISER-PACK"</f>
        <v>SW-RISER-PACK</v>
      </c>
      <c r="M2020" s="14"/>
      <c r="N2020" s="15"/>
      <c r="O2020" s="12"/>
      <c r="P2020" s="34"/>
      <c r="Q2020" s="37"/>
      <c r="R2020" s="47"/>
      <c r="S2020" s="46"/>
    </row>
    <row r="2021" spans="1:19" ht="12" hidden="1" customHeight="1" x14ac:dyDescent="0.3">
      <c r="A2021" s="35" t="s">
        <v>908</v>
      </c>
      <c r="B2021" s="49" t="str">
        <f>B2017</f>
        <v>hide</v>
      </c>
      <c r="N2021"/>
      <c r="Q2021" s="33"/>
    </row>
    <row r="2022" spans="1:19" ht="13.8" hidden="1" thickBot="1" x14ac:dyDescent="0.3">
      <c r="A2022" t="s">
        <v>23</v>
      </c>
      <c r="B2022" s="49" t="str">
        <f t="shared" ref="B2022" si="1442">B2021</f>
        <v>hide</v>
      </c>
      <c r="D2022" s="58"/>
      <c r="E2022" s="58"/>
      <c r="F2022" s="52">
        <f>SUM(F2017:F2021)</f>
        <v>0</v>
      </c>
      <c r="G2022" s="52">
        <f>SUM(G2017:G2021)</f>
        <v>0</v>
      </c>
      <c r="H2022" s="52">
        <f>SUM(H2017:H2021)</f>
        <v>0</v>
      </c>
      <c r="I2022" s="52">
        <f>SUM(I2017:I2021)</f>
        <v>0</v>
      </c>
      <c r="J2022" s="52">
        <f>SUM(J2017:J2021)</f>
        <v>0</v>
      </c>
      <c r="K2022" s="52"/>
      <c r="L2022" s="51" t="s">
        <v>4</v>
      </c>
      <c r="M2022" s="58"/>
      <c r="N2022" s="58"/>
      <c r="O2022" s="58"/>
      <c r="P2022" s="58"/>
      <c r="Q2022" s="58"/>
      <c r="R2022" s="58"/>
      <c r="S2022" s="58"/>
    </row>
    <row r="2023" spans="1:19" s="59" customFormat="1" ht="18.75" hidden="1" customHeight="1" thickBot="1" x14ac:dyDescent="0.3">
      <c r="A2023" s="59" t="s">
        <v>23</v>
      </c>
      <c r="B2023" s="60" t="str">
        <f t="shared" ref="B2023:B2024" si="1443">IF(K2023=0,"hide","")</f>
        <v>hide</v>
      </c>
      <c r="D2023" s="61" t="str">
        <f>"23606"</f>
        <v>23606</v>
      </c>
      <c r="E2023" s="62" t="str">
        <f>"4"</f>
        <v>4</v>
      </c>
      <c r="F2023" s="63">
        <v>0</v>
      </c>
      <c r="G2023" s="63">
        <v>0</v>
      </c>
      <c r="H2023" s="63">
        <v>0</v>
      </c>
      <c r="I2023" s="63">
        <v>0</v>
      </c>
      <c r="J2023" s="63">
        <v>0</v>
      </c>
      <c r="K2023" s="63">
        <f>AVERAGE(I2023:J2023)</f>
        <v>0</v>
      </c>
      <c r="L2023" s="64" t="str">
        <f>"Whole Wheat Apple Muffins"</f>
        <v>Whole Wheat Apple Muffins</v>
      </c>
      <c r="M2023" s="65" t="str">
        <f>"48-3 oz. I.W."</f>
        <v>48-3 oz. I.W.</v>
      </c>
      <c r="N2023" s="66">
        <v>48</v>
      </c>
      <c r="O2023" s="67" t="str">
        <f>""</f>
        <v/>
      </c>
      <c r="P2023" s="68" t="e">
        <f>1/O2023</f>
        <v>#VALUE!</v>
      </c>
      <c r="Q2023" s="53">
        <v>1</v>
      </c>
      <c r="R2023" s="69">
        <f t="shared" ref="R2023" si="1444">1/Q2023</f>
        <v>1</v>
      </c>
      <c r="S2023" s="70">
        <f t="shared" ref="S2023" si="1445">R2023*N2023</f>
        <v>48</v>
      </c>
    </row>
    <row r="2024" spans="1:19" ht="15.6" hidden="1" customHeight="1" thickBot="1" x14ac:dyDescent="0.3">
      <c r="A2024" t="s">
        <v>23</v>
      </c>
      <c r="B2024" s="60" t="str">
        <f t="shared" si="1443"/>
        <v>hide</v>
      </c>
      <c r="D2024" s="48" t="str">
        <f>D2023</f>
        <v>23606</v>
      </c>
      <c r="E2024" s="7"/>
      <c r="F2024" s="27">
        <v>0</v>
      </c>
      <c r="G2024" s="27">
        <v>0</v>
      </c>
      <c r="H2024" s="27">
        <v>0</v>
      </c>
      <c r="I2024" s="27">
        <v>0</v>
      </c>
      <c r="J2024" s="27">
        <v>0</v>
      </c>
      <c r="K2024" s="63">
        <f>AVERAGE(I2024:J2024)</f>
        <v>0</v>
      </c>
      <c r="L2024" s="56" t="str">
        <f>"EQP-LAWPACK1"</f>
        <v>EQP-LAWPACK1</v>
      </c>
      <c r="M2024" s="14"/>
      <c r="N2024" s="15"/>
      <c r="O2024" s="12"/>
      <c r="P2024" s="34"/>
      <c r="Q2024" s="37"/>
      <c r="R2024" s="47"/>
      <c r="S2024" s="46"/>
    </row>
    <row r="2025" spans="1:19" ht="15.6" hidden="1" customHeight="1" thickBot="1" x14ac:dyDescent="0.3">
      <c r="A2025" t="s">
        <v>23</v>
      </c>
      <c r="B2025" s="60" t="str">
        <f t="shared" ref="B2025:B2027" si="1446">IF(K2025=0,"hide","")</f>
        <v>hide</v>
      </c>
      <c r="D2025" s="48" t="str">
        <f>D2024</f>
        <v>23606</v>
      </c>
      <c r="E2025" s="7"/>
      <c r="F2025" s="27">
        <v>0</v>
      </c>
      <c r="G2025" s="27">
        <v>0</v>
      </c>
      <c r="H2025" s="27">
        <v>0</v>
      </c>
      <c r="I2025" s="27">
        <v>0</v>
      </c>
      <c r="J2025" s="27">
        <v>0</v>
      </c>
      <c r="K2025" s="63">
        <f>AVERAGE(I2025:J2025)</f>
        <v>0</v>
      </c>
      <c r="L2025" s="56" t="str">
        <f>"EQP-LAWPACK2"</f>
        <v>EQP-LAWPACK2</v>
      </c>
      <c r="M2025" s="14"/>
      <c r="N2025" s="15"/>
      <c r="O2025" s="12"/>
      <c r="P2025" s="34"/>
      <c r="Q2025" s="37"/>
      <c r="R2025" s="47"/>
      <c r="S2025" s="46"/>
    </row>
    <row r="2026" spans="1:19" ht="15.6" hidden="1" customHeight="1" thickBot="1" x14ac:dyDescent="0.3">
      <c r="A2026" t="s">
        <v>23</v>
      </c>
      <c r="B2026" s="60" t="str">
        <f t="shared" si="1446"/>
        <v>hide</v>
      </c>
      <c r="D2026" s="48" t="str">
        <f>D2025</f>
        <v>23606</v>
      </c>
      <c r="E2026" s="7"/>
      <c r="F2026" s="27">
        <v>0</v>
      </c>
      <c r="G2026" s="27">
        <v>0</v>
      </c>
      <c r="H2026" s="27">
        <v>0</v>
      </c>
      <c r="I2026" s="27">
        <v>0</v>
      </c>
      <c r="J2026" s="27">
        <v>0</v>
      </c>
      <c r="K2026" s="63">
        <f>AVERAGE(I2026:J2026)</f>
        <v>0</v>
      </c>
      <c r="L2026" s="56" t="str">
        <f>"SW-COMAS-PACKL"</f>
        <v>SW-COMAS-PACKL</v>
      </c>
      <c r="M2026" s="14"/>
      <c r="N2026" s="15"/>
      <c r="O2026" s="12"/>
      <c r="P2026" s="34"/>
      <c r="Q2026" s="37"/>
      <c r="R2026" s="47"/>
      <c r="S2026" s="46"/>
    </row>
    <row r="2027" spans="1:19" ht="15.6" hidden="1" customHeight="1" thickBot="1" x14ac:dyDescent="0.3">
      <c r="A2027" t="s">
        <v>23</v>
      </c>
      <c r="B2027" s="60" t="str">
        <f t="shared" si="1446"/>
        <v>hide</v>
      </c>
      <c r="D2027" s="48" t="str">
        <f>D2026</f>
        <v>23606</v>
      </c>
      <c r="E2027" s="7"/>
      <c r="F2027" s="27">
        <v>0</v>
      </c>
      <c r="G2027" s="27">
        <v>0</v>
      </c>
      <c r="H2027" s="27">
        <v>0</v>
      </c>
      <c r="I2027" s="27">
        <v>0</v>
      </c>
      <c r="J2027" s="27">
        <v>0</v>
      </c>
      <c r="K2027" s="63">
        <f>AVERAGE(I2027:J2027)</f>
        <v>0</v>
      </c>
      <c r="L2027" s="56" t="str">
        <f>"SW-RISER-PACK"</f>
        <v>SW-RISER-PACK</v>
      </c>
      <c r="M2027" s="14"/>
      <c r="N2027" s="15"/>
      <c r="O2027" s="12"/>
      <c r="P2027" s="34"/>
      <c r="Q2027" s="37"/>
      <c r="R2027" s="47"/>
      <c r="S2027" s="46"/>
    </row>
    <row r="2028" spans="1:19" ht="12" hidden="1" customHeight="1" x14ac:dyDescent="0.3">
      <c r="A2028" s="35" t="s">
        <v>908</v>
      </c>
      <c r="B2028" s="49" t="str">
        <f>B2024</f>
        <v>hide</v>
      </c>
      <c r="N2028"/>
      <c r="Q2028" s="33"/>
    </row>
    <row r="2029" spans="1:19" ht="13.8" hidden="1" thickBot="1" x14ac:dyDescent="0.3">
      <c r="A2029" t="s">
        <v>23</v>
      </c>
      <c r="B2029" s="49" t="str">
        <f t="shared" ref="B2029" si="1447">B2028</f>
        <v>hide</v>
      </c>
      <c r="D2029" s="58"/>
      <c r="E2029" s="58"/>
      <c r="F2029" s="52">
        <f>SUM(F2024:F2028)</f>
        <v>0</v>
      </c>
      <c r="G2029" s="52">
        <f>SUM(G2024:G2028)</f>
        <v>0</v>
      </c>
      <c r="H2029" s="52">
        <f>SUM(H2024:H2028)</f>
        <v>0</v>
      </c>
      <c r="I2029" s="52">
        <f>SUM(I2024:I2028)</f>
        <v>0</v>
      </c>
      <c r="J2029" s="52">
        <f>SUM(J2024:J2028)</f>
        <v>0</v>
      </c>
      <c r="K2029" s="52"/>
      <c r="L2029" s="51" t="s">
        <v>4</v>
      </c>
      <c r="M2029" s="58"/>
      <c r="N2029" s="58"/>
      <c r="O2029" s="58"/>
      <c r="P2029" s="58"/>
      <c r="Q2029" s="58"/>
      <c r="R2029" s="58"/>
      <c r="S2029" s="58"/>
    </row>
    <row r="2030" spans="1:19" s="59" customFormat="1" ht="18.75" hidden="1" customHeight="1" thickBot="1" x14ac:dyDescent="0.3">
      <c r="A2030" s="59" t="s">
        <v>23</v>
      </c>
      <c r="B2030" s="60" t="str">
        <f t="shared" ref="B2030:B2032" si="1448">IF(K2030=0,"hide","")</f>
        <v>hide</v>
      </c>
      <c r="D2030" s="61" t="str">
        <f>"23610"</f>
        <v>23610</v>
      </c>
      <c r="E2030" s="62" t="str">
        <f>"3"</f>
        <v>3</v>
      </c>
      <c r="F2030" s="63">
        <v>0</v>
      </c>
      <c r="G2030" s="63">
        <v>0</v>
      </c>
      <c r="H2030" s="63">
        <v>0</v>
      </c>
      <c r="I2030" s="63">
        <v>0</v>
      </c>
      <c r="J2030" s="63">
        <v>0</v>
      </c>
      <c r="K2030" s="63">
        <f t="shared" ref="K2030:K2035" si="1449">AVERAGE(I2030:J2030)</f>
        <v>0</v>
      </c>
      <c r="L2030" s="64" t="str">
        <f>"Whole Wheat Choc Chip Muffins"</f>
        <v>Whole Wheat Choc Chip Muffins</v>
      </c>
      <c r="M2030" s="65" t="str">
        <f>"48-3 oz. IW"</f>
        <v>48-3 oz. IW</v>
      </c>
      <c r="N2030" s="66">
        <v>48</v>
      </c>
      <c r="O2030" s="67" t="str">
        <f>""</f>
        <v/>
      </c>
      <c r="P2030" s="68" t="e">
        <f>1/O2030</f>
        <v>#VALUE!</v>
      </c>
      <c r="Q2030" s="53">
        <v>1</v>
      </c>
      <c r="R2030" s="69">
        <f t="shared" ref="R2030:R2031" si="1450">1/Q2030</f>
        <v>1</v>
      </c>
      <c r="S2030" s="70">
        <f t="shared" ref="S2030" si="1451">R2030*N2030</f>
        <v>48</v>
      </c>
    </row>
    <row r="2031" spans="1:19" s="59" customFormat="1" ht="18.75" hidden="1" customHeight="1" thickBot="1" x14ac:dyDescent="0.3">
      <c r="A2031" s="59" t="s">
        <v>23</v>
      </c>
      <c r="B2031" s="60" t="str">
        <f t="shared" ref="B2031" si="1452">IF(K2031=0,"hide","")</f>
        <v>hide</v>
      </c>
      <c r="D2031" s="61" t="str">
        <f>"23610"</f>
        <v>23610</v>
      </c>
      <c r="E2031" s="62" t="str">
        <f>"4"</f>
        <v>4</v>
      </c>
      <c r="F2031" s="63">
        <v>0</v>
      </c>
      <c r="G2031" s="63">
        <v>0</v>
      </c>
      <c r="H2031" s="63">
        <v>0</v>
      </c>
      <c r="I2031" s="63">
        <v>0</v>
      </c>
      <c r="J2031" s="63">
        <v>0</v>
      </c>
      <c r="K2031" s="63">
        <f t="shared" si="1449"/>
        <v>0</v>
      </c>
      <c r="L2031" s="64" t="str">
        <f>"Whole Wheat Choc Chip Muffins"</f>
        <v>Whole Wheat Choc Chip Muffins</v>
      </c>
      <c r="M2031" s="65" t="str">
        <f>"48-3 oz. IW"</f>
        <v>48-3 oz. IW</v>
      </c>
      <c r="N2031" s="66">
        <v>48</v>
      </c>
      <c r="O2031" s="67" t="str">
        <f>""</f>
        <v/>
      </c>
      <c r="P2031" s="68" t="e">
        <f>1/O2031</f>
        <v>#VALUE!</v>
      </c>
      <c r="Q2031" s="53">
        <v>1</v>
      </c>
      <c r="R2031" s="69">
        <f t="shared" si="1450"/>
        <v>1</v>
      </c>
      <c r="S2031" s="70">
        <f t="shared" ref="S2031" si="1453">R2031*N2031</f>
        <v>48</v>
      </c>
    </row>
    <row r="2032" spans="1:19" ht="15.6" hidden="1" customHeight="1" thickBot="1" x14ac:dyDescent="0.3">
      <c r="A2032" t="s">
        <v>23</v>
      </c>
      <c r="B2032" s="60" t="str">
        <f t="shared" si="1448"/>
        <v>hide</v>
      </c>
      <c r="D2032" s="48" t="str">
        <f>D2030</f>
        <v>23610</v>
      </c>
      <c r="E2032" s="7"/>
      <c r="F2032" s="27">
        <v>0</v>
      </c>
      <c r="G2032" s="27">
        <v>0</v>
      </c>
      <c r="H2032" s="27">
        <v>0</v>
      </c>
      <c r="I2032" s="27">
        <v>0</v>
      </c>
      <c r="J2032" s="27">
        <v>0</v>
      </c>
      <c r="K2032" s="63">
        <f t="shared" si="1449"/>
        <v>0</v>
      </c>
      <c r="L2032" s="56" t="str">
        <f>"EQP-LAWPACK1"</f>
        <v>EQP-LAWPACK1</v>
      </c>
      <c r="M2032" s="14"/>
      <c r="N2032" s="15"/>
      <c r="O2032" s="12"/>
      <c r="P2032" s="34"/>
      <c r="Q2032" s="37"/>
      <c r="R2032" s="47"/>
      <c r="S2032" s="46"/>
    </row>
    <row r="2033" spans="1:19" ht="15.6" hidden="1" customHeight="1" thickBot="1" x14ac:dyDescent="0.3">
      <c r="A2033" t="s">
        <v>23</v>
      </c>
      <c r="B2033" s="60" t="str">
        <f t="shared" ref="B2033:B2035" si="1454">IF(K2033=0,"hide","")</f>
        <v>hide</v>
      </c>
      <c r="D2033" s="48" t="str">
        <f>D2031</f>
        <v>23610</v>
      </c>
      <c r="E2033" s="7"/>
      <c r="F2033" s="27">
        <v>0</v>
      </c>
      <c r="G2033" s="27">
        <v>0</v>
      </c>
      <c r="H2033" s="27">
        <v>0</v>
      </c>
      <c r="I2033" s="27">
        <v>0</v>
      </c>
      <c r="J2033" s="27">
        <v>0</v>
      </c>
      <c r="K2033" s="63">
        <f t="shared" si="1449"/>
        <v>0</v>
      </c>
      <c r="L2033" s="56" t="str">
        <f>"EQP-LAWPACK2"</f>
        <v>EQP-LAWPACK2</v>
      </c>
      <c r="M2033" s="14"/>
      <c r="N2033" s="15"/>
      <c r="O2033" s="12"/>
      <c r="P2033" s="34"/>
      <c r="Q2033" s="37"/>
      <c r="R2033" s="47"/>
      <c r="S2033" s="46"/>
    </row>
    <row r="2034" spans="1:19" ht="15.6" hidden="1" customHeight="1" thickBot="1" x14ac:dyDescent="0.3">
      <c r="A2034" t="s">
        <v>23</v>
      </c>
      <c r="B2034" s="60" t="str">
        <f t="shared" si="1454"/>
        <v>hide</v>
      </c>
      <c r="D2034" s="48" t="str">
        <f>D2032</f>
        <v>23610</v>
      </c>
      <c r="E2034" s="7"/>
      <c r="F2034" s="27">
        <v>0</v>
      </c>
      <c r="G2034" s="27">
        <v>0</v>
      </c>
      <c r="H2034" s="27">
        <v>0</v>
      </c>
      <c r="I2034" s="27">
        <v>0</v>
      </c>
      <c r="J2034" s="27">
        <v>0</v>
      </c>
      <c r="K2034" s="63">
        <f t="shared" si="1449"/>
        <v>0</v>
      </c>
      <c r="L2034" s="56" t="str">
        <f>"SW-COMAS-PACKL"</f>
        <v>SW-COMAS-PACKL</v>
      </c>
      <c r="M2034" s="14"/>
      <c r="N2034" s="15"/>
      <c r="O2034" s="12"/>
      <c r="P2034" s="34"/>
      <c r="Q2034" s="37"/>
      <c r="R2034" s="47"/>
      <c r="S2034" s="46"/>
    </row>
    <row r="2035" spans="1:19" ht="15.6" hidden="1" customHeight="1" thickBot="1" x14ac:dyDescent="0.3">
      <c r="A2035" t="s">
        <v>23</v>
      </c>
      <c r="B2035" s="60" t="str">
        <f t="shared" si="1454"/>
        <v>hide</v>
      </c>
      <c r="D2035" s="48" t="str">
        <f>D2033</f>
        <v>23610</v>
      </c>
      <c r="E2035" s="7"/>
      <c r="F2035" s="27">
        <v>0</v>
      </c>
      <c r="G2035" s="27">
        <v>0</v>
      </c>
      <c r="H2035" s="27">
        <v>0</v>
      </c>
      <c r="I2035" s="27">
        <v>0</v>
      </c>
      <c r="J2035" s="27">
        <v>0</v>
      </c>
      <c r="K2035" s="63">
        <f t="shared" si="1449"/>
        <v>0</v>
      </c>
      <c r="L2035" s="56" t="str">
        <f>"SW-RISER-PACK"</f>
        <v>SW-RISER-PACK</v>
      </c>
      <c r="M2035" s="14"/>
      <c r="N2035" s="15"/>
      <c r="O2035" s="12"/>
      <c r="P2035" s="34"/>
      <c r="Q2035" s="37"/>
      <c r="R2035" s="47"/>
      <c r="S2035" s="46"/>
    </row>
    <row r="2036" spans="1:19" ht="12" hidden="1" customHeight="1" x14ac:dyDescent="0.3">
      <c r="A2036" s="35" t="s">
        <v>908</v>
      </c>
      <c r="B2036" s="49" t="str">
        <f>B2032</f>
        <v>hide</v>
      </c>
      <c r="N2036"/>
      <c r="Q2036" s="33"/>
    </row>
    <row r="2037" spans="1:19" ht="13.8" hidden="1" thickBot="1" x14ac:dyDescent="0.3">
      <c r="A2037" t="s">
        <v>23</v>
      </c>
      <c r="B2037" s="49" t="str">
        <f t="shared" ref="B2037" si="1455">B2036</f>
        <v>hide</v>
      </c>
      <c r="D2037" s="58"/>
      <c r="E2037" s="58"/>
      <c r="F2037" s="52">
        <f>SUM(F2032:F2036)</f>
        <v>0</v>
      </c>
      <c r="G2037" s="52">
        <f>SUM(G2032:G2036)</f>
        <v>0</v>
      </c>
      <c r="H2037" s="52">
        <f>SUM(H2032:H2036)</f>
        <v>0</v>
      </c>
      <c r="I2037" s="52">
        <f>SUM(I2032:I2036)</f>
        <v>0</v>
      </c>
      <c r="J2037" s="52">
        <f>SUM(J2032:J2036)</f>
        <v>0</v>
      </c>
      <c r="K2037" s="52"/>
      <c r="L2037" s="51" t="s">
        <v>4</v>
      </c>
      <c r="M2037" s="58"/>
      <c r="N2037" s="58"/>
      <c r="O2037" s="58"/>
      <c r="P2037" s="58"/>
      <c r="Q2037" s="58"/>
      <c r="R2037" s="58"/>
      <c r="S2037" s="58"/>
    </row>
    <row r="2038" spans="1:19" s="59" customFormat="1" ht="18.75" hidden="1" customHeight="1" thickBot="1" x14ac:dyDescent="0.3">
      <c r="A2038" s="59" t="s">
        <v>23</v>
      </c>
      <c r="B2038" s="60" t="str">
        <f t="shared" ref="B2038:B2039" si="1456">IF(K2038=0,"hide","")</f>
        <v>hide</v>
      </c>
      <c r="D2038" s="61" t="str">
        <f>"23651"</f>
        <v>23651</v>
      </c>
      <c r="E2038" s="62" t="str">
        <f>"2"</f>
        <v>2</v>
      </c>
      <c r="F2038" s="63">
        <v>0</v>
      </c>
      <c r="G2038" s="63">
        <v>0</v>
      </c>
      <c r="H2038" s="63">
        <v>0</v>
      </c>
      <c r="I2038" s="63">
        <v>0</v>
      </c>
      <c r="J2038" s="63">
        <v>0</v>
      </c>
      <c r="K2038" s="63">
        <f>AVERAGE(I2038:J2038)</f>
        <v>0</v>
      </c>
      <c r="L2038" s="64" t="str">
        <f>"Whole Wheat Banana Muffins"</f>
        <v>Whole Wheat Banana Muffins</v>
      </c>
      <c r="M2038" s="65" t="str">
        <f>"48-3 oz. I.W."</f>
        <v>48-3 oz. I.W.</v>
      </c>
      <c r="N2038" s="66">
        <v>48</v>
      </c>
      <c r="O2038" s="67" t="str">
        <f>""</f>
        <v/>
      </c>
      <c r="P2038" s="68" t="e">
        <f>1/O2038</f>
        <v>#VALUE!</v>
      </c>
      <c r="Q2038" s="53">
        <v>1</v>
      </c>
      <c r="R2038" s="69">
        <f t="shared" ref="R2038" si="1457">1/Q2038</f>
        <v>1</v>
      </c>
      <c r="S2038" s="70">
        <f t="shared" ref="S2038" si="1458">R2038*N2038</f>
        <v>48</v>
      </c>
    </row>
    <row r="2039" spans="1:19" ht="15.6" hidden="1" customHeight="1" thickBot="1" x14ac:dyDescent="0.3">
      <c r="A2039" t="s">
        <v>23</v>
      </c>
      <c r="B2039" s="60" t="str">
        <f t="shared" si="1456"/>
        <v>hide</v>
      </c>
      <c r="D2039" s="48" t="str">
        <f>D2038</f>
        <v>23651</v>
      </c>
      <c r="E2039" s="7"/>
      <c r="F2039" s="27">
        <v>0</v>
      </c>
      <c r="G2039" s="27">
        <v>0</v>
      </c>
      <c r="H2039" s="27">
        <v>0</v>
      </c>
      <c r="I2039" s="27">
        <v>0</v>
      </c>
      <c r="J2039" s="27">
        <v>0</v>
      </c>
      <c r="K2039" s="63">
        <f>AVERAGE(I2039:J2039)</f>
        <v>0</v>
      </c>
      <c r="L2039" s="56" t="str">
        <f>"EQP-LAWPACK1"</f>
        <v>EQP-LAWPACK1</v>
      </c>
      <c r="M2039" s="14"/>
      <c r="N2039" s="15"/>
      <c r="O2039" s="12"/>
      <c r="P2039" s="34"/>
      <c r="Q2039" s="37"/>
      <c r="R2039" s="47"/>
      <c r="S2039" s="46"/>
    </row>
    <row r="2040" spans="1:19" ht="15.6" hidden="1" customHeight="1" thickBot="1" x14ac:dyDescent="0.3">
      <c r="A2040" t="s">
        <v>23</v>
      </c>
      <c r="B2040" s="60" t="str">
        <f t="shared" ref="B2040:B2042" si="1459">IF(K2040=0,"hide","")</f>
        <v>hide</v>
      </c>
      <c r="D2040" s="48" t="str">
        <f>D2039</f>
        <v>23651</v>
      </c>
      <c r="E2040" s="7"/>
      <c r="F2040" s="27">
        <v>0</v>
      </c>
      <c r="G2040" s="27">
        <v>0</v>
      </c>
      <c r="H2040" s="27">
        <v>0</v>
      </c>
      <c r="I2040" s="27">
        <v>0</v>
      </c>
      <c r="J2040" s="27">
        <v>0</v>
      </c>
      <c r="K2040" s="63">
        <f>AVERAGE(I2040:J2040)</f>
        <v>0</v>
      </c>
      <c r="L2040" s="56" t="str">
        <f>"EQP-LAWPACK2"</f>
        <v>EQP-LAWPACK2</v>
      </c>
      <c r="M2040" s="14"/>
      <c r="N2040" s="15"/>
      <c r="O2040" s="12"/>
      <c r="P2040" s="34"/>
      <c r="Q2040" s="37"/>
      <c r="R2040" s="47"/>
      <c r="S2040" s="46"/>
    </row>
    <row r="2041" spans="1:19" ht="15.6" hidden="1" customHeight="1" thickBot="1" x14ac:dyDescent="0.3">
      <c r="A2041" t="s">
        <v>23</v>
      </c>
      <c r="B2041" s="60" t="str">
        <f t="shared" si="1459"/>
        <v>hide</v>
      </c>
      <c r="D2041" s="48" t="str">
        <f>D2040</f>
        <v>23651</v>
      </c>
      <c r="E2041" s="7"/>
      <c r="F2041" s="27">
        <v>0</v>
      </c>
      <c r="G2041" s="27">
        <v>0</v>
      </c>
      <c r="H2041" s="27">
        <v>0</v>
      </c>
      <c r="I2041" s="27">
        <v>0</v>
      </c>
      <c r="J2041" s="27">
        <v>0</v>
      </c>
      <c r="K2041" s="63">
        <f>AVERAGE(I2041:J2041)</f>
        <v>0</v>
      </c>
      <c r="L2041" s="56" t="str">
        <f>"SW-COMAS-PACKL"</f>
        <v>SW-COMAS-PACKL</v>
      </c>
      <c r="M2041" s="14"/>
      <c r="N2041" s="15"/>
      <c r="O2041" s="12"/>
      <c r="P2041" s="34"/>
      <c r="Q2041" s="37"/>
      <c r="R2041" s="47"/>
      <c r="S2041" s="46"/>
    </row>
    <row r="2042" spans="1:19" ht="15.6" hidden="1" customHeight="1" thickBot="1" x14ac:dyDescent="0.3">
      <c r="A2042" t="s">
        <v>23</v>
      </c>
      <c r="B2042" s="60" t="str">
        <f t="shared" si="1459"/>
        <v>hide</v>
      </c>
      <c r="D2042" s="48" t="str">
        <f>D2041</f>
        <v>23651</v>
      </c>
      <c r="E2042" s="7"/>
      <c r="F2042" s="27">
        <v>0</v>
      </c>
      <c r="G2042" s="27">
        <v>0</v>
      </c>
      <c r="H2042" s="27">
        <v>0</v>
      </c>
      <c r="I2042" s="27">
        <v>0</v>
      </c>
      <c r="J2042" s="27">
        <v>0</v>
      </c>
      <c r="K2042" s="63">
        <f>AVERAGE(I2042:J2042)</f>
        <v>0</v>
      </c>
      <c r="L2042" s="56" t="str">
        <f>"SW-RISER-PACK"</f>
        <v>SW-RISER-PACK</v>
      </c>
      <c r="M2042" s="14"/>
      <c r="N2042" s="15"/>
      <c r="O2042" s="12"/>
      <c r="P2042" s="34"/>
      <c r="Q2042" s="37"/>
      <c r="R2042" s="47"/>
      <c r="S2042" s="46"/>
    </row>
    <row r="2043" spans="1:19" ht="12" hidden="1" customHeight="1" x14ac:dyDescent="0.3">
      <c r="A2043" s="35" t="s">
        <v>908</v>
      </c>
      <c r="B2043" s="49" t="str">
        <f>B2039</f>
        <v>hide</v>
      </c>
      <c r="N2043"/>
      <c r="Q2043" s="33"/>
    </row>
    <row r="2044" spans="1:19" ht="13.8" hidden="1" thickBot="1" x14ac:dyDescent="0.3">
      <c r="A2044" t="s">
        <v>23</v>
      </c>
      <c r="B2044" s="49" t="str">
        <f t="shared" ref="B2044" si="1460">B2043</f>
        <v>hide</v>
      </c>
      <c r="D2044" s="58"/>
      <c r="E2044" s="58"/>
      <c r="F2044" s="52">
        <f>SUM(F2039:F2043)</f>
        <v>0</v>
      </c>
      <c r="G2044" s="52">
        <f>SUM(G2039:G2043)</f>
        <v>0</v>
      </c>
      <c r="H2044" s="52">
        <f>SUM(H2039:H2043)</f>
        <v>0</v>
      </c>
      <c r="I2044" s="52">
        <f>SUM(I2039:I2043)</f>
        <v>0</v>
      </c>
      <c r="J2044" s="52">
        <f>SUM(J2039:J2043)</f>
        <v>0</v>
      </c>
      <c r="K2044" s="52"/>
      <c r="L2044" s="51" t="s">
        <v>4</v>
      </c>
      <c r="M2044" s="58"/>
      <c r="N2044" s="58"/>
      <c r="O2044" s="58"/>
      <c r="P2044" s="58"/>
      <c r="Q2044" s="58"/>
      <c r="R2044" s="58"/>
      <c r="S2044" s="58"/>
    </row>
    <row r="2045" spans="1:19" s="59" customFormat="1" ht="18.75" customHeight="1" thickBot="1" x14ac:dyDescent="0.3">
      <c r="A2045" s="59" t="s">
        <v>23</v>
      </c>
      <c r="B2045" s="60" t="str">
        <f t="shared" ref="B2045:B2046" si="1461">IF(K2045=0,"hide","")</f>
        <v/>
      </c>
      <c r="D2045" s="61" t="str">
        <f>"23905"</f>
        <v>23905</v>
      </c>
      <c r="E2045" s="62" t="str">
        <f>"11"</f>
        <v>11</v>
      </c>
      <c r="F2045" s="63">
        <v>1300.6666666666665</v>
      </c>
      <c r="G2045" s="63">
        <v>728.16666666666663</v>
      </c>
      <c r="H2045" s="63">
        <v>660.91666666666663</v>
      </c>
      <c r="I2045" s="63">
        <v>1042.0833333333335</v>
      </c>
      <c r="J2045" s="63">
        <v>711.65975903614458</v>
      </c>
      <c r="K2045" s="63">
        <f>AVERAGE(I2045:J2045)</f>
        <v>876.87154618473903</v>
      </c>
      <c r="L2045" s="64" t="str">
        <f>"1277  WG, C orn Muffin , IW"</f>
        <v>1277  WG, C orn Muffin , IW</v>
      </c>
      <c r="M2045" s="65" t="str">
        <f>"48/3 oz"</f>
        <v>48/3 oz</v>
      </c>
      <c r="N2045" s="66">
        <v>48</v>
      </c>
      <c r="O2045" s="67">
        <v>2.7399999999999998E-3</v>
      </c>
      <c r="P2045" s="68">
        <f>1/O2045</f>
        <v>364.96350364963507</v>
      </c>
      <c r="Q2045" s="53">
        <v>2.7399999999999998E-3</v>
      </c>
      <c r="R2045" s="69">
        <f t="shared" ref="R2045" si="1462">1/Q2045</f>
        <v>364.96350364963507</v>
      </c>
      <c r="S2045" s="70">
        <f t="shared" ref="S2045" si="1463">R2045*N2045</f>
        <v>17518.248175182482</v>
      </c>
    </row>
    <row r="2046" spans="1:19" ht="15.6" customHeight="1" thickBot="1" x14ac:dyDescent="0.3">
      <c r="A2046" t="s">
        <v>23</v>
      </c>
      <c r="B2046" s="60" t="str">
        <f t="shared" si="1461"/>
        <v/>
      </c>
      <c r="D2046" s="48" t="str">
        <f>D2045</f>
        <v>23905</v>
      </c>
      <c r="E2046" s="7"/>
      <c r="F2046" s="27">
        <v>-1101.1433333333332</v>
      </c>
      <c r="G2046" s="27">
        <v>-603.77083333333337</v>
      </c>
      <c r="H2046" s="27">
        <v>-283.66666666666669</v>
      </c>
      <c r="I2046" s="27">
        <v>-384.91666666666669</v>
      </c>
      <c r="J2046" s="27">
        <v>-366.26337349397591</v>
      </c>
      <c r="K2046" s="63">
        <f>AVERAGE(I2046:J2046)</f>
        <v>-375.59002008032132</v>
      </c>
      <c r="L2046" s="56" t="str">
        <f>"EQP-LAWPACK1"</f>
        <v>EQP-LAWPACK1</v>
      </c>
      <c r="M2046" s="14"/>
      <c r="N2046" s="15"/>
      <c r="O2046" s="12"/>
      <c r="P2046" s="34"/>
      <c r="Q2046" s="37"/>
      <c r="R2046" s="47"/>
      <c r="S2046" s="46"/>
    </row>
    <row r="2047" spans="1:19" ht="15.6" hidden="1" customHeight="1" thickBot="1" x14ac:dyDescent="0.3">
      <c r="A2047" t="s">
        <v>23</v>
      </c>
      <c r="B2047" s="60" t="str">
        <f t="shared" ref="B2047:B2049" si="1464">IF(K2047=0,"hide","")</f>
        <v>hide</v>
      </c>
      <c r="D2047" s="48" t="str">
        <f>D2046</f>
        <v>23905</v>
      </c>
      <c r="E2047" s="7"/>
      <c r="F2047" s="27">
        <v>0</v>
      </c>
      <c r="G2047" s="27">
        <v>0</v>
      </c>
      <c r="H2047" s="27">
        <v>0</v>
      </c>
      <c r="I2047" s="27">
        <v>0</v>
      </c>
      <c r="J2047" s="27">
        <v>0</v>
      </c>
      <c r="K2047" s="63">
        <f>AVERAGE(I2047:J2047)</f>
        <v>0</v>
      </c>
      <c r="L2047" s="56" t="str">
        <f>"EQP-LAWPACK2"</f>
        <v>EQP-LAWPACK2</v>
      </c>
      <c r="M2047" s="14"/>
      <c r="N2047" s="15"/>
      <c r="O2047" s="12"/>
      <c r="P2047" s="34"/>
      <c r="Q2047" s="37"/>
      <c r="R2047" s="47"/>
      <c r="S2047" s="46"/>
    </row>
    <row r="2048" spans="1:19" ht="15.6" hidden="1" customHeight="1" thickBot="1" x14ac:dyDescent="0.3">
      <c r="A2048" t="s">
        <v>23</v>
      </c>
      <c r="B2048" s="60" t="str">
        <f t="shared" si="1464"/>
        <v>hide</v>
      </c>
      <c r="D2048" s="48" t="str">
        <f>D2047</f>
        <v>23905</v>
      </c>
      <c r="E2048" s="7"/>
      <c r="F2048" s="27">
        <v>0</v>
      </c>
      <c r="G2048" s="27">
        <v>0</v>
      </c>
      <c r="H2048" s="27">
        <v>0</v>
      </c>
      <c r="I2048" s="27">
        <v>0</v>
      </c>
      <c r="J2048" s="27">
        <v>0</v>
      </c>
      <c r="K2048" s="63">
        <f>AVERAGE(I2048:J2048)</f>
        <v>0</v>
      </c>
      <c r="L2048" s="56" t="str">
        <f>"SW-COMAS-PACKL"</f>
        <v>SW-COMAS-PACKL</v>
      </c>
      <c r="M2048" s="14"/>
      <c r="N2048" s="15"/>
      <c r="O2048" s="12"/>
      <c r="P2048" s="34"/>
      <c r="Q2048" s="37"/>
      <c r="R2048" s="47"/>
      <c r="S2048" s="46"/>
    </row>
    <row r="2049" spans="1:19" ht="15.6" hidden="1" customHeight="1" thickBot="1" x14ac:dyDescent="0.3">
      <c r="A2049" t="s">
        <v>23</v>
      </c>
      <c r="B2049" s="60" t="str">
        <f t="shared" si="1464"/>
        <v>hide</v>
      </c>
      <c r="D2049" s="48" t="str">
        <f>D2048</f>
        <v>23905</v>
      </c>
      <c r="E2049" s="7"/>
      <c r="F2049" s="27">
        <v>0</v>
      </c>
      <c r="G2049" s="27">
        <v>0</v>
      </c>
      <c r="H2049" s="27">
        <v>0</v>
      </c>
      <c r="I2049" s="27">
        <v>0</v>
      </c>
      <c r="J2049" s="27">
        <v>0</v>
      </c>
      <c r="K2049" s="63">
        <f>AVERAGE(I2049:J2049)</f>
        <v>0</v>
      </c>
      <c r="L2049" s="56" t="str">
        <f>"SW-RISER-PACK"</f>
        <v>SW-RISER-PACK</v>
      </c>
      <c r="M2049" s="14"/>
      <c r="N2049" s="15"/>
      <c r="O2049" s="12"/>
      <c r="P2049" s="34"/>
      <c r="Q2049" s="37"/>
      <c r="R2049" s="47"/>
      <c r="S2049" s="46"/>
    </row>
    <row r="2050" spans="1:19" ht="12" hidden="1" customHeight="1" x14ac:dyDescent="0.25">
      <c r="A2050" s="35" t="s">
        <v>908</v>
      </c>
      <c r="B2050" s="49" t="str">
        <f>B2046</f>
        <v/>
      </c>
      <c r="N2050"/>
      <c r="Q2050" s="33"/>
    </row>
    <row r="2051" spans="1:19" ht="13.8" thickBot="1" x14ac:dyDescent="0.3">
      <c r="A2051" t="s">
        <v>23</v>
      </c>
      <c r="B2051" s="49" t="str">
        <f t="shared" ref="B2051" si="1465">B2050</f>
        <v/>
      </c>
      <c r="D2051" s="58"/>
      <c r="E2051" s="58"/>
      <c r="F2051" s="52">
        <f>SUM(F2046:F2050)</f>
        <v>-1101.1433333333332</v>
      </c>
      <c r="G2051" s="52">
        <f>SUM(G2046:G2050)</f>
        <v>-603.77083333333337</v>
      </c>
      <c r="H2051" s="52">
        <f>SUM(H2046:H2050)</f>
        <v>-283.66666666666669</v>
      </c>
      <c r="I2051" s="52">
        <f>SUM(I2046:I2050)</f>
        <v>-384.91666666666669</v>
      </c>
      <c r="J2051" s="52">
        <f>SUM(J2046:J2050)</f>
        <v>-366.26337349397591</v>
      </c>
      <c r="K2051" s="52"/>
      <c r="L2051" s="51" t="s">
        <v>4</v>
      </c>
      <c r="M2051" s="58"/>
      <c r="N2051" s="58"/>
      <c r="O2051" s="58"/>
      <c r="P2051" s="58"/>
      <c r="Q2051" s="58"/>
      <c r="R2051" s="58"/>
      <c r="S2051" s="58"/>
    </row>
    <row r="2052" spans="1:19" s="59" customFormat="1" ht="18.75" customHeight="1" thickBot="1" x14ac:dyDescent="0.3">
      <c r="A2052" s="59" t="s">
        <v>23</v>
      </c>
      <c r="B2052" s="60" t="str">
        <f t="shared" ref="B2052:B2053" si="1466">IF(K2052=0,"hide","")</f>
        <v/>
      </c>
      <c r="D2052" s="61" t="str">
        <f>"24661"</f>
        <v>24661</v>
      </c>
      <c r="E2052" s="62" t="str">
        <f>"8"</f>
        <v>8</v>
      </c>
      <c r="F2052" s="63">
        <v>2491.9166666666665</v>
      </c>
      <c r="G2052" s="63">
        <v>3932</v>
      </c>
      <c r="H2052" s="63">
        <v>4346.083333333333</v>
      </c>
      <c r="I2052" s="63">
        <v>5077.833333333333</v>
      </c>
      <c r="J2052" s="63">
        <v>2396.9759036144578</v>
      </c>
      <c r="K2052" s="63">
        <f>AVERAGE(I2052:J2052)</f>
        <v>3737.4046184738954</v>
      </c>
      <c r="L2052" s="64" t="str">
        <f>"SC (2GE) Blueberry Muffins"</f>
        <v>SC (2GE) Blueberry Muffins</v>
      </c>
      <c r="M2052" s="65" t="str">
        <f>"48-3.1 oz. I.W."</f>
        <v>48-3.1 oz. I.W.</v>
      </c>
      <c r="N2052" s="66">
        <v>48</v>
      </c>
      <c r="O2052" s="67">
        <v>2.7399999999999998E-3</v>
      </c>
      <c r="P2052" s="68">
        <f>1/O2052</f>
        <v>364.96350364963507</v>
      </c>
      <c r="Q2052" s="53">
        <v>2.7399999999999998E-3</v>
      </c>
      <c r="R2052" s="69">
        <f t="shared" ref="R2052" si="1467">1/Q2052</f>
        <v>364.96350364963507</v>
      </c>
      <c r="S2052" s="70">
        <f t="shared" ref="S2052" si="1468">R2052*N2052</f>
        <v>17518.248175182482</v>
      </c>
    </row>
    <row r="2053" spans="1:19" ht="15.6" customHeight="1" thickBot="1" x14ac:dyDescent="0.3">
      <c r="A2053" t="s">
        <v>23</v>
      </c>
      <c r="B2053" s="60" t="str">
        <f t="shared" si="1466"/>
        <v/>
      </c>
      <c r="D2053" s="48" t="str">
        <f>D2052</f>
        <v>24661</v>
      </c>
      <c r="E2053" s="7"/>
      <c r="F2053" s="27">
        <v>-2515.6174999999998</v>
      </c>
      <c r="G2053" s="27">
        <v>-2516.5091666666667</v>
      </c>
      <c r="H2053" s="27">
        <v>-2973.4450000000002</v>
      </c>
      <c r="I2053" s="27">
        <v>-1651.1666666666667</v>
      </c>
      <c r="J2053" s="27">
        <v>-556.24843373493979</v>
      </c>
      <c r="K2053" s="63">
        <f>AVERAGE(I2053:J2053)</f>
        <v>-1103.7075502008033</v>
      </c>
      <c r="L2053" s="56" t="str">
        <f>"EQP-LAWPACK1"</f>
        <v>EQP-LAWPACK1</v>
      </c>
      <c r="M2053" s="14"/>
      <c r="N2053" s="15"/>
      <c r="O2053" s="12"/>
      <c r="P2053" s="34"/>
      <c r="Q2053" s="37"/>
      <c r="R2053" s="47"/>
      <c r="S2053" s="46"/>
    </row>
    <row r="2054" spans="1:19" ht="15.6" hidden="1" customHeight="1" thickBot="1" x14ac:dyDescent="0.3">
      <c r="A2054" t="s">
        <v>23</v>
      </c>
      <c r="B2054" s="60" t="str">
        <f t="shared" ref="B2054:B2056" si="1469">IF(K2054=0,"hide","")</f>
        <v>hide</v>
      </c>
      <c r="D2054" s="48" t="str">
        <f>D2053</f>
        <v>24661</v>
      </c>
      <c r="E2054" s="7"/>
      <c r="F2054" s="27">
        <v>0</v>
      </c>
      <c r="G2054" s="27">
        <v>0</v>
      </c>
      <c r="H2054" s="27">
        <v>0</v>
      </c>
      <c r="I2054" s="27">
        <v>0</v>
      </c>
      <c r="J2054" s="27">
        <v>0</v>
      </c>
      <c r="K2054" s="63">
        <f>AVERAGE(I2054:J2054)</f>
        <v>0</v>
      </c>
      <c r="L2054" s="56" t="str">
        <f>"EQP-LAWPACK2"</f>
        <v>EQP-LAWPACK2</v>
      </c>
      <c r="M2054" s="14"/>
      <c r="N2054" s="15"/>
      <c r="O2054" s="12"/>
      <c r="P2054" s="34"/>
      <c r="Q2054" s="37"/>
      <c r="R2054" s="47"/>
      <c r="S2054" s="46"/>
    </row>
    <row r="2055" spans="1:19" ht="15.6" hidden="1" customHeight="1" thickBot="1" x14ac:dyDescent="0.3">
      <c r="A2055" t="s">
        <v>23</v>
      </c>
      <c r="B2055" s="60" t="str">
        <f t="shared" si="1469"/>
        <v>hide</v>
      </c>
      <c r="D2055" s="48" t="str">
        <f>D2054</f>
        <v>24661</v>
      </c>
      <c r="E2055" s="7"/>
      <c r="F2055" s="27">
        <v>0</v>
      </c>
      <c r="G2055" s="27">
        <v>0</v>
      </c>
      <c r="H2055" s="27">
        <v>0</v>
      </c>
      <c r="I2055" s="27">
        <v>0</v>
      </c>
      <c r="J2055" s="27">
        <v>0</v>
      </c>
      <c r="K2055" s="63">
        <f>AVERAGE(I2055:J2055)</f>
        <v>0</v>
      </c>
      <c r="L2055" s="56" t="str">
        <f>"SW-COMAS-PACKL"</f>
        <v>SW-COMAS-PACKL</v>
      </c>
      <c r="M2055" s="14"/>
      <c r="N2055" s="15"/>
      <c r="O2055" s="12"/>
      <c r="P2055" s="34"/>
      <c r="Q2055" s="37"/>
      <c r="R2055" s="47"/>
      <c r="S2055" s="46"/>
    </row>
    <row r="2056" spans="1:19" ht="15.6" hidden="1" customHeight="1" thickBot="1" x14ac:dyDescent="0.3">
      <c r="A2056" t="s">
        <v>23</v>
      </c>
      <c r="B2056" s="60" t="str">
        <f t="shared" si="1469"/>
        <v>hide</v>
      </c>
      <c r="D2056" s="48" t="str">
        <f>D2055</f>
        <v>24661</v>
      </c>
      <c r="E2056" s="7"/>
      <c r="F2056" s="27">
        <v>0</v>
      </c>
      <c r="G2056" s="27">
        <v>0</v>
      </c>
      <c r="H2056" s="27">
        <v>0</v>
      </c>
      <c r="I2056" s="27">
        <v>0</v>
      </c>
      <c r="J2056" s="27">
        <v>0</v>
      </c>
      <c r="K2056" s="63">
        <f>AVERAGE(I2056:J2056)</f>
        <v>0</v>
      </c>
      <c r="L2056" s="56" t="str">
        <f>"SW-RISER-PACK"</f>
        <v>SW-RISER-PACK</v>
      </c>
      <c r="M2056" s="14"/>
      <c r="N2056" s="15"/>
      <c r="O2056" s="12"/>
      <c r="P2056" s="34"/>
      <c r="Q2056" s="37"/>
      <c r="R2056" s="47"/>
      <c r="S2056" s="46"/>
    </row>
    <row r="2057" spans="1:19" ht="12" hidden="1" customHeight="1" x14ac:dyDescent="0.25">
      <c r="A2057" s="35" t="s">
        <v>908</v>
      </c>
      <c r="B2057" s="49" t="str">
        <f>B2053</f>
        <v/>
      </c>
      <c r="N2057"/>
      <c r="Q2057" s="33"/>
    </row>
    <row r="2058" spans="1:19" ht="13.8" thickBot="1" x14ac:dyDescent="0.3">
      <c r="A2058" t="s">
        <v>23</v>
      </c>
      <c r="B2058" s="49" t="str">
        <f t="shared" ref="B2058" si="1470">B2057</f>
        <v/>
      </c>
      <c r="D2058" s="58"/>
      <c r="E2058" s="58"/>
      <c r="F2058" s="52">
        <f>SUM(F2053:F2057)</f>
        <v>-2515.6174999999998</v>
      </c>
      <c r="G2058" s="52">
        <f>SUM(G2053:G2057)</f>
        <v>-2516.5091666666667</v>
      </c>
      <c r="H2058" s="52">
        <f>SUM(H2053:H2057)</f>
        <v>-2973.4450000000002</v>
      </c>
      <c r="I2058" s="52">
        <f>SUM(I2053:I2057)</f>
        <v>-1651.1666666666667</v>
      </c>
      <c r="J2058" s="52">
        <f>SUM(J2053:J2057)</f>
        <v>-556.24843373493979</v>
      </c>
      <c r="K2058" s="52"/>
      <c r="L2058" s="51" t="s">
        <v>4</v>
      </c>
      <c r="M2058" s="58"/>
      <c r="N2058" s="58"/>
      <c r="O2058" s="58"/>
      <c r="P2058" s="58"/>
      <c r="Q2058" s="58"/>
      <c r="R2058" s="58"/>
      <c r="S2058" s="58"/>
    </row>
    <row r="2059" spans="1:19" s="59" customFormat="1" ht="18.75" customHeight="1" thickBot="1" x14ac:dyDescent="0.3">
      <c r="A2059" s="59" t="s">
        <v>23</v>
      </c>
      <c r="B2059" s="60" t="str">
        <f t="shared" ref="B2059:B2060" si="1471">IF(K2059=0,"hide","")</f>
        <v/>
      </c>
      <c r="D2059" s="61" t="str">
        <f>"24666"</f>
        <v>24666</v>
      </c>
      <c r="E2059" s="62" t="str">
        <f>"6"</f>
        <v>6</v>
      </c>
      <c r="F2059" s="63">
        <v>686.41666666666663</v>
      </c>
      <c r="G2059" s="63">
        <v>840.25</v>
      </c>
      <c r="H2059" s="63">
        <v>1481.0833333333333</v>
      </c>
      <c r="I2059" s="63">
        <v>2651.3333333333335</v>
      </c>
      <c r="J2059" s="63">
        <v>786.87638554216869</v>
      </c>
      <c r="K2059" s="63">
        <f>AVERAGE(I2059:J2059)</f>
        <v>1719.1048594377512</v>
      </c>
      <c r="L2059" s="64" t="str">
        <f>"SC (2GE) Apple Cinn. Muffins"</f>
        <v>SC (2GE) Apple Cinn. Muffins</v>
      </c>
      <c r="M2059" s="65" t="str">
        <f>"48-3.1 oz. I.W."</f>
        <v>48-3.1 oz. I.W.</v>
      </c>
      <c r="N2059" s="66">
        <v>48</v>
      </c>
      <c r="O2059" s="67">
        <v>2.7399999999999998E-3</v>
      </c>
      <c r="P2059" s="68">
        <f>1/O2059</f>
        <v>364.96350364963507</v>
      </c>
      <c r="Q2059" s="53">
        <v>2.7399999999999998E-3</v>
      </c>
      <c r="R2059" s="69">
        <f t="shared" ref="R2059" si="1472">1/Q2059</f>
        <v>364.96350364963507</v>
      </c>
      <c r="S2059" s="70">
        <f t="shared" ref="S2059" si="1473">R2059*N2059</f>
        <v>17518.248175182482</v>
      </c>
    </row>
    <row r="2060" spans="1:19" ht="15.6" customHeight="1" thickBot="1" x14ac:dyDescent="0.3">
      <c r="A2060" t="s">
        <v>23</v>
      </c>
      <c r="B2060" s="60" t="str">
        <f t="shared" si="1471"/>
        <v/>
      </c>
      <c r="D2060" s="48" t="str">
        <f>D2059</f>
        <v>24666</v>
      </c>
      <c r="E2060" s="7"/>
      <c r="F2060" s="27">
        <v>-556.53583333333324</v>
      </c>
      <c r="G2060" s="27">
        <v>-188.2175</v>
      </c>
      <c r="H2060" s="27">
        <v>-518.16666666666663</v>
      </c>
      <c r="I2060" s="27">
        <v>-842.75</v>
      </c>
      <c r="J2060" s="27">
        <v>0</v>
      </c>
      <c r="K2060" s="63">
        <f>AVERAGE(I2060:J2060)</f>
        <v>-421.375</v>
      </c>
      <c r="L2060" s="56" t="str">
        <f>"EQP-LAWPACK1"</f>
        <v>EQP-LAWPACK1</v>
      </c>
      <c r="M2060" s="14"/>
      <c r="N2060" s="15"/>
      <c r="O2060" s="12"/>
      <c r="P2060" s="34"/>
      <c r="Q2060" s="37"/>
      <c r="R2060" s="47"/>
      <c r="S2060" s="46"/>
    </row>
    <row r="2061" spans="1:19" ht="15.6" hidden="1" customHeight="1" thickBot="1" x14ac:dyDescent="0.3">
      <c r="A2061" t="s">
        <v>23</v>
      </c>
      <c r="B2061" s="60" t="str">
        <f t="shared" ref="B2061:B2063" si="1474">IF(K2061=0,"hide","")</f>
        <v>hide</v>
      </c>
      <c r="D2061" s="48" t="str">
        <f>D2060</f>
        <v>24666</v>
      </c>
      <c r="E2061" s="7"/>
      <c r="F2061" s="27">
        <v>0</v>
      </c>
      <c r="G2061" s="27">
        <v>0</v>
      </c>
      <c r="H2061" s="27">
        <v>0</v>
      </c>
      <c r="I2061" s="27">
        <v>0</v>
      </c>
      <c r="J2061" s="27">
        <v>0</v>
      </c>
      <c r="K2061" s="63">
        <f>AVERAGE(I2061:J2061)</f>
        <v>0</v>
      </c>
      <c r="L2061" s="56" t="str">
        <f>"EQP-LAWPACK2"</f>
        <v>EQP-LAWPACK2</v>
      </c>
      <c r="M2061" s="14"/>
      <c r="N2061" s="15"/>
      <c r="O2061" s="12"/>
      <c r="P2061" s="34"/>
      <c r="Q2061" s="37"/>
      <c r="R2061" s="47"/>
      <c r="S2061" s="46"/>
    </row>
    <row r="2062" spans="1:19" ht="15.6" hidden="1" customHeight="1" thickBot="1" x14ac:dyDescent="0.3">
      <c r="A2062" t="s">
        <v>23</v>
      </c>
      <c r="B2062" s="60" t="str">
        <f t="shared" si="1474"/>
        <v>hide</v>
      </c>
      <c r="D2062" s="48" t="str">
        <f>D2061</f>
        <v>24666</v>
      </c>
      <c r="E2062" s="7"/>
      <c r="F2062" s="27">
        <v>0</v>
      </c>
      <c r="G2062" s="27">
        <v>0</v>
      </c>
      <c r="H2062" s="27">
        <v>0</v>
      </c>
      <c r="I2062" s="27">
        <v>0</v>
      </c>
      <c r="J2062" s="27">
        <v>0</v>
      </c>
      <c r="K2062" s="63">
        <f>AVERAGE(I2062:J2062)</f>
        <v>0</v>
      </c>
      <c r="L2062" s="56" t="str">
        <f>"SW-COMAS-PACKL"</f>
        <v>SW-COMAS-PACKL</v>
      </c>
      <c r="M2062" s="14"/>
      <c r="N2062" s="15"/>
      <c r="O2062" s="12"/>
      <c r="P2062" s="34"/>
      <c r="Q2062" s="37"/>
      <c r="R2062" s="47"/>
      <c r="S2062" s="46"/>
    </row>
    <row r="2063" spans="1:19" ht="15.6" hidden="1" customHeight="1" thickBot="1" x14ac:dyDescent="0.3">
      <c r="A2063" t="s">
        <v>23</v>
      </c>
      <c r="B2063" s="60" t="str">
        <f t="shared" si="1474"/>
        <v>hide</v>
      </c>
      <c r="D2063" s="48" t="str">
        <f>D2062</f>
        <v>24666</v>
      </c>
      <c r="E2063" s="7"/>
      <c r="F2063" s="27">
        <v>0</v>
      </c>
      <c r="G2063" s="27">
        <v>0</v>
      </c>
      <c r="H2063" s="27">
        <v>0</v>
      </c>
      <c r="I2063" s="27">
        <v>0</v>
      </c>
      <c r="J2063" s="27">
        <v>0</v>
      </c>
      <c r="K2063" s="63">
        <f>AVERAGE(I2063:J2063)</f>
        <v>0</v>
      </c>
      <c r="L2063" s="56" t="str">
        <f>"SW-RISER-PACK"</f>
        <v>SW-RISER-PACK</v>
      </c>
      <c r="M2063" s="14"/>
      <c r="N2063" s="15"/>
      <c r="O2063" s="12"/>
      <c r="P2063" s="34"/>
      <c r="Q2063" s="37"/>
      <c r="R2063" s="47"/>
      <c r="S2063" s="46"/>
    </row>
    <row r="2064" spans="1:19" ht="12" hidden="1" customHeight="1" x14ac:dyDescent="0.25">
      <c r="A2064" s="35" t="s">
        <v>908</v>
      </c>
      <c r="B2064" s="49" t="str">
        <f>B2060</f>
        <v/>
      </c>
      <c r="N2064"/>
      <c r="Q2064" s="33"/>
    </row>
    <row r="2065" spans="1:19" ht="13.8" thickBot="1" x14ac:dyDescent="0.3">
      <c r="A2065" t="s">
        <v>23</v>
      </c>
      <c r="B2065" s="49" t="str">
        <f t="shared" ref="B2065" si="1475">B2064</f>
        <v/>
      </c>
      <c r="D2065" s="58"/>
      <c r="E2065" s="58"/>
      <c r="F2065" s="52">
        <f>SUM(F2060:F2064)</f>
        <v>-556.53583333333324</v>
      </c>
      <c r="G2065" s="52">
        <f>SUM(G2060:G2064)</f>
        <v>-188.2175</v>
      </c>
      <c r="H2065" s="52">
        <f>SUM(H2060:H2064)</f>
        <v>-518.16666666666663</v>
      </c>
      <c r="I2065" s="52">
        <f>SUM(I2060:I2064)</f>
        <v>-842.75</v>
      </c>
      <c r="J2065" s="52">
        <f>SUM(J2060:J2064)</f>
        <v>0</v>
      </c>
      <c r="K2065" s="52"/>
      <c r="L2065" s="51" t="s">
        <v>4</v>
      </c>
      <c r="M2065" s="58"/>
      <c r="N2065" s="58"/>
      <c r="O2065" s="58"/>
      <c r="P2065" s="58"/>
      <c r="Q2065" s="58"/>
      <c r="R2065" s="58"/>
      <c r="S2065" s="58"/>
    </row>
    <row r="2066" spans="1:19" s="59" customFormat="1" ht="18.75" customHeight="1" thickBot="1" x14ac:dyDescent="0.3">
      <c r="A2066" s="59" t="s">
        <v>23</v>
      </c>
      <c r="B2066" s="60" t="str">
        <f t="shared" ref="B2066:B2067" si="1476">IF(K2066=0,"hide","")</f>
        <v/>
      </c>
      <c r="D2066" s="61" t="str">
        <f>"24670"</f>
        <v>24670</v>
      </c>
      <c r="E2066" s="62" t="str">
        <f>"7"</f>
        <v>7</v>
      </c>
      <c r="F2066" s="63">
        <v>2851.3333333333335</v>
      </c>
      <c r="G2066" s="63">
        <v>4420.25</v>
      </c>
      <c r="H2066" s="63">
        <v>5757.416666666667</v>
      </c>
      <c r="I2066" s="63">
        <v>5956.833333333333</v>
      </c>
      <c r="J2066" s="63">
        <v>3212.7660240963855</v>
      </c>
      <c r="K2066" s="63">
        <f>AVERAGE(I2066:J2066)</f>
        <v>4584.7996787148595</v>
      </c>
      <c r="L2066" s="64" t="str">
        <f>"SC (2GE) Chocolate Chip Muffin"</f>
        <v>SC (2GE) Chocolate Chip Muffin</v>
      </c>
      <c r="M2066" s="65" t="str">
        <f>"48-3.1 oz. I.W."</f>
        <v>48-3.1 oz. I.W.</v>
      </c>
      <c r="N2066" s="66">
        <v>48</v>
      </c>
      <c r="O2066" s="67">
        <v>2.7399999999999998E-3</v>
      </c>
      <c r="P2066" s="68">
        <f>1/O2066</f>
        <v>364.96350364963507</v>
      </c>
      <c r="Q2066" s="53">
        <v>2.7399999999999998E-3</v>
      </c>
      <c r="R2066" s="69">
        <f t="shared" ref="R2066" si="1477">1/Q2066</f>
        <v>364.96350364963507</v>
      </c>
      <c r="S2066" s="70">
        <f t="shared" ref="S2066" si="1478">R2066*N2066</f>
        <v>17518.248175182482</v>
      </c>
    </row>
    <row r="2067" spans="1:19" ht="15.6" customHeight="1" thickBot="1" x14ac:dyDescent="0.3">
      <c r="A2067" t="s">
        <v>23</v>
      </c>
      <c r="B2067" s="60" t="str">
        <f t="shared" si="1476"/>
        <v/>
      </c>
      <c r="D2067" s="48" t="str">
        <f>D2066</f>
        <v>24670</v>
      </c>
      <c r="E2067" s="7"/>
      <c r="F2067" s="27">
        <v>-3170.6766666666667</v>
      </c>
      <c r="G2067" s="27">
        <v>-2403.2291666666665</v>
      </c>
      <c r="H2067" s="27">
        <v>-3720.3208333333332</v>
      </c>
      <c r="I2067" s="27">
        <v>-2607.4166666666665</v>
      </c>
      <c r="J2067" s="27">
        <v>-1146.525060240964</v>
      </c>
      <c r="K2067" s="63">
        <f>AVERAGE(I2067:J2067)</f>
        <v>-1876.9708634538151</v>
      </c>
      <c r="L2067" s="56" t="str">
        <f>"EQP-LAWPACK1"</f>
        <v>EQP-LAWPACK1</v>
      </c>
      <c r="M2067" s="14"/>
      <c r="N2067" s="15"/>
      <c r="O2067" s="12"/>
      <c r="P2067" s="34"/>
      <c r="Q2067" s="37"/>
      <c r="R2067" s="47"/>
      <c r="S2067" s="46"/>
    </row>
    <row r="2068" spans="1:19" ht="15.6" hidden="1" customHeight="1" thickBot="1" x14ac:dyDescent="0.3">
      <c r="A2068" t="s">
        <v>23</v>
      </c>
      <c r="B2068" s="60" t="str">
        <f t="shared" ref="B2068:B2070" si="1479">IF(K2068=0,"hide","")</f>
        <v>hide</v>
      </c>
      <c r="D2068" s="48" t="str">
        <f>D2067</f>
        <v>24670</v>
      </c>
      <c r="E2068" s="7"/>
      <c r="F2068" s="27">
        <v>0</v>
      </c>
      <c r="G2068" s="27">
        <v>0</v>
      </c>
      <c r="H2068" s="27">
        <v>0</v>
      </c>
      <c r="I2068" s="27">
        <v>0</v>
      </c>
      <c r="J2068" s="27">
        <v>0</v>
      </c>
      <c r="K2068" s="63">
        <f>AVERAGE(I2068:J2068)</f>
        <v>0</v>
      </c>
      <c r="L2068" s="56" t="str">
        <f>"EQP-LAWPACK2"</f>
        <v>EQP-LAWPACK2</v>
      </c>
      <c r="M2068" s="14"/>
      <c r="N2068" s="15"/>
      <c r="O2068" s="12"/>
      <c r="P2068" s="34"/>
      <c r="Q2068" s="37"/>
      <c r="R2068" s="47"/>
      <c r="S2068" s="46"/>
    </row>
    <row r="2069" spans="1:19" ht="15.6" hidden="1" customHeight="1" thickBot="1" x14ac:dyDescent="0.3">
      <c r="A2069" t="s">
        <v>23</v>
      </c>
      <c r="B2069" s="60" t="str">
        <f t="shared" si="1479"/>
        <v>hide</v>
      </c>
      <c r="D2069" s="48" t="str">
        <f>D2068</f>
        <v>24670</v>
      </c>
      <c r="E2069" s="7"/>
      <c r="F2069" s="27">
        <v>0</v>
      </c>
      <c r="G2069" s="27">
        <v>0</v>
      </c>
      <c r="H2069" s="27">
        <v>0</v>
      </c>
      <c r="I2069" s="27">
        <v>0</v>
      </c>
      <c r="J2069" s="27">
        <v>0</v>
      </c>
      <c r="K2069" s="63">
        <f>AVERAGE(I2069:J2069)</f>
        <v>0</v>
      </c>
      <c r="L2069" s="56" t="str">
        <f>"SW-COMAS-PACKL"</f>
        <v>SW-COMAS-PACKL</v>
      </c>
      <c r="M2069" s="14"/>
      <c r="N2069" s="15"/>
      <c r="O2069" s="12"/>
      <c r="P2069" s="34"/>
      <c r="Q2069" s="37"/>
      <c r="R2069" s="47"/>
      <c r="S2069" s="46"/>
    </row>
    <row r="2070" spans="1:19" ht="15.6" hidden="1" customHeight="1" thickBot="1" x14ac:dyDescent="0.3">
      <c r="A2070" t="s">
        <v>23</v>
      </c>
      <c r="B2070" s="60" t="str">
        <f t="shared" si="1479"/>
        <v>hide</v>
      </c>
      <c r="D2070" s="48" t="str">
        <f>D2069</f>
        <v>24670</v>
      </c>
      <c r="E2070" s="7"/>
      <c r="F2070" s="27">
        <v>0</v>
      </c>
      <c r="G2070" s="27">
        <v>0</v>
      </c>
      <c r="H2070" s="27">
        <v>0</v>
      </c>
      <c r="I2070" s="27">
        <v>0</v>
      </c>
      <c r="J2070" s="27">
        <v>0</v>
      </c>
      <c r="K2070" s="63">
        <f>AVERAGE(I2070:J2070)</f>
        <v>0</v>
      </c>
      <c r="L2070" s="56" t="str">
        <f>"SW-RISER-PACK"</f>
        <v>SW-RISER-PACK</v>
      </c>
      <c r="M2070" s="14"/>
      <c r="N2070" s="15"/>
      <c r="O2070" s="12"/>
      <c r="P2070" s="34"/>
      <c r="Q2070" s="37"/>
      <c r="R2070" s="47"/>
      <c r="S2070" s="46"/>
    </row>
    <row r="2071" spans="1:19" ht="12" hidden="1" customHeight="1" x14ac:dyDescent="0.25">
      <c r="A2071" s="35" t="s">
        <v>908</v>
      </c>
      <c r="B2071" s="49" t="str">
        <f>B2067</f>
        <v/>
      </c>
      <c r="N2071"/>
      <c r="Q2071" s="33"/>
    </row>
    <row r="2072" spans="1:19" ht="13.8" thickBot="1" x14ac:dyDescent="0.3">
      <c r="A2072" t="s">
        <v>23</v>
      </c>
      <c r="B2072" s="49" t="str">
        <f t="shared" ref="B2072" si="1480">B2071</f>
        <v/>
      </c>
      <c r="D2072" s="58"/>
      <c r="E2072" s="58"/>
      <c r="F2072" s="52">
        <f>SUM(F2067:F2071)</f>
        <v>-3170.6766666666667</v>
      </c>
      <c r="G2072" s="52">
        <f>SUM(G2067:G2071)</f>
        <v>-2403.2291666666665</v>
      </c>
      <c r="H2072" s="52">
        <f>SUM(H2067:H2071)</f>
        <v>-3720.3208333333332</v>
      </c>
      <c r="I2072" s="52">
        <f>SUM(I2067:I2071)</f>
        <v>-2607.4166666666665</v>
      </c>
      <c r="J2072" s="52">
        <f>SUM(J2067:J2071)</f>
        <v>-1146.525060240964</v>
      </c>
      <c r="K2072" s="52"/>
      <c r="L2072" s="51" t="s">
        <v>4</v>
      </c>
      <c r="M2072" s="58"/>
      <c r="N2072" s="58"/>
      <c r="O2072" s="58"/>
      <c r="P2072" s="58"/>
      <c r="Q2072" s="58"/>
      <c r="R2072" s="58"/>
      <c r="S2072" s="58"/>
    </row>
    <row r="2073" spans="1:19" s="59" customFormat="1" ht="18.75" customHeight="1" thickBot="1" x14ac:dyDescent="0.3">
      <c r="A2073" s="59" t="s">
        <v>23</v>
      </c>
      <c r="B2073" s="60" t="str">
        <f t="shared" ref="B2073:B2074" si="1481">IF(K2073=0,"hide","")</f>
        <v/>
      </c>
      <c r="D2073" s="61" t="str">
        <f>"24675"</f>
        <v>24675</v>
      </c>
      <c r="E2073" s="62" t="str">
        <f>"6"</f>
        <v>6</v>
      </c>
      <c r="F2073" s="63">
        <v>607.5</v>
      </c>
      <c r="G2073" s="63">
        <v>951.91666666666663</v>
      </c>
      <c r="H2073" s="63">
        <v>1301</v>
      </c>
      <c r="I2073" s="63">
        <v>1779.8333333333333</v>
      </c>
      <c r="J2073" s="63">
        <v>877.84554216867468</v>
      </c>
      <c r="K2073" s="63">
        <f>AVERAGE(I2073:J2073)</f>
        <v>1328.839437751004</v>
      </c>
      <c r="L2073" s="64" t="str">
        <f>"SC (2GE) Banana Muffins"</f>
        <v>SC (2GE) Banana Muffins</v>
      </c>
      <c r="M2073" s="65" t="str">
        <f>"48-3.1 oz. I.W."</f>
        <v>48-3.1 oz. I.W.</v>
      </c>
      <c r="N2073" s="66">
        <v>48</v>
      </c>
      <c r="O2073" s="67">
        <v>2.7399999999999998E-3</v>
      </c>
      <c r="P2073" s="68">
        <f>1/O2073</f>
        <v>364.96350364963507</v>
      </c>
      <c r="Q2073" s="53">
        <v>2.7399999999999998E-3</v>
      </c>
      <c r="R2073" s="69">
        <f t="shared" ref="R2073" si="1482">1/Q2073</f>
        <v>364.96350364963507</v>
      </c>
      <c r="S2073" s="70">
        <f t="shared" ref="S2073" si="1483">R2073*N2073</f>
        <v>17518.248175182482</v>
      </c>
    </row>
    <row r="2074" spans="1:19" ht="15.6" customHeight="1" thickBot="1" x14ac:dyDescent="0.3">
      <c r="A2074" t="s">
        <v>23</v>
      </c>
      <c r="B2074" s="60" t="str">
        <f t="shared" si="1481"/>
        <v/>
      </c>
      <c r="D2074" s="48" t="str">
        <f>D2073</f>
        <v>24675</v>
      </c>
      <c r="E2074" s="7"/>
      <c r="F2074" s="27">
        <v>-455.41249999999997</v>
      </c>
      <c r="G2074" s="27">
        <v>-307.90333333333331</v>
      </c>
      <c r="H2074" s="27">
        <v>-454.01416666666665</v>
      </c>
      <c r="I2074" s="27">
        <v>-574.99999999999989</v>
      </c>
      <c r="J2074" s="27">
        <v>0</v>
      </c>
      <c r="K2074" s="63">
        <f>AVERAGE(I2074:J2074)</f>
        <v>-287.49999999999994</v>
      </c>
      <c r="L2074" s="56" t="str">
        <f>"EQP-LAWPACK1"</f>
        <v>EQP-LAWPACK1</v>
      </c>
      <c r="M2074" s="14"/>
      <c r="N2074" s="15"/>
      <c r="O2074" s="12"/>
      <c r="P2074" s="34"/>
      <c r="Q2074" s="37"/>
      <c r="R2074" s="47"/>
      <c r="S2074" s="46"/>
    </row>
    <row r="2075" spans="1:19" ht="15.6" hidden="1" customHeight="1" thickBot="1" x14ac:dyDescent="0.3">
      <c r="A2075" t="s">
        <v>23</v>
      </c>
      <c r="B2075" s="60" t="str">
        <f t="shared" ref="B2075:B2077" si="1484">IF(K2075=0,"hide","")</f>
        <v>hide</v>
      </c>
      <c r="D2075" s="48" t="str">
        <f>D2074</f>
        <v>24675</v>
      </c>
      <c r="E2075" s="7"/>
      <c r="F2075" s="27">
        <v>0</v>
      </c>
      <c r="G2075" s="27">
        <v>0</v>
      </c>
      <c r="H2075" s="27">
        <v>0</v>
      </c>
      <c r="I2075" s="27">
        <v>0</v>
      </c>
      <c r="J2075" s="27">
        <v>0</v>
      </c>
      <c r="K2075" s="63">
        <f>AVERAGE(I2075:J2075)</f>
        <v>0</v>
      </c>
      <c r="L2075" s="56" t="str">
        <f>"EQP-LAWPACK2"</f>
        <v>EQP-LAWPACK2</v>
      </c>
      <c r="M2075" s="14"/>
      <c r="N2075" s="15"/>
      <c r="O2075" s="12"/>
      <c r="P2075" s="34"/>
      <c r="Q2075" s="37"/>
      <c r="R2075" s="47"/>
      <c r="S2075" s="46"/>
    </row>
    <row r="2076" spans="1:19" ht="15.6" hidden="1" customHeight="1" thickBot="1" x14ac:dyDescent="0.3">
      <c r="A2076" t="s">
        <v>23</v>
      </c>
      <c r="B2076" s="60" t="str">
        <f t="shared" si="1484"/>
        <v>hide</v>
      </c>
      <c r="D2076" s="48" t="str">
        <f>D2075</f>
        <v>24675</v>
      </c>
      <c r="E2076" s="7"/>
      <c r="F2076" s="27">
        <v>0</v>
      </c>
      <c r="G2076" s="27">
        <v>0</v>
      </c>
      <c r="H2076" s="27">
        <v>0</v>
      </c>
      <c r="I2076" s="27">
        <v>0</v>
      </c>
      <c r="J2076" s="27">
        <v>0</v>
      </c>
      <c r="K2076" s="63">
        <f>AVERAGE(I2076:J2076)</f>
        <v>0</v>
      </c>
      <c r="L2076" s="56" t="str">
        <f>"SW-COMAS-PACKL"</f>
        <v>SW-COMAS-PACKL</v>
      </c>
      <c r="M2076" s="14"/>
      <c r="N2076" s="15"/>
      <c r="O2076" s="12"/>
      <c r="P2076" s="34"/>
      <c r="Q2076" s="37"/>
      <c r="R2076" s="47"/>
      <c r="S2076" s="46"/>
    </row>
    <row r="2077" spans="1:19" ht="15.6" hidden="1" customHeight="1" thickBot="1" x14ac:dyDescent="0.3">
      <c r="A2077" t="s">
        <v>23</v>
      </c>
      <c r="B2077" s="60" t="str">
        <f t="shared" si="1484"/>
        <v>hide</v>
      </c>
      <c r="D2077" s="48" t="str">
        <f>D2076</f>
        <v>24675</v>
      </c>
      <c r="E2077" s="7"/>
      <c r="F2077" s="27">
        <v>0</v>
      </c>
      <c r="G2077" s="27">
        <v>0</v>
      </c>
      <c r="H2077" s="27">
        <v>0</v>
      </c>
      <c r="I2077" s="27">
        <v>0</v>
      </c>
      <c r="J2077" s="27">
        <v>0</v>
      </c>
      <c r="K2077" s="63">
        <f>AVERAGE(I2077:J2077)</f>
        <v>0</v>
      </c>
      <c r="L2077" s="56" t="str">
        <f>"SW-RISER-PACK"</f>
        <v>SW-RISER-PACK</v>
      </c>
      <c r="M2077" s="14"/>
      <c r="N2077" s="15"/>
      <c r="O2077" s="12"/>
      <c r="P2077" s="34"/>
      <c r="Q2077" s="37"/>
      <c r="R2077" s="47"/>
      <c r="S2077" s="46"/>
    </row>
    <row r="2078" spans="1:19" ht="12" hidden="1" customHeight="1" x14ac:dyDescent="0.25">
      <c r="A2078" s="35" t="s">
        <v>908</v>
      </c>
      <c r="B2078" s="49" t="str">
        <f>B2074</f>
        <v/>
      </c>
      <c r="N2078"/>
      <c r="Q2078" s="33"/>
    </row>
    <row r="2079" spans="1:19" ht="13.8" thickBot="1" x14ac:dyDescent="0.3">
      <c r="A2079" t="s">
        <v>23</v>
      </c>
      <c r="B2079" s="49" t="str">
        <f t="shared" ref="B2079" si="1485">B2078</f>
        <v/>
      </c>
      <c r="D2079" s="58"/>
      <c r="E2079" s="58"/>
      <c r="F2079" s="52">
        <f>SUM(F2074:F2078)</f>
        <v>-455.41249999999997</v>
      </c>
      <c r="G2079" s="52">
        <f>SUM(G2074:G2078)</f>
        <v>-307.90333333333331</v>
      </c>
      <c r="H2079" s="52">
        <f>SUM(H2074:H2078)</f>
        <v>-454.01416666666665</v>
      </c>
      <c r="I2079" s="52">
        <f>SUM(I2074:I2078)</f>
        <v>-574.99999999999989</v>
      </c>
      <c r="J2079" s="52">
        <f>SUM(J2074:J2078)</f>
        <v>0</v>
      </c>
      <c r="K2079" s="52"/>
      <c r="L2079" s="51" t="s">
        <v>4</v>
      </c>
      <c r="M2079" s="58"/>
      <c r="N2079" s="58"/>
      <c r="O2079" s="58"/>
      <c r="P2079" s="58"/>
      <c r="Q2079" s="58"/>
      <c r="R2079" s="58"/>
      <c r="S2079" s="58"/>
    </row>
    <row r="2080" spans="1:19" s="59" customFormat="1" ht="18.75" customHeight="1" thickBot="1" x14ac:dyDescent="0.3">
      <c r="A2080" s="59" t="s">
        <v>23</v>
      </c>
      <c r="B2080" s="60" t="str">
        <f t="shared" ref="B2080:B2081" si="1486">IF(K2080=0,"hide","")</f>
        <v/>
      </c>
      <c r="D2080" s="61" t="str">
        <f>"24751"</f>
        <v>24751</v>
      </c>
      <c r="E2080" s="62" t="str">
        <f>"1"</f>
        <v>1</v>
      </c>
      <c r="F2080" s="63">
        <v>0</v>
      </c>
      <c r="G2080" s="63">
        <v>0</v>
      </c>
      <c r="H2080" s="63">
        <v>27.416666666666668</v>
      </c>
      <c r="I2080" s="63">
        <v>28</v>
      </c>
      <c r="J2080" s="63">
        <v>22.912771084337351</v>
      </c>
      <c r="K2080" s="63">
        <f>AVERAGE(I2080:J2080)</f>
        <v>25.456385542168675</v>
      </c>
      <c r="L2080" s="64" t="str">
        <f>"WG CLEAN LABEL BANANA MUFFIN"</f>
        <v>WG CLEAN LABEL BANANA MUFFIN</v>
      </c>
      <c r="M2080" s="65" t="str">
        <f>"48-3.1 oz. I.W."</f>
        <v>48-3.1 oz. I.W.</v>
      </c>
      <c r="N2080" s="66">
        <v>48</v>
      </c>
      <c r="O2080" s="67" t="str">
        <f>""</f>
        <v/>
      </c>
      <c r="P2080" s="68" t="e">
        <f>1/O2080</f>
        <v>#VALUE!</v>
      </c>
      <c r="Q2080" s="53">
        <v>1</v>
      </c>
      <c r="R2080" s="69">
        <f t="shared" ref="R2080" si="1487">1/Q2080</f>
        <v>1</v>
      </c>
      <c r="S2080" s="70">
        <f t="shared" ref="S2080" si="1488">R2080*N2080</f>
        <v>48</v>
      </c>
    </row>
    <row r="2081" spans="1:19" ht="15.6" hidden="1" customHeight="1" thickBot="1" x14ac:dyDescent="0.3">
      <c r="A2081" t="s">
        <v>23</v>
      </c>
      <c r="B2081" s="60" t="str">
        <f t="shared" si="1486"/>
        <v>hide</v>
      </c>
      <c r="D2081" s="48" t="str">
        <f>D2080</f>
        <v>24751</v>
      </c>
      <c r="E2081" s="7"/>
      <c r="F2081" s="27">
        <v>0</v>
      </c>
      <c r="G2081" s="27">
        <v>0</v>
      </c>
      <c r="H2081" s="27">
        <v>0</v>
      </c>
      <c r="I2081" s="27">
        <v>0</v>
      </c>
      <c r="J2081" s="27">
        <v>0</v>
      </c>
      <c r="K2081" s="63">
        <f>AVERAGE(I2081:J2081)</f>
        <v>0</v>
      </c>
      <c r="L2081" s="56" t="str">
        <f>"EQP-LAWPACK1"</f>
        <v>EQP-LAWPACK1</v>
      </c>
      <c r="M2081" s="14"/>
      <c r="N2081" s="15"/>
      <c r="O2081" s="12"/>
      <c r="P2081" s="34"/>
      <c r="Q2081" s="37"/>
      <c r="R2081" s="47"/>
      <c r="S2081" s="46"/>
    </row>
    <row r="2082" spans="1:19" ht="15.6" hidden="1" customHeight="1" thickBot="1" x14ac:dyDescent="0.3">
      <c r="A2082" t="s">
        <v>23</v>
      </c>
      <c r="B2082" s="60" t="str">
        <f t="shared" ref="B2082:B2084" si="1489">IF(K2082=0,"hide","")</f>
        <v>hide</v>
      </c>
      <c r="D2082" s="48" t="str">
        <f>D2081</f>
        <v>24751</v>
      </c>
      <c r="E2082" s="7"/>
      <c r="F2082" s="27">
        <v>0</v>
      </c>
      <c r="G2082" s="27">
        <v>0</v>
      </c>
      <c r="H2082" s="27">
        <v>0</v>
      </c>
      <c r="I2082" s="27">
        <v>0</v>
      </c>
      <c r="J2082" s="27">
        <v>0</v>
      </c>
      <c r="K2082" s="63">
        <f>AVERAGE(I2082:J2082)</f>
        <v>0</v>
      </c>
      <c r="L2082" s="56" t="str">
        <f>"EQP-LAWPACK2"</f>
        <v>EQP-LAWPACK2</v>
      </c>
      <c r="M2082" s="14"/>
      <c r="N2082" s="15"/>
      <c r="O2082" s="12"/>
      <c r="P2082" s="34"/>
      <c r="Q2082" s="37"/>
      <c r="R2082" s="47"/>
      <c r="S2082" s="46"/>
    </row>
    <row r="2083" spans="1:19" ht="15.6" hidden="1" customHeight="1" thickBot="1" x14ac:dyDescent="0.3">
      <c r="A2083" t="s">
        <v>23</v>
      </c>
      <c r="B2083" s="60" t="str">
        <f t="shared" si="1489"/>
        <v>hide</v>
      </c>
      <c r="D2083" s="48" t="str">
        <f>D2082</f>
        <v>24751</v>
      </c>
      <c r="E2083" s="7"/>
      <c r="F2083" s="27">
        <v>0</v>
      </c>
      <c r="G2083" s="27">
        <v>0</v>
      </c>
      <c r="H2083" s="27">
        <v>0</v>
      </c>
      <c r="I2083" s="27">
        <v>0</v>
      </c>
      <c r="J2083" s="27">
        <v>0</v>
      </c>
      <c r="K2083" s="63">
        <f>AVERAGE(I2083:J2083)</f>
        <v>0</v>
      </c>
      <c r="L2083" s="56" t="str">
        <f>"SW-COMAS-PACKL"</f>
        <v>SW-COMAS-PACKL</v>
      </c>
      <c r="M2083" s="14"/>
      <c r="N2083" s="15"/>
      <c r="O2083" s="12"/>
      <c r="P2083" s="34"/>
      <c r="Q2083" s="37"/>
      <c r="R2083" s="47"/>
      <c r="S2083" s="46"/>
    </row>
    <row r="2084" spans="1:19" ht="15.6" hidden="1" customHeight="1" thickBot="1" x14ac:dyDescent="0.3">
      <c r="A2084" t="s">
        <v>23</v>
      </c>
      <c r="B2084" s="60" t="str">
        <f t="shared" si="1489"/>
        <v>hide</v>
      </c>
      <c r="D2084" s="48" t="str">
        <f>D2083</f>
        <v>24751</v>
      </c>
      <c r="E2084" s="7"/>
      <c r="F2084" s="27">
        <v>0</v>
      </c>
      <c r="G2084" s="27">
        <v>0</v>
      </c>
      <c r="H2084" s="27">
        <v>0</v>
      </c>
      <c r="I2084" s="27">
        <v>0</v>
      </c>
      <c r="J2084" s="27">
        <v>0</v>
      </c>
      <c r="K2084" s="63">
        <f>AVERAGE(I2084:J2084)</f>
        <v>0</v>
      </c>
      <c r="L2084" s="56" t="str">
        <f>"SW-RISER-PACK"</f>
        <v>SW-RISER-PACK</v>
      </c>
      <c r="M2084" s="14"/>
      <c r="N2084" s="15"/>
      <c r="O2084" s="12"/>
      <c r="P2084" s="34"/>
      <c r="Q2084" s="37"/>
      <c r="R2084" s="47"/>
      <c r="S2084" s="46"/>
    </row>
    <row r="2085" spans="1:19" ht="12" hidden="1" customHeight="1" x14ac:dyDescent="0.3">
      <c r="A2085" s="35" t="s">
        <v>908</v>
      </c>
      <c r="B2085" s="49" t="str">
        <f>B2081</f>
        <v>hide</v>
      </c>
      <c r="N2085"/>
      <c r="Q2085" s="33"/>
    </row>
    <row r="2086" spans="1:19" ht="13.8" hidden="1" thickBot="1" x14ac:dyDescent="0.3">
      <c r="A2086" t="s">
        <v>23</v>
      </c>
      <c r="B2086" s="49" t="str">
        <f t="shared" ref="B2086" si="1490">B2085</f>
        <v>hide</v>
      </c>
      <c r="D2086" s="58"/>
      <c r="E2086" s="58"/>
      <c r="F2086" s="52">
        <f>SUM(F2081:F2085)</f>
        <v>0</v>
      </c>
      <c r="G2086" s="52">
        <f>SUM(G2081:G2085)</f>
        <v>0</v>
      </c>
      <c r="H2086" s="52">
        <f>SUM(H2081:H2085)</f>
        <v>0</v>
      </c>
      <c r="I2086" s="52">
        <f>SUM(I2081:I2085)</f>
        <v>0</v>
      </c>
      <c r="J2086" s="52">
        <f>SUM(J2081:J2085)</f>
        <v>0</v>
      </c>
      <c r="K2086" s="52"/>
      <c r="L2086" s="51" t="s">
        <v>4</v>
      </c>
      <c r="M2086" s="58"/>
      <c r="N2086" s="58"/>
      <c r="O2086" s="58"/>
      <c r="P2086" s="58"/>
      <c r="Q2086" s="58"/>
      <c r="R2086" s="58"/>
      <c r="S2086" s="58"/>
    </row>
    <row r="2087" spans="1:19" s="59" customFormat="1" ht="18.75" customHeight="1" thickBot="1" x14ac:dyDescent="0.3">
      <c r="A2087" s="59" t="s">
        <v>23</v>
      </c>
      <c r="B2087" s="60" t="str">
        <f t="shared" ref="B2087:B2088" si="1491">IF(K2087=0,"hide","")</f>
        <v/>
      </c>
      <c r="D2087" s="61" t="str">
        <f>"24761"</f>
        <v>24761</v>
      </c>
      <c r="E2087" s="62" t="str">
        <f>"1"</f>
        <v>1</v>
      </c>
      <c r="F2087" s="63">
        <v>0</v>
      </c>
      <c r="G2087" s="63">
        <v>0</v>
      </c>
      <c r="H2087" s="63">
        <v>0</v>
      </c>
      <c r="I2087" s="63">
        <v>54.333333333333336</v>
      </c>
      <c r="J2087" s="63">
        <v>45.825542168674701</v>
      </c>
      <c r="K2087" s="63">
        <f>AVERAGE(I2087:J2087)</f>
        <v>50.079437751004022</v>
      </c>
      <c r="L2087" s="64" t="str">
        <f>"WG CLEAN LABEL VANILLA BLUEBERRY MUFFIN"</f>
        <v>WG CLEAN LABEL VANILLA BLUEBERRY MUFFIN</v>
      </c>
      <c r="M2087" s="65" t="str">
        <f>"48-3.1 oz. I.W."</f>
        <v>48-3.1 oz. I.W.</v>
      </c>
      <c r="N2087" s="66">
        <v>48</v>
      </c>
      <c r="O2087" s="67" t="str">
        <f>""</f>
        <v/>
      </c>
      <c r="P2087" s="68" t="e">
        <f>1/O2087</f>
        <v>#VALUE!</v>
      </c>
      <c r="Q2087" s="53">
        <v>1</v>
      </c>
      <c r="R2087" s="69">
        <f t="shared" ref="R2087" si="1492">1/Q2087</f>
        <v>1</v>
      </c>
      <c r="S2087" s="70">
        <f t="shared" ref="S2087" si="1493">R2087*N2087</f>
        <v>48</v>
      </c>
    </row>
    <row r="2088" spans="1:19" ht="15.6" hidden="1" customHeight="1" thickBot="1" x14ac:dyDescent="0.3">
      <c r="A2088" t="s">
        <v>23</v>
      </c>
      <c r="B2088" s="60" t="str">
        <f t="shared" si="1491"/>
        <v>hide</v>
      </c>
      <c r="D2088" s="48" t="str">
        <f>D2087</f>
        <v>24761</v>
      </c>
      <c r="E2088" s="7"/>
      <c r="F2088" s="27">
        <v>0</v>
      </c>
      <c r="G2088" s="27">
        <v>0</v>
      </c>
      <c r="H2088" s="27">
        <v>0</v>
      </c>
      <c r="I2088" s="27">
        <v>0</v>
      </c>
      <c r="J2088" s="27">
        <v>0</v>
      </c>
      <c r="K2088" s="63">
        <f>AVERAGE(I2088:J2088)</f>
        <v>0</v>
      </c>
      <c r="L2088" s="56" t="str">
        <f>"EQP-LAWPACK1"</f>
        <v>EQP-LAWPACK1</v>
      </c>
      <c r="M2088" s="14"/>
      <c r="N2088" s="15"/>
      <c r="O2088" s="12"/>
      <c r="P2088" s="34"/>
      <c r="Q2088" s="37"/>
      <c r="R2088" s="47"/>
      <c r="S2088" s="46"/>
    </row>
    <row r="2089" spans="1:19" ht="15.6" hidden="1" customHeight="1" thickBot="1" x14ac:dyDescent="0.3">
      <c r="A2089" t="s">
        <v>23</v>
      </c>
      <c r="B2089" s="60" t="str">
        <f t="shared" ref="B2089:B2091" si="1494">IF(K2089=0,"hide","")</f>
        <v>hide</v>
      </c>
      <c r="D2089" s="48" t="str">
        <f>D2088</f>
        <v>24761</v>
      </c>
      <c r="E2089" s="7"/>
      <c r="F2089" s="27">
        <v>0</v>
      </c>
      <c r="G2089" s="27">
        <v>0</v>
      </c>
      <c r="H2089" s="27">
        <v>0</v>
      </c>
      <c r="I2089" s="27">
        <v>0</v>
      </c>
      <c r="J2089" s="27">
        <v>0</v>
      </c>
      <c r="K2089" s="63">
        <f>AVERAGE(I2089:J2089)</f>
        <v>0</v>
      </c>
      <c r="L2089" s="56" t="str">
        <f>"EQP-LAWPACK2"</f>
        <v>EQP-LAWPACK2</v>
      </c>
      <c r="M2089" s="14"/>
      <c r="N2089" s="15"/>
      <c r="O2089" s="12"/>
      <c r="P2089" s="34"/>
      <c r="Q2089" s="37"/>
      <c r="R2089" s="47"/>
      <c r="S2089" s="46"/>
    </row>
    <row r="2090" spans="1:19" ht="15.6" hidden="1" customHeight="1" thickBot="1" x14ac:dyDescent="0.3">
      <c r="A2090" t="s">
        <v>23</v>
      </c>
      <c r="B2090" s="60" t="str">
        <f t="shared" si="1494"/>
        <v>hide</v>
      </c>
      <c r="D2090" s="48" t="str">
        <f>D2089</f>
        <v>24761</v>
      </c>
      <c r="E2090" s="7"/>
      <c r="F2090" s="27">
        <v>0</v>
      </c>
      <c r="G2090" s="27">
        <v>0</v>
      </c>
      <c r="H2090" s="27">
        <v>0</v>
      </c>
      <c r="I2090" s="27">
        <v>0</v>
      </c>
      <c r="J2090" s="27">
        <v>0</v>
      </c>
      <c r="K2090" s="63">
        <f>AVERAGE(I2090:J2090)</f>
        <v>0</v>
      </c>
      <c r="L2090" s="56" t="str">
        <f>"SW-COMAS-PACKL"</f>
        <v>SW-COMAS-PACKL</v>
      </c>
      <c r="M2090" s="14"/>
      <c r="N2090" s="15"/>
      <c r="O2090" s="12"/>
      <c r="P2090" s="34"/>
      <c r="Q2090" s="37"/>
      <c r="R2090" s="47"/>
      <c r="S2090" s="46"/>
    </row>
    <row r="2091" spans="1:19" ht="15.6" hidden="1" customHeight="1" thickBot="1" x14ac:dyDescent="0.3">
      <c r="A2091" t="s">
        <v>23</v>
      </c>
      <c r="B2091" s="60" t="str">
        <f t="shared" si="1494"/>
        <v>hide</v>
      </c>
      <c r="D2091" s="48" t="str">
        <f>D2090</f>
        <v>24761</v>
      </c>
      <c r="E2091" s="7"/>
      <c r="F2091" s="27">
        <v>0</v>
      </c>
      <c r="G2091" s="27">
        <v>0</v>
      </c>
      <c r="H2091" s="27">
        <v>0</v>
      </c>
      <c r="I2091" s="27">
        <v>0</v>
      </c>
      <c r="J2091" s="27">
        <v>0</v>
      </c>
      <c r="K2091" s="63">
        <f>AVERAGE(I2091:J2091)</f>
        <v>0</v>
      </c>
      <c r="L2091" s="56" t="str">
        <f>"SW-RISER-PACK"</f>
        <v>SW-RISER-PACK</v>
      </c>
      <c r="M2091" s="14"/>
      <c r="N2091" s="15"/>
      <c r="O2091" s="12"/>
      <c r="P2091" s="34"/>
      <c r="Q2091" s="37"/>
      <c r="R2091" s="47"/>
      <c r="S2091" s="46"/>
    </row>
    <row r="2092" spans="1:19" ht="12" hidden="1" customHeight="1" x14ac:dyDescent="0.3">
      <c r="A2092" s="35" t="s">
        <v>908</v>
      </c>
      <c r="B2092" s="49" t="str">
        <f>B2088</f>
        <v>hide</v>
      </c>
      <c r="N2092"/>
      <c r="Q2092" s="33"/>
    </row>
    <row r="2093" spans="1:19" ht="13.8" hidden="1" thickBot="1" x14ac:dyDescent="0.3">
      <c r="A2093" t="s">
        <v>23</v>
      </c>
      <c r="B2093" s="49" t="str">
        <f t="shared" ref="B2093" si="1495">B2092</f>
        <v>hide</v>
      </c>
      <c r="D2093" s="58"/>
      <c r="E2093" s="58"/>
      <c r="F2093" s="52">
        <f>SUM(F2088:F2092)</f>
        <v>0</v>
      </c>
      <c r="G2093" s="52">
        <f>SUM(G2088:G2092)</f>
        <v>0</v>
      </c>
      <c r="H2093" s="52">
        <f>SUM(H2088:H2092)</f>
        <v>0</v>
      </c>
      <c r="I2093" s="52">
        <f>SUM(I2088:I2092)</f>
        <v>0</v>
      </c>
      <c r="J2093" s="52">
        <f>SUM(J2088:J2092)</f>
        <v>0</v>
      </c>
      <c r="K2093" s="52"/>
      <c r="L2093" s="51" t="s">
        <v>4</v>
      </c>
      <c r="M2093" s="58"/>
      <c r="N2093" s="58"/>
      <c r="O2093" s="58"/>
      <c r="P2093" s="58"/>
      <c r="Q2093" s="58"/>
      <c r="R2093" s="58"/>
      <c r="S2093" s="58"/>
    </row>
    <row r="2094" spans="1:19" s="59" customFormat="1" ht="18.75" customHeight="1" thickBot="1" x14ac:dyDescent="0.3">
      <c r="A2094" s="59" t="s">
        <v>23</v>
      </c>
      <c r="B2094" s="60" t="str">
        <f t="shared" ref="B2094:B2095" si="1496">IF(K2094=0,"hide","")</f>
        <v/>
      </c>
      <c r="D2094" s="61" t="str">
        <f>"24766"</f>
        <v>24766</v>
      </c>
      <c r="E2094" s="62" t="str">
        <f>"1"</f>
        <v>1</v>
      </c>
      <c r="F2094" s="63">
        <v>0</v>
      </c>
      <c r="G2094" s="63">
        <v>0</v>
      </c>
      <c r="H2094" s="63">
        <v>0</v>
      </c>
      <c r="I2094" s="63">
        <v>56</v>
      </c>
      <c r="J2094" s="63">
        <v>0</v>
      </c>
      <c r="K2094" s="63">
        <f>AVERAGE(I2094:J2094)</f>
        <v>28</v>
      </c>
      <c r="L2094" s="64" t="str">
        <f>"WG CLEAN LABEL APPLE CINN MUFFIN"</f>
        <v>WG CLEAN LABEL APPLE CINN MUFFIN</v>
      </c>
      <c r="M2094" s="65" t="str">
        <f>"48-3.1 oz. I.W."</f>
        <v>48-3.1 oz. I.W.</v>
      </c>
      <c r="N2094" s="66">
        <v>48</v>
      </c>
      <c r="O2094" s="67">
        <v>0</v>
      </c>
      <c r="P2094" s="68" t="e">
        <f>1/O2094</f>
        <v>#DIV/0!</v>
      </c>
      <c r="Q2094" s="53">
        <v>0</v>
      </c>
      <c r="R2094" s="69" t="e">
        <f t="shared" ref="R2094" si="1497">1/Q2094</f>
        <v>#DIV/0!</v>
      </c>
      <c r="S2094" s="70" t="e">
        <f t="shared" ref="S2094" si="1498">R2094*N2094</f>
        <v>#DIV/0!</v>
      </c>
    </row>
    <row r="2095" spans="1:19" ht="15.6" hidden="1" customHeight="1" thickBot="1" x14ac:dyDescent="0.3">
      <c r="A2095" t="s">
        <v>23</v>
      </c>
      <c r="B2095" s="60" t="str">
        <f t="shared" si="1496"/>
        <v>hide</v>
      </c>
      <c r="D2095" s="48" t="str">
        <f>D2094</f>
        <v>24766</v>
      </c>
      <c r="E2095" s="7"/>
      <c r="F2095" s="27">
        <v>0</v>
      </c>
      <c r="G2095" s="27">
        <v>0</v>
      </c>
      <c r="H2095" s="27">
        <v>0</v>
      </c>
      <c r="I2095" s="27">
        <v>0</v>
      </c>
      <c r="J2095" s="27">
        <v>0</v>
      </c>
      <c r="K2095" s="63">
        <f>AVERAGE(I2095:J2095)</f>
        <v>0</v>
      </c>
      <c r="L2095" s="56" t="str">
        <f>"EQP-LAWPACK1"</f>
        <v>EQP-LAWPACK1</v>
      </c>
      <c r="M2095" s="14"/>
      <c r="N2095" s="15"/>
      <c r="O2095" s="12"/>
      <c r="P2095" s="34"/>
      <c r="Q2095" s="37"/>
      <c r="R2095" s="47"/>
      <c r="S2095" s="46"/>
    </row>
    <row r="2096" spans="1:19" ht="15.6" hidden="1" customHeight="1" thickBot="1" x14ac:dyDescent="0.3">
      <c r="A2096" t="s">
        <v>23</v>
      </c>
      <c r="B2096" s="60" t="str">
        <f t="shared" ref="B2096:B2098" si="1499">IF(K2096=0,"hide","")</f>
        <v>hide</v>
      </c>
      <c r="D2096" s="48" t="str">
        <f>D2095</f>
        <v>24766</v>
      </c>
      <c r="E2096" s="7"/>
      <c r="F2096" s="27">
        <v>0</v>
      </c>
      <c r="G2096" s="27">
        <v>0</v>
      </c>
      <c r="H2096" s="27">
        <v>0</v>
      </c>
      <c r="I2096" s="27">
        <v>0</v>
      </c>
      <c r="J2096" s="27">
        <v>0</v>
      </c>
      <c r="K2096" s="63">
        <f>AVERAGE(I2096:J2096)</f>
        <v>0</v>
      </c>
      <c r="L2096" s="56" t="str">
        <f>"EQP-LAWPACK2"</f>
        <v>EQP-LAWPACK2</v>
      </c>
      <c r="M2096" s="14"/>
      <c r="N2096" s="15"/>
      <c r="O2096" s="12"/>
      <c r="P2096" s="34"/>
      <c r="Q2096" s="37"/>
      <c r="R2096" s="47"/>
      <c r="S2096" s="46"/>
    </row>
    <row r="2097" spans="1:19" ht="15.6" hidden="1" customHeight="1" thickBot="1" x14ac:dyDescent="0.3">
      <c r="A2097" t="s">
        <v>23</v>
      </c>
      <c r="B2097" s="60" t="str">
        <f t="shared" si="1499"/>
        <v>hide</v>
      </c>
      <c r="D2097" s="48" t="str">
        <f>D2096</f>
        <v>24766</v>
      </c>
      <c r="E2097" s="7"/>
      <c r="F2097" s="27">
        <v>0</v>
      </c>
      <c r="G2097" s="27">
        <v>0</v>
      </c>
      <c r="H2097" s="27">
        <v>0</v>
      </c>
      <c r="I2097" s="27">
        <v>0</v>
      </c>
      <c r="J2097" s="27">
        <v>0</v>
      </c>
      <c r="K2097" s="63">
        <f>AVERAGE(I2097:J2097)</f>
        <v>0</v>
      </c>
      <c r="L2097" s="56" t="str">
        <f>"SW-COMAS-PACKL"</f>
        <v>SW-COMAS-PACKL</v>
      </c>
      <c r="M2097" s="14"/>
      <c r="N2097" s="15"/>
      <c r="O2097" s="12"/>
      <c r="P2097" s="34"/>
      <c r="Q2097" s="37"/>
      <c r="R2097" s="47"/>
      <c r="S2097" s="46"/>
    </row>
    <row r="2098" spans="1:19" ht="15.6" hidden="1" customHeight="1" thickBot="1" x14ac:dyDescent="0.3">
      <c r="A2098" t="s">
        <v>23</v>
      </c>
      <c r="B2098" s="60" t="str">
        <f t="shared" si="1499"/>
        <v>hide</v>
      </c>
      <c r="D2098" s="48" t="str">
        <f>D2097</f>
        <v>24766</v>
      </c>
      <c r="E2098" s="7"/>
      <c r="F2098" s="27">
        <v>0</v>
      </c>
      <c r="G2098" s="27">
        <v>0</v>
      </c>
      <c r="H2098" s="27">
        <v>0</v>
      </c>
      <c r="I2098" s="27">
        <v>0</v>
      </c>
      <c r="J2098" s="27">
        <v>0</v>
      </c>
      <c r="K2098" s="63">
        <f>AVERAGE(I2098:J2098)</f>
        <v>0</v>
      </c>
      <c r="L2098" s="56" t="str">
        <f>"SW-RISER-PACK"</f>
        <v>SW-RISER-PACK</v>
      </c>
      <c r="M2098" s="14"/>
      <c r="N2098" s="15"/>
      <c r="O2098" s="12"/>
      <c r="P2098" s="34"/>
      <c r="Q2098" s="37"/>
      <c r="R2098" s="47"/>
      <c r="S2098" s="46"/>
    </row>
    <row r="2099" spans="1:19" ht="12" hidden="1" customHeight="1" x14ac:dyDescent="0.3">
      <c r="A2099" s="35" t="s">
        <v>908</v>
      </c>
      <c r="B2099" s="49" t="str">
        <f>B2095</f>
        <v>hide</v>
      </c>
      <c r="N2099"/>
      <c r="Q2099" s="33"/>
    </row>
    <row r="2100" spans="1:19" ht="13.8" hidden="1" thickBot="1" x14ac:dyDescent="0.3">
      <c r="A2100" t="s">
        <v>23</v>
      </c>
      <c r="B2100" s="49" t="str">
        <f t="shared" ref="B2100" si="1500">B2099</f>
        <v>hide</v>
      </c>
      <c r="D2100" s="58"/>
      <c r="E2100" s="58"/>
      <c r="F2100" s="52">
        <f>SUM(F2095:F2099)</f>
        <v>0</v>
      </c>
      <c r="G2100" s="52">
        <f>SUM(G2095:G2099)</f>
        <v>0</v>
      </c>
      <c r="H2100" s="52">
        <f>SUM(H2095:H2099)</f>
        <v>0</v>
      </c>
      <c r="I2100" s="52">
        <f>SUM(I2095:I2099)</f>
        <v>0</v>
      </c>
      <c r="J2100" s="52">
        <f>SUM(J2095:J2099)</f>
        <v>0</v>
      </c>
      <c r="K2100" s="52"/>
      <c r="L2100" s="51" t="s">
        <v>4</v>
      </c>
      <c r="M2100" s="58"/>
      <c r="N2100" s="58"/>
      <c r="O2100" s="58"/>
      <c r="P2100" s="58"/>
      <c r="Q2100" s="58"/>
      <c r="R2100" s="58"/>
      <c r="S2100" s="58"/>
    </row>
    <row r="2101" spans="1:19" s="59" customFormat="1" ht="18.75" hidden="1" customHeight="1" thickBot="1" x14ac:dyDescent="0.3">
      <c r="A2101" s="59" t="s">
        <v>23</v>
      </c>
      <c r="B2101" s="60" t="str">
        <f t="shared" ref="B2101:B2102" si="1501">IF(K2101=0,"hide","")</f>
        <v>hide</v>
      </c>
      <c r="D2101" s="61" t="str">
        <f>"24860"</f>
        <v>24860</v>
      </c>
      <c r="E2101" s="62" t="str">
        <f>"3"</f>
        <v>3</v>
      </c>
      <c r="F2101" s="63">
        <v>0</v>
      </c>
      <c r="G2101" s="63">
        <v>0</v>
      </c>
      <c r="H2101" s="63">
        <v>0</v>
      </c>
      <c r="I2101" s="63">
        <v>0</v>
      </c>
      <c r="J2101" s="63">
        <v>0</v>
      </c>
      <c r="K2101" s="63">
        <f>AVERAGE(I2101:J2101)</f>
        <v>0</v>
      </c>
      <c r="L2101" s="64" t="str">
        <f>"GM CINN.TOAST Muffins"</f>
        <v>GM CINN.TOAST Muffins</v>
      </c>
      <c r="M2101" s="65" t="str">
        <f>"40-3.1 oz. I.W."</f>
        <v>40-3.1 oz. I.W.</v>
      </c>
      <c r="N2101" s="66">
        <v>40</v>
      </c>
      <c r="O2101" s="67">
        <v>0</v>
      </c>
      <c r="P2101" s="68" t="e">
        <f>1/O2101</f>
        <v>#DIV/0!</v>
      </c>
      <c r="Q2101" s="53">
        <v>3.0000000000000001E-3</v>
      </c>
      <c r="R2101" s="69">
        <f t="shared" ref="R2101" si="1502">1/Q2101</f>
        <v>333.33333333333331</v>
      </c>
      <c r="S2101" s="70">
        <f t="shared" ref="S2101" si="1503">R2101*N2101</f>
        <v>13333.333333333332</v>
      </c>
    </row>
    <row r="2102" spans="1:19" ht="15.6" hidden="1" customHeight="1" thickBot="1" x14ac:dyDescent="0.3">
      <c r="A2102" t="s">
        <v>23</v>
      </c>
      <c r="B2102" s="60" t="str">
        <f t="shared" si="1501"/>
        <v>hide</v>
      </c>
      <c r="D2102" s="48" t="str">
        <f>D2101</f>
        <v>24860</v>
      </c>
      <c r="E2102" s="7"/>
      <c r="F2102" s="27">
        <v>0</v>
      </c>
      <c r="G2102" s="27">
        <v>0</v>
      </c>
      <c r="H2102" s="27">
        <v>0</v>
      </c>
      <c r="I2102" s="27">
        <v>0</v>
      </c>
      <c r="J2102" s="27">
        <v>0</v>
      </c>
      <c r="K2102" s="63">
        <f>AVERAGE(I2102:J2102)</f>
        <v>0</v>
      </c>
      <c r="L2102" s="56" t="str">
        <f>"EQP-LAWPACK1"</f>
        <v>EQP-LAWPACK1</v>
      </c>
      <c r="M2102" s="14"/>
      <c r="N2102" s="15"/>
      <c r="O2102" s="12"/>
      <c r="P2102" s="34"/>
      <c r="Q2102" s="37"/>
      <c r="R2102" s="47"/>
      <c r="S2102" s="46"/>
    </row>
    <row r="2103" spans="1:19" ht="15.6" hidden="1" customHeight="1" thickBot="1" x14ac:dyDescent="0.3">
      <c r="A2103" t="s">
        <v>23</v>
      </c>
      <c r="B2103" s="60" t="str">
        <f t="shared" ref="B2103:B2105" si="1504">IF(K2103=0,"hide","")</f>
        <v>hide</v>
      </c>
      <c r="D2103" s="48" t="str">
        <f>D2102</f>
        <v>24860</v>
      </c>
      <c r="E2103" s="7"/>
      <c r="F2103" s="27">
        <v>0</v>
      </c>
      <c r="G2103" s="27">
        <v>0</v>
      </c>
      <c r="H2103" s="27">
        <v>0</v>
      </c>
      <c r="I2103" s="27">
        <v>0</v>
      </c>
      <c r="J2103" s="27">
        <v>0</v>
      </c>
      <c r="K2103" s="63">
        <f>AVERAGE(I2103:J2103)</f>
        <v>0</v>
      </c>
      <c r="L2103" s="56" t="str">
        <f>"EQP-LAWPACK2"</f>
        <v>EQP-LAWPACK2</v>
      </c>
      <c r="M2103" s="14"/>
      <c r="N2103" s="15"/>
      <c r="O2103" s="12"/>
      <c r="P2103" s="34"/>
      <c r="Q2103" s="37"/>
      <c r="R2103" s="47"/>
      <c r="S2103" s="46"/>
    </row>
    <row r="2104" spans="1:19" ht="15.6" hidden="1" customHeight="1" thickBot="1" x14ac:dyDescent="0.3">
      <c r="A2104" t="s">
        <v>23</v>
      </c>
      <c r="B2104" s="60" t="str">
        <f t="shared" si="1504"/>
        <v>hide</v>
      </c>
      <c r="D2104" s="48" t="str">
        <f>D2103</f>
        <v>24860</v>
      </c>
      <c r="E2104" s="7"/>
      <c r="F2104" s="27">
        <v>0</v>
      </c>
      <c r="G2104" s="27">
        <v>0</v>
      </c>
      <c r="H2104" s="27">
        <v>0</v>
      </c>
      <c r="I2104" s="27">
        <v>0</v>
      </c>
      <c r="J2104" s="27">
        <v>0</v>
      </c>
      <c r="K2104" s="63">
        <f>AVERAGE(I2104:J2104)</f>
        <v>0</v>
      </c>
      <c r="L2104" s="56" t="str">
        <f>"SW-COMAS-PACKL"</f>
        <v>SW-COMAS-PACKL</v>
      </c>
      <c r="M2104" s="14"/>
      <c r="N2104" s="15"/>
      <c r="O2104" s="12"/>
      <c r="P2104" s="34"/>
      <c r="Q2104" s="37"/>
      <c r="R2104" s="47"/>
      <c r="S2104" s="46"/>
    </row>
    <row r="2105" spans="1:19" ht="15.6" hidden="1" customHeight="1" thickBot="1" x14ac:dyDescent="0.3">
      <c r="A2105" t="s">
        <v>23</v>
      </c>
      <c r="B2105" s="60" t="str">
        <f t="shared" si="1504"/>
        <v>hide</v>
      </c>
      <c r="D2105" s="48" t="str">
        <f>D2104</f>
        <v>24860</v>
      </c>
      <c r="E2105" s="7"/>
      <c r="F2105" s="27">
        <v>0</v>
      </c>
      <c r="G2105" s="27">
        <v>0</v>
      </c>
      <c r="H2105" s="27">
        <v>0</v>
      </c>
      <c r="I2105" s="27">
        <v>0</v>
      </c>
      <c r="J2105" s="27">
        <v>0</v>
      </c>
      <c r="K2105" s="63">
        <f>AVERAGE(I2105:J2105)</f>
        <v>0</v>
      </c>
      <c r="L2105" s="56" t="str">
        <f>"SW-RISER-PACK"</f>
        <v>SW-RISER-PACK</v>
      </c>
      <c r="M2105" s="14"/>
      <c r="N2105" s="15"/>
      <c r="O2105" s="12"/>
      <c r="P2105" s="34"/>
      <c r="Q2105" s="37"/>
      <c r="R2105" s="47"/>
      <c r="S2105" s="46"/>
    </row>
    <row r="2106" spans="1:19" ht="12" hidden="1" customHeight="1" x14ac:dyDescent="0.3">
      <c r="A2106" s="35" t="s">
        <v>908</v>
      </c>
      <c r="B2106" s="49" t="str">
        <f>B2102</f>
        <v>hide</v>
      </c>
      <c r="N2106"/>
      <c r="Q2106" s="33"/>
    </row>
    <row r="2107" spans="1:19" ht="13.8" hidden="1" thickBot="1" x14ac:dyDescent="0.3">
      <c r="A2107" t="s">
        <v>23</v>
      </c>
      <c r="B2107" s="49" t="str">
        <f t="shared" ref="B2107" si="1505">B2106</f>
        <v>hide</v>
      </c>
      <c r="D2107" s="58"/>
      <c r="E2107" s="58"/>
      <c r="F2107" s="52">
        <f>SUM(F2102:F2106)</f>
        <v>0</v>
      </c>
      <c r="G2107" s="52">
        <f>SUM(G2102:G2106)</f>
        <v>0</v>
      </c>
      <c r="H2107" s="52">
        <f>SUM(H2102:H2106)</f>
        <v>0</v>
      </c>
      <c r="I2107" s="52">
        <f>SUM(I2102:I2106)</f>
        <v>0</v>
      </c>
      <c r="J2107" s="52">
        <f>SUM(J2102:J2106)</f>
        <v>0</v>
      </c>
      <c r="K2107" s="52"/>
      <c r="L2107" s="51" t="s">
        <v>4</v>
      </c>
      <c r="M2107" s="58"/>
      <c r="N2107" s="58"/>
      <c r="O2107" s="58"/>
      <c r="P2107" s="58"/>
      <c r="Q2107" s="58"/>
      <c r="R2107" s="58"/>
      <c r="S2107" s="58"/>
    </row>
    <row r="2108" spans="1:19" s="59" customFormat="1" ht="18.75" hidden="1" customHeight="1" thickBot="1" x14ac:dyDescent="0.3">
      <c r="A2108" s="59" t="s">
        <v>23</v>
      </c>
      <c r="B2108" s="60" t="str">
        <f t="shared" ref="B2108:B2109" si="1506">IF(K2108=0,"hide","")</f>
        <v>hide</v>
      </c>
      <c r="D2108" s="61" t="str">
        <f>"24861"</f>
        <v>24861</v>
      </c>
      <c r="E2108" s="62" t="str">
        <f>"1"</f>
        <v>1</v>
      </c>
      <c r="F2108" s="63">
        <v>96.166666666666671</v>
      </c>
      <c r="G2108" s="63">
        <v>102.5</v>
      </c>
      <c r="H2108" s="63">
        <v>7</v>
      </c>
      <c r="I2108" s="63">
        <v>0</v>
      </c>
      <c r="J2108" s="63">
        <v>0</v>
      </c>
      <c r="K2108" s="63">
        <f>AVERAGE(I2108:J2108)</f>
        <v>0</v>
      </c>
      <c r="L2108" s="64" t="str">
        <f>"WG Blueberry Muffins"</f>
        <v>WG Blueberry Muffins</v>
      </c>
      <c r="M2108" s="65" t="str">
        <f>"48-3.1 oz. I.W."</f>
        <v>48-3.1 oz. I.W.</v>
      </c>
      <c r="N2108" s="66">
        <v>48</v>
      </c>
      <c r="O2108" s="67">
        <v>2.7399999999999998E-3</v>
      </c>
      <c r="P2108" s="68">
        <f>1/O2108</f>
        <v>364.96350364963507</v>
      </c>
      <c r="Q2108" s="53">
        <v>2.7399999999999998E-3</v>
      </c>
      <c r="R2108" s="69">
        <f t="shared" ref="R2108" si="1507">1/Q2108</f>
        <v>364.96350364963507</v>
      </c>
      <c r="S2108" s="70">
        <f t="shared" ref="S2108" si="1508">R2108*N2108</f>
        <v>17518.248175182482</v>
      </c>
    </row>
    <row r="2109" spans="1:19" ht="15.6" hidden="1" customHeight="1" thickBot="1" x14ac:dyDescent="0.3">
      <c r="A2109" t="s">
        <v>23</v>
      </c>
      <c r="B2109" s="60" t="str">
        <f t="shared" si="1506"/>
        <v>hide</v>
      </c>
      <c r="D2109" s="48" t="str">
        <f>D2108</f>
        <v>24861</v>
      </c>
      <c r="E2109" s="7"/>
      <c r="F2109" s="27">
        <v>0</v>
      </c>
      <c r="G2109" s="27">
        <v>-18.379166666666666</v>
      </c>
      <c r="H2109" s="27">
        <v>0</v>
      </c>
      <c r="I2109" s="27">
        <v>0</v>
      </c>
      <c r="J2109" s="27">
        <v>0</v>
      </c>
      <c r="K2109" s="63">
        <f>AVERAGE(I2109:J2109)</f>
        <v>0</v>
      </c>
      <c r="L2109" s="56" t="str">
        <f>"EQP-LAWPACK1"</f>
        <v>EQP-LAWPACK1</v>
      </c>
      <c r="M2109" s="14"/>
      <c r="N2109" s="15"/>
      <c r="O2109" s="12"/>
      <c r="P2109" s="34"/>
      <c r="Q2109" s="37"/>
      <c r="R2109" s="47"/>
      <c r="S2109" s="46"/>
    </row>
    <row r="2110" spans="1:19" ht="15.6" hidden="1" customHeight="1" thickBot="1" x14ac:dyDescent="0.3">
      <c r="A2110" t="s">
        <v>23</v>
      </c>
      <c r="B2110" s="60" t="str">
        <f t="shared" ref="B2110:B2112" si="1509">IF(K2110=0,"hide","")</f>
        <v>hide</v>
      </c>
      <c r="D2110" s="48" t="str">
        <f>D2109</f>
        <v>24861</v>
      </c>
      <c r="E2110" s="7"/>
      <c r="F2110" s="27">
        <v>0</v>
      </c>
      <c r="G2110" s="27">
        <v>0</v>
      </c>
      <c r="H2110" s="27">
        <v>0</v>
      </c>
      <c r="I2110" s="27">
        <v>0</v>
      </c>
      <c r="J2110" s="27">
        <v>0</v>
      </c>
      <c r="K2110" s="63">
        <f>AVERAGE(I2110:J2110)</f>
        <v>0</v>
      </c>
      <c r="L2110" s="56" t="str">
        <f>"EQP-LAWPACK2"</f>
        <v>EQP-LAWPACK2</v>
      </c>
      <c r="M2110" s="14"/>
      <c r="N2110" s="15"/>
      <c r="O2110" s="12"/>
      <c r="P2110" s="34"/>
      <c r="Q2110" s="37"/>
      <c r="R2110" s="47"/>
      <c r="S2110" s="46"/>
    </row>
    <row r="2111" spans="1:19" ht="15.6" hidden="1" customHeight="1" thickBot="1" x14ac:dyDescent="0.3">
      <c r="A2111" t="s">
        <v>23</v>
      </c>
      <c r="B2111" s="60" t="str">
        <f t="shared" si="1509"/>
        <v>hide</v>
      </c>
      <c r="D2111" s="48" t="str">
        <f>D2110</f>
        <v>24861</v>
      </c>
      <c r="E2111" s="7"/>
      <c r="F2111" s="27">
        <v>0</v>
      </c>
      <c r="G2111" s="27">
        <v>0</v>
      </c>
      <c r="H2111" s="27">
        <v>0</v>
      </c>
      <c r="I2111" s="27">
        <v>0</v>
      </c>
      <c r="J2111" s="27">
        <v>0</v>
      </c>
      <c r="K2111" s="63">
        <f>AVERAGE(I2111:J2111)</f>
        <v>0</v>
      </c>
      <c r="L2111" s="56" t="str">
        <f>"SW-COMAS-PACKL"</f>
        <v>SW-COMAS-PACKL</v>
      </c>
      <c r="M2111" s="14"/>
      <c r="N2111" s="15"/>
      <c r="O2111" s="12"/>
      <c r="P2111" s="34"/>
      <c r="Q2111" s="37"/>
      <c r="R2111" s="47"/>
      <c r="S2111" s="46"/>
    </row>
    <row r="2112" spans="1:19" ht="15.6" hidden="1" customHeight="1" thickBot="1" x14ac:dyDescent="0.3">
      <c r="A2112" t="s">
        <v>23</v>
      </c>
      <c r="B2112" s="60" t="str">
        <f t="shared" si="1509"/>
        <v>hide</v>
      </c>
      <c r="D2112" s="48" t="str">
        <f>D2111</f>
        <v>24861</v>
      </c>
      <c r="E2112" s="7"/>
      <c r="F2112" s="27">
        <v>0</v>
      </c>
      <c r="G2112" s="27">
        <v>0</v>
      </c>
      <c r="H2112" s="27">
        <v>0</v>
      </c>
      <c r="I2112" s="27">
        <v>0</v>
      </c>
      <c r="J2112" s="27">
        <v>0</v>
      </c>
      <c r="K2112" s="63">
        <f>AVERAGE(I2112:J2112)</f>
        <v>0</v>
      </c>
      <c r="L2112" s="56" t="str">
        <f>"SW-RISER-PACK"</f>
        <v>SW-RISER-PACK</v>
      </c>
      <c r="M2112" s="14"/>
      <c r="N2112" s="15"/>
      <c r="O2112" s="12"/>
      <c r="P2112" s="34"/>
      <c r="Q2112" s="37"/>
      <c r="R2112" s="47"/>
      <c r="S2112" s="46"/>
    </row>
    <row r="2113" spans="1:19" ht="12" hidden="1" customHeight="1" x14ac:dyDescent="0.3">
      <c r="A2113" s="35" t="s">
        <v>908</v>
      </c>
      <c r="B2113" s="49" t="str">
        <f>B2109</f>
        <v>hide</v>
      </c>
      <c r="N2113"/>
      <c r="Q2113" s="33"/>
    </row>
    <row r="2114" spans="1:19" ht="13.8" hidden="1" thickBot="1" x14ac:dyDescent="0.3">
      <c r="A2114" t="s">
        <v>23</v>
      </c>
      <c r="B2114" s="49" t="str">
        <f t="shared" ref="B2114" si="1510">B2113</f>
        <v>hide</v>
      </c>
      <c r="D2114" s="58"/>
      <c r="E2114" s="58"/>
      <c r="F2114" s="52">
        <f>SUM(F2109:F2113)</f>
        <v>0</v>
      </c>
      <c r="G2114" s="52">
        <f>SUM(G2109:G2113)</f>
        <v>-18.379166666666666</v>
      </c>
      <c r="H2114" s="52">
        <f>SUM(H2109:H2113)</f>
        <v>0</v>
      </c>
      <c r="I2114" s="52">
        <f>SUM(I2109:I2113)</f>
        <v>0</v>
      </c>
      <c r="J2114" s="52">
        <f>SUM(J2109:J2113)</f>
        <v>0</v>
      </c>
      <c r="K2114" s="52"/>
      <c r="L2114" s="51" t="s">
        <v>4</v>
      </c>
      <c r="M2114" s="58"/>
      <c r="N2114" s="58"/>
      <c r="O2114" s="58"/>
      <c r="P2114" s="58"/>
      <c r="Q2114" s="58"/>
      <c r="R2114" s="58"/>
      <c r="S2114" s="58"/>
    </row>
    <row r="2115" spans="1:19" s="59" customFormat="1" ht="18.75" hidden="1" customHeight="1" thickBot="1" x14ac:dyDescent="0.3">
      <c r="A2115" s="59" t="s">
        <v>23</v>
      </c>
      <c r="B2115" s="60" t="str">
        <f t="shared" ref="B2115:B2116" si="1511">IF(K2115=0,"hide","")</f>
        <v>hide</v>
      </c>
      <c r="D2115" s="61" t="str">
        <f>"24869"</f>
        <v>24869</v>
      </c>
      <c r="E2115" s="62" t="str">
        <f>"3"</f>
        <v>3</v>
      </c>
      <c r="F2115" s="63">
        <v>0</v>
      </c>
      <c r="G2115" s="63">
        <v>1043.1666666666667</v>
      </c>
      <c r="H2115" s="63">
        <v>1089.4999999999998</v>
      </c>
      <c r="I2115" s="63">
        <v>0</v>
      </c>
      <c r="J2115" s="63">
        <v>0</v>
      </c>
      <c r="K2115" s="63">
        <f>AVERAGE(I2115:J2115)</f>
        <v>0</v>
      </c>
      <c r="L2115" s="64" t="str">
        <f>"GM TRIX Muffins"</f>
        <v>GM TRIX Muffins</v>
      </c>
      <c r="M2115" s="65" t="str">
        <f>"40-3.1 oz. I.W."</f>
        <v>40-3.1 oz. I.W.</v>
      </c>
      <c r="N2115" s="66">
        <v>40</v>
      </c>
      <c r="O2115" s="67">
        <v>0</v>
      </c>
      <c r="P2115" s="68" t="e">
        <f>1/O2115</f>
        <v>#DIV/0!</v>
      </c>
      <c r="Q2115" s="53">
        <v>3.0000000000000001E-3</v>
      </c>
      <c r="R2115" s="69">
        <f t="shared" ref="R2115" si="1512">1/Q2115</f>
        <v>333.33333333333331</v>
      </c>
      <c r="S2115" s="70">
        <f t="shared" ref="S2115" si="1513">R2115*N2115</f>
        <v>13333.333333333332</v>
      </c>
    </row>
    <row r="2116" spans="1:19" ht="15.6" customHeight="1" thickBot="1" x14ac:dyDescent="0.3">
      <c r="A2116" t="s">
        <v>23</v>
      </c>
      <c r="B2116" s="60" t="str">
        <f t="shared" si="1511"/>
        <v/>
      </c>
      <c r="D2116" s="48" t="str">
        <f>D2115</f>
        <v>24869</v>
      </c>
      <c r="E2116" s="7"/>
      <c r="F2116" s="27">
        <v>0</v>
      </c>
      <c r="G2116" s="27">
        <v>-432.75</v>
      </c>
      <c r="H2116" s="27">
        <v>-972.82083333333333</v>
      </c>
      <c r="I2116" s="27">
        <v>0</v>
      </c>
      <c r="J2116" s="27">
        <v>-27.959036144578313</v>
      </c>
      <c r="K2116" s="63">
        <f>AVERAGE(I2116:J2116)</f>
        <v>-13.979518072289157</v>
      </c>
      <c r="L2116" s="56" t="str">
        <f>"EQP-LAWPACK1"</f>
        <v>EQP-LAWPACK1</v>
      </c>
      <c r="M2116" s="14"/>
      <c r="N2116" s="15"/>
      <c r="O2116" s="12"/>
      <c r="P2116" s="34"/>
      <c r="Q2116" s="37"/>
      <c r="R2116" s="47"/>
      <c r="S2116" s="46"/>
    </row>
    <row r="2117" spans="1:19" ht="15.6" hidden="1" customHeight="1" thickBot="1" x14ac:dyDescent="0.3">
      <c r="A2117" t="s">
        <v>23</v>
      </c>
      <c r="B2117" s="60" t="str">
        <f t="shared" ref="B2117:B2119" si="1514">IF(K2117=0,"hide","")</f>
        <v>hide</v>
      </c>
      <c r="D2117" s="48" t="str">
        <f>D2116</f>
        <v>24869</v>
      </c>
      <c r="E2117" s="7"/>
      <c r="F2117" s="27">
        <v>0</v>
      </c>
      <c r="G2117" s="27">
        <v>0</v>
      </c>
      <c r="H2117" s="27">
        <v>0</v>
      </c>
      <c r="I2117" s="27">
        <v>0</v>
      </c>
      <c r="J2117" s="27">
        <v>0</v>
      </c>
      <c r="K2117" s="63">
        <f>AVERAGE(I2117:J2117)</f>
        <v>0</v>
      </c>
      <c r="L2117" s="56" t="str">
        <f>"EQP-LAWPACK2"</f>
        <v>EQP-LAWPACK2</v>
      </c>
      <c r="M2117" s="14"/>
      <c r="N2117" s="15"/>
      <c r="O2117" s="12"/>
      <c r="P2117" s="34"/>
      <c r="Q2117" s="37"/>
      <c r="R2117" s="47"/>
      <c r="S2117" s="46"/>
    </row>
    <row r="2118" spans="1:19" ht="15.6" hidden="1" customHeight="1" thickBot="1" x14ac:dyDescent="0.3">
      <c r="A2118" t="s">
        <v>23</v>
      </c>
      <c r="B2118" s="60" t="str">
        <f t="shared" si="1514"/>
        <v>hide</v>
      </c>
      <c r="D2118" s="48" t="str">
        <f>D2117</f>
        <v>24869</v>
      </c>
      <c r="E2118" s="7"/>
      <c r="F2118" s="27">
        <v>0</v>
      </c>
      <c r="G2118" s="27">
        <v>0</v>
      </c>
      <c r="H2118" s="27">
        <v>0</v>
      </c>
      <c r="I2118" s="27">
        <v>0</v>
      </c>
      <c r="J2118" s="27">
        <v>0</v>
      </c>
      <c r="K2118" s="63">
        <f>AVERAGE(I2118:J2118)</f>
        <v>0</v>
      </c>
      <c r="L2118" s="56" t="str">
        <f>"SW-COMAS-PACKL"</f>
        <v>SW-COMAS-PACKL</v>
      </c>
      <c r="M2118" s="14"/>
      <c r="N2118" s="15"/>
      <c r="O2118" s="12"/>
      <c r="P2118" s="34"/>
      <c r="Q2118" s="37"/>
      <c r="R2118" s="47"/>
      <c r="S2118" s="46"/>
    </row>
    <row r="2119" spans="1:19" ht="15.6" hidden="1" customHeight="1" thickBot="1" x14ac:dyDescent="0.3">
      <c r="A2119" t="s">
        <v>23</v>
      </c>
      <c r="B2119" s="60" t="str">
        <f t="shared" si="1514"/>
        <v>hide</v>
      </c>
      <c r="D2119" s="48" t="str">
        <f>D2118</f>
        <v>24869</v>
      </c>
      <c r="E2119" s="7"/>
      <c r="F2119" s="27">
        <v>0</v>
      </c>
      <c r="G2119" s="27">
        <v>0</v>
      </c>
      <c r="H2119" s="27">
        <v>0</v>
      </c>
      <c r="I2119" s="27">
        <v>0</v>
      </c>
      <c r="J2119" s="27">
        <v>0</v>
      </c>
      <c r="K2119" s="63">
        <f>AVERAGE(I2119:J2119)</f>
        <v>0</v>
      </c>
      <c r="L2119" s="56" t="str">
        <f>"SW-RISER-PACK"</f>
        <v>SW-RISER-PACK</v>
      </c>
      <c r="M2119" s="14"/>
      <c r="N2119" s="15"/>
      <c r="O2119" s="12"/>
      <c r="P2119" s="34"/>
      <c r="Q2119" s="37"/>
      <c r="R2119" s="47"/>
      <c r="S2119" s="46"/>
    </row>
    <row r="2120" spans="1:19" ht="12" hidden="1" customHeight="1" x14ac:dyDescent="0.25">
      <c r="A2120" s="35" t="s">
        <v>908</v>
      </c>
      <c r="B2120" s="49" t="str">
        <f>B2116</f>
        <v/>
      </c>
      <c r="N2120"/>
      <c r="Q2120" s="33"/>
    </row>
    <row r="2121" spans="1:19" ht="13.8" thickBot="1" x14ac:dyDescent="0.3">
      <c r="A2121" t="s">
        <v>23</v>
      </c>
      <c r="B2121" s="49" t="str">
        <f t="shared" ref="B2121" si="1515">B2120</f>
        <v/>
      </c>
      <c r="D2121" s="58"/>
      <c r="E2121" s="58"/>
      <c r="F2121" s="52">
        <f>SUM(F2116:F2120)</f>
        <v>0</v>
      </c>
      <c r="G2121" s="52">
        <f>SUM(G2116:G2120)</f>
        <v>-432.75</v>
      </c>
      <c r="H2121" s="52">
        <f>SUM(H2116:H2120)</f>
        <v>-972.82083333333333</v>
      </c>
      <c r="I2121" s="52">
        <f>SUM(I2116:I2120)</f>
        <v>0</v>
      </c>
      <c r="J2121" s="52">
        <f>SUM(J2116:J2120)</f>
        <v>-27.959036144578313</v>
      </c>
      <c r="K2121" s="52"/>
      <c r="L2121" s="51" t="s">
        <v>4</v>
      </c>
      <c r="M2121" s="58"/>
      <c r="N2121" s="58"/>
      <c r="O2121" s="58"/>
      <c r="P2121" s="58"/>
      <c r="Q2121" s="58"/>
      <c r="R2121" s="58"/>
      <c r="S2121" s="58"/>
    </row>
    <row r="2122" spans="1:19" s="59" customFormat="1" ht="18.75" hidden="1" customHeight="1" thickBot="1" x14ac:dyDescent="0.3">
      <c r="A2122" s="59" t="s">
        <v>23</v>
      </c>
      <c r="B2122" s="60" t="str">
        <f t="shared" ref="B2122:B2123" si="1516">IF(K2122=0,"hide","")</f>
        <v>hide</v>
      </c>
      <c r="D2122" s="61" t="str">
        <f>"24870"</f>
        <v>24870</v>
      </c>
      <c r="E2122" s="62" t="str">
        <f>"1"</f>
        <v>1</v>
      </c>
      <c r="F2122" s="63">
        <v>61</v>
      </c>
      <c r="G2122" s="63">
        <v>95.5</v>
      </c>
      <c r="H2122" s="63">
        <v>7.25</v>
      </c>
      <c r="I2122" s="63">
        <v>0</v>
      </c>
      <c r="J2122" s="63">
        <v>0</v>
      </c>
      <c r="K2122" s="63">
        <f>AVERAGE(I2122:J2122)</f>
        <v>0</v>
      </c>
      <c r="L2122" s="64" t="str">
        <f>"WG Chocolate Chip Muffin"</f>
        <v>WG Chocolate Chip Muffin</v>
      </c>
      <c r="M2122" s="65" t="str">
        <f>"48-3.1 oz. I.W."</f>
        <v>48-3.1 oz. I.W.</v>
      </c>
      <c r="N2122" s="66">
        <v>48</v>
      </c>
      <c r="O2122" s="67">
        <v>0</v>
      </c>
      <c r="P2122" s="68" t="e">
        <f>1/O2122</f>
        <v>#DIV/0!</v>
      </c>
      <c r="Q2122" s="53">
        <v>2.5000000000000001E-3</v>
      </c>
      <c r="R2122" s="69">
        <f t="shared" ref="R2122" si="1517">1/Q2122</f>
        <v>400</v>
      </c>
      <c r="S2122" s="70">
        <f t="shared" ref="S2122" si="1518">R2122*N2122</f>
        <v>19200</v>
      </c>
    </row>
    <row r="2123" spans="1:19" ht="15.6" hidden="1" customHeight="1" thickBot="1" x14ac:dyDescent="0.3">
      <c r="A2123" t="s">
        <v>23</v>
      </c>
      <c r="B2123" s="60" t="str">
        <f t="shared" si="1516"/>
        <v>hide</v>
      </c>
      <c r="D2123" s="48" t="str">
        <f>D2122</f>
        <v>24870</v>
      </c>
      <c r="E2123" s="7"/>
      <c r="F2123" s="27">
        <v>0</v>
      </c>
      <c r="G2123" s="27">
        <v>-18.21833333333333</v>
      </c>
      <c r="H2123" s="27">
        <v>0</v>
      </c>
      <c r="I2123" s="27">
        <v>0</v>
      </c>
      <c r="J2123" s="27">
        <v>0</v>
      </c>
      <c r="K2123" s="63">
        <f>AVERAGE(I2123:J2123)</f>
        <v>0</v>
      </c>
      <c r="L2123" s="56" t="str">
        <f>"EQP-LAWPACK1"</f>
        <v>EQP-LAWPACK1</v>
      </c>
      <c r="M2123" s="14"/>
      <c r="N2123" s="15"/>
      <c r="O2123" s="12"/>
      <c r="P2123" s="34"/>
      <c r="Q2123" s="37"/>
      <c r="R2123" s="47"/>
      <c r="S2123" s="46"/>
    </row>
    <row r="2124" spans="1:19" ht="15.6" hidden="1" customHeight="1" thickBot="1" x14ac:dyDescent="0.3">
      <c r="A2124" t="s">
        <v>23</v>
      </c>
      <c r="B2124" s="60" t="str">
        <f t="shared" ref="B2124:B2126" si="1519">IF(K2124=0,"hide","")</f>
        <v>hide</v>
      </c>
      <c r="D2124" s="48" t="str">
        <f>D2123</f>
        <v>24870</v>
      </c>
      <c r="E2124" s="7"/>
      <c r="F2124" s="27">
        <v>0</v>
      </c>
      <c r="G2124" s="27">
        <v>0</v>
      </c>
      <c r="H2124" s="27">
        <v>0</v>
      </c>
      <c r="I2124" s="27">
        <v>0</v>
      </c>
      <c r="J2124" s="27">
        <v>0</v>
      </c>
      <c r="K2124" s="63">
        <f>AVERAGE(I2124:J2124)</f>
        <v>0</v>
      </c>
      <c r="L2124" s="56" t="str">
        <f>"EQP-LAWPACK2"</f>
        <v>EQP-LAWPACK2</v>
      </c>
      <c r="M2124" s="14"/>
      <c r="N2124" s="15"/>
      <c r="O2124" s="12"/>
      <c r="P2124" s="34"/>
      <c r="Q2124" s="37"/>
      <c r="R2124" s="47"/>
      <c r="S2124" s="46"/>
    </row>
    <row r="2125" spans="1:19" ht="15.6" hidden="1" customHeight="1" thickBot="1" x14ac:dyDescent="0.3">
      <c r="A2125" t="s">
        <v>23</v>
      </c>
      <c r="B2125" s="60" t="str">
        <f t="shared" si="1519"/>
        <v>hide</v>
      </c>
      <c r="D2125" s="48" t="str">
        <f>D2124</f>
        <v>24870</v>
      </c>
      <c r="E2125" s="7"/>
      <c r="F2125" s="27">
        <v>0</v>
      </c>
      <c r="G2125" s="27">
        <v>0</v>
      </c>
      <c r="H2125" s="27">
        <v>0</v>
      </c>
      <c r="I2125" s="27">
        <v>0</v>
      </c>
      <c r="J2125" s="27">
        <v>0</v>
      </c>
      <c r="K2125" s="63">
        <f>AVERAGE(I2125:J2125)</f>
        <v>0</v>
      </c>
      <c r="L2125" s="56" t="str">
        <f>"SW-COMAS-PACKL"</f>
        <v>SW-COMAS-PACKL</v>
      </c>
      <c r="M2125" s="14"/>
      <c r="N2125" s="15"/>
      <c r="O2125" s="12"/>
      <c r="P2125" s="34"/>
      <c r="Q2125" s="37"/>
      <c r="R2125" s="47"/>
      <c r="S2125" s="46"/>
    </row>
    <row r="2126" spans="1:19" ht="15.6" hidden="1" customHeight="1" thickBot="1" x14ac:dyDescent="0.3">
      <c r="A2126" t="s">
        <v>23</v>
      </c>
      <c r="B2126" s="60" t="str">
        <f t="shared" si="1519"/>
        <v>hide</v>
      </c>
      <c r="D2126" s="48" t="str">
        <f>D2125</f>
        <v>24870</v>
      </c>
      <c r="E2126" s="7"/>
      <c r="F2126" s="27">
        <v>0</v>
      </c>
      <c r="G2126" s="27">
        <v>0</v>
      </c>
      <c r="H2126" s="27">
        <v>0</v>
      </c>
      <c r="I2126" s="27">
        <v>0</v>
      </c>
      <c r="J2126" s="27">
        <v>0</v>
      </c>
      <c r="K2126" s="63">
        <f>AVERAGE(I2126:J2126)</f>
        <v>0</v>
      </c>
      <c r="L2126" s="56" t="str">
        <f>"SW-RISER-PACK"</f>
        <v>SW-RISER-PACK</v>
      </c>
      <c r="M2126" s="14"/>
      <c r="N2126" s="15"/>
      <c r="O2126" s="12"/>
      <c r="P2126" s="34"/>
      <c r="Q2126" s="37"/>
      <c r="R2126" s="47"/>
      <c r="S2126" s="46"/>
    </row>
    <row r="2127" spans="1:19" ht="12" hidden="1" customHeight="1" x14ac:dyDescent="0.3">
      <c r="A2127" s="35" t="s">
        <v>908</v>
      </c>
      <c r="B2127" s="49" t="str">
        <f>B2123</f>
        <v>hide</v>
      </c>
      <c r="N2127"/>
      <c r="Q2127" s="33"/>
    </row>
    <row r="2128" spans="1:19" ht="13.8" hidden="1" thickBot="1" x14ac:dyDescent="0.3">
      <c r="A2128" t="s">
        <v>23</v>
      </c>
      <c r="B2128" s="49" t="str">
        <f t="shared" ref="B2128" si="1520">B2127</f>
        <v>hide</v>
      </c>
      <c r="D2128" s="58"/>
      <c r="E2128" s="58"/>
      <c r="F2128" s="52">
        <f>SUM(F2123:F2127)</f>
        <v>0</v>
      </c>
      <c r="G2128" s="52">
        <f>SUM(G2123:G2127)</f>
        <v>-18.21833333333333</v>
      </c>
      <c r="H2128" s="52">
        <f>SUM(H2123:H2127)</f>
        <v>0</v>
      </c>
      <c r="I2128" s="52">
        <f>SUM(I2123:I2127)</f>
        <v>0</v>
      </c>
      <c r="J2128" s="52">
        <f>SUM(J2123:J2127)</f>
        <v>0</v>
      </c>
      <c r="K2128" s="52"/>
      <c r="L2128" s="51" t="s">
        <v>4</v>
      </c>
      <c r="M2128" s="58"/>
      <c r="N2128" s="58"/>
      <c r="O2128" s="58"/>
      <c r="P2128" s="58"/>
      <c r="Q2128" s="58"/>
      <c r="R2128" s="58"/>
      <c r="S2128" s="58"/>
    </row>
    <row r="2129" spans="1:19" s="59" customFormat="1" ht="18.75" hidden="1" customHeight="1" thickBot="1" x14ac:dyDescent="0.3">
      <c r="A2129" s="59" t="s">
        <v>23</v>
      </c>
      <c r="B2129" s="60" t="str">
        <f t="shared" ref="B2129:B2130" si="1521">IF(K2129=0,"hide","")</f>
        <v>hide</v>
      </c>
      <c r="D2129" s="61" t="str">
        <f>"24949"</f>
        <v>24949</v>
      </c>
      <c r="E2129" s="62" t="str">
        <f>"1"</f>
        <v>1</v>
      </c>
      <c r="F2129" s="63">
        <v>0</v>
      </c>
      <c r="G2129" s="63">
        <v>0</v>
      </c>
      <c r="H2129" s="63">
        <v>0</v>
      </c>
      <c r="I2129" s="63">
        <v>0</v>
      </c>
      <c r="J2129" s="63">
        <v>0</v>
      </c>
      <c r="K2129" s="63">
        <f>AVERAGE(I2129:J2129)</f>
        <v>0</v>
      </c>
      <c r="L2129" s="64" t="str">
        <f>"2GE WG Orange Muffin, I.W."</f>
        <v>2GE WG Orange Muffin, I.W.</v>
      </c>
      <c r="M2129" s="65" t="str">
        <f>"48/3.1 oz"</f>
        <v>48/3.1 oz</v>
      </c>
      <c r="N2129" s="66">
        <v>48</v>
      </c>
      <c r="O2129" s="67" t="str">
        <f>""</f>
        <v/>
      </c>
      <c r="P2129" s="68" t="e">
        <f>1/O2129</f>
        <v>#VALUE!</v>
      </c>
      <c r="Q2129" s="53">
        <v>1</v>
      </c>
      <c r="R2129" s="69">
        <f t="shared" ref="R2129" si="1522">1/Q2129</f>
        <v>1</v>
      </c>
      <c r="S2129" s="70">
        <f t="shared" ref="S2129" si="1523">R2129*N2129</f>
        <v>48</v>
      </c>
    </row>
    <row r="2130" spans="1:19" ht="15.6" hidden="1" customHeight="1" thickBot="1" x14ac:dyDescent="0.3">
      <c r="A2130" t="s">
        <v>23</v>
      </c>
      <c r="B2130" s="60" t="str">
        <f t="shared" si="1521"/>
        <v>hide</v>
      </c>
      <c r="D2130" s="48" t="str">
        <f>D2129</f>
        <v>24949</v>
      </c>
      <c r="E2130" s="7"/>
      <c r="F2130" s="27">
        <v>0</v>
      </c>
      <c r="G2130" s="27">
        <v>0</v>
      </c>
      <c r="H2130" s="27">
        <v>0</v>
      </c>
      <c r="I2130" s="27">
        <v>0</v>
      </c>
      <c r="J2130" s="27">
        <v>0</v>
      </c>
      <c r="K2130" s="63">
        <f>AVERAGE(I2130:J2130)</f>
        <v>0</v>
      </c>
      <c r="L2130" s="56" t="str">
        <f>"EQP-LAWPACK1"</f>
        <v>EQP-LAWPACK1</v>
      </c>
      <c r="M2130" s="14"/>
      <c r="N2130" s="15"/>
      <c r="O2130" s="12"/>
      <c r="P2130" s="34"/>
      <c r="Q2130" s="37"/>
      <c r="R2130" s="47"/>
      <c r="S2130" s="46"/>
    </row>
    <row r="2131" spans="1:19" ht="15.6" hidden="1" customHeight="1" thickBot="1" x14ac:dyDescent="0.3">
      <c r="A2131" t="s">
        <v>23</v>
      </c>
      <c r="B2131" s="60" t="str">
        <f t="shared" ref="B2131:B2133" si="1524">IF(K2131=0,"hide","")</f>
        <v>hide</v>
      </c>
      <c r="D2131" s="48" t="str">
        <f>D2130</f>
        <v>24949</v>
      </c>
      <c r="E2131" s="7"/>
      <c r="F2131" s="27">
        <v>0</v>
      </c>
      <c r="G2131" s="27">
        <v>0</v>
      </c>
      <c r="H2131" s="27">
        <v>0</v>
      </c>
      <c r="I2131" s="27">
        <v>0</v>
      </c>
      <c r="J2131" s="27">
        <v>0</v>
      </c>
      <c r="K2131" s="63">
        <f>AVERAGE(I2131:J2131)</f>
        <v>0</v>
      </c>
      <c r="L2131" s="56" t="str">
        <f>"EQP-LAWPACK2"</f>
        <v>EQP-LAWPACK2</v>
      </c>
      <c r="M2131" s="14"/>
      <c r="N2131" s="15"/>
      <c r="O2131" s="12"/>
      <c r="P2131" s="34"/>
      <c r="Q2131" s="37"/>
      <c r="R2131" s="47"/>
      <c r="S2131" s="46"/>
    </row>
    <row r="2132" spans="1:19" ht="15.6" hidden="1" customHeight="1" thickBot="1" x14ac:dyDescent="0.3">
      <c r="A2132" t="s">
        <v>23</v>
      </c>
      <c r="B2132" s="60" t="str">
        <f t="shared" si="1524"/>
        <v>hide</v>
      </c>
      <c r="D2132" s="48" t="str">
        <f>D2131</f>
        <v>24949</v>
      </c>
      <c r="E2132" s="7"/>
      <c r="F2132" s="27">
        <v>0</v>
      </c>
      <c r="G2132" s="27">
        <v>0</v>
      </c>
      <c r="H2132" s="27">
        <v>0</v>
      </c>
      <c r="I2132" s="27">
        <v>0</v>
      </c>
      <c r="J2132" s="27">
        <v>0</v>
      </c>
      <c r="K2132" s="63">
        <f>AVERAGE(I2132:J2132)</f>
        <v>0</v>
      </c>
      <c r="L2132" s="56" t="str">
        <f>"SW-COMAS-PACKL"</f>
        <v>SW-COMAS-PACKL</v>
      </c>
      <c r="M2132" s="14"/>
      <c r="N2132" s="15"/>
      <c r="O2132" s="12"/>
      <c r="P2132" s="34"/>
      <c r="Q2132" s="37"/>
      <c r="R2132" s="47"/>
      <c r="S2132" s="46"/>
    </row>
    <row r="2133" spans="1:19" ht="15.6" hidden="1" customHeight="1" thickBot="1" x14ac:dyDescent="0.3">
      <c r="A2133" t="s">
        <v>23</v>
      </c>
      <c r="B2133" s="60" t="str">
        <f t="shared" si="1524"/>
        <v>hide</v>
      </c>
      <c r="D2133" s="48" t="str">
        <f>D2132</f>
        <v>24949</v>
      </c>
      <c r="E2133" s="7"/>
      <c r="F2133" s="27">
        <v>0</v>
      </c>
      <c r="G2133" s="27">
        <v>0</v>
      </c>
      <c r="H2133" s="27">
        <v>0</v>
      </c>
      <c r="I2133" s="27">
        <v>0</v>
      </c>
      <c r="J2133" s="27">
        <v>0</v>
      </c>
      <c r="K2133" s="63">
        <f>AVERAGE(I2133:J2133)</f>
        <v>0</v>
      </c>
      <c r="L2133" s="56" t="str">
        <f>"SW-RISER-PACK"</f>
        <v>SW-RISER-PACK</v>
      </c>
      <c r="M2133" s="14"/>
      <c r="N2133" s="15"/>
      <c r="O2133" s="12"/>
      <c r="P2133" s="34"/>
      <c r="Q2133" s="37"/>
      <c r="R2133" s="47"/>
      <c r="S2133" s="46"/>
    </row>
    <row r="2134" spans="1:19" ht="12" hidden="1" customHeight="1" x14ac:dyDescent="0.3">
      <c r="A2134" s="35" t="s">
        <v>908</v>
      </c>
      <c r="B2134" s="49" t="str">
        <f>B2130</f>
        <v>hide</v>
      </c>
      <c r="N2134"/>
      <c r="Q2134" s="33"/>
    </row>
    <row r="2135" spans="1:19" ht="13.8" hidden="1" thickBot="1" x14ac:dyDescent="0.3">
      <c r="A2135" t="s">
        <v>23</v>
      </c>
      <c r="B2135" s="49" t="str">
        <f t="shared" ref="B2135" si="1525">B2134</f>
        <v>hide</v>
      </c>
      <c r="D2135" s="58"/>
      <c r="E2135" s="58"/>
      <c r="F2135" s="52">
        <f>SUM(F2130:F2134)</f>
        <v>0</v>
      </c>
      <c r="G2135" s="52">
        <f>SUM(G2130:G2134)</f>
        <v>0</v>
      </c>
      <c r="H2135" s="52">
        <f>SUM(H2130:H2134)</f>
        <v>0</v>
      </c>
      <c r="I2135" s="52">
        <f>SUM(I2130:I2134)</f>
        <v>0</v>
      </c>
      <c r="J2135" s="52">
        <f>SUM(J2130:J2134)</f>
        <v>0</v>
      </c>
      <c r="K2135" s="52"/>
      <c r="L2135" s="51" t="s">
        <v>4</v>
      </c>
      <c r="M2135" s="58"/>
      <c r="N2135" s="58"/>
      <c r="O2135" s="58"/>
      <c r="P2135" s="58"/>
      <c r="Q2135" s="58"/>
      <c r="R2135" s="58"/>
      <c r="S2135" s="58"/>
    </row>
    <row r="2136" spans="1:19" s="59" customFormat="1" ht="18.75" customHeight="1" thickBot="1" x14ac:dyDescent="0.3">
      <c r="A2136" s="59" t="s">
        <v>23</v>
      </c>
      <c r="B2136" s="60" t="str">
        <f t="shared" ref="B2136:B2137" si="1526">IF(K2136=0,"hide","")</f>
        <v/>
      </c>
      <c r="D2136" s="61" t="str">
        <f>"24961"</f>
        <v>24961</v>
      </c>
      <c r="E2136" s="62" t="str">
        <f>"12"</f>
        <v>12</v>
      </c>
      <c r="F2136" s="63">
        <v>2351.8333333333335</v>
      </c>
      <c r="G2136" s="63">
        <v>1222.2499999999998</v>
      </c>
      <c r="H2136" s="63">
        <v>1694.75</v>
      </c>
      <c r="I2136" s="63">
        <v>2368.7499999999995</v>
      </c>
      <c r="J2136" s="63">
        <v>1153.3443373493976</v>
      </c>
      <c r="K2136" s="63">
        <f>AVERAGE(I2136:J2136)</f>
        <v>1761.0471686746987</v>
      </c>
      <c r="L2136" s="64" t="str">
        <f>"2164 Muffins, WG, Blueberry, IW"</f>
        <v>2164 Muffins, WG, Blueberry, IW</v>
      </c>
      <c r="M2136" s="65" t="str">
        <f>"48/3.1 oz"</f>
        <v>48/3.1 oz</v>
      </c>
      <c r="N2136" s="66">
        <v>48</v>
      </c>
      <c r="O2136" s="67">
        <v>2.7399999999999998E-3</v>
      </c>
      <c r="P2136" s="68">
        <f>1/O2136</f>
        <v>364.96350364963507</v>
      </c>
      <c r="Q2136" s="53">
        <v>2.7399999999999998E-3</v>
      </c>
      <c r="R2136" s="69">
        <f t="shared" ref="R2136" si="1527">1/Q2136</f>
        <v>364.96350364963507</v>
      </c>
      <c r="S2136" s="70">
        <f t="shared" ref="S2136" si="1528">R2136*N2136</f>
        <v>17518.248175182482</v>
      </c>
    </row>
    <row r="2137" spans="1:19" ht="15.6" customHeight="1" thickBot="1" x14ac:dyDescent="0.3">
      <c r="A2137" t="s">
        <v>23</v>
      </c>
      <c r="B2137" s="60" t="str">
        <f t="shared" si="1526"/>
        <v/>
      </c>
      <c r="D2137" s="48" t="str">
        <f>D2136</f>
        <v>24961</v>
      </c>
      <c r="E2137" s="7"/>
      <c r="F2137" s="27">
        <v>-2287.915</v>
      </c>
      <c r="G2137" s="27">
        <v>-1119.8583333333333</v>
      </c>
      <c r="H2137" s="27">
        <v>-1169.0741666666665</v>
      </c>
      <c r="I2137" s="27">
        <v>-1409.5833333333333</v>
      </c>
      <c r="J2137" s="27">
        <v>-748.55204819277117</v>
      </c>
      <c r="K2137" s="63">
        <f>AVERAGE(I2137:J2137)</f>
        <v>-1079.0676907630523</v>
      </c>
      <c r="L2137" s="56" t="str">
        <f>"EQP-LAWPACK1"</f>
        <v>EQP-LAWPACK1</v>
      </c>
      <c r="M2137" s="14"/>
      <c r="N2137" s="15"/>
      <c r="O2137" s="12"/>
      <c r="P2137" s="34"/>
      <c r="Q2137" s="37"/>
      <c r="R2137" s="47"/>
      <c r="S2137" s="46"/>
    </row>
    <row r="2138" spans="1:19" ht="15.6" hidden="1" customHeight="1" thickBot="1" x14ac:dyDescent="0.3">
      <c r="A2138" t="s">
        <v>23</v>
      </c>
      <c r="B2138" s="60" t="str">
        <f t="shared" ref="B2138:B2140" si="1529">IF(K2138=0,"hide","")</f>
        <v>hide</v>
      </c>
      <c r="D2138" s="48" t="str">
        <f>D2137</f>
        <v>24961</v>
      </c>
      <c r="E2138" s="7"/>
      <c r="F2138" s="27">
        <v>0</v>
      </c>
      <c r="G2138" s="27">
        <v>0</v>
      </c>
      <c r="H2138" s="27">
        <v>0</v>
      </c>
      <c r="I2138" s="27">
        <v>0</v>
      </c>
      <c r="J2138" s="27">
        <v>0</v>
      </c>
      <c r="K2138" s="63">
        <f>AVERAGE(I2138:J2138)</f>
        <v>0</v>
      </c>
      <c r="L2138" s="56" t="str">
        <f>"EQP-LAWPACK2"</f>
        <v>EQP-LAWPACK2</v>
      </c>
      <c r="M2138" s="14"/>
      <c r="N2138" s="15"/>
      <c r="O2138" s="12"/>
      <c r="P2138" s="34"/>
      <c r="Q2138" s="37"/>
      <c r="R2138" s="47"/>
      <c r="S2138" s="46"/>
    </row>
    <row r="2139" spans="1:19" ht="15.6" hidden="1" customHeight="1" thickBot="1" x14ac:dyDescent="0.3">
      <c r="A2139" t="s">
        <v>23</v>
      </c>
      <c r="B2139" s="60" t="str">
        <f t="shared" si="1529"/>
        <v>hide</v>
      </c>
      <c r="D2139" s="48" t="str">
        <f>D2138</f>
        <v>24961</v>
      </c>
      <c r="E2139" s="7"/>
      <c r="F2139" s="27">
        <v>0</v>
      </c>
      <c r="G2139" s="27">
        <v>0</v>
      </c>
      <c r="H2139" s="27">
        <v>0</v>
      </c>
      <c r="I2139" s="27">
        <v>0</v>
      </c>
      <c r="J2139" s="27">
        <v>0</v>
      </c>
      <c r="K2139" s="63">
        <f>AVERAGE(I2139:J2139)</f>
        <v>0</v>
      </c>
      <c r="L2139" s="56" t="str">
        <f>"SW-COMAS-PACKL"</f>
        <v>SW-COMAS-PACKL</v>
      </c>
      <c r="M2139" s="14"/>
      <c r="N2139" s="15"/>
      <c r="O2139" s="12"/>
      <c r="P2139" s="34"/>
      <c r="Q2139" s="37"/>
      <c r="R2139" s="47"/>
      <c r="S2139" s="46"/>
    </row>
    <row r="2140" spans="1:19" ht="15.6" hidden="1" customHeight="1" thickBot="1" x14ac:dyDescent="0.3">
      <c r="A2140" t="s">
        <v>23</v>
      </c>
      <c r="B2140" s="60" t="str">
        <f t="shared" si="1529"/>
        <v>hide</v>
      </c>
      <c r="D2140" s="48" t="str">
        <f>D2139</f>
        <v>24961</v>
      </c>
      <c r="E2140" s="7"/>
      <c r="F2140" s="27">
        <v>0</v>
      </c>
      <c r="G2140" s="27">
        <v>0</v>
      </c>
      <c r="H2140" s="27">
        <v>0</v>
      </c>
      <c r="I2140" s="27">
        <v>0</v>
      </c>
      <c r="J2140" s="27">
        <v>0</v>
      </c>
      <c r="K2140" s="63">
        <f>AVERAGE(I2140:J2140)</f>
        <v>0</v>
      </c>
      <c r="L2140" s="56" t="str">
        <f>"SW-RISER-PACK"</f>
        <v>SW-RISER-PACK</v>
      </c>
      <c r="M2140" s="14"/>
      <c r="N2140" s="15"/>
      <c r="O2140" s="12"/>
      <c r="P2140" s="34"/>
      <c r="Q2140" s="37"/>
      <c r="R2140" s="47"/>
      <c r="S2140" s="46"/>
    </row>
    <row r="2141" spans="1:19" ht="12" hidden="1" customHeight="1" x14ac:dyDescent="0.25">
      <c r="A2141" s="35" t="s">
        <v>908</v>
      </c>
      <c r="B2141" s="49" t="str">
        <f>B2137</f>
        <v/>
      </c>
      <c r="N2141"/>
      <c r="Q2141" s="33"/>
    </row>
    <row r="2142" spans="1:19" ht="13.8" thickBot="1" x14ac:dyDescent="0.3">
      <c r="A2142" t="s">
        <v>23</v>
      </c>
      <c r="B2142" s="49" t="str">
        <f t="shared" ref="B2142" si="1530">B2141</f>
        <v/>
      </c>
      <c r="D2142" s="58"/>
      <c r="E2142" s="58"/>
      <c r="F2142" s="52">
        <f>SUM(F2137:F2141)</f>
        <v>-2287.915</v>
      </c>
      <c r="G2142" s="52">
        <f>SUM(G2137:G2141)</f>
        <v>-1119.8583333333333</v>
      </c>
      <c r="H2142" s="52">
        <f>SUM(H2137:H2141)</f>
        <v>-1169.0741666666665</v>
      </c>
      <c r="I2142" s="52">
        <f>SUM(I2137:I2141)</f>
        <v>-1409.5833333333333</v>
      </c>
      <c r="J2142" s="52">
        <f>SUM(J2137:J2141)</f>
        <v>-748.55204819277117</v>
      </c>
      <c r="K2142" s="52"/>
      <c r="L2142" s="51" t="s">
        <v>4</v>
      </c>
      <c r="M2142" s="58"/>
      <c r="N2142" s="58"/>
      <c r="O2142" s="58"/>
      <c r="P2142" s="58"/>
      <c r="Q2142" s="58"/>
      <c r="R2142" s="58"/>
      <c r="S2142" s="58"/>
    </row>
    <row r="2143" spans="1:19" s="59" customFormat="1" ht="18.75" customHeight="1" thickBot="1" x14ac:dyDescent="0.3">
      <c r="A2143" s="59" t="s">
        <v>23</v>
      </c>
      <c r="B2143" s="60" t="str">
        <f t="shared" ref="B2143:B2144" si="1531">IF(K2143=0,"hide","")</f>
        <v/>
      </c>
      <c r="D2143" s="61" t="str">
        <f>"24966"</f>
        <v>24966</v>
      </c>
      <c r="E2143" s="62" t="str">
        <f>"12"</f>
        <v>12</v>
      </c>
      <c r="F2143" s="63">
        <v>565.16666666666663</v>
      </c>
      <c r="G2143" s="63">
        <v>310.91666666666669</v>
      </c>
      <c r="H2143" s="63">
        <v>279.99999999999994</v>
      </c>
      <c r="I2143" s="63">
        <v>402.5</v>
      </c>
      <c r="J2143" s="63">
        <v>395.92722891566268</v>
      </c>
      <c r="K2143" s="63">
        <f>AVERAGE(I2143:J2143)</f>
        <v>399.21361445783134</v>
      </c>
      <c r="L2143" s="64" t="str">
        <f>"2165 Muffin, WG, Apple Cinn, IW"</f>
        <v>2165 Muffin, WG, Apple Cinn, IW</v>
      </c>
      <c r="M2143" s="65" t="str">
        <f>"48/3.1 oz"</f>
        <v>48/3.1 oz</v>
      </c>
      <c r="N2143" s="66">
        <v>48</v>
      </c>
      <c r="O2143" s="67">
        <v>2.7399999999999998E-3</v>
      </c>
      <c r="P2143" s="68">
        <f>1/O2143</f>
        <v>364.96350364963507</v>
      </c>
      <c r="Q2143" s="53">
        <v>2.7399999999999998E-3</v>
      </c>
      <c r="R2143" s="69">
        <f t="shared" ref="R2143" si="1532">1/Q2143</f>
        <v>364.96350364963507</v>
      </c>
      <c r="S2143" s="70">
        <f t="shared" ref="S2143" si="1533">R2143*N2143</f>
        <v>17518.248175182482</v>
      </c>
    </row>
    <row r="2144" spans="1:19" ht="15.6" customHeight="1" thickBot="1" x14ac:dyDescent="0.3">
      <c r="A2144" t="s">
        <v>23</v>
      </c>
      <c r="B2144" s="60" t="str">
        <f t="shared" si="1531"/>
        <v/>
      </c>
      <c r="D2144" s="48" t="str">
        <f>D2143</f>
        <v>24966</v>
      </c>
      <c r="E2144" s="7"/>
      <c r="F2144" s="27">
        <v>-405.39833333333331</v>
      </c>
      <c r="G2144" s="27">
        <v>-55.582500000000003</v>
      </c>
      <c r="H2144" s="27">
        <v>-65</v>
      </c>
      <c r="I2144" s="27">
        <v>-101.16666666666667</v>
      </c>
      <c r="J2144" s="27">
        <v>0</v>
      </c>
      <c r="K2144" s="63">
        <f>AVERAGE(I2144:J2144)</f>
        <v>-50.583333333333336</v>
      </c>
      <c r="L2144" s="56" t="str">
        <f>"EQP-LAWPACK1"</f>
        <v>EQP-LAWPACK1</v>
      </c>
      <c r="M2144" s="14"/>
      <c r="N2144" s="15"/>
      <c r="O2144" s="12"/>
      <c r="P2144" s="34"/>
      <c r="Q2144" s="37"/>
      <c r="R2144" s="47"/>
      <c r="S2144" s="46"/>
    </row>
    <row r="2145" spans="1:19" ht="15.6" hidden="1" customHeight="1" thickBot="1" x14ac:dyDescent="0.3">
      <c r="A2145" t="s">
        <v>23</v>
      </c>
      <c r="B2145" s="60" t="str">
        <f t="shared" ref="B2145:B2147" si="1534">IF(K2145=0,"hide","")</f>
        <v>hide</v>
      </c>
      <c r="D2145" s="48" t="str">
        <f>D2144</f>
        <v>24966</v>
      </c>
      <c r="E2145" s="7"/>
      <c r="F2145" s="27">
        <v>0</v>
      </c>
      <c r="G2145" s="27">
        <v>0</v>
      </c>
      <c r="H2145" s="27">
        <v>0</v>
      </c>
      <c r="I2145" s="27">
        <v>0</v>
      </c>
      <c r="J2145" s="27">
        <v>0</v>
      </c>
      <c r="K2145" s="63">
        <f>AVERAGE(I2145:J2145)</f>
        <v>0</v>
      </c>
      <c r="L2145" s="56" t="str">
        <f>"EQP-LAWPACK2"</f>
        <v>EQP-LAWPACK2</v>
      </c>
      <c r="M2145" s="14"/>
      <c r="N2145" s="15"/>
      <c r="O2145" s="12"/>
      <c r="P2145" s="34"/>
      <c r="Q2145" s="37"/>
      <c r="R2145" s="47"/>
      <c r="S2145" s="46"/>
    </row>
    <row r="2146" spans="1:19" ht="15.6" hidden="1" customHeight="1" thickBot="1" x14ac:dyDescent="0.3">
      <c r="A2146" t="s">
        <v>23</v>
      </c>
      <c r="B2146" s="60" t="str">
        <f t="shared" si="1534"/>
        <v>hide</v>
      </c>
      <c r="D2146" s="48" t="str">
        <f>D2145</f>
        <v>24966</v>
      </c>
      <c r="E2146" s="7"/>
      <c r="F2146" s="27">
        <v>0</v>
      </c>
      <c r="G2146" s="27">
        <v>0</v>
      </c>
      <c r="H2146" s="27">
        <v>0</v>
      </c>
      <c r="I2146" s="27">
        <v>0</v>
      </c>
      <c r="J2146" s="27">
        <v>0</v>
      </c>
      <c r="K2146" s="63">
        <f>AVERAGE(I2146:J2146)</f>
        <v>0</v>
      </c>
      <c r="L2146" s="56" t="str">
        <f>"SW-COMAS-PACKL"</f>
        <v>SW-COMAS-PACKL</v>
      </c>
      <c r="M2146" s="14"/>
      <c r="N2146" s="15"/>
      <c r="O2146" s="12"/>
      <c r="P2146" s="34"/>
      <c r="Q2146" s="37"/>
      <c r="R2146" s="47"/>
      <c r="S2146" s="46"/>
    </row>
    <row r="2147" spans="1:19" ht="15.6" hidden="1" customHeight="1" thickBot="1" x14ac:dyDescent="0.3">
      <c r="A2147" t="s">
        <v>23</v>
      </c>
      <c r="B2147" s="60" t="str">
        <f t="shared" si="1534"/>
        <v>hide</v>
      </c>
      <c r="D2147" s="48" t="str">
        <f>D2146</f>
        <v>24966</v>
      </c>
      <c r="E2147" s="7"/>
      <c r="F2147" s="27">
        <v>0</v>
      </c>
      <c r="G2147" s="27">
        <v>0</v>
      </c>
      <c r="H2147" s="27">
        <v>0</v>
      </c>
      <c r="I2147" s="27">
        <v>0</v>
      </c>
      <c r="J2147" s="27">
        <v>0</v>
      </c>
      <c r="K2147" s="63">
        <f>AVERAGE(I2147:J2147)</f>
        <v>0</v>
      </c>
      <c r="L2147" s="56" t="str">
        <f>"SW-RISER-PACK"</f>
        <v>SW-RISER-PACK</v>
      </c>
      <c r="M2147" s="14"/>
      <c r="N2147" s="15"/>
      <c r="O2147" s="12"/>
      <c r="P2147" s="34"/>
      <c r="Q2147" s="37"/>
      <c r="R2147" s="47"/>
      <c r="S2147" s="46"/>
    </row>
    <row r="2148" spans="1:19" ht="12" hidden="1" customHeight="1" x14ac:dyDescent="0.25">
      <c r="A2148" s="35" t="s">
        <v>908</v>
      </c>
      <c r="B2148" s="49" t="str">
        <f>B2144</f>
        <v/>
      </c>
      <c r="N2148"/>
      <c r="Q2148" s="33"/>
    </row>
    <row r="2149" spans="1:19" ht="13.8" thickBot="1" x14ac:dyDescent="0.3">
      <c r="A2149" t="s">
        <v>23</v>
      </c>
      <c r="B2149" s="49" t="str">
        <f t="shared" ref="B2149" si="1535">B2148</f>
        <v/>
      </c>
      <c r="D2149" s="58"/>
      <c r="E2149" s="58"/>
      <c r="F2149" s="52">
        <f>SUM(F2144:F2148)</f>
        <v>-405.39833333333331</v>
      </c>
      <c r="G2149" s="52">
        <f>SUM(G2144:G2148)</f>
        <v>-55.582500000000003</v>
      </c>
      <c r="H2149" s="52">
        <f>SUM(H2144:H2148)</f>
        <v>-65</v>
      </c>
      <c r="I2149" s="52">
        <f>SUM(I2144:I2148)</f>
        <v>-101.16666666666667</v>
      </c>
      <c r="J2149" s="52">
        <f>SUM(J2144:J2148)</f>
        <v>0</v>
      </c>
      <c r="K2149" s="52"/>
      <c r="L2149" s="51" t="s">
        <v>4</v>
      </c>
      <c r="M2149" s="58"/>
      <c r="N2149" s="58"/>
      <c r="O2149" s="58"/>
      <c r="P2149" s="58"/>
      <c r="Q2149" s="58"/>
      <c r="R2149" s="58"/>
      <c r="S2149" s="58"/>
    </row>
    <row r="2150" spans="1:19" s="59" customFormat="1" ht="18.75" customHeight="1" thickBot="1" x14ac:dyDescent="0.3">
      <c r="A2150" s="59" t="s">
        <v>23</v>
      </c>
      <c r="B2150" s="60" t="str">
        <f t="shared" ref="B2150:B2151" si="1536">IF(K2150=0,"hide","")</f>
        <v/>
      </c>
      <c r="D2150" s="61" t="str">
        <f>"24970"</f>
        <v>24970</v>
      </c>
      <c r="E2150" s="62" t="str">
        <f>"11"</f>
        <v>11</v>
      </c>
      <c r="F2150" s="63">
        <v>1938.0833333333333</v>
      </c>
      <c r="G2150" s="63">
        <v>905.5</v>
      </c>
      <c r="H2150" s="63">
        <v>1590.6666666666667</v>
      </c>
      <c r="I2150" s="63">
        <v>2032.25</v>
      </c>
      <c r="J2150" s="63">
        <v>1189.6910843373494</v>
      </c>
      <c r="K2150" s="63">
        <f>AVERAGE(I2150:J2150)</f>
        <v>1610.9705421686747</v>
      </c>
      <c r="L2150" s="64" t="str">
        <f>"2167 Muffin, WG, Choc Chip, IW"</f>
        <v>2167 Muffin, WG, Choc Chip, IW</v>
      </c>
      <c r="M2150" s="65" t="str">
        <f>"48/3.1 oz"</f>
        <v>48/3.1 oz</v>
      </c>
      <c r="N2150" s="66">
        <v>48</v>
      </c>
      <c r="O2150" s="67">
        <v>2.7399999999999998E-3</v>
      </c>
      <c r="P2150" s="68">
        <f>1/O2150</f>
        <v>364.96350364963507</v>
      </c>
      <c r="Q2150" s="53">
        <v>2.7399999999999998E-3</v>
      </c>
      <c r="R2150" s="69">
        <f t="shared" ref="R2150" si="1537">1/Q2150</f>
        <v>364.96350364963507</v>
      </c>
      <c r="S2150" s="70">
        <f t="shared" ref="S2150" si="1538">R2150*N2150</f>
        <v>17518.248175182482</v>
      </c>
    </row>
    <row r="2151" spans="1:19" ht="15.6" customHeight="1" thickBot="1" x14ac:dyDescent="0.3">
      <c r="A2151" t="s">
        <v>23</v>
      </c>
      <c r="B2151" s="60" t="str">
        <f t="shared" si="1536"/>
        <v/>
      </c>
      <c r="D2151" s="48" t="str">
        <f>D2150</f>
        <v>24970</v>
      </c>
      <c r="E2151" s="7"/>
      <c r="F2151" s="27">
        <v>-1755.2066666666667</v>
      </c>
      <c r="G2151" s="27">
        <v>-366.94249999999994</v>
      </c>
      <c r="H2151" s="27">
        <v>-1229.7733333333333</v>
      </c>
      <c r="I2151" s="27">
        <v>-1450.3333333333333</v>
      </c>
      <c r="J2151" s="27">
        <v>-583.04819277108436</v>
      </c>
      <c r="K2151" s="63">
        <f>AVERAGE(I2151:J2151)</f>
        <v>-1016.6907630522088</v>
      </c>
      <c r="L2151" s="56" t="str">
        <f>"EQP-LAWPACK1"</f>
        <v>EQP-LAWPACK1</v>
      </c>
      <c r="M2151" s="14"/>
      <c r="N2151" s="15"/>
      <c r="O2151" s="12"/>
      <c r="P2151" s="34"/>
      <c r="Q2151" s="37"/>
      <c r="R2151" s="47"/>
      <c r="S2151" s="46"/>
    </row>
    <row r="2152" spans="1:19" ht="15.6" customHeight="1" thickBot="1" x14ac:dyDescent="0.3">
      <c r="A2152" t="s">
        <v>23</v>
      </c>
      <c r="B2152" s="60" t="str">
        <f t="shared" ref="B2152:B2154" si="1539">IF(K2152=0,"hide","")</f>
        <v/>
      </c>
      <c r="D2152" s="48" t="str">
        <f>D2151</f>
        <v>24970</v>
      </c>
      <c r="E2152" s="7"/>
      <c r="F2152" s="27">
        <v>0</v>
      </c>
      <c r="G2152" s="27">
        <v>0</v>
      </c>
      <c r="H2152" s="27">
        <v>0</v>
      </c>
      <c r="I2152" s="27">
        <v>0</v>
      </c>
      <c r="J2152" s="27">
        <v>-29.86843373493976</v>
      </c>
      <c r="K2152" s="63">
        <f>AVERAGE(I2152:J2152)</f>
        <v>-14.93421686746988</v>
      </c>
      <c r="L2152" s="56" t="str">
        <f>"EQP-LAWPACK2"</f>
        <v>EQP-LAWPACK2</v>
      </c>
      <c r="M2152" s="14"/>
      <c r="N2152" s="15"/>
      <c r="O2152" s="12"/>
      <c r="P2152" s="34"/>
      <c r="Q2152" s="37"/>
      <c r="R2152" s="47"/>
      <c r="S2152" s="46"/>
    </row>
    <row r="2153" spans="1:19" ht="15.6" hidden="1" customHeight="1" thickBot="1" x14ac:dyDescent="0.3">
      <c r="A2153" t="s">
        <v>23</v>
      </c>
      <c r="B2153" s="60" t="str">
        <f t="shared" si="1539"/>
        <v>hide</v>
      </c>
      <c r="D2153" s="48" t="str">
        <f>D2152</f>
        <v>24970</v>
      </c>
      <c r="E2153" s="7"/>
      <c r="F2153" s="27">
        <v>0</v>
      </c>
      <c r="G2153" s="27">
        <v>0</v>
      </c>
      <c r="H2153" s="27">
        <v>0</v>
      </c>
      <c r="I2153" s="27">
        <v>0</v>
      </c>
      <c r="J2153" s="27">
        <v>0</v>
      </c>
      <c r="K2153" s="63">
        <f>AVERAGE(I2153:J2153)</f>
        <v>0</v>
      </c>
      <c r="L2153" s="56" t="str">
        <f>"SW-COMAS-PACKL"</f>
        <v>SW-COMAS-PACKL</v>
      </c>
      <c r="M2153" s="14"/>
      <c r="N2153" s="15"/>
      <c r="O2153" s="12"/>
      <c r="P2153" s="34"/>
      <c r="Q2153" s="37"/>
      <c r="R2153" s="47"/>
      <c r="S2153" s="46"/>
    </row>
    <row r="2154" spans="1:19" ht="15.6" hidden="1" customHeight="1" thickBot="1" x14ac:dyDescent="0.3">
      <c r="A2154" t="s">
        <v>23</v>
      </c>
      <c r="B2154" s="60" t="str">
        <f t="shared" si="1539"/>
        <v>hide</v>
      </c>
      <c r="D2154" s="48" t="str">
        <f>D2153</f>
        <v>24970</v>
      </c>
      <c r="E2154" s="7"/>
      <c r="F2154" s="27">
        <v>0</v>
      </c>
      <c r="G2154" s="27">
        <v>0</v>
      </c>
      <c r="H2154" s="27">
        <v>0</v>
      </c>
      <c r="I2154" s="27">
        <v>0</v>
      </c>
      <c r="J2154" s="27">
        <v>0</v>
      </c>
      <c r="K2154" s="63">
        <f>AVERAGE(I2154:J2154)</f>
        <v>0</v>
      </c>
      <c r="L2154" s="56" t="str">
        <f>"SW-RISER-PACK"</f>
        <v>SW-RISER-PACK</v>
      </c>
      <c r="M2154" s="14"/>
      <c r="N2154" s="15"/>
      <c r="O2154" s="12"/>
      <c r="P2154" s="34"/>
      <c r="Q2154" s="37"/>
      <c r="R2154" s="47"/>
      <c r="S2154" s="46"/>
    </row>
    <row r="2155" spans="1:19" ht="12" hidden="1" customHeight="1" x14ac:dyDescent="0.25">
      <c r="A2155" s="35" t="s">
        <v>908</v>
      </c>
      <c r="B2155" s="49" t="str">
        <f>B2151</f>
        <v/>
      </c>
      <c r="N2155"/>
      <c r="Q2155" s="33"/>
    </row>
    <row r="2156" spans="1:19" ht="13.8" thickBot="1" x14ac:dyDescent="0.3">
      <c r="A2156" t="s">
        <v>23</v>
      </c>
      <c r="B2156" s="49" t="str">
        <f t="shared" ref="B2156" si="1540">B2155</f>
        <v/>
      </c>
      <c r="D2156" s="58"/>
      <c r="E2156" s="58"/>
      <c r="F2156" s="52">
        <f>SUM(F2151:F2155)</f>
        <v>-1755.2066666666667</v>
      </c>
      <c r="G2156" s="52">
        <f>SUM(G2151:G2155)</f>
        <v>-366.94249999999994</v>
      </c>
      <c r="H2156" s="52">
        <f>SUM(H2151:H2155)</f>
        <v>-1229.7733333333333</v>
      </c>
      <c r="I2156" s="52">
        <f>SUM(I2151:I2155)</f>
        <v>-1450.3333333333333</v>
      </c>
      <c r="J2156" s="52">
        <f>SUM(J2151:J2155)</f>
        <v>-612.91662650602416</v>
      </c>
      <c r="K2156" s="52"/>
      <c r="L2156" s="51" t="s">
        <v>4</v>
      </c>
      <c r="M2156" s="58"/>
      <c r="N2156" s="58"/>
      <c r="O2156" s="58"/>
      <c r="P2156" s="58"/>
      <c r="Q2156" s="58"/>
      <c r="R2156" s="58"/>
      <c r="S2156" s="58"/>
    </row>
    <row r="2157" spans="1:19" s="59" customFormat="1" ht="18.75" customHeight="1" thickBot="1" x14ac:dyDescent="0.3">
      <c r="A2157" s="59" t="s">
        <v>23</v>
      </c>
      <c r="B2157" s="60" t="str">
        <f t="shared" ref="B2157:B2158" si="1541">IF(K2157=0,"hide","")</f>
        <v/>
      </c>
      <c r="D2157" s="61" t="str">
        <f>"24975"</f>
        <v>24975</v>
      </c>
      <c r="E2157" s="62" t="str">
        <f>"9"</f>
        <v>9</v>
      </c>
      <c r="F2157" s="63">
        <v>1054.2499999999998</v>
      </c>
      <c r="G2157" s="63">
        <v>466.5</v>
      </c>
      <c r="H2157" s="63">
        <v>502.83333333333331</v>
      </c>
      <c r="I2157" s="63">
        <v>344.91666666666669</v>
      </c>
      <c r="J2157" s="63">
        <v>314.91421686746992</v>
      </c>
      <c r="K2157" s="63">
        <f>AVERAGE(I2157:J2157)</f>
        <v>329.91544176706827</v>
      </c>
      <c r="L2157" s="64" t="str">
        <f>"2166 Muffins, WG, Banana, IW"</f>
        <v>2166 Muffins, WG, Banana, IW</v>
      </c>
      <c r="M2157" s="65" t="str">
        <f>"48/3.1 oz"</f>
        <v>48/3.1 oz</v>
      </c>
      <c r="N2157" s="66">
        <v>48</v>
      </c>
      <c r="O2157" s="67">
        <v>2.7399999999999998E-3</v>
      </c>
      <c r="P2157" s="68">
        <f>1/O2157</f>
        <v>364.96350364963507</v>
      </c>
      <c r="Q2157" s="53">
        <v>2.7399999999999998E-3</v>
      </c>
      <c r="R2157" s="69">
        <f t="shared" ref="R2157" si="1542">1/Q2157</f>
        <v>364.96350364963507</v>
      </c>
      <c r="S2157" s="70">
        <f t="shared" ref="S2157" si="1543">R2157*N2157</f>
        <v>17518.248175182482</v>
      </c>
    </row>
    <row r="2158" spans="1:19" ht="15.6" customHeight="1" thickBot="1" x14ac:dyDescent="0.3">
      <c r="A2158" t="s">
        <v>23</v>
      </c>
      <c r="B2158" s="60" t="str">
        <f t="shared" si="1541"/>
        <v/>
      </c>
      <c r="D2158" s="48" t="str">
        <f>D2157</f>
        <v>24975</v>
      </c>
      <c r="E2158" s="7"/>
      <c r="F2158" s="27">
        <v>-915.30666666666673</v>
      </c>
      <c r="G2158" s="27">
        <v>-201.32666666666668</v>
      </c>
      <c r="H2158" s="27">
        <v>-124.58333333333333</v>
      </c>
      <c r="I2158" s="27">
        <v>-216.25</v>
      </c>
      <c r="J2158" s="27">
        <v>-104.88048192771085</v>
      </c>
      <c r="K2158" s="63">
        <f>AVERAGE(I2158:J2158)</f>
        <v>-160.56524096385542</v>
      </c>
      <c r="L2158" s="56" t="str">
        <f>"EQP-LAWPACK1"</f>
        <v>EQP-LAWPACK1</v>
      </c>
      <c r="M2158" s="14"/>
      <c r="N2158" s="15"/>
      <c r="O2158" s="12"/>
      <c r="P2158" s="34"/>
      <c r="Q2158" s="37"/>
      <c r="R2158" s="47"/>
      <c r="S2158" s="46"/>
    </row>
    <row r="2159" spans="1:19" ht="15.6" hidden="1" customHeight="1" thickBot="1" x14ac:dyDescent="0.3">
      <c r="A2159" t="s">
        <v>23</v>
      </c>
      <c r="B2159" s="60" t="str">
        <f t="shared" ref="B2159:B2161" si="1544">IF(K2159=0,"hide","")</f>
        <v>hide</v>
      </c>
      <c r="D2159" s="48" t="str">
        <f>D2158</f>
        <v>24975</v>
      </c>
      <c r="E2159" s="7"/>
      <c r="F2159" s="27">
        <v>0</v>
      </c>
      <c r="G2159" s="27">
        <v>0</v>
      </c>
      <c r="H2159" s="27">
        <v>0</v>
      </c>
      <c r="I2159" s="27">
        <v>0</v>
      </c>
      <c r="J2159" s="27">
        <v>0</v>
      </c>
      <c r="K2159" s="63">
        <f>AVERAGE(I2159:J2159)</f>
        <v>0</v>
      </c>
      <c r="L2159" s="56" t="str">
        <f>"EQP-LAWPACK2"</f>
        <v>EQP-LAWPACK2</v>
      </c>
      <c r="M2159" s="14"/>
      <c r="N2159" s="15"/>
      <c r="O2159" s="12"/>
      <c r="P2159" s="34"/>
      <c r="Q2159" s="37"/>
      <c r="R2159" s="47"/>
      <c r="S2159" s="46"/>
    </row>
    <row r="2160" spans="1:19" ht="15.6" hidden="1" customHeight="1" thickBot="1" x14ac:dyDescent="0.3">
      <c r="A2160" t="s">
        <v>23</v>
      </c>
      <c r="B2160" s="60" t="str">
        <f t="shared" si="1544"/>
        <v>hide</v>
      </c>
      <c r="D2160" s="48" t="str">
        <f>D2159</f>
        <v>24975</v>
      </c>
      <c r="E2160" s="7"/>
      <c r="F2160" s="27">
        <v>0</v>
      </c>
      <c r="G2160" s="27">
        <v>0</v>
      </c>
      <c r="H2160" s="27">
        <v>0</v>
      </c>
      <c r="I2160" s="27">
        <v>0</v>
      </c>
      <c r="J2160" s="27">
        <v>0</v>
      </c>
      <c r="K2160" s="63">
        <f>AVERAGE(I2160:J2160)</f>
        <v>0</v>
      </c>
      <c r="L2160" s="56" t="str">
        <f>"SW-COMAS-PACKL"</f>
        <v>SW-COMAS-PACKL</v>
      </c>
      <c r="M2160" s="14"/>
      <c r="N2160" s="15"/>
      <c r="O2160" s="12"/>
      <c r="P2160" s="34"/>
      <c r="Q2160" s="37"/>
      <c r="R2160" s="47"/>
      <c r="S2160" s="46"/>
    </row>
    <row r="2161" spans="1:19" ht="15.6" hidden="1" customHeight="1" thickBot="1" x14ac:dyDescent="0.3">
      <c r="A2161" t="s">
        <v>23</v>
      </c>
      <c r="B2161" s="60" t="str">
        <f t="shared" si="1544"/>
        <v>hide</v>
      </c>
      <c r="D2161" s="48" t="str">
        <f>D2160</f>
        <v>24975</v>
      </c>
      <c r="E2161" s="7"/>
      <c r="F2161" s="27">
        <v>0</v>
      </c>
      <c r="G2161" s="27">
        <v>0</v>
      </c>
      <c r="H2161" s="27">
        <v>0</v>
      </c>
      <c r="I2161" s="27">
        <v>0</v>
      </c>
      <c r="J2161" s="27">
        <v>0</v>
      </c>
      <c r="K2161" s="63">
        <f>AVERAGE(I2161:J2161)</f>
        <v>0</v>
      </c>
      <c r="L2161" s="56" t="str">
        <f>"SW-RISER-PACK"</f>
        <v>SW-RISER-PACK</v>
      </c>
      <c r="M2161" s="14"/>
      <c r="N2161" s="15"/>
      <c r="O2161" s="12"/>
      <c r="P2161" s="34"/>
      <c r="Q2161" s="37"/>
      <c r="R2161" s="47"/>
      <c r="S2161" s="46"/>
    </row>
    <row r="2162" spans="1:19" ht="12" hidden="1" customHeight="1" x14ac:dyDescent="0.25">
      <c r="A2162" s="35" t="s">
        <v>908</v>
      </c>
      <c r="B2162" s="49" t="str">
        <f>B2158</f>
        <v/>
      </c>
      <c r="N2162"/>
      <c r="Q2162" s="33"/>
    </row>
    <row r="2163" spans="1:19" ht="13.8" thickBot="1" x14ac:dyDescent="0.3">
      <c r="A2163" t="s">
        <v>23</v>
      </c>
      <c r="B2163" s="49" t="str">
        <f t="shared" ref="B2163" si="1545">B2162</f>
        <v/>
      </c>
      <c r="D2163" s="58"/>
      <c r="E2163" s="58"/>
      <c r="F2163" s="52">
        <f>SUM(F2158:F2162)</f>
        <v>-915.30666666666673</v>
      </c>
      <c r="G2163" s="52">
        <f>SUM(G2158:G2162)</f>
        <v>-201.32666666666668</v>
      </c>
      <c r="H2163" s="52">
        <f>SUM(H2158:H2162)</f>
        <v>-124.58333333333333</v>
      </c>
      <c r="I2163" s="52">
        <f>SUM(I2158:I2162)</f>
        <v>-216.25</v>
      </c>
      <c r="J2163" s="52">
        <f>SUM(J2158:J2162)</f>
        <v>-104.88048192771085</v>
      </c>
      <c r="K2163" s="52"/>
      <c r="L2163" s="51" t="s">
        <v>4</v>
      </c>
      <c r="M2163" s="58"/>
      <c r="N2163" s="58"/>
      <c r="O2163" s="58"/>
      <c r="P2163" s="58"/>
      <c r="Q2163" s="58"/>
      <c r="R2163" s="58"/>
      <c r="S2163" s="58"/>
    </row>
    <row r="2164" spans="1:19" s="59" customFormat="1" ht="18.75" hidden="1" customHeight="1" thickBot="1" x14ac:dyDescent="0.3">
      <c r="A2164" s="59" t="s">
        <v>23</v>
      </c>
      <c r="B2164" s="60" t="str">
        <f t="shared" ref="B2164:B2165" si="1546">IF(K2164=0,"hide","")</f>
        <v>hide</v>
      </c>
      <c r="D2164" s="61" t="str">
        <f>"25000"</f>
        <v>25000</v>
      </c>
      <c r="E2164" s="62" t="str">
        <f>"1"</f>
        <v>1</v>
      </c>
      <c r="F2164" s="63">
        <v>0</v>
      </c>
      <c r="G2164" s="63">
        <v>0</v>
      </c>
      <c r="H2164" s="63">
        <v>0</v>
      </c>
      <c r="I2164" s="63">
        <v>0</v>
      </c>
      <c r="J2164" s="63">
        <v>0</v>
      </c>
      <c r="K2164" s="63">
        <f>AVERAGE(I2164:J2164)</f>
        <v>0</v>
      </c>
      <c r="L2164" s="64" t="str">
        <f>"Ann PEA BJ Pocket GRAPE 4ct"</f>
        <v>Ann PEA BJ Pocket GRAPE 4ct</v>
      </c>
      <c r="M2164" s="65" t="str">
        <f>"600250000  32-2.4oz IW  8-4ct"</f>
        <v>600250000  32-2.4oz IW  8-4ct</v>
      </c>
      <c r="N2164" s="66">
        <v>32</v>
      </c>
      <c r="O2164" s="67" t="str">
        <f>""</f>
        <v/>
      </c>
      <c r="P2164" s="68" t="e">
        <f>1/O2164</f>
        <v>#VALUE!</v>
      </c>
      <c r="Q2164" s="53">
        <v>1</v>
      </c>
      <c r="R2164" s="69">
        <f t="shared" ref="R2164" si="1547">1/Q2164</f>
        <v>1</v>
      </c>
      <c r="S2164" s="70">
        <f t="shared" ref="S2164" si="1548">R2164*N2164</f>
        <v>32</v>
      </c>
    </row>
    <row r="2165" spans="1:19" ht="15.6" hidden="1" customHeight="1" thickBot="1" x14ac:dyDescent="0.3">
      <c r="A2165" t="s">
        <v>23</v>
      </c>
      <c r="B2165" s="60" t="str">
        <f t="shared" si="1546"/>
        <v>hide</v>
      </c>
      <c r="D2165" s="48" t="str">
        <f>D2164</f>
        <v>25000</v>
      </c>
      <c r="E2165" s="7"/>
      <c r="F2165" s="27">
        <v>0</v>
      </c>
      <c r="G2165" s="27">
        <v>0</v>
      </c>
      <c r="H2165" s="27">
        <v>0</v>
      </c>
      <c r="I2165" s="27">
        <v>0</v>
      </c>
      <c r="J2165" s="27">
        <v>0</v>
      </c>
      <c r="K2165" s="63">
        <f>AVERAGE(I2165:J2165)</f>
        <v>0</v>
      </c>
      <c r="L2165" s="56" t="str">
        <f>"EQP-LAWPACK1"</f>
        <v>EQP-LAWPACK1</v>
      </c>
      <c r="M2165" s="14"/>
      <c r="N2165" s="15"/>
      <c r="O2165" s="12"/>
      <c r="P2165" s="34"/>
      <c r="Q2165" s="37"/>
      <c r="R2165" s="47"/>
      <c r="S2165" s="46"/>
    </row>
    <row r="2166" spans="1:19" ht="15.6" hidden="1" customHeight="1" thickBot="1" x14ac:dyDescent="0.3">
      <c r="A2166" t="s">
        <v>23</v>
      </c>
      <c r="B2166" s="60" t="str">
        <f t="shared" ref="B2166:B2168" si="1549">IF(K2166=0,"hide","")</f>
        <v>hide</v>
      </c>
      <c r="D2166" s="48" t="str">
        <f>D2165</f>
        <v>25000</v>
      </c>
      <c r="E2166" s="7"/>
      <c r="F2166" s="27">
        <v>0</v>
      </c>
      <c r="G2166" s="27">
        <v>0</v>
      </c>
      <c r="H2166" s="27">
        <v>0</v>
      </c>
      <c r="I2166" s="27">
        <v>0</v>
      </c>
      <c r="J2166" s="27">
        <v>0</v>
      </c>
      <c r="K2166" s="63">
        <f>AVERAGE(I2166:J2166)</f>
        <v>0</v>
      </c>
      <c r="L2166" s="56" t="str">
        <f>"EQP-LAWPACK2"</f>
        <v>EQP-LAWPACK2</v>
      </c>
      <c r="M2166" s="14"/>
      <c r="N2166" s="15"/>
      <c r="O2166" s="12"/>
      <c r="P2166" s="34"/>
      <c r="Q2166" s="37"/>
      <c r="R2166" s="47"/>
      <c r="S2166" s="46"/>
    </row>
    <row r="2167" spans="1:19" ht="15.6" hidden="1" customHeight="1" thickBot="1" x14ac:dyDescent="0.3">
      <c r="A2167" t="s">
        <v>23</v>
      </c>
      <c r="B2167" s="60" t="str">
        <f t="shared" si="1549"/>
        <v>hide</v>
      </c>
      <c r="D2167" s="48" t="str">
        <f>D2166</f>
        <v>25000</v>
      </c>
      <c r="E2167" s="7"/>
      <c r="F2167" s="27">
        <v>0</v>
      </c>
      <c r="G2167" s="27">
        <v>0</v>
      </c>
      <c r="H2167" s="27">
        <v>0</v>
      </c>
      <c r="I2167" s="27">
        <v>0</v>
      </c>
      <c r="J2167" s="27">
        <v>0</v>
      </c>
      <c r="K2167" s="63">
        <f>AVERAGE(I2167:J2167)</f>
        <v>0</v>
      </c>
      <c r="L2167" s="56" t="str">
        <f>"SW-COMAS-PACKL"</f>
        <v>SW-COMAS-PACKL</v>
      </c>
      <c r="M2167" s="14"/>
      <c r="N2167" s="15"/>
      <c r="O2167" s="12"/>
      <c r="P2167" s="34"/>
      <c r="Q2167" s="37"/>
      <c r="R2167" s="47"/>
      <c r="S2167" s="46"/>
    </row>
    <row r="2168" spans="1:19" ht="15.6" hidden="1" customHeight="1" thickBot="1" x14ac:dyDescent="0.3">
      <c r="A2168" t="s">
        <v>23</v>
      </c>
      <c r="B2168" s="60" t="str">
        <f t="shared" si="1549"/>
        <v>hide</v>
      </c>
      <c r="D2168" s="48" t="str">
        <f>D2167</f>
        <v>25000</v>
      </c>
      <c r="E2168" s="7"/>
      <c r="F2168" s="27">
        <v>0</v>
      </c>
      <c r="G2168" s="27">
        <v>0</v>
      </c>
      <c r="H2168" s="27">
        <v>0</v>
      </c>
      <c r="I2168" s="27">
        <v>0</v>
      </c>
      <c r="J2168" s="27">
        <v>0</v>
      </c>
      <c r="K2168" s="63">
        <f>AVERAGE(I2168:J2168)</f>
        <v>0</v>
      </c>
      <c r="L2168" s="56" t="str">
        <f>"SW-RISER-PACK"</f>
        <v>SW-RISER-PACK</v>
      </c>
      <c r="M2168" s="14"/>
      <c r="N2168" s="15"/>
      <c r="O2168" s="12"/>
      <c r="P2168" s="34"/>
      <c r="Q2168" s="37"/>
      <c r="R2168" s="47"/>
      <c r="S2168" s="46"/>
    </row>
    <row r="2169" spans="1:19" ht="12" hidden="1" customHeight="1" x14ac:dyDescent="0.3">
      <c r="A2169" s="35" t="s">
        <v>908</v>
      </c>
      <c r="B2169" s="49" t="str">
        <f>B2165</f>
        <v>hide</v>
      </c>
      <c r="N2169"/>
      <c r="Q2169" s="33"/>
    </row>
    <row r="2170" spans="1:19" ht="13.8" hidden="1" thickBot="1" x14ac:dyDescent="0.3">
      <c r="A2170" t="s">
        <v>23</v>
      </c>
      <c r="B2170" s="49" t="str">
        <f t="shared" ref="B2170" si="1550">B2169</f>
        <v>hide</v>
      </c>
      <c r="D2170" s="58"/>
      <c r="E2170" s="58"/>
      <c r="F2170" s="52">
        <f>SUM(F2165:F2169)</f>
        <v>0</v>
      </c>
      <c r="G2170" s="52">
        <f>SUM(G2165:G2169)</f>
        <v>0</v>
      </c>
      <c r="H2170" s="52">
        <f>SUM(H2165:H2169)</f>
        <v>0</v>
      </c>
      <c r="I2170" s="52">
        <f>SUM(I2165:I2169)</f>
        <v>0</v>
      </c>
      <c r="J2170" s="52">
        <f>SUM(J2165:J2169)</f>
        <v>0</v>
      </c>
      <c r="K2170" s="52"/>
      <c r="L2170" s="51" t="s">
        <v>4</v>
      </c>
      <c r="M2170" s="58"/>
      <c r="N2170" s="58"/>
      <c r="O2170" s="58"/>
      <c r="P2170" s="58"/>
      <c r="Q2170" s="58"/>
      <c r="R2170" s="58"/>
      <c r="S2170" s="58"/>
    </row>
    <row r="2171" spans="1:19" s="59" customFormat="1" ht="18.75" hidden="1" customHeight="1" thickBot="1" x14ac:dyDescent="0.3">
      <c r="A2171" s="59" t="s">
        <v>23</v>
      </c>
      <c r="B2171" s="60" t="str">
        <f t="shared" ref="B2171:B2172" si="1551">IF(K2171=0,"hide","")</f>
        <v>hide</v>
      </c>
      <c r="D2171" s="61" t="str">
        <f>"25100"</f>
        <v>25100</v>
      </c>
      <c r="E2171" s="62" t="str">
        <f>"1"</f>
        <v>1</v>
      </c>
      <c r="F2171" s="63">
        <v>0</v>
      </c>
      <c r="G2171" s="63">
        <v>0</v>
      </c>
      <c r="H2171" s="63">
        <v>0</v>
      </c>
      <c r="I2171" s="63">
        <v>0</v>
      </c>
      <c r="J2171" s="63">
        <v>0</v>
      </c>
      <c r="K2171" s="63">
        <f>AVERAGE(I2171:J2171)</f>
        <v>0</v>
      </c>
      <c r="L2171" s="64" t="str">
        <f>"Ann PEA BJ Pocket STRWBRY 4ct"</f>
        <v>Ann PEA BJ Pocket STRWBRY 4ct</v>
      </c>
      <c r="M2171" s="65" t="str">
        <f>"600251000  32-2.4oz IW  8-4ct"</f>
        <v>600251000  32-2.4oz IW  8-4ct</v>
      </c>
      <c r="N2171" s="66">
        <v>32</v>
      </c>
      <c r="O2171" s="67" t="str">
        <f>""</f>
        <v/>
      </c>
      <c r="P2171" s="68" t="e">
        <f>1/O2171</f>
        <v>#VALUE!</v>
      </c>
      <c r="Q2171" s="53">
        <v>1</v>
      </c>
      <c r="R2171" s="69">
        <f t="shared" ref="R2171" si="1552">1/Q2171</f>
        <v>1</v>
      </c>
      <c r="S2171" s="70">
        <f t="shared" ref="S2171" si="1553">R2171*N2171</f>
        <v>32</v>
      </c>
    </row>
    <row r="2172" spans="1:19" ht="15.6" hidden="1" customHeight="1" thickBot="1" x14ac:dyDescent="0.3">
      <c r="A2172" t="s">
        <v>23</v>
      </c>
      <c r="B2172" s="60" t="str">
        <f t="shared" si="1551"/>
        <v>hide</v>
      </c>
      <c r="D2172" s="48" t="str">
        <f>D2171</f>
        <v>25100</v>
      </c>
      <c r="E2172" s="7"/>
      <c r="F2172" s="27">
        <v>0</v>
      </c>
      <c r="G2172" s="27">
        <v>0</v>
      </c>
      <c r="H2172" s="27">
        <v>0</v>
      </c>
      <c r="I2172" s="27">
        <v>0</v>
      </c>
      <c r="J2172" s="27">
        <v>0</v>
      </c>
      <c r="K2172" s="63">
        <f>AVERAGE(I2172:J2172)</f>
        <v>0</v>
      </c>
      <c r="L2172" s="56" t="str">
        <f>"EQP-LAWPACK1"</f>
        <v>EQP-LAWPACK1</v>
      </c>
      <c r="M2172" s="14"/>
      <c r="N2172" s="15"/>
      <c r="O2172" s="12"/>
      <c r="P2172" s="34"/>
      <c r="Q2172" s="37"/>
      <c r="R2172" s="47"/>
      <c r="S2172" s="46"/>
    </row>
    <row r="2173" spans="1:19" ht="15.6" hidden="1" customHeight="1" thickBot="1" x14ac:dyDescent="0.3">
      <c r="A2173" t="s">
        <v>23</v>
      </c>
      <c r="B2173" s="60" t="str">
        <f t="shared" ref="B2173:B2175" si="1554">IF(K2173=0,"hide","")</f>
        <v>hide</v>
      </c>
      <c r="D2173" s="48" t="str">
        <f>D2172</f>
        <v>25100</v>
      </c>
      <c r="E2173" s="7"/>
      <c r="F2173" s="27">
        <v>0</v>
      </c>
      <c r="G2173" s="27">
        <v>0</v>
      </c>
      <c r="H2173" s="27">
        <v>0</v>
      </c>
      <c r="I2173" s="27">
        <v>0</v>
      </c>
      <c r="J2173" s="27">
        <v>0</v>
      </c>
      <c r="K2173" s="63">
        <f>AVERAGE(I2173:J2173)</f>
        <v>0</v>
      </c>
      <c r="L2173" s="56" t="str">
        <f>"EQP-LAWPACK2"</f>
        <v>EQP-LAWPACK2</v>
      </c>
      <c r="M2173" s="14"/>
      <c r="N2173" s="15"/>
      <c r="O2173" s="12"/>
      <c r="P2173" s="34"/>
      <c r="Q2173" s="37"/>
      <c r="R2173" s="47"/>
      <c r="S2173" s="46"/>
    </row>
    <row r="2174" spans="1:19" ht="15.6" hidden="1" customHeight="1" thickBot="1" x14ac:dyDescent="0.3">
      <c r="A2174" t="s">
        <v>23</v>
      </c>
      <c r="B2174" s="60" t="str">
        <f t="shared" si="1554"/>
        <v>hide</v>
      </c>
      <c r="D2174" s="48" t="str">
        <f>D2173</f>
        <v>25100</v>
      </c>
      <c r="E2174" s="7"/>
      <c r="F2174" s="27">
        <v>0</v>
      </c>
      <c r="G2174" s="27">
        <v>0</v>
      </c>
      <c r="H2174" s="27">
        <v>0</v>
      </c>
      <c r="I2174" s="27">
        <v>0</v>
      </c>
      <c r="J2174" s="27">
        <v>0</v>
      </c>
      <c r="K2174" s="63">
        <f>AVERAGE(I2174:J2174)</f>
        <v>0</v>
      </c>
      <c r="L2174" s="56" t="str">
        <f>"SW-COMAS-PACKL"</f>
        <v>SW-COMAS-PACKL</v>
      </c>
      <c r="M2174" s="14"/>
      <c r="N2174" s="15"/>
      <c r="O2174" s="12"/>
      <c r="P2174" s="34"/>
      <c r="Q2174" s="37"/>
      <c r="R2174" s="47"/>
      <c r="S2174" s="46"/>
    </row>
    <row r="2175" spans="1:19" ht="15.6" hidden="1" customHeight="1" thickBot="1" x14ac:dyDescent="0.3">
      <c r="A2175" t="s">
        <v>23</v>
      </c>
      <c r="B2175" s="60" t="str">
        <f t="shared" si="1554"/>
        <v>hide</v>
      </c>
      <c r="D2175" s="48" t="str">
        <f>D2174</f>
        <v>25100</v>
      </c>
      <c r="E2175" s="7"/>
      <c r="F2175" s="27">
        <v>0</v>
      </c>
      <c r="G2175" s="27">
        <v>0</v>
      </c>
      <c r="H2175" s="27">
        <v>0</v>
      </c>
      <c r="I2175" s="27">
        <v>0</v>
      </c>
      <c r="J2175" s="27">
        <v>0</v>
      </c>
      <c r="K2175" s="63">
        <f>AVERAGE(I2175:J2175)</f>
        <v>0</v>
      </c>
      <c r="L2175" s="56" t="str">
        <f>"SW-RISER-PACK"</f>
        <v>SW-RISER-PACK</v>
      </c>
      <c r="M2175" s="14"/>
      <c r="N2175" s="15"/>
      <c r="O2175" s="12"/>
      <c r="P2175" s="34"/>
      <c r="Q2175" s="37"/>
      <c r="R2175" s="47"/>
      <c r="S2175" s="46"/>
    </row>
    <row r="2176" spans="1:19" ht="12" hidden="1" customHeight="1" x14ac:dyDescent="0.3">
      <c r="A2176" s="35" t="s">
        <v>908</v>
      </c>
      <c r="B2176" s="49" t="str">
        <f>B2172</f>
        <v>hide</v>
      </c>
      <c r="N2176"/>
      <c r="Q2176" s="33"/>
    </row>
    <row r="2177" spans="1:19" ht="13.8" hidden="1" thickBot="1" x14ac:dyDescent="0.3">
      <c r="A2177" t="s">
        <v>23</v>
      </c>
      <c r="B2177" s="49" t="str">
        <f t="shared" ref="B2177" si="1555">B2176</f>
        <v>hide</v>
      </c>
      <c r="D2177" s="58"/>
      <c r="E2177" s="58"/>
      <c r="F2177" s="52">
        <f>SUM(F2172:F2176)</f>
        <v>0</v>
      </c>
      <c r="G2177" s="52">
        <f>SUM(G2172:G2176)</f>
        <v>0</v>
      </c>
      <c r="H2177" s="52">
        <f>SUM(H2172:H2176)</f>
        <v>0</v>
      </c>
      <c r="I2177" s="52">
        <f>SUM(I2172:I2176)</f>
        <v>0</v>
      </c>
      <c r="J2177" s="52">
        <f>SUM(J2172:J2176)</f>
        <v>0</v>
      </c>
      <c r="K2177" s="52"/>
      <c r="L2177" s="51" t="s">
        <v>4</v>
      </c>
      <c r="M2177" s="58"/>
      <c r="N2177" s="58"/>
      <c r="O2177" s="58"/>
      <c r="P2177" s="58"/>
      <c r="Q2177" s="58"/>
      <c r="R2177" s="58"/>
      <c r="S2177" s="58"/>
    </row>
    <row r="2178" spans="1:19" s="59" customFormat="1" ht="18.75" customHeight="1" thickBot="1" x14ac:dyDescent="0.3">
      <c r="A2178" s="59" t="s">
        <v>23</v>
      </c>
      <c r="B2178" s="60" t="str">
        <f t="shared" ref="B2178:B2179" si="1556">IF(K2178=0,"hide","")</f>
        <v/>
      </c>
      <c r="D2178" s="61" t="str">
        <f>"25139"</f>
        <v>25139</v>
      </c>
      <c r="E2178" s="62" t="str">
        <f>"4"</f>
        <v>4</v>
      </c>
      <c r="F2178" s="63">
        <v>43.666666666666664</v>
      </c>
      <c r="G2178" s="63">
        <v>45.083333333333336</v>
      </c>
      <c r="H2178" s="63">
        <v>43.583333333333336</v>
      </c>
      <c r="I2178" s="63">
        <v>24</v>
      </c>
      <c r="J2178" s="63">
        <v>35.733012048192769</v>
      </c>
      <c r="K2178" s="63">
        <f>AVERAGE(I2178:J2178)</f>
        <v>29.866506024096385</v>
      </c>
      <c r="L2178" s="64" t="str">
        <f>"Mini Angel Food Cake"</f>
        <v>Mini Angel Food Cake</v>
      </c>
      <c r="M2178" s="65" t="str">
        <f>"80-1.25 oz. 4 Trays of 20"</f>
        <v>80-1.25 oz. 4 Trays of 20</v>
      </c>
      <c r="N2178" s="66">
        <v>80</v>
      </c>
      <c r="O2178" s="67" t="str">
        <f>""</f>
        <v/>
      </c>
      <c r="P2178" s="68" t="e">
        <f>1/O2178</f>
        <v>#VALUE!</v>
      </c>
      <c r="Q2178" s="53">
        <v>1</v>
      </c>
      <c r="R2178" s="69">
        <f t="shared" ref="R2178" si="1557">1/Q2178</f>
        <v>1</v>
      </c>
      <c r="S2178" s="70">
        <f t="shared" ref="S2178" si="1558">R2178*N2178</f>
        <v>80</v>
      </c>
    </row>
    <row r="2179" spans="1:19" ht="15.6" hidden="1" customHeight="1" thickBot="1" x14ac:dyDescent="0.3">
      <c r="A2179" t="s">
        <v>23</v>
      </c>
      <c r="B2179" s="60" t="str">
        <f t="shared" si="1556"/>
        <v>hide</v>
      </c>
      <c r="D2179" s="48" t="str">
        <f>D2178</f>
        <v>25139</v>
      </c>
      <c r="E2179" s="7"/>
      <c r="F2179" s="27">
        <v>0</v>
      </c>
      <c r="G2179" s="27">
        <v>0</v>
      </c>
      <c r="H2179" s="27">
        <v>0</v>
      </c>
      <c r="I2179" s="27">
        <v>0</v>
      </c>
      <c r="J2179" s="27">
        <v>0</v>
      </c>
      <c r="K2179" s="63">
        <f>AVERAGE(I2179:J2179)</f>
        <v>0</v>
      </c>
      <c r="L2179" s="56" t="str">
        <f>"EQP-LAWPACK1"</f>
        <v>EQP-LAWPACK1</v>
      </c>
      <c r="M2179" s="14"/>
      <c r="N2179" s="15"/>
      <c r="O2179" s="12"/>
      <c r="P2179" s="34"/>
      <c r="Q2179" s="37"/>
      <c r="R2179" s="47"/>
      <c r="S2179" s="46"/>
    </row>
    <row r="2180" spans="1:19" ht="15.6" hidden="1" customHeight="1" thickBot="1" x14ac:dyDescent="0.3">
      <c r="A2180" t="s">
        <v>23</v>
      </c>
      <c r="B2180" s="60" t="str">
        <f t="shared" ref="B2180:B2182" si="1559">IF(K2180=0,"hide","")</f>
        <v>hide</v>
      </c>
      <c r="D2180" s="48" t="str">
        <f>D2179</f>
        <v>25139</v>
      </c>
      <c r="E2180" s="7"/>
      <c r="F2180" s="27">
        <v>0</v>
      </c>
      <c r="G2180" s="27">
        <v>0</v>
      </c>
      <c r="H2180" s="27">
        <v>0</v>
      </c>
      <c r="I2180" s="27">
        <v>0</v>
      </c>
      <c r="J2180" s="27">
        <v>0</v>
      </c>
      <c r="K2180" s="63">
        <f>AVERAGE(I2180:J2180)</f>
        <v>0</v>
      </c>
      <c r="L2180" s="56" t="str">
        <f>"EQP-LAWPACK2"</f>
        <v>EQP-LAWPACK2</v>
      </c>
      <c r="M2180" s="14"/>
      <c r="N2180" s="15"/>
      <c r="O2180" s="12"/>
      <c r="P2180" s="34"/>
      <c r="Q2180" s="37"/>
      <c r="R2180" s="47"/>
      <c r="S2180" s="46"/>
    </row>
    <row r="2181" spans="1:19" ht="15.6" hidden="1" customHeight="1" thickBot="1" x14ac:dyDescent="0.3">
      <c r="A2181" t="s">
        <v>23</v>
      </c>
      <c r="B2181" s="60" t="str">
        <f t="shared" si="1559"/>
        <v>hide</v>
      </c>
      <c r="D2181" s="48" t="str">
        <f>D2180</f>
        <v>25139</v>
      </c>
      <c r="E2181" s="7"/>
      <c r="F2181" s="27">
        <v>0</v>
      </c>
      <c r="G2181" s="27">
        <v>0</v>
      </c>
      <c r="H2181" s="27">
        <v>0</v>
      </c>
      <c r="I2181" s="27">
        <v>0</v>
      </c>
      <c r="J2181" s="27">
        <v>0</v>
      </c>
      <c r="K2181" s="63">
        <f>AVERAGE(I2181:J2181)</f>
        <v>0</v>
      </c>
      <c r="L2181" s="56" t="str">
        <f>"SW-COMAS-PACKL"</f>
        <v>SW-COMAS-PACKL</v>
      </c>
      <c r="M2181" s="14"/>
      <c r="N2181" s="15"/>
      <c r="O2181" s="12"/>
      <c r="P2181" s="34"/>
      <c r="Q2181" s="37"/>
      <c r="R2181" s="47"/>
      <c r="S2181" s="46"/>
    </row>
    <row r="2182" spans="1:19" ht="15.6" hidden="1" customHeight="1" thickBot="1" x14ac:dyDescent="0.3">
      <c r="A2182" t="s">
        <v>23</v>
      </c>
      <c r="B2182" s="60" t="str">
        <f t="shared" si="1559"/>
        <v>hide</v>
      </c>
      <c r="D2182" s="48" t="str">
        <f>D2181</f>
        <v>25139</v>
      </c>
      <c r="E2182" s="7"/>
      <c r="F2182" s="27">
        <v>0</v>
      </c>
      <c r="G2182" s="27">
        <v>0</v>
      </c>
      <c r="H2182" s="27">
        <v>0</v>
      </c>
      <c r="I2182" s="27">
        <v>0</v>
      </c>
      <c r="J2182" s="27">
        <v>0</v>
      </c>
      <c r="K2182" s="63">
        <f>AVERAGE(I2182:J2182)</f>
        <v>0</v>
      </c>
      <c r="L2182" s="56" t="str">
        <f>"SW-RISER-PACK"</f>
        <v>SW-RISER-PACK</v>
      </c>
      <c r="M2182" s="14"/>
      <c r="N2182" s="15"/>
      <c r="O2182" s="12"/>
      <c r="P2182" s="34"/>
      <c r="Q2182" s="37"/>
      <c r="R2182" s="47"/>
      <c r="S2182" s="46"/>
    </row>
    <row r="2183" spans="1:19" ht="12" hidden="1" customHeight="1" x14ac:dyDescent="0.3">
      <c r="A2183" s="35" t="s">
        <v>908</v>
      </c>
      <c r="B2183" s="49" t="str">
        <f>B2179</f>
        <v>hide</v>
      </c>
      <c r="N2183"/>
      <c r="Q2183" s="33"/>
    </row>
    <row r="2184" spans="1:19" ht="13.8" hidden="1" thickBot="1" x14ac:dyDescent="0.3">
      <c r="A2184" t="s">
        <v>23</v>
      </c>
      <c r="B2184" s="49" t="str">
        <f t="shared" ref="B2184" si="1560">B2183</f>
        <v>hide</v>
      </c>
      <c r="D2184" s="58"/>
      <c r="E2184" s="58"/>
      <c r="F2184" s="52">
        <f>SUM(F2179:F2183)</f>
        <v>0</v>
      </c>
      <c r="G2184" s="52">
        <f>SUM(G2179:G2183)</f>
        <v>0</v>
      </c>
      <c r="H2184" s="52">
        <f>SUM(H2179:H2183)</f>
        <v>0</v>
      </c>
      <c r="I2184" s="52">
        <f>SUM(I2179:I2183)</f>
        <v>0</v>
      </c>
      <c r="J2184" s="52">
        <f>SUM(J2179:J2183)</f>
        <v>0</v>
      </c>
      <c r="K2184" s="52"/>
      <c r="L2184" s="51" t="s">
        <v>4</v>
      </c>
      <c r="M2184" s="58"/>
      <c r="N2184" s="58"/>
      <c r="O2184" s="58"/>
      <c r="P2184" s="58"/>
      <c r="Q2184" s="58"/>
      <c r="R2184" s="58"/>
      <c r="S2184" s="58"/>
    </row>
    <row r="2185" spans="1:19" s="59" customFormat="1" ht="18.75" customHeight="1" thickBot="1" x14ac:dyDescent="0.3">
      <c r="A2185" s="59" t="s">
        <v>23</v>
      </c>
      <c r="B2185" s="60" t="str">
        <f t="shared" ref="B2185:B2186" si="1561">IF(K2185=0,"hide","")</f>
        <v/>
      </c>
      <c r="D2185" s="61" t="str">
        <f>"25239"</f>
        <v>25239</v>
      </c>
      <c r="E2185" s="62" t="str">
        <f>"6"</f>
        <v>6</v>
      </c>
      <c r="F2185" s="63">
        <v>724.66666666666663</v>
      </c>
      <c r="G2185" s="63">
        <v>447.66666666666669</v>
      </c>
      <c r="H2185" s="63">
        <v>442.83333333333331</v>
      </c>
      <c r="I2185" s="63">
        <v>534.25</v>
      </c>
      <c r="J2185" s="63">
        <v>482.73662650602409</v>
      </c>
      <c r="K2185" s="63">
        <f>AVERAGE(I2185:J2185)</f>
        <v>508.49331325301205</v>
      </c>
      <c r="L2185" s="64" t="str">
        <f>"Mini Angel Food Cake"</f>
        <v>Mini Angel Food Cake</v>
      </c>
      <c r="M2185" s="65" t="str">
        <f>"48-1.25 oz. 2 Trays 24"</f>
        <v>48-1.25 oz. 2 Trays 24</v>
      </c>
      <c r="N2185" s="66">
        <v>48</v>
      </c>
      <c r="O2185" s="67" t="str">
        <f>""</f>
        <v/>
      </c>
      <c r="P2185" s="68" t="e">
        <f>1/O2185</f>
        <v>#VALUE!</v>
      </c>
      <c r="Q2185" s="53">
        <v>1</v>
      </c>
      <c r="R2185" s="69">
        <f t="shared" ref="R2185" si="1562">1/Q2185</f>
        <v>1</v>
      </c>
      <c r="S2185" s="70">
        <f t="shared" ref="S2185" si="1563">R2185*N2185</f>
        <v>48</v>
      </c>
    </row>
    <row r="2186" spans="1:19" ht="15.6" hidden="1" customHeight="1" thickBot="1" x14ac:dyDescent="0.3">
      <c r="A2186" t="s">
        <v>23</v>
      </c>
      <c r="B2186" s="60" t="str">
        <f t="shared" si="1561"/>
        <v>hide</v>
      </c>
      <c r="D2186" s="48" t="str">
        <f>D2185</f>
        <v>25239</v>
      </c>
      <c r="E2186" s="7"/>
      <c r="F2186" s="27">
        <v>0</v>
      </c>
      <c r="G2186" s="27">
        <v>0</v>
      </c>
      <c r="H2186" s="27">
        <v>0</v>
      </c>
      <c r="I2186" s="27">
        <v>0</v>
      </c>
      <c r="J2186" s="27">
        <v>0</v>
      </c>
      <c r="K2186" s="63">
        <f>AVERAGE(I2186:J2186)</f>
        <v>0</v>
      </c>
      <c r="L2186" s="56" t="str">
        <f>"EQP-LAWPACK1"</f>
        <v>EQP-LAWPACK1</v>
      </c>
      <c r="M2186" s="14"/>
      <c r="N2186" s="15"/>
      <c r="O2186" s="12"/>
      <c r="P2186" s="34"/>
      <c r="Q2186" s="37"/>
      <c r="R2186" s="47"/>
      <c r="S2186" s="46"/>
    </row>
    <row r="2187" spans="1:19" ht="15.6" hidden="1" customHeight="1" thickBot="1" x14ac:dyDescent="0.3">
      <c r="A2187" t="s">
        <v>23</v>
      </c>
      <c r="B2187" s="60" t="str">
        <f t="shared" ref="B2187:B2189" si="1564">IF(K2187=0,"hide","")</f>
        <v>hide</v>
      </c>
      <c r="D2187" s="48" t="str">
        <f>D2186</f>
        <v>25239</v>
      </c>
      <c r="E2187" s="7"/>
      <c r="F2187" s="27">
        <v>0</v>
      </c>
      <c r="G2187" s="27">
        <v>0</v>
      </c>
      <c r="H2187" s="27">
        <v>0</v>
      </c>
      <c r="I2187" s="27">
        <v>0</v>
      </c>
      <c r="J2187" s="27">
        <v>0</v>
      </c>
      <c r="K2187" s="63">
        <f>AVERAGE(I2187:J2187)</f>
        <v>0</v>
      </c>
      <c r="L2187" s="56" t="str">
        <f>"EQP-LAWPACK2"</f>
        <v>EQP-LAWPACK2</v>
      </c>
      <c r="M2187" s="14"/>
      <c r="N2187" s="15"/>
      <c r="O2187" s="12"/>
      <c r="P2187" s="34"/>
      <c r="Q2187" s="37"/>
      <c r="R2187" s="47"/>
      <c r="S2187" s="46"/>
    </row>
    <row r="2188" spans="1:19" ht="15.6" hidden="1" customHeight="1" thickBot="1" x14ac:dyDescent="0.3">
      <c r="A2188" t="s">
        <v>23</v>
      </c>
      <c r="B2188" s="60" t="str">
        <f t="shared" si="1564"/>
        <v>hide</v>
      </c>
      <c r="D2188" s="48" t="str">
        <f>D2187</f>
        <v>25239</v>
      </c>
      <c r="E2188" s="7"/>
      <c r="F2188" s="27">
        <v>0</v>
      </c>
      <c r="G2188" s="27">
        <v>0</v>
      </c>
      <c r="H2188" s="27">
        <v>0</v>
      </c>
      <c r="I2188" s="27">
        <v>0</v>
      </c>
      <c r="J2188" s="27">
        <v>0</v>
      </c>
      <c r="K2188" s="63">
        <f>AVERAGE(I2188:J2188)</f>
        <v>0</v>
      </c>
      <c r="L2188" s="56" t="str">
        <f>"SW-COMAS-PACKL"</f>
        <v>SW-COMAS-PACKL</v>
      </c>
      <c r="M2188" s="14"/>
      <c r="N2188" s="15"/>
      <c r="O2188" s="12"/>
      <c r="P2188" s="34"/>
      <c r="Q2188" s="37"/>
      <c r="R2188" s="47"/>
      <c r="S2188" s="46"/>
    </row>
    <row r="2189" spans="1:19" ht="15.6" hidden="1" customHeight="1" thickBot="1" x14ac:dyDescent="0.3">
      <c r="A2189" t="s">
        <v>23</v>
      </c>
      <c r="B2189" s="60" t="str">
        <f t="shared" si="1564"/>
        <v>hide</v>
      </c>
      <c r="D2189" s="48" t="str">
        <f>D2188</f>
        <v>25239</v>
      </c>
      <c r="E2189" s="7"/>
      <c r="F2189" s="27">
        <v>0</v>
      </c>
      <c r="G2189" s="27">
        <v>0</v>
      </c>
      <c r="H2189" s="27">
        <v>0</v>
      </c>
      <c r="I2189" s="27">
        <v>0</v>
      </c>
      <c r="J2189" s="27">
        <v>0</v>
      </c>
      <c r="K2189" s="63">
        <f>AVERAGE(I2189:J2189)</f>
        <v>0</v>
      </c>
      <c r="L2189" s="56" t="str">
        <f>"SW-RISER-PACK"</f>
        <v>SW-RISER-PACK</v>
      </c>
      <c r="M2189" s="14"/>
      <c r="N2189" s="15"/>
      <c r="O2189" s="12"/>
      <c r="P2189" s="34"/>
      <c r="Q2189" s="37"/>
      <c r="R2189" s="47"/>
      <c r="S2189" s="46"/>
    </row>
    <row r="2190" spans="1:19" ht="12" hidden="1" customHeight="1" x14ac:dyDescent="0.3">
      <c r="A2190" s="35" t="s">
        <v>908</v>
      </c>
      <c r="B2190" s="49" t="str">
        <f>B2186</f>
        <v>hide</v>
      </c>
      <c r="N2190"/>
      <c r="Q2190" s="33"/>
    </row>
    <row r="2191" spans="1:19" ht="13.8" hidden="1" thickBot="1" x14ac:dyDescent="0.3">
      <c r="A2191" t="s">
        <v>23</v>
      </c>
      <c r="B2191" s="49" t="str">
        <f t="shared" ref="B2191" si="1565">B2190</f>
        <v>hide</v>
      </c>
      <c r="D2191" s="58"/>
      <c r="E2191" s="58"/>
      <c r="F2191" s="52">
        <f>SUM(F2186:F2190)</f>
        <v>0</v>
      </c>
      <c r="G2191" s="52">
        <f>SUM(G2186:G2190)</f>
        <v>0</v>
      </c>
      <c r="H2191" s="52">
        <f>SUM(H2186:H2190)</f>
        <v>0</v>
      </c>
      <c r="I2191" s="52">
        <f>SUM(I2186:I2190)</f>
        <v>0</v>
      </c>
      <c r="J2191" s="52">
        <f>SUM(J2186:J2190)</f>
        <v>0</v>
      </c>
      <c r="K2191" s="52"/>
      <c r="L2191" s="51" t="s">
        <v>4</v>
      </c>
      <c r="M2191" s="58"/>
      <c r="N2191" s="58"/>
      <c r="O2191" s="58"/>
      <c r="P2191" s="58"/>
      <c r="Q2191" s="58"/>
      <c r="R2191" s="58"/>
      <c r="S2191" s="58"/>
    </row>
    <row r="2192" spans="1:19" s="59" customFormat="1" ht="18.75" hidden="1" customHeight="1" thickBot="1" x14ac:dyDescent="0.3">
      <c r="A2192" s="59" t="s">
        <v>23</v>
      </c>
      <c r="B2192" s="60" t="str">
        <f t="shared" ref="B2192:B2193" si="1566">IF(K2192=0,"hide","")</f>
        <v>hide</v>
      </c>
      <c r="D2192" s="61" t="str">
        <f>"25400"</f>
        <v>25400</v>
      </c>
      <c r="E2192" s="62" t="str">
        <f>"1"</f>
        <v>1</v>
      </c>
      <c r="F2192" s="63">
        <v>0</v>
      </c>
      <c r="G2192" s="63">
        <v>0</v>
      </c>
      <c r="H2192" s="63">
        <v>0</v>
      </c>
      <c r="I2192" s="63">
        <v>0</v>
      </c>
      <c r="J2192" s="63">
        <v>0</v>
      </c>
      <c r="K2192" s="63">
        <f>AVERAGE(I2192:J2192)</f>
        <v>0</v>
      </c>
      <c r="L2192" s="64" t="str">
        <f>"Ann PEA BJ Pocket GRAPE 8ct"</f>
        <v>Ann PEA BJ Pocket GRAPE 8ct</v>
      </c>
      <c r="M2192" s="65" t="str">
        <f>"600254000  64-2.4oz IW  8-8ct"</f>
        <v>600254000  64-2.4oz IW  8-8ct</v>
      </c>
      <c r="N2192" s="66">
        <v>64</v>
      </c>
      <c r="O2192" s="67" t="str">
        <f>""</f>
        <v/>
      </c>
      <c r="P2192" s="68" t="e">
        <f>1/O2192</f>
        <v>#VALUE!</v>
      </c>
      <c r="Q2192" s="53">
        <v>1</v>
      </c>
      <c r="R2192" s="69">
        <f t="shared" ref="R2192" si="1567">1/Q2192</f>
        <v>1</v>
      </c>
      <c r="S2192" s="70">
        <f t="shared" ref="S2192" si="1568">R2192*N2192</f>
        <v>64</v>
      </c>
    </row>
    <row r="2193" spans="1:19" ht="15.6" hidden="1" customHeight="1" thickBot="1" x14ac:dyDescent="0.3">
      <c r="A2193" t="s">
        <v>23</v>
      </c>
      <c r="B2193" s="60" t="str">
        <f t="shared" si="1566"/>
        <v>hide</v>
      </c>
      <c r="D2193" s="48" t="str">
        <f>D2192</f>
        <v>25400</v>
      </c>
      <c r="E2193" s="7"/>
      <c r="F2193" s="27">
        <v>0</v>
      </c>
      <c r="G2193" s="27">
        <v>0</v>
      </c>
      <c r="H2193" s="27">
        <v>0</v>
      </c>
      <c r="I2193" s="27">
        <v>0</v>
      </c>
      <c r="J2193" s="27">
        <v>0</v>
      </c>
      <c r="K2193" s="63">
        <f>AVERAGE(I2193:J2193)</f>
        <v>0</v>
      </c>
      <c r="L2193" s="56" t="str">
        <f>"EQP-LAWPACK1"</f>
        <v>EQP-LAWPACK1</v>
      </c>
      <c r="M2193" s="14"/>
      <c r="N2193" s="15"/>
      <c r="O2193" s="12"/>
      <c r="P2193" s="34"/>
      <c r="Q2193" s="37"/>
      <c r="R2193" s="47"/>
      <c r="S2193" s="46"/>
    </row>
    <row r="2194" spans="1:19" ht="15.6" hidden="1" customHeight="1" thickBot="1" x14ac:dyDescent="0.3">
      <c r="A2194" t="s">
        <v>23</v>
      </c>
      <c r="B2194" s="60" t="str">
        <f t="shared" ref="B2194:B2196" si="1569">IF(K2194=0,"hide","")</f>
        <v>hide</v>
      </c>
      <c r="D2194" s="48" t="str">
        <f>D2193</f>
        <v>25400</v>
      </c>
      <c r="E2194" s="7"/>
      <c r="F2194" s="27">
        <v>0</v>
      </c>
      <c r="G2194" s="27">
        <v>0</v>
      </c>
      <c r="H2194" s="27">
        <v>0</v>
      </c>
      <c r="I2194" s="27">
        <v>0</v>
      </c>
      <c r="J2194" s="27">
        <v>0</v>
      </c>
      <c r="K2194" s="63">
        <f>AVERAGE(I2194:J2194)</f>
        <v>0</v>
      </c>
      <c r="L2194" s="56" t="str">
        <f>"EQP-LAWPACK2"</f>
        <v>EQP-LAWPACK2</v>
      </c>
      <c r="M2194" s="14"/>
      <c r="N2194" s="15"/>
      <c r="O2194" s="12"/>
      <c r="P2194" s="34"/>
      <c r="Q2194" s="37"/>
      <c r="R2194" s="47"/>
      <c r="S2194" s="46"/>
    </row>
    <row r="2195" spans="1:19" ht="15.6" hidden="1" customHeight="1" thickBot="1" x14ac:dyDescent="0.3">
      <c r="A2195" t="s">
        <v>23</v>
      </c>
      <c r="B2195" s="60" t="str">
        <f t="shared" si="1569"/>
        <v>hide</v>
      </c>
      <c r="D2195" s="48" t="str">
        <f>D2194</f>
        <v>25400</v>
      </c>
      <c r="E2195" s="7"/>
      <c r="F2195" s="27">
        <v>0</v>
      </c>
      <c r="G2195" s="27">
        <v>0</v>
      </c>
      <c r="H2195" s="27">
        <v>0</v>
      </c>
      <c r="I2195" s="27">
        <v>0</v>
      </c>
      <c r="J2195" s="27">
        <v>0</v>
      </c>
      <c r="K2195" s="63">
        <f>AVERAGE(I2195:J2195)</f>
        <v>0</v>
      </c>
      <c r="L2195" s="56" t="str">
        <f>"SW-COMAS-PACKL"</f>
        <v>SW-COMAS-PACKL</v>
      </c>
      <c r="M2195" s="14"/>
      <c r="N2195" s="15"/>
      <c r="O2195" s="12"/>
      <c r="P2195" s="34"/>
      <c r="Q2195" s="37"/>
      <c r="R2195" s="47"/>
      <c r="S2195" s="46"/>
    </row>
    <row r="2196" spans="1:19" ht="15.6" hidden="1" customHeight="1" thickBot="1" x14ac:dyDescent="0.3">
      <c r="A2196" t="s">
        <v>23</v>
      </c>
      <c r="B2196" s="60" t="str">
        <f t="shared" si="1569"/>
        <v>hide</v>
      </c>
      <c r="D2196" s="48" t="str">
        <f>D2195</f>
        <v>25400</v>
      </c>
      <c r="E2196" s="7"/>
      <c r="F2196" s="27">
        <v>0</v>
      </c>
      <c r="G2196" s="27">
        <v>0</v>
      </c>
      <c r="H2196" s="27">
        <v>0</v>
      </c>
      <c r="I2196" s="27">
        <v>0</v>
      </c>
      <c r="J2196" s="27">
        <v>0</v>
      </c>
      <c r="K2196" s="63">
        <f>AVERAGE(I2196:J2196)</f>
        <v>0</v>
      </c>
      <c r="L2196" s="56" t="str">
        <f>"SW-RISER-PACK"</f>
        <v>SW-RISER-PACK</v>
      </c>
      <c r="M2196" s="14"/>
      <c r="N2196" s="15"/>
      <c r="O2196" s="12"/>
      <c r="P2196" s="34"/>
      <c r="Q2196" s="37"/>
      <c r="R2196" s="47"/>
      <c r="S2196" s="46"/>
    </row>
    <row r="2197" spans="1:19" ht="12" hidden="1" customHeight="1" x14ac:dyDescent="0.3">
      <c r="A2197" s="35" t="s">
        <v>908</v>
      </c>
      <c r="B2197" s="49" t="str">
        <f>B2193</f>
        <v>hide</v>
      </c>
      <c r="N2197"/>
      <c r="Q2197" s="33"/>
    </row>
    <row r="2198" spans="1:19" ht="13.8" hidden="1" thickBot="1" x14ac:dyDescent="0.3">
      <c r="A2198" t="s">
        <v>23</v>
      </c>
      <c r="B2198" s="49" t="str">
        <f t="shared" ref="B2198" si="1570">B2197</f>
        <v>hide</v>
      </c>
      <c r="D2198" s="58"/>
      <c r="E2198" s="58"/>
      <c r="F2198" s="52">
        <f>SUM(F2193:F2197)</f>
        <v>0</v>
      </c>
      <c r="G2198" s="52">
        <f>SUM(G2193:G2197)</f>
        <v>0</v>
      </c>
      <c r="H2198" s="52">
        <f>SUM(H2193:H2197)</f>
        <v>0</v>
      </c>
      <c r="I2198" s="52">
        <f>SUM(I2193:I2197)</f>
        <v>0</v>
      </c>
      <c r="J2198" s="52">
        <f>SUM(J2193:J2197)</f>
        <v>0</v>
      </c>
      <c r="K2198" s="52"/>
      <c r="L2198" s="51" t="s">
        <v>4</v>
      </c>
      <c r="M2198" s="58"/>
      <c r="N2198" s="58"/>
      <c r="O2198" s="58"/>
      <c r="P2198" s="58"/>
      <c r="Q2198" s="58"/>
      <c r="R2198" s="58"/>
      <c r="S2198" s="58"/>
    </row>
    <row r="2199" spans="1:19" s="59" customFormat="1" ht="18.75" hidden="1" customHeight="1" thickBot="1" x14ac:dyDescent="0.3">
      <c r="A2199" s="59" t="s">
        <v>23</v>
      </c>
      <c r="B2199" s="60" t="str">
        <f t="shared" ref="B2199:B2200" si="1571">IF(K2199=0,"hide","")</f>
        <v>hide</v>
      </c>
      <c r="D2199" s="61" t="str">
        <f>"25500"</f>
        <v>25500</v>
      </c>
      <c r="E2199" s="62" t="str">
        <f>"1"</f>
        <v>1</v>
      </c>
      <c r="F2199" s="63">
        <v>0</v>
      </c>
      <c r="G2199" s="63">
        <v>0</v>
      </c>
      <c r="H2199" s="63">
        <v>0</v>
      </c>
      <c r="I2199" s="63">
        <v>0</v>
      </c>
      <c r="J2199" s="63">
        <v>0</v>
      </c>
      <c r="K2199" s="63">
        <f>AVERAGE(I2199:J2199)</f>
        <v>0</v>
      </c>
      <c r="L2199" s="64" t="str">
        <f>"Ann PEA BJ Pocket STRWBRY 8ct"</f>
        <v>Ann PEA BJ Pocket STRWBRY 8ct</v>
      </c>
      <c r="M2199" s="65" t="str">
        <f>"600255000  64-2.4oz IW  8-8ct"</f>
        <v>600255000  64-2.4oz IW  8-8ct</v>
      </c>
      <c r="N2199" s="66">
        <v>64</v>
      </c>
      <c r="O2199" s="67" t="str">
        <f>""</f>
        <v/>
      </c>
      <c r="P2199" s="68" t="e">
        <f>1/O2199</f>
        <v>#VALUE!</v>
      </c>
      <c r="Q2199" s="53">
        <v>1</v>
      </c>
      <c r="R2199" s="69">
        <f t="shared" ref="R2199" si="1572">1/Q2199</f>
        <v>1</v>
      </c>
      <c r="S2199" s="70">
        <f t="shared" ref="S2199" si="1573">R2199*N2199</f>
        <v>64</v>
      </c>
    </row>
    <row r="2200" spans="1:19" ht="15.6" hidden="1" customHeight="1" thickBot="1" x14ac:dyDescent="0.3">
      <c r="A2200" t="s">
        <v>23</v>
      </c>
      <c r="B2200" s="60" t="str">
        <f t="shared" si="1571"/>
        <v>hide</v>
      </c>
      <c r="D2200" s="48" t="str">
        <f>D2199</f>
        <v>25500</v>
      </c>
      <c r="E2200" s="7"/>
      <c r="F2200" s="27">
        <v>0</v>
      </c>
      <c r="G2200" s="27">
        <v>0</v>
      </c>
      <c r="H2200" s="27">
        <v>0</v>
      </c>
      <c r="I2200" s="27">
        <v>0</v>
      </c>
      <c r="J2200" s="27">
        <v>0</v>
      </c>
      <c r="K2200" s="63">
        <f>AVERAGE(I2200:J2200)</f>
        <v>0</v>
      </c>
      <c r="L2200" s="56" t="str">
        <f>"EQP-LAWPACK1"</f>
        <v>EQP-LAWPACK1</v>
      </c>
      <c r="M2200" s="14"/>
      <c r="N2200" s="15"/>
      <c r="O2200" s="12"/>
      <c r="P2200" s="34"/>
      <c r="Q2200" s="37"/>
      <c r="R2200" s="47"/>
      <c r="S2200" s="46"/>
    </row>
    <row r="2201" spans="1:19" ht="15.6" hidden="1" customHeight="1" thickBot="1" x14ac:dyDescent="0.3">
      <c r="A2201" t="s">
        <v>23</v>
      </c>
      <c r="B2201" s="60" t="str">
        <f t="shared" ref="B2201:B2203" si="1574">IF(K2201=0,"hide","")</f>
        <v>hide</v>
      </c>
      <c r="D2201" s="48" t="str">
        <f>D2200</f>
        <v>25500</v>
      </c>
      <c r="E2201" s="7"/>
      <c r="F2201" s="27">
        <v>0</v>
      </c>
      <c r="G2201" s="27">
        <v>0</v>
      </c>
      <c r="H2201" s="27">
        <v>0</v>
      </c>
      <c r="I2201" s="27">
        <v>0</v>
      </c>
      <c r="J2201" s="27">
        <v>0</v>
      </c>
      <c r="K2201" s="63">
        <f>AVERAGE(I2201:J2201)</f>
        <v>0</v>
      </c>
      <c r="L2201" s="56" t="str">
        <f>"EQP-LAWPACK2"</f>
        <v>EQP-LAWPACK2</v>
      </c>
      <c r="M2201" s="14"/>
      <c r="N2201" s="15"/>
      <c r="O2201" s="12"/>
      <c r="P2201" s="34"/>
      <c r="Q2201" s="37"/>
      <c r="R2201" s="47"/>
      <c r="S2201" s="46"/>
    </row>
    <row r="2202" spans="1:19" ht="15.6" hidden="1" customHeight="1" thickBot="1" x14ac:dyDescent="0.3">
      <c r="A2202" t="s">
        <v>23</v>
      </c>
      <c r="B2202" s="60" t="str">
        <f t="shared" si="1574"/>
        <v>hide</v>
      </c>
      <c r="D2202" s="48" t="str">
        <f>D2201</f>
        <v>25500</v>
      </c>
      <c r="E2202" s="7"/>
      <c r="F2202" s="27">
        <v>0</v>
      </c>
      <c r="G2202" s="27">
        <v>0</v>
      </c>
      <c r="H2202" s="27">
        <v>0</v>
      </c>
      <c r="I2202" s="27">
        <v>0</v>
      </c>
      <c r="J2202" s="27">
        <v>0</v>
      </c>
      <c r="K2202" s="63">
        <f>AVERAGE(I2202:J2202)</f>
        <v>0</v>
      </c>
      <c r="L2202" s="56" t="str">
        <f>"SW-COMAS-PACKL"</f>
        <v>SW-COMAS-PACKL</v>
      </c>
      <c r="M2202" s="14"/>
      <c r="N2202" s="15"/>
      <c r="O2202" s="12"/>
      <c r="P2202" s="34"/>
      <c r="Q2202" s="37"/>
      <c r="R2202" s="47"/>
      <c r="S2202" s="46"/>
    </row>
    <row r="2203" spans="1:19" ht="15.6" hidden="1" customHeight="1" thickBot="1" x14ac:dyDescent="0.3">
      <c r="A2203" t="s">
        <v>23</v>
      </c>
      <c r="B2203" s="60" t="str">
        <f t="shared" si="1574"/>
        <v>hide</v>
      </c>
      <c r="D2203" s="48" t="str">
        <f>D2202</f>
        <v>25500</v>
      </c>
      <c r="E2203" s="7"/>
      <c r="F2203" s="27">
        <v>0</v>
      </c>
      <c r="G2203" s="27">
        <v>0</v>
      </c>
      <c r="H2203" s="27">
        <v>0</v>
      </c>
      <c r="I2203" s="27">
        <v>0</v>
      </c>
      <c r="J2203" s="27">
        <v>0</v>
      </c>
      <c r="K2203" s="63">
        <f>AVERAGE(I2203:J2203)</f>
        <v>0</v>
      </c>
      <c r="L2203" s="56" t="str">
        <f>"SW-RISER-PACK"</f>
        <v>SW-RISER-PACK</v>
      </c>
      <c r="M2203" s="14"/>
      <c r="N2203" s="15"/>
      <c r="O2203" s="12"/>
      <c r="P2203" s="34"/>
      <c r="Q2203" s="37"/>
      <c r="R2203" s="47"/>
      <c r="S2203" s="46"/>
    </row>
    <row r="2204" spans="1:19" ht="12" hidden="1" customHeight="1" x14ac:dyDescent="0.3">
      <c r="A2204" s="35" t="s">
        <v>908</v>
      </c>
      <c r="B2204" s="49" t="str">
        <f>B2200</f>
        <v>hide</v>
      </c>
      <c r="N2204"/>
      <c r="Q2204" s="33"/>
    </row>
    <row r="2205" spans="1:19" ht="13.8" hidden="1" thickBot="1" x14ac:dyDescent="0.3">
      <c r="A2205" t="s">
        <v>23</v>
      </c>
      <c r="B2205" s="49" t="str">
        <f t="shared" ref="B2205" si="1575">B2204</f>
        <v>hide</v>
      </c>
      <c r="D2205" s="58"/>
      <c r="E2205" s="58"/>
      <c r="F2205" s="52">
        <f>SUM(F2200:F2204)</f>
        <v>0</v>
      </c>
      <c r="G2205" s="52">
        <f>SUM(G2200:G2204)</f>
        <v>0</v>
      </c>
      <c r="H2205" s="52">
        <f>SUM(H2200:H2204)</f>
        <v>0</v>
      </c>
      <c r="I2205" s="52">
        <f>SUM(I2200:I2204)</f>
        <v>0</v>
      </c>
      <c r="J2205" s="52">
        <f>SUM(J2200:J2204)</f>
        <v>0</v>
      </c>
      <c r="K2205" s="52"/>
      <c r="L2205" s="51" t="s">
        <v>4</v>
      </c>
      <c r="M2205" s="58"/>
      <c r="N2205" s="58"/>
      <c r="O2205" s="58"/>
      <c r="P2205" s="58"/>
      <c r="Q2205" s="58"/>
      <c r="R2205" s="58"/>
      <c r="S2205" s="58"/>
    </row>
    <row r="2206" spans="1:19" s="59" customFormat="1" ht="18.75" hidden="1" customHeight="1" thickBot="1" x14ac:dyDescent="0.3">
      <c r="A2206" s="59" t="s">
        <v>23</v>
      </c>
      <c r="B2206" s="60" t="str">
        <f t="shared" ref="B2206:B2207" si="1576">IF(K2206=0,"hide","")</f>
        <v>hide</v>
      </c>
      <c r="D2206" s="61" t="str">
        <f>"26605"</f>
        <v>26605</v>
      </c>
      <c r="E2206" s="62" t="str">
        <f>"3"</f>
        <v>3</v>
      </c>
      <c r="F2206" s="63">
        <v>242</v>
      </c>
      <c r="G2206" s="63">
        <v>103.33333333333333</v>
      </c>
      <c r="H2206" s="63">
        <v>0</v>
      </c>
      <c r="I2206" s="63">
        <v>0</v>
      </c>
      <c r="J2206" s="63">
        <v>0</v>
      </c>
      <c r="K2206" s="63">
        <f>AVERAGE(I2206:J2206)</f>
        <v>0</v>
      </c>
      <c r="L2206" s="64" t="str">
        <f>"WG CORN MUFFINS (2GE)"</f>
        <v>WG CORN MUFFINS (2GE)</v>
      </c>
      <c r="M2206" s="65" t="str">
        <f>"72-2.5oz. 3-24 pk."</f>
        <v>72-2.5oz. 3-24 pk.</v>
      </c>
      <c r="N2206" s="66">
        <v>72</v>
      </c>
      <c r="O2206" s="67" t="str">
        <f>""</f>
        <v/>
      </c>
      <c r="P2206" s="68" t="e">
        <f>1/O2206</f>
        <v>#VALUE!</v>
      </c>
      <c r="Q2206" s="53">
        <v>1</v>
      </c>
      <c r="R2206" s="69">
        <f t="shared" ref="R2206" si="1577">1/Q2206</f>
        <v>1</v>
      </c>
      <c r="S2206" s="70">
        <f t="shared" ref="S2206" si="1578">R2206*N2206</f>
        <v>72</v>
      </c>
    </row>
    <row r="2207" spans="1:19" ht="15.6" hidden="1" customHeight="1" thickBot="1" x14ac:dyDescent="0.3">
      <c r="A2207" t="s">
        <v>23</v>
      </c>
      <c r="B2207" s="60" t="str">
        <f t="shared" si="1576"/>
        <v>hide</v>
      </c>
      <c r="D2207" s="48" t="str">
        <f>D2206</f>
        <v>26605</v>
      </c>
      <c r="E2207" s="7"/>
      <c r="F2207" s="27">
        <v>0</v>
      </c>
      <c r="G2207" s="27">
        <v>0</v>
      </c>
      <c r="H2207" s="27">
        <v>0</v>
      </c>
      <c r="I2207" s="27">
        <v>0</v>
      </c>
      <c r="J2207" s="27">
        <v>0</v>
      </c>
      <c r="K2207" s="63">
        <f>AVERAGE(I2207:J2207)</f>
        <v>0</v>
      </c>
      <c r="L2207" s="56" t="str">
        <f>"EQP-LAWPACK1"</f>
        <v>EQP-LAWPACK1</v>
      </c>
      <c r="M2207" s="14"/>
      <c r="N2207" s="15"/>
      <c r="O2207" s="12"/>
      <c r="P2207" s="34"/>
      <c r="Q2207" s="37"/>
      <c r="R2207" s="47"/>
      <c r="S2207" s="46"/>
    </row>
    <row r="2208" spans="1:19" ht="15.6" hidden="1" customHeight="1" thickBot="1" x14ac:dyDescent="0.3">
      <c r="A2208" t="s">
        <v>23</v>
      </c>
      <c r="B2208" s="60" t="str">
        <f t="shared" ref="B2208:B2210" si="1579">IF(K2208=0,"hide","")</f>
        <v>hide</v>
      </c>
      <c r="D2208" s="48" t="str">
        <f>D2207</f>
        <v>26605</v>
      </c>
      <c r="E2208" s="7"/>
      <c r="F2208" s="27">
        <v>0</v>
      </c>
      <c r="G2208" s="27">
        <v>0</v>
      </c>
      <c r="H2208" s="27">
        <v>0</v>
      </c>
      <c r="I2208" s="27">
        <v>0</v>
      </c>
      <c r="J2208" s="27">
        <v>0</v>
      </c>
      <c r="K2208" s="63">
        <f>AVERAGE(I2208:J2208)</f>
        <v>0</v>
      </c>
      <c r="L2208" s="56" t="str">
        <f>"EQP-LAWPACK2"</f>
        <v>EQP-LAWPACK2</v>
      </c>
      <c r="M2208" s="14"/>
      <c r="N2208" s="15"/>
      <c r="O2208" s="12"/>
      <c r="P2208" s="34"/>
      <c r="Q2208" s="37"/>
      <c r="R2208" s="47"/>
      <c r="S2208" s="46"/>
    </row>
    <row r="2209" spans="1:19" ht="15.6" hidden="1" customHeight="1" thickBot="1" x14ac:dyDescent="0.3">
      <c r="A2209" t="s">
        <v>23</v>
      </c>
      <c r="B2209" s="60" t="str">
        <f t="shared" si="1579"/>
        <v>hide</v>
      </c>
      <c r="D2209" s="48" t="str">
        <f>D2208</f>
        <v>26605</v>
      </c>
      <c r="E2209" s="7"/>
      <c r="F2209" s="27">
        <v>0</v>
      </c>
      <c r="G2209" s="27">
        <v>0</v>
      </c>
      <c r="H2209" s="27">
        <v>0</v>
      </c>
      <c r="I2209" s="27">
        <v>0</v>
      </c>
      <c r="J2209" s="27">
        <v>0</v>
      </c>
      <c r="K2209" s="63">
        <f>AVERAGE(I2209:J2209)</f>
        <v>0</v>
      </c>
      <c r="L2209" s="56" t="str">
        <f>"SW-COMAS-PACKL"</f>
        <v>SW-COMAS-PACKL</v>
      </c>
      <c r="M2209" s="14"/>
      <c r="N2209" s="15"/>
      <c r="O2209" s="12"/>
      <c r="P2209" s="34"/>
      <c r="Q2209" s="37"/>
      <c r="R2209" s="47"/>
      <c r="S2209" s="46"/>
    </row>
    <row r="2210" spans="1:19" ht="15.6" hidden="1" customHeight="1" thickBot="1" x14ac:dyDescent="0.3">
      <c r="A2210" t="s">
        <v>23</v>
      </c>
      <c r="B2210" s="60" t="str">
        <f t="shared" si="1579"/>
        <v>hide</v>
      </c>
      <c r="D2210" s="48" t="str">
        <f>D2209</f>
        <v>26605</v>
      </c>
      <c r="E2210" s="7"/>
      <c r="F2210" s="27">
        <v>0</v>
      </c>
      <c r="G2210" s="27">
        <v>0</v>
      </c>
      <c r="H2210" s="27">
        <v>0</v>
      </c>
      <c r="I2210" s="27">
        <v>0</v>
      </c>
      <c r="J2210" s="27">
        <v>0</v>
      </c>
      <c r="K2210" s="63">
        <f>AVERAGE(I2210:J2210)</f>
        <v>0</v>
      </c>
      <c r="L2210" s="56" t="str">
        <f>"SW-RISER-PACK"</f>
        <v>SW-RISER-PACK</v>
      </c>
      <c r="M2210" s="14"/>
      <c r="N2210" s="15"/>
      <c r="O2210" s="12"/>
      <c r="P2210" s="34"/>
      <c r="Q2210" s="37"/>
      <c r="R2210" s="47"/>
      <c r="S2210" s="46"/>
    </row>
    <row r="2211" spans="1:19" ht="12" hidden="1" customHeight="1" x14ac:dyDescent="0.3">
      <c r="A2211" s="35" t="s">
        <v>908</v>
      </c>
      <c r="B2211" s="49" t="str">
        <f>B2207</f>
        <v>hide</v>
      </c>
      <c r="N2211"/>
      <c r="Q2211" s="33"/>
    </row>
    <row r="2212" spans="1:19" ht="13.8" hidden="1" thickBot="1" x14ac:dyDescent="0.3">
      <c r="A2212" t="s">
        <v>23</v>
      </c>
      <c r="B2212" s="49" t="str">
        <f t="shared" ref="B2212" si="1580">B2211</f>
        <v>hide</v>
      </c>
      <c r="D2212" s="58"/>
      <c r="E2212" s="58"/>
      <c r="F2212" s="52">
        <f>SUM(F2207:F2211)</f>
        <v>0</v>
      </c>
      <c r="G2212" s="52">
        <f>SUM(G2207:G2211)</f>
        <v>0</v>
      </c>
      <c r="H2212" s="52">
        <f>SUM(H2207:H2211)</f>
        <v>0</v>
      </c>
      <c r="I2212" s="52">
        <f>SUM(I2207:I2211)</f>
        <v>0</v>
      </c>
      <c r="J2212" s="52">
        <f>SUM(J2207:J2211)</f>
        <v>0</v>
      </c>
      <c r="K2212" s="52"/>
      <c r="L2212" s="51" t="s">
        <v>4</v>
      </c>
      <c r="M2212" s="58"/>
      <c r="N2212" s="58"/>
      <c r="O2212" s="58"/>
      <c r="P2212" s="58"/>
      <c r="Q2212" s="58"/>
      <c r="R2212" s="58"/>
      <c r="S2212" s="58"/>
    </row>
    <row r="2213" spans="1:19" s="59" customFormat="1" ht="18.75" hidden="1" customHeight="1" thickBot="1" x14ac:dyDescent="0.3">
      <c r="A2213" s="59" t="s">
        <v>23</v>
      </c>
      <c r="B2213" s="60" t="str">
        <f t="shared" ref="B2213:B2214" si="1581">IF(K2213=0,"hide","")</f>
        <v>hide</v>
      </c>
      <c r="D2213" s="61" t="str">
        <f>"26625"</f>
        <v>26625</v>
      </c>
      <c r="E2213" s="62" t="str">
        <f>"2"</f>
        <v>2</v>
      </c>
      <c r="F2213" s="63">
        <v>0</v>
      </c>
      <c r="G2213" s="63">
        <v>0</v>
      </c>
      <c r="H2213" s="63">
        <v>0</v>
      </c>
      <c r="I2213" s="63">
        <v>0</v>
      </c>
      <c r="J2213" s="63">
        <v>0</v>
      </c>
      <c r="K2213" s="63">
        <f>AVERAGE(I2213:J2213)</f>
        <v>0</v>
      </c>
      <c r="L2213" s="64" t="str">
        <f>"WG JALAPENO CORN MUFFINS (2GE)"</f>
        <v>WG JALAPENO CORN MUFFINS (2GE)</v>
      </c>
      <c r="M2213" s="65" t="str">
        <f>"72-2.5oz. 3-24 pk."</f>
        <v>72-2.5oz. 3-24 pk.</v>
      </c>
      <c r="N2213" s="66">
        <v>72</v>
      </c>
      <c r="O2213" s="67" t="str">
        <f>""</f>
        <v/>
      </c>
      <c r="P2213" s="68" t="e">
        <f>1/O2213</f>
        <v>#VALUE!</v>
      </c>
      <c r="Q2213" s="53">
        <v>1</v>
      </c>
      <c r="R2213" s="69">
        <f t="shared" ref="R2213" si="1582">1/Q2213</f>
        <v>1</v>
      </c>
      <c r="S2213" s="70">
        <f t="shared" ref="S2213" si="1583">R2213*N2213</f>
        <v>72</v>
      </c>
    </row>
    <row r="2214" spans="1:19" ht="15.6" hidden="1" customHeight="1" thickBot="1" x14ac:dyDescent="0.3">
      <c r="A2214" t="s">
        <v>23</v>
      </c>
      <c r="B2214" s="60" t="str">
        <f t="shared" si="1581"/>
        <v>hide</v>
      </c>
      <c r="D2214" s="48" t="str">
        <f>D2213</f>
        <v>26625</v>
      </c>
      <c r="E2214" s="7"/>
      <c r="F2214" s="27">
        <v>0</v>
      </c>
      <c r="G2214" s="27">
        <v>0</v>
      </c>
      <c r="H2214" s="27">
        <v>0</v>
      </c>
      <c r="I2214" s="27">
        <v>0</v>
      </c>
      <c r="J2214" s="27">
        <v>0</v>
      </c>
      <c r="K2214" s="63">
        <f>AVERAGE(I2214:J2214)</f>
        <v>0</v>
      </c>
      <c r="L2214" s="56" t="str">
        <f>"EQP-LAWPACK1"</f>
        <v>EQP-LAWPACK1</v>
      </c>
      <c r="M2214" s="14"/>
      <c r="N2214" s="15"/>
      <c r="O2214" s="12"/>
      <c r="P2214" s="34"/>
      <c r="Q2214" s="37"/>
      <c r="R2214" s="47"/>
      <c r="S2214" s="46"/>
    </row>
    <row r="2215" spans="1:19" ht="15.6" hidden="1" customHeight="1" thickBot="1" x14ac:dyDescent="0.3">
      <c r="A2215" t="s">
        <v>23</v>
      </c>
      <c r="B2215" s="60" t="str">
        <f t="shared" ref="B2215:B2217" si="1584">IF(K2215=0,"hide","")</f>
        <v>hide</v>
      </c>
      <c r="D2215" s="48" t="str">
        <f>D2214</f>
        <v>26625</v>
      </c>
      <c r="E2215" s="7"/>
      <c r="F2215" s="27">
        <v>0</v>
      </c>
      <c r="G2215" s="27">
        <v>0</v>
      </c>
      <c r="H2215" s="27">
        <v>0</v>
      </c>
      <c r="I2215" s="27">
        <v>0</v>
      </c>
      <c r="J2215" s="27">
        <v>0</v>
      </c>
      <c r="K2215" s="63">
        <f>AVERAGE(I2215:J2215)</f>
        <v>0</v>
      </c>
      <c r="L2215" s="56" t="str">
        <f>"EQP-LAWPACK2"</f>
        <v>EQP-LAWPACK2</v>
      </c>
      <c r="M2215" s="14"/>
      <c r="N2215" s="15"/>
      <c r="O2215" s="12"/>
      <c r="P2215" s="34"/>
      <c r="Q2215" s="37"/>
      <c r="R2215" s="47"/>
      <c r="S2215" s="46"/>
    </row>
    <row r="2216" spans="1:19" ht="15.6" hidden="1" customHeight="1" thickBot="1" x14ac:dyDescent="0.3">
      <c r="A2216" t="s">
        <v>23</v>
      </c>
      <c r="B2216" s="60" t="str">
        <f t="shared" si="1584"/>
        <v>hide</v>
      </c>
      <c r="D2216" s="48" t="str">
        <f>D2215</f>
        <v>26625</v>
      </c>
      <c r="E2216" s="7"/>
      <c r="F2216" s="27">
        <v>0</v>
      </c>
      <c r="G2216" s="27">
        <v>0</v>
      </c>
      <c r="H2216" s="27">
        <v>0</v>
      </c>
      <c r="I2216" s="27">
        <v>0</v>
      </c>
      <c r="J2216" s="27">
        <v>0</v>
      </c>
      <c r="K2216" s="63">
        <f>AVERAGE(I2216:J2216)</f>
        <v>0</v>
      </c>
      <c r="L2216" s="56" t="str">
        <f>"SW-COMAS-PACKL"</f>
        <v>SW-COMAS-PACKL</v>
      </c>
      <c r="M2216" s="14"/>
      <c r="N2216" s="15"/>
      <c r="O2216" s="12"/>
      <c r="P2216" s="34"/>
      <c r="Q2216" s="37"/>
      <c r="R2216" s="47"/>
      <c r="S2216" s="46"/>
    </row>
    <row r="2217" spans="1:19" ht="15.6" hidden="1" customHeight="1" thickBot="1" x14ac:dyDescent="0.3">
      <c r="A2217" t="s">
        <v>23</v>
      </c>
      <c r="B2217" s="60" t="str">
        <f t="shared" si="1584"/>
        <v>hide</v>
      </c>
      <c r="D2217" s="48" t="str">
        <f>D2216</f>
        <v>26625</v>
      </c>
      <c r="E2217" s="7"/>
      <c r="F2217" s="27">
        <v>0</v>
      </c>
      <c r="G2217" s="27">
        <v>0</v>
      </c>
      <c r="H2217" s="27">
        <v>0</v>
      </c>
      <c r="I2217" s="27">
        <v>0</v>
      </c>
      <c r="J2217" s="27">
        <v>0</v>
      </c>
      <c r="K2217" s="63">
        <f>AVERAGE(I2217:J2217)</f>
        <v>0</v>
      </c>
      <c r="L2217" s="56" t="str">
        <f>"SW-RISER-PACK"</f>
        <v>SW-RISER-PACK</v>
      </c>
      <c r="M2217" s="14"/>
      <c r="N2217" s="15"/>
      <c r="O2217" s="12"/>
      <c r="P2217" s="34"/>
      <c r="Q2217" s="37"/>
      <c r="R2217" s="47"/>
      <c r="S2217" s="46"/>
    </row>
    <row r="2218" spans="1:19" ht="12" hidden="1" customHeight="1" x14ac:dyDescent="0.3">
      <c r="A2218" s="35" t="s">
        <v>908</v>
      </c>
      <c r="B2218" s="49" t="str">
        <f>B2214</f>
        <v>hide</v>
      </c>
      <c r="N2218"/>
      <c r="Q2218" s="33"/>
    </row>
    <row r="2219" spans="1:19" ht="13.8" hidden="1" thickBot="1" x14ac:dyDescent="0.3">
      <c r="A2219" t="s">
        <v>23</v>
      </c>
      <c r="B2219" s="49" t="str">
        <f t="shared" ref="B2219" si="1585">B2218</f>
        <v>hide</v>
      </c>
      <c r="D2219" s="58"/>
      <c r="E2219" s="58"/>
      <c r="F2219" s="52">
        <f>SUM(F2214:F2218)</f>
        <v>0</v>
      </c>
      <c r="G2219" s="52">
        <f>SUM(G2214:G2218)</f>
        <v>0</v>
      </c>
      <c r="H2219" s="52">
        <f>SUM(H2214:H2218)</f>
        <v>0</v>
      </c>
      <c r="I2219" s="52">
        <f>SUM(I2214:I2218)</f>
        <v>0</v>
      </c>
      <c r="J2219" s="52">
        <f>SUM(J2214:J2218)</f>
        <v>0</v>
      </c>
      <c r="K2219" s="52"/>
      <c r="L2219" s="51" t="s">
        <v>4</v>
      </c>
      <c r="M2219" s="58"/>
      <c r="N2219" s="58"/>
      <c r="O2219" s="58"/>
      <c r="P2219" s="58"/>
      <c r="Q2219" s="58"/>
      <c r="R2219" s="58"/>
      <c r="S2219" s="58"/>
    </row>
    <row r="2220" spans="1:19" s="59" customFormat="1" ht="18.75" customHeight="1" thickBot="1" x14ac:dyDescent="0.3">
      <c r="A2220" s="59" t="s">
        <v>23</v>
      </c>
      <c r="B2220" s="60" t="str">
        <f t="shared" ref="B2220:B2221" si="1586">IF(K2220=0,"hide","")</f>
        <v/>
      </c>
      <c r="D2220" s="61" t="str">
        <f>"27205"</f>
        <v>27205</v>
      </c>
      <c r="E2220" s="62" t="str">
        <f>"1"</f>
        <v>1</v>
      </c>
      <c r="F2220" s="63">
        <v>0</v>
      </c>
      <c r="G2220" s="63">
        <v>0</v>
      </c>
      <c r="H2220" s="63">
        <v>0</v>
      </c>
      <c r="I2220" s="63">
        <v>0</v>
      </c>
      <c r="J2220" s="63">
        <v>400.9053012048193</v>
      </c>
      <c r="K2220" s="63">
        <f>AVERAGE(I2220:J2220)</f>
        <v>200.45265060240965</v>
      </c>
      <c r="L2220" s="64" t="str">
        <f>"CORNBREAD LOAVES"</f>
        <v>CORNBREAD LOAVES</v>
      </c>
      <c r="M2220" s="65" t="str">
        <f>"120-2 oz. 10 packs of 12"</f>
        <v>120-2 oz. 10 packs of 12</v>
      </c>
      <c r="N2220" s="66">
        <v>120</v>
      </c>
      <c r="O2220" s="67">
        <v>3.3400000000000001E-3</v>
      </c>
      <c r="P2220" s="68">
        <f>1/O2220</f>
        <v>299.40119760479041</v>
      </c>
      <c r="Q2220" s="53">
        <v>3.8400000000000001E-3</v>
      </c>
      <c r="R2220" s="69">
        <f t="shared" ref="R2220" si="1587">1/Q2220</f>
        <v>260.41666666666669</v>
      </c>
      <c r="S2220" s="70">
        <f t="shared" ref="S2220" si="1588">R2220*N2220</f>
        <v>31250.000000000004</v>
      </c>
    </row>
    <row r="2221" spans="1:19" ht="15.6" customHeight="1" thickBot="1" x14ac:dyDescent="0.3">
      <c r="A2221" t="s">
        <v>23</v>
      </c>
      <c r="B2221" s="60" t="str">
        <f t="shared" si="1586"/>
        <v/>
      </c>
      <c r="D2221" s="48" t="str">
        <f>D2220</f>
        <v>27205</v>
      </c>
      <c r="E2221" s="7"/>
      <c r="F2221" s="27">
        <v>0</v>
      </c>
      <c r="G2221" s="27">
        <v>0</v>
      </c>
      <c r="H2221" s="27">
        <v>0</v>
      </c>
      <c r="I2221" s="27">
        <v>0</v>
      </c>
      <c r="J2221" s="27">
        <v>-408.61108433734944</v>
      </c>
      <c r="K2221" s="63">
        <f>AVERAGE(I2221:J2221)</f>
        <v>-204.30554216867472</v>
      </c>
      <c r="L2221" s="56" t="str">
        <f>"EQP-LAWPACK1"</f>
        <v>EQP-LAWPACK1</v>
      </c>
      <c r="M2221" s="14"/>
      <c r="N2221" s="15"/>
      <c r="O2221" s="12"/>
      <c r="P2221" s="34"/>
      <c r="Q2221" s="37"/>
      <c r="R2221" s="47"/>
      <c r="S2221" s="46"/>
    </row>
    <row r="2222" spans="1:19" ht="15.6" hidden="1" customHeight="1" thickBot="1" x14ac:dyDescent="0.3">
      <c r="A2222" t="s">
        <v>23</v>
      </c>
      <c r="B2222" s="60" t="str">
        <f t="shared" ref="B2222:B2224" si="1589">IF(K2222=0,"hide","")</f>
        <v>hide</v>
      </c>
      <c r="D2222" s="48" t="str">
        <f>D2221</f>
        <v>27205</v>
      </c>
      <c r="E2222" s="7"/>
      <c r="F2222" s="27">
        <v>0</v>
      </c>
      <c r="G2222" s="27">
        <v>0</v>
      </c>
      <c r="H2222" s="27">
        <v>0</v>
      </c>
      <c r="I2222" s="27">
        <v>0</v>
      </c>
      <c r="J2222" s="27">
        <v>0</v>
      </c>
      <c r="K2222" s="63">
        <f>AVERAGE(I2222:J2222)</f>
        <v>0</v>
      </c>
      <c r="L2222" s="56" t="str">
        <f>"EQP-LAWPACK2"</f>
        <v>EQP-LAWPACK2</v>
      </c>
      <c r="M2222" s="14"/>
      <c r="N2222" s="15"/>
      <c r="O2222" s="12"/>
      <c r="P2222" s="34"/>
      <c r="Q2222" s="37"/>
      <c r="R2222" s="47"/>
      <c r="S2222" s="46"/>
    </row>
    <row r="2223" spans="1:19" ht="15.6" hidden="1" customHeight="1" thickBot="1" x14ac:dyDescent="0.3">
      <c r="A2223" t="s">
        <v>23</v>
      </c>
      <c r="B2223" s="60" t="str">
        <f t="shared" si="1589"/>
        <v>hide</v>
      </c>
      <c r="D2223" s="48" t="str">
        <f>D2222</f>
        <v>27205</v>
      </c>
      <c r="E2223" s="7"/>
      <c r="F2223" s="27">
        <v>0</v>
      </c>
      <c r="G2223" s="27">
        <v>0</v>
      </c>
      <c r="H2223" s="27">
        <v>0</v>
      </c>
      <c r="I2223" s="27">
        <v>0</v>
      </c>
      <c r="J2223" s="27">
        <v>0</v>
      </c>
      <c r="K2223" s="63">
        <f>AVERAGE(I2223:J2223)</f>
        <v>0</v>
      </c>
      <c r="L2223" s="56" t="str">
        <f>"SW-COMAS-PACKL"</f>
        <v>SW-COMAS-PACKL</v>
      </c>
      <c r="M2223" s="14"/>
      <c r="N2223" s="15"/>
      <c r="O2223" s="12"/>
      <c r="P2223" s="34"/>
      <c r="Q2223" s="37"/>
      <c r="R2223" s="47"/>
      <c r="S2223" s="46"/>
    </row>
    <row r="2224" spans="1:19" ht="15.6" hidden="1" customHeight="1" thickBot="1" x14ac:dyDescent="0.3">
      <c r="A2224" t="s">
        <v>23</v>
      </c>
      <c r="B2224" s="60" t="str">
        <f t="shared" si="1589"/>
        <v>hide</v>
      </c>
      <c r="D2224" s="48" t="str">
        <f>D2223</f>
        <v>27205</v>
      </c>
      <c r="E2224" s="7"/>
      <c r="F2224" s="27">
        <v>0</v>
      </c>
      <c r="G2224" s="27">
        <v>0</v>
      </c>
      <c r="H2224" s="27">
        <v>0</v>
      </c>
      <c r="I2224" s="27">
        <v>0</v>
      </c>
      <c r="J2224" s="27">
        <v>0</v>
      </c>
      <c r="K2224" s="63">
        <f>AVERAGE(I2224:J2224)</f>
        <v>0</v>
      </c>
      <c r="L2224" s="56" t="str">
        <f>"SW-RISER-PACK"</f>
        <v>SW-RISER-PACK</v>
      </c>
      <c r="M2224" s="14"/>
      <c r="N2224" s="15"/>
      <c r="O2224" s="12"/>
      <c r="P2224" s="34"/>
      <c r="Q2224" s="37"/>
      <c r="R2224" s="47"/>
      <c r="S2224" s="46"/>
    </row>
    <row r="2225" spans="1:19" ht="12" hidden="1" customHeight="1" x14ac:dyDescent="0.25">
      <c r="A2225" s="35" t="s">
        <v>908</v>
      </c>
      <c r="B2225" s="49" t="str">
        <f>B2221</f>
        <v/>
      </c>
      <c r="N2225"/>
      <c r="Q2225" s="33"/>
    </row>
    <row r="2226" spans="1:19" ht="13.8" thickBot="1" x14ac:dyDescent="0.3">
      <c r="A2226" t="s">
        <v>23</v>
      </c>
      <c r="B2226" s="49" t="str">
        <f t="shared" ref="B2226" si="1590">B2225</f>
        <v/>
      </c>
      <c r="D2226" s="58"/>
      <c r="E2226" s="58"/>
      <c r="F2226" s="52">
        <f>SUM(F2221:F2225)</f>
        <v>0</v>
      </c>
      <c r="G2226" s="52">
        <f>SUM(G2221:G2225)</f>
        <v>0</v>
      </c>
      <c r="H2226" s="52">
        <f>SUM(H2221:H2225)</f>
        <v>0</v>
      </c>
      <c r="I2226" s="52">
        <f>SUM(I2221:I2225)</f>
        <v>0</v>
      </c>
      <c r="J2226" s="52">
        <f>SUM(J2221:J2225)</f>
        <v>-408.61108433734944</v>
      </c>
      <c r="K2226" s="52"/>
      <c r="L2226" s="51" t="s">
        <v>4</v>
      </c>
      <c r="M2226" s="58"/>
      <c r="N2226" s="58"/>
      <c r="O2226" s="58"/>
      <c r="P2226" s="58"/>
      <c r="Q2226" s="58"/>
      <c r="R2226" s="58"/>
      <c r="S2226" s="58"/>
    </row>
    <row r="2227" spans="1:19" s="59" customFormat="1" ht="18.75" customHeight="1" thickBot="1" x14ac:dyDescent="0.3">
      <c r="A2227" s="59" t="s">
        <v>23</v>
      </c>
      <c r="B2227" s="60" t="str">
        <f t="shared" ref="B2227:B2228" si="1591">IF(K2227=0,"hide","")</f>
        <v/>
      </c>
      <c r="D2227" s="61" t="str">
        <f>"27305"</f>
        <v>27305</v>
      </c>
      <c r="E2227" s="62" t="str">
        <f>"1"</f>
        <v>1</v>
      </c>
      <c r="F2227" s="63">
        <v>0</v>
      </c>
      <c r="G2227" s="63">
        <v>0</v>
      </c>
      <c r="H2227" s="63">
        <v>11.333333333333334</v>
      </c>
      <c r="I2227" s="63">
        <v>52.5</v>
      </c>
      <c r="J2227" s="63">
        <v>81.149397590361446</v>
      </c>
      <c r="K2227" s="63">
        <f>AVERAGE(I2227:J2227)</f>
        <v>66.824698795180723</v>
      </c>
      <c r="L2227" s="64" t="str">
        <f>"SABRINA'S CORNBREAD LOAVES"</f>
        <v>SABRINA'S CORNBREAD LOAVES</v>
      </c>
      <c r="M2227" s="65" t="str">
        <f>"120-2 oz. 10 packs of 12"</f>
        <v>120-2 oz. 10 packs of 12</v>
      </c>
      <c r="N2227" s="66">
        <v>120</v>
      </c>
      <c r="O2227" s="67">
        <v>0</v>
      </c>
      <c r="P2227" s="68" t="e">
        <f>1/O2227</f>
        <v>#DIV/0!</v>
      </c>
      <c r="Q2227" s="53">
        <v>3.3400000000000001E-3</v>
      </c>
      <c r="R2227" s="69">
        <f t="shared" ref="R2227" si="1592">1/Q2227</f>
        <v>299.40119760479041</v>
      </c>
      <c r="S2227" s="70">
        <f t="shared" ref="S2227" si="1593">R2227*N2227</f>
        <v>35928.143712574849</v>
      </c>
    </row>
    <row r="2228" spans="1:19" ht="15.6" hidden="1" customHeight="1" thickBot="1" x14ac:dyDescent="0.3">
      <c r="A2228" t="s">
        <v>23</v>
      </c>
      <c r="B2228" s="60" t="str">
        <f t="shared" si="1591"/>
        <v>hide</v>
      </c>
      <c r="D2228" s="48" t="str">
        <f>D2227</f>
        <v>27305</v>
      </c>
      <c r="E2228" s="7"/>
      <c r="F2228" s="27">
        <v>0</v>
      </c>
      <c r="G2228" s="27">
        <v>0</v>
      </c>
      <c r="H2228" s="27">
        <v>0</v>
      </c>
      <c r="I2228" s="27">
        <v>0</v>
      </c>
      <c r="J2228" s="27">
        <v>0</v>
      </c>
      <c r="K2228" s="63">
        <f>AVERAGE(I2228:J2228)</f>
        <v>0</v>
      </c>
      <c r="L2228" s="56" t="str">
        <f>"EQP-LAWPACK1"</f>
        <v>EQP-LAWPACK1</v>
      </c>
      <c r="M2228" s="14"/>
      <c r="N2228" s="15"/>
      <c r="O2228" s="12"/>
      <c r="P2228" s="34"/>
      <c r="Q2228" s="37"/>
      <c r="R2228" s="47"/>
      <c r="S2228" s="46"/>
    </row>
    <row r="2229" spans="1:19" ht="15.6" hidden="1" customHeight="1" thickBot="1" x14ac:dyDescent="0.3">
      <c r="A2229" t="s">
        <v>23</v>
      </c>
      <c r="B2229" s="60" t="str">
        <f t="shared" ref="B2229:B2231" si="1594">IF(K2229=0,"hide","")</f>
        <v>hide</v>
      </c>
      <c r="D2229" s="48" t="str">
        <f>D2228</f>
        <v>27305</v>
      </c>
      <c r="E2229" s="7"/>
      <c r="F2229" s="27">
        <v>0</v>
      </c>
      <c r="G2229" s="27">
        <v>0</v>
      </c>
      <c r="H2229" s="27">
        <v>0</v>
      </c>
      <c r="I2229" s="27">
        <v>0</v>
      </c>
      <c r="J2229" s="27">
        <v>0</v>
      </c>
      <c r="K2229" s="63">
        <f>AVERAGE(I2229:J2229)</f>
        <v>0</v>
      </c>
      <c r="L2229" s="56" t="str">
        <f>"EQP-LAWPACK2"</f>
        <v>EQP-LAWPACK2</v>
      </c>
      <c r="M2229" s="14"/>
      <c r="N2229" s="15"/>
      <c r="O2229" s="12"/>
      <c r="P2229" s="34"/>
      <c r="Q2229" s="37"/>
      <c r="R2229" s="47"/>
      <c r="S2229" s="46"/>
    </row>
    <row r="2230" spans="1:19" ht="15.6" hidden="1" customHeight="1" thickBot="1" x14ac:dyDescent="0.3">
      <c r="A2230" t="s">
        <v>23</v>
      </c>
      <c r="B2230" s="60" t="str">
        <f t="shared" si="1594"/>
        <v>hide</v>
      </c>
      <c r="D2230" s="48" t="str">
        <f>D2229</f>
        <v>27305</v>
      </c>
      <c r="E2230" s="7"/>
      <c r="F2230" s="27">
        <v>0</v>
      </c>
      <c r="G2230" s="27">
        <v>0</v>
      </c>
      <c r="H2230" s="27">
        <v>0</v>
      </c>
      <c r="I2230" s="27">
        <v>0</v>
      </c>
      <c r="J2230" s="27">
        <v>0</v>
      </c>
      <c r="K2230" s="63">
        <f>AVERAGE(I2230:J2230)</f>
        <v>0</v>
      </c>
      <c r="L2230" s="56" t="str">
        <f>"SW-COMAS-PACKL"</f>
        <v>SW-COMAS-PACKL</v>
      </c>
      <c r="M2230" s="14"/>
      <c r="N2230" s="15"/>
      <c r="O2230" s="12"/>
      <c r="P2230" s="34"/>
      <c r="Q2230" s="37"/>
      <c r="R2230" s="47"/>
      <c r="S2230" s="46"/>
    </row>
    <row r="2231" spans="1:19" ht="15.6" hidden="1" customHeight="1" thickBot="1" x14ac:dyDescent="0.3">
      <c r="A2231" t="s">
        <v>23</v>
      </c>
      <c r="B2231" s="60" t="str">
        <f t="shared" si="1594"/>
        <v>hide</v>
      </c>
      <c r="D2231" s="48" t="str">
        <f>D2230</f>
        <v>27305</v>
      </c>
      <c r="E2231" s="7"/>
      <c r="F2231" s="27">
        <v>0</v>
      </c>
      <c r="G2231" s="27">
        <v>0</v>
      </c>
      <c r="H2231" s="27">
        <v>0</v>
      </c>
      <c r="I2231" s="27">
        <v>0</v>
      </c>
      <c r="J2231" s="27">
        <v>0</v>
      </c>
      <c r="K2231" s="63">
        <f>AVERAGE(I2231:J2231)</f>
        <v>0</v>
      </c>
      <c r="L2231" s="56" t="str">
        <f>"SW-RISER-PACK"</f>
        <v>SW-RISER-PACK</v>
      </c>
      <c r="M2231" s="14"/>
      <c r="N2231" s="15"/>
      <c r="O2231" s="12"/>
      <c r="P2231" s="34"/>
      <c r="Q2231" s="37"/>
      <c r="R2231" s="47"/>
      <c r="S2231" s="46"/>
    </row>
    <row r="2232" spans="1:19" ht="12" hidden="1" customHeight="1" x14ac:dyDescent="0.3">
      <c r="A2232" s="35" t="s">
        <v>908</v>
      </c>
      <c r="B2232" s="49" t="str">
        <f>B2228</f>
        <v>hide</v>
      </c>
      <c r="N2232"/>
      <c r="Q2232" s="33"/>
    </row>
    <row r="2233" spans="1:19" ht="13.8" hidden="1" thickBot="1" x14ac:dyDescent="0.3">
      <c r="A2233" t="s">
        <v>23</v>
      </c>
      <c r="B2233" s="49" t="str">
        <f t="shared" ref="B2233" si="1595">B2232</f>
        <v>hide</v>
      </c>
      <c r="D2233" s="58"/>
      <c r="E2233" s="58"/>
      <c r="F2233" s="52">
        <f>SUM(F2228:F2232)</f>
        <v>0</v>
      </c>
      <c r="G2233" s="52">
        <f>SUM(G2228:G2232)</f>
        <v>0</v>
      </c>
      <c r="H2233" s="52">
        <f>SUM(H2228:H2232)</f>
        <v>0</v>
      </c>
      <c r="I2233" s="52">
        <f>SUM(I2228:I2232)</f>
        <v>0</v>
      </c>
      <c r="J2233" s="52">
        <f>SUM(J2228:J2232)</f>
        <v>0</v>
      </c>
      <c r="K2233" s="52"/>
      <c r="L2233" s="51" t="s">
        <v>4</v>
      </c>
      <c r="M2233" s="58"/>
      <c r="N2233" s="58"/>
      <c r="O2233" s="58"/>
      <c r="P2233" s="58"/>
      <c r="Q2233" s="58"/>
      <c r="R2233" s="58"/>
      <c r="S2233" s="58"/>
    </row>
    <row r="2234" spans="1:19" s="59" customFormat="1" ht="18.75" customHeight="1" thickBot="1" x14ac:dyDescent="0.3">
      <c r="A2234" s="59" t="s">
        <v>23</v>
      </c>
      <c r="B2234" s="60" t="str">
        <f t="shared" ref="B2234:B2235" si="1596">IF(K2234=0,"hide","")</f>
        <v/>
      </c>
      <c r="D2234" s="61" t="str">
        <f>"27405"</f>
        <v>27405</v>
      </c>
      <c r="E2234" s="62" t="str">
        <f>"15"</f>
        <v>15</v>
      </c>
      <c r="F2234" s="63">
        <v>5376.333333333333</v>
      </c>
      <c r="G2234" s="63">
        <v>5689.583333333333</v>
      </c>
      <c r="H2234" s="63">
        <v>6128.166666666667</v>
      </c>
      <c r="I2234" s="63">
        <v>6571.333333333333</v>
      </c>
      <c r="J2234" s="63">
        <v>4410.2992771084337</v>
      </c>
      <c r="K2234" s="63">
        <f>AVERAGE(I2234:J2234)</f>
        <v>5490.8163052208838</v>
      </c>
      <c r="L2234" s="64" t="str">
        <f>"CORNBREAD LOAVES"</f>
        <v>CORNBREAD LOAVES</v>
      </c>
      <c r="M2234" s="65" t="str">
        <f>"120-2 oz. 10 packs of 12"</f>
        <v>120-2 oz. 10 packs of 12</v>
      </c>
      <c r="N2234" s="66">
        <v>120</v>
      </c>
      <c r="O2234" s="67">
        <v>3.3400000000000001E-3</v>
      </c>
      <c r="P2234" s="68">
        <f>1/O2234</f>
        <v>299.40119760479041</v>
      </c>
      <c r="Q2234" s="53">
        <v>3.8400000000000001E-3</v>
      </c>
      <c r="R2234" s="69">
        <f t="shared" ref="R2234" si="1597">1/Q2234</f>
        <v>260.41666666666669</v>
      </c>
      <c r="S2234" s="70">
        <f t="shared" ref="S2234" si="1598">R2234*N2234</f>
        <v>31250.000000000004</v>
      </c>
    </row>
    <row r="2235" spans="1:19" ht="15.6" customHeight="1" thickBot="1" x14ac:dyDescent="0.3">
      <c r="A2235" t="s">
        <v>23</v>
      </c>
      <c r="B2235" s="60" t="str">
        <f t="shared" si="1596"/>
        <v/>
      </c>
      <c r="D2235" s="48" t="str">
        <f>D2234</f>
        <v>27405</v>
      </c>
      <c r="E2235" s="7"/>
      <c r="F2235" s="27">
        <v>-6135.5758333333333</v>
      </c>
      <c r="G2235" s="27">
        <v>-5664.0574999999999</v>
      </c>
      <c r="H2235" s="27">
        <v>-7328.6083333333336</v>
      </c>
      <c r="I2235" s="27">
        <v>-8341.75</v>
      </c>
      <c r="J2235" s="27">
        <v>-4546.6848192771085</v>
      </c>
      <c r="K2235" s="63">
        <f>AVERAGE(I2235:J2235)</f>
        <v>-6444.2174096385543</v>
      </c>
      <c r="L2235" s="56" t="str">
        <f>"EQP-LAWPACK1"</f>
        <v>EQP-LAWPACK1</v>
      </c>
      <c r="M2235" s="14"/>
      <c r="N2235" s="15"/>
      <c r="O2235" s="12"/>
      <c r="P2235" s="34"/>
      <c r="Q2235" s="37"/>
      <c r="R2235" s="47"/>
      <c r="S2235" s="46"/>
    </row>
    <row r="2236" spans="1:19" ht="15.6" hidden="1" customHeight="1" thickBot="1" x14ac:dyDescent="0.3">
      <c r="A2236" t="s">
        <v>23</v>
      </c>
      <c r="B2236" s="60" t="str">
        <f t="shared" ref="B2236:B2238" si="1599">IF(K2236=0,"hide","")</f>
        <v>hide</v>
      </c>
      <c r="D2236" s="48" t="str">
        <f>D2235</f>
        <v>27405</v>
      </c>
      <c r="E2236" s="7"/>
      <c r="F2236" s="27">
        <v>0</v>
      </c>
      <c r="G2236" s="27">
        <v>0</v>
      </c>
      <c r="H2236" s="27">
        <v>0</v>
      </c>
      <c r="I2236" s="27">
        <v>0</v>
      </c>
      <c r="J2236" s="27">
        <v>0</v>
      </c>
      <c r="K2236" s="63">
        <f>AVERAGE(I2236:J2236)</f>
        <v>0</v>
      </c>
      <c r="L2236" s="56" t="str">
        <f>"EQP-LAWPACK2"</f>
        <v>EQP-LAWPACK2</v>
      </c>
      <c r="M2236" s="14"/>
      <c r="N2236" s="15"/>
      <c r="O2236" s="12"/>
      <c r="P2236" s="34"/>
      <c r="Q2236" s="37"/>
      <c r="R2236" s="47"/>
      <c r="S2236" s="46"/>
    </row>
    <row r="2237" spans="1:19" ht="15.6" hidden="1" customHeight="1" thickBot="1" x14ac:dyDescent="0.3">
      <c r="A2237" t="s">
        <v>23</v>
      </c>
      <c r="B2237" s="60" t="str">
        <f t="shared" si="1599"/>
        <v>hide</v>
      </c>
      <c r="D2237" s="48" t="str">
        <f>D2236</f>
        <v>27405</v>
      </c>
      <c r="E2237" s="7"/>
      <c r="F2237" s="27">
        <v>0</v>
      </c>
      <c r="G2237" s="27">
        <v>0</v>
      </c>
      <c r="H2237" s="27">
        <v>0</v>
      </c>
      <c r="I2237" s="27">
        <v>0</v>
      </c>
      <c r="J2237" s="27">
        <v>0</v>
      </c>
      <c r="K2237" s="63">
        <f>AVERAGE(I2237:J2237)</f>
        <v>0</v>
      </c>
      <c r="L2237" s="56" t="str">
        <f>"SW-COMAS-PACKL"</f>
        <v>SW-COMAS-PACKL</v>
      </c>
      <c r="M2237" s="14"/>
      <c r="N2237" s="15"/>
      <c r="O2237" s="12"/>
      <c r="P2237" s="34"/>
      <c r="Q2237" s="37"/>
      <c r="R2237" s="47"/>
      <c r="S2237" s="46"/>
    </row>
    <row r="2238" spans="1:19" ht="15.6" hidden="1" customHeight="1" thickBot="1" x14ac:dyDescent="0.3">
      <c r="A2238" t="s">
        <v>23</v>
      </c>
      <c r="B2238" s="60" t="str">
        <f t="shared" si="1599"/>
        <v>hide</v>
      </c>
      <c r="D2238" s="48" t="str">
        <f>D2237</f>
        <v>27405</v>
      </c>
      <c r="E2238" s="7"/>
      <c r="F2238" s="27">
        <v>0</v>
      </c>
      <c r="G2238" s="27">
        <v>0</v>
      </c>
      <c r="H2238" s="27">
        <v>0</v>
      </c>
      <c r="I2238" s="27">
        <v>0</v>
      </c>
      <c r="J2238" s="27">
        <v>0</v>
      </c>
      <c r="K2238" s="63">
        <f>AVERAGE(I2238:J2238)</f>
        <v>0</v>
      </c>
      <c r="L2238" s="56" t="str">
        <f>"SW-RISER-PACK"</f>
        <v>SW-RISER-PACK</v>
      </c>
      <c r="M2238" s="14"/>
      <c r="N2238" s="15"/>
      <c r="O2238" s="12"/>
      <c r="P2238" s="34"/>
      <c r="Q2238" s="37"/>
      <c r="R2238" s="47"/>
      <c r="S2238" s="46"/>
    </row>
    <row r="2239" spans="1:19" ht="12" hidden="1" customHeight="1" x14ac:dyDescent="0.25">
      <c r="A2239" s="35" t="s">
        <v>908</v>
      </c>
      <c r="B2239" s="49" t="str">
        <f>B2235</f>
        <v/>
      </c>
      <c r="N2239"/>
      <c r="Q2239" s="33"/>
    </row>
    <row r="2240" spans="1:19" ht="13.8" thickBot="1" x14ac:dyDescent="0.3">
      <c r="A2240" t="s">
        <v>23</v>
      </c>
      <c r="B2240" s="49" t="str">
        <f t="shared" ref="B2240" si="1600">B2239</f>
        <v/>
      </c>
      <c r="D2240" s="58"/>
      <c r="E2240" s="58"/>
      <c r="F2240" s="52">
        <f>SUM(F2235:F2239)</f>
        <v>-6135.5758333333333</v>
      </c>
      <c r="G2240" s="52">
        <f>SUM(G2235:G2239)</f>
        <v>-5664.0574999999999</v>
      </c>
      <c r="H2240" s="52">
        <f>SUM(H2235:H2239)</f>
        <v>-7328.6083333333336</v>
      </c>
      <c r="I2240" s="52">
        <f>SUM(I2235:I2239)</f>
        <v>-8341.75</v>
      </c>
      <c r="J2240" s="52">
        <f>SUM(J2235:J2239)</f>
        <v>-4546.6848192771085</v>
      </c>
      <c r="K2240" s="52"/>
      <c r="L2240" s="51" t="s">
        <v>4</v>
      </c>
      <c r="M2240" s="58"/>
      <c r="N2240" s="58"/>
      <c r="O2240" s="58"/>
      <c r="P2240" s="58"/>
      <c r="Q2240" s="58"/>
      <c r="R2240" s="58"/>
      <c r="S2240" s="58"/>
    </row>
    <row r="2241" spans="1:19" s="59" customFormat="1" ht="18.75" hidden="1" customHeight="1" thickBot="1" x14ac:dyDescent="0.3">
      <c r="A2241" s="59" t="s">
        <v>23</v>
      </c>
      <c r="B2241" s="60" t="str">
        <f t="shared" ref="B2241:B2242" si="1601">IF(K2241=0,"hide","")</f>
        <v>hide</v>
      </c>
      <c r="D2241" s="61" t="str">
        <f>"27425"</f>
        <v>27425</v>
      </c>
      <c r="E2241" s="62" t="str">
        <f>"5"</f>
        <v>5</v>
      </c>
      <c r="F2241" s="63">
        <v>33.833333333333336</v>
      </c>
      <c r="G2241" s="63">
        <v>0</v>
      </c>
      <c r="H2241" s="63">
        <v>0</v>
      </c>
      <c r="I2241" s="63">
        <v>0</v>
      </c>
      <c r="J2241" s="63">
        <v>0</v>
      </c>
      <c r="K2241" s="63">
        <f>AVERAGE(I2241:J2241)</f>
        <v>0</v>
      </c>
      <c r="L2241" s="64" t="str">
        <f>"JALAPENO CORNBREAD LOAVES"</f>
        <v>JALAPENO CORNBREAD LOAVES</v>
      </c>
      <c r="M2241" s="65" t="str">
        <f>"120-2 oz. 10 packs of 12"</f>
        <v>120-2 oz. 10 packs of 12</v>
      </c>
      <c r="N2241" s="66">
        <v>120</v>
      </c>
      <c r="O2241" s="67">
        <v>3.3400000000000001E-3</v>
      </c>
      <c r="P2241" s="68">
        <f>1/O2241</f>
        <v>299.40119760479041</v>
      </c>
      <c r="Q2241" s="53">
        <v>3.3400000000000001E-3</v>
      </c>
      <c r="R2241" s="69">
        <f t="shared" ref="R2241" si="1602">1/Q2241</f>
        <v>299.40119760479041</v>
      </c>
      <c r="S2241" s="70">
        <f t="shared" ref="S2241" si="1603">R2241*N2241</f>
        <v>35928.143712574849</v>
      </c>
    </row>
    <row r="2242" spans="1:19" ht="15.6" hidden="1" customHeight="1" thickBot="1" x14ac:dyDescent="0.3">
      <c r="A2242" t="s">
        <v>23</v>
      </c>
      <c r="B2242" s="60" t="str">
        <f t="shared" si="1601"/>
        <v>hide</v>
      </c>
      <c r="D2242" s="48" t="str">
        <f>D2241</f>
        <v>27425</v>
      </c>
      <c r="E2242" s="7"/>
      <c r="F2242" s="27">
        <v>0</v>
      </c>
      <c r="G2242" s="27">
        <v>0</v>
      </c>
      <c r="H2242" s="27">
        <v>0</v>
      </c>
      <c r="I2242" s="27">
        <v>0</v>
      </c>
      <c r="J2242" s="27">
        <v>0</v>
      </c>
      <c r="K2242" s="63">
        <f>AVERAGE(I2242:J2242)</f>
        <v>0</v>
      </c>
      <c r="L2242" s="56" t="str">
        <f>"EQP-LAWPACK1"</f>
        <v>EQP-LAWPACK1</v>
      </c>
      <c r="M2242" s="14"/>
      <c r="N2242" s="15"/>
      <c r="O2242" s="12"/>
      <c r="P2242" s="34"/>
      <c r="Q2242" s="37"/>
      <c r="R2242" s="47"/>
      <c r="S2242" s="46"/>
    </row>
    <row r="2243" spans="1:19" ht="15.6" hidden="1" customHeight="1" thickBot="1" x14ac:dyDescent="0.3">
      <c r="A2243" t="s">
        <v>23</v>
      </c>
      <c r="B2243" s="60" t="str">
        <f t="shared" ref="B2243:B2245" si="1604">IF(K2243=0,"hide","")</f>
        <v>hide</v>
      </c>
      <c r="D2243" s="48" t="str">
        <f>D2242</f>
        <v>27425</v>
      </c>
      <c r="E2243" s="7"/>
      <c r="F2243" s="27">
        <v>0</v>
      </c>
      <c r="G2243" s="27">
        <v>0</v>
      </c>
      <c r="H2243" s="27">
        <v>0</v>
      </c>
      <c r="I2243" s="27">
        <v>0</v>
      </c>
      <c r="J2243" s="27">
        <v>0</v>
      </c>
      <c r="K2243" s="63">
        <f>AVERAGE(I2243:J2243)</f>
        <v>0</v>
      </c>
      <c r="L2243" s="56" t="str">
        <f>"EQP-LAWPACK2"</f>
        <v>EQP-LAWPACK2</v>
      </c>
      <c r="M2243" s="14"/>
      <c r="N2243" s="15"/>
      <c r="O2243" s="12"/>
      <c r="P2243" s="34"/>
      <c r="Q2243" s="37"/>
      <c r="R2243" s="47"/>
      <c r="S2243" s="46"/>
    </row>
    <row r="2244" spans="1:19" ht="15.6" hidden="1" customHeight="1" thickBot="1" x14ac:dyDescent="0.3">
      <c r="A2244" t="s">
        <v>23</v>
      </c>
      <c r="B2244" s="60" t="str">
        <f t="shared" si="1604"/>
        <v>hide</v>
      </c>
      <c r="D2244" s="48" t="str">
        <f>D2243</f>
        <v>27425</v>
      </c>
      <c r="E2244" s="7"/>
      <c r="F2244" s="27">
        <v>0</v>
      </c>
      <c r="G2244" s="27">
        <v>0</v>
      </c>
      <c r="H2244" s="27">
        <v>0</v>
      </c>
      <c r="I2244" s="27">
        <v>0</v>
      </c>
      <c r="J2244" s="27">
        <v>0</v>
      </c>
      <c r="K2244" s="63">
        <f>AVERAGE(I2244:J2244)</f>
        <v>0</v>
      </c>
      <c r="L2244" s="56" t="str">
        <f>"SW-COMAS-PACKL"</f>
        <v>SW-COMAS-PACKL</v>
      </c>
      <c r="M2244" s="14"/>
      <c r="N2244" s="15"/>
      <c r="O2244" s="12"/>
      <c r="P2244" s="34"/>
      <c r="Q2244" s="37"/>
      <c r="R2244" s="47"/>
      <c r="S2244" s="46"/>
    </row>
    <row r="2245" spans="1:19" ht="15.6" hidden="1" customHeight="1" thickBot="1" x14ac:dyDescent="0.3">
      <c r="A2245" t="s">
        <v>23</v>
      </c>
      <c r="B2245" s="60" t="str">
        <f t="shared" si="1604"/>
        <v>hide</v>
      </c>
      <c r="D2245" s="48" t="str">
        <f>D2244</f>
        <v>27425</v>
      </c>
      <c r="E2245" s="7"/>
      <c r="F2245" s="27">
        <v>0</v>
      </c>
      <c r="G2245" s="27">
        <v>0</v>
      </c>
      <c r="H2245" s="27">
        <v>0</v>
      </c>
      <c r="I2245" s="27">
        <v>0</v>
      </c>
      <c r="J2245" s="27">
        <v>0</v>
      </c>
      <c r="K2245" s="63">
        <f>AVERAGE(I2245:J2245)</f>
        <v>0</v>
      </c>
      <c r="L2245" s="56" t="str">
        <f>"SW-RISER-PACK"</f>
        <v>SW-RISER-PACK</v>
      </c>
      <c r="M2245" s="14"/>
      <c r="N2245" s="15"/>
      <c r="O2245" s="12"/>
      <c r="P2245" s="34"/>
      <c r="Q2245" s="37"/>
      <c r="R2245" s="47"/>
      <c r="S2245" s="46"/>
    </row>
    <row r="2246" spans="1:19" ht="12" hidden="1" customHeight="1" x14ac:dyDescent="0.3">
      <c r="A2246" s="35" t="s">
        <v>908</v>
      </c>
      <c r="B2246" s="49" t="str">
        <f>B2242</f>
        <v>hide</v>
      </c>
      <c r="N2246"/>
      <c r="Q2246" s="33"/>
    </row>
    <row r="2247" spans="1:19" ht="13.8" hidden="1" thickBot="1" x14ac:dyDescent="0.3">
      <c r="A2247" t="s">
        <v>23</v>
      </c>
      <c r="B2247" s="49" t="str">
        <f t="shared" ref="B2247" si="1605">B2246</f>
        <v>hide</v>
      </c>
      <c r="D2247" s="58"/>
      <c r="E2247" s="58"/>
      <c r="F2247" s="52">
        <f>SUM(F2242:F2246)</f>
        <v>0</v>
      </c>
      <c r="G2247" s="52">
        <f>SUM(G2242:G2246)</f>
        <v>0</v>
      </c>
      <c r="H2247" s="52">
        <f>SUM(H2242:H2246)</f>
        <v>0</v>
      </c>
      <c r="I2247" s="52">
        <f>SUM(I2242:I2246)</f>
        <v>0</v>
      </c>
      <c r="J2247" s="52">
        <f>SUM(J2242:J2246)</f>
        <v>0</v>
      </c>
      <c r="K2247" s="52"/>
      <c r="L2247" s="51" t="s">
        <v>4</v>
      </c>
      <c r="M2247" s="58"/>
      <c r="N2247" s="58"/>
      <c r="O2247" s="58"/>
      <c r="P2247" s="58"/>
      <c r="Q2247" s="58"/>
      <c r="R2247" s="58"/>
      <c r="S2247" s="58"/>
    </row>
    <row r="2248" spans="1:19" s="59" customFormat="1" ht="18.75" customHeight="1" thickBot="1" x14ac:dyDescent="0.3">
      <c r="A2248" s="59" t="s">
        <v>23</v>
      </c>
      <c r="B2248" s="60" t="str">
        <f t="shared" ref="B2248:B2249" si="1606">IF(K2248=0,"hide","")</f>
        <v/>
      </c>
      <c r="D2248" s="61" t="str">
        <f>"27705"</f>
        <v>27705</v>
      </c>
      <c r="E2248" s="62" t="str">
        <f>"6"</f>
        <v>6</v>
      </c>
      <c r="F2248" s="63">
        <v>135.00000000000003</v>
      </c>
      <c r="G2248" s="63">
        <v>120.25</v>
      </c>
      <c r="H2248" s="63">
        <v>80</v>
      </c>
      <c r="I2248" s="63">
        <v>30</v>
      </c>
      <c r="J2248" s="63">
        <v>53.190361445783132</v>
      </c>
      <c r="K2248" s="63">
        <f>AVERAGE(I2248:J2248)</f>
        <v>41.59518072289157</v>
      </c>
      <c r="L2248" s="64" t="str">
        <f>"CORNBREAD LOAVES"</f>
        <v>CORNBREAD LOAVES</v>
      </c>
      <c r="M2248" s="65" t="str">
        <f>"120-2 oz. 10 packs of 12"</f>
        <v>120-2 oz. 10 packs of 12</v>
      </c>
      <c r="N2248" s="66">
        <v>120</v>
      </c>
      <c r="O2248" s="67">
        <v>3.3400000000000001E-3</v>
      </c>
      <c r="P2248" s="68">
        <f>1/O2248</f>
        <v>299.40119760479041</v>
      </c>
      <c r="Q2248" s="53">
        <v>3.3400000000000001E-3</v>
      </c>
      <c r="R2248" s="69">
        <f t="shared" ref="R2248" si="1607">1/Q2248</f>
        <v>299.40119760479041</v>
      </c>
      <c r="S2248" s="70">
        <f t="shared" ref="S2248" si="1608">R2248*N2248</f>
        <v>35928.143712574849</v>
      </c>
    </row>
    <row r="2249" spans="1:19" ht="15.6" customHeight="1" thickBot="1" x14ac:dyDescent="0.3">
      <c r="A2249" t="s">
        <v>23</v>
      </c>
      <c r="B2249" s="60" t="str">
        <f t="shared" si="1606"/>
        <v/>
      </c>
      <c r="D2249" s="48" t="str">
        <f>D2248</f>
        <v>27705</v>
      </c>
      <c r="E2249" s="7"/>
      <c r="F2249" s="27">
        <v>-104.86666666666666</v>
      </c>
      <c r="G2249" s="27">
        <v>-13.925833333333335</v>
      </c>
      <c r="H2249" s="27">
        <v>-30</v>
      </c>
      <c r="I2249" s="27">
        <v>0</v>
      </c>
      <c r="J2249" s="27">
        <v>-11.59277108433735</v>
      </c>
      <c r="K2249" s="63">
        <f>AVERAGE(I2249:J2249)</f>
        <v>-5.7963855421686752</v>
      </c>
      <c r="L2249" s="56" t="str">
        <f>"EQP-LAWPACK1"</f>
        <v>EQP-LAWPACK1</v>
      </c>
      <c r="M2249" s="14"/>
      <c r="N2249" s="15"/>
      <c r="O2249" s="12"/>
      <c r="P2249" s="34"/>
      <c r="Q2249" s="37"/>
      <c r="R2249" s="47"/>
      <c r="S2249" s="46"/>
    </row>
    <row r="2250" spans="1:19" ht="15.6" hidden="1" customHeight="1" thickBot="1" x14ac:dyDescent="0.3">
      <c r="A2250" t="s">
        <v>23</v>
      </c>
      <c r="B2250" s="60" t="str">
        <f t="shared" ref="B2250:B2252" si="1609">IF(K2250=0,"hide","")</f>
        <v>hide</v>
      </c>
      <c r="D2250" s="48" t="str">
        <f>D2249</f>
        <v>27705</v>
      </c>
      <c r="E2250" s="7"/>
      <c r="F2250" s="27">
        <v>0</v>
      </c>
      <c r="G2250" s="27">
        <v>0</v>
      </c>
      <c r="H2250" s="27">
        <v>0</v>
      </c>
      <c r="I2250" s="27">
        <v>0</v>
      </c>
      <c r="J2250" s="27">
        <v>0</v>
      </c>
      <c r="K2250" s="63">
        <f>AVERAGE(I2250:J2250)</f>
        <v>0</v>
      </c>
      <c r="L2250" s="56" t="str">
        <f>"EQP-LAWPACK2"</f>
        <v>EQP-LAWPACK2</v>
      </c>
      <c r="M2250" s="14"/>
      <c r="N2250" s="15"/>
      <c r="O2250" s="12"/>
      <c r="P2250" s="34"/>
      <c r="Q2250" s="37"/>
      <c r="R2250" s="47"/>
      <c r="S2250" s="46"/>
    </row>
    <row r="2251" spans="1:19" ht="15.6" hidden="1" customHeight="1" thickBot="1" x14ac:dyDescent="0.3">
      <c r="A2251" t="s">
        <v>23</v>
      </c>
      <c r="B2251" s="60" t="str">
        <f t="shared" si="1609"/>
        <v>hide</v>
      </c>
      <c r="D2251" s="48" t="str">
        <f>D2250</f>
        <v>27705</v>
      </c>
      <c r="E2251" s="7"/>
      <c r="F2251" s="27">
        <v>0</v>
      </c>
      <c r="G2251" s="27">
        <v>0</v>
      </c>
      <c r="H2251" s="27">
        <v>0</v>
      </c>
      <c r="I2251" s="27">
        <v>0</v>
      </c>
      <c r="J2251" s="27">
        <v>0</v>
      </c>
      <c r="K2251" s="63">
        <f>AVERAGE(I2251:J2251)</f>
        <v>0</v>
      </c>
      <c r="L2251" s="56" t="str">
        <f>"SW-COMAS-PACKL"</f>
        <v>SW-COMAS-PACKL</v>
      </c>
      <c r="M2251" s="14"/>
      <c r="N2251" s="15"/>
      <c r="O2251" s="12"/>
      <c r="P2251" s="34"/>
      <c r="Q2251" s="37"/>
      <c r="R2251" s="47"/>
      <c r="S2251" s="46"/>
    </row>
    <row r="2252" spans="1:19" ht="15.6" hidden="1" customHeight="1" thickBot="1" x14ac:dyDescent="0.3">
      <c r="A2252" t="s">
        <v>23</v>
      </c>
      <c r="B2252" s="60" t="str">
        <f t="shared" si="1609"/>
        <v>hide</v>
      </c>
      <c r="D2252" s="48" t="str">
        <f>D2251</f>
        <v>27705</v>
      </c>
      <c r="E2252" s="7"/>
      <c r="F2252" s="27">
        <v>0</v>
      </c>
      <c r="G2252" s="27">
        <v>0</v>
      </c>
      <c r="H2252" s="27">
        <v>0</v>
      </c>
      <c r="I2252" s="27">
        <v>0</v>
      </c>
      <c r="J2252" s="27">
        <v>0</v>
      </c>
      <c r="K2252" s="63">
        <f>AVERAGE(I2252:J2252)</f>
        <v>0</v>
      </c>
      <c r="L2252" s="56" t="str">
        <f>"SW-RISER-PACK"</f>
        <v>SW-RISER-PACK</v>
      </c>
      <c r="M2252" s="14"/>
      <c r="N2252" s="15"/>
      <c r="O2252" s="12"/>
      <c r="P2252" s="34"/>
      <c r="Q2252" s="37"/>
      <c r="R2252" s="47"/>
      <c r="S2252" s="46"/>
    </row>
    <row r="2253" spans="1:19" ht="12" hidden="1" customHeight="1" x14ac:dyDescent="0.25">
      <c r="A2253" s="35" t="s">
        <v>908</v>
      </c>
      <c r="B2253" s="49" t="str">
        <f>B2249</f>
        <v/>
      </c>
      <c r="N2253"/>
      <c r="Q2253" s="33"/>
    </row>
    <row r="2254" spans="1:19" ht="13.8" thickBot="1" x14ac:dyDescent="0.3">
      <c r="A2254" t="s">
        <v>23</v>
      </c>
      <c r="B2254" s="49" t="str">
        <f t="shared" ref="B2254" si="1610">B2253</f>
        <v/>
      </c>
      <c r="D2254" s="58"/>
      <c r="E2254" s="58"/>
      <c r="F2254" s="52">
        <f>SUM(F2249:F2253)</f>
        <v>-104.86666666666666</v>
      </c>
      <c r="G2254" s="52">
        <f>SUM(G2249:G2253)</f>
        <v>-13.925833333333335</v>
      </c>
      <c r="H2254" s="52">
        <f>SUM(H2249:H2253)</f>
        <v>-30</v>
      </c>
      <c r="I2254" s="52">
        <f>SUM(I2249:I2253)</f>
        <v>0</v>
      </c>
      <c r="J2254" s="52">
        <f>SUM(J2249:J2253)</f>
        <v>-11.59277108433735</v>
      </c>
      <c r="K2254" s="52"/>
      <c r="L2254" s="51" t="s">
        <v>4</v>
      </c>
      <c r="M2254" s="58"/>
      <c r="N2254" s="58"/>
      <c r="O2254" s="58"/>
      <c r="P2254" s="58"/>
      <c r="Q2254" s="58"/>
      <c r="R2254" s="58"/>
      <c r="S2254" s="58"/>
    </row>
    <row r="2255" spans="1:19" s="59" customFormat="1" ht="18.75" customHeight="1" thickBot="1" x14ac:dyDescent="0.3">
      <c r="A2255" s="59" t="s">
        <v>23</v>
      </c>
      <c r="B2255" s="60" t="str">
        <f t="shared" ref="B2255:B2256" si="1611">IF(K2255=0,"hide","")</f>
        <v/>
      </c>
      <c r="D2255" s="61" t="str">
        <f>"27736"</f>
        <v>27736</v>
      </c>
      <c r="E2255" s="62" t="str">
        <f>"5"</f>
        <v>5</v>
      </c>
      <c r="F2255" s="63">
        <v>151.66666666666666</v>
      </c>
      <c r="G2255" s="63">
        <v>94.25</v>
      </c>
      <c r="H2255" s="63">
        <v>111.83333333333333</v>
      </c>
      <c r="I2255" s="63">
        <v>23.5</v>
      </c>
      <c r="J2255" s="63">
        <v>34.778313253012051</v>
      </c>
      <c r="K2255" s="63">
        <f>AVERAGE(I2255:J2255)</f>
        <v>29.139156626506026</v>
      </c>
      <c r="L2255" s="64" t="str">
        <f>"CINNAMON CRUMB COFFEE CAKE"</f>
        <v>CINNAMON CRUMB COFFEE CAKE</v>
      </c>
      <c r="M2255" s="65" t="str">
        <f>"120-2 oz. 10 packs of 12"</f>
        <v>120-2 oz. 10 packs of 12</v>
      </c>
      <c r="N2255" s="66">
        <v>120</v>
      </c>
      <c r="O2255" s="67" t="str">
        <f>""</f>
        <v/>
      </c>
      <c r="P2255" s="68" t="e">
        <f>1/O2255</f>
        <v>#VALUE!</v>
      </c>
      <c r="Q2255" s="53">
        <v>1</v>
      </c>
      <c r="R2255" s="69">
        <f t="shared" ref="R2255" si="1612">1/Q2255</f>
        <v>1</v>
      </c>
      <c r="S2255" s="70">
        <f t="shared" ref="S2255" si="1613">R2255*N2255</f>
        <v>120</v>
      </c>
    </row>
    <row r="2256" spans="1:19" ht="15.6" hidden="1" customHeight="1" thickBot="1" x14ac:dyDescent="0.3">
      <c r="A2256" t="s">
        <v>23</v>
      </c>
      <c r="B2256" s="60" t="str">
        <f t="shared" si="1611"/>
        <v>hide</v>
      </c>
      <c r="D2256" s="48" t="str">
        <f>D2255</f>
        <v>27736</v>
      </c>
      <c r="E2256" s="7"/>
      <c r="F2256" s="27">
        <v>0</v>
      </c>
      <c r="G2256" s="27">
        <v>0</v>
      </c>
      <c r="H2256" s="27">
        <v>0</v>
      </c>
      <c r="I2256" s="27">
        <v>0</v>
      </c>
      <c r="J2256" s="27">
        <v>0</v>
      </c>
      <c r="K2256" s="63">
        <f>AVERAGE(I2256:J2256)</f>
        <v>0</v>
      </c>
      <c r="L2256" s="56" t="str">
        <f>"EQP-LAWPACK1"</f>
        <v>EQP-LAWPACK1</v>
      </c>
      <c r="M2256" s="14"/>
      <c r="N2256" s="15"/>
      <c r="O2256" s="12"/>
      <c r="P2256" s="34"/>
      <c r="Q2256" s="37"/>
      <c r="R2256" s="47"/>
      <c r="S2256" s="46"/>
    </row>
    <row r="2257" spans="1:19" ht="15.6" hidden="1" customHeight="1" thickBot="1" x14ac:dyDescent="0.3">
      <c r="A2257" t="s">
        <v>23</v>
      </c>
      <c r="B2257" s="60" t="str">
        <f t="shared" ref="B2257:B2259" si="1614">IF(K2257=0,"hide","")</f>
        <v>hide</v>
      </c>
      <c r="D2257" s="48" t="str">
        <f>D2256</f>
        <v>27736</v>
      </c>
      <c r="E2257" s="7"/>
      <c r="F2257" s="27">
        <v>0</v>
      </c>
      <c r="G2257" s="27">
        <v>0</v>
      </c>
      <c r="H2257" s="27">
        <v>0</v>
      </c>
      <c r="I2257" s="27">
        <v>0</v>
      </c>
      <c r="J2257" s="27">
        <v>0</v>
      </c>
      <c r="K2257" s="63">
        <f>AVERAGE(I2257:J2257)</f>
        <v>0</v>
      </c>
      <c r="L2257" s="56" t="str">
        <f>"EQP-LAWPACK2"</f>
        <v>EQP-LAWPACK2</v>
      </c>
      <c r="M2257" s="14"/>
      <c r="N2257" s="15"/>
      <c r="O2257" s="12"/>
      <c r="P2257" s="34"/>
      <c r="Q2257" s="37"/>
      <c r="R2257" s="47"/>
      <c r="S2257" s="46"/>
    </row>
    <row r="2258" spans="1:19" ht="15.6" hidden="1" customHeight="1" thickBot="1" x14ac:dyDescent="0.3">
      <c r="A2258" t="s">
        <v>23</v>
      </c>
      <c r="B2258" s="60" t="str">
        <f t="shared" si="1614"/>
        <v>hide</v>
      </c>
      <c r="D2258" s="48" t="str">
        <f>D2257</f>
        <v>27736</v>
      </c>
      <c r="E2258" s="7"/>
      <c r="F2258" s="27">
        <v>0</v>
      </c>
      <c r="G2258" s="27">
        <v>0</v>
      </c>
      <c r="H2258" s="27">
        <v>0</v>
      </c>
      <c r="I2258" s="27">
        <v>0</v>
      </c>
      <c r="J2258" s="27">
        <v>0</v>
      </c>
      <c r="K2258" s="63">
        <f>AVERAGE(I2258:J2258)</f>
        <v>0</v>
      </c>
      <c r="L2258" s="56" t="str">
        <f>"SW-COMAS-PACKL"</f>
        <v>SW-COMAS-PACKL</v>
      </c>
      <c r="M2258" s="14"/>
      <c r="N2258" s="15"/>
      <c r="O2258" s="12"/>
      <c r="P2258" s="34"/>
      <c r="Q2258" s="37"/>
      <c r="R2258" s="47"/>
      <c r="S2258" s="46"/>
    </row>
    <row r="2259" spans="1:19" ht="15.6" hidden="1" customHeight="1" thickBot="1" x14ac:dyDescent="0.3">
      <c r="A2259" t="s">
        <v>23</v>
      </c>
      <c r="B2259" s="60" t="str">
        <f t="shared" si="1614"/>
        <v>hide</v>
      </c>
      <c r="D2259" s="48" t="str">
        <f>D2258</f>
        <v>27736</v>
      </c>
      <c r="E2259" s="7"/>
      <c r="F2259" s="27">
        <v>0</v>
      </c>
      <c r="G2259" s="27">
        <v>0</v>
      </c>
      <c r="H2259" s="27">
        <v>0</v>
      </c>
      <c r="I2259" s="27">
        <v>0</v>
      </c>
      <c r="J2259" s="27">
        <v>0</v>
      </c>
      <c r="K2259" s="63">
        <f>AVERAGE(I2259:J2259)</f>
        <v>0</v>
      </c>
      <c r="L2259" s="56" t="str">
        <f>"SW-RISER-PACK"</f>
        <v>SW-RISER-PACK</v>
      </c>
      <c r="M2259" s="14"/>
      <c r="N2259" s="15"/>
      <c r="O2259" s="12"/>
      <c r="P2259" s="34"/>
      <c r="Q2259" s="37"/>
      <c r="R2259" s="47"/>
      <c r="S2259" s="46"/>
    </row>
    <row r="2260" spans="1:19" ht="12" hidden="1" customHeight="1" x14ac:dyDescent="0.3">
      <c r="A2260" s="35" t="s">
        <v>908</v>
      </c>
      <c r="B2260" s="49" t="str">
        <f>B2256</f>
        <v>hide</v>
      </c>
      <c r="N2260"/>
      <c r="Q2260" s="33"/>
    </row>
    <row r="2261" spans="1:19" ht="13.8" hidden="1" thickBot="1" x14ac:dyDescent="0.3">
      <c r="A2261" t="s">
        <v>23</v>
      </c>
      <c r="B2261" s="49" t="str">
        <f t="shared" ref="B2261" si="1615">B2260</f>
        <v>hide</v>
      </c>
      <c r="D2261" s="58"/>
      <c r="E2261" s="58"/>
      <c r="F2261" s="52">
        <f>SUM(F2256:F2260)</f>
        <v>0</v>
      </c>
      <c r="G2261" s="52">
        <f>SUM(G2256:G2260)</f>
        <v>0</v>
      </c>
      <c r="H2261" s="52">
        <f>SUM(H2256:H2260)</f>
        <v>0</v>
      </c>
      <c r="I2261" s="52">
        <f>SUM(I2256:I2260)</f>
        <v>0</v>
      </c>
      <c r="J2261" s="52">
        <f>SUM(J2256:J2260)</f>
        <v>0</v>
      </c>
      <c r="K2261" s="52"/>
      <c r="L2261" s="51" t="s">
        <v>4</v>
      </c>
      <c r="M2261" s="58"/>
      <c r="N2261" s="58"/>
      <c r="O2261" s="58"/>
      <c r="P2261" s="58"/>
      <c r="Q2261" s="58"/>
      <c r="R2261" s="58"/>
      <c r="S2261" s="58"/>
    </row>
    <row r="2262" spans="1:19" s="59" customFormat="1" ht="18.75" customHeight="1" thickBot="1" x14ac:dyDescent="0.3">
      <c r="A2262" s="59" t="s">
        <v>23</v>
      </c>
      <c r="B2262" s="60" t="str">
        <f t="shared" ref="B2262:B2263" si="1616">IF(K2262=0,"hide","")</f>
        <v/>
      </c>
      <c r="D2262" s="61" t="str">
        <f>"27801"</f>
        <v>27801</v>
      </c>
      <c r="E2262" s="62" t="str">
        <f>"4"</f>
        <v>4</v>
      </c>
      <c r="F2262" s="63">
        <v>35.583333333333329</v>
      </c>
      <c r="G2262" s="63">
        <v>25.583333333333332</v>
      </c>
      <c r="H2262" s="63">
        <v>26.416666666666668</v>
      </c>
      <c r="I2262" s="63">
        <v>26.5</v>
      </c>
      <c r="J2262" s="63">
        <v>19.09397590361446</v>
      </c>
      <c r="K2262" s="63">
        <f>AVERAGE(I2262:J2262)</f>
        <v>22.796987951807232</v>
      </c>
      <c r="L2262" s="64" t="str">
        <f>"BLUEBERRY LOAVES"</f>
        <v>BLUEBERRY LOAVES</v>
      </c>
      <c r="M2262" s="65" t="str">
        <f>"120-2 oz. 10 packs of 12"</f>
        <v>120-2 oz. 10 packs of 12</v>
      </c>
      <c r="N2262" s="66">
        <v>120</v>
      </c>
      <c r="O2262" s="67" t="str">
        <f>""</f>
        <v/>
      </c>
      <c r="P2262" s="68" t="e">
        <f>1/O2262</f>
        <v>#VALUE!</v>
      </c>
      <c r="Q2262" s="53">
        <v>1</v>
      </c>
      <c r="R2262" s="69">
        <f t="shared" ref="R2262" si="1617">1/Q2262</f>
        <v>1</v>
      </c>
      <c r="S2262" s="70">
        <f t="shared" ref="S2262" si="1618">R2262*N2262</f>
        <v>120</v>
      </c>
    </row>
    <row r="2263" spans="1:19" ht="15.6" hidden="1" customHeight="1" thickBot="1" x14ac:dyDescent="0.3">
      <c r="A2263" t="s">
        <v>23</v>
      </c>
      <c r="B2263" s="60" t="str">
        <f t="shared" si="1616"/>
        <v>hide</v>
      </c>
      <c r="D2263" s="48" t="str">
        <f>D2262</f>
        <v>27801</v>
      </c>
      <c r="E2263" s="7"/>
      <c r="F2263" s="27">
        <v>0</v>
      </c>
      <c r="G2263" s="27">
        <v>0</v>
      </c>
      <c r="H2263" s="27">
        <v>0</v>
      </c>
      <c r="I2263" s="27">
        <v>0</v>
      </c>
      <c r="J2263" s="27">
        <v>0</v>
      </c>
      <c r="K2263" s="63">
        <f>AVERAGE(I2263:J2263)</f>
        <v>0</v>
      </c>
      <c r="L2263" s="56" t="str">
        <f>"EQP-LAWPACK1"</f>
        <v>EQP-LAWPACK1</v>
      </c>
      <c r="M2263" s="14"/>
      <c r="N2263" s="15"/>
      <c r="O2263" s="12"/>
      <c r="P2263" s="34"/>
      <c r="Q2263" s="37"/>
      <c r="R2263" s="47"/>
      <c r="S2263" s="46"/>
    </row>
    <row r="2264" spans="1:19" ht="15.6" hidden="1" customHeight="1" thickBot="1" x14ac:dyDescent="0.3">
      <c r="A2264" t="s">
        <v>23</v>
      </c>
      <c r="B2264" s="60" t="str">
        <f t="shared" ref="B2264:B2266" si="1619">IF(K2264=0,"hide","")</f>
        <v>hide</v>
      </c>
      <c r="D2264" s="48" t="str">
        <f>D2263</f>
        <v>27801</v>
      </c>
      <c r="E2264" s="7"/>
      <c r="F2264" s="27">
        <v>0</v>
      </c>
      <c r="G2264" s="27">
        <v>0</v>
      </c>
      <c r="H2264" s="27">
        <v>0</v>
      </c>
      <c r="I2264" s="27">
        <v>0</v>
      </c>
      <c r="J2264" s="27">
        <v>0</v>
      </c>
      <c r="K2264" s="63">
        <f>AVERAGE(I2264:J2264)</f>
        <v>0</v>
      </c>
      <c r="L2264" s="56" t="str">
        <f>"EQP-LAWPACK2"</f>
        <v>EQP-LAWPACK2</v>
      </c>
      <c r="M2264" s="14"/>
      <c r="N2264" s="15"/>
      <c r="O2264" s="12"/>
      <c r="P2264" s="34"/>
      <c r="Q2264" s="37"/>
      <c r="R2264" s="47"/>
      <c r="S2264" s="46"/>
    </row>
    <row r="2265" spans="1:19" ht="15.6" hidden="1" customHeight="1" thickBot="1" x14ac:dyDescent="0.3">
      <c r="A2265" t="s">
        <v>23</v>
      </c>
      <c r="B2265" s="60" t="str">
        <f t="shared" si="1619"/>
        <v>hide</v>
      </c>
      <c r="D2265" s="48" t="str">
        <f>D2264</f>
        <v>27801</v>
      </c>
      <c r="E2265" s="7"/>
      <c r="F2265" s="27">
        <v>0</v>
      </c>
      <c r="G2265" s="27">
        <v>0</v>
      </c>
      <c r="H2265" s="27">
        <v>0</v>
      </c>
      <c r="I2265" s="27">
        <v>0</v>
      </c>
      <c r="J2265" s="27">
        <v>0</v>
      </c>
      <c r="K2265" s="63">
        <f>AVERAGE(I2265:J2265)</f>
        <v>0</v>
      </c>
      <c r="L2265" s="56" t="str">
        <f>"SW-COMAS-PACKL"</f>
        <v>SW-COMAS-PACKL</v>
      </c>
      <c r="M2265" s="14"/>
      <c r="N2265" s="15"/>
      <c r="O2265" s="12"/>
      <c r="P2265" s="34"/>
      <c r="Q2265" s="37"/>
      <c r="R2265" s="47"/>
      <c r="S2265" s="46"/>
    </row>
    <row r="2266" spans="1:19" ht="15.6" hidden="1" customHeight="1" thickBot="1" x14ac:dyDescent="0.3">
      <c r="A2266" t="s">
        <v>23</v>
      </c>
      <c r="B2266" s="60" t="str">
        <f t="shared" si="1619"/>
        <v>hide</v>
      </c>
      <c r="D2266" s="48" t="str">
        <f>D2265</f>
        <v>27801</v>
      </c>
      <c r="E2266" s="7"/>
      <c r="F2266" s="27">
        <v>0</v>
      </c>
      <c r="G2266" s="27">
        <v>0</v>
      </c>
      <c r="H2266" s="27">
        <v>0</v>
      </c>
      <c r="I2266" s="27">
        <v>0</v>
      </c>
      <c r="J2266" s="27">
        <v>0</v>
      </c>
      <c r="K2266" s="63">
        <f>AVERAGE(I2266:J2266)</f>
        <v>0</v>
      </c>
      <c r="L2266" s="56" t="str">
        <f>"SW-RISER-PACK"</f>
        <v>SW-RISER-PACK</v>
      </c>
      <c r="M2266" s="14"/>
      <c r="N2266" s="15"/>
      <c r="O2266" s="12"/>
      <c r="P2266" s="34"/>
      <c r="Q2266" s="37"/>
      <c r="R2266" s="47"/>
      <c r="S2266" s="46"/>
    </row>
    <row r="2267" spans="1:19" ht="12" hidden="1" customHeight="1" x14ac:dyDescent="0.3">
      <c r="A2267" s="35" t="s">
        <v>908</v>
      </c>
      <c r="B2267" s="49" t="str">
        <f>B2263</f>
        <v>hide</v>
      </c>
      <c r="N2267"/>
      <c r="Q2267" s="33"/>
    </row>
    <row r="2268" spans="1:19" ht="13.8" hidden="1" thickBot="1" x14ac:dyDescent="0.3">
      <c r="A2268" t="s">
        <v>23</v>
      </c>
      <c r="B2268" s="49" t="str">
        <f t="shared" ref="B2268" si="1620">B2267</f>
        <v>hide</v>
      </c>
      <c r="D2268" s="58"/>
      <c r="E2268" s="58"/>
      <c r="F2268" s="52">
        <f>SUM(F2263:F2267)</f>
        <v>0</v>
      </c>
      <c r="G2268" s="52">
        <f>SUM(G2263:G2267)</f>
        <v>0</v>
      </c>
      <c r="H2268" s="52">
        <f>SUM(H2263:H2267)</f>
        <v>0</v>
      </c>
      <c r="I2268" s="52">
        <f>SUM(I2263:I2267)</f>
        <v>0</v>
      </c>
      <c r="J2268" s="52">
        <f>SUM(J2263:J2267)</f>
        <v>0</v>
      </c>
      <c r="K2268" s="52"/>
      <c r="L2268" s="51" t="s">
        <v>4</v>
      </c>
      <c r="M2268" s="58"/>
      <c r="N2268" s="58"/>
      <c r="O2268" s="58"/>
      <c r="P2268" s="58"/>
      <c r="Q2268" s="58"/>
      <c r="R2268" s="58"/>
      <c r="S2268" s="58"/>
    </row>
    <row r="2269" spans="1:19" s="59" customFormat="1" ht="18.75" customHeight="1" thickBot="1" x14ac:dyDescent="0.3">
      <c r="A2269" s="59" t="s">
        <v>23</v>
      </c>
      <c r="B2269" s="60" t="str">
        <f t="shared" ref="B2269:B2270" si="1621">IF(K2269=0,"hide","")</f>
        <v/>
      </c>
      <c r="D2269" s="61" t="str">
        <f>"27805"</f>
        <v>27805</v>
      </c>
      <c r="E2269" s="62" t="str">
        <f>"8"</f>
        <v>8</v>
      </c>
      <c r="F2269" s="63">
        <v>5024.166666666667</v>
      </c>
      <c r="G2269" s="63">
        <v>2490.5</v>
      </c>
      <c r="H2269" s="63">
        <v>2279.9999999999995</v>
      </c>
      <c r="I2269" s="63">
        <v>2497.0833333333335</v>
      </c>
      <c r="J2269" s="63">
        <v>1793.1971084337354</v>
      </c>
      <c r="K2269" s="63">
        <f>AVERAGE(I2269:J2269)</f>
        <v>2145.1402208835343</v>
      </c>
      <c r="L2269" s="64" t="str">
        <f>"Cornbread Loaves"</f>
        <v>Cornbread Loaves</v>
      </c>
      <c r="M2269" s="65" t="str">
        <f>"120-2 oz. 10 packs of 12"</f>
        <v>120-2 oz. 10 packs of 12</v>
      </c>
      <c r="N2269" s="66">
        <v>120</v>
      </c>
      <c r="O2269" s="67">
        <v>3.3400000000000001E-3</v>
      </c>
      <c r="P2269" s="68">
        <f>1/O2269</f>
        <v>299.40119760479041</v>
      </c>
      <c r="Q2269" s="53">
        <v>3.8400000000000001E-3</v>
      </c>
      <c r="R2269" s="69">
        <f t="shared" ref="R2269" si="1622">1/Q2269</f>
        <v>260.41666666666669</v>
      </c>
      <c r="S2269" s="70">
        <f t="shared" ref="S2269" si="1623">R2269*N2269</f>
        <v>31250.000000000004</v>
      </c>
    </row>
    <row r="2270" spans="1:19" ht="15.6" customHeight="1" thickBot="1" x14ac:dyDescent="0.3">
      <c r="A2270" t="s">
        <v>23</v>
      </c>
      <c r="B2270" s="60" t="str">
        <f t="shared" si="1621"/>
        <v/>
      </c>
      <c r="D2270" s="48" t="str">
        <f>D2269</f>
        <v>27805</v>
      </c>
      <c r="E2270" s="7"/>
      <c r="F2270" s="27">
        <v>-5790.1208333333334</v>
      </c>
      <c r="G2270" s="27">
        <v>-2240.0166666666669</v>
      </c>
      <c r="H2270" s="27">
        <v>-2194.9941666666668</v>
      </c>
      <c r="I2270" s="27">
        <v>-2555</v>
      </c>
      <c r="J2270" s="27">
        <v>-1575.1848192771085</v>
      </c>
      <c r="K2270" s="63">
        <f>AVERAGE(I2270:J2270)</f>
        <v>-2065.0924096385543</v>
      </c>
      <c r="L2270" s="56" t="str">
        <f>"EQP-LAWPACK1"</f>
        <v>EQP-LAWPACK1</v>
      </c>
      <c r="M2270" s="14"/>
      <c r="N2270" s="15"/>
      <c r="O2270" s="12"/>
      <c r="P2270" s="34"/>
      <c r="Q2270" s="37"/>
      <c r="R2270" s="47"/>
      <c r="S2270" s="46"/>
    </row>
    <row r="2271" spans="1:19" ht="15.6" hidden="1" customHeight="1" thickBot="1" x14ac:dyDescent="0.3">
      <c r="A2271" t="s">
        <v>23</v>
      </c>
      <c r="B2271" s="60" t="str">
        <f t="shared" ref="B2271:B2273" si="1624">IF(K2271=0,"hide","")</f>
        <v>hide</v>
      </c>
      <c r="D2271" s="48" t="str">
        <f>D2270</f>
        <v>27805</v>
      </c>
      <c r="E2271" s="7"/>
      <c r="F2271" s="27">
        <v>0</v>
      </c>
      <c r="G2271" s="27">
        <v>0</v>
      </c>
      <c r="H2271" s="27">
        <v>0</v>
      </c>
      <c r="I2271" s="27">
        <v>0</v>
      </c>
      <c r="J2271" s="27">
        <v>0</v>
      </c>
      <c r="K2271" s="63">
        <f>AVERAGE(I2271:J2271)</f>
        <v>0</v>
      </c>
      <c r="L2271" s="56" t="str">
        <f>"EQP-LAWPACK2"</f>
        <v>EQP-LAWPACK2</v>
      </c>
      <c r="M2271" s="14"/>
      <c r="N2271" s="15"/>
      <c r="O2271" s="12"/>
      <c r="P2271" s="34"/>
      <c r="Q2271" s="37"/>
      <c r="R2271" s="47"/>
      <c r="S2271" s="46"/>
    </row>
    <row r="2272" spans="1:19" ht="15.6" hidden="1" customHeight="1" thickBot="1" x14ac:dyDescent="0.3">
      <c r="A2272" t="s">
        <v>23</v>
      </c>
      <c r="B2272" s="60" t="str">
        <f t="shared" si="1624"/>
        <v>hide</v>
      </c>
      <c r="D2272" s="48" t="str">
        <f>D2271</f>
        <v>27805</v>
      </c>
      <c r="E2272" s="7"/>
      <c r="F2272" s="27">
        <v>0</v>
      </c>
      <c r="G2272" s="27">
        <v>0</v>
      </c>
      <c r="H2272" s="27">
        <v>0</v>
      </c>
      <c r="I2272" s="27">
        <v>0</v>
      </c>
      <c r="J2272" s="27">
        <v>0</v>
      </c>
      <c r="K2272" s="63">
        <f>AVERAGE(I2272:J2272)</f>
        <v>0</v>
      </c>
      <c r="L2272" s="56" t="str">
        <f>"SW-COMAS-PACKL"</f>
        <v>SW-COMAS-PACKL</v>
      </c>
      <c r="M2272" s="14"/>
      <c r="N2272" s="15"/>
      <c r="O2272" s="12"/>
      <c r="P2272" s="34"/>
      <c r="Q2272" s="37"/>
      <c r="R2272" s="47"/>
      <c r="S2272" s="46"/>
    </row>
    <row r="2273" spans="1:19" ht="15.6" hidden="1" customHeight="1" thickBot="1" x14ac:dyDescent="0.3">
      <c r="A2273" t="s">
        <v>23</v>
      </c>
      <c r="B2273" s="60" t="str">
        <f t="shared" si="1624"/>
        <v>hide</v>
      </c>
      <c r="D2273" s="48" t="str">
        <f>D2272</f>
        <v>27805</v>
      </c>
      <c r="E2273" s="7"/>
      <c r="F2273" s="27">
        <v>0</v>
      </c>
      <c r="G2273" s="27">
        <v>0</v>
      </c>
      <c r="H2273" s="27">
        <v>0</v>
      </c>
      <c r="I2273" s="27">
        <v>0</v>
      </c>
      <c r="J2273" s="27">
        <v>0</v>
      </c>
      <c r="K2273" s="63">
        <f>AVERAGE(I2273:J2273)</f>
        <v>0</v>
      </c>
      <c r="L2273" s="56" t="str">
        <f>"SW-RISER-PACK"</f>
        <v>SW-RISER-PACK</v>
      </c>
      <c r="M2273" s="14"/>
      <c r="N2273" s="15"/>
      <c r="O2273" s="12"/>
      <c r="P2273" s="34"/>
      <c r="Q2273" s="37"/>
      <c r="R2273" s="47"/>
      <c r="S2273" s="46"/>
    </row>
    <row r="2274" spans="1:19" ht="12" hidden="1" customHeight="1" x14ac:dyDescent="0.25">
      <c r="A2274" s="35" t="s">
        <v>908</v>
      </c>
      <c r="B2274" s="49" t="str">
        <f>B2270</f>
        <v/>
      </c>
      <c r="N2274"/>
      <c r="Q2274" s="33"/>
    </row>
    <row r="2275" spans="1:19" ht="13.8" thickBot="1" x14ac:dyDescent="0.3">
      <c r="A2275" t="s">
        <v>23</v>
      </c>
      <c r="B2275" s="49" t="str">
        <f t="shared" ref="B2275" si="1625">B2274</f>
        <v/>
      </c>
      <c r="D2275" s="58"/>
      <c r="E2275" s="58"/>
      <c r="F2275" s="52">
        <f>SUM(F2270:F2274)</f>
        <v>-5790.1208333333334</v>
      </c>
      <c r="G2275" s="52">
        <f>SUM(G2270:G2274)</f>
        <v>-2240.0166666666669</v>
      </c>
      <c r="H2275" s="52">
        <f>SUM(H2270:H2274)</f>
        <v>-2194.9941666666668</v>
      </c>
      <c r="I2275" s="52">
        <f>SUM(I2270:I2274)</f>
        <v>-2555</v>
      </c>
      <c r="J2275" s="52">
        <f>SUM(J2270:J2274)</f>
        <v>-1575.1848192771085</v>
      </c>
      <c r="K2275" s="52"/>
      <c r="L2275" s="51" t="s">
        <v>4</v>
      </c>
      <c r="M2275" s="58"/>
      <c r="N2275" s="58"/>
      <c r="O2275" s="58"/>
      <c r="P2275" s="58"/>
      <c r="Q2275" s="58"/>
      <c r="R2275" s="58"/>
      <c r="S2275" s="58"/>
    </row>
    <row r="2276" spans="1:19" s="59" customFormat="1" ht="18.75" hidden="1" customHeight="1" thickBot="1" x14ac:dyDescent="0.3">
      <c r="A2276" s="59" t="s">
        <v>23</v>
      </c>
      <c r="B2276" s="60" t="str">
        <f t="shared" ref="B2276:B2277" si="1626">IF(K2276=0,"hide","")</f>
        <v>hide</v>
      </c>
      <c r="D2276" s="61" t="str">
        <f>"27825"</f>
        <v>27825</v>
      </c>
      <c r="E2276" s="62" t="str">
        <f>"8"</f>
        <v>8</v>
      </c>
      <c r="F2276" s="63">
        <v>0</v>
      </c>
      <c r="G2276" s="63">
        <v>0</v>
      </c>
      <c r="H2276" s="63">
        <v>0</v>
      </c>
      <c r="I2276" s="63">
        <v>0</v>
      </c>
      <c r="J2276" s="63">
        <v>0</v>
      </c>
      <c r="K2276" s="63">
        <f>AVERAGE(I2276:J2276)</f>
        <v>0</v>
      </c>
      <c r="L2276" s="64" t="str">
        <f>"JALAPENO CORNBREAD LOAVES"</f>
        <v>JALAPENO CORNBREAD LOAVES</v>
      </c>
      <c r="M2276" s="65" t="str">
        <f>"120-2 oz. 10 packs of 12"</f>
        <v>120-2 oz. 10 packs of 12</v>
      </c>
      <c r="N2276" s="66">
        <v>120</v>
      </c>
      <c r="O2276" s="67">
        <v>3.3400000000000001E-3</v>
      </c>
      <c r="P2276" s="68">
        <f>1/O2276</f>
        <v>299.40119760479041</v>
      </c>
      <c r="Q2276" s="53">
        <v>3.3400000000000001E-3</v>
      </c>
      <c r="R2276" s="69">
        <f t="shared" ref="R2276" si="1627">1/Q2276</f>
        <v>299.40119760479041</v>
      </c>
      <c r="S2276" s="70">
        <f t="shared" ref="S2276" si="1628">R2276*N2276</f>
        <v>35928.143712574849</v>
      </c>
    </row>
    <row r="2277" spans="1:19" ht="15.6" hidden="1" customHeight="1" thickBot="1" x14ac:dyDescent="0.3">
      <c r="A2277" t="s">
        <v>23</v>
      </c>
      <c r="B2277" s="60" t="str">
        <f t="shared" si="1626"/>
        <v>hide</v>
      </c>
      <c r="D2277" s="48" t="str">
        <f>D2276</f>
        <v>27825</v>
      </c>
      <c r="E2277" s="7"/>
      <c r="F2277" s="27">
        <v>0</v>
      </c>
      <c r="G2277" s="27">
        <v>0</v>
      </c>
      <c r="H2277" s="27">
        <v>0</v>
      </c>
      <c r="I2277" s="27">
        <v>0</v>
      </c>
      <c r="J2277" s="27">
        <v>0</v>
      </c>
      <c r="K2277" s="63">
        <f>AVERAGE(I2277:J2277)</f>
        <v>0</v>
      </c>
      <c r="L2277" s="56" t="str">
        <f>"EQP-LAWPACK1"</f>
        <v>EQP-LAWPACK1</v>
      </c>
      <c r="M2277" s="14"/>
      <c r="N2277" s="15"/>
      <c r="O2277" s="12"/>
      <c r="P2277" s="34"/>
      <c r="Q2277" s="37"/>
      <c r="R2277" s="47"/>
      <c r="S2277" s="46"/>
    </row>
    <row r="2278" spans="1:19" ht="15.6" hidden="1" customHeight="1" thickBot="1" x14ac:dyDescent="0.3">
      <c r="A2278" t="s">
        <v>23</v>
      </c>
      <c r="B2278" s="60" t="str">
        <f t="shared" ref="B2278:B2280" si="1629">IF(K2278=0,"hide","")</f>
        <v>hide</v>
      </c>
      <c r="D2278" s="48" t="str">
        <f>D2277</f>
        <v>27825</v>
      </c>
      <c r="E2278" s="7"/>
      <c r="F2278" s="27">
        <v>0</v>
      </c>
      <c r="G2278" s="27">
        <v>0</v>
      </c>
      <c r="H2278" s="27">
        <v>0</v>
      </c>
      <c r="I2278" s="27">
        <v>0</v>
      </c>
      <c r="J2278" s="27">
        <v>0</v>
      </c>
      <c r="K2278" s="63">
        <f>AVERAGE(I2278:J2278)</f>
        <v>0</v>
      </c>
      <c r="L2278" s="56" t="str">
        <f>"EQP-LAWPACK2"</f>
        <v>EQP-LAWPACK2</v>
      </c>
      <c r="M2278" s="14"/>
      <c r="N2278" s="15"/>
      <c r="O2278" s="12"/>
      <c r="P2278" s="34"/>
      <c r="Q2278" s="37"/>
      <c r="R2278" s="47"/>
      <c r="S2278" s="46"/>
    </row>
    <row r="2279" spans="1:19" ht="15.6" hidden="1" customHeight="1" thickBot="1" x14ac:dyDescent="0.3">
      <c r="A2279" t="s">
        <v>23</v>
      </c>
      <c r="B2279" s="60" t="str">
        <f t="shared" si="1629"/>
        <v>hide</v>
      </c>
      <c r="D2279" s="48" t="str">
        <f>D2278</f>
        <v>27825</v>
      </c>
      <c r="E2279" s="7"/>
      <c r="F2279" s="27">
        <v>0</v>
      </c>
      <c r="G2279" s="27">
        <v>0</v>
      </c>
      <c r="H2279" s="27">
        <v>0</v>
      </c>
      <c r="I2279" s="27">
        <v>0</v>
      </c>
      <c r="J2279" s="27">
        <v>0</v>
      </c>
      <c r="K2279" s="63">
        <f>AVERAGE(I2279:J2279)</f>
        <v>0</v>
      </c>
      <c r="L2279" s="56" t="str">
        <f>"SW-COMAS-PACKL"</f>
        <v>SW-COMAS-PACKL</v>
      </c>
      <c r="M2279" s="14"/>
      <c r="N2279" s="15"/>
      <c r="O2279" s="12"/>
      <c r="P2279" s="34"/>
      <c r="Q2279" s="37"/>
      <c r="R2279" s="47"/>
      <c r="S2279" s="46"/>
    </row>
    <row r="2280" spans="1:19" ht="15.6" hidden="1" customHeight="1" thickBot="1" x14ac:dyDescent="0.3">
      <c r="A2280" t="s">
        <v>23</v>
      </c>
      <c r="B2280" s="60" t="str">
        <f t="shared" si="1629"/>
        <v>hide</v>
      </c>
      <c r="D2280" s="48" t="str">
        <f>D2279</f>
        <v>27825</v>
      </c>
      <c r="E2280" s="7"/>
      <c r="F2280" s="27">
        <v>0</v>
      </c>
      <c r="G2280" s="27">
        <v>0</v>
      </c>
      <c r="H2280" s="27">
        <v>0</v>
      </c>
      <c r="I2280" s="27">
        <v>0</v>
      </c>
      <c r="J2280" s="27">
        <v>0</v>
      </c>
      <c r="K2280" s="63">
        <f>AVERAGE(I2280:J2280)</f>
        <v>0</v>
      </c>
      <c r="L2280" s="56" t="str">
        <f>"SW-RISER-PACK"</f>
        <v>SW-RISER-PACK</v>
      </c>
      <c r="M2280" s="14"/>
      <c r="N2280" s="15"/>
      <c r="O2280" s="12"/>
      <c r="P2280" s="34"/>
      <c r="Q2280" s="37"/>
      <c r="R2280" s="47"/>
      <c r="S2280" s="46"/>
    </row>
    <row r="2281" spans="1:19" ht="12" hidden="1" customHeight="1" x14ac:dyDescent="0.3">
      <c r="A2281" s="35" t="s">
        <v>908</v>
      </c>
      <c r="B2281" s="49" t="str">
        <f>B2277</f>
        <v>hide</v>
      </c>
      <c r="N2281"/>
      <c r="Q2281" s="33"/>
    </row>
    <row r="2282" spans="1:19" ht="13.8" hidden="1" thickBot="1" x14ac:dyDescent="0.3">
      <c r="A2282" t="s">
        <v>23</v>
      </c>
      <c r="B2282" s="49" t="str">
        <f t="shared" ref="B2282" si="1630">B2281</f>
        <v>hide</v>
      </c>
      <c r="D2282" s="58"/>
      <c r="E2282" s="58"/>
      <c r="F2282" s="52">
        <f>SUM(F2277:F2281)</f>
        <v>0</v>
      </c>
      <c r="G2282" s="52">
        <f>SUM(G2277:G2281)</f>
        <v>0</v>
      </c>
      <c r="H2282" s="52">
        <f>SUM(H2277:H2281)</f>
        <v>0</v>
      </c>
      <c r="I2282" s="52">
        <f>SUM(I2277:I2281)</f>
        <v>0</v>
      </c>
      <c r="J2282" s="52">
        <f>SUM(J2277:J2281)</f>
        <v>0</v>
      </c>
      <c r="K2282" s="52"/>
      <c r="L2282" s="51" t="s">
        <v>4</v>
      </c>
      <c r="M2282" s="58"/>
      <c r="N2282" s="58"/>
      <c r="O2282" s="58"/>
      <c r="P2282" s="58"/>
      <c r="Q2282" s="58"/>
      <c r="R2282" s="58"/>
      <c r="S2282" s="58"/>
    </row>
    <row r="2283" spans="1:19" s="59" customFormat="1" ht="18.75" customHeight="1" thickBot="1" x14ac:dyDescent="0.3">
      <c r="A2283" s="59" t="s">
        <v>23</v>
      </c>
      <c r="B2283" s="60" t="str">
        <f t="shared" ref="B2283:B2284" si="1631">IF(K2283=0,"hide","")</f>
        <v/>
      </c>
      <c r="D2283" s="61" t="str">
        <f>"27836"</f>
        <v>27836</v>
      </c>
      <c r="E2283" s="62" t="str">
        <f>"7"</f>
        <v>7</v>
      </c>
      <c r="F2283" s="63">
        <v>69.5</v>
      </c>
      <c r="G2283" s="63">
        <v>61.75</v>
      </c>
      <c r="H2283" s="63">
        <v>66.333333333333329</v>
      </c>
      <c r="I2283" s="63">
        <v>93.25</v>
      </c>
      <c r="J2283" s="63">
        <v>83.945301204819287</v>
      </c>
      <c r="K2283" s="63">
        <f>AVERAGE(I2283:J2283)</f>
        <v>88.597650602409644</v>
      </c>
      <c r="L2283" s="64" t="str">
        <f>"CINNAMON CRUMB COFFEE CAKE"</f>
        <v>CINNAMON CRUMB COFFEE CAKE</v>
      </c>
      <c r="M2283" s="65" t="str">
        <f>"120-2 oz. 10 packs of 12"</f>
        <v>120-2 oz. 10 packs of 12</v>
      </c>
      <c r="N2283" s="66">
        <v>120</v>
      </c>
      <c r="O2283" s="67" t="str">
        <f>""</f>
        <v/>
      </c>
      <c r="P2283" s="68" t="e">
        <f>1/O2283</f>
        <v>#VALUE!</v>
      </c>
      <c r="Q2283" s="53">
        <v>1</v>
      </c>
      <c r="R2283" s="69">
        <f t="shared" ref="R2283" si="1632">1/Q2283</f>
        <v>1</v>
      </c>
      <c r="S2283" s="70">
        <f t="shared" ref="S2283" si="1633">R2283*N2283</f>
        <v>120</v>
      </c>
    </row>
    <row r="2284" spans="1:19" ht="15.6" hidden="1" customHeight="1" thickBot="1" x14ac:dyDescent="0.3">
      <c r="A2284" t="s">
        <v>23</v>
      </c>
      <c r="B2284" s="60" t="str">
        <f t="shared" si="1631"/>
        <v>hide</v>
      </c>
      <c r="D2284" s="48" t="str">
        <f>D2283</f>
        <v>27836</v>
      </c>
      <c r="E2284" s="7"/>
      <c r="F2284" s="27">
        <v>0</v>
      </c>
      <c r="G2284" s="27">
        <v>0</v>
      </c>
      <c r="H2284" s="27">
        <v>0</v>
      </c>
      <c r="I2284" s="27">
        <v>0</v>
      </c>
      <c r="J2284" s="27">
        <v>0</v>
      </c>
      <c r="K2284" s="63">
        <f>AVERAGE(I2284:J2284)</f>
        <v>0</v>
      </c>
      <c r="L2284" s="56" t="str">
        <f>"EQP-LAWPACK1"</f>
        <v>EQP-LAWPACK1</v>
      </c>
      <c r="M2284" s="14"/>
      <c r="N2284" s="15"/>
      <c r="O2284" s="12"/>
      <c r="P2284" s="34"/>
      <c r="Q2284" s="37"/>
      <c r="R2284" s="47"/>
      <c r="S2284" s="46"/>
    </row>
    <row r="2285" spans="1:19" ht="15.6" hidden="1" customHeight="1" thickBot="1" x14ac:dyDescent="0.3">
      <c r="A2285" t="s">
        <v>23</v>
      </c>
      <c r="B2285" s="60" t="str">
        <f t="shared" ref="B2285:B2287" si="1634">IF(K2285=0,"hide","")</f>
        <v>hide</v>
      </c>
      <c r="D2285" s="48" t="str">
        <f>D2284</f>
        <v>27836</v>
      </c>
      <c r="E2285" s="7"/>
      <c r="F2285" s="27">
        <v>0</v>
      </c>
      <c r="G2285" s="27">
        <v>0</v>
      </c>
      <c r="H2285" s="27">
        <v>0</v>
      </c>
      <c r="I2285" s="27">
        <v>0</v>
      </c>
      <c r="J2285" s="27">
        <v>0</v>
      </c>
      <c r="K2285" s="63">
        <f>AVERAGE(I2285:J2285)</f>
        <v>0</v>
      </c>
      <c r="L2285" s="56" t="str">
        <f>"EQP-LAWPACK2"</f>
        <v>EQP-LAWPACK2</v>
      </c>
      <c r="M2285" s="14"/>
      <c r="N2285" s="15"/>
      <c r="O2285" s="12"/>
      <c r="P2285" s="34"/>
      <c r="Q2285" s="37"/>
      <c r="R2285" s="47"/>
      <c r="S2285" s="46"/>
    </row>
    <row r="2286" spans="1:19" ht="15.6" hidden="1" customHeight="1" thickBot="1" x14ac:dyDescent="0.3">
      <c r="A2286" t="s">
        <v>23</v>
      </c>
      <c r="B2286" s="60" t="str">
        <f t="shared" si="1634"/>
        <v>hide</v>
      </c>
      <c r="D2286" s="48" t="str">
        <f>D2285</f>
        <v>27836</v>
      </c>
      <c r="E2286" s="7"/>
      <c r="F2286" s="27">
        <v>0</v>
      </c>
      <c r="G2286" s="27">
        <v>0</v>
      </c>
      <c r="H2286" s="27">
        <v>0</v>
      </c>
      <c r="I2286" s="27">
        <v>0</v>
      </c>
      <c r="J2286" s="27">
        <v>0</v>
      </c>
      <c r="K2286" s="63">
        <f>AVERAGE(I2286:J2286)</f>
        <v>0</v>
      </c>
      <c r="L2286" s="56" t="str">
        <f>"SW-COMAS-PACKL"</f>
        <v>SW-COMAS-PACKL</v>
      </c>
      <c r="M2286" s="14"/>
      <c r="N2286" s="15"/>
      <c r="O2286" s="12"/>
      <c r="P2286" s="34"/>
      <c r="Q2286" s="37"/>
      <c r="R2286" s="47"/>
      <c r="S2286" s="46"/>
    </row>
    <row r="2287" spans="1:19" ht="15.6" hidden="1" customHeight="1" thickBot="1" x14ac:dyDescent="0.3">
      <c r="A2287" t="s">
        <v>23</v>
      </c>
      <c r="B2287" s="60" t="str">
        <f t="shared" si="1634"/>
        <v>hide</v>
      </c>
      <c r="D2287" s="48" t="str">
        <f>D2286</f>
        <v>27836</v>
      </c>
      <c r="E2287" s="7"/>
      <c r="F2287" s="27">
        <v>0</v>
      </c>
      <c r="G2287" s="27">
        <v>0</v>
      </c>
      <c r="H2287" s="27">
        <v>0</v>
      </c>
      <c r="I2287" s="27">
        <v>0</v>
      </c>
      <c r="J2287" s="27">
        <v>0</v>
      </c>
      <c r="K2287" s="63">
        <f>AVERAGE(I2287:J2287)</f>
        <v>0</v>
      </c>
      <c r="L2287" s="56" t="str">
        <f>"SW-RISER-PACK"</f>
        <v>SW-RISER-PACK</v>
      </c>
      <c r="M2287" s="14"/>
      <c r="N2287" s="15"/>
      <c r="O2287" s="12"/>
      <c r="P2287" s="34"/>
      <c r="Q2287" s="37"/>
      <c r="R2287" s="47"/>
      <c r="S2287" s="46"/>
    </row>
    <row r="2288" spans="1:19" ht="12" hidden="1" customHeight="1" x14ac:dyDescent="0.3">
      <c r="A2288" s="35" t="s">
        <v>908</v>
      </c>
      <c r="B2288" s="49" t="str">
        <f>B2284</f>
        <v>hide</v>
      </c>
      <c r="N2288"/>
      <c r="Q2288" s="33"/>
    </row>
    <row r="2289" spans="1:19" ht="13.8" hidden="1" thickBot="1" x14ac:dyDescent="0.3">
      <c r="A2289" t="s">
        <v>23</v>
      </c>
      <c r="B2289" s="49" t="str">
        <f t="shared" ref="B2289" si="1635">B2288</f>
        <v>hide</v>
      </c>
      <c r="D2289" s="58"/>
      <c r="E2289" s="58"/>
      <c r="F2289" s="52">
        <f>SUM(F2284:F2288)</f>
        <v>0</v>
      </c>
      <c r="G2289" s="52">
        <f>SUM(G2284:G2288)</f>
        <v>0</v>
      </c>
      <c r="H2289" s="52">
        <f>SUM(H2284:H2288)</f>
        <v>0</v>
      </c>
      <c r="I2289" s="52">
        <f>SUM(I2284:I2288)</f>
        <v>0</v>
      </c>
      <c r="J2289" s="52">
        <f>SUM(J2284:J2288)</f>
        <v>0</v>
      </c>
      <c r="K2289" s="52"/>
      <c r="L2289" s="51" t="s">
        <v>4</v>
      </c>
      <c r="M2289" s="58"/>
      <c r="N2289" s="58"/>
      <c r="O2289" s="58"/>
      <c r="P2289" s="58"/>
      <c r="Q2289" s="58"/>
      <c r="R2289" s="58"/>
      <c r="S2289" s="58"/>
    </row>
    <row r="2290" spans="1:19" s="59" customFormat="1" ht="18.75" customHeight="1" thickBot="1" x14ac:dyDescent="0.3">
      <c r="A2290" s="59" t="s">
        <v>23</v>
      </c>
      <c r="B2290" s="60" t="str">
        <f t="shared" ref="B2290:B2291" si="1636">IF(K2290=0,"hide","")</f>
        <v/>
      </c>
      <c r="D2290" s="61" t="str">
        <f>"27905"</f>
        <v>27905</v>
      </c>
      <c r="E2290" s="62" t="str">
        <f>"8"</f>
        <v>8</v>
      </c>
      <c r="F2290" s="63">
        <v>0</v>
      </c>
      <c r="G2290" s="63">
        <v>0</v>
      </c>
      <c r="H2290" s="63">
        <v>0</v>
      </c>
      <c r="I2290" s="63">
        <v>6094.25</v>
      </c>
      <c r="J2290" s="63">
        <v>4800.7710843373497</v>
      </c>
      <c r="K2290" s="63">
        <f>AVERAGE(I2290:J2290)</f>
        <v>5447.5105421686749</v>
      </c>
      <c r="L2290" s="64" t="str">
        <f>"Authentic Cornbread DRC"</f>
        <v>Authentic Cornbread DRC</v>
      </c>
      <c r="M2290" s="65" t="str">
        <f>"10 pks -12 units per case"</f>
        <v>10 pks -12 units per case</v>
      </c>
      <c r="N2290" s="66">
        <v>120</v>
      </c>
      <c r="O2290" s="67">
        <v>3.3800000000000002E-3</v>
      </c>
      <c r="P2290" s="68">
        <f>1/O2290</f>
        <v>295.85798816568047</v>
      </c>
      <c r="Q2290" s="53">
        <v>3.8400000000000001E-3</v>
      </c>
      <c r="R2290" s="69">
        <f t="shared" ref="R2290" si="1637">1/Q2290</f>
        <v>260.41666666666669</v>
      </c>
      <c r="S2290" s="70">
        <f t="shared" ref="S2290" si="1638">R2290*N2290</f>
        <v>31250.000000000004</v>
      </c>
    </row>
    <row r="2291" spans="1:19" ht="15.6" customHeight="1" thickBot="1" x14ac:dyDescent="0.3">
      <c r="A2291" t="s">
        <v>23</v>
      </c>
      <c r="B2291" s="60" t="str">
        <f t="shared" si="1636"/>
        <v/>
      </c>
      <c r="D2291" s="48" t="str">
        <f>D2290</f>
        <v>27905</v>
      </c>
      <c r="E2291" s="7"/>
      <c r="F2291" s="27">
        <v>0</v>
      </c>
      <c r="G2291" s="27">
        <v>0</v>
      </c>
      <c r="H2291" s="27">
        <v>0</v>
      </c>
      <c r="I2291" s="27">
        <v>-6822.166666666667</v>
      </c>
      <c r="J2291" s="27">
        <v>-4922.9725301204817</v>
      </c>
      <c r="K2291" s="63">
        <f>AVERAGE(I2291:J2291)</f>
        <v>-5872.5695983935748</v>
      </c>
      <c r="L2291" s="56" t="str">
        <f>"EQP-LAWPACK1"</f>
        <v>EQP-LAWPACK1</v>
      </c>
      <c r="M2291" s="14"/>
      <c r="N2291" s="15"/>
      <c r="O2291" s="12"/>
      <c r="P2291" s="34"/>
      <c r="Q2291" s="37"/>
      <c r="R2291" s="47"/>
      <c r="S2291" s="46"/>
    </row>
    <row r="2292" spans="1:19" ht="15.6" hidden="1" customHeight="1" thickBot="1" x14ac:dyDescent="0.3">
      <c r="A2292" t="s">
        <v>23</v>
      </c>
      <c r="B2292" s="60" t="str">
        <f t="shared" ref="B2292:B2294" si="1639">IF(K2292=0,"hide","")</f>
        <v>hide</v>
      </c>
      <c r="D2292" s="48" t="str">
        <f>D2291</f>
        <v>27905</v>
      </c>
      <c r="E2292" s="7"/>
      <c r="F2292" s="27">
        <v>0</v>
      </c>
      <c r="G2292" s="27">
        <v>0</v>
      </c>
      <c r="H2292" s="27">
        <v>0</v>
      </c>
      <c r="I2292" s="27">
        <v>0</v>
      </c>
      <c r="J2292" s="27">
        <v>0</v>
      </c>
      <c r="K2292" s="63">
        <f>AVERAGE(I2292:J2292)</f>
        <v>0</v>
      </c>
      <c r="L2292" s="56" t="str">
        <f>"EQP-LAWPACK2"</f>
        <v>EQP-LAWPACK2</v>
      </c>
      <c r="M2292" s="14"/>
      <c r="N2292" s="15"/>
      <c r="O2292" s="12"/>
      <c r="P2292" s="34"/>
      <c r="Q2292" s="37"/>
      <c r="R2292" s="47"/>
      <c r="S2292" s="46"/>
    </row>
    <row r="2293" spans="1:19" ht="15.6" hidden="1" customHeight="1" thickBot="1" x14ac:dyDescent="0.3">
      <c r="A2293" t="s">
        <v>23</v>
      </c>
      <c r="B2293" s="60" t="str">
        <f t="shared" si="1639"/>
        <v>hide</v>
      </c>
      <c r="D2293" s="48" t="str">
        <f>D2292</f>
        <v>27905</v>
      </c>
      <c r="E2293" s="7"/>
      <c r="F2293" s="27">
        <v>0</v>
      </c>
      <c r="G2293" s="27">
        <v>0</v>
      </c>
      <c r="H2293" s="27">
        <v>0</v>
      </c>
      <c r="I2293" s="27">
        <v>0</v>
      </c>
      <c r="J2293" s="27">
        <v>0</v>
      </c>
      <c r="K2293" s="63">
        <f>AVERAGE(I2293:J2293)</f>
        <v>0</v>
      </c>
      <c r="L2293" s="56" t="str">
        <f>"SW-COMAS-PACKL"</f>
        <v>SW-COMAS-PACKL</v>
      </c>
      <c r="M2293" s="14"/>
      <c r="N2293" s="15"/>
      <c r="O2293" s="12"/>
      <c r="P2293" s="34"/>
      <c r="Q2293" s="37"/>
      <c r="R2293" s="47"/>
      <c r="S2293" s="46"/>
    </row>
    <row r="2294" spans="1:19" ht="15.6" hidden="1" customHeight="1" thickBot="1" x14ac:dyDescent="0.3">
      <c r="A2294" t="s">
        <v>23</v>
      </c>
      <c r="B2294" s="60" t="str">
        <f t="shared" si="1639"/>
        <v>hide</v>
      </c>
      <c r="D2294" s="48" t="str">
        <f>D2293</f>
        <v>27905</v>
      </c>
      <c r="E2294" s="7"/>
      <c r="F2294" s="27">
        <v>0</v>
      </c>
      <c r="G2294" s="27">
        <v>0</v>
      </c>
      <c r="H2294" s="27">
        <v>0</v>
      </c>
      <c r="I2294" s="27">
        <v>0</v>
      </c>
      <c r="J2294" s="27">
        <v>0</v>
      </c>
      <c r="K2294" s="63">
        <f>AVERAGE(I2294:J2294)</f>
        <v>0</v>
      </c>
      <c r="L2294" s="56" t="str">
        <f>"SW-RISER-PACK"</f>
        <v>SW-RISER-PACK</v>
      </c>
      <c r="M2294" s="14"/>
      <c r="N2294" s="15"/>
      <c r="O2294" s="12"/>
      <c r="P2294" s="34"/>
      <c r="Q2294" s="37"/>
      <c r="R2294" s="47"/>
      <c r="S2294" s="46"/>
    </row>
    <row r="2295" spans="1:19" ht="12" hidden="1" customHeight="1" x14ac:dyDescent="0.25">
      <c r="A2295" s="35" t="s">
        <v>908</v>
      </c>
      <c r="B2295" s="49" t="str">
        <f>B2291</f>
        <v/>
      </c>
      <c r="N2295"/>
      <c r="Q2295" s="33"/>
    </row>
    <row r="2296" spans="1:19" ht="13.8" thickBot="1" x14ac:dyDescent="0.3">
      <c r="A2296" t="s">
        <v>23</v>
      </c>
      <c r="B2296" s="49" t="str">
        <f t="shared" ref="B2296" si="1640">B2295</f>
        <v/>
      </c>
      <c r="D2296" s="58"/>
      <c r="E2296" s="58"/>
      <c r="F2296" s="52">
        <f>SUM(F2291:F2295)</f>
        <v>0</v>
      </c>
      <c r="G2296" s="52">
        <f>SUM(G2291:G2295)</f>
        <v>0</v>
      </c>
      <c r="H2296" s="52">
        <f>SUM(H2291:H2295)</f>
        <v>0</v>
      </c>
      <c r="I2296" s="52">
        <f>SUM(I2291:I2295)</f>
        <v>-6822.166666666667</v>
      </c>
      <c r="J2296" s="52">
        <f>SUM(J2291:J2295)</f>
        <v>-4922.9725301204817</v>
      </c>
      <c r="K2296" s="52"/>
      <c r="L2296" s="51" t="s">
        <v>4</v>
      </c>
      <c r="M2296" s="58"/>
      <c r="N2296" s="58"/>
      <c r="O2296" s="58"/>
      <c r="P2296" s="58"/>
      <c r="Q2296" s="58"/>
      <c r="R2296" s="58"/>
      <c r="S2296" s="58"/>
    </row>
    <row r="2297" spans="1:19" s="59" customFormat="1" ht="18.75" hidden="1" customHeight="1" thickBot="1" x14ac:dyDescent="0.3">
      <c r="A2297" s="59" t="s">
        <v>23</v>
      </c>
      <c r="B2297" s="60" t="str">
        <f t="shared" ref="B2297:B2298" si="1641">IF(K2297=0,"hide","")</f>
        <v>hide</v>
      </c>
      <c r="D2297" s="61" t="str">
        <f>"28005"</f>
        <v>28005</v>
      </c>
      <c r="E2297" s="62" t="str">
        <f>"2"</f>
        <v>2</v>
      </c>
      <c r="F2297" s="63">
        <v>120.08333333333333</v>
      </c>
      <c r="G2297" s="63">
        <v>0</v>
      </c>
      <c r="H2297" s="63">
        <v>0</v>
      </c>
      <c r="I2297" s="63">
        <v>0</v>
      </c>
      <c r="J2297" s="63">
        <v>0</v>
      </c>
      <c r="K2297" s="63">
        <f>AVERAGE(I2297:J2297)</f>
        <v>0</v>
      </c>
      <c r="L2297" s="64" t="str">
        <f>"CORNBREAD LOAVES #503"</f>
        <v>CORNBREAD LOAVES #503</v>
      </c>
      <c r="M2297" s="65" t="str">
        <f>"12-15oz. Dome Covered"</f>
        <v>12-15oz. Dome Covered</v>
      </c>
      <c r="N2297" s="66">
        <v>12</v>
      </c>
      <c r="O2297" s="67" t="str">
        <f>""</f>
        <v/>
      </c>
      <c r="P2297" s="68" t="e">
        <f>1/O2297</f>
        <v>#VALUE!</v>
      </c>
      <c r="Q2297" s="53">
        <v>1</v>
      </c>
      <c r="R2297" s="69">
        <f t="shared" ref="R2297" si="1642">1/Q2297</f>
        <v>1</v>
      </c>
      <c r="S2297" s="70">
        <f t="shared" ref="S2297" si="1643">R2297*N2297</f>
        <v>12</v>
      </c>
    </row>
    <row r="2298" spans="1:19" ht="15.6" hidden="1" customHeight="1" thickBot="1" x14ac:dyDescent="0.3">
      <c r="A2298" t="s">
        <v>23</v>
      </c>
      <c r="B2298" s="60" t="str">
        <f t="shared" si="1641"/>
        <v>hide</v>
      </c>
      <c r="D2298" s="48" t="str">
        <f>D2297</f>
        <v>28005</v>
      </c>
      <c r="E2298" s="7"/>
      <c r="F2298" s="27">
        <v>0</v>
      </c>
      <c r="G2298" s="27">
        <v>0</v>
      </c>
      <c r="H2298" s="27">
        <v>0</v>
      </c>
      <c r="I2298" s="27">
        <v>0</v>
      </c>
      <c r="J2298" s="27">
        <v>0</v>
      </c>
      <c r="K2298" s="63">
        <f>AVERAGE(I2298:J2298)</f>
        <v>0</v>
      </c>
      <c r="L2298" s="56" t="str">
        <f>"EQP-LAWPACK1"</f>
        <v>EQP-LAWPACK1</v>
      </c>
      <c r="M2298" s="14"/>
      <c r="N2298" s="15"/>
      <c r="O2298" s="12"/>
      <c r="P2298" s="34"/>
      <c r="Q2298" s="37"/>
      <c r="R2298" s="47"/>
      <c r="S2298" s="46"/>
    </row>
    <row r="2299" spans="1:19" ht="15.6" hidden="1" customHeight="1" thickBot="1" x14ac:dyDescent="0.3">
      <c r="A2299" t="s">
        <v>23</v>
      </c>
      <c r="B2299" s="60" t="str">
        <f t="shared" ref="B2299:B2301" si="1644">IF(K2299=0,"hide","")</f>
        <v>hide</v>
      </c>
      <c r="D2299" s="48" t="str">
        <f>D2298</f>
        <v>28005</v>
      </c>
      <c r="E2299" s="7"/>
      <c r="F2299" s="27">
        <v>0</v>
      </c>
      <c r="G2299" s="27">
        <v>0</v>
      </c>
      <c r="H2299" s="27">
        <v>0</v>
      </c>
      <c r="I2299" s="27">
        <v>0</v>
      </c>
      <c r="J2299" s="27">
        <v>0</v>
      </c>
      <c r="K2299" s="63">
        <f>AVERAGE(I2299:J2299)</f>
        <v>0</v>
      </c>
      <c r="L2299" s="56" t="str">
        <f>"EQP-LAWPACK2"</f>
        <v>EQP-LAWPACK2</v>
      </c>
      <c r="M2299" s="14"/>
      <c r="N2299" s="15"/>
      <c r="O2299" s="12"/>
      <c r="P2299" s="34"/>
      <c r="Q2299" s="37"/>
      <c r="R2299" s="47"/>
      <c r="S2299" s="46"/>
    </row>
    <row r="2300" spans="1:19" ht="15.6" hidden="1" customHeight="1" thickBot="1" x14ac:dyDescent="0.3">
      <c r="A2300" t="s">
        <v>23</v>
      </c>
      <c r="B2300" s="60" t="str">
        <f t="shared" si="1644"/>
        <v>hide</v>
      </c>
      <c r="D2300" s="48" t="str">
        <f>D2299</f>
        <v>28005</v>
      </c>
      <c r="E2300" s="7"/>
      <c r="F2300" s="27">
        <v>0</v>
      </c>
      <c r="G2300" s="27">
        <v>0</v>
      </c>
      <c r="H2300" s="27">
        <v>0</v>
      </c>
      <c r="I2300" s="27">
        <v>0</v>
      </c>
      <c r="J2300" s="27">
        <v>0</v>
      </c>
      <c r="K2300" s="63">
        <f>AVERAGE(I2300:J2300)</f>
        <v>0</v>
      </c>
      <c r="L2300" s="56" t="str">
        <f>"SW-COMAS-PACKL"</f>
        <v>SW-COMAS-PACKL</v>
      </c>
      <c r="M2300" s="14"/>
      <c r="N2300" s="15"/>
      <c r="O2300" s="12"/>
      <c r="P2300" s="34"/>
      <c r="Q2300" s="37"/>
      <c r="R2300" s="47"/>
      <c r="S2300" s="46"/>
    </row>
    <row r="2301" spans="1:19" ht="15.6" hidden="1" customHeight="1" thickBot="1" x14ac:dyDescent="0.3">
      <c r="A2301" t="s">
        <v>23</v>
      </c>
      <c r="B2301" s="60" t="str">
        <f t="shared" si="1644"/>
        <v>hide</v>
      </c>
      <c r="D2301" s="48" t="str">
        <f>D2300</f>
        <v>28005</v>
      </c>
      <c r="E2301" s="7"/>
      <c r="F2301" s="27">
        <v>0</v>
      </c>
      <c r="G2301" s="27">
        <v>0</v>
      </c>
      <c r="H2301" s="27">
        <v>0</v>
      </c>
      <c r="I2301" s="27">
        <v>0</v>
      </c>
      <c r="J2301" s="27">
        <v>0</v>
      </c>
      <c r="K2301" s="63">
        <f>AVERAGE(I2301:J2301)</f>
        <v>0</v>
      </c>
      <c r="L2301" s="56" t="str">
        <f>"SW-RISER-PACK"</f>
        <v>SW-RISER-PACK</v>
      </c>
      <c r="M2301" s="14"/>
      <c r="N2301" s="15"/>
      <c r="O2301" s="12"/>
      <c r="P2301" s="34"/>
      <c r="Q2301" s="37"/>
      <c r="R2301" s="47"/>
      <c r="S2301" s="46"/>
    </row>
    <row r="2302" spans="1:19" ht="12" hidden="1" customHeight="1" x14ac:dyDescent="0.3">
      <c r="A2302" s="35" t="s">
        <v>908</v>
      </c>
      <c r="B2302" s="49" t="str">
        <f>B2298</f>
        <v>hide</v>
      </c>
      <c r="N2302"/>
      <c r="Q2302" s="33"/>
    </row>
    <row r="2303" spans="1:19" ht="13.8" hidden="1" thickBot="1" x14ac:dyDescent="0.3">
      <c r="A2303" t="s">
        <v>23</v>
      </c>
      <c r="B2303" s="49" t="str">
        <f t="shared" ref="B2303" si="1645">B2302</f>
        <v>hide</v>
      </c>
      <c r="D2303" s="58"/>
      <c r="E2303" s="58"/>
      <c r="F2303" s="52">
        <f>SUM(F2298:F2302)</f>
        <v>0</v>
      </c>
      <c r="G2303" s="52">
        <f>SUM(G2298:G2302)</f>
        <v>0</v>
      </c>
      <c r="H2303" s="52">
        <f>SUM(H2298:H2302)</f>
        <v>0</v>
      </c>
      <c r="I2303" s="52">
        <f>SUM(I2298:I2302)</f>
        <v>0</v>
      </c>
      <c r="J2303" s="52">
        <f>SUM(J2298:J2302)</f>
        <v>0</v>
      </c>
      <c r="K2303" s="52"/>
      <c r="L2303" s="51" t="s">
        <v>4</v>
      </c>
      <c r="M2303" s="58"/>
      <c r="N2303" s="58"/>
      <c r="O2303" s="58"/>
      <c r="P2303" s="58"/>
      <c r="Q2303" s="58"/>
      <c r="R2303" s="58"/>
      <c r="S2303" s="58"/>
    </row>
    <row r="2304" spans="1:19" s="59" customFormat="1" ht="18.75" hidden="1" customHeight="1" thickBot="1" x14ac:dyDescent="0.3">
      <c r="A2304" s="59" t="s">
        <v>23</v>
      </c>
      <c r="B2304" s="60" t="str">
        <f t="shared" ref="B2304:B2305" si="1646">IF(K2304=0,"hide","")</f>
        <v>hide</v>
      </c>
      <c r="D2304" s="61" t="str">
        <f>"28025"</f>
        <v>28025</v>
      </c>
      <c r="E2304" s="62" t="str">
        <f>"2"</f>
        <v>2</v>
      </c>
      <c r="F2304" s="63">
        <v>8.3333333333333329E-2</v>
      </c>
      <c r="G2304" s="63">
        <v>0</v>
      </c>
      <c r="H2304" s="63">
        <v>0</v>
      </c>
      <c r="I2304" s="63">
        <v>0</v>
      </c>
      <c r="J2304" s="63">
        <v>0</v>
      </c>
      <c r="K2304" s="63">
        <f>AVERAGE(I2304:J2304)</f>
        <v>0</v>
      </c>
      <c r="L2304" s="64" t="str">
        <f>"JALAPENO CORNBREAD"</f>
        <v>JALAPENO CORNBREAD</v>
      </c>
      <c r="M2304" s="65" t="str">
        <f>"12-15oz. Dome Covered"</f>
        <v>12-15oz. Dome Covered</v>
      </c>
      <c r="N2304" s="66">
        <v>12</v>
      </c>
      <c r="O2304" s="67" t="str">
        <f>""</f>
        <v/>
      </c>
      <c r="P2304" s="68" t="e">
        <f>1/O2304</f>
        <v>#VALUE!</v>
      </c>
      <c r="Q2304" s="53">
        <v>1</v>
      </c>
      <c r="R2304" s="69">
        <f t="shared" ref="R2304" si="1647">1/Q2304</f>
        <v>1</v>
      </c>
      <c r="S2304" s="70">
        <f t="shared" ref="S2304" si="1648">R2304*N2304</f>
        <v>12</v>
      </c>
    </row>
    <row r="2305" spans="1:19" ht="15.6" hidden="1" customHeight="1" thickBot="1" x14ac:dyDescent="0.3">
      <c r="A2305" t="s">
        <v>23</v>
      </c>
      <c r="B2305" s="60" t="str">
        <f t="shared" si="1646"/>
        <v>hide</v>
      </c>
      <c r="D2305" s="48" t="str">
        <f>D2304</f>
        <v>28025</v>
      </c>
      <c r="E2305" s="7"/>
      <c r="F2305" s="27">
        <v>0</v>
      </c>
      <c r="G2305" s="27">
        <v>0</v>
      </c>
      <c r="H2305" s="27">
        <v>0</v>
      </c>
      <c r="I2305" s="27">
        <v>0</v>
      </c>
      <c r="J2305" s="27">
        <v>0</v>
      </c>
      <c r="K2305" s="63">
        <f>AVERAGE(I2305:J2305)</f>
        <v>0</v>
      </c>
      <c r="L2305" s="56" t="str">
        <f>"EQP-LAWPACK1"</f>
        <v>EQP-LAWPACK1</v>
      </c>
      <c r="M2305" s="14"/>
      <c r="N2305" s="15"/>
      <c r="O2305" s="12"/>
      <c r="P2305" s="34"/>
      <c r="Q2305" s="37"/>
      <c r="R2305" s="47"/>
      <c r="S2305" s="46"/>
    </row>
    <row r="2306" spans="1:19" ht="15.6" hidden="1" customHeight="1" thickBot="1" x14ac:dyDescent="0.3">
      <c r="A2306" t="s">
        <v>23</v>
      </c>
      <c r="B2306" s="60" t="str">
        <f t="shared" ref="B2306:B2308" si="1649">IF(K2306=0,"hide","")</f>
        <v>hide</v>
      </c>
      <c r="D2306" s="48" t="str">
        <f>D2305</f>
        <v>28025</v>
      </c>
      <c r="E2306" s="7"/>
      <c r="F2306" s="27">
        <v>0</v>
      </c>
      <c r="G2306" s="27">
        <v>0</v>
      </c>
      <c r="H2306" s="27">
        <v>0</v>
      </c>
      <c r="I2306" s="27">
        <v>0</v>
      </c>
      <c r="J2306" s="27">
        <v>0</v>
      </c>
      <c r="K2306" s="63">
        <f>AVERAGE(I2306:J2306)</f>
        <v>0</v>
      </c>
      <c r="L2306" s="56" t="str">
        <f>"EQP-LAWPACK2"</f>
        <v>EQP-LAWPACK2</v>
      </c>
      <c r="M2306" s="14"/>
      <c r="N2306" s="15"/>
      <c r="O2306" s="12"/>
      <c r="P2306" s="34"/>
      <c r="Q2306" s="37"/>
      <c r="R2306" s="47"/>
      <c r="S2306" s="46"/>
    </row>
    <row r="2307" spans="1:19" ht="15.6" hidden="1" customHeight="1" thickBot="1" x14ac:dyDescent="0.3">
      <c r="A2307" t="s">
        <v>23</v>
      </c>
      <c r="B2307" s="60" t="str">
        <f t="shared" si="1649"/>
        <v>hide</v>
      </c>
      <c r="D2307" s="48" t="str">
        <f>D2306</f>
        <v>28025</v>
      </c>
      <c r="E2307" s="7"/>
      <c r="F2307" s="27">
        <v>0</v>
      </c>
      <c r="G2307" s="27">
        <v>0</v>
      </c>
      <c r="H2307" s="27">
        <v>0</v>
      </c>
      <c r="I2307" s="27">
        <v>0</v>
      </c>
      <c r="J2307" s="27">
        <v>0</v>
      </c>
      <c r="K2307" s="63">
        <f>AVERAGE(I2307:J2307)</f>
        <v>0</v>
      </c>
      <c r="L2307" s="56" t="str">
        <f>"SW-COMAS-PACKL"</f>
        <v>SW-COMAS-PACKL</v>
      </c>
      <c r="M2307" s="14"/>
      <c r="N2307" s="15"/>
      <c r="O2307" s="12"/>
      <c r="P2307" s="34"/>
      <c r="Q2307" s="37"/>
      <c r="R2307" s="47"/>
      <c r="S2307" s="46"/>
    </row>
    <row r="2308" spans="1:19" ht="15.6" hidden="1" customHeight="1" thickBot="1" x14ac:dyDescent="0.3">
      <c r="A2308" t="s">
        <v>23</v>
      </c>
      <c r="B2308" s="60" t="str">
        <f t="shared" si="1649"/>
        <v>hide</v>
      </c>
      <c r="D2308" s="48" t="str">
        <f>D2307</f>
        <v>28025</v>
      </c>
      <c r="E2308" s="7"/>
      <c r="F2308" s="27">
        <v>0</v>
      </c>
      <c r="G2308" s="27">
        <v>0</v>
      </c>
      <c r="H2308" s="27">
        <v>0</v>
      </c>
      <c r="I2308" s="27">
        <v>0</v>
      </c>
      <c r="J2308" s="27">
        <v>0</v>
      </c>
      <c r="K2308" s="63">
        <f>AVERAGE(I2308:J2308)</f>
        <v>0</v>
      </c>
      <c r="L2308" s="56" t="str">
        <f>"SW-RISER-PACK"</f>
        <v>SW-RISER-PACK</v>
      </c>
      <c r="M2308" s="14"/>
      <c r="N2308" s="15"/>
      <c r="O2308" s="12"/>
      <c r="P2308" s="34"/>
      <c r="Q2308" s="37"/>
      <c r="R2308" s="47"/>
      <c r="S2308" s="46"/>
    </row>
    <row r="2309" spans="1:19" ht="12" hidden="1" customHeight="1" x14ac:dyDescent="0.3">
      <c r="A2309" s="35" t="s">
        <v>908</v>
      </c>
      <c r="B2309" s="49" t="str">
        <f>B2305</f>
        <v>hide</v>
      </c>
      <c r="N2309"/>
      <c r="Q2309" s="33"/>
    </row>
    <row r="2310" spans="1:19" ht="13.8" hidden="1" thickBot="1" x14ac:dyDescent="0.3">
      <c r="A2310" t="s">
        <v>23</v>
      </c>
      <c r="B2310" s="49" t="str">
        <f t="shared" ref="B2310" si="1650">B2309</f>
        <v>hide</v>
      </c>
      <c r="D2310" s="58"/>
      <c r="E2310" s="58"/>
      <c r="F2310" s="52">
        <f>SUM(F2305:F2309)</f>
        <v>0</v>
      </c>
      <c r="G2310" s="52">
        <f>SUM(G2305:G2309)</f>
        <v>0</v>
      </c>
      <c r="H2310" s="52">
        <f>SUM(H2305:H2309)</f>
        <v>0</v>
      </c>
      <c r="I2310" s="52">
        <f>SUM(I2305:I2309)</f>
        <v>0</v>
      </c>
      <c r="J2310" s="52">
        <f>SUM(J2305:J2309)</f>
        <v>0</v>
      </c>
      <c r="K2310" s="52"/>
      <c r="L2310" s="51" t="s">
        <v>4</v>
      </c>
      <c r="M2310" s="58"/>
      <c r="N2310" s="58"/>
      <c r="O2310" s="58"/>
      <c r="P2310" s="58"/>
      <c r="Q2310" s="58"/>
      <c r="R2310" s="58"/>
      <c r="S2310" s="58"/>
    </row>
    <row r="2311" spans="1:19" s="59" customFormat="1" ht="18.75" hidden="1" customHeight="1" thickBot="1" x14ac:dyDescent="0.3">
      <c r="A2311" s="59" t="s">
        <v>23</v>
      </c>
      <c r="B2311" s="60" t="str">
        <f t="shared" ref="B2311:B2312" si="1651">IF(K2311=0,"hide","")</f>
        <v>hide</v>
      </c>
      <c r="D2311" s="61" t="str">
        <f>"28105"</f>
        <v>28105</v>
      </c>
      <c r="E2311" s="62" t="str">
        <f>"2"</f>
        <v>2</v>
      </c>
      <c r="F2311" s="63">
        <v>0</v>
      </c>
      <c r="G2311" s="63">
        <v>0</v>
      </c>
      <c r="H2311" s="63">
        <v>0</v>
      </c>
      <c r="I2311" s="63">
        <v>0</v>
      </c>
      <c r="J2311" s="63">
        <v>0</v>
      </c>
      <c r="K2311" s="63">
        <f>AVERAGE(I2311:J2311)</f>
        <v>0</v>
      </c>
      <c r="L2311" s="64" t="str">
        <f>"SOUTHERN STYLE CORNBREAD"</f>
        <v>SOUTHERN STYLE CORNBREAD</v>
      </c>
      <c r="M2311" s="65" t="str">
        <f>"12-15oz. Dome Covered"</f>
        <v>12-15oz. Dome Covered</v>
      </c>
      <c r="N2311" s="66">
        <v>12</v>
      </c>
      <c r="O2311" s="67" t="str">
        <f>""</f>
        <v/>
      </c>
      <c r="P2311" s="68" t="e">
        <f>1/O2311</f>
        <v>#VALUE!</v>
      </c>
      <c r="Q2311" s="53">
        <v>1</v>
      </c>
      <c r="R2311" s="69">
        <f t="shared" ref="R2311" si="1652">1/Q2311</f>
        <v>1</v>
      </c>
      <c r="S2311" s="70">
        <f t="shared" ref="S2311" si="1653">R2311*N2311</f>
        <v>12</v>
      </c>
    </row>
    <row r="2312" spans="1:19" ht="15.6" hidden="1" customHeight="1" thickBot="1" x14ac:dyDescent="0.3">
      <c r="A2312" t="s">
        <v>23</v>
      </c>
      <c r="B2312" s="60" t="str">
        <f t="shared" si="1651"/>
        <v>hide</v>
      </c>
      <c r="D2312" s="48" t="str">
        <f>D2311</f>
        <v>28105</v>
      </c>
      <c r="E2312" s="7"/>
      <c r="F2312" s="27">
        <v>0</v>
      </c>
      <c r="G2312" s="27">
        <v>0</v>
      </c>
      <c r="H2312" s="27">
        <v>0</v>
      </c>
      <c r="I2312" s="27">
        <v>0</v>
      </c>
      <c r="J2312" s="27">
        <v>0</v>
      </c>
      <c r="K2312" s="63">
        <f>AVERAGE(I2312:J2312)</f>
        <v>0</v>
      </c>
      <c r="L2312" s="56" t="str">
        <f>"EQP-LAWPACK1"</f>
        <v>EQP-LAWPACK1</v>
      </c>
      <c r="M2312" s="14"/>
      <c r="N2312" s="15"/>
      <c r="O2312" s="12"/>
      <c r="P2312" s="34"/>
      <c r="Q2312" s="37"/>
      <c r="R2312" s="47"/>
      <c r="S2312" s="46"/>
    </row>
    <row r="2313" spans="1:19" ht="15.6" hidden="1" customHeight="1" thickBot="1" x14ac:dyDescent="0.3">
      <c r="A2313" t="s">
        <v>23</v>
      </c>
      <c r="B2313" s="60" t="str">
        <f t="shared" ref="B2313:B2315" si="1654">IF(K2313=0,"hide","")</f>
        <v>hide</v>
      </c>
      <c r="D2313" s="48" t="str">
        <f>D2312</f>
        <v>28105</v>
      </c>
      <c r="E2313" s="7"/>
      <c r="F2313" s="27">
        <v>0</v>
      </c>
      <c r="G2313" s="27">
        <v>0</v>
      </c>
      <c r="H2313" s="27">
        <v>0</v>
      </c>
      <c r="I2313" s="27">
        <v>0</v>
      </c>
      <c r="J2313" s="27">
        <v>0</v>
      </c>
      <c r="K2313" s="63">
        <f>AVERAGE(I2313:J2313)</f>
        <v>0</v>
      </c>
      <c r="L2313" s="56" t="str">
        <f>"EQP-LAWPACK2"</f>
        <v>EQP-LAWPACK2</v>
      </c>
      <c r="M2313" s="14"/>
      <c r="N2313" s="15"/>
      <c r="O2313" s="12"/>
      <c r="P2313" s="34"/>
      <c r="Q2313" s="37"/>
      <c r="R2313" s="47"/>
      <c r="S2313" s="46"/>
    </row>
    <row r="2314" spans="1:19" ht="15.6" hidden="1" customHeight="1" thickBot="1" x14ac:dyDescent="0.3">
      <c r="A2314" t="s">
        <v>23</v>
      </c>
      <c r="B2314" s="60" t="str">
        <f t="shared" si="1654"/>
        <v>hide</v>
      </c>
      <c r="D2314" s="48" t="str">
        <f>D2313</f>
        <v>28105</v>
      </c>
      <c r="E2314" s="7"/>
      <c r="F2314" s="27">
        <v>0</v>
      </c>
      <c r="G2314" s="27">
        <v>0</v>
      </c>
      <c r="H2314" s="27">
        <v>0</v>
      </c>
      <c r="I2314" s="27">
        <v>0</v>
      </c>
      <c r="J2314" s="27">
        <v>0</v>
      </c>
      <c r="K2314" s="63">
        <f>AVERAGE(I2314:J2314)</f>
        <v>0</v>
      </c>
      <c r="L2314" s="56" t="str">
        <f>"SW-COMAS-PACKL"</f>
        <v>SW-COMAS-PACKL</v>
      </c>
      <c r="M2314" s="14"/>
      <c r="N2314" s="15"/>
      <c r="O2314" s="12"/>
      <c r="P2314" s="34"/>
      <c r="Q2314" s="37"/>
      <c r="R2314" s="47"/>
      <c r="S2314" s="46"/>
    </row>
    <row r="2315" spans="1:19" ht="15.6" hidden="1" customHeight="1" thickBot="1" x14ac:dyDescent="0.3">
      <c r="A2315" t="s">
        <v>23</v>
      </c>
      <c r="B2315" s="60" t="str">
        <f t="shared" si="1654"/>
        <v>hide</v>
      </c>
      <c r="D2315" s="48" t="str">
        <f>D2314</f>
        <v>28105</v>
      </c>
      <c r="E2315" s="7"/>
      <c r="F2315" s="27">
        <v>0</v>
      </c>
      <c r="G2315" s="27">
        <v>0</v>
      </c>
      <c r="H2315" s="27">
        <v>0</v>
      </c>
      <c r="I2315" s="27">
        <v>0</v>
      </c>
      <c r="J2315" s="27">
        <v>0</v>
      </c>
      <c r="K2315" s="63">
        <f>AVERAGE(I2315:J2315)</f>
        <v>0</v>
      </c>
      <c r="L2315" s="56" t="str">
        <f>"SW-RISER-PACK"</f>
        <v>SW-RISER-PACK</v>
      </c>
      <c r="M2315" s="14"/>
      <c r="N2315" s="15"/>
      <c r="O2315" s="12"/>
      <c r="P2315" s="34"/>
      <c r="Q2315" s="37"/>
      <c r="R2315" s="47"/>
      <c r="S2315" s="46"/>
    </row>
    <row r="2316" spans="1:19" ht="12" hidden="1" customHeight="1" x14ac:dyDescent="0.3">
      <c r="A2316" s="35" t="s">
        <v>908</v>
      </c>
      <c r="B2316" s="49" t="str">
        <f>B2312</f>
        <v>hide</v>
      </c>
      <c r="N2316"/>
      <c r="Q2316" s="33"/>
    </row>
    <row r="2317" spans="1:19" ht="13.8" hidden="1" thickBot="1" x14ac:dyDescent="0.3">
      <c r="A2317" t="s">
        <v>23</v>
      </c>
      <c r="B2317" s="49" t="str">
        <f t="shared" ref="B2317" si="1655">B2316</f>
        <v>hide</v>
      </c>
      <c r="D2317" s="58"/>
      <c r="E2317" s="58"/>
      <c r="F2317" s="52">
        <f>SUM(F2312:F2316)</f>
        <v>0</v>
      </c>
      <c r="G2317" s="52">
        <f>SUM(G2312:G2316)</f>
        <v>0</v>
      </c>
      <c r="H2317" s="52">
        <f>SUM(H2312:H2316)</f>
        <v>0</v>
      </c>
      <c r="I2317" s="52">
        <f>SUM(I2312:I2316)</f>
        <v>0</v>
      </c>
      <c r="J2317" s="52">
        <f>SUM(J2312:J2316)</f>
        <v>0</v>
      </c>
      <c r="K2317" s="52"/>
      <c r="L2317" s="51" t="s">
        <v>4</v>
      </c>
      <c r="M2317" s="58"/>
      <c r="N2317" s="58"/>
      <c r="O2317" s="58"/>
      <c r="P2317" s="58"/>
      <c r="Q2317" s="58"/>
      <c r="R2317" s="58"/>
      <c r="S2317" s="58"/>
    </row>
    <row r="2318" spans="1:19" s="59" customFormat="1" ht="18.75" customHeight="1" thickBot="1" x14ac:dyDescent="0.3">
      <c r="A2318" s="59" t="s">
        <v>23</v>
      </c>
      <c r="B2318" s="60" t="str">
        <f t="shared" ref="B2318:B2319" si="1656">IF(K2318=0,"hide","")</f>
        <v/>
      </c>
      <c r="D2318" s="61" t="str">
        <f>"28405"</f>
        <v>28405</v>
      </c>
      <c r="E2318" s="62" t="str">
        <f>"7"</f>
        <v>7</v>
      </c>
      <c r="F2318" s="63">
        <v>1203.6666666666667</v>
      </c>
      <c r="G2318" s="63">
        <v>610.91666666666663</v>
      </c>
      <c r="H2318" s="63">
        <v>656.58333333333337</v>
      </c>
      <c r="I2318" s="63">
        <v>717.66666666666663</v>
      </c>
      <c r="J2318" s="63">
        <v>466.37036144578315</v>
      </c>
      <c r="K2318" s="63">
        <f>AVERAGE(I2318:J2318)</f>
        <v>592.01851405622483</v>
      </c>
      <c r="L2318" s="64" t="str">
        <f>"CORNBREAD LOAVES"</f>
        <v>CORNBREAD LOAVES</v>
      </c>
      <c r="M2318" s="65" t="str">
        <f>"12-15oz. Dome Covered"</f>
        <v>12-15oz. Dome Covered</v>
      </c>
      <c r="N2318" s="66">
        <v>12</v>
      </c>
      <c r="O2318" s="67" t="str">
        <f>""</f>
        <v/>
      </c>
      <c r="P2318" s="68" t="e">
        <f>1/O2318</f>
        <v>#VALUE!</v>
      </c>
      <c r="Q2318" s="53">
        <v>1</v>
      </c>
      <c r="R2318" s="69">
        <f t="shared" ref="R2318" si="1657">1/Q2318</f>
        <v>1</v>
      </c>
      <c r="S2318" s="70">
        <f t="shared" ref="S2318" si="1658">R2318*N2318</f>
        <v>12</v>
      </c>
    </row>
    <row r="2319" spans="1:19" ht="15.6" hidden="1" customHeight="1" thickBot="1" x14ac:dyDescent="0.3">
      <c r="A2319" t="s">
        <v>23</v>
      </c>
      <c r="B2319" s="60" t="str">
        <f t="shared" si="1656"/>
        <v>hide</v>
      </c>
      <c r="D2319" s="48" t="str">
        <f>D2318</f>
        <v>28405</v>
      </c>
      <c r="E2319" s="7"/>
      <c r="F2319" s="27">
        <v>0</v>
      </c>
      <c r="G2319" s="27">
        <v>0</v>
      </c>
      <c r="H2319" s="27">
        <v>0</v>
      </c>
      <c r="I2319" s="27">
        <v>0</v>
      </c>
      <c r="J2319" s="27">
        <v>0</v>
      </c>
      <c r="K2319" s="63">
        <f>AVERAGE(I2319:J2319)</f>
        <v>0</v>
      </c>
      <c r="L2319" s="56" t="str">
        <f>"EQP-LAWPACK1"</f>
        <v>EQP-LAWPACK1</v>
      </c>
      <c r="M2319" s="14"/>
      <c r="N2319" s="15"/>
      <c r="O2319" s="12"/>
      <c r="P2319" s="34"/>
      <c r="Q2319" s="37"/>
      <c r="R2319" s="47"/>
      <c r="S2319" s="46"/>
    </row>
    <row r="2320" spans="1:19" ht="15.6" hidden="1" customHeight="1" thickBot="1" x14ac:dyDescent="0.3">
      <c r="A2320" t="s">
        <v>23</v>
      </c>
      <c r="B2320" s="60" t="str">
        <f t="shared" ref="B2320:B2322" si="1659">IF(K2320=0,"hide","")</f>
        <v>hide</v>
      </c>
      <c r="D2320" s="48" t="str">
        <f>D2319</f>
        <v>28405</v>
      </c>
      <c r="E2320" s="7"/>
      <c r="F2320" s="27">
        <v>0</v>
      </c>
      <c r="G2320" s="27">
        <v>0</v>
      </c>
      <c r="H2320" s="27">
        <v>0</v>
      </c>
      <c r="I2320" s="27">
        <v>0</v>
      </c>
      <c r="J2320" s="27">
        <v>0</v>
      </c>
      <c r="K2320" s="63">
        <f>AVERAGE(I2320:J2320)</f>
        <v>0</v>
      </c>
      <c r="L2320" s="56" t="str">
        <f>"EQP-LAWPACK2"</f>
        <v>EQP-LAWPACK2</v>
      </c>
      <c r="M2320" s="14"/>
      <c r="N2320" s="15"/>
      <c r="O2320" s="12"/>
      <c r="P2320" s="34"/>
      <c r="Q2320" s="37"/>
      <c r="R2320" s="47"/>
      <c r="S2320" s="46"/>
    </row>
    <row r="2321" spans="1:19" ht="15.6" hidden="1" customHeight="1" thickBot="1" x14ac:dyDescent="0.3">
      <c r="A2321" t="s">
        <v>23</v>
      </c>
      <c r="B2321" s="60" t="str">
        <f t="shared" si="1659"/>
        <v>hide</v>
      </c>
      <c r="D2321" s="48" t="str">
        <f>D2320</f>
        <v>28405</v>
      </c>
      <c r="E2321" s="7"/>
      <c r="F2321" s="27">
        <v>0</v>
      </c>
      <c r="G2321" s="27">
        <v>0</v>
      </c>
      <c r="H2321" s="27">
        <v>0</v>
      </c>
      <c r="I2321" s="27">
        <v>0</v>
      </c>
      <c r="J2321" s="27">
        <v>0</v>
      </c>
      <c r="K2321" s="63">
        <f>AVERAGE(I2321:J2321)</f>
        <v>0</v>
      </c>
      <c r="L2321" s="56" t="str">
        <f>"SW-COMAS-PACKL"</f>
        <v>SW-COMAS-PACKL</v>
      </c>
      <c r="M2321" s="14"/>
      <c r="N2321" s="15"/>
      <c r="O2321" s="12"/>
      <c r="P2321" s="34"/>
      <c r="Q2321" s="37"/>
      <c r="R2321" s="47"/>
      <c r="S2321" s="46"/>
    </row>
    <row r="2322" spans="1:19" ht="15.6" hidden="1" customHeight="1" thickBot="1" x14ac:dyDescent="0.3">
      <c r="A2322" t="s">
        <v>23</v>
      </c>
      <c r="B2322" s="60" t="str">
        <f t="shared" si="1659"/>
        <v>hide</v>
      </c>
      <c r="D2322" s="48" t="str">
        <f>D2321</f>
        <v>28405</v>
      </c>
      <c r="E2322" s="7"/>
      <c r="F2322" s="27">
        <v>0</v>
      </c>
      <c r="G2322" s="27">
        <v>0</v>
      </c>
      <c r="H2322" s="27">
        <v>0</v>
      </c>
      <c r="I2322" s="27">
        <v>0</v>
      </c>
      <c r="J2322" s="27">
        <v>0</v>
      </c>
      <c r="K2322" s="63">
        <f>AVERAGE(I2322:J2322)</f>
        <v>0</v>
      </c>
      <c r="L2322" s="56" t="str">
        <f>"SW-RISER-PACK"</f>
        <v>SW-RISER-PACK</v>
      </c>
      <c r="M2322" s="14"/>
      <c r="N2322" s="15"/>
      <c r="O2322" s="12"/>
      <c r="P2322" s="34"/>
      <c r="Q2322" s="37"/>
      <c r="R2322" s="47"/>
      <c r="S2322" s="46"/>
    </row>
    <row r="2323" spans="1:19" ht="12" hidden="1" customHeight="1" x14ac:dyDescent="0.3">
      <c r="A2323" s="35" t="s">
        <v>908</v>
      </c>
      <c r="B2323" s="49" t="str">
        <f>B2319</f>
        <v>hide</v>
      </c>
      <c r="N2323"/>
      <c r="Q2323" s="33"/>
    </row>
    <row r="2324" spans="1:19" ht="13.8" hidden="1" thickBot="1" x14ac:dyDescent="0.3">
      <c r="A2324" t="s">
        <v>23</v>
      </c>
      <c r="B2324" s="49" t="str">
        <f t="shared" ref="B2324" si="1660">B2323</f>
        <v>hide</v>
      </c>
      <c r="D2324" s="58"/>
      <c r="E2324" s="58"/>
      <c r="F2324" s="52">
        <f>SUM(F2319:F2323)</f>
        <v>0</v>
      </c>
      <c r="G2324" s="52">
        <f>SUM(G2319:G2323)</f>
        <v>0</v>
      </c>
      <c r="H2324" s="52">
        <f>SUM(H2319:H2323)</f>
        <v>0</v>
      </c>
      <c r="I2324" s="52">
        <f>SUM(I2319:I2323)</f>
        <v>0</v>
      </c>
      <c r="J2324" s="52">
        <f>SUM(J2319:J2323)</f>
        <v>0</v>
      </c>
      <c r="K2324" s="52"/>
      <c r="L2324" s="51" t="s">
        <v>4</v>
      </c>
      <c r="M2324" s="58"/>
      <c r="N2324" s="58"/>
      <c r="O2324" s="58"/>
      <c r="P2324" s="58"/>
      <c r="Q2324" s="58"/>
      <c r="R2324" s="58"/>
      <c r="S2324" s="58"/>
    </row>
    <row r="2325" spans="1:19" s="59" customFormat="1" ht="18.75" customHeight="1" thickBot="1" x14ac:dyDescent="0.3">
      <c r="A2325" s="59" t="s">
        <v>23</v>
      </c>
      <c r="B2325" s="60" t="str">
        <f t="shared" ref="B2325:B2326" si="1661">IF(K2325=0,"hide","")</f>
        <v/>
      </c>
      <c r="D2325" s="61" t="str">
        <f>"28425"</f>
        <v>28425</v>
      </c>
      <c r="E2325" s="62" t="str">
        <f>"2"</f>
        <v>2</v>
      </c>
      <c r="F2325" s="63">
        <v>99.416666666666671</v>
      </c>
      <c r="G2325" s="63">
        <v>137.58333333333334</v>
      </c>
      <c r="H2325" s="63">
        <v>160.08333333333334</v>
      </c>
      <c r="I2325" s="63">
        <v>35.333333333333336</v>
      </c>
      <c r="J2325" s="63">
        <v>34.164578313253017</v>
      </c>
      <c r="K2325" s="63">
        <f>AVERAGE(I2325:J2325)</f>
        <v>34.748955823293173</v>
      </c>
      <c r="L2325" s="64" t="str">
        <f>"JALAPENO CORNBREAD LOAVES"</f>
        <v>JALAPENO CORNBREAD LOAVES</v>
      </c>
      <c r="M2325" s="65" t="str">
        <f>"12-15oz. Dome Covered"</f>
        <v>12-15oz. Dome Covered</v>
      </c>
      <c r="N2325" s="66">
        <v>12</v>
      </c>
      <c r="O2325" s="67" t="str">
        <f>""</f>
        <v/>
      </c>
      <c r="P2325" s="68" t="e">
        <f>1/O2325</f>
        <v>#VALUE!</v>
      </c>
      <c r="Q2325" s="53">
        <v>1</v>
      </c>
      <c r="R2325" s="69">
        <f t="shared" ref="R2325" si="1662">1/Q2325</f>
        <v>1</v>
      </c>
      <c r="S2325" s="70">
        <f t="shared" ref="S2325" si="1663">R2325*N2325</f>
        <v>12</v>
      </c>
    </row>
    <row r="2326" spans="1:19" ht="15.6" hidden="1" customHeight="1" thickBot="1" x14ac:dyDescent="0.3">
      <c r="A2326" t="s">
        <v>23</v>
      </c>
      <c r="B2326" s="60" t="str">
        <f t="shared" si="1661"/>
        <v>hide</v>
      </c>
      <c r="D2326" s="48" t="str">
        <f>D2325</f>
        <v>28425</v>
      </c>
      <c r="E2326" s="7"/>
      <c r="F2326" s="27">
        <v>0</v>
      </c>
      <c r="G2326" s="27">
        <v>0</v>
      </c>
      <c r="H2326" s="27">
        <v>0</v>
      </c>
      <c r="I2326" s="27">
        <v>0</v>
      </c>
      <c r="J2326" s="27">
        <v>0</v>
      </c>
      <c r="K2326" s="63">
        <f>AVERAGE(I2326:J2326)</f>
        <v>0</v>
      </c>
      <c r="L2326" s="56" t="str">
        <f>"EQP-LAWPACK1"</f>
        <v>EQP-LAWPACK1</v>
      </c>
      <c r="M2326" s="14"/>
      <c r="N2326" s="15"/>
      <c r="O2326" s="12"/>
      <c r="P2326" s="34"/>
      <c r="Q2326" s="37"/>
      <c r="R2326" s="47"/>
      <c r="S2326" s="46"/>
    </row>
    <row r="2327" spans="1:19" ht="15.6" hidden="1" customHeight="1" thickBot="1" x14ac:dyDescent="0.3">
      <c r="A2327" t="s">
        <v>23</v>
      </c>
      <c r="B2327" s="60" t="str">
        <f t="shared" ref="B2327:B2329" si="1664">IF(K2327=0,"hide","")</f>
        <v>hide</v>
      </c>
      <c r="D2327" s="48" t="str">
        <f>D2326</f>
        <v>28425</v>
      </c>
      <c r="E2327" s="7"/>
      <c r="F2327" s="27">
        <v>0</v>
      </c>
      <c r="G2327" s="27">
        <v>0</v>
      </c>
      <c r="H2327" s="27">
        <v>0</v>
      </c>
      <c r="I2327" s="27">
        <v>0</v>
      </c>
      <c r="J2327" s="27">
        <v>0</v>
      </c>
      <c r="K2327" s="63">
        <f>AVERAGE(I2327:J2327)</f>
        <v>0</v>
      </c>
      <c r="L2327" s="56" t="str">
        <f>"EQP-LAWPACK2"</f>
        <v>EQP-LAWPACK2</v>
      </c>
      <c r="M2327" s="14"/>
      <c r="N2327" s="15"/>
      <c r="O2327" s="12"/>
      <c r="P2327" s="34"/>
      <c r="Q2327" s="37"/>
      <c r="R2327" s="47"/>
      <c r="S2327" s="46"/>
    </row>
    <row r="2328" spans="1:19" ht="15.6" hidden="1" customHeight="1" thickBot="1" x14ac:dyDescent="0.3">
      <c r="A2328" t="s">
        <v>23</v>
      </c>
      <c r="B2328" s="60" t="str">
        <f t="shared" si="1664"/>
        <v>hide</v>
      </c>
      <c r="D2328" s="48" t="str">
        <f>D2327</f>
        <v>28425</v>
      </c>
      <c r="E2328" s="7"/>
      <c r="F2328" s="27">
        <v>0</v>
      </c>
      <c r="G2328" s="27">
        <v>0</v>
      </c>
      <c r="H2328" s="27">
        <v>0</v>
      </c>
      <c r="I2328" s="27">
        <v>0</v>
      </c>
      <c r="J2328" s="27">
        <v>0</v>
      </c>
      <c r="K2328" s="63">
        <f>AVERAGE(I2328:J2328)</f>
        <v>0</v>
      </c>
      <c r="L2328" s="56" t="str">
        <f>"SW-COMAS-PACKL"</f>
        <v>SW-COMAS-PACKL</v>
      </c>
      <c r="M2328" s="14"/>
      <c r="N2328" s="15"/>
      <c r="O2328" s="12"/>
      <c r="P2328" s="34"/>
      <c r="Q2328" s="37"/>
      <c r="R2328" s="47"/>
      <c r="S2328" s="46"/>
    </row>
    <row r="2329" spans="1:19" ht="15.6" hidden="1" customHeight="1" thickBot="1" x14ac:dyDescent="0.3">
      <c r="A2329" t="s">
        <v>23</v>
      </c>
      <c r="B2329" s="60" t="str">
        <f t="shared" si="1664"/>
        <v>hide</v>
      </c>
      <c r="D2329" s="48" t="str">
        <f>D2328</f>
        <v>28425</v>
      </c>
      <c r="E2329" s="7"/>
      <c r="F2329" s="27">
        <v>0</v>
      </c>
      <c r="G2329" s="27">
        <v>0</v>
      </c>
      <c r="H2329" s="27">
        <v>0</v>
      </c>
      <c r="I2329" s="27">
        <v>0</v>
      </c>
      <c r="J2329" s="27">
        <v>0</v>
      </c>
      <c r="K2329" s="63">
        <f>AVERAGE(I2329:J2329)</f>
        <v>0</v>
      </c>
      <c r="L2329" s="56" t="str">
        <f>"SW-RISER-PACK"</f>
        <v>SW-RISER-PACK</v>
      </c>
      <c r="M2329" s="14"/>
      <c r="N2329" s="15"/>
      <c r="O2329" s="12"/>
      <c r="P2329" s="34"/>
      <c r="Q2329" s="37"/>
      <c r="R2329" s="47"/>
      <c r="S2329" s="46"/>
    </row>
    <row r="2330" spans="1:19" ht="12" hidden="1" customHeight="1" x14ac:dyDescent="0.3">
      <c r="A2330" s="35" t="s">
        <v>908</v>
      </c>
      <c r="B2330" s="49" t="str">
        <f>B2326</f>
        <v>hide</v>
      </c>
      <c r="N2330"/>
      <c r="Q2330" s="33"/>
    </row>
    <row r="2331" spans="1:19" ht="13.8" hidden="1" thickBot="1" x14ac:dyDescent="0.3">
      <c r="A2331" t="s">
        <v>23</v>
      </c>
      <c r="B2331" s="49" t="str">
        <f t="shared" ref="B2331" si="1665">B2330</f>
        <v>hide</v>
      </c>
      <c r="D2331" s="58"/>
      <c r="E2331" s="58"/>
      <c r="F2331" s="52">
        <f>SUM(F2326:F2330)</f>
        <v>0</v>
      </c>
      <c r="G2331" s="52">
        <f>SUM(G2326:G2330)</f>
        <v>0</v>
      </c>
      <c r="H2331" s="52">
        <f>SUM(H2326:H2330)</f>
        <v>0</v>
      </c>
      <c r="I2331" s="52">
        <f>SUM(I2326:I2330)</f>
        <v>0</v>
      </c>
      <c r="J2331" s="52">
        <f>SUM(J2326:J2330)</f>
        <v>0</v>
      </c>
      <c r="K2331" s="52"/>
      <c r="L2331" s="51" t="s">
        <v>4</v>
      </c>
      <c r="M2331" s="58"/>
      <c r="N2331" s="58"/>
      <c r="O2331" s="58"/>
      <c r="P2331" s="58"/>
      <c r="Q2331" s="58"/>
      <c r="R2331" s="58"/>
      <c r="S2331" s="58"/>
    </row>
    <row r="2332" spans="1:19" s="59" customFormat="1" ht="18.75" hidden="1" customHeight="1" thickBot="1" x14ac:dyDescent="0.3">
      <c r="A2332" s="59" t="s">
        <v>23</v>
      </c>
      <c r="B2332" s="60" t="str">
        <f t="shared" ref="B2332:B2333" si="1666">IF(K2332=0,"hide","")</f>
        <v>hide</v>
      </c>
      <c r="D2332" s="61" t="str">
        <f>"28436"</f>
        <v>28436</v>
      </c>
      <c r="E2332" s="62" t="str">
        <f>"3"</f>
        <v>3</v>
      </c>
      <c r="F2332" s="63">
        <v>1.3333333333333333</v>
      </c>
      <c r="G2332" s="63">
        <v>0</v>
      </c>
      <c r="H2332" s="63">
        <v>0</v>
      </c>
      <c r="I2332" s="63">
        <v>0</v>
      </c>
      <c r="J2332" s="63">
        <v>0</v>
      </c>
      <c r="K2332" s="63">
        <f>AVERAGE(I2332:J2332)</f>
        <v>0</v>
      </c>
      <c r="L2332" s="64" t="str">
        <f>"CINNAMON COFFEE CAKE"</f>
        <v>CINNAMON COFFEE CAKE</v>
      </c>
      <c r="M2332" s="65" t="str">
        <f>"12-15oz. Dome Covered"</f>
        <v>12-15oz. Dome Covered</v>
      </c>
      <c r="N2332" s="66">
        <v>12</v>
      </c>
      <c r="O2332" s="67" t="str">
        <f>""</f>
        <v/>
      </c>
      <c r="P2332" s="68" t="e">
        <f>1/O2332</f>
        <v>#VALUE!</v>
      </c>
      <c r="Q2332" s="53">
        <v>1</v>
      </c>
      <c r="R2332" s="69">
        <f t="shared" ref="R2332" si="1667">1/Q2332</f>
        <v>1</v>
      </c>
      <c r="S2332" s="70">
        <f t="shared" ref="S2332" si="1668">R2332*N2332</f>
        <v>12</v>
      </c>
    </row>
    <row r="2333" spans="1:19" ht="15.6" hidden="1" customHeight="1" thickBot="1" x14ac:dyDescent="0.3">
      <c r="A2333" t="s">
        <v>23</v>
      </c>
      <c r="B2333" s="60" t="str">
        <f t="shared" si="1666"/>
        <v>hide</v>
      </c>
      <c r="D2333" s="48" t="str">
        <f>D2332</f>
        <v>28436</v>
      </c>
      <c r="E2333" s="7"/>
      <c r="F2333" s="27">
        <v>0</v>
      </c>
      <c r="G2333" s="27">
        <v>0</v>
      </c>
      <c r="H2333" s="27">
        <v>0</v>
      </c>
      <c r="I2333" s="27">
        <v>0</v>
      </c>
      <c r="J2333" s="27">
        <v>0</v>
      </c>
      <c r="K2333" s="63">
        <f>AVERAGE(I2333:J2333)</f>
        <v>0</v>
      </c>
      <c r="L2333" s="56" t="str">
        <f>"EQP-LAWPACK1"</f>
        <v>EQP-LAWPACK1</v>
      </c>
      <c r="M2333" s="14"/>
      <c r="N2333" s="15"/>
      <c r="O2333" s="12"/>
      <c r="P2333" s="34"/>
      <c r="Q2333" s="37"/>
      <c r="R2333" s="47"/>
      <c r="S2333" s="46"/>
    </row>
    <row r="2334" spans="1:19" ht="15.6" hidden="1" customHeight="1" thickBot="1" x14ac:dyDescent="0.3">
      <c r="A2334" t="s">
        <v>23</v>
      </c>
      <c r="B2334" s="60" t="str">
        <f t="shared" ref="B2334:B2336" si="1669">IF(K2334=0,"hide","")</f>
        <v>hide</v>
      </c>
      <c r="D2334" s="48" t="str">
        <f>D2333</f>
        <v>28436</v>
      </c>
      <c r="E2334" s="7"/>
      <c r="F2334" s="27">
        <v>0</v>
      </c>
      <c r="G2334" s="27">
        <v>0</v>
      </c>
      <c r="H2334" s="27">
        <v>0</v>
      </c>
      <c r="I2334" s="27">
        <v>0</v>
      </c>
      <c r="J2334" s="27">
        <v>0</v>
      </c>
      <c r="K2334" s="63">
        <f>AVERAGE(I2334:J2334)</f>
        <v>0</v>
      </c>
      <c r="L2334" s="56" t="str">
        <f>"EQP-LAWPACK2"</f>
        <v>EQP-LAWPACK2</v>
      </c>
      <c r="M2334" s="14"/>
      <c r="N2334" s="15"/>
      <c r="O2334" s="12"/>
      <c r="P2334" s="34"/>
      <c r="Q2334" s="37"/>
      <c r="R2334" s="47"/>
      <c r="S2334" s="46"/>
    </row>
    <row r="2335" spans="1:19" ht="15.6" hidden="1" customHeight="1" thickBot="1" x14ac:dyDescent="0.3">
      <c r="A2335" t="s">
        <v>23</v>
      </c>
      <c r="B2335" s="60" t="str">
        <f t="shared" si="1669"/>
        <v>hide</v>
      </c>
      <c r="D2335" s="48" t="str">
        <f>D2334</f>
        <v>28436</v>
      </c>
      <c r="E2335" s="7"/>
      <c r="F2335" s="27">
        <v>0</v>
      </c>
      <c r="G2335" s="27">
        <v>0</v>
      </c>
      <c r="H2335" s="27">
        <v>0</v>
      </c>
      <c r="I2335" s="27">
        <v>0</v>
      </c>
      <c r="J2335" s="27">
        <v>0</v>
      </c>
      <c r="K2335" s="63">
        <f>AVERAGE(I2335:J2335)</f>
        <v>0</v>
      </c>
      <c r="L2335" s="56" t="str">
        <f>"SW-COMAS-PACKL"</f>
        <v>SW-COMAS-PACKL</v>
      </c>
      <c r="M2335" s="14"/>
      <c r="N2335" s="15"/>
      <c r="O2335" s="12"/>
      <c r="P2335" s="34"/>
      <c r="Q2335" s="37"/>
      <c r="R2335" s="47"/>
      <c r="S2335" s="46"/>
    </row>
    <row r="2336" spans="1:19" ht="15.6" hidden="1" customHeight="1" thickBot="1" x14ac:dyDescent="0.3">
      <c r="A2336" t="s">
        <v>23</v>
      </c>
      <c r="B2336" s="60" t="str">
        <f t="shared" si="1669"/>
        <v>hide</v>
      </c>
      <c r="D2336" s="48" t="str">
        <f>D2335</f>
        <v>28436</v>
      </c>
      <c r="E2336" s="7"/>
      <c r="F2336" s="27">
        <v>0</v>
      </c>
      <c r="G2336" s="27">
        <v>0</v>
      </c>
      <c r="H2336" s="27">
        <v>0</v>
      </c>
      <c r="I2336" s="27">
        <v>0</v>
      </c>
      <c r="J2336" s="27">
        <v>0</v>
      </c>
      <c r="K2336" s="63">
        <f>AVERAGE(I2336:J2336)</f>
        <v>0</v>
      </c>
      <c r="L2336" s="56" t="str">
        <f>"SW-RISER-PACK"</f>
        <v>SW-RISER-PACK</v>
      </c>
      <c r="M2336" s="14"/>
      <c r="N2336" s="15"/>
      <c r="O2336" s="12"/>
      <c r="P2336" s="34"/>
      <c r="Q2336" s="37"/>
      <c r="R2336" s="47"/>
      <c r="S2336" s="46"/>
    </row>
    <row r="2337" spans="1:19" ht="12" hidden="1" customHeight="1" x14ac:dyDescent="0.3">
      <c r="A2337" s="35" t="s">
        <v>908</v>
      </c>
      <c r="B2337" s="49" t="str">
        <f>B2333</f>
        <v>hide</v>
      </c>
      <c r="N2337"/>
      <c r="Q2337" s="33"/>
    </row>
    <row r="2338" spans="1:19" ht="13.8" hidden="1" thickBot="1" x14ac:dyDescent="0.3">
      <c r="A2338" t="s">
        <v>23</v>
      </c>
      <c r="B2338" s="49" t="str">
        <f t="shared" ref="B2338" si="1670">B2337</f>
        <v>hide</v>
      </c>
      <c r="D2338" s="58"/>
      <c r="E2338" s="58"/>
      <c r="F2338" s="52">
        <f>SUM(F2333:F2337)</f>
        <v>0</v>
      </c>
      <c r="G2338" s="52">
        <f>SUM(G2333:G2337)</f>
        <v>0</v>
      </c>
      <c r="H2338" s="52">
        <f>SUM(H2333:H2337)</f>
        <v>0</v>
      </c>
      <c r="I2338" s="52">
        <f>SUM(I2333:I2337)</f>
        <v>0</v>
      </c>
      <c r="J2338" s="52">
        <f>SUM(J2333:J2337)</f>
        <v>0</v>
      </c>
      <c r="K2338" s="52"/>
      <c r="L2338" s="51" t="s">
        <v>4</v>
      </c>
      <c r="M2338" s="58"/>
      <c r="N2338" s="58"/>
      <c r="O2338" s="58"/>
      <c r="P2338" s="58"/>
      <c r="Q2338" s="58"/>
      <c r="R2338" s="58"/>
      <c r="S2338" s="58"/>
    </row>
    <row r="2339" spans="1:19" s="59" customFormat="1" ht="18.75" hidden="1" customHeight="1" thickBot="1" x14ac:dyDescent="0.3">
      <c r="A2339" s="59" t="s">
        <v>23</v>
      </c>
      <c r="B2339" s="60" t="str">
        <f t="shared" ref="B2339:B2340" si="1671">IF(K2339=0,"hide","")</f>
        <v>hide</v>
      </c>
      <c r="D2339" s="61" t="str">
        <f>"28445"</f>
        <v>28445</v>
      </c>
      <c r="E2339" s="62" t="str">
        <f>"1"</f>
        <v>1</v>
      </c>
      <c r="F2339" s="63">
        <v>0</v>
      </c>
      <c r="G2339" s="63">
        <v>0</v>
      </c>
      <c r="H2339" s="63">
        <v>0</v>
      </c>
      <c r="I2339" s="63">
        <v>0</v>
      </c>
      <c r="J2339" s="63">
        <v>0</v>
      </c>
      <c r="K2339" s="63">
        <f>AVERAGE(I2339:J2339)</f>
        <v>0</v>
      </c>
      <c r="L2339" s="64" t="str">
        <f>""</f>
        <v/>
      </c>
      <c r="M2339" s="65" t="str">
        <f>""</f>
        <v/>
      </c>
      <c r="N2339" s="66" t="str">
        <f>""</f>
        <v/>
      </c>
      <c r="O2339" s="67" t="str">
        <f>""</f>
        <v/>
      </c>
      <c r="P2339" s="68" t="e">
        <f>1/O2339</f>
        <v>#VALUE!</v>
      </c>
      <c r="Q2339" s="53">
        <v>1</v>
      </c>
      <c r="R2339" s="69">
        <f t="shared" ref="R2339" si="1672">1/Q2339</f>
        <v>1</v>
      </c>
      <c r="S2339" s="70" t="e">
        <f t="shared" ref="S2339" si="1673">R2339*N2339</f>
        <v>#VALUE!</v>
      </c>
    </row>
    <row r="2340" spans="1:19" ht="15.6" hidden="1" customHeight="1" thickBot="1" x14ac:dyDescent="0.3">
      <c r="A2340" t="s">
        <v>23</v>
      </c>
      <c r="B2340" s="60" t="str">
        <f t="shared" si="1671"/>
        <v>hide</v>
      </c>
      <c r="D2340" s="48" t="str">
        <f>D2339</f>
        <v>28445</v>
      </c>
      <c r="E2340" s="7"/>
      <c r="F2340" s="27">
        <v>0</v>
      </c>
      <c r="G2340" s="27">
        <v>0</v>
      </c>
      <c r="H2340" s="27">
        <v>0</v>
      </c>
      <c r="I2340" s="27">
        <v>0</v>
      </c>
      <c r="J2340" s="27">
        <v>0</v>
      </c>
      <c r="K2340" s="63">
        <f>AVERAGE(I2340:J2340)</f>
        <v>0</v>
      </c>
      <c r="L2340" s="56" t="str">
        <f>"EQP-LAWPACK1"</f>
        <v>EQP-LAWPACK1</v>
      </c>
      <c r="M2340" s="14"/>
      <c r="N2340" s="15"/>
      <c r="O2340" s="12"/>
      <c r="P2340" s="34"/>
      <c r="Q2340" s="37"/>
      <c r="R2340" s="47"/>
      <c r="S2340" s="46"/>
    </row>
    <row r="2341" spans="1:19" ht="15.6" hidden="1" customHeight="1" thickBot="1" x14ac:dyDescent="0.3">
      <c r="A2341" t="s">
        <v>23</v>
      </c>
      <c r="B2341" s="60" t="str">
        <f t="shared" ref="B2341:B2343" si="1674">IF(K2341=0,"hide","")</f>
        <v>hide</v>
      </c>
      <c r="D2341" s="48" t="str">
        <f>D2340</f>
        <v>28445</v>
      </c>
      <c r="E2341" s="7"/>
      <c r="F2341" s="27">
        <v>0</v>
      </c>
      <c r="G2341" s="27">
        <v>0</v>
      </c>
      <c r="H2341" s="27">
        <v>0</v>
      </c>
      <c r="I2341" s="27">
        <v>0</v>
      </c>
      <c r="J2341" s="27">
        <v>0</v>
      </c>
      <c r="K2341" s="63">
        <f>AVERAGE(I2341:J2341)</f>
        <v>0</v>
      </c>
      <c r="L2341" s="56" t="str">
        <f>"EQP-LAWPACK2"</f>
        <v>EQP-LAWPACK2</v>
      </c>
      <c r="M2341" s="14"/>
      <c r="N2341" s="15"/>
      <c r="O2341" s="12"/>
      <c r="P2341" s="34"/>
      <c r="Q2341" s="37"/>
      <c r="R2341" s="47"/>
      <c r="S2341" s="46"/>
    </row>
    <row r="2342" spans="1:19" ht="15.6" hidden="1" customHeight="1" thickBot="1" x14ac:dyDescent="0.3">
      <c r="A2342" t="s">
        <v>23</v>
      </c>
      <c r="B2342" s="60" t="str">
        <f t="shared" si="1674"/>
        <v>hide</v>
      </c>
      <c r="D2342" s="48" t="str">
        <f>D2341</f>
        <v>28445</v>
      </c>
      <c r="E2342" s="7"/>
      <c r="F2342" s="27">
        <v>0</v>
      </c>
      <c r="G2342" s="27">
        <v>0</v>
      </c>
      <c r="H2342" s="27">
        <v>0</v>
      </c>
      <c r="I2342" s="27">
        <v>0</v>
      </c>
      <c r="J2342" s="27">
        <v>0</v>
      </c>
      <c r="K2342" s="63">
        <f>AVERAGE(I2342:J2342)</f>
        <v>0</v>
      </c>
      <c r="L2342" s="56" t="str">
        <f>"SW-COMAS-PACKL"</f>
        <v>SW-COMAS-PACKL</v>
      </c>
      <c r="M2342" s="14"/>
      <c r="N2342" s="15"/>
      <c r="O2342" s="12"/>
      <c r="P2342" s="34"/>
      <c r="Q2342" s="37"/>
      <c r="R2342" s="47"/>
      <c r="S2342" s="46"/>
    </row>
    <row r="2343" spans="1:19" ht="15.6" hidden="1" customHeight="1" thickBot="1" x14ac:dyDescent="0.3">
      <c r="A2343" t="s">
        <v>23</v>
      </c>
      <c r="B2343" s="60" t="str">
        <f t="shared" si="1674"/>
        <v>hide</v>
      </c>
      <c r="D2343" s="48" t="str">
        <f>D2342</f>
        <v>28445</v>
      </c>
      <c r="E2343" s="7"/>
      <c r="F2343" s="27">
        <v>0</v>
      </c>
      <c r="G2343" s="27">
        <v>0</v>
      </c>
      <c r="H2343" s="27">
        <v>0</v>
      </c>
      <c r="I2343" s="27">
        <v>0</v>
      </c>
      <c r="J2343" s="27">
        <v>0</v>
      </c>
      <c r="K2343" s="63">
        <f>AVERAGE(I2343:J2343)</f>
        <v>0</v>
      </c>
      <c r="L2343" s="56" t="str">
        <f>"SW-RISER-PACK"</f>
        <v>SW-RISER-PACK</v>
      </c>
      <c r="M2343" s="14"/>
      <c r="N2343" s="15"/>
      <c r="O2343" s="12"/>
      <c r="P2343" s="34"/>
      <c r="Q2343" s="37"/>
      <c r="R2343" s="47"/>
      <c r="S2343" s="46"/>
    </row>
    <row r="2344" spans="1:19" ht="12" hidden="1" customHeight="1" x14ac:dyDescent="0.3">
      <c r="A2344" s="35" t="s">
        <v>908</v>
      </c>
      <c r="B2344" s="49" t="str">
        <f>B2340</f>
        <v>hide</v>
      </c>
      <c r="N2344"/>
      <c r="Q2344" s="33"/>
    </row>
    <row r="2345" spans="1:19" ht="13.8" hidden="1" thickBot="1" x14ac:dyDescent="0.3">
      <c r="A2345" t="s">
        <v>23</v>
      </c>
      <c r="B2345" s="49" t="str">
        <f t="shared" ref="B2345" si="1675">B2344</f>
        <v>hide</v>
      </c>
      <c r="D2345" s="58"/>
      <c r="E2345" s="58"/>
      <c r="F2345" s="52">
        <f>SUM(F2340:F2344)</f>
        <v>0</v>
      </c>
      <c r="G2345" s="52">
        <f>SUM(G2340:G2344)</f>
        <v>0</v>
      </c>
      <c r="H2345" s="52">
        <f>SUM(H2340:H2344)</f>
        <v>0</v>
      </c>
      <c r="I2345" s="52">
        <f>SUM(I2340:I2344)</f>
        <v>0</v>
      </c>
      <c r="J2345" s="52">
        <f>SUM(J2340:J2344)</f>
        <v>0</v>
      </c>
      <c r="K2345" s="52"/>
      <c r="L2345" s="51" t="s">
        <v>4</v>
      </c>
      <c r="M2345" s="58"/>
      <c r="N2345" s="58"/>
      <c r="O2345" s="58"/>
      <c r="P2345" s="58"/>
      <c r="Q2345" s="58"/>
      <c r="R2345" s="58"/>
      <c r="S2345" s="58"/>
    </row>
    <row r="2346" spans="1:19" s="59" customFormat="1" ht="18.75" customHeight="1" thickBot="1" x14ac:dyDescent="0.3">
      <c r="A2346" s="59" t="s">
        <v>23</v>
      </c>
      <c r="B2346" s="60" t="str">
        <f t="shared" ref="B2346:B2347" si="1676">IF(K2346=0,"hide","")</f>
        <v/>
      </c>
      <c r="D2346" s="61" t="str">
        <f>"28505"</f>
        <v>28505</v>
      </c>
      <c r="E2346" s="62" t="str">
        <f>"6"</f>
        <v>6</v>
      </c>
      <c r="F2346" s="63">
        <v>4094.6666666666665</v>
      </c>
      <c r="G2346" s="63">
        <v>3532.75</v>
      </c>
      <c r="H2346" s="63">
        <v>4613.083333333333</v>
      </c>
      <c r="I2346" s="63">
        <v>2950.75</v>
      </c>
      <c r="J2346" s="63">
        <v>2321.7592771084337</v>
      </c>
      <c r="K2346" s="63">
        <f>AVERAGE(I2346:J2346)</f>
        <v>2636.2546385542169</v>
      </c>
      <c r="L2346" s="64" t="str">
        <f>"CORNBREAD LOAVES"</f>
        <v>CORNBREAD LOAVES</v>
      </c>
      <c r="M2346" s="65" t="str">
        <f>"12-15oz. Dome Cover "</f>
        <v xml:space="preserve">12-15oz. Dome Cover </v>
      </c>
      <c r="N2346" s="66">
        <v>12</v>
      </c>
      <c r="O2346" s="67" t="str">
        <f>""</f>
        <v/>
      </c>
      <c r="P2346" s="68" t="e">
        <f>1/O2346</f>
        <v>#VALUE!</v>
      </c>
      <c r="Q2346" s="53">
        <v>1</v>
      </c>
      <c r="R2346" s="69">
        <f t="shared" ref="R2346" si="1677">1/Q2346</f>
        <v>1</v>
      </c>
      <c r="S2346" s="70">
        <f t="shared" ref="S2346" si="1678">R2346*N2346</f>
        <v>12</v>
      </c>
    </row>
    <row r="2347" spans="1:19" ht="15.6" hidden="1" customHeight="1" thickBot="1" x14ac:dyDescent="0.3">
      <c r="A2347" t="s">
        <v>23</v>
      </c>
      <c r="B2347" s="60" t="str">
        <f t="shared" si="1676"/>
        <v>hide</v>
      </c>
      <c r="D2347" s="48" t="str">
        <f>D2346</f>
        <v>28505</v>
      </c>
      <c r="E2347" s="7"/>
      <c r="F2347" s="27">
        <v>0</v>
      </c>
      <c r="G2347" s="27">
        <v>0</v>
      </c>
      <c r="H2347" s="27">
        <v>0</v>
      </c>
      <c r="I2347" s="27">
        <v>0</v>
      </c>
      <c r="J2347" s="27">
        <v>0</v>
      </c>
      <c r="K2347" s="63">
        <f>AVERAGE(I2347:J2347)</f>
        <v>0</v>
      </c>
      <c r="L2347" s="56" t="str">
        <f>"EQP-LAWPACK1"</f>
        <v>EQP-LAWPACK1</v>
      </c>
      <c r="M2347" s="14"/>
      <c r="N2347" s="15"/>
      <c r="O2347" s="12"/>
      <c r="P2347" s="34"/>
      <c r="Q2347" s="37"/>
      <c r="R2347" s="47"/>
      <c r="S2347" s="46"/>
    </row>
    <row r="2348" spans="1:19" ht="15.6" hidden="1" customHeight="1" thickBot="1" x14ac:dyDescent="0.3">
      <c r="A2348" t="s">
        <v>23</v>
      </c>
      <c r="B2348" s="60" t="str">
        <f t="shared" ref="B2348:B2350" si="1679">IF(K2348=0,"hide","")</f>
        <v>hide</v>
      </c>
      <c r="D2348" s="48" t="str">
        <f>D2347</f>
        <v>28505</v>
      </c>
      <c r="E2348" s="7"/>
      <c r="F2348" s="27">
        <v>0</v>
      </c>
      <c r="G2348" s="27">
        <v>0</v>
      </c>
      <c r="H2348" s="27">
        <v>0</v>
      </c>
      <c r="I2348" s="27">
        <v>0</v>
      </c>
      <c r="J2348" s="27">
        <v>0</v>
      </c>
      <c r="K2348" s="63">
        <f>AVERAGE(I2348:J2348)</f>
        <v>0</v>
      </c>
      <c r="L2348" s="56" t="str">
        <f>"EQP-LAWPACK2"</f>
        <v>EQP-LAWPACK2</v>
      </c>
      <c r="M2348" s="14"/>
      <c r="N2348" s="15"/>
      <c r="O2348" s="12"/>
      <c r="P2348" s="34"/>
      <c r="Q2348" s="37"/>
      <c r="R2348" s="47"/>
      <c r="S2348" s="46"/>
    </row>
    <row r="2349" spans="1:19" ht="15.6" hidden="1" customHeight="1" thickBot="1" x14ac:dyDescent="0.3">
      <c r="A2349" t="s">
        <v>23</v>
      </c>
      <c r="B2349" s="60" t="str">
        <f t="shared" si="1679"/>
        <v>hide</v>
      </c>
      <c r="D2349" s="48" t="str">
        <f>D2348</f>
        <v>28505</v>
      </c>
      <c r="E2349" s="7"/>
      <c r="F2349" s="27">
        <v>0</v>
      </c>
      <c r="G2349" s="27">
        <v>0</v>
      </c>
      <c r="H2349" s="27">
        <v>0</v>
      </c>
      <c r="I2349" s="27">
        <v>0</v>
      </c>
      <c r="J2349" s="27">
        <v>0</v>
      </c>
      <c r="K2349" s="63">
        <f>AVERAGE(I2349:J2349)</f>
        <v>0</v>
      </c>
      <c r="L2349" s="56" t="str">
        <f>"SW-COMAS-PACKL"</f>
        <v>SW-COMAS-PACKL</v>
      </c>
      <c r="M2349" s="14"/>
      <c r="N2349" s="15"/>
      <c r="O2349" s="12"/>
      <c r="P2349" s="34"/>
      <c r="Q2349" s="37"/>
      <c r="R2349" s="47"/>
      <c r="S2349" s="46"/>
    </row>
    <row r="2350" spans="1:19" ht="15.6" hidden="1" customHeight="1" thickBot="1" x14ac:dyDescent="0.3">
      <c r="A2350" t="s">
        <v>23</v>
      </c>
      <c r="B2350" s="60" t="str">
        <f t="shared" si="1679"/>
        <v>hide</v>
      </c>
      <c r="D2350" s="48" t="str">
        <f>D2349</f>
        <v>28505</v>
      </c>
      <c r="E2350" s="7"/>
      <c r="F2350" s="27">
        <v>0</v>
      </c>
      <c r="G2350" s="27">
        <v>0</v>
      </c>
      <c r="H2350" s="27">
        <v>0</v>
      </c>
      <c r="I2350" s="27">
        <v>0</v>
      </c>
      <c r="J2350" s="27">
        <v>0</v>
      </c>
      <c r="K2350" s="63">
        <f>AVERAGE(I2350:J2350)</f>
        <v>0</v>
      </c>
      <c r="L2350" s="56" t="str">
        <f>"SW-RISER-PACK"</f>
        <v>SW-RISER-PACK</v>
      </c>
      <c r="M2350" s="14"/>
      <c r="N2350" s="15"/>
      <c r="O2350" s="12"/>
      <c r="P2350" s="34"/>
      <c r="Q2350" s="37"/>
      <c r="R2350" s="47"/>
      <c r="S2350" s="46"/>
    </row>
    <row r="2351" spans="1:19" ht="12" hidden="1" customHeight="1" x14ac:dyDescent="0.3">
      <c r="A2351" s="35" t="s">
        <v>908</v>
      </c>
      <c r="B2351" s="49" t="str">
        <f>B2347</f>
        <v>hide</v>
      </c>
      <c r="N2351"/>
      <c r="Q2351" s="33"/>
    </row>
    <row r="2352" spans="1:19" ht="13.8" hidden="1" thickBot="1" x14ac:dyDescent="0.3">
      <c r="A2352" t="s">
        <v>23</v>
      </c>
      <c r="B2352" s="49" t="str">
        <f t="shared" ref="B2352" si="1680">B2351</f>
        <v>hide</v>
      </c>
      <c r="D2352" s="58"/>
      <c r="E2352" s="58"/>
      <c r="F2352" s="52">
        <f>SUM(F2347:F2351)</f>
        <v>0</v>
      </c>
      <c r="G2352" s="52">
        <f>SUM(G2347:G2351)</f>
        <v>0</v>
      </c>
      <c r="H2352" s="52">
        <f>SUM(H2347:H2351)</f>
        <v>0</v>
      </c>
      <c r="I2352" s="52">
        <f>SUM(I2347:I2351)</f>
        <v>0</v>
      </c>
      <c r="J2352" s="52">
        <f>SUM(J2347:J2351)</f>
        <v>0</v>
      </c>
      <c r="K2352" s="52"/>
      <c r="L2352" s="51" t="s">
        <v>4</v>
      </c>
      <c r="M2352" s="58"/>
      <c r="N2352" s="58"/>
      <c r="O2352" s="58"/>
      <c r="P2352" s="58"/>
      <c r="Q2352" s="58"/>
      <c r="R2352" s="58"/>
      <c r="S2352" s="58"/>
    </row>
    <row r="2353" spans="1:19" s="59" customFormat="1" ht="18.75" customHeight="1" thickBot="1" x14ac:dyDescent="0.3">
      <c r="A2353" s="59" t="s">
        <v>23</v>
      </c>
      <c r="B2353" s="60" t="str">
        <f t="shared" ref="B2353:B2354" si="1681">IF(K2353=0,"hide","")</f>
        <v/>
      </c>
      <c r="D2353" s="61" t="str">
        <f>"28525"</f>
        <v>28525</v>
      </c>
      <c r="E2353" s="62" t="str">
        <f>"1"</f>
        <v>1</v>
      </c>
      <c r="F2353" s="63">
        <v>0</v>
      </c>
      <c r="G2353" s="63">
        <v>0</v>
      </c>
      <c r="H2353" s="63">
        <v>126.41666666666667</v>
      </c>
      <c r="I2353" s="63">
        <v>286.66666666666669</v>
      </c>
      <c r="J2353" s="63">
        <v>0</v>
      </c>
      <c r="K2353" s="63">
        <f>AVERAGE(I2353:J2353)</f>
        <v>143.33333333333334</v>
      </c>
      <c r="L2353" s="64" t="str">
        <f>"JALAPENO CORNBREAD LOAVES"</f>
        <v>JALAPENO CORNBREAD LOAVES</v>
      </c>
      <c r="M2353" s="65" t="str">
        <f>"12-15oz. Dome Covered"</f>
        <v>12-15oz. Dome Covered</v>
      </c>
      <c r="N2353" s="66">
        <v>12</v>
      </c>
      <c r="O2353" s="67" t="str">
        <f>""</f>
        <v/>
      </c>
      <c r="P2353" s="68" t="e">
        <f>1/O2353</f>
        <v>#VALUE!</v>
      </c>
      <c r="Q2353" s="53">
        <v>1</v>
      </c>
      <c r="R2353" s="69">
        <f t="shared" ref="R2353" si="1682">1/Q2353</f>
        <v>1</v>
      </c>
      <c r="S2353" s="70">
        <f t="shared" ref="S2353" si="1683">R2353*N2353</f>
        <v>12</v>
      </c>
    </row>
    <row r="2354" spans="1:19" ht="15.6" hidden="1" customHeight="1" thickBot="1" x14ac:dyDescent="0.3">
      <c r="A2354" t="s">
        <v>23</v>
      </c>
      <c r="B2354" s="60" t="str">
        <f t="shared" si="1681"/>
        <v>hide</v>
      </c>
      <c r="D2354" s="48" t="str">
        <f>D2353</f>
        <v>28525</v>
      </c>
      <c r="E2354" s="7"/>
      <c r="F2354" s="27">
        <v>0</v>
      </c>
      <c r="G2354" s="27">
        <v>0</v>
      </c>
      <c r="H2354" s="27">
        <v>0</v>
      </c>
      <c r="I2354" s="27">
        <v>0</v>
      </c>
      <c r="J2354" s="27">
        <v>0</v>
      </c>
      <c r="K2354" s="63">
        <f>AVERAGE(I2354:J2354)</f>
        <v>0</v>
      </c>
      <c r="L2354" s="56" t="str">
        <f>"EQP-LAWPACK1"</f>
        <v>EQP-LAWPACK1</v>
      </c>
      <c r="M2354" s="14"/>
      <c r="N2354" s="15"/>
      <c r="O2354" s="12"/>
      <c r="P2354" s="34"/>
      <c r="Q2354" s="37"/>
      <c r="R2354" s="47"/>
      <c r="S2354" s="46"/>
    </row>
    <row r="2355" spans="1:19" ht="15.6" hidden="1" customHeight="1" thickBot="1" x14ac:dyDescent="0.3">
      <c r="A2355" t="s">
        <v>23</v>
      </c>
      <c r="B2355" s="60" t="str">
        <f t="shared" ref="B2355:B2357" si="1684">IF(K2355=0,"hide","")</f>
        <v>hide</v>
      </c>
      <c r="D2355" s="48" t="str">
        <f>D2354</f>
        <v>28525</v>
      </c>
      <c r="E2355" s="7"/>
      <c r="F2355" s="27">
        <v>0</v>
      </c>
      <c r="G2355" s="27">
        <v>0</v>
      </c>
      <c r="H2355" s="27">
        <v>0</v>
      </c>
      <c r="I2355" s="27">
        <v>0</v>
      </c>
      <c r="J2355" s="27">
        <v>0</v>
      </c>
      <c r="K2355" s="63">
        <f>AVERAGE(I2355:J2355)</f>
        <v>0</v>
      </c>
      <c r="L2355" s="56" t="str">
        <f>"EQP-LAWPACK2"</f>
        <v>EQP-LAWPACK2</v>
      </c>
      <c r="M2355" s="14"/>
      <c r="N2355" s="15"/>
      <c r="O2355" s="12"/>
      <c r="P2355" s="34"/>
      <c r="Q2355" s="37"/>
      <c r="R2355" s="47"/>
      <c r="S2355" s="46"/>
    </row>
    <row r="2356" spans="1:19" ht="15.6" hidden="1" customHeight="1" thickBot="1" x14ac:dyDescent="0.3">
      <c r="A2356" t="s">
        <v>23</v>
      </c>
      <c r="B2356" s="60" t="str">
        <f t="shared" si="1684"/>
        <v>hide</v>
      </c>
      <c r="D2356" s="48" t="str">
        <f>D2355</f>
        <v>28525</v>
      </c>
      <c r="E2356" s="7"/>
      <c r="F2356" s="27">
        <v>0</v>
      </c>
      <c r="G2356" s="27">
        <v>0</v>
      </c>
      <c r="H2356" s="27">
        <v>0</v>
      </c>
      <c r="I2356" s="27">
        <v>0</v>
      </c>
      <c r="J2356" s="27">
        <v>0</v>
      </c>
      <c r="K2356" s="63">
        <f>AVERAGE(I2356:J2356)</f>
        <v>0</v>
      </c>
      <c r="L2356" s="56" t="str">
        <f>"SW-COMAS-PACKL"</f>
        <v>SW-COMAS-PACKL</v>
      </c>
      <c r="M2356" s="14"/>
      <c r="N2356" s="15"/>
      <c r="O2356" s="12"/>
      <c r="P2356" s="34"/>
      <c r="Q2356" s="37"/>
      <c r="R2356" s="47"/>
      <c r="S2356" s="46"/>
    </row>
    <row r="2357" spans="1:19" ht="15.6" hidden="1" customHeight="1" thickBot="1" x14ac:dyDescent="0.3">
      <c r="A2357" t="s">
        <v>23</v>
      </c>
      <c r="B2357" s="60" t="str">
        <f t="shared" si="1684"/>
        <v>hide</v>
      </c>
      <c r="D2357" s="48" t="str">
        <f>D2356</f>
        <v>28525</v>
      </c>
      <c r="E2357" s="7"/>
      <c r="F2357" s="27">
        <v>0</v>
      </c>
      <c r="G2357" s="27">
        <v>0</v>
      </c>
      <c r="H2357" s="27">
        <v>0</v>
      </c>
      <c r="I2357" s="27">
        <v>0</v>
      </c>
      <c r="J2357" s="27">
        <v>0</v>
      </c>
      <c r="K2357" s="63">
        <f>AVERAGE(I2357:J2357)</f>
        <v>0</v>
      </c>
      <c r="L2357" s="56" t="str">
        <f>"SW-RISER-PACK"</f>
        <v>SW-RISER-PACK</v>
      </c>
      <c r="M2357" s="14"/>
      <c r="N2357" s="15"/>
      <c r="O2357" s="12"/>
      <c r="P2357" s="34"/>
      <c r="Q2357" s="37"/>
      <c r="R2357" s="47"/>
      <c r="S2357" s="46"/>
    </row>
    <row r="2358" spans="1:19" ht="12" hidden="1" customHeight="1" x14ac:dyDescent="0.3">
      <c r="A2358" s="35" t="s">
        <v>908</v>
      </c>
      <c r="B2358" s="49" t="str">
        <f>B2354</f>
        <v>hide</v>
      </c>
      <c r="N2358"/>
      <c r="Q2358" s="33"/>
    </row>
    <row r="2359" spans="1:19" ht="13.8" hidden="1" thickBot="1" x14ac:dyDescent="0.3">
      <c r="A2359" t="s">
        <v>23</v>
      </c>
      <c r="B2359" s="49" t="str">
        <f t="shared" ref="B2359" si="1685">B2358</f>
        <v>hide</v>
      </c>
      <c r="D2359" s="58"/>
      <c r="E2359" s="58"/>
      <c r="F2359" s="52">
        <f>SUM(F2354:F2358)</f>
        <v>0</v>
      </c>
      <c r="G2359" s="52">
        <f>SUM(G2354:G2358)</f>
        <v>0</v>
      </c>
      <c r="H2359" s="52">
        <f>SUM(H2354:H2358)</f>
        <v>0</v>
      </c>
      <c r="I2359" s="52">
        <f>SUM(I2354:I2358)</f>
        <v>0</v>
      </c>
      <c r="J2359" s="52">
        <f>SUM(J2354:J2358)</f>
        <v>0</v>
      </c>
      <c r="K2359" s="52"/>
      <c r="L2359" s="51" t="s">
        <v>4</v>
      </c>
      <c r="M2359" s="58"/>
      <c r="N2359" s="58"/>
      <c r="O2359" s="58"/>
      <c r="P2359" s="58"/>
      <c r="Q2359" s="58"/>
      <c r="R2359" s="58"/>
      <c r="S2359" s="58"/>
    </row>
    <row r="2360" spans="1:19" s="59" customFormat="1" ht="18.75" customHeight="1" thickBot="1" x14ac:dyDescent="0.3">
      <c r="A2360" s="59" t="s">
        <v>23</v>
      </c>
      <c r="B2360" s="60" t="str">
        <f t="shared" ref="B2360:B2361" si="1686">IF(K2360=0,"hide","")</f>
        <v/>
      </c>
      <c r="D2360" s="61" t="str">
        <f>"28705"</f>
        <v>28705</v>
      </c>
      <c r="E2360" s="62" t="str">
        <f>"1"</f>
        <v>1</v>
      </c>
      <c r="F2360" s="63">
        <v>89.583333333333329</v>
      </c>
      <c r="G2360" s="63">
        <v>380</v>
      </c>
      <c r="H2360" s="63">
        <v>539.66666666666663</v>
      </c>
      <c r="I2360" s="63">
        <v>586.16666666666663</v>
      </c>
      <c r="J2360" s="63">
        <v>272.77108433734935</v>
      </c>
      <c r="K2360" s="63">
        <f>AVERAGE(I2360:J2360)</f>
        <v>429.46887550200802</v>
      </c>
      <c r="L2360" s="64" t="str">
        <f>"CORNBREAD LOAVES"</f>
        <v>CORNBREAD LOAVES</v>
      </c>
      <c r="M2360" s="65" t="str">
        <f>"12-15oz. Dome Covered"</f>
        <v>12-15oz. Dome Covered</v>
      </c>
      <c r="N2360" s="66">
        <v>12</v>
      </c>
      <c r="O2360" s="67" t="str">
        <f>""</f>
        <v/>
      </c>
      <c r="P2360" s="68" t="e">
        <f>1/O2360</f>
        <v>#VALUE!</v>
      </c>
      <c r="Q2360" s="53">
        <v>1</v>
      </c>
      <c r="R2360" s="69">
        <f t="shared" ref="R2360" si="1687">1/Q2360</f>
        <v>1</v>
      </c>
      <c r="S2360" s="70">
        <f t="shared" ref="S2360" si="1688">R2360*N2360</f>
        <v>12</v>
      </c>
    </row>
    <row r="2361" spans="1:19" ht="15.6" hidden="1" customHeight="1" thickBot="1" x14ac:dyDescent="0.3">
      <c r="A2361" t="s">
        <v>23</v>
      </c>
      <c r="B2361" s="60" t="str">
        <f t="shared" si="1686"/>
        <v>hide</v>
      </c>
      <c r="D2361" s="48" t="str">
        <f>D2360</f>
        <v>28705</v>
      </c>
      <c r="E2361" s="7"/>
      <c r="F2361" s="27">
        <v>0</v>
      </c>
      <c r="G2361" s="27">
        <v>0</v>
      </c>
      <c r="H2361" s="27">
        <v>0</v>
      </c>
      <c r="I2361" s="27">
        <v>0</v>
      </c>
      <c r="J2361" s="27">
        <v>0</v>
      </c>
      <c r="K2361" s="63">
        <f>AVERAGE(I2361:J2361)</f>
        <v>0</v>
      </c>
      <c r="L2361" s="56" t="str">
        <f>"EQP-LAWPACK1"</f>
        <v>EQP-LAWPACK1</v>
      </c>
      <c r="M2361" s="14"/>
      <c r="N2361" s="15"/>
      <c r="O2361" s="12"/>
      <c r="P2361" s="34"/>
      <c r="Q2361" s="37"/>
      <c r="R2361" s="47"/>
      <c r="S2361" s="46"/>
    </row>
    <row r="2362" spans="1:19" ht="15.6" hidden="1" customHeight="1" thickBot="1" x14ac:dyDescent="0.3">
      <c r="A2362" t="s">
        <v>23</v>
      </c>
      <c r="B2362" s="60" t="str">
        <f t="shared" ref="B2362:B2364" si="1689">IF(K2362=0,"hide","")</f>
        <v>hide</v>
      </c>
      <c r="D2362" s="48" t="str">
        <f>D2361</f>
        <v>28705</v>
      </c>
      <c r="E2362" s="7"/>
      <c r="F2362" s="27">
        <v>0</v>
      </c>
      <c r="G2362" s="27">
        <v>0</v>
      </c>
      <c r="H2362" s="27">
        <v>0</v>
      </c>
      <c r="I2362" s="27">
        <v>0</v>
      </c>
      <c r="J2362" s="27">
        <v>0</v>
      </c>
      <c r="K2362" s="63">
        <f>AVERAGE(I2362:J2362)</f>
        <v>0</v>
      </c>
      <c r="L2362" s="56" t="str">
        <f>"EQP-LAWPACK2"</f>
        <v>EQP-LAWPACK2</v>
      </c>
      <c r="M2362" s="14"/>
      <c r="N2362" s="15"/>
      <c r="O2362" s="12"/>
      <c r="P2362" s="34"/>
      <c r="Q2362" s="37"/>
      <c r="R2362" s="47"/>
      <c r="S2362" s="46"/>
    </row>
    <row r="2363" spans="1:19" ht="15.6" hidden="1" customHeight="1" thickBot="1" x14ac:dyDescent="0.3">
      <c r="A2363" t="s">
        <v>23</v>
      </c>
      <c r="B2363" s="60" t="str">
        <f t="shared" si="1689"/>
        <v>hide</v>
      </c>
      <c r="D2363" s="48" t="str">
        <f>D2362</f>
        <v>28705</v>
      </c>
      <c r="E2363" s="7"/>
      <c r="F2363" s="27">
        <v>0</v>
      </c>
      <c r="G2363" s="27">
        <v>0</v>
      </c>
      <c r="H2363" s="27">
        <v>0</v>
      </c>
      <c r="I2363" s="27">
        <v>0</v>
      </c>
      <c r="J2363" s="27">
        <v>0</v>
      </c>
      <c r="K2363" s="63">
        <f>AVERAGE(I2363:J2363)</f>
        <v>0</v>
      </c>
      <c r="L2363" s="56" t="str">
        <f>"SW-COMAS-PACKL"</f>
        <v>SW-COMAS-PACKL</v>
      </c>
      <c r="M2363" s="14"/>
      <c r="N2363" s="15"/>
      <c r="O2363" s="12"/>
      <c r="P2363" s="34"/>
      <c r="Q2363" s="37"/>
      <c r="R2363" s="47"/>
      <c r="S2363" s="46"/>
    </row>
    <row r="2364" spans="1:19" ht="15.6" hidden="1" customHeight="1" thickBot="1" x14ac:dyDescent="0.3">
      <c r="A2364" t="s">
        <v>23</v>
      </c>
      <c r="B2364" s="60" t="str">
        <f t="shared" si="1689"/>
        <v>hide</v>
      </c>
      <c r="D2364" s="48" t="str">
        <f>D2363</f>
        <v>28705</v>
      </c>
      <c r="E2364" s="7"/>
      <c r="F2364" s="27">
        <v>0</v>
      </c>
      <c r="G2364" s="27">
        <v>0</v>
      </c>
      <c r="H2364" s="27">
        <v>0</v>
      </c>
      <c r="I2364" s="27">
        <v>0</v>
      </c>
      <c r="J2364" s="27">
        <v>0</v>
      </c>
      <c r="K2364" s="63">
        <f>AVERAGE(I2364:J2364)</f>
        <v>0</v>
      </c>
      <c r="L2364" s="56" t="str">
        <f>"SW-RISER-PACK"</f>
        <v>SW-RISER-PACK</v>
      </c>
      <c r="M2364" s="14"/>
      <c r="N2364" s="15"/>
      <c r="O2364" s="12"/>
      <c r="P2364" s="34"/>
      <c r="Q2364" s="37"/>
      <c r="R2364" s="47"/>
      <c r="S2364" s="46"/>
    </row>
    <row r="2365" spans="1:19" ht="12" hidden="1" customHeight="1" x14ac:dyDescent="0.3">
      <c r="A2365" s="35" t="s">
        <v>908</v>
      </c>
      <c r="B2365" s="49" t="str">
        <f>B2361</f>
        <v>hide</v>
      </c>
      <c r="N2365"/>
      <c r="Q2365" s="33"/>
    </row>
    <row r="2366" spans="1:19" ht="13.8" hidden="1" thickBot="1" x14ac:dyDescent="0.3">
      <c r="A2366" t="s">
        <v>23</v>
      </c>
      <c r="B2366" s="49" t="str">
        <f t="shared" ref="B2366" si="1690">B2365</f>
        <v>hide</v>
      </c>
      <c r="D2366" s="58"/>
      <c r="E2366" s="58"/>
      <c r="F2366" s="52">
        <f>SUM(F2361:F2365)</f>
        <v>0</v>
      </c>
      <c r="G2366" s="52">
        <f>SUM(G2361:G2365)</f>
        <v>0</v>
      </c>
      <c r="H2366" s="52">
        <f>SUM(H2361:H2365)</f>
        <v>0</v>
      </c>
      <c r="I2366" s="52">
        <f>SUM(I2361:I2365)</f>
        <v>0</v>
      </c>
      <c r="J2366" s="52">
        <f>SUM(J2361:J2365)</f>
        <v>0</v>
      </c>
      <c r="K2366" s="52"/>
      <c r="L2366" s="51" t="s">
        <v>4</v>
      </c>
      <c r="M2366" s="58"/>
      <c r="N2366" s="58"/>
      <c r="O2366" s="58"/>
      <c r="P2366" s="58"/>
      <c r="Q2366" s="58"/>
      <c r="R2366" s="58"/>
      <c r="S2366" s="58"/>
    </row>
    <row r="2367" spans="1:19" s="59" customFormat="1" ht="18.75" hidden="1" customHeight="1" thickBot="1" x14ac:dyDescent="0.3">
      <c r="A2367" s="59" t="s">
        <v>23</v>
      </c>
      <c r="B2367" s="60" t="str">
        <f t="shared" ref="B2367:B2368" si="1691">IF(K2367=0,"hide","")</f>
        <v>hide</v>
      </c>
      <c r="D2367" s="61" t="str">
        <f>"29305"</f>
        <v>29305</v>
      </c>
      <c r="E2367" s="62" t="str">
        <f>"3"</f>
        <v>3</v>
      </c>
      <c r="F2367" s="63">
        <v>0</v>
      </c>
      <c r="G2367" s="63">
        <v>0</v>
      </c>
      <c r="H2367" s="63">
        <v>0</v>
      </c>
      <c r="I2367" s="63">
        <v>0</v>
      </c>
      <c r="J2367" s="63">
        <v>0</v>
      </c>
      <c r="K2367" s="63">
        <f>AVERAGE(I2367:J2367)</f>
        <v>0</v>
      </c>
      <c r="L2367" s="64" t="str">
        <f>"CORNBREAD LOAVES"</f>
        <v>CORNBREAD LOAVES</v>
      </c>
      <c r="M2367" s="65" t="str">
        <f>"96-2oz. 16 trays of 6 w/labels"</f>
        <v>96-2oz. 16 trays of 6 w/labels</v>
      </c>
      <c r="N2367" s="66">
        <v>96</v>
      </c>
      <c r="O2367" s="67" t="str">
        <f>""</f>
        <v/>
      </c>
      <c r="P2367" s="68" t="e">
        <f>1/O2367</f>
        <v>#VALUE!</v>
      </c>
      <c r="Q2367" s="53">
        <v>1</v>
      </c>
      <c r="R2367" s="69">
        <f t="shared" ref="R2367" si="1692">1/Q2367</f>
        <v>1</v>
      </c>
      <c r="S2367" s="70">
        <f t="shared" ref="S2367" si="1693">R2367*N2367</f>
        <v>96</v>
      </c>
    </row>
    <row r="2368" spans="1:19" ht="15.6" hidden="1" customHeight="1" thickBot="1" x14ac:dyDescent="0.3">
      <c r="A2368" t="s">
        <v>23</v>
      </c>
      <c r="B2368" s="60" t="str">
        <f t="shared" si="1691"/>
        <v>hide</v>
      </c>
      <c r="D2368" s="48" t="str">
        <f>D2367</f>
        <v>29305</v>
      </c>
      <c r="E2368" s="7"/>
      <c r="F2368" s="27">
        <v>0</v>
      </c>
      <c r="G2368" s="27">
        <v>0</v>
      </c>
      <c r="H2368" s="27">
        <v>0</v>
      </c>
      <c r="I2368" s="27">
        <v>0</v>
      </c>
      <c r="J2368" s="27">
        <v>0</v>
      </c>
      <c r="K2368" s="63">
        <f>AVERAGE(I2368:J2368)</f>
        <v>0</v>
      </c>
      <c r="L2368" s="56" t="str">
        <f>"EQP-LAWPACK1"</f>
        <v>EQP-LAWPACK1</v>
      </c>
      <c r="M2368" s="14"/>
      <c r="N2368" s="15"/>
      <c r="O2368" s="12"/>
      <c r="P2368" s="34"/>
      <c r="Q2368" s="37"/>
      <c r="R2368" s="47"/>
      <c r="S2368" s="46"/>
    </row>
    <row r="2369" spans="1:19" ht="15.6" hidden="1" customHeight="1" thickBot="1" x14ac:dyDescent="0.3">
      <c r="A2369" t="s">
        <v>23</v>
      </c>
      <c r="B2369" s="60" t="str">
        <f t="shared" ref="B2369:B2371" si="1694">IF(K2369=0,"hide","")</f>
        <v>hide</v>
      </c>
      <c r="D2369" s="48" t="str">
        <f>D2368</f>
        <v>29305</v>
      </c>
      <c r="E2369" s="7"/>
      <c r="F2369" s="27">
        <v>0</v>
      </c>
      <c r="G2369" s="27">
        <v>0</v>
      </c>
      <c r="H2369" s="27">
        <v>0</v>
      </c>
      <c r="I2369" s="27">
        <v>0</v>
      </c>
      <c r="J2369" s="27">
        <v>0</v>
      </c>
      <c r="K2369" s="63">
        <f>AVERAGE(I2369:J2369)</f>
        <v>0</v>
      </c>
      <c r="L2369" s="56" t="str">
        <f>"EQP-LAWPACK2"</f>
        <v>EQP-LAWPACK2</v>
      </c>
      <c r="M2369" s="14"/>
      <c r="N2369" s="15"/>
      <c r="O2369" s="12"/>
      <c r="P2369" s="34"/>
      <c r="Q2369" s="37"/>
      <c r="R2369" s="47"/>
      <c r="S2369" s="46"/>
    </row>
    <row r="2370" spans="1:19" ht="15.6" hidden="1" customHeight="1" thickBot="1" x14ac:dyDescent="0.3">
      <c r="A2370" t="s">
        <v>23</v>
      </c>
      <c r="B2370" s="60" t="str">
        <f t="shared" si="1694"/>
        <v>hide</v>
      </c>
      <c r="D2370" s="48" t="str">
        <f>D2369</f>
        <v>29305</v>
      </c>
      <c r="E2370" s="7"/>
      <c r="F2370" s="27">
        <v>0</v>
      </c>
      <c r="G2370" s="27">
        <v>0</v>
      </c>
      <c r="H2370" s="27">
        <v>0</v>
      </c>
      <c r="I2370" s="27">
        <v>0</v>
      </c>
      <c r="J2370" s="27">
        <v>0</v>
      </c>
      <c r="K2370" s="63">
        <f>AVERAGE(I2370:J2370)</f>
        <v>0</v>
      </c>
      <c r="L2370" s="56" t="str">
        <f>"SW-COMAS-PACKL"</f>
        <v>SW-COMAS-PACKL</v>
      </c>
      <c r="M2370" s="14"/>
      <c r="N2370" s="15"/>
      <c r="O2370" s="12"/>
      <c r="P2370" s="34"/>
      <c r="Q2370" s="37"/>
      <c r="R2370" s="47"/>
      <c r="S2370" s="46"/>
    </row>
    <row r="2371" spans="1:19" ht="15.6" hidden="1" customHeight="1" thickBot="1" x14ac:dyDescent="0.3">
      <c r="A2371" t="s">
        <v>23</v>
      </c>
      <c r="B2371" s="60" t="str">
        <f t="shared" si="1694"/>
        <v>hide</v>
      </c>
      <c r="D2371" s="48" t="str">
        <f>D2370</f>
        <v>29305</v>
      </c>
      <c r="E2371" s="7"/>
      <c r="F2371" s="27">
        <v>0</v>
      </c>
      <c r="G2371" s="27">
        <v>0</v>
      </c>
      <c r="H2371" s="27">
        <v>0</v>
      </c>
      <c r="I2371" s="27">
        <v>0</v>
      </c>
      <c r="J2371" s="27">
        <v>0</v>
      </c>
      <c r="K2371" s="63">
        <f>AVERAGE(I2371:J2371)</f>
        <v>0</v>
      </c>
      <c r="L2371" s="56" t="str">
        <f>"SW-RISER-PACK"</f>
        <v>SW-RISER-PACK</v>
      </c>
      <c r="M2371" s="14"/>
      <c r="N2371" s="15"/>
      <c r="O2371" s="12"/>
      <c r="P2371" s="34"/>
      <c r="Q2371" s="37"/>
      <c r="R2371" s="47"/>
      <c r="S2371" s="46"/>
    </row>
    <row r="2372" spans="1:19" ht="12" hidden="1" customHeight="1" x14ac:dyDescent="0.3">
      <c r="A2372" s="35" t="s">
        <v>908</v>
      </c>
      <c r="B2372" s="49" t="str">
        <f>B2368</f>
        <v>hide</v>
      </c>
      <c r="N2372"/>
      <c r="Q2372" s="33"/>
    </row>
    <row r="2373" spans="1:19" ht="13.8" hidden="1" thickBot="1" x14ac:dyDescent="0.3">
      <c r="A2373" t="s">
        <v>23</v>
      </c>
      <c r="B2373" s="49" t="str">
        <f t="shared" ref="B2373" si="1695">B2372</f>
        <v>hide</v>
      </c>
      <c r="D2373" s="58"/>
      <c r="E2373" s="58"/>
      <c r="F2373" s="52">
        <f>SUM(F2368:F2372)</f>
        <v>0</v>
      </c>
      <c r="G2373" s="52">
        <f>SUM(G2368:G2372)</f>
        <v>0</v>
      </c>
      <c r="H2373" s="52">
        <f>SUM(H2368:H2372)</f>
        <v>0</v>
      </c>
      <c r="I2373" s="52">
        <f>SUM(I2368:I2372)</f>
        <v>0</v>
      </c>
      <c r="J2373" s="52">
        <f>SUM(J2368:J2372)</f>
        <v>0</v>
      </c>
      <c r="K2373" s="52"/>
      <c r="L2373" s="51" t="s">
        <v>4</v>
      </c>
      <c r="M2373" s="58"/>
      <c r="N2373" s="58"/>
      <c r="O2373" s="58"/>
      <c r="P2373" s="58"/>
      <c r="Q2373" s="58"/>
      <c r="R2373" s="58"/>
      <c r="S2373" s="58"/>
    </row>
    <row r="2374" spans="1:19" s="59" customFormat="1" ht="18.75" hidden="1" customHeight="1" thickBot="1" x14ac:dyDescent="0.3">
      <c r="A2374" s="59" t="s">
        <v>23</v>
      </c>
      <c r="B2374" s="60" t="str">
        <f t="shared" ref="B2374:B2375" si="1696">IF(K2374=0,"hide","")</f>
        <v>hide</v>
      </c>
      <c r="D2374" s="61" t="str">
        <f>"29325"</f>
        <v>29325</v>
      </c>
      <c r="E2374" s="62" t="str">
        <f>"2"</f>
        <v>2</v>
      </c>
      <c r="F2374" s="63">
        <v>0</v>
      </c>
      <c r="G2374" s="63">
        <v>0</v>
      </c>
      <c r="H2374" s="63">
        <v>0</v>
      </c>
      <c r="I2374" s="63">
        <v>0</v>
      </c>
      <c r="J2374" s="63">
        <v>0</v>
      </c>
      <c r="K2374" s="63">
        <f>AVERAGE(I2374:J2374)</f>
        <v>0</v>
      </c>
      <c r="L2374" s="64" t="str">
        <f>"JALAPENO CORNBREAD LOAVES"</f>
        <v>JALAPENO CORNBREAD LOAVES</v>
      </c>
      <c r="M2374" s="65" t="str">
        <f>"96-2oz. 16 trays of 6 w/labels"</f>
        <v>96-2oz. 16 trays of 6 w/labels</v>
      </c>
      <c r="N2374" s="66">
        <v>96</v>
      </c>
      <c r="O2374" s="67" t="str">
        <f>""</f>
        <v/>
      </c>
      <c r="P2374" s="68" t="e">
        <f>1/O2374</f>
        <v>#VALUE!</v>
      </c>
      <c r="Q2374" s="53">
        <v>1</v>
      </c>
      <c r="R2374" s="69">
        <f t="shared" ref="R2374" si="1697">1/Q2374</f>
        <v>1</v>
      </c>
      <c r="S2374" s="70">
        <f t="shared" ref="S2374" si="1698">R2374*N2374</f>
        <v>96</v>
      </c>
    </row>
    <row r="2375" spans="1:19" ht="15.6" hidden="1" customHeight="1" thickBot="1" x14ac:dyDescent="0.3">
      <c r="A2375" t="s">
        <v>23</v>
      </c>
      <c r="B2375" s="60" t="str">
        <f t="shared" si="1696"/>
        <v>hide</v>
      </c>
      <c r="D2375" s="48" t="str">
        <f>D2374</f>
        <v>29325</v>
      </c>
      <c r="E2375" s="7"/>
      <c r="F2375" s="27">
        <v>0</v>
      </c>
      <c r="G2375" s="27">
        <v>0</v>
      </c>
      <c r="H2375" s="27">
        <v>0</v>
      </c>
      <c r="I2375" s="27">
        <v>0</v>
      </c>
      <c r="J2375" s="27">
        <v>0</v>
      </c>
      <c r="K2375" s="63">
        <f>AVERAGE(I2375:J2375)</f>
        <v>0</v>
      </c>
      <c r="L2375" s="56" t="str">
        <f>"EQP-LAWPACK1"</f>
        <v>EQP-LAWPACK1</v>
      </c>
      <c r="M2375" s="14"/>
      <c r="N2375" s="15"/>
      <c r="O2375" s="12"/>
      <c r="P2375" s="34"/>
      <c r="Q2375" s="37"/>
      <c r="R2375" s="47"/>
      <c r="S2375" s="46"/>
    </row>
    <row r="2376" spans="1:19" ht="15.6" hidden="1" customHeight="1" thickBot="1" x14ac:dyDescent="0.3">
      <c r="A2376" t="s">
        <v>23</v>
      </c>
      <c r="B2376" s="60" t="str">
        <f t="shared" ref="B2376:B2378" si="1699">IF(K2376=0,"hide","")</f>
        <v>hide</v>
      </c>
      <c r="D2376" s="48" t="str">
        <f>D2375</f>
        <v>29325</v>
      </c>
      <c r="E2376" s="7"/>
      <c r="F2376" s="27">
        <v>0</v>
      </c>
      <c r="G2376" s="27">
        <v>0</v>
      </c>
      <c r="H2376" s="27">
        <v>0</v>
      </c>
      <c r="I2376" s="27">
        <v>0</v>
      </c>
      <c r="J2376" s="27">
        <v>0</v>
      </c>
      <c r="K2376" s="63">
        <f>AVERAGE(I2376:J2376)</f>
        <v>0</v>
      </c>
      <c r="L2376" s="56" t="str">
        <f>"EQP-LAWPACK2"</f>
        <v>EQP-LAWPACK2</v>
      </c>
      <c r="M2376" s="14"/>
      <c r="N2376" s="15"/>
      <c r="O2376" s="12"/>
      <c r="P2376" s="34"/>
      <c r="Q2376" s="37"/>
      <c r="R2376" s="47"/>
      <c r="S2376" s="46"/>
    </row>
    <row r="2377" spans="1:19" ht="15.6" hidden="1" customHeight="1" thickBot="1" x14ac:dyDescent="0.3">
      <c r="A2377" t="s">
        <v>23</v>
      </c>
      <c r="B2377" s="60" t="str">
        <f t="shared" si="1699"/>
        <v>hide</v>
      </c>
      <c r="D2377" s="48" t="str">
        <f>D2376</f>
        <v>29325</v>
      </c>
      <c r="E2377" s="7"/>
      <c r="F2377" s="27">
        <v>0</v>
      </c>
      <c r="G2377" s="27">
        <v>0</v>
      </c>
      <c r="H2377" s="27">
        <v>0</v>
      </c>
      <c r="I2377" s="27">
        <v>0</v>
      </c>
      <c r="J2377" s="27">
        <v>0</v>
      </c>
      <c r="K2377" s="63">
        <f>AVERAGE(I2377:J2377)</f>
        <v>0</v>
      </c>
      <c r="L2377" s="56" t="str">
        <f>"SW-COMAS-PACKL"</f>
        <v>SW-COMAS-PACKL</v>
      </c>
      <c r="M2377" s="14"/>
      <c r="N2377" s="15"/>
      <c r="O2377" s="12"/>
      <c r="P2377" s="34"/>
      <c r="Q2377" s="37"/>
      <c r="R2377" s="47"/>
      <c r="S2377" s="46"/>
    </row>
    <row r="2378" spans="1:19" ht="15.6" hidden="1" customHeight="1" thickBot="1" x14ac:dyDescent="0.3">
      <c r="A2378" t="s">
        <v>23</v>
      </c>
      <c r="B2378" s="60" t="str">
        <f t="shared" si="1699"/>
        <v>hide</v>
      </c>
      <c r="D2378" s="48" t="str">
        <f>D2377</f>
        <v>29325</v>
      </c>
      <c r="E2378" s="7"/>
      <c r="F2378" s="27">
        <v>0</v>
      </c>
      <c r="G2378" s="27">
        <v>0</v>
      </c>
      <c r="H2378" s="27">
        <v>0</v>
      </c>
      <c r="I2378" s="27">
        <v>0</v>
      </c>
      <c r="J2378" s="27">
        <v>0</v>
      </c>
      <c r="K2378" s="63">
        <f>AVERAGE(I2378:J2378)</f>
        <v>0</v>
      </c>
      <c r="L2378" s="56" t="str">
        <f>"SW-RISER-PACK"</f>
        <v>SW-RISER-PACK</v>
      </c>
      <c r="M2378" s="14"/>
      <c r="N2378" s="15"/>
      <c r="O2378" s="12"/>
      <c r="P2378" s="34"/>
      <c r="Q2378" s="37"/>
      <c r="R2378" s="47"/>
      <c r="S2378" s="46"/>
    </row>
    <row r="2379" spans="1:19" ht="12" hidden="1" customHeight="1" x14ac:dyDescent="0.3">
      <c r="A2379" s="35" t="s">
        <v>908</v>
      </c>
      <c r="B2379" s="49" t="str">
        <f>B2375</f>
        <v>hide</v>
      </c>
      <c r="N2379"/>
      <c r="Q2379" s="33"/>
    </row>
    <row r="2380" spans="1:19" ht="13.8" hidden="1" thickBot="1" x14ac:dyDescent="0.3">
      <c r="A2380" t="s">
        <v>23</v>
      </c>
      <c r="B2380" s="49" t="str">
        <f t="shared" ref="B2380" si="1700">B2379</f>
        <v>hide</v>
      </c>
      <c r="D2380" s="58"/>
      <c r="E2380" s="58"/>
      <c r="F2380" s="52">
        <f>SUM(F2375:F2379)</f>
        <v>0</v>
      </c>
      <c r="G2380" s="52">
        <f>SUM(G2375:G2379)</f>
        <v>0</v>
      </c>
      <c r="H2380" s="52">
        <f>SUM(H2375:H2379)</f>
        <v>0</v>
      </c>
      <c r="I2380" s="52">
        <f>SUM(I2375:I2379)</f>
        <v>0</v>
      </c>
      <c r="J2380" s="52">
        <f>SUM(J2375:J2379)</f>
        <v>0</v>
      </c>
      <c r="K2380" s="52"/>
      <c r="L2380" s="51" t="s">
        <v>4</v>
      </c>
      <c r="M2380" s="58"/>
      <c r="N2380" s="58"/>
      <c r="O2380" s="58"/>
      <c r="P2380" s="58"/>
      <c r="Q2380" s="58"/>
      <c r="R2380" s="58"/>
      <c r="S2380" s="58"/>
    </row>
    <row r="2381" spans="1:19" s="59" customFormat="1" ht="18.75" hidden="1" customHeight="1" thickBot="1" x14ac:dyDescent="0.3">
      <c r="A2381" s="59" t="s">
        <v>23</v>
      </c>
      <c r="B2381" s="60" t="str">
        <f t="shared" ref="B2381:B2382" si="1701">IF(K2381=0,"hide","")</f>
        <v>hide</v>
      </c>
      <c r="D2381" s="61" t="str">
        <f>"29360"</f>
        <v>29360</v>
      </c>
      <c r="E2381" s="62" t="str">
        <f>"1"</f>
        <v>1</v>
      </c>
      <c r="F2381" s="63">
        <v>0</v>
      </c>
      <c r="G2381" s="63">
        <v>0</v>
      </c>
      <c r="H2381" s="63">
        <v>0</v>
      </c>
      <c r="I2381" s="63">
        <v>0</v>
      </c>
      <c r="J2381" s="63">
        <v>0</v>
      </c>
      <c r="K2381" s="63">
        <f>AVERAGE(I2381:J2381)</f>
        <v>0</v>
      </c>
      <c r="L2381" s="64" t="str">
        <f>"FRENCH TOAST LOAF"</f>
        <v>FRENCH TOAST LOAF</v>
      </c>
      <c r="M2381" s="65" t="str">
        <f>"96-2oz. 16 trays of 6 w/labels"</f>
        <v>96-2oz. 16 trays of 6 w/labels</v>
      </c>
      <c r="N2381" s="66">
        <v>96</v>
      </c>
      <c r="O2381" s="67" t="str">
        <f>""</f>
        <v/>
      </c>
      <c r="P2381" s="68" t="e">
        <f>1/O2381</f>
        <v>#VALUE!</v>
      </c>
      <c r="Q2381" s="53">
        <v>1</v>
      </c>
      <c r="R2381" s="69">
        <f t="shared" ref="R2381" si="1702">1/Q2381</f>
        <v>1</v>
      </c>
      <c r="S2381" s="70">
        <f t="shared" ref="S2381" si="1703">R2381*N2381</f>
        <v>96</v>
      </c>
    </row>
    <row r="2382" spans="1:19" ht="15.6" hidden="1" customHeight="1" thickBot="1" x14ac:dyDescent="0.3">
      <c r="A2382" t="s">
        <v>23</v>
      </c>
      <c r="B2382" s="60" t="str">
        <f t="shared" si="1701"/>
        <v>hide</v>
      </c>
      <c r="D2382" s="48" t="str">
        <f>D2381</f>
        <v>29360</v>
      </c>
      <c r="E2382" s="7"/>
      <c r="F2382" s="27">
        <v>0</v>
      </c>
      <c r="G2382" s="27">
        <v>0</v>
      </c>
      <c r="H2382" s="27">
        <v>0</v>
      </c>
      <c r="I2382" s="27">
        <v>0</v>
      </c>
      <c r="J2382" s="27">
        <v>0</v>
      </c>
      <c r="K2382" s="63">
        <f>AVERAGE(I2382:J2382)</f>
        <v>0</v>
      </c>
      <c r="L2382" s="56" t="str">
        <f>"EQP-LAWPACK1"</f>
        <v>EQP-LAWPACK1</v>
      </c>
      <c r="M2382" s="14"/>
      <c r="N2382" s="15"/>
      <c r="O2382" s="12"/>
      <c r="P2382" s="34"/>
      <c r="Q2382" s="37"/>
      <c r="R2382" s="47"/>
      <c r="S2382" s="46"/>
    </row>
    <row r="2383" spans="1:19" ht="15.6" hidden="1" customHeight="1" thickBot="1" x14ac:dyDescent="0.3">
      <c r="A2383" t="s">
        <v>23</v>
      </c>
      <c r="B2383" s="60" t="str">
        <f t="shared" ref="B2383:B2385" si="1704">IF(K2383=0,"hide","")</f>
        <v>hide</v>
      </c>
      <c r="D2383" s="48" t="str">
        <f>D2382</f>
        <v>29360</v>
      </c>
      <c r="E2383" s="7"/>
      <c r="F2383" s="27">
        <v>0</v>
      </c>
      <c r="G2383" s="27">
        <v>0</v>
      </c>
      <c r="H2383" s="27">
        <v>0</v>
      </c>
      <c r="I2383" s="27">
        <v>0</v>
      </c>
      <c r="J2383" s="27">
        <v>0</v>
      </c>
      <c r="K2383" s="63">
        <f>AVERAGE(I2383:J2383)</f>
        <v>0</v>
      </c>
      <c r="L2383" s="56" t="str">
        <f>"EQP-LAWPACK2"</f>
        <v>EQP-LAWPACK2</v>
      </c>
      <c r="M2383" s="14"/>
      <c r="N2383" s="15"/>
      <c r="O2383" s="12"/>
      <c r="P2383" s="34"/>
      <c r="Q2383" s="37"/>
      <c r="R2383" s="47"/>
      <c r="S2383" s="46"/>
    </row>
    <row r="2384" spans="1:19" ht="15.6" hidden="1" customHeight="1" thickBot="1" x14ac:dyDescent="0.3">
      <c r="A2384" t="s">
        <v>23</v>
      </c>
      <c r="B2384" s="60" t="str">
        <f t="shared" si="1704"/>
        <v>hide</v>
      </c>
      <c r="D2384" s="48" t="str">
        <f>D2383</f>
        <v>29360</v>
      </c>
      <c r="E2384" s="7"/>
      <c r="F2384" s="27">
        <v>0</v>
      </c>
      <c r="G2384" s="27">
        <v>0</v>
      </c>
      <c r="H2384" s="27">
        <v>0</v>
      </c>
      <c r="I2384" s="27">
        <v>0</v>
      </c>
      <c r="J2384" s="27">
        <v>0</v>
      </c>
      <c r="K2384" s="63">
        <f>AVERAGE(I2384:J2384)</f>
        <v>0</v>
      </c>
      <c r="L2384" s="56" t="str">
        <f>"SW-COMAS-PACKL"</f>
        <v>SW-COMAS-PACKL</v>
      </c>
      <c r="M2384" s="14"/>
      <c r="N2384" s="15"/>
      <c r="O2384" s="12"/>
      <c r="P2384" s="34"/>
      <c r="Q2384" s="37"/>
      <c r="R2384" s="47"/>
      <c r="S2384" s="46"/>
    </row>
    <row r="2385" spans="1:19" ht="15.6" hidden="1" customHeight="1" thickBot="1" x14ac:dyDescent="0.3">
      <c r="A2385" t="s">
        <v>23</v>
      </c>
      <c r="B2385" s="60" t="str">
        <f t="shared" si="1704"/>
        <v>hide</v>
      </c>
      <c r="D2385" s="48" t="str">
        <f>D2384</f>
        <v>29360</v>
      </c>
      <c r="E2385" s="7"/>
      <c r="F2385" s="27">
        <v>0</v>
      </c>
      <c r="G2385" s="27">
        <v>0</v>
      </c>
      <c r="H2385" s="27">
        <v>0</v>
      </c>
      <c r="I2385" s="27">
        <v>0</v>
      </c>
      <c r="J2385" s="27">
        <v>0</v>
      </c>
      <c r="K2385" s="63">
        <f>AVERAGE(I2385:J2385)</f>
        <v>0</v>
      </c>
      <c r="L2385" s="56" t="str">
        <f>"SW-RISER-PACK"</f>
        <v>SW-RISER-PACK</v>
      </c>
      <c r="M2385" s="14"/>
      <c r="N2385" s="15"/>
      <c r="O2385" s="12"/>
      <c r="P2385" s="34"/>
      <c r="Q2385" s="37"/>
      <c r="R2385" s="47"/>
      <c r="S2385" s="46"/>
    </row>
    <row r="2386" spans="1:19" ht="12" hidden="1" customHeight="1" x14ac:dyDescent="0.3">
      <c r="A2386" s="35" t="s">
        <v>908</v>
      </c>
      <c r="B2386" s="49" t="str">
        <f>B2382</f>
        <v>hide</v>
      </c>
      <c r="N2386"/>
      <c r="Q2386" s="33"/>
    </row>
    <row r="2387" spans="1:19" ht="13.8" hidden="1" thickBot="1" x14ac:dyDescent="0.3">
      <c r="A2387" t="s">
        <v>23</v>
      </c>
      <c r="B2387" s="49" t="str">
        <f t="shared" ref="B2387" si="1705">B2386</f>
        <v>hide</v>
      </c>
      <c r="D2387" s="58"/>
      <c r="E2387" s="58"/>
      <c r="F2387" s="52">
        <f>SUM(F2382:F2386)</f>
        <v>0</v>
      </c>
      <c r="G2387" s="52">
        <f>SUM(G2382:G2386)</f>
        <v>0</v>
      </c>
      <c r="H2387" s="52">
        <f>SUM(H2382:H2386)</f>
        <v>0</v>
      </c>
      <c r="I2387" s="52">
        <f>SUM(I2382:I2386)</f>
        <v>0</v>
      </c>
      <c r="J2387" s="52">
        <f>SUM(J2382:J2386)</f>
        <v>0</v>
      </c>
      <c r="K2387" s="52"/>
      <c r="L2387" s="51" t="s">
        <v>4</v>
      </c>
      <c r="M2387" s="58"/>
      <c r="N2387" s="58"/>
      <c r="O2387" s="58"/>
      <c r="P2387" s="58"/>
      <c r="Q2387" s="58"/>
      <c r="R2387" s="58"/>
      <c r="S2387" s="58"/>
    </row>
    <row r="2388" spans="1:19" s="59" customFormat="1" ht="18.75" hidden="1" customHeight="1" thickBot="1" x14ac:dyDescent="0.3">
      <c r="A2388" s="59" t="s">
        <v>23</v>
      </c>
      <c r="B2388" s="60" t="str">
        <f t="shared" ref="B2388:B2389" si="1706">IF(K2388=0,"hide","")</f>
        <v>hide</v>
      </c>
      <c r="D2388" s="61" t="str">
        <f>"29430"</f>
        <v>29430</v>
      </c>
      <c r="E2388" s="62" t="str">
        <f>"1"</f>
        <v>1</v>
      </c>
      <c r="F2388" s="63">
        <v>0</v>
      </c>
      <c r="G2388" s="63">
        <v>0</v>
      </c>
      <c r="H2388" s="63">
        <v>0</v>
      </c>
      <c r="I2388" s="63">
        <v>0</v>
      </c>
      <c r="J2388" s="63">
        <v>0</v>
      </c>
      <c r="K2388" s="63">
        <f>AVERAGE(I2388:J2388)</f>
        <v>0</v>
      </c>
      <c r="L2388" s="64" t="str">
        <f>"Madelines Pantry Brownie Bites"</f>
        <v>Madelines Pantry Brownie Bites</v>
      </c>
      <c r="M2388" s="65" t="str">
        <f>"216-1oz. 18-12pks "</f>
        <v xml:space="preserve">216-1oz. 18-12pks </v>
      </c>
      <c r="N2388" s="66">
        <v>144</v>
      </c>
      <c r="O2388" s="67" t="str">
        <f>""</f>
        <v/>
      </c>
      <c r="P2388" s="68" t="e">
        <f>1/O2388</f>
        <v>#VALUE!</v>
      </c>
      <c r="Q2388" s="53">
        <v>1</v>
      </c>
      <c r="R2388" s="69">
        <f t="shared" ref="R2388" si="1707">1/Q2388</f>
        <v>1</v>
      </c>
      <c r="S2388" s="70">
        <f t="shared" ref="S2388" si="1708">R2388*N2388</f>
        <v>144</v>
      </c>
    </row>
    <row r="2389" spans="1:19" ht="15.6" hidden="1" customHeight="1" thickBot="1" x14ac:dyDescent="0.3">
      <c r="A2389" t="s">
        <v>23</v>
      </c>
      <c r="B2389" s="60" t="str">
        <f t="shared" si="1706"/>
        <v>hide</v>
      </c>
      <c r="D2389" s="48" t="str">
        <f>D2388</f>
        <v>29430</v>
      </c>
      <c r="E2389" s="7"/>
      <c r="F2389" s="27">
        <v>0</v>
      </c>
      <c r="G2389" s="27">
        <v>0</v>
      </c>
      <c r="H2389" s="27">
        <v>0</v>
      </c>
      <c r="I2389" s="27">
        <v>0</v>
      </c>
      <c r="J2389" s="27">
        <v>0</v>
      </c>
      <c r="K2389" s="63">
        <f>AVERAGE(I2389:J2389)</f>
        <v>0</v>
      </c>
      <c r="L2389" s="56" t="str">
        <f>"EQP-LAWPACK1"</f>
        <v>EQP-LAWPACK1</v>
      </c>
      <c r="M2389" s="14"/>
      <c r="N2389" s="15"/>
      <c r="O2389" s="12"/>
      <c r="P2389" s="34"/>
      <c r="Q2389" s="37"/>
      <c r="R2389" s="47"/>
      <c r="S2389" s="46"/>
    </row>
    <row r="2390" spans="1:19" ht="15.6" hidden="1" customHeight="1" thickBot="1" x14ac:dyDescent="0.3">
      <c r="A2390" t="s">
        <v>23</v>
      </c>
      <c r="B2390" s="60" t="str">
        <f t="shared" ref="B2390:B2392" si="1709">IF(K2390=0,"hide","")</f>
        <v>hide</v>
      </c>
      <c r="D2390" s="48" t="str">
        <f>D2389</f>
        <v>29430</v>
      </c>
      <c r="E2390" s="7"/>
      <c r="F2390" s="27">
        <v>0</v>
      </c>
      <c r="G2390" s="27">
        <v>0</v>
      </c>
      <c r="H2390" s="27">
        <v>0</v>
      </c>
      <c r="I2390" s="27">
        <v>0</v>
      </c>
      <c r="J2390" s="27">
        <v>0</v>
      </c>
      <c r="K2390" s="63">
        <f>AVERAGE(I2390:J2390)</f>
        <v>0</v>
      </c>
      <c r="L2390" s="56" t="str">
        <f>"EQP-LAWPACK2"</f>
        <v>EQP-LAWPACK2</v>
      </c>
      <c r="M2390" s="14"/>
      <c r="N2390" s="15"/>
      <c r="O2390" s="12"/>
      <c r="P2390" s="34"/>
      <c r="Q2390" s="37"/>
      <c r="R2390" s="47"/>
      <c r="S2390" s="46"/>
    </row>
    <row r="2391" spans="1:19" ht="15.6" hidden="1" customHeight="1" thickBot="1" x14ac:dyDescent="0.3">
      <c r="A2391" t="s">
        <v>23</v>
      </c>
      <c r="B2391" s="60" t="str">
        <f t="shared" si="1709"/>
        <v>hide</v>
      </c>
      <c r="D2391" s="48" t="str">
        <f>D2390</f>
        <v>29430</v>
      </c>
      <c r="E2391" s="7"/>
      <c r="F2391" s="27">
        <v>0</v>
      </c>
      <c r="G2391" s="27">
        <v>0</v>
      </c>
      <c r="H2391" s="27">
        <v>0</v>
      </c>
      <c r="I2391" s="27">
        <v>0</v>
      </c>
      <c r="J2391" s="27">
        <v>0</v>
      </c>
      <c r="K2391" s="63">
        <f>AVERAGE(I2391:J2391)</f>
        <v>0</v>
      </c>
      <c r="L2391" s="56" t="str">
        <f>"SW-COMAS-PACKL"</f>
        <v>SW-COMAS-PACKL</v>
      </c>
      <c r="M2391" s="14"/>
      <c r="N2391" s="15"/>
      <c r="O2391" s="12"/>
      <c r="P2391" s="34"/>
      <c r="Q2391" s="37"/>
      <c r="R2391" s="47"/>
      <c r="S2391" s="46"/>
    </row>
    <row r="2392" spans="1:19" ht="15.6" hidden="1" customHeight="1" thickBot="1" x14ac:dyDescent="0.3">
      <c r="A2392" t="s">
        <v>23</v>
      </c>
      <c r="B2392" s="60" t="str">
        <f t="shared" si="1709"/>
        <v>hide</v>
      </c>
      <c r="D2392" s="48" t="str">
        <f>D2391</f>
        <v>29430</v>
      </c>
      <c r="E2392" s="7"/>
      <c r="F2392" s="27">
        <v>0</v>
      </c>
      <c r="G2392" s="27">
        <v>0</v>
      </c>
      <c r="H2392" s="27">
        <v>0</v>
      </c>
      <c r="I2392" s="27">
        <v>0</v>
      </c>
      <c r="J2392" s="27">
        <v>0</v>
      </c>
      <c r="K2392" s="63">
        <f>AVERAGE(I2392:J2392)</f>
        <v>0</v>
      </c>
      <c r="L2392" s="56" t="str">
        <f>"SW-RISER-PACK"</f>
        <v>SW-RISER-PACK</v>
      </c>
      <c r="M2392" s="14"/>
      <c r="N2392" s="15"/>
      <c r="O2392" s="12"/>
      <c r="P2392" s="34"/>
      <c r="Q2392" s="37"/>
      <c r="R2392" s="47"/>
      <c r="S2392" s="46"/>
    </row>
    <row r="2393" spans="1:19" ht="12" hidden="1" customHeight="1" x14ac:dyDescent="0.3">
      <c r="A2393" s="35" t="s">
        <v>908</v>
      </c>
      <c r="B2393" s="49" t="str">
        <f>B2389</f>
        <v>hide</v>
      </c>
      <c r="N2393"/>
      <c r="Q2393" s="33"/>
    </row>
    <row r="2394" spans="1:19" ht="13.8" hidden="1" thickBot="1" x14ac:dyDescent="0.3">
      <c r="A2394" t="s">
        <v>23</v>
      </c>
      <c r="B2394" s="49" t="str">
        <f t="shared" ref="B2394" si="1710">B2393</f>
        <v>hide</v>
      </c>
      <c r="D2394" s="58"/>
      <c r="E2394" s="58"/>
      <c r="F2394" s="52">
        <f>SUM(F2389:F2393)</f>
        <v>0</v>
      </c>
      <c r="G2394" s="52">
        <f>SUM(G2389:G2393)</f>
        <v>0</v>
      </c>
      <c r="H2394" s="52">
        <f>SUM(H2389:H2393)</f>
        <v>0</v>
      </c>
      <c r="I2394" s="52">
        <f>SUM(I2389:I2393)</f>
        <v>0</v>
      </c>
      <c r="J2394" s="52">
        <f>SUM(J2389:J2393)</f>
        <v>0</v>
      </c>
      <c r="K2394" s="52"/>
      <c r="L2394" s="51" t="s">
        <v>4</v>
      </c>
      <c r="M2394" s="58"/>
      <c r="N2394" s="58"/>
      <c r="O2394" s="58"/>
      <c r="P2394" s="58"/>
      <c r="Q2394" s="58"/>
      <c r="R2394" s="58"/>
      <c r="S2394" s="58"/>
    </row>
    <row r="2395" spans="1:19" s="59" customFormat="1" ht="18.75" hidden="1" customHeight="1" thickBot="1" x14ac:dyDescent="0.3">
      <c r="A2395" s="59" t="s">
        <v>23</v>
      </c>
      <c r="B2395" s="60" t="str">
        <f t="shared" ref="B2395:B2396" si="1711">IF(K2395=0,"hide","")</f>
        <v>hide</v>
      </c>
      <c r="D2395" s="61" t="str">
        <f>"30861"</f>
        <v>30861</v>
      </c>
      <c r="E2395" s="62" t="str">
        <f>"2"</f>
        <v>2</v>
      </c>
      <c r="F2395" s="63">
        <v>0</v>
      </c>
      <c r="G2395" s="63">
        <v>0</v>
      </c>
      <c r="H2395" s="63">
        <v>0</v>
      </c>
      <c r="I2395" s="63">
        <v>0</v>
      </c>
      <c r="J2395" s="63">
        <v>0</v>
      </c>
      <c r="K2395" s="63">
        <f>AVERAGE(I2395:J2395)</f>
        <v>0</v>
      </c>
      <c r="L2395" s="64" t="str">
        <f>"WG BLUEBERRY MUFFIN"</f>
        <v>WG BLUEBERRY MUFFIN</v>
      </c>
      <c r="M2395" s="65" t="str">
        <f>"105-2oz. 3-35 pk."</f>
        <v>105-2oz. 3-35 pk.</v>
      </c>
      <c r="N2395" s="66">
        <v>104.99999999999999</v>
      </c>
      <c r="O2395" s="67" t="str">
        <f>""</f>
        <v/>
      </c>
      <c r="P2395" s="68" t="e">
        <f>1/O2395</f>
        <v>#VALUE!</v>
      </c>
      <c r="Q2395" s="53">
        <v>1</v>
      </c>
      <c r="R2395" s="69">
        <f t="shared" ref="R2395" si="1712">1/Q2395</f>
        <v>1</v>
      </c>
      <c r="S2395" s="70">
        <f t="shared" ref="S2395" si="1713">R2395*N2395</f>
        <v>104.99999999999999</v>
      </c>
    </row>
    <row r="2396" spans="1:19" ht="15.6" hidden="1" customHeight="1" thickBot="1" x14ac:dyDescent="0.3">
      <c r="A2396" t="s">
        <v>23</v>
      </c>
      <c r="B2396" s="60" t="str">
        <f t="shared" si="1711"/>
        <v>hide</v>
      </c>
      <c r="D2396" s="48" t="str">
        <f>D2395</f>
        <v>30861</v>
      </c>
      <c r="E2396" s="7"/>
      <c r="F2396" s="27">
        <v>0</v>
      </c>
      <c r="G2396" s="27">
        <v>0</v>
      </c>
      <c r="H2396" s="27">
        <v>0</v>
      </c>
      <c r="I2396" s="27">
        <v>0</v>
      </c>
      <c r="J2396" s="27">
        <v>0</v>
      </c>
      <c r="K2396" s="63">
        <f>AVERAGE(I2396:J2396)</f>
        <v>0</v>
      </c>
      <c r="L2396" s="56" t="str">
        <f>"EQP-LAWPACK1"</f>
        <v>EQP-LAWPACK1</v>
      </c>
      <c r="M2396" s="14"/>
      <c r="N2396" s="15"/>
      <c r="O2396" s="12"/>
      <c r="P2396" s="34"/>
      <c r="Q2396" s="37"/>
      <c r="R2396" s="47"/>
      <c r="S2396" s="46"/>
    </row>
    <row r="2397" spans="1:19" ht="15.6" hidden="1" customHeight="1" thickBot="1" x14ac:dyDescent="0.3">
      <c r="A2397" t="s">
        <v>23</v>
      </c>
      <c r="B2397" s="60" t="str">
        <f t="shared" ref="B2397:B2399" si="1714">IF(K2397=0,"hide","")</f>
        <v>hide</v>
      </c>
      <c r="D2397" s="48" t="str">
        <f>D2396</f>
        <v>30861</v>
      </c>
      <c r="E2397" s="7"/>
      <c r="F2397" s="27">
        <v>0</v>
      </c>
      <c r="G2397" s="27">
        <v>0</v>
      </c>
      <c r="H2397" s="27">
        <v>0</v>
      </c>
      <c r="I2397" s="27">
        <v>0</v>
      </c>
      <c r="J2397" s="27">
        <v>0</v>
      </c>
      <c r="K2397" s="63">
        <f>AVERAGE(I2397:J2397)</f>
        <v>0</v>
      </c>
      <c r="L2397" s="56" t="str">
        <f>"EQP-LAWPACK2"</f>
        <v>EQP-LAWPACK2</v>
      </c>
      <c r="M2397" s="14"/>
      <c r="N2397" s="15"/>
      <c r="O2397" s="12"/>
      <c r="P2397" s="34"/>
      <c r="Q2397" s="37"/>
      <c r="R2397" s="47"/>
      <c r="S2397" s="46"/>
    </row>
    <row r="2398" spans="1:19" ht="15.6" hidden="1" customHeight="1" thickBot="1" x14ac:dyDescent="0.3">
      <c r="A2398" t="s">
        <v>23</v>
      </c>
      <c r="B2398" s="60" t="str">
        <f t="shared" si="1714"/>
        <v>hide</v>
      </c>
      <c r="D2398" s="48" t="str">
        <f>D2397</f>
        <v>30861</v>
      </c>
      <c r="E2398" s="7"/>
      <c r="F2398" s="27">
        <v>0</v>
      </c>
      <c r="G2398" s="27">
        <v>0</v>
      </c>
      <c r="H2398" s="27">
        <v>0</v>
      </c>
      <c r="I2398" s="27">
        <v>0</v>
      </c>
      <c r="J2398" s="27">
        <v>0</v>
      </c>
      <c r="K2398" s="63">
        <f>AVERAGE(I2398:J2398)</f>
        <v>0</v>
      </c>
      <c r="L2398" s="56" t="str">
        <f>"SW-COMAS-PACKL"</f>
        <v>SW-COMAS-PACKL</v>
      </c>
      <c r="M2398" s="14"/>
      <c r="N2398" s="15"/>
      <c r="O2398" s="12"/>
      <c r="P2398" s="34"/>
      <c r="Q2398" s="37"/>
      <c r="R2398" s="47"/>
      <c r="S2398" s="46"/>
    </row>
    <row r="2399" spans="1:19" ht="15.6" hidden="1" customHeight="1" thickBot="1" x14ac:dyDescent="0.3">
      <c r="A2399" t="s">
        <v>23</v>
      </c>
      <c r="B2399" s="60" t="str">
        <f t="shared" si="1714"/>
        <v>hide</v>
      </c>
      <c r="D2399" s="48" t="str">
        <f>D2398</f>
        <v>30861</v>
      </c>
      <c r="E2399" s="7"/>
      <c r="F2399" s="27">
        <v>0</v>
      </c>
      <c r="G2399" s="27">
        <v>0</v>
      </c>
      <c r="H2399" s="27">
        <v>0</v>
      </c>
      <c r="I2399" s="27">
        <v>0</v>
      </c>
      <c r="J2399" s="27">
        <v>0</v>
      </c>
      <c r="K2399" s="63">
        <f>AVERAGE(I2399:J2399)</f>
        <v>0</v>
      </c>
      <c r="L2399" s="56" t="str">
        <f>"SW-RISER-PACK"</f>
        <v>SW-RISER-PACK</v>
      </c>
      <c r="M2399" s="14"/>
      <c r="N2399" s="15"/>
      <c r="O2399" s="12"/>
      <c r="P2399" s="34"/>
      <c r="Q2399" s="37"/>
      <c r="R2399" s="47"/>
      <c r="S2399" s="46"/>
    </row>
    <row r="2400" spans="1:19" ht="12" hidden="1" customHeight="1" x14ac:dyDescent="0.3">
      <c r="A2400" s="35" t="s">
        <v>908</v>
      </c>
      <c r="B2400" s="49" t="str">
        <f>B2396</f>
        <v>hide</v>
      </c>
      <c r="N2400"/>
      <c r="Q2400" s="33"/>
    </row>
    <row r="2401" spans="1:19" ht="13.8" hidden="1" thickBot="1" x14ac:dyDescent="0.3">
      <c r="A2401" t="s">
        <v>23</v>
      </c>
      <c r="B2401" s="49" t="str">
        <f t="shared" ref="B2401" si="1715">B2400</f>
        <v>hide</v>
      </c>
      <c r="D2401" s="58"/>
      <c r="E2401" s="58"/>
      <c r="F2401" s="52">
        <f>SUM(F2396:F2400)</f>
        <v>0</v>
      </c>
      <c r="G2401" s="52">
        <f>SUM(G2396:G2400)</f>
        <v>0</v>
      </c>
      <c r="H2401" s="52">
        <f>SUM(H2396:H2400)</f>
        <v>0</v>
      </c>
      <c r="I2401" s="52">
        <f>SUM(I2396:I2400)</f>
        <v>0</v>
      </c>
      <c r="J2401" s="52">
        <f>SUM(J2396:J2400)</f>
        <v>0</v>
      </c>
      <c r="K2401" s="52"/>
      <c r="L2401" s="51" t="s">
        <v>4</v>
      </c>
      <c r="M2401" s="58"/>
      <c r="N2401" s="58"/>
      <c r="O2401" s="58"/>
      <c r="P2401" s="58"/>
      <c r="Q2401" s="58"/>
      <c r="R2401" s="58"/>
      <c r="S2401" s="58"/>
    </row>
    <row r="2402" spans="1:19" s="59" customFormat="1" ht="18.75" hidden="1" customHeight="1" thickBot="1" x14ac:dyDescent="0.3">
      <c r="A2402" s="59" t="s">
        <v>23</v>
      </c>
      <c r="B2402" s="60" t="str">
        <f t="shared" ref="B2402:B2403" si="1716">IF(K2402=0,"hide","")</f>
        <v>hide</v>
      </c>
      <c r="D2402" s="61" t="str">
        <f>"30865"</f>
        <v>30865</v>
      </c>
      <c r="E2402" s="62" t="str">
        <f>"2"</f>
        <v>2</v>
      </c>
      <c r="F2402" s="63">
        <v>0</v>
      </c>
      <c r="G2402" s="63">
        <v>0</v>
      </c>
      <c r="H2402" s="63">
        <v>0</v>
      </c>
      <c r="I2402" s="63">
        <v>0</v>
      </c>
      <c r="J2402" s="63">
        <v>0</v>
      </c>
      <c r="K2402" s="63">
        <f>AVERAGE(I2402:J2402)</f>
        <v>0</v>
      </c>
      <c r="L2402" s="64" t="str">
        <f>"WG CORN MUFFIN"</f>
        <v>WG CORN MUFFIN</v>
      </c>
      <c r="M2402" s="65" t="str">
        <f>"105-2oz. 3-35 pk."</f>
        <v>105-2oz. 3-35 pk.</v>
      </c>
      <c r="N2402" s="66">
        <v>104.99999999999999</v>
      </c>
      <c r="O2402" s="67" t="str">
        <f>""</f>
        <v/>
      </c>
      <c r="P2402" s="68" t="e">
        <f>1/O2402</f>
        <v>#VALUE!</v>
      </c>
      <c r="Q2402" s="53">
        <v>1</v>
      </c>
      <c r="R2402" s="69">
        <f t="shared" ref="R2402" si="1717">1/Q2402</f>
        <v>1</v>
      </c>
      <c r="S2402" s="70">
        <f t="shared" ref="S2402" si="1718">R2402*N2402</f>
        <v>104.99999999999999</v>
      </c>
    </row>
    <row r="2403" spans="1:19" ht="15.6" hidden="1" customHeight="1" thickBot="1" x14ac:dyDescent="0.3">
      <c r="A2403" t="s">
        <v>23</v>
      </c>
      <c r="B2403" s="60" t="str">
        <f t="shared" si="1716"/>
        <v>hide</v>
      </c>
      <c r="D2403" s="48" t="str">
        <f>D2402</f>
        <v>30865</v>
      </c>
      <c r="E2403" s="7"/>
      <c r="F2403" s="27">
        <v>0</v>
      </c>
      <c r="G2403" s="27">
        <v>0</v>
      </c>
      <c r="H2403" s="27">
        <v>0</v>
      </c>
      <c r="I2403" s="27">
        <v>0</v>
      </c>
      <c r="J2403" s="27">
        <v>0</v>
      </c>
      <c r="K2403" s="63">
        <f>AVERAGE(I2403:J2403)</f>
        <v>0</v>
      </c>
      <c r="L2403" s="56" t="str">
        <f>"EQP-LAWPACK1"</f>
        <v>EQP-LAWPACK1</v>
      </c>
      <c r="M2403" s="14"/>
      <c r="N2403" s="15"/>
      <c r="O2403" s="12"/>
      <c r="P2403" s="34"/>
      <c r="Q2403" s="37"/>
      <c r="R2403" s="47"/>
      <c r="S2403" s="46"/>
    </row>
    <row r="2404" spans="1:19" ht="15.6" hidden="1" customHeight="1" thickBot="1" x14ac:dyDescent="0.3">
      <c r="A2404" t="s">
        <v>23</v>
      </c>
      <c r="B2404" s="60" t="str">
        <f t="shared" ref="B2404:B2406" si="1719">IF(K2404=0,"hide","")</f>
        <v>hide</v>
      </c>
      <c r="D2404" s="48" t="str">
        <f>D2403</f>
        <v>30865</v>
      </c>
      <c r="E2404" s="7"/>
      <c r="F2404" s="27">
        <v>0</v>
      </c>
      <c r="G2404" s="27">
        <v>0</v>
      </c>
      <c r="H2404" s="27">
        <v>0</v>
      </c>
      <c r="I2404" s="27">
        <v>0</v>
      </c>
      <c r="J2404" s="27">
        <v>0</v>
      </c>
      <c r="K2404" s="63">
        <f>AVERAGE(I2404:J2404)</f>
        <v>0</v>
      </c>
      <c r="L2404" s="56" t="str">
        <f>"EQP-LAWPACK2"</f>
        <v>EQP-LAWPACK2</v>
      </c>
      <c r="M2404" s="14"/>
      <c r="N2404" s="15"/>
      <c r="O2404" s="12"/>
      <c r="P2404" s="34"/>
      <c r="Q2404" s="37"/>
      <c r="R2404" s="47"/>
      <c r="S2404" s="46"/>
    </row>
    <row r="2405" spans="1:19" ht="15.6" hidden="1" customHeight="1" thickBot="1" x14ac:dyDescent="0.3">
      <c r="A2405" t="s">
        <v>23</v>
      </c>
      <c r="B2405" s="60" t="str">
        <f t="shared" si="1719"/>
        <v>hide</v>
      </c>
      <c r="D2405" s="48" t="str">
        <f>D2404</f>
        <v>30865</v>
      </c>
      <c r="E2405" s="7"/>
      <c r="F2405" s="27">
        <v>0</v>
      </c>
      <c r="G2405" s="27">
        <v>0</v>
      </c>
      <c r="H2405" s="27">
        <v>0</v>
      </c>
      <c r="I2405" s="27">
        <v>0</v>
      </c>
      <c r="J2405" s="27">
        <v>0</v>
      </c>
      <c r="K2405" s="63">
        <f>AVERAGE(I2405:J2405)</f>
        <v>0</v>
      </c>
      <c r="L2405" s="56" t="str">
        <f>"SW-COMAS-PACKL"</f>
        <v>SW-COMAS-PACKL</v>
      </c>
      <c r="M2405" s="14"/>
      <c r="N2405" s="15"/>
      <c r="O2405" s="12"/>
      <c r="P2405" s="34"/>
      <c r="Q2405" s="37"/>
      <c r="R2405" s="47"/>
      <c r="S2405" s="46"/>
    </row>
    <row r="2406" spans="1:19" ht="15.6" hidden="1" customHeight="1" thickBot="1" x14ac:dyDescent="0.3">
      <c r="A2406" t="s">
        <v>23</v>
      </c>
      <c r="B2406" s="60" t="str">
        <f t="shared" si="1719"/>
        <v>hide</v>
      </c>
      <c r="D2406" s="48" t="str">
        <f>D2405</f>
        <v>30865</v>
      </c>
      <c r="E2406" s="7"/>
      <c r="F2406" s="27">
        <v>0</v>
      </c>
      <c r="G2406" s="27">
        <v>0</v>
      </c>
      <c r="H2406" s="27">
        <v>0</v>
      </c>
      <c r="I2406" s="27">
        <v>0</v>
      </c>
      <c r="J2406" s="27">
        <v>0</v>
      </c>
      <c r="K2406" s="63">
        <f>AVERAGE(I2406:J2406)</f>
        <v>0</v>
      </c>
      <c r="L2406" s="56" t="str">
        <f>"SW-RISER-PACK"</f>
        <v>SW-RISER-PACK</v>
      </c>
      <c r="M2406" s="14"/>
      <c r="N2406" s="15"/>
      <c r="O2406" s="12"/>
      <c r="P2406" s="34"/>
      <c r="Q2406" s="37"/>
      <c r="R2406" s="47"/>
      <c r="S2406" s="46"/>
    </row>
    <row r="2407" spans="1:19" ht="12" hidden="1" customHeight="1" x14ac:dyDescent="0.3">
      <c r="A2407" s="35" t="s">
        <v>908</v>
      </c>
      <c r="B2407" s="49" t="str">
        <f>B2403</f>
        <v>hide</v>
      </c>
      <c r="N2407"/>
      <c r="Q2407" s="33"/>
    </row>
    <row r="2408" spans="1:19" ht="13.8" hidden="1" thickBot="1" x14ac:dyDescent="0.3">
      <c r="A2408" t="s">
        <v>23</v>
      </c>
      <c r="B2408" s="49" t="str">
        <f t="shared" ref="B2408" si="1720">B2407</f>
        <v>hide</v>
      </c>
      <c r="D2408" s="58"/>
      <c r="E2408" s="58"/>
      <c r="F2408" s="52">
        <f>SUM(F2403:F2407)</f>
        <v>0</v>
      </c>
      <c r="G2408" s="52">
        <f>SUM(G2403:G2407)</f>
        <v>0</v>
      </c>
      <c r="H2408" s="52">
        <f>SUM(H2403:H2407)</f>
        <v>0</v>
      </c>
      <c r="I2408" s="52">
        <f>SUM(I2403:I2407)</f>
        <v>0</v>
      </c>
      <c r="J2408" s="52">
        <f>SUM(J2403:J2407)</f>
        <v>0</v>
      </c>
      <c r="K2408" s="52"/>
      <c r="L2408" s="51" t="s">
        <v>4</v>
      </c>
      <c r="M2408" s="58"/>
      <c r="N2408" s="58"/>
      <c r="O2408" s="58"/>
      <c r="P2408" s="58"/>
      <c r="Q2408" s="58"/>
      <c r="R2408" s="58"/>
      <c r="S2408" s="58"/>
    </row>
    <row r="2409" spans="1:19" s="59" customFormat="1" ht="18.75" hidden="1" customHeight="1" thickBot="1" x14ac:dyDescent="0.3">
      <c r="A2409" s="59" t="s">
        <v>23</v>
      </c>
      <c r="B2409" s="60" t="str">
        <f t="shared" ref="B2409:B2410" si="1721">IF(K2409=0,"hide","")</f>
        <v>hide</v>
      </c>
      <c r="D2409" s="61" t="str">
        <f>"30866"</f>
        <v>30866</v>
      </c>
      <c r="E2409" s="62" t="str">
        <f>"2"</f>
        <v>2</v>
      </c>
      <c r="F2409" s="63">
        <v>0</v>
      </c>
      <c r="G2409" s="63">
        <v>0</v>
      </c>
      <c r="H2409" s="63">
        <v>0</v>
      </c>
      <c r="I2409" s="63">
        <v>0</v>
      </c>
      <c r="J2409" s="63">
        <v>0</v>
      </c>
      <c r="K2409" s="63">
        <f>AVERAGE(I2409:J2409)</f>
        <v>0</v>
      </c>
      <c r="L2409" s="64" t="str">
        <f>"WG APPLE CIN. MUFFIN"</f>
        <v>WG APPLE CIN. MUFFIN</v>
      </c>
      <c r="M2409" s="65" t="str">
        <f>"105-2oz. 3-35 pk."</f>
        <v>105-2oz. 3-35 pk.</v>
      </c>
      <c r="N2409" s="66">
        <v>104.99999999999999</v>
      </c>
      <c r="O2409" s="67" t="str">
        <f>""</f>
        <v/>
      </c>
      <c r="P2409" s="68" t="e">
        <f>1/O2409</f>
        <v>#VALUE!</v>
      </c>
      <c r="Q2409" s="53">
        <v>1</v>
      </c>
      <c r="R2409" s="69">
        <f t="shared" ref="R2409" si="1722">1/Q2409</f>
        <v>1</v>
      </c>
      <c r="S2409" s="70">
        <f t="shared" ref="S2409" si="1723">R2409*N2409</f>
        <v>104.99999999999999</v>
      </c>
    </row>
    <row r="2410" spans="1:19" ht="15.6" hidden="1" customHeight="1" thickBot="1" x14ac:dyDescent="0.3">
      <c r="A2410" t="s">
        <v>23</v>
      </c>
      <c r="B2410" s="60" t="str">
        <f t="shared" si="1721"/>
        <v>hide</v>
      </c>
      <c r="D2410" s="48" t="str">
        <f>D2409</f>
        <v>30866</v>
      </c>
      <c r="E2410" s="7"/>
      <c r="F2410" s="27">
        <v>0</v>
      </c>
      <c r="G2410" s="27">
        <v>0</v>
      </c>
      <c r="H2410" s="27">
        <v>0</v>
      </c>
      <c r="I2410" s="27">
        <v>0</v>
      </c>
      <c r="J2410" s="27">
        <v>0</v>
      </c>
      <c r="K2410" s="63">
        <f>AVERAGE(I2410:J2410)</f>
        <v>0</v>
      </c>
      <c r="L2410" s="56" t="str">
        <f>"EQP-LAWPACK1"</f>
        <v>EQP-LAWPACK1</v>
      </c>
      <c r="M2410" s="14"/>
      <c r="N2410" s="15"/>
      <c r="O2410" s="12"/>
      <c r="P2410" s="34"/>
      <c r="Q2410" s="37"/>
      <c r="R2410" s="47"/>
      <c r="S2410" s="46"/>
    </row>
    <row r="2411" spans="1:19" ht="15.6" hidden="1" customHeight="1" thickBot="1" x14ac:dyDescent="0.3">
      <c r="A2411" t="s">
        <v>23</v>
      </c>
      <c r="B2411" s="60" t="str">
        <f t="shared" ref="B2411:B2413" si="1724">IF(K2411=0,"hide","")</f>
        <v>hide</v>
      </c>
      <c r="D2411" s="48" t="str">
        <f>D2410</f>
        <v>30866</v>
      </c>
      <c r="E2411" s="7"/>
      <c r="F2411" s="27">
        <v>0</v>
      </c>
      <c r="G2411" s="27">
        <v>0</v>
      </c>
      <c r="H2411" s="27">
        <v>0</v>
      </c>
      <c r="I2411" s="27">
        <v>0</v>
      </c>
      <c r="J2411" s="27">
        <v>0</v>
      </c>
      <c r="K2411" s="63">
        <f>AVERAGE(I2411:J2411)</f>
        <v>0</v>
      </c>
      <c r="L2411" s="56" t="str">
        <f>"EQP-LAWPACK2"</f>
        <v>EQP-LAWPACK2</v>
      </c>
      <c r="M2411" s="14"/>
      <c r="N2411" s="15"/>
      <c r="O2411" s="12"/>
      <c r="P2411" s="34"/>
      <c r="Q2411" s="37"/>
      <c r="R2411" s="47"/>
      <c r="S2411" s="46"/>
    </row>
    <row r="2412" spans="1:19" ht="15.6" hidden="1" customHeight="1" thickBot="1" x14ac:dyDescent="0.3">
      <c r="A2412" t="s">
        <v>23</v>
      </c>
      <c r="B2412" s="60" t="str">
        <f t="shared" si="1724"/>
        <v>hide</v>
      </c>
      <c r="D2412" s="48" t="str">
        <f>D2411</f>
        <v>30866</v>
      </c>
      <c r="E2412" s="7"/>
      <c r="F2412" s="27">
        <v>0</v>
      </c>
      <c r="G2412" s="27">
        <v>0</v>
      </c>
      <c r="H2412" s="27">
        <v>0</v>
      </c>
      <c r="I2412" s="27">
        <v>0</v>
      </c>
      <c r="J2412" s="27">
        <v>0</v>
      </c>
      <c r="K2412" s="63">
        <f>AVERAGE(I2412:J2412)</f>
        <v>0</v>
      </c>
      <c r="L2412" s="56" t="str">
        <f>"SW-COMAS-PACKL"</f>
        <v>SW-COMAS-PACKL</v>
      </c>
      <c r="M2412" s="14"/>
      <c r="N2412" s="15"/>
      <c r="O2412" s="12"/>
      <c r="P2412" s="34"/>
      <c r="Q2412" s="37"/>
      <c r="R2412" s="47"/>
      <c r="S2412" s="46"/>
    </row>
    <row r="2413" spans="1:19" ht="15.6" hidden="1" customHeight="1" thickBot="1" x14ac:dyDescent="0.3">
      <c r="A2413" t="s">
        <v>23</v>
      </c>
      <c r="B2413" s="60" t="str">
        <f t="shared" si="1724"/>
        <v>hide</v>
      </c>
      <c r="D2413" s="48" t="str">
        <f>D2412</f>
        <v>30866</v>
      </c>
      <c r="E2413" s="7"/>
      <c r="F2413" s="27">
        <v>0</v>
      </c>
      <c r="G2413" s="27">
        <v>0</v>
      </c>
      <c r="H2413" s="27">
        <v>0</v>
      </c>
      <c r="I2413" s="27">
        <v>0</v>
      </c>
      <c r="J2413" s="27">
        <v>0</v>
      </c>
      <c r="K2413" s="63">
        <f>AVERAGE(I2413:J2413)</f>
        <v>0</v>
      </c>
      <c r="L2413" s="56" t="str">
        <f>"SW-RISER-PACK"</f>
        <v>SW-RISER-PACK</v>
      </c>
      <c r="M2413" s="14"/>
      <c r="N2413" s="15"/>
      <c r="O2413" s="12"/>
      <c r="P2413" s="34"/>
      <c r="Q2413" s="37"/>
      <c r="R2413" s="47"/>
      <c r="S2413" s="46"/>
    </row>
    <row r="2414" spans="1:19" ht="12" hidden="1" customHeight="1" x14ac:dyDescent="0.3">
      <c r="A2414" s="35" t="s">
        <v>908</v>
      </c>
      <c r="B2414" s="49" t="str">
        <f>B2410</f>
        <v>hide</v>
      </c>
      <c r="N2414"/>
      <c r="Q2414" s="33"/>
    </row>
    <row r="2415" spans="1:19" ht="13.8" hidden="1" thickBot="1" x14ac:dyDescent="0.3">
      <c r="A2415" t="s">
        <v>23</v>
      </c>
      <c r="B2415" s="49" t="str">
        <f t="shared" ref="B2415" si="1725">B2414</f>
        <v>hide</v>
      </c>
      <c r="D2415" s="58"/>
      <c r="E2415" s="58"/>
      <c r="F2415" s="52">
        <f>SUM(F2410:F2414)</f>
        <v>0</v>
      </c>
      <c r="G2415" s="52">
        <f>SUM(G2410:G2414)</f>
        <v>0</v>
      </c>
      <c r="H2415" s="52">
        <f>SUM(H2410:H2414)</f>
        <v>0</v>
      </c>
      <c r="I2415" s="52">
        <f>SUM(I2410:I2414)</f>
        <v>0</v>
      </c>
      <c r="J2415" s="52">
        <f>SUM(J2410:J2414)</f>
        <v>0</v>
      </c>
      <c r="K2415" s="52"/>
      <c r="L2415" s="51" t="s">
        <v>4</v>
      </c>
      <c r="M2415" s="58"/>
      <c r="N2415" s="58"/>
      <c r="O2415" s="58"/>
      <c r="P2415" s="58"/>
      <c r="Q2415" s="58"/>
      <c r="R2415" s="58"/>
      <c r="S2415" s="58"/>
    </row>
    <row r="2416" spans="1:19" s="59" customFormat="1" ht="18.75" hidden="1" customHeight="1" thickBot="1" x14ac:dyDescent="0.3">
      <c r="A2416" s="59" t="s">
        <v>23</v>
      </c>
      <c r="B2416" s="60" t="str">
        <f t="shared" ref="B2416:B2417" si="1726">IF(K2416=0,"hide","")</f>
        <v>hide</v>
      </c>
      <c r="D2416" s="61" t="str">
        <f>"30869"</f>
        <v>30869</v>
      </c>
      <c r="E2416" s="62" t="str">
        <f>"2"</f>
        <v>2</v>
      </c>
      <c r="F2416" s="63">
        <v>0</v>
      </c>
      <c r="G2416" s="63">
        <v>0</v>
      </c>
      <c r="H2416" s="63">
        <v>0</v>
      </c>
      <c r="I2416" s="63">
        <v>0</v>
      </c>
      <c r="J2416" s="63">
        <v>0</v>
      </c>
      <c r="K2416" s="63">
        <f>AVERAGE(I2416:J2416)</f>
        <v>0</v>
      </c>
      <c r="L2416" s="64" t="str">
        <f>"WG STRAWBERRY MUFFIN"</f>
        <v>WG STRAWBERRY MUFFIN</v>
      </c>
      <c r="M2416" s="65" t="str">
        <f>"105-2oz. 3-35 pk."</f>
        <v>105-2oz. 3-35 pk.</v>
      </c>
      <c r="N2416" s="66">
        <v>104.99999999999999</v>
      </c>
      <c r="O2416" s="67" t="str">
        <f>""</f>
        <v/>
      </c>
      <c r="P2416" s="68" t="e">
        <f>1/O2416</f>
        <v>#VALUE!</v>
      </c>
      <c r="Q2416" s="53">
        <v>1</v>
      </c>
      <c r="R2416" s="69">
        <f t="shared" ref="R2416" si="1727">1/Q2416</f>
        <v>1</v>
      </c>
      <c r="S2416" s="70">
        <f t="shared" ref="S2416" si="1728">R2416*N2416</f>
        <v>104.99999999999999</v>
      </c>
    </row>
    <row r="2417" spans="1:19" ht="15.6" hidden="1" customHeight="1" thickBot="1" x14ac:dyDescent="0.3">
      <c r="A2417" t="s">
        <v>23</v>
      </c>
      <c r="B2417" s="60" t="str">
        <f t="shared" si="1726"/>
        <v>hide</v>
      </c>
      <c r="D2417" s="48" t="str">
        <f>D2416</f>
        <v>30869</v>
      </c>
      <c r="E2417" s="7"/>
      <c r="F2417" s="27">
        <v>0</v>
      </c>
      <c r="G2417" s="27">
        <v>0</v>
      </c>
      <c r="H2417" s="27">
        <v>0</v>
      </c>
      <c r="I2417" s="27">
        <v>0</v>
      </c>
      <c r="J2417" s="27">
        <v>0</v>
      </c>
      <c r="K2417" s="63">
        <f>AVERAGE(I2417:J2417)</f>
        <v>0</v>
      </c>
      <c r="L2417" s="56" t="str">
        <f>"EQP-LAWPACK1"</f>
        <v>EQP-LAWPACK1</v>
      </c>
      <c r="M2417" s="14"/>
      <c r="N2417" s="15"/>
      <c r="O2417" s="12"/>
      <c r="P2417" s="34"/>
      <c r="Q2417" s="37"/>
      <c r="R2417" s="47"/>
      <c r="S2417" s="46"/>
    </row>
    <row r="2418" spans="1:19" ht="15.6" hidden="1" customHeight="1" thickBot="1" x14ac:dyDescent="0.3">
      <c r="A2418" t="s">
        <v>23</v>
      </c>
      <c r="B2418" s="60" t="str">
        <f t="shared" ref="B2418:B2420" si="1729">IF(K2418=0,"hide","")</f>
        <v>hide</v>
      </c>
      <c r="D2418" s="48" t="str">
        <f>D2417</f>
        <v>30869</v>
      </c>
      <c r="E2418" s="7"/>
      <c r="F2418" s="27">
        <v>0</v>
      </c>
      <c r="G2418" s="27">
        <v>0</v>
      </c>
      <c r="H2418" s="27">
        <v>0</v>
      </c>
      <c r="I2418" s="27">
        <v>0</v>
      </c>
      <c r="J2418" s="27">
        <v>0</v>
      </c>
      <c r="K2418" s="63">
        <f>AVERAGE(I2418:J2418)</f>
        <v>0</v>
      </c>
      <c r="L2418" s="56" t="str">
        <f>"EQP-LAWPACK2"</f>
        <v>EQP-LAWPACK2</v>
      </c>
      <c r="M2418" s="14"/>
      <c r="N2418" s="15"/>
      <c r="O2418" s="12"/>
      <c r="P2418" s="34"/>
      <c r="Q2418" s="37"/>
      <c r="R2418" s="47"/>
      <c r="S2418" s="46"/>
    </row>
    <row r="2419" spans="1:19" ht="15.6" hidden="1" customHeight="1" thickBot="1" x14ac:dyDescent="0.3">
      <c r="A2419" t="s">
        <v>23</v>
      </c>
      <c r="B2419" s="60" t="str">
        <f t="shared" si="1729"/>
        <v>hide</v>
      </c>
      <c r="D2419" s="48" t="str">
        <f>D2418</f>
        <v>30869</v>
      </c>
      <c r="E2419" s="7"/>
      <c r="F2419" s="27">
        <v>0</v>
      </c>
      <c r="G2419" s="27">
        <v>0</v>
      </c>
      <c r="H2419" s="27">
        <v>0</v>
      </c>
      <c r="I2419" s="27">
        <v>0</v>
      </c>
      <c r="J2419" s="27">
        <v>0</v>
      </c>
      <c r="K2419" s="63">
        <f>AVERAGE(I2419:J2419)</f>
        <v>0</v>
      </c>
      <c r="L2419" s="56" t="str">
        <f>"SW-COMAS-PACKL"</f>
        <v>SW-COMAS-PACKL</v>
      </c>
      <c r="M2419" s="14"/>
      <c r="N2419" s="15"/>
      <c r="O2419" s="12"/>
      <c r="P2419" s="34"/>
      <c r="Q2419" s="37"/>
      <c r="R2419" s="47"/>
      <c r="S2419" s="46"/>
    </row>
    <row r="2420" spans="1:19" ht="15.6" hidden="1" customHeight="1" thickBot="1" x14ac:dyDescent="0.3">
      <c r="A2420" t="s">
        <v>23</v>
      </c>
      <c r="B2420" s="60" t="str">
        <f t="shared" si="1729"/>
        <v>hide</v>
      </c>
      <c r="D2420" s="48" t="str">
        <f>D2419</f>
        <v>30869</v>
      </c>
      <c r="E2420" s="7"/>
      <c r="F2420" s="27">
        <v>0</v>
      </c>
      <c r="G2420" s="27">
        <v>0</v>
      </c>
      <c r="H2420" s="27">
        <v>0</v>
      </c>
      <c r="I2420" s="27">
        <v>0</v>
      </c>
      <c r="J2420" s="27">
        <v>0</v>
      </c>
      <c r="K2420" s="63">
        <f>AVERAGE(I2420:J2420)</f>
        <v>0</v>
      </c>
      <c r="L2420" s="56" t="str">
        <f>"SW-RISER-PACK"</f>
        <v>SW-RISER-PACK</v>
      </c>
      <c r="M2420" s="14"/>
      <c r="N2420" s="15"/>
      <c r="O2420" s="12"/>
      <c r="P2420" s="34"/>
      <c r="Q2420" s="37"/>
      <c r="R2420" s="47"/>
      <c r="S2420" s="46"/>
    </row>
    <row r="2421" spans="1:19" ht="12" hidden="1" customHeight="1" x14ac:dyDescent="0.3">
      <c r="A2421" s="35" t="s">
        <v>908</v>
      </c>
      <c r="B2421" s="49" t="str">
        <f>B2417</f>
        <v>hide</v>
      </c>
      <c r="N2421"/>
      <c r="Q2421" s="33"/>
    </row>
    <row r="2422" spans="1:19" ht="13.8" hidden="1" thickBot="1" x14ac:dyDescent="0.3">
      <c r="A2422" t="s">
        <v>23</v>
      </c>
      <c r="B2422" s="49" t="str">
        <f t="shared" ref="B2422" si="1730">B2421</f>
        <v>hide</v>
      </c>
      <c r="D2422" s="58"/>
      <c r="E2422" s="58"/>
      <c r="F2422" s="52">
        <f>SUM(F2417:F2421)</f>
        <v>0</v>
      </c>
      <c r="G2422" s="52">
        <f>SUM(G2417:G2421)</f>
        <v>0</v>
      </c>
      <c r="H2422" s="52">
        <f>SUM(H2417:H2421)</f>
        <v>0</v>
      </c>
      <c r="I2422" s="52">
        <f>SUM(I2417:I2421)</f>
        <v>0</v>
      </c>
      <c r="J2422" s="52">
        <f>SUM(J2417:J2421)</f>
        <v>0</v>
      </c>
      <c r="K2422" s="52"/>
      <c r="L2422" s="51" t="s">
        <v>4</v>
      </c>
      <c r="M2422" s="58"/>
      <c r="N2422" s="58"/>
      <c r="O2422" s="58"/>
      <c r="P2422" s="58"/>
      <c r="Q2422" s="58"/>
      <c r="R2422" s="58"/>
      <c r="S2422" s="58"/>
    </row>
    <row r="2423" spans="1:19" s="59" customFormat="1" ht="18.75" hidden="1" customHeight="1" thickBot="1" x14ac:dyDescent="0.3">
      <c r="A2423" s="59" t="s">
        <v>23</v>
      </c>
      <c r="B2423" s="60" t="str">
        <f t="shared" ref="B2423:B2424" si="1731">IF(K2423=0,"hide","")</f>
        <v>hide</v>
      </c>
      <c r="D2423" s="61" t="str">
        <f>"30870"</f>
        <v>30870</v>
      </c>
      <c r="E2423" s="62" t="str">
        <f>"2"</f>
        <v>2</v>
      </c>
      <c r="F2423" s="63">
        <v>0</v>
      </c>
      <c r="G2423" s="63">
        <v>0</v>
      </c>
      <c r="H2423" s="63">
        <v>0</v>
      </c>
      <c r="I2423" s="63">
        <v>0</v>
      </c>
      <c r="J2423" s="63">
        <v>0</v>
      </c>
      <c r="K2423" s="63">
        <f>AVERAGE(I2423:J2423)</f>
        <v>0</v>
      </c>
      <c r="L2423" s="64" t="str">
        <f>"WG Chocolate Chip MUFFIN"</f>
        <v>WG Chocolate Chip MUFFIN</v>
      </c>
      <c r="M2423" s="65" t="str">
        <f>"105-2oz. 3-35 pk."</f>
        <v>105-2oz. 3-35 pk.</v>
      </c>
      <c r="N2423" s="66">
        <v>104.99999999999999</v>
      </c>
      <c r="O2423" s="67" t="str">
        <f>""</f>
        <v/>
      </c>
      <c r="P2423" s="68" t="e">
        <f>1/O2423</f>
        <v>#VALUE!</v>
      </c>
      <c r="Q2423" s="53">
        <v>1</v>
      </c>
      <c r="R2423" s="69">
        <f t="shared" ref="R2423" si="1732">1/Q2423</f>
        <v>1</v>
      </c>
      <c r="S2423" s="70">
        <f t="shared" ref="S2423" si="1733">R2423*N2423</f>
        <v>104.99999999999999</v>
      </c>
    </row>
    <row r="2424" spans="1:19" ht="15.6" hidden="1" customHeight="1" thickBot="1" x14ac:dyDescent="0.3">
      <c r="A2424" t="s">
        <v>23</v>
      </c>
      <c r="B2424" s="60" t="str">
        <f t="shared" si="1731"/>
        <v>hide</v>
      </c>
      <c r="D2424" s="48" t="str">
        <f>D2423</f>
        <v>30870</v>
      </c>
      <c r="E2424" s="7"/>
      <c r="F2424" s="27">
        <v>0</v>
      </c>
      <c r="G2424" s="27">
        <v>0</v>
      </c>
      <c r="H2424" s="27">
        <v>0</v>
      </c>
      <c r="I2424" s="27">
        <v>0</v>
      </c>
      <c r="J2424" s="27">
        <v>0</v>
      </c>
      <c r="K2424" s="63">
        <f>AVERAGE(I2424:J2424)</f>
        <v>0</v>
      </c>
      <c r="L2424" s="56" t="str">
        <f>"EQP-LAWPACK1"</f>
        <v>EQP-LAWPACK1</v>
      </c>
      <c r="M2424" s="14"/>
      <c r="N2424" s="15"/>
      <c r="O2424" s="12"/>
      <c r="P2424" s="34"/>
      <c r="Q2424" s="37"/>
      <c r="R2424" s="47"/>
      <c r="S2424" s="46"/>
    </row>
    <row r="2425" spans="1:19" ht="15.6" hidden="1" customHeight="1" thickBot="1" x14ac:dyDescent="0.3">
      <c r="A2425" t="s">
        <v>23</v>
      </c>
      <c r="B2425" s="60" t="str">
        <f t="shared" ref="B2425:B2427" si="1734">IF(K2425=0,"hide","")</f>
        <v>hide</v>
      </c>
      <c r="D2425" s="48" t="str">
        <f>D2424</f>
        <v>30870</v>
      </c>
      <c r="E2425" s="7"/>
      <c r="F2425" s="27">
        <v>0</v>
      </c>
      <c r="G2425" s="27">
        <v>0</v>
      </c>
      <c r="H2425" s="27">
        <v>0</v>
      </c>
      <c r="I2425" s="27">
        <v>0</v>
      </c>
      <c r="J2425" s="27">
        <v>0</v>
      </c>
      <c r="K2425" s="63">
        <f>AVERAGE(I2425:J2425)</f>
        <v>0</v>
      </c>
      <c r="L2425" s="56" t="str">
        <f>"EQP-LAWPACK2"</f>
        <v>EQP-LAWPACK2</v>
      </c>
      <c r="M2425" s="14"/>
      <c r="N2425" s="15"/>
      <c r="O2425" s="12"/>
      <c r="P2425" s="34"/>
      <c r="Q2425" s="37"/>
      <c r="R2425" s="47"/>
      <c r="S2425" s="46"/>
    </row>
    <row r="2426" spans="1:19" ht="15.6" hidden="1" customHeight="1" thickBot="1" x14ac:dyDescent="0.3">
      <c r="A2426" t="s">
        <v>23</v>
      </c>
      <c r="B2426" s="60" t="str">
        <f t="shared" si="1734"/>
        <v>hide</v>
      </c>
      <c r="D2426" s="48" t="str">
        <f>D2425</f>
        <v>30870</v>
      </c>
      <c r="E2426" s="7"/>
      <c r="F2426" s="27">
        <v>0</v>
      </c>
      <c r="G2426" s="27">
        <v>0</v>
      </c>
      <c r="H2426" s="27">
        <v>0</v>
      </c>
      <c r="I2426" s="27">
        <v>0</v>
      </c>
      <c r="J2426" s="27">
        <v>0</v>
      </c>
      <c r="K2426" s="63">
        <f>AVERAGE(I2426:J2426)</f>
        <v>0</v>
      </c>
      <c r="L2426" s="56" t="str">
        <f>"SW-COMAS-PACKL"</f>
        <v>SW-COMAS-PACKL</v>
      </c>
      <c r="M2426" s="14"/>
      <c r="N2426" s="15"/>
      <c r="O2426" s="12"/>
      <c r="P2426" s="34"/>
      <c r="Q2426" s="37"/>
      <c r="R2426" s="47"/>
      <c r="S2426" s="46"/>
    </row>
    <row r="2427" spans="1:19" ht="15.6" hidden="1" customHeight="1" thickBot="1" x14ac:dyDescent="0.3">
      <c r="A2427" t="s">
        <v>23</v>
      </c>
      <c r="B2427" s="60" t="str">
        <f t="shared" si="1734"/>
        <v>hide</v>
      </c>
      <c r="D2427" s="48" t="str">
        <f>D2426</f>
        <v>30870</v>
      </c>
      <c r="E2427" s="7"/>
      <c r="F2427" s="27">
        <v>0</v>
      </c>
      <c r="G2427" s="27">
        <v>0</v>
      </c>
      <c r="H2427" s="27">
        <v>0</v>
      </c>
      <c r="I2427" s="27">
        <v>0</v>
      </c>
      <c r="J2427" s="27">
        <v>0</v>
      </c>
      <c r="K2427" s="63">
        <f>AVERAGE(I2427:J2427)</f>
        <v>0</v>
      </c>
      <c r="L2427" s="56" t="str">
        <f>"SW-RISER-PACK"</f>
        <v>SW-RISER-PACK</v>
      </c>
      <c r="M2427" s="14"/>
      <c r="N2427" s="15"/>
      <c r="O2427" s="12"/>
      <c r="P2427" s="34"/>
      <c r="Q2427" s="37"/>
      <c r="R2427" s="47"/>
      <c r="S2427" s="46"/>
    </row>
    <row r="2428" spans="1:19" ht="12" hidden="1" customHeight="1" x14ac:dyDescent="0.3">
      <c r="A2428" s="35" t="s">
        <v>908</v>
      </c>
      <c r="B2428" s="49" t="str">
        <f>B2424</f>
        <v>hide</v>
      </c>
      <c r="N2428"/>
      <c r="Q2428" s="33"/>
    </row>
    <row r="2429" spans="1:19" ht="13.8" hidden="1" thickBot="1" x14ac:dyDescent="0.3">
      <c r="A2429" t="s">
        <v>23</v>
      </c>
      <c r="B2429" s="49" t="str">
        <f t="shared" ref="B2429" si="1735">B2428</f>
        <v>hide</v>
      </c>
      <c r="D2429" s="58"/>
      <c r="E2429" s="58"/>
      <c r="F2429" s="52">
        <f>SUM(F2424:F2428)</f>
        <v>0</v>
      </c>
      <c r="G2429" s="52">
        <f>SUM(G2424:G2428)</f>
        <v>0</v>
      </c>
      <c r="H2429" s="52">
        <f>SUM(H2424:H2428)</f>
        <v>0</v>
      </c>
      <c r="I2429" s="52">
        <f>SUM(I2424:I2428)</f>
        <v>0</v>
      </c>
      <c r="J2429" s="52">
        <f>SUM(J2424:J2428)</f>
        <v>0</v>
      </c>
      <c r="K2429" s="52"/>
      <c r="L2429" s="51" t="s">
        <v>4</v>
      </c>
      <c r="M2429" s="58"/>
      <c r="N2429" s="58"/>
      <c r="O2429" s="58"/>
      <c r="P2429" s="58"/>
      <c r="Q2429" s="58"/>
      <c r="R2429" s="58"/>
      <c r="S2429" s="58"/>
    </row>
    <row r="2430" spans="1:19" s="59" customFormat="1" ht="18.75" hidden="1" customHeight="1" thickBot="1" x14ac:dyDescent="0.3">
      <c r="A2430" s="59" t="s">
        <v>23</v>
      </c>
      <c r="B2430" s="60" t="str">
        <f t="shared" ref="B2430:B2431" si="1736">IF(K2430=0,"hide","")</f>
        <v>hide</v>
      </c>
      <c r="D2430" s="61" t="str">
        <f>"30875"</f>
        <v>30875</v>
      </c>
      <c r="E2430" s="62" t="str">
        <f>"2"</f>
        <v>2</v>
      </c>
      <c r="F2430" s="63">
        <v>0</v>
      </c>
      <c r="G2430" s="63">
        <v>0</v>
      </c>
      <c r="H2430" s="63">
        <v>0</v>
      </c>
      <c r="I2430" s="63">
        <v>0</v>
      </c>
      <c r="J2430" s="63">
        <v>0</v>
      </c>
      <c r="K2430" s="63">
        <f>AVERAGE(I2430:J2430)</f>
        <v>0</v>
      </c>
      <c r="L2430" s="64" t="str">
        <f>"WG BANANA MUFFIN"</f>
        <v>WG BANANA MUFFIN</v>
      </c>
      <c r="M2430" s="65" t="str">
        <f>"105-2oz. 3-35 pk."</f>
        <v>105-2oz. 3-35 pk.</v>
      </c>
      <c r="N2430" s="66">
        <v>104.99999999999999</v>
      </c>
      <c r="O2430" s="67" t="str">
        <f>""</f>
        <v/>
      </c>
      <c r="P2430" s="68" t="e">
        <f>1/O2430</f>
        <v>#VALUE!</v>
      </c>
      <c r="Q2430" s="53">
        <v>1</v>
      </c>
      <c r="R2430" s="69">
        <f t="shared" ref="R2430" si="1737">1/Q2430</f>
        <v>1</v>
      </c>
      <c r="S2430" s="70">
        <f t="shared" ref="S2430" si="1738">R2430*N2430</f>
        <v>104.99999999999999</v>
      </c>
    </row>
    <row r="2431" spans="1:19" ht="15.6" hidden="1" customHeight="1" thickBot="1" x14ac:dyDescent="0.3">
      <c r="A2431" t="s">
        <v>23</v>
      </c>
      <c r="B2431" s="60" t="str">
        <f t="shared" si="1736"/>
        <v>hide</v>
      </c>
      <c r="D2431" s="48" t="str">
        <f>D2430</f>
        <v>30875</v>
      </c>
      <c r="E2431" s="7"/>
      <c r="F2431" s="27">
        <v>0</v>
      </c>
      <c r="G2431" s="27">
        <v>0</v>
      </c>
      <c r="H2431" s="27">
        <v>0</v>
      </c>
      <c r="I2431" s="27">
        <v>0</v>
      </c>
      <c r="J2431" s="27">
        <v>0</v>
      </c>
      <c r="K2431" s="63">
        <f>AVERAGE(I2431:J2431)</f>
        <v>0</v>
      </c>
      <c r="L2431" s="56" t="str">
        <f>"EQP-LAWPACK1"</f>
        <v>EQP-LAWPACK1</v>
      </c>
      <c r="M2431" s="14"/>
      <c r="N2431" s="15"/>
      <c r="O2431" s="12"/>
      <c r="P2431" s="34"/>
      <c r="Q2431" s="37"/>
      <c r="R2431" s="47"/>
      <c r="S2431" s="46"/>
    </row>
    <row r="2432" spans="1:19" ht="15.6" hidden="1" customHeight="1" thickBot="1" x14ac:dyDescent="0.3">
      <c r="A2432" t="s">
        <v>23</v>
      </c>
      <c r="B2432" s="60" t="str">
        <f t="shared" ref="B2432:B2434" si="1739">IF(K2432=0,"hide","")</f>
        <v>hide</v>
      </c>
      <c r="D2432" s="48" t="str">
        <f>D2431</f>
        <v>30875</v>
      </c>
      <c r="E2432" s="7"/>
      <c r="F2432" s="27">
        <v>0</v>
      </c>
      <c r="G2432" s="27">
        <v>0</v>
      </c>
      <c r="H2432" s="27">
        <v>0</v>
      </c>
      <c r="I2432" s="27">
        <v>0</v>
      </c>
      <c r="J2432" s="27">
        <v>0</v>
      </c>
      <c r="K2432" s="63">
        <f>AVERAGE(I2432:J2432)</f>
        <v>0</v>
      </c>
      <c r="L2432" s="56" t="str">
        <f>"EQP-LAWPACK2"</f>
        <v>EQP-LAWPACK2</v>
      </c>
      <c r="M2432" s="14"/>
      <c r="N2432" s="15"/>
      <c r="O2432" s="12"/>
      <c r="P2432" s="34"/>
      <c r="Q2432" s="37"/>
      <c r="R2432" s="47"/>
      <c r="S2432" s="46"/>
    </row>
    <row r="2433" spans="1:19" ht="15.6" hidden="1" customHeight="1" thickBot="1" x14ac:dyDescent="0.3">
      <c r="A2433" t="s">
        <v>23</v>
      </c>
      <c r="B2433" s="60" t="str">
        <f t="shared" si="1739"/>
        <v>hide</v>
      </c>
      <c r="D2433" s="48" t="str">
        <f>D2432</f>
        <v>30875</v>
      </c>
      <c r="E2433" s="7"/>
      <c r="F2433" s="27">
        <v>0</v>
      </c>
      <c r="G2433" s="27">
        <v>0</v>
      </c>
      <c r="H2433" s="27">
        <v>0</v>
      </c>
      <c r="I2433" s="27">
        <v>0</v>
      </c>
      <c r="J2433" s="27">
        <v>0</v>
      </c>
      <c r="K2433" s="63">
        <f>AVERAGE(I2433:J2433)</f>
        <v>0</v>
      </c>
      <c r="L2433" s="56" t="str">
        <f>"SW-COMAS-PACKL"</f>
        <v>SW-COMAS-PACKL</v>
      </c>
      <c r="M2433" s="14"/>
      <c r="N2433" s="15"/>
      <c r="O2433" s="12"/>
      <c r="P2433" s="34"/>
      <c r="Q2433" s="37"/>
      <c r="R2433" s="47"/>
      <c r="S2433" s="46"/>
    </row>
    <row r="2434" spans="1:19" ht="15.6" hidden="1" customHeight="1" thickBot="1" x14ac:dyDescent="0.3">
      <c r="A2434" t="s">
        <v>23</v>
      </c>
      <c r="B2434" s="60" t="str">
        <f t="shared" si="1739"/>
        <v>hide</v>
      </c>
      <c r="D2434" s="48" t="str">
        <f>D2433</f>
        <v>30875</v>
      </c>
      <c r="E2434" s="7"/>
      <c r="F2434" s="27">
        <v>0</v>
      </c>
      <c r="G2434" s="27">
        <v>0</v>
      </c>
      <c r="H2434" s="27">
        <v>0</v>
      </c>
      <c r="I2434" s="27">
        <v>0</v>
      </c>
      <c r="J2434" s="27">
        <v>0</v>
      </c>
      <c r="K2434" s="63">
        <f>AVERAGE(I2434:J2434)</f>
        <v>0</v>
      </c>
      <c r="L2434" s="56" t="str">
        <f>"SW-RISER-PACK"</f>
        <v>SW-RISER-PACK</v>
      </c>
      <c r="M2434" s="14"/>
      <c r="N2434" s="15"/>
      <c r="O2434" s="12"/>
      <c r="P2434" s="34"/>
      <c r="Q2434" s="37"/>
      <c r="R2434" s="47"/>
      <c r="S2434" s="46"/>
    </row>
    <row r="2435" spans="1:19" ht="12" hidden="1" customHeight="1" x14ac:dyDescent="0.3">
      <c r="A2435" s="35" t="s">
        <v>908</v>
      </c>
      <c r="B2435" s="49" t="str">
        <f>B2431</f>
        <v>hide</v>
      </c>
      <c r="N2435"/>
      <c r="Q2435" s="33"/>
    </row>
    <row r="2436" spans="1:19" ht="13.8" hidden="1" thickBot="1" x14ac:dyDescent="0.3">
      <c r="A2436" t="s">
        <v>23</v>
      </c>
      <c r="B2436" s="49" t="str">
        <f t="shared" ref="B2436" si="1740">B2435</f>
        <v>hide</v>
      </c>
      <c r="D2436" s="58"/>
      <c r="E2436" s="58"/>
      <c r="F2436" s="52">
        <f>SUM(F2431:F2435)</f>
        <v>0</v>
      </c>
      <c r="G2436" s="52">
        <f>SUM(G2431:G2435)</f>
        <v>0</v>
      </c>
      <c r="H2436" s="52">
        <f>SUM(H2431:H2435)</f>
        <v>0</v>
      </c>
      <c r="I2436" s="52">
        <f>SUM(I2431:I2435)</f>
        <v>0</v>
      </c>
      <c r="J2436" s="52">
        <f>SUM(J2431:J2435)</f>
        <v>0</v>
      </c>
      <c r="K2436" s="52"/>
      <c r="L2436" s="51" t="s">
        <v>4</v>
      </c>
      <c r="M2436" s="58"/>
      <c r="N2436" s="58"/>
      <c r="O2436" s="58"/>
      <c r="P2436" s="58"/>
      <c r="Q2436" s="58"/>
      <c r="R2436" s="58"/>
      <c r="S2436" s="58"/>
    </row>
    <row r="2437" spans="1:19" s="59" customFormat="1" ht="18.75" hidden="1" customHeight="1" thickBot="1" x14ac:dyDescent="0.3">
      <c r="A2437" s="59" t="s">
        <v>23</v>
      </c>
      <c r="B2437" s="60" t="str">
        <f t="shared" ref="B2437:B2438" si="1741">IF(K2437=0,"hide","")</f>
        <v>hide</v>
      </c>
      <c r="D2437" s="61" t="str">
        <f>"31501"</f>
        <v>31501</v>
      </c>
      <c r="E2437" s="62" t="str">
        <f>"3"</f>
        <v>3</v>
      </c>
      <c r="F2437" s="63">
        <v>1</v>
      </c>
      <c r="G2437" s="63">
        <v>0</v>
      </c>
      <c r="H2437" s="63">
        <v>0</v>
      </c>
      <c r="I2437" s="63">
        <v>0</v>
      </c>
      <c r="J2437" s="63">
        <v>0</v>
      </c>
      <c r="K2437" s="63">
        <f>AVERAGE(I2437:J2437)</f>
        <v>0</v>
      </c>
      <c r="L2437" s="64" t="str">
        <f>"BLUEBERRY MUFFINS"</f>
        <v>BLUEBERRY MUFFINS</v>
      </c>
      <c r="M2437" s="65" t="str">
        <f>"96-2.5 oz. 16-6pks"</f>
        <v>96-2.5 oz. 16-6pks</v>
      </c>
      <c r="N2437" s="66">
        <v>96</v>
      </c>
      <c r="O2437" s="67" t="str">
        <f>""</f>
        <v/>
      </c>
      <c r="P2437" s="68" t="e">
        <f>1/O2437</f>
        <v>#VALUE!</v>
      </c>
      <c r="Q2437" s="53">
        <v>1</v>
      </c>
      <c r="R2437" s="69">
        <f t="shared" ref="R2437" si="1742">1/Q2437</f>
        <v>1</v>
      </c>
      <c r="S2437" s="70">
        <f t="shared" ref="S2437" si="1743">R2437*N2437</f>
        <v>96</v>
      </c>
    </row>
    <row r="2438" spans="1:19" ht="15.6" hidden="1" customHeight="1" thickBot="1" x14ac:dyDescent="0.3">
      <c r="A2438" t="s">
        <v>23</v>
      </c>
      <c r="B2438" s="60" t="str">
        <f t="shared" si="1741"/>
        <v>hide</v>
      </c>
      <c r="D2438" s="48" t="str">
        <f>D2437</f>
        <v>31501</v>
      </c>
      <c r="E2438" s="7"/>
      <c r="F2438" s="27">
        <v>0</v>
      </c>
      <c r="G2438" s="27">
        <v>0</v>
      </c>
      <c r="H2438" s="27">
        <v>0</v>
      </c>
      <c r="I2438" s="27">
        <v>0</v>
      </c>
      <c r="J2438" s="27">
        <v>0</v>
      </c>
      <c r="K2438" s="63">
        <f>AVERAGE(I2438:J2438)</f>
        <v>0</v>
      </c>
      <c r="L2438" s="56" t="str">
        <f>"EQP-LAWPACK1"</f>
        <v>EQP-LAWPACK1</v>
      </c>
      <c r="M2438" s="14"/>
      <c r="N2438" s="15"/>
      <c r="O2438" s="12"/>
      <c r="P2438" s="34"/>
      <c r="Q2438" s="37"/>
      <c r="R2438" s="47"/>
      <c r="S2438" s="46"/>
    </row>
    <row r="2439" spans="1:19" ht="15.6" hidden="1" customHeight="1" thickBot="1" x14ac:dyDescent="0.3">
      <c r="A2439" t="s">
        <v>23</v>
      </c>
      <c r="B2439" s="60" t="str">
        <f t="shared" ref="B2439:B2441" si="1744">IF(K2439=0,"hide","")</f>
        <v>hide</v>
      </c>
      <c r="D2439" s="48" t="str">
        <f>D2438</f>
        <v>31501</v>
      </c>
      <c r="E2439" s="7"/>
      <c r="F2439" s="27">
        <v>0</v>
      </c>
      <c r="G2439" s="27">
        <v>0</v>
      </c>
      <c r="H2439" s="27">
        <v>0</v>
      </c>
      <c r="I2439" s="27">
        <v>0</v>
      </c>
      <c r="J2439" s="27">
        <v>0</v>
      </c>
      <c r="K2439" s="63">
        <f>AVERAGE(I2439:J2439)</f>
        <v>0</v>
      </c>
      <c r="L2439" s="56" t="str">
        <f>"EQP-LAWPACK2"</f>
        <v>EQP-LAWPACK2</v>
      </c>
      <c r="M2439" s="14"/>
      <c r="N2439" s="15"/>
      <c r="O2439" s="12"/>
      <c r="P2439" s="34"/>
      <c r="Q2439" s="37"/>
      <c r="R2439" s="47"/>
      <c r="S2439" s="46"/>
    </row>
    <row r="2440" spans="1:19" ht="15.6" hidden="1" customHeight="1" thickBot="1" x14ac:dyDescent="0.3">
      <c r="A2440" t="s">
        <v>23</v>
      </c>
      <c r="B2440" s="60" t="str">
        <f t="shared" si="1744"/>
        <v>hide</v>
      </c>
      <c r="D2440" s="48" t="str">
        <f>D2439</f>
        <v>31501</v>
      </c>
      <c r="E2440" s="7"/>
      <c r="F2440" s="27">
        <v>0</v>
      </c>
      <c r="G2440" s="27">
        <v>0</v>
      </c>
      <c r="H2440" s="27">
        <v>0</v>
      </c>
      <c r="I2440" s="27">
        <v>0</v>
      </c>
      <c r="J2440" s="27">
        <v>0</v>
      </c>
      <c r="K2440" s="63">
        <f>AVERAGE(I2440:J2440)</f>
        <v>0</v>
      </c>
      <c r="L2440" s="56" t="str">
        <f>"SW-COMAS-PACKL"</f>
        <v>SW-COMAS-PACKL</v>
      </c>
      <c r="M2440" s="14"/>
      <c r="N2440" s="15"/>
      <c r="O2440" s="12"/>
      <c r="P2440" s="34"/>
      <c r="Q2440" s="37"/>
      <c r="R2440" s="47"/>
      <c r="S2440" s="46"/>
    </row>
    <row r="2441" spans="1:19" ht="15.6" hidden="1" customHeight="1" thickBot="1" x14ac:dyDescent="0.3">
      <c r="A2441" t="s">
        <v>23</v>
      </c>
      <c r="B2441" s="60" t="str">
        <f t="shared" si="1744"/>
        <v>hide</v>
      </c>
      <c r="D2441" s="48" t="str">
        <f>D2440</f>
        <v>31501</v>
      </c>
      <c r="E2441" s="7"/>
      <c r="F2441" s="27">
        <v>0</v>
      </c>
      <c r="G2441" s="27">
        <v>0</v>
      </c>
      <c r="H2441" s="27">
        <v>0</v>
      </c>
      <c r="I2441" s="27">
        <v>0</v>
      </c>
      <c r="J2441" s="27">
        <v>0</v>
      </c>
      <c r="K2441" s="63">
        <f>AVERAGE(I2441:J2441)</f>
        <v>0</v>
      </c>
      <c r="L2441" s="56" t="str">
        <f>"SW-RISER-PACK"</f>
        <v>SW-RISER-PACK</v>
      </c>
      <c r="M2441" s="14"/>
      <c r="N2441" s="15"/>
      <c r="O2441" s="12"/>
      <c r="P2441" s="34"/>
      <c r="Q2441" s="37"/>
      <c r="R2441" s="47"/>
      <c r="S2441" s="46"/>
    </row>
    <row r="2442" spans="1:19" ht="12" hidden="1" customHeight="1" x14ac:dyDescent="0.3">
      <c r="A2442" s="35" t="s">
        <v>908</v>
      </c>
      <c r="B2442" s="49" t="str">
        <f>B2438</f>
        <v>hide</v>
      </c>
      <c r="N2442"/>
      <c r="Q2442" s="33"/>
    </row>
    <row r="2443" spans="1:19" ht="13.8" hidden="1" thickBot="1" x14ac:dyDescent="0.3">
      <c r="A2443" t="s">
        <v>23</v>
      </c>
      <c r="B2443" s="49" t="str">
        <f t="shared" ref="B2443" si="1745">B2442</f>
        <v>hide</v>
      </c>
      <c r="D2443" s="58"/>
      <c r="E2443" s="58"/>
      <c r="F2443" s="52">
        <f>SUM(F2438:F2442)</f>
        <v>0</v>
      </c>
      <c r="G2443" s="52">
        <f>SUM(G2438:G2442)</f>
        <v>0</v>
      </c>
      <c r="H2443" s="52">
        <f>SUM(H2438:H2442)</f>
        <v>0</v>
      </c>
      <c r="I2443" s="52">
        <f>SUM(I2438:I2442)</f>
        <v>0</v>
      </c>
      <c r="J2443" s="52">
        <f>SUM(J2438:J2442)</f>
        <v>0</v>
      </c>
      <c r="K2443" s="52"/>
      <c r="L2443" s="51" t="s">
        <v>4</v>
      </c>
      <c r="M2443" s="58"/>
      <c r="N2443" s="58"/>
      <c r="O2443" s="58"/>
      <c r="P2443" s="58"/>
      <c r="Q2443" s="58"/>
      <c r="R2443" s="58"/>
      <c r="S2443" s="58"/>
    </row>
    <row r="2444" spans="1:19" s="59" customFormat="1" ht="18.75" hidden="1" customHeight="1" thickBot="1" x14ac:dyDescent="0.3">
      <c r="A2444" s="59" t="s">
        <v>23</v>
      </c>
      <c r="B2444" s="60" t="str">
        <f t="shared" ref="B2444:B2445" si="1746">IF(K2444=0,"hide","")</f>
        <v>hide</v>
      </c>
      <c r="D2444" s="61" t="str">
        <f>"31505"</f>
        <v>31505</v>
      </c>
      <c r="E2444" s="62" t="str">
        <f>"4"</f>
        <v>4</v>
      </c>
      <c r="F2444" s="63">
        <v>6.75</v>
      </c>
      <c r="G2444" s="63">
        <v>2.25</v>
      </c>
      <c r="H2444" s="63">
        <v>0</v>
      </c>
      <c r="I2444" s="63">
        <v>0</v>
      </c>
      <c r="J2444" s="63">
        <v>0</v>
      </c>
      <c r="K2444" s="63">
        <f>AVERAGE(I2444:J2444)</f>
        <v>0</v>
      </c>
      <c r="L2444" s="64" t="str">
        <f>"CORN MUFFINS"</f>
        <v>CORN MUFFINS</v>
      </c>
      <c r="M2444" s="65" t="str">
        <f>"96-2.5 oz. 16-6pks"</f>
        <v>96-2.5 oz. 16-6pks</v>
      </c>
      <c r="N2444" s="66">
        <v>96</v>
      </c>
      <c r="O2444" s="67" t="str">
        <f>""</f>
        <v/>
      </c>
      <c r="P2444" s="68" t="e">
        <f>1/O2444</f>
        <v>#VALUE!</v>
      </c>
      <c r="Q2444" s="53">
        <v>1</v>
      </c>
      <c r="R2444" s="69">
        <f t="shared" ref="R2444" si="1747">1/Q2444</f>
        <v>1</v>
      </c>
      <c r="S2444" s="70">
        <f t="shared" ref="S2444" si="1748">R2444*N2444</f>
        <v>96</v>
      </c>
    </row>
    <row r="2445" spans="1:19" ht="15.6" hidden="1" customHeight="1" thickBot="1" x14ac:dyDescent="0.3">
      <c r="A2445" t="s">
        <v>23</v>
      </c>
      <c r="B2445" s="60" t="str">
        <f t="shared" si="1746"/>
        <v>hide</v>
      </c>
      <c r="D2445" s="48" t="str">
        <f>D2444</f>
        <v>31505</v>
      </c>
      <c r="E2445" s="7"/>
      <c r="F2445" s="27">
        <v>0</v>
      </c>
      <c r="G2445" s="27">
        <v>0</v>
      </c>
      <c r="H2445" s="27">
        <v>0</v>
      </c>
      <c r="I2445" s="27">
        <v>0</v>
      </c>
      <c r="J2445" s="27">
        <v>0</v>
      </c>
      <c r="K2445" s="63">
        <f>AVERAGE(I2445:J2445)</f>
        <v>0</v>
      </c>
      <c r="L2445" s="56" t="str">
        <f>"EQP-LAWPACK1"</f>
        <v>EQP-LAWPACK1</v>
      </c>
      <c r="M2445" s="14"/>
      <c r="N2445" s="15"/>
      <c r="O2445" s="12"/>
      <c r="P2445" s="34"/>
      <c r="Q2445" s="37"/>
      <c r="R2445" s="47"/>
      <c r="S2445" s="46"/>
    </row>
    <row r="2446" spans="1:19" ht="15.6" hidden="1" customHeight="1" thickBot="1" x14ac:dyDescent="0.3">
      <c r="A2446" t="s">
        <v>23</v>
      </c>
      <c r="B2446" s="60" t="str">
        <f t="shared" ref="B2446:B2448" si="1749">IF(K2446=0,"hide","")</f>
        <v>hide</v>
      </c>
      <c r="D2446" s="48" t="str">
        <f>D2445</f>
        <v>31505</v>
      </c>
      <c r="E2446" s="7"/>
      <c r="F2446" s="27">
        <v>0</v>
      </c>
      <c r="G2446" s="27">
        <v>0</v>
      </c>
      <c r="H2446" s="27">
        <v>0</v>
      </c>
      <c r="I2446" s="27">
        <v>0</v>
      </c>
      <c r="J2446" s="27">
        <v>0</v>
      </c>
      <c r="K2446" s="63">
        <f>AVERAGE(I2446:J2446)</f>
        <v>0</v>
      </c>
      <c r="L2446" s="56" t="str">
        <f>"EQP-LAWPACK2"</f>
        <v>EQP-LAWPACK2</v>
      </c>
      <c r="M2446" s="14"/>
      <c r="N2446" s="15"/>
      <c r="O2446" s="12"/>
      <c r="P2446" s="34"/>
      <c r="Q2446" s="37"/>
      <c r="R2446" s="47"/>
      <c r="S2446" s="46"/>
    </row>
    <row r="2447" spans="1:19" ht="15.6" hidden="1" customHeight="1" thickBot="1" x14ac:dyDescent="0.3">
      <c r="A2447" t="s">
        <v>23</v>
      </c>
      <c r="B2447" s="60" t="str">
        <f t="shared" si="1749"/>
        <v>hide</v>
      </c>
      <c r="D2447" s="48" t="str">
        <f>D2446</f>
        <v>31505</v>
      </c>
      <c r="E2447" s="7"/>
      <c r="F2447" s="27">
        <v>0</v>
      </c>
      <c r="G2447" s="27">
        <v>0</v>
      </c>
      <c r="H2447" s="27">
        <v>0</v>
      </c>
      <c r="I2447" s="27">
        <v>0</v>
      </c>
      <c r="J2447" s="27">
        <v>0</v>
      </c>
      <c r="K2447" s="63">
        <f>AVERAGE(I2447:J2447)</f>
        <v>0</v>
      </c>
      <c r="L2447" s="56" t="str">
        <f>"SW-COMAS-PACKL"</f>
        <v>SW-COMAS-PACKL</v>
      </c>
      <c r="M2447" s="14"/>
      <c r="N2447" s="15"/>
      <c r="O2447" s="12"/>
      <c r="P2447" s="34"/>
      <c r="Q2447" s="37"/>
      <c r="R2447" s="47"/>
      <c r="S2447" s="46"/>
    </row>
    <row r="2448" spans="1:19" ht="15.6" hidden="1" customHeight="1" thickBot="1" x14ac:dyDescent="0.3">
      <c r="A2448" t="s">
        <v>23</v>
      </c>
      <c r="B2448" s="60" t="str">
        <f t="shared" si="1749"/>
        <v>hide</v>
      </c>
      <c r="D2448" s="48" t="str">
        <f>D2447</f>
        <v>31505</v>
      </c>
      <c r="E2448" s="7"/>
      <c r="F2448" s="27">
        <v>0</v>
      </c>
      <c r="G2448" s="27">
        <v>0</v>
      </c>
      <c r="H2448" s="27">
        <v>0</v>
      </c>
      <c r="I2448" s="27">
        <v>0</v>
      </c>
      <c r="J2448" s="27">
        <v>0</v>
      </c>
      <c r="K2448" s="63">
        <f>AVERAGE(I2448:J2448)</f>
        <v>0</v>
      </c>
      <c r="L2448" s="56" t="str">
        <f>"SW-RISER-PACK"</f>
        <v>SW-RISER-PACK</v>
      </c>
      <c r="M2448" s="14"/>
      <c r="N2448" s="15"/>
      <c r="O2448" s="12"/>
      <c r="P2448" s="34"/>
      <c r="Q2448" s="37"/>
      <c r="R2448" s="47"/>
      <c r="S2448" s="46"/>
    </row>
    <row r="2449" spans="1:19" ht="12" hidden="1" customHeight="1" x14ac:dyDescent="0.3">
      <c r="A2449" s="35" t="s">
        <v>908</v>
      </c>
      <c r="B2449" s="49" t="str">
        <f>B2445</f>
        <v>hide</v>
      </c>
      <c r="N2449"/>
      <c r="Q2449" s="33"/>
    </row>
    <row r="2450" spans="1:19" ht="13.8" hidden="1" thickBot="1" x14ac:dyDescent="0.3">
      <c r="A2450" t="s">
        <v>23</v>
      </c>
      <c r="B2450" s="49" t="str">
        <f t="shared" ref="B2450" si="1750">B2449</f>
        <v>hide</v>
      </c>
      <c r="D2450" s="58"/>
      <c r="E2450" s="58"/>
      <c r="F2450" s="52">
        <f>SUM(F2445:F2449)</f>
        <v>0</v>
      </c>
      <c r="G2450" s="52">
        <f>SUM(G2445:G2449)</f>
        <v>0</v>
      </c>
      <c r="H2450" s="52">
        <f>SUM(H2445:H2449)</f>
        <v>0</v>
      </c>
      <c r="I2450" s="52">
        <f>SUM(I2445:I2449)</f>
        <v>0</v>
      </c>
      <c r="J2450" s="52">
        <f>SUM(J2445:J2449)</f>
        <v>0</v>
      </c>
      <c r="K2450" s="52"/>
      <c r="L2450" s="51" t="s">
        <v>4</v>
      </c>
      <c r="M2450" s="58"/>
      <c r="N2450" s="58"/>
      <c r="O2450" s="58"/>
      <c r="P2450" s="58"/>
      <c r="Q2450" s="58"/>
      <c r="R2450" s="58"/>
      <c r="S2450" s="58"/>
    </row>
    <row r="2451" spans="1:19" s="59" customFormat="1" ht="18.75" hidden="1" customHeight="1" thickBot="1" x14ac:dyDescent="0.3">
      <c r="A2451" s="59" t="s">
        <v>23</v>
      </c>
      <c r="B2451" s="60" t="str">
        <f t="shared" ref="B2451:B2452" si="1751">IF(K2451=0,"hide","")</f>
        <v>hide</v>
      </c>
      <c r="D2451" s="61" t="str">
        <f>"31536"</f>
        <v>31536</v>
      </c>
      <c r="E2451" s="62" t="str">
        <f>"3"</f>
        <v>3</v>
      </c>
      <c r="F2451" s="63">
        <v>0</v>
      </c>
      <c r="G2451" s="63">
        <v>0</v>
      </c>
      <c r="H2451" s="63">
        <v>0</v>
      </c>
      <c r="I2451" s="63">
        <v>0</v>
      </c>
      <c r="J2451" s="63">
        <v>0</v>
      </c>
      <c r="K2451" s="63">
        <f>AVERAGE(I2451:J2451)</f>
        <v>0</v>
      </c>
      <c r="L2451" s="64" t="str">
        <f>"COFFEE CAKE MUFFINS"</f>
        <v>COFFEE CAKE MUFFINS</v>
      </c>
      <c r="M2451" s="65" t="str">
        <f>"96-2.5 oz. 16-6pks"</f>
        <v>96-2.5 oz. 16-6pks</v>
      </c>
      <c r="N2451" s="66">
        <v>96</v>
      </c>
      <c r="O2451" s="67" t="str">
        <f>""</f>
        <v/>
      </c>
      <c r="P2451" s="68" t="e">
        <f>1/O2451</f>
        <v>#VALUE!</v>
      </c>
      <c r="Q2451" s="53">
        <v>1</v>
      </c>
      <c r="R2451" s="69">
        <f t="shared" ref="R2451" si="1752">1/Q2451</f>
        <v>1</v>
      </c>
      <c r="S2451" s="70">
        <f t="shared" ref="S2451" si="1753">R2451*N2451</f>
        <v>96</v>
      </c>
    </row>
    <row r="2452" spans="1:19" ht="15.6" hidden="1" customHeight="1" thickBot="1" x14ac:dyDescent="0.3">
      <c r="A2452" t="s">
        <v>23</v>
      </c>
      <c r="B2452" s="60" t="str">
        <f t="shared" si="1751"/>
        <v>hide</v>
      </c>
      <c r="D2452" s="48" t="str">
        <f>D2451</f>
        <v>31536</v>
      </c>
      <c r="E2452" s="7"/>
      <c r="F2452" s="27">
        <v>0</v>
      </c>
      <c r="G2452" s="27">
        <v>0</v>
      </c>
      <c r="H2452" s="27">
        <v>0</v>
      </c>
      <c r="I2452" s="27">
        <v>0</v>
      </c>
      <c r="J2452" s="27">
        <v>0</v>
      </c>
      <c r="K2452" s="63">
        <f>AVERAGE(I2452:J2452)</f>
        <v>0</v>
      </c>
      <c r="L2452" s="56" t="str">
        <f>"EQP-LAWPACK1"</f>
        <v>EQP-LAWPACK1</v>
      </c>
      <c r="M2452" s="14"/>
      <c r="N2452" s="15"/>
      <c r="O2452" s="12"/>
      <c r="P2452" s="34"/>
      <c r="Q2452" s="37"/>
      <c r="R2452" s="47"/>
      <c r="S2452" s="46"/>
    </row>
    <row r="2453" spans="1:19" ht="15.6" hidden="1" customHeight="1" thickBot="1" x14ac:dyDescent="0.3">
      <c r="A2453" t="s">
        <v>23</v>
      </c>
      <c r="B2453" s="60" t="str">
        <f t="shared" ref="B2453:B2455" si="1754">IF(K2453=0,"hide","")</f>
        <v>hide</v>
      </c>
      <c r="D2453" s="48" t="str">
        <f>D2452</f>
        <v>31536</v>
      </c>
      <c r="E2453" s="7"/>
      <c r="F2453" s="27">
        <v>0</v>
      </c>
      <c r="G2453" s="27">
        <v>0</v>
      </c>
      <c r="H2453" s="27">
        <v>0</v>
      </c>
      <c r="I2453" s="27">
        <v>0</v>
      </c>
      <c r="J2453" s="27">
        <v>0</v>
      </c>
      <c r="K2453" s="63">
        <f>AVERAGE(I2453:J2453)</f>
        <v>0</v>
      </c>
      <c r="L2453" s="56" t="str">
        <f>"EQP-LAWPACK2"</f>
        <v>EQP-LAWPACK2</v>
      </c>
      <c r="M2453" s="14"/>
      <c r="N2453" s="15"/>
      <c r="O2453" s="12"/>
      <c r="P2453" s="34"/>
      <c r="Q2453" s="37"/>
      <c r="R2453" s="47"/>
      <c r="S2453" s="46"/>
    </row>
    <row r="2454" spans="1:19" ht="15.6" hidden="1" customHeight="1" thickBot="1" x14ac:dyDescent="0.3">
      <c r="A2454" t="s">
        <v>23</v>
      </c>
      <c r="B2454" s="60" t="str">
        <f t="shared" si="1754"/>
        <v>hide</v>
      </c>
      <c r="D2454" s="48" t="str">
        <f>D2453</f>
        <v>31536</v>
      </c>
      <c r="E2454" s="7"/>
      <c r="F2454" s="27">
        <v>0</v>
      </c>
      <c r="G2454" s="27">
        <v>0</v>
      </c>
      <c r="H2454" s="27">
        <v>0</v>
      </c>
      <c r="I2454" s="27">
        <v>0</v>
      </c>
      <c r="J2454" s="27">
        <v>0</v>
      </c>
      <c r="K2454" s="63">
        <f>AVERAGE(I2454:J2454)</f>
        <v>0</v>
      </c>
      <c r="L2454" s="56" t="str">
        <f>"SW-COMAS-PACKL"</f>
        <v>SW-COMAS-PACKL</v>
      </c>
      <c r="M2454" s="14"/>
      <c r="N2454" s="15"/>
      <c r="O2454" s="12"/>
      <c r="P2454" s="34"/>
      <c r="Q2454" s="37"/>
      <c r="R2454" s="47"/>
      <c r="S2454" s="46"/>
    </row>
    <row r="2455" spans="1:19" ht="15.6" hidden="1" customHeight="1" thickBot="1" x14ac:dyDescent="0.3">
      <c r="A2455" t="s">
        <v>23</v>
      </c>
      <c r="B2455" s="60" t="str">
        <f t="shared" si="1754"/>
        <v>hide</v>
      </c>
      <c r="D2455" s="48" t="str">
        <f>D2454</f>
        <v>31536</v>
      </c>
      <c r="E2455" s="7"/>
      <c r="F2455" s="27">
        <v>0</v>
      </c>
      <c r="G2455" s="27">
        <v>0</v>
      </c>
      <c r="H2455" s="27">
        <v>0</v>
      </c>
      <c r="I2455" s="27">
        <v>0</v>
      </c>
      <c r="J2455" s="27">
        <v>0</v>
      </c>
      <c r="K2455" s="63">
        <f>AVERAGE(I2455:J2455)</f>
        <v>0</v>
      </c>
      <c r="L2455" s="56" t="str">
        <f>"SW-RISER-PACK"</f>
        <v>SW-RISER-PACK</v>
      </c>
      <c r="M2455" s="14"/>
      <c r="N2455" s="15"/>
      <c r="O2455" s="12"/>
      <c r="P2455" s="34"/>
      <c r="Q2455" s="37"/>
      <c r="R2455" s="47"/>
      <c r="S2455" s="46"/>
    </row>
    <row r="2456" spans="1:19" ht="12" hidden="1" customHeight="1" x14ac:dyDescent="0.3">
      <c r="A2456" s="35" t="s">
        <v>908</v>
      </c>
      <c r="B2456" s="49" t="str">
        <f>B2452</f>
        <v>hide</v>
      </c>
      <c r="N2456"/>
      <c r="Q2456" s="33"/>
    </row>
    <row r="2457" spans="1:19" ht="13.8" hidden="1" thickBot="1" x14ac:dyDescent="0.3">
      <c r="A2457" t="s">
        <v>23</v>
      </c>
      <c r="B2457" s="49" t="str">
        <f t="shared" ref="B2457" si="1755">B2456</f>
        <v>hide</v>
      </c>
      <c r="D2457" s="58"/>
      <c r="E2457" s="58"/>
      <c r="F2457" s="52">
        <f>SUM(F2452:F2456)</f>
        <v>0</v>
      </c>
      <c r="G2457" s="52">
        <f>SUM(G2452:G2456)</f>
        <v>0</v>
      </c>
      <c r="H2457" s="52">
        <f>SUM(H2452:H2456)</f>
        <v>0</v>
      </c>
      <c r="I2457" s="52">
        <f>SUM(I2452:I2456)</f>
        <v>0</v>
      </c>
      <c r="J2457" s="52">
        <f>SUM(J2452:J2456)</f>
        <v>0</v>
      </c>
      <c r="K2457" s="52"/>
      <c r="L2457" s="51" t="s">
        <v>4</v>
      </c>
      <c r="M2457" s="58"/>
      <c r="N2457" s="58"/>
      <c r="O2457" s="58"/>
      <c r="P2457" s="58"/>
      <c r="Q2457" s="58"/>
      <c r="R2457" s="58"/>
      <c r="S2457" s="58"/>
    </row>
    <row r="2458" spans="1:19" s="59" customFormat="1" ht="18.75" hidden="1" customHeight="1" thickBot="1" x14ac:dyDescent="0.3">
      <c r="A2458" s="59" t="s">
        <v>23</v>
      </c>
      <c r="B2458" s="60" t="str">
        <f t="shared" ref="B2458:B2459" si="1756">IF(K2458=0,"hide","")</f>
        <v>hide</v>
      </c>
      <c r="D2458" s="61" t="str">
        <f>"31610"</f>
        <v>31610</v>
      </c>
      <c r="E2458" s="62" t="str">
        <f>"1"</f>
        <v>1</v>
      </c>
      <c r="F2458" s="63">
        <v>0</v>
      </c>
      <c r="G2458" s="63">
        <v>0</v>
      </c>
      <c r="H2458" s="63">
        <v>0</v>
      </c>
      <c r="I2458" s="63">
        <v>0</v>
      </c>
      <c r="J2458" s="63">
        <v>0</v>
      </c>
      <c r="K2458" s="63">
        <f>AVERAGE(I2458:J2458)</f>
        <v>0</v>
      </c>
      <c r="L2458" s="64" t="str">
        <f>""</f>
        <v/>
      </c>
      <c r="M2458" s="65" t="str">
        <f>""</f>
        <v/>
      </c>
      <c r="N2458" s="66" t="str">
        <f>""</f>
        <v/>
      </c>
      <c r="O2458" s="67" t="str">
        <f>""</f>
        <v/>
      </c>
      <c r="P2458" s="68" t="e">
        <f>1/O2458</f>
        <v>#VALUE!</v>
      </c>
      <c r="Q2458" s="53">
        <v>1</v>
      </c>
      <c r="R2458" s="69">
        <f t="shared" ref="R2458" si="1757">1/Q2458</f>
        <v>1</v>
      </c>
      <c r="S2458" s="70" t="e">
        <f t="shared" ref="S2458" si="1758">R2458*N2458</f>
        <v>#VALUE!</v>
      </c>
    </row>
    <row r="2459" spans="1:19" ht="15.6" hidden="1" customHeight="1" thickBot="1" x14ac:dyDescent="0.3">
      <c r="A2459" t="s">
        <v>23</v>
      </c>
      <c r="B2459" s="60" t="str">
        <f t="shared" si="1756"/>
        <v>hide</v>
      </c>
      <c r="D2459" s="48" t="str">
        <f>D2458</f>
        <v>31610</v>
      </c>
      <c r="E2459" s="7"/>
      <c r="F2459" s="27">
        <v>0</v>
      </c>
      <c r="G2459" s="27">
        <v>0</v>
      </c>
      <c r="H2459" s="27">
        <v>0</v>
      </c>
      <c r="I2459" s="27">
        <v>0</v>
      </c>
      <c r="J2459" s="27">
        <v>0</v>
      </c>
      <c r="K2459" s="63">
        <f>AVERAGE(I2459:J2459)</f>
        <v>0</v>
      </c>
      <c r="L2459" s="56" t="str">
        <f>"EQP-LAWPACK1"</f>
        <v>EQP-LAWPACK1</v>
      </c>
      <c r="M2459" s="14"/>
      <c r="N2459" s="15"/>
      <c r="O2459" s="12"/>
      <c r="P2459" s="34"/>
      <c r="Q2459" s="37"/>
      <c r="R2459" s="47"/>
      <c r="S2459" s="46"/>
    </row>
    <row r="2460" spans="1:19" ht="15.6" hidden="1" customHeight="1" thickBot="1" x14ac:dyDescent="0.3">
      <c r="A2460" t="s">
        <v>23</v>
      </c>
      <c r="B2460" s="60" t="str">
        <f t="shared" ref="B2460:B2462" si="1759">IF(K2460=0,"hide","")</f>
        <v>hide</v>
      </c>
      <c r="D2460" s="48" t="str">
        <f>D2459</f>
        <v>31610</v>
      </c>
      <c r="E2460" s="7"/>
      <c r="F2460" s="27">
        <v>0</v>
      </c>
      <c r="G2460" s="27">
        <v>0</v>
      </c>
      <c r="H2460" s="27">
        <v>0</v>
      </c>
      <c r="I2460" s="27">
        <v>0</v>
      </c>
      <c r="J2460" s="27">
        <v>0</v>
      </c>
      <c r="K2460" s="63">
        <f>AVERAGE(I2460:J2460)</f>
        <v>0</v>
      </c>
      <c r="L2460" s="56" t="str">
        <f>"EQP-LAWPACK2"</f>
        <v>EQP-LAWPACK2</v>
      </c>
      <c r="M2460" s="14"/>
      <c r="N2460" s="15"/>
      <c r="O2460" s="12"/>
      <c r="P2460" s="34"/>
      <c r="Q2460" s="37"/>
      <c r="R2460" s="47"/>
      <c r="S2460" s="46"/>
    </row>
    <row r="2461" spans="1:19" ht="15.6" hidden="1" customHeight="1" thickBot="1" x14ac:dyDescent="0.3">
      <c r="A2461" t="s">
        <v>23</v>
      </c>
      <c r="B2461" s="60" t="str">
        <f t="shared" si="1759"/>
        <v>hide</v>
      </c>
      <c r="D2461" s="48" t="str">
        <f>D2460</f>
        <v>31610</v>
      </c>
      <c r="E2461" s="7"/>
      <c r="F2461" s="27">
        <v>0</v>
      </c>
      <c r="G2461" s="27">
        <v>0</v>
      </c>
      <c r="H2461" s="27">
        <v>0</v>
      </c>
      <c r="I2461" s="27">
        <v>0</v>
      </c>
      <c r="J2461" s="27">
        <v>0</v>
      </c>
      <c r="K2461" s="63">
        <f>AVERAGE(I2461:J2461)</f>
        <v>0</v>
      </c>
      <c r="L2461" s="56" t="str">
        <f>"SW-COMAS-PACKL"</f>
        <v>SW-COMAS-PACKL</v>
      </c>
      <c r="M2461" s="14"/>
      <c r="N2461" s="15"/>
      <c r="O2461" s="12"/>
      <c r="P2461" s="34"/>
      <c r="Q2461" s="37"/>
      <c r="R2461" s="47"/>
      <c r="S2461" s="46"/>
    </row>
    <row r="2462" spans="1:19" ht="15.6" hidden="1" customHeight="1" thickBot="1" x14ac:dyDescent="0.3">
      <c r="A2462" t="s">
        <v>23</v>
      </c>
      <c r="B2462" s="60" t="str">
        <f t="shared" si="1759"/>
        <v>hide</v>
      </c>
      <c r="D2462" s="48" t="str">
        <f>D2461</f>
        <v>31610</v>
      </c>
      <c r="E2462" s="7"/>
      <c r="F2462" s="27">
        <v>0</v>
      </c>
      <c r="G2462" s="27">
        <v>0</v>
      </c>
      <c r="H2462" s="27">
        <v>0</v>
      </c>
      <c r="I2462" s="27">
        <v>0</v>
      </c>
      <c r="J2462" s="27">
        <v>0</v>
      </c>
      <c r="K2462" s="63">
        <f>AVERAGE(I2462:J2462)</f>
        <v>0</v>
      </c>
      <c r="L2462" s="56" t="str">
        <f>"SW-RISER-PACK"</f>
        <v>SW-RISER-PACK</v>
      </c>
      <c r="M2462" s="14"/>
      <c r="N2462" s="15"/>
      <c r="O2462" s="12"/>
      <c r="P2462" s="34"/>
      <c r="Q2462" s="37"/>
      <c r="R2462" s="47"/>
      <c r="S2462" s="46"/>
    </row>
    <row r="2463" spans="1:19" ht="12" hidden="1" customHeight="1" x14ac:dyDescent="0.3">
      <c r="A2463" s="35" t="s">
        <v>908</v>
      </c>
      <c r="B2463" s="49" t="str">
        <f>B2459</f>
        <v>hide</v>
      </c>
      <c r="N2463"/>
      <c r="Q2463" s="33"/>
    </row>
    <row r="2464" spans="1:19" ht="13.8" hidden="1" thickBot="1" x14ac:dyDescent="0.3">
      <c r="A2464" t="s">
        <v>23</v>
      </c>
      <c r="B2464" s="49" t="str">
        <f t="shared" ref="B2464" si="1760">B2463</f>
        <v>hide</v>
      </c>
      <c r="D2464" s="58"/>
      <c r="E2464" s="58"/>
      <c r="F2464" s="52">
        <f>SUM(F2459:F2463)</f>
        <v>0</v>
      </c>
      <c r="G2464" s="52">
        <f>SUM(G2459:G2463)</f>
        <v>0</v>
      </c>
      <c r="H2464" s="52">
        <f>SUM(H2459:H2463)</f>
        <v>0</v>
      </c>
      <c r="I2464" s="52">
        <f>SUM(I2459:I2463)</f>
        <v>0</v>
      </c>
      <c r="J2464" s="52">
        <f>SUM(J2459:J2463)</f>
        <v>0</v>
      </c>
      <c r="K2464" s="52"/>
      <c r="L2464" s="51" t="s">
        <v>4</v>
      </c>
      <c r="M2464" s="58"/>
      <c r="N2464" s="58"/>
      <c r="O2464" s="58"/>
      <c r="P2464" s="58"/>
      <c r="Q2464" s="58"/>
      <c r="R2464" s="58"/>
      <c r="S2464" s="58"/>
    </row>
    <row r="2465" spans="1:19" s="59" customFormat="1" ht="18.75" customHeight="1" thickBot="1" x14ac:dyDescent="0.3">
      <c r="A2465" s="59" t="s">
        <v>23</v>
      </c>
      <c r="B2465" s="60" t="str">
        <f t="shared" ref="B2465:B2466" si="1761">IF(K2465=0,"hide","")</f>
        <v/>
      </c>
      <c r="D2465" s="61" t="str">
        <f>"31701"</f>
        <v>31701</v>
      </c>
      <c r="E2465" s="62" t="str">
        <f>"1"</f>
        <v>1</v>
      </c>
      <c r="F2465" s="63">
        <v>28</v>
      </c>
      <c r="G2465" s="63">
        <v>89.416666666666671</v>
      </c>
      <c r="H2465" s="63">
        <v>84</v>
      </c>
      <c r="I2465" s="63">
        <v>79.333333333333343</v>
      </c>
      <c r="J2465" s="63">
        <v>64.919518072289165</v>
      </c>
      <c r="K2465" s="63">
        <f>AVERAGE(I2465:J2465)</f>
        <v>72.126425702811247</v>
      </c>
      <c r="L2465" s="64" t="str">
        <f>"BLUEBERRY MUFFINS"</f>
        <v>BLUEBERRY MUFFINS</v>
      </c>
      <c r="M2465" s="65" t="str">
        <f>"96-2.5 oz. 16-6pks"</f>
        <v>96-2.5 oz. 16-6pks</v>
      </c>
      <c r="N2465" s="66">
        <v>96</v>
      </c>
      <c r="O2465" s="67" t="str">
        <f>""</f>
        <v/>
      </c>
      <c r="P2465" s="68" t="e">
        <f>1/O2465</f>
        <v>#VALUE!</v>
      </c>
      <c r="Q2465" s="53">
        <v>1</v>
      </c>
      <c r="R2465" s="69">
        <f t="shared" ref="R2465" si="1762">1/Q2465</f>
        <v>1</v>
      </c>
      <c r="S2465" s="70">
        <f t="shared" ref="S2465" si="1763">R2465*N2465</f>
        <v>96</v>
      </c>
    </row>
    <row r="2466" spans="1:19" ht="15.6" hidden="1" customHeight="1" thickBot="1" x14ac:dyDescent="0.3">
      <c r="A2466" t="s">
        <v>23</v>
      </c>
      <c r="B2466" s="60" t="str">
        <f t="shared" si="1761"/>
        <v>hide</v>
      </c>
      <c r="D2466" s="48" t="str">
        <f>D2465</f>
        <v>31701</v>
      </c>
      <c r="E2466" s="7"/>
      <c r="F2466" s="27">
        <v>0</v>
      </c>
      <c r="G2466" s="27">
        <v>0</v>
      </c>
      <c r="H2466" s="27">
        <v>0</v>
      </c>
      <c r="I2466" s="27">
        <v>0</v>
      </c>
      <c r="J2466" s="27">
        <v>0</v>
      </c>
      <c r="K2466" s="63">
        <f>AVERAGE(I2466:J2466)</f>
        <v>0</v>
      </c>
      <c r="L2466" s="56" t="str">
        <f>"EQP-LAWPACK1"</f>
        <v>EQP-LAWPACK1</v>
      </c>
      <c r="M2466" s="14"/>
      <c r="N2466" s="15"/>
      <c r="O2466" s="12"/>
      <c r="P2466" s="34"/>
      <c r="Q2466" s="37"/>
      <c r="R2466" s="47"/>
      <c r="S2466" s="46"/>
    </row>
    <row r="2467" spans="1:19" ht="15.6" hidden="1" customHeight="1" thickBot="1" x14ac:dyDescent="0.3">
      <c r="A2467" t="s">
        <v>23</v>
      </c>
      <c r="B2467" s="60" t="str">
        <f t="shared" ref="B2467:B2469" si="1764">IF(K2467=0,"hide","")</f>
        <v>hide</v>
      </c>
      <c r="D2467" s="48" t="str">
        <f>D2466</f>
        <v>31701</v>
      </c>
      <c r="E2467" s="7"/>
      <c r="F2467" s="27">
        <v>0</v>
      </c>
      <c r="G2467" s="27">
        <v>0</v>
      </c>
      <c r="H2467" s="27">
        <v>0</v>
      </c>
      <c r="I2467" s="27">
        <v>0</v>
      </c>
      <c r="J2467" s="27">
        <v>0</v>
      </c>
      <c r="K2467" s="63">
        <f>AVERAGE(I2467:J2467)</f>
        <v>0</v>
      </c>
      <c r="L2467" s="56" t="str">
        <f>"EQP-LAWPACK2"</f>
        <v>EQP-LAWPACK2</v>
      </c>
      <c r="M2467" s="14"/>
      <c r="N2467" s="15"/>
      <c r="O2467" s="12"/>
      <c r="P2467" s="34"/>
      <c r="Q2467" s="37"/>
      <c r="R2467" s="47"/>
      <c r="S2467" s="46"/>
    </row>
    <row r="2468" spans="1:19" ht="15.6" hidden="1" customHeight="1" thickBot="1" x14ac:dyDescent="0.3">
      <c r="A2468" t="s">
        <v>23</v>
      </c>
      <c r="B2468" s="60" t="str">
        <f t="shared" si="1764"/>
        <v>hide</v>
      </c>
      <c r="D2468" s="48" t="str">
        <f>D2467</f>
        <v>31701</v>
      </c>
      <c r="E2468" s="7"/>
      <c r="F2468" s="27">
        <v>0</v>
      </c>
      <c r="G2468" s="27">
        <v>0</v>
      </c>
      <c r="H2468" s="27">
        <v>0</v>
      </c>
      <c r="I2468" s="27">
        <v>0</v>
      </c>
      <c r="J2468" s="27">
        <v>0</v>
      </c>
      <c r="K2468" s="63">
        <f>AVERAGE(I2468:J2468)</f>
        <v>0</v>
      </c>
      <c r="L2468" s="56" t="str">
        <f>"SW-COMAS-PACKL"</f>
        <v>SW-COMAS-PACKL</v>
      </c>
      <c r="M2468" s="14"/>
      <c r="N2468" s="15"/>
      <c r="O2468" s="12"/>
      <c r="P2468" s="34"/>
      <c r="Q2468" s="37"/>
      <c r="R2468" s="47"/>
      <c r="S2468" s="46"/>
    </row>
    <row r="2469" spans="1:19" ht="15.6" hidden="1" customHeight="1" thickBot="1" x14ac:dyDescent="0.3">
      <c r="A2469" t="s">
        <v>23</v>
      </c>
      <c r="B2469" s="60" t="str">
        <f t="shared" si="1764"/>
        <v>hide</v>
      </c>
      <c r="D2469" s="48" t="str">
        <f>D2468</f>
        <v>31701</v>
      </c>
      <c r="E2469" s="7"/>
      <c r="F2469" s="27">
        <v>0</v>
      </c>
      <c r="G2469" s="27">
        <v>0</v>
      </c>
      <c r="H2469" s="27">
        <v>0</v>
      </c>
      <c r="I2469" s="27">
        <v>0</v>
      </c>
      <c r="J2469" s="27">
        <v>0</v>
      </c>
      <c r="K2469" s="63">
        <f>AVERAGE(I2469:J2469)</f>
        <v>0</v>
      </c>
      <c r="L2469" s="56" t="str">
        <f>"SW-RISER-PACK"</f>
        <v>SW-RISER-PACK</v>
      </c>
      <c r="M2469" s="14"/>
      <c r="N2469" s="15"/>
      <c r="O2469" s="12"/>
      <c r="P2469" s="34"/>
      <c r="Q2469" s="37"/>
      <c r="R2469" s="47"/>
      <c r="S2469" s="46"/>
    </row>
    <row r="2470" spans="1:19" ht="12" hidden="1" customHeight="1" x14ac:dyDescent="0.3">
      <c r="A2470" s="35" t="s">
        <v>908</v>
      </c>
      <c r="B2470" s="49" t="str">
        <f>B2466</f>
        <v>hide</v>
      </c>
      <c r="N2470"/>
      <c r="Q2470" s="33"/>
    </row>
    <row r="2471" spans="1:19" ht="13.8" hidden="1" thickBot="1" x14ac:dyDescent="0.3">
      <c r="A2471" t="s">
        <v>23</v>
      </c>
      <c r="B2471" s="49" t="str">
        <f t="shared" ref="B2471" si="1765">B2470</f>
        <v>hide</v>
      </c>
      <c r="D2471" s="58"/>
      <c r="E2471" s="58"/>
      <c r="F2471" s="52">
        <f>SUM(F2466:F2470)</f>
        <v>0</v>
      </c>
      <c r="G2471" s="52">
        <f>SUM(G2466:G2470)</f>
        <v>0</v>
      </c>
      <c r="H2471" s="52">
        <f>SUM(H2466:H2470)</f>
        <v>0</v>
      </c>
      <c r="I2471" s="52">
        <f>SUM(I2466:I2470)</f>
        <v>0</v>
      </c>
      <c r="J2471" s="52">
        <f>SUM(J2466:J2470)</f>
        <v>0</v>
      </c>
      <c r="K2471" s="52"/>
      <c r="L2471" s="51" t="s">
        <v>4</v>
      </c>
      <c r="M2471" s="58"/>
      <c r="N2471" s="58"/>
      <c r="O2471" s="58"/>
      <c r="P2471" s="58"/>
      <c r="Q2471" s="58"/>
      <c r="R2471" s="58"/>
      <c r="S2471" s="58"/>
    </row>
    <row r="2472" spans="1:19" s="59" customFormat="1" ht="18.75" customHeight="1" thickBot="1" x14ac:dyDescent="0.3">
      <c r="A2472" s="59" t="s">
        <v>23</v>
      </c>
      <c r="B2472" s="60" t="str">
        <f t="shared" ref="B2472:B2473" si="1766">IF(K2472=0,"hide","")</f>
        <v/>
      </c>
      <c r="D2472" s="61" t="str">
        <f>"31705"</f>
        <v>31705</v>
      </c>
      <c r="E2472" s="62" t="str">
        <f>"1"</f>
        <v>1</v>
      </c>
      <c r="F2472" s="63">
        <v>4.666666666666667</v>
      </c>
      <c r="G2472" s="63">
        <v>65.916666666666657</v>
      </c>
      <c r="H2472" s="63">
        <v>83.666666666666671</v>
      </c>
      <c r="I2472" s="63">
        <v>135.25</v>
      </c>
      <c r="J2472" s="63">
        <v>114.49566265060241</v>
      </c>
      <c r="K2472" s="63">
        <f>AVERAGE(I2472:J2472)</f>
        <v>124.87283132530121</v>
      </c>
      <c r="L2472" s="64" t="str">
        <f>"Sabrina's Corn Muffin"</f>
        <v>Sabrina's Corn Muffin</v>
      </c>
      <c r="M2472" s="65" t="str">
        <f>"96-2.5 oz. 16-6pks"</f>
        <v>96-2.5 oz. 16-6pks</v>
      </c>
      <c r="N2472" s="66">
        <v>96</v>
      </c>
      <c r="O2472" s="67" t="str">
        <f>""</f>
        <v/>
      </c>
      <c r="P2472" s="68" t="e">
        <f>1/O2472</f>
        <v>#VALUE!</v>
      </c>
      <c r="Q2472" s="53">
        <v>1</v>
      </c>
      <c r="R2472" s="69">
        <f t="shared" ref="R2472" si="1767">1/Q2472</f>
        <v>1</v>
      </c>
      <c r="S2472" s="70">
        <f t="shared" ref="S2472" si="1768">R2472*N2472</f>
        <v>96</v>
      </c>
    </row>
    <row r="2473" spans="1:19" ht="15.6" hidden="1" customHeight="1" thickBot="1" x14ac:dyDescent="0.3">
      <c r="A2473" t="s">
        <v>23</v>
      </c>
      <c r="B2473" s="60" t="str">
        <f t="shared" si="1766"/>
        <v>hide</v>
      </c>
      <c r="D2473" s="48" t="str">
        <f>D2472</f>
        <v>31705</v>
      </c>
      <c r="E2473" s="7"/>
      <c r="F2473" s="27">
        <v>0</v>
      </c>
      <c r="G2473" s="27">
        <v>0</v>
      </c>
      <c r="H2473" s="27">
        <v>0</v>
      </c>
      <c r="I2473" s="27">
        <v>0</v>
      </c>
      <c r="J2473" s="27">
        <v>0</v>
      </c>
      <c r="K2473" s="63">
        <f>AVERAGE(I2473:J2473)</f>
        <v>0</v>
      </c>
      <c r="L2473" s="56" t="str">
        <f>"EQP-LAWPACK1"</f>
        <v>EQP-LAWPACK1</v>
      </c>
      <c r="M2473" s="14"/>
      <c r="N2473" s="15"/>
      <c r="O2473" s="12"/>
      <c r="P2473" s="34"/>
      <c r="Q2473" s="37"/>
      <c r="R2473" s="47"/>
      <c r="S2473" s="46"/>
    </row>
    <row r="2474" spans="1:19" ht="15.6" hidden="1" customHeight="1" thickBot="1" x14ac:dyDescent="0.3">
      <c r="A2474" t="s">
        <v>23</v>
      </c>
      <c r="B2474" s="60" t="str">
        <f t="shared" ref="B2474:B2476" si="1769">IF(K2474=0,"hide","")</f>
        <v>hide</v>
      </c>
      <c r="D2474" s="48" t="str">
        <f>D2473</f>
        <v>31705</v>
      </c>
      <c r="E2474" s="7"/>
      <c r="F2474" s="27">
        <v>0</v>
      </c>
      <c r="G2474" s="27">
        <v>0</v>
      </c>
      <c r="H2474" s="27">
        <v>0</v>
      </c>
      <c r="I2474" s="27">
        <v>0</v>
      </c>
      <c r="J2474" s="27">
        <v>0</v>
      </c>
      <c r="K2474" s="63">
        <f>AVERAGE(I2474:J2474)</f>
        <v>0</v>
      </c>
      <c r="L2474" s="56" t="str">
        <f>"EQP-LAWPACK2"</f>
        <v>EQP-LAWPACK2</v>
      </c>
      <c r="M2474" s="14"/>
      <c r="N2474" s="15"/>
      <c r="O2474" s="12"/>
      <c r="P2474" s="34"/>
      <c r="Q2474" s="37"/>
      <c r="R2474" s="47"/>
      <c r="S2474" s="46"/>
    </row>
    <row r="2475" spans="1:19" ht="15.6" hidden="1" customHeight="1" thickBot="1" x14ac:dyDescent="0.3">
      <c r="A2475" t="s">
        <v>23</v>
      </c>
      <c r="B2475" s="60" t="str">
        <f t="shared" si="1769"/>
        <v>hide</v>
      </c>
      <c r="D2475" s="48" t="str">
        <f>D2474</f>
        <v>31705</v>
      </c>
      <c r="E2475" s="7"/>
      <c r="F2475" s="27">
        <v>0</v>
      </c>
      <c r="G2475" s="27">
        <v>0</v>
      </c>
      <c r="H2475" s="27">
        <v>0</v>
      </c>
      <c r="I2475" s="27">
        <v>0</v>
      </c>
      <c r="J2475" s="27">
        <v>0</v>
      </c>
      <c r="K2475" s="63">
        <f>AVERAGE(I2475:J2475)</f>
        <v>0</v>
      </c>
      <c r="L2475" s="56" t="str">
        <f>"SW-COMAS-PACKL"</f>
        <v>SW-COMAS-PACKL</v>
      </c>
      <c r="M2475" s="14"/>
      <c r="N2475" s="15"/>
      <c r="O2475" s="12"/>
      <c r="P2475" s="34"/>
      <c r="Q2475" s="37"/>
      <c r="R2475" s="47"/>
      <c r="S2475" s="46"/>
    </row>
    <row r="2476" spans="1:19" ht="15.6" hidden="1" customHeight="1" thickBot="1" x14ac:dyDescent="0.3">
      <c r="A2476" t="s">
        <v>23</v>
      </c>
      <c r="B2476" s="60" t="str">
        <f t="shared" si="1769"/>
        <v>hide</v>
      </c>
      <c r="D2476" s="48" t="str">
        <f>D2475</f>
        <v>31705</v>
      </c>
      <c r="E2476" s="7"/>
      <c r="F2476" s="27">
        <v>0</v>
      </c>
      <c r="G2476" s="27">
        <v>0</v>
      </c>
      <c r="H2476" s="27">
        <v>0</v>
      </c>
      <c r="I2476" s="27">
        <v>0</v>
      </c>
      <c r="J2476" s="27">
        <v>0</v>
      </c>
      <c r="K2476" s="63">
        <f>AVERAGE(I2476:J2476)</f>
        <v>0</v>
      </c>
      <c r="L2476" s="56" t="str">
        <f>"SW-RISER-PACK"</f>
        <v>SW-RISER-PACK</v>
      </c>
      <c r="M2476" s="14"/>
      <c r="N2476" s="15"/>
      <c r="O2476" s="12"/>
      <c r="P2476" s="34"/>
      <c r="Q2476" s="37"/>
      <c r="R2476" s="47"/>
      <c r="S2476" s="46"/>
    </row>
    <row r="2477" spans="1:19" ht="12" hidden="1" customHeight="1" x14ac:dyDescent="0.3">
      <c r="A2477" s="35" t="s">
        <v>908</v>
      </c>
      <c r="B2477" s="49" t="str">
        <f>B2473</f>
        <v>hide</v>
      </c>
      <c r="N2477"/>
      <c r="Q2477" s="33"/>
    </row>
    <row r="2478" spans="1:19" ht="13.8" hidden="1" thickBot="1" x14ac:dyDescent="0.3">
      <c r="A2478" t="s">
        <v>23</v>
      </c>
      <c r="B2478" s="49" t="str">
        <f t="shared" ref="B2478" si="1770">B2477</f>
        <v>hide</v>
      </c>
      <c r="D2478" s="58"/>
      <c r="E2478" s="58"/>
      <c r="F2478" s="52">
        <f>SUM(F2473:F2477)</f>
        <v>0</v>
      </c>
      <c r="G2478" s="52">
        <f>SUM(G2473:G2477)</f>
        <v>0</v>
      </c>
      <c r="H2478" s="52">
        <f>SUM(H2473:H2477)</f>
        <v>0</v>
      </c>
      <c r="I2478" s="52">
        <f>SUM(I2473:I2477)</f>
        <v>0</v>
      </c>
      <c r="J2478" s="52">
        <f>SUM(J2473:J2477)</f>
        <v>0</v>
      </c>
      <c r="K2478" s="52"/>
      <c r="L2478" s="51" t="s">
        <v>4</v>
      </c>
      <c r="M2478" s="58"/>
      <c r="N2478" s="58"/>
      <c r="O2478" s="58"/>
      <c r="P2478" s="58"/>
      <c r="Q2478" s="58"/>
      <c r="R2478" s="58"/>
      <c r="S2478" s="58"/>
    </row>
    <row r="2479" spans="1:19" s="59" customFormat="1" ht="18.75" customHeight="1" thickBot="1" x14ac:dyDescent="0.3">
      <c r="A2479" s="59" t="s">
        <v>23</v>
      </c>
      <c r="B2479" s="60" t="str">
        <f t="shared" ref="B2479:B2480" si="1771">IF(K2479=0,"hide","")</f>
        <v/>
      </c>
      <c r="D2479" s="61" t="str">
        <f>"31710"</f>
        <v>31710</v>
      </c>
      <c r="E2479" s="62" t="str">
        <f>"1"</f>
        <v>1</v>
      </c>
      <c r="F2479" s="63">
        <v>23.333333333333332</v>
      </c>
      <c r="G2479" s="63">
        <v>42.583333333333336</v>
      </c>
      <c r="H2479" s="63">
        <v>46.583333333333336</v>
      </c>
      <c r="I2479" s="63">
        <v>46.666666666666664</v>
      </c>
      <c r="J2479" s="63">
        <v>49.644337349397595</v>
      </c>
      <c r="K2479" s="63">
        <f>AVERAGE(I2479:J2479)</f>
        <v>48.15550200803213</v>
      </c>
      <c r="L2479" s="64" t="str">
        <f>"CHOCOLATE CHIP MUFFINS"</f>
        <v>CHOCOLATE CHIP MUFFINS</v>
      </c>
      <c r="M2479" s="65" t="str">
        <f>"96-2.5 oz. 16-6pks"</f>
        <v>96-2.5 oz. 16-6pks</v>
      </c>
      <c r="N2479" s="66">
        <v>96</v>
      </c>
      <c r="O2479" s="67" t="str">
        <f>""</f>
        <v/>
      </c>
      <c r="P2479" s="68" t="e">
        <f>1/O2479</f>
        <v>#VALUE!</v>
      </c>
      <c r="Q2479" s="53">
        <v>1</v>
      </c>
      <c r="R2479" s="69">
        <f t="shared" ref="R2479" si="1772">1/Q2479</f>
        <v>1</v>
      </c>
      <c r="S2479" s="70">
        <f t="shared" ref="S2479" si="1773">R2479*N2479</f>
        <v>96</v>
      </c>
    </row>
    <row r="2480" spans="1:19" ht="15.6" hidden="1" customHeight="1" thickBot="1" x14ac:dyDescent="0.3">
      <c r="A2480" t="s">
        <v>23</v>
      </c>
      <c r="B2480" s="60" t="str">
        <f t="shared" si="1771"/>
        <v>hide</v>
      </c>
      <c r="D2480" s="48" t="str">
        <f>D2479</f>
        <v>31710</v>
      </c>
      <c r="E2480" s="7"/>
      <c r="F2480" s="27">
        <v>0</v>
      </c>
      <c r="G2480" s="27">
        <v>0</v>
      </c>
      <c r="H2480" s="27">
        <v>0</v>
      </c>
      <c r="I2480" s="27">
        <v>0</v>
      </c>
      <c r="J2480" s="27">
        <v>0</v>
      </c>
      <c r="K2480" s="63">
        <f>AVERAGE(I2480:J2480)</f>
        <v>0</v>
      </c>
      <c r="L2480" s="56" t="str">
        <f>"EQP-LAWPACK1"</f>
        <v>EQP-LAWPACK1</v>
      </c>
      <c r="M2480" s="14"/>
      <c r="N2480" s="15"/>
      <c r="O2480" s="12"/>
      <c r="P2480" s="34"/>
      <c r="Q2480" s="37"/>
      <c r="R2480" s="47"/>
      <c r="S2480" s="46"/>
    </row>
    <row r="2481" spans="1:19" ht="15.6" hidden="1" customHeight="1" thickBot="1" x14ac:dyDescent="0.3">
      <c r="A2481" t="s">
        <v>23</v>
      </c>
      <c r="B2481" s="60" t="str">
        <f t="shared" ref="B2481:B2483" si="1774">IF(K2481=0,"hide","")</f>
        <v>hide</v>
      </c>
      <c r="D2481" s="48" t="str">
        <f>D2480</f>
        <v>31710</v>
      </c>
      <c r="E2481" s="7"/>
      <c r="F2481" s="27">
        <v>0</v>
      </c>
      <c r="G2481" s="27">
        <v>0</v>
      </c>
      <c r="H2481" s="27">
        <v>0</v>
      </c>
      <c r="I2481" s="27">
        <v>0</v>
      </c>
      <c r="J2481" s="27">
        <v>0</v>
      </c>
      <c r="K2481" s="63">
        <f>AVERAGE(I2481:J2481)</f>
        <v>0</v>
      </c>
      <c r="L2481" s="56" t="str">
        <f>"EQP-LAWPACK2"</f>
        <v>EQP-LAWPACK2</v>
      </c>
      <c r="M2481" s="14"/>
      <c r="N2481" s="15"/>
      <c r="O2481" s="12"/>
      <c r="P2481" s="34"/>
      <c r="Q2481" s="37"/>
      <c r="R2481" s="47"/>
      <c r="S2481" s="46"/>
    </row>
    <row r="2482" spans="1:19" ht="15.6" hidden="1" customHeight="1" thickBot="1" x14ac:dyDescent="0.3">
      <c r="A2482" t="s">
        <v>23</v>
      </c>
      <c r="B2482" s="60" t="str">
        <f t="shared" si="1774"/>
        <v>hide</v>
      </c>
      <c r="D2482" s="48" t="str">
        <f>D2481</f>
        <v>31710</v>
      </c>
      <c r="E2482" s="7"/>
      <c r="F2482" s="27">
        <v>0</v>
      </c>
      <c r="G2482" s="27">
        <v>0</v>
      </c>
      <c r="H2482" s="27">
        <v>0</v>
      </c>
      <c r="I2482" s="27">
        <v>0</v>
      </c>
      <c r="J2482" s="27">
        <v>0</v>
      </c>
      <c r="K2482" s="63">
        <f>AVERAGE(I2482:J2482)</f>
        <v>0</v>
      </c>
      <c r="L2482" s="56" t="str">
        <f>"SW-COMAS-PACKL"</f>
        <v>SW-COMAS-PACKL</v>
      </c>
      <c r="M2482" s="14"/>
      <c r="N2482" s="15"/>
      <c r="O2482" s="12"/>
      <c r="P2482" s="34"/>
      <c r="Q2482" s="37"/>
      <c r="R2482" s="47"/>
      <c r="S2482" s="46"/>
    </row>
    <row r="2483" spans="1:19" ht="15.6" hidden="1" customHeight="1" thickBot="1" x14ac:dyDescent="0.3">
      <c r="A2483" t="s">
        <v>23</v>
      </c>
      <c r="B2483" s="60" t="str">
        <f t="shared" si="1774"/>
        <v>hide</v>
      </c>
      <c r="D2483" s="48" t="str">
        <f>D2482</f>
        <v>31710</v>
      </c>
      <c r="E2483" s="7"/>
      <c r="F2483" s="27">
        <v>0</v>
      </c>
      <c r="G2483" s="27">
        <v>0</v>
      </c>
      <c r="H2483" s="27">
        <v>0</v>
      </c>
      <c r="I2483" s="27">
        <v>0</v>
      </c>
      <c r="J2483" s="27">
        <v>0</v>
      </c>
      <c r="K2483" s="63">
        <f>AVERAGE(I2483:J2483)</f>
        <v>0</v>
      </c>
      <c r="L2483" s="56" t="str">
        <f>"SW-RISER-PACK"</f>
        <v>SW-RISER-PACK</v>
      </c>
      <c r="M2483" s="14"/>
      <c r="N2483" s="15"/>
      <c r="O2483" s="12"/>
      <c r="P2483" s="34"/>
      <c r="Q2483" s="37"/>
      <c r="R2483" s="47"/>
      <c r="S2483" s="46"/>
    </row>
    <row r="2484" spans="1:19" ht="12" hidden="1" customHeight="1" x14ac:dyDescent="0.3">
      <c r="A2484" s="35" t="s">
        <v>908</v>
      </c>
      <c r="B2484" s="49" t="str">
        <f>B2480</f>
        <v>hide</v>
      </c>
      <c r="N2484"/>
      <c r="Q2484" s="33"/>
    </row>
    <row r="2485" spans="1:19" ht="13.8" hidden="1" thickBot="1" x14ac:dyDescent="0.3">
      <c r="A2485" t="s">
        <v>23</v>
      </c>
      <c r="B2485" s="49" t="str">
        <f t="shared" ref="B2485" si="1775">B2484</f>
        <v>hide</v>
      </c>
      <c r="D2485" s="58"/>
      <c r="E2485" s="58"/>
      <c r="F2485" s="52">
        <f>SUM(F2480:F2484)</f>
        <v>0</v>
      </c>
      <c r="G2485" s="52">
        <f>SUM(G2480:G2484)</f>
        <v>0</v>
      </c>
      <c r="H2485" s="52">
        <f>SUM(H2480:H2484)</f>
        <v>0</v>
      </c>
      <c r="I2485" s="52">
        <f>SUM(I2480:I2484)</f>
        <v>0</v>
      </c>
      <c r="J2485" s="52">
        <f>SUM(J2480:J2484)</f>
        <v>0</v>
      </c>
      <c r="K2485" s="52"/>
      <c r="L2485" s="51" t="s">
        <v>4</v>
      </c>
      <c r="M2485" s="58"/>
      <c r="N2485" s="58"/>
      <c r="O2485" s="58"/>
      <c r="P2485" s="58"/>
      <c r="Q2485" s="58"/>
      <c r="R2485" s="58"/>
      <c r="S2485" s="58"/>
    </row>
    <row r="2486" spans="1:19" s="59" customFormat="1" ht="18.75" customHeight="1" thickBot="1" x14ac:dyDescent="0.3">
      <c r="A2486" s="59" t="s">
        <v>23</v>
      </c>
      <c r="B2486" s="60" t="str">
        <f t="shared" ref="B2486:B2487" si="1776">IF(K2486=0,"hide","")</f>
        <v/>
      </c>
      <c r="D2486" s="61" t="str">
        <f>"31736"</f>
        <v>31736</v>
      </c>
      <c r="E2486" s="62" t="str">
        <f>"1"</f>
        <v>1</v>
      </c>
      <c r="F2486" s="63">
        <v>18.666666666666668</v>
      </c>
      <c r="G2486" s="63">
        <v>47</v>
      </c>
      <c r="H2486" s="63">
        <v>38.249999999999993</v>
      </c>
      <c r="I2486" s="63">
        <v>35.333333333333336</v>
      </c>
      <c r="J2486" s="63">
        <v>45.825542168674701</v>
      </c>
      <c r="K2486" s="63">
        <f>AVERAGE(I2486:J2486)</f>
        <v>40.579437751004022</v>
      </c>
      <c r="L2486" s="64" t="str">
        <f>"Cinnamon Crumb Muffins"</f>
        <v>Cinnamon Crumb Muffins</v>
      </c>
      <c r="M2486" s="65" t="str">
        <f>"96-2.5 oz. 16-6pks"</f>
        <v>96-2.5 oz. 16-6pks</v>
      </c>
      <c r="N2486" s="66">
        <v>96</v>
      </c>
      <c r="O2486" s="67" t="str">
        <f>""</f>
        <v/>
      </c>
      <c r="P2486" s="68" t="e">
        <f>1/O2486</f>
        <v>#VALUE!</v>
      </c>
      <c r="Q2486" s="53">
        <v>1</v>
      </c>
      <c r="R2486" s="69">
        <f t="shared" ref="R2486" si="1777">1/Q2486</f>
        <v>1</v>
      </c>
      <c r="S2486" s="70">
        <f t="shared" ref="S2486" si="1778">R2486*N2486</f>
        <v>96</v>
      </c>
    </row>
    <row r="2487" spans="1:19" ht="15.6" hidden="1" customHeight="1" thickBot="1" x14ac:dyDescent="0.3">
      <c r="A2487" t="s">
        <v>23</v>
      </c>
      <c r="B2487" s="60" t="str">
        <f t="shared" si="1776"/>
        <v>hide</v>
      </c>
      <c r="D2487" s="48" t="str">
        <f>D2486</f>
        <v>31736</v>
      </c>
      <c r="E2487" s="7"/>
      <c r="F2487" s="27">
        <v>0</v>
      </c>
      <c r="G2487" s="27">
        <v>0</v>
      </c>
      <c r="H2487" s="27">
        <v>0</v>
      </c>
      <c r="I2487" s="27">
        <v>0</v>
      </c>
      <c r="J2487" s="27">
        <v>0</v>
      </c>
      <c r="K2487" s="63">
        <f>AVERAGE(I2487:J2487)</f>
        <v>0</v>
      </c>
      <c r="L2487" s="56" t="str">
        <f>"EQP-LAWPACK1"</f>
        <v>EQP-LAWPACK1</v>
      </c>
      <c r="M2487" s="14"/>
      <c r="N2487" s="15"/>
      <c r="O2487" s="12"/>
      <c r="P2487" s="34"/>
      <c r="Q2487" s="37"/>
      <c r="R2487" s="47"/>
      <c r="S2487" s="46"/>
    </row>
    <row r="2488" spans="1:19" ht="15.6" hidden="1" customHeight="1" thickBot="1" x14ac:dyDescent="0.3">
      <c r="A2488" t="s">
        <v>23</v>
      </c>
      <c r="B2488" s="60" t="str">
        <f t="shared" ref="B2488:B2490" si="1779">IF(K2488=0,"hide","")</f>
        <v>hide</v>
      </c>
      <c r="D2488" s="48" t="str">
        <f>D2487</f>
        <v>31736</v>
      </c>
      <c r="E2488" s="7"/>
      <c r="F2488" s="27">
        <v>0</v>
      </c>
      <c r="G2488" s="27">
        <v>0</v>
      </c>
      <c r="H2488" s="27">
        <v>0</v>
      </c>
      <c r="I2488" s="27">
        <v>0</v>
      </c>
      <c r="J2488" s="27">
        <v>0</v>
      </c>
      <c r="K2488" s="63">
        <f>AVERAGE(I2488:J2488)</f>
        <v>0</v>
      </c>
      <c r="L2488" s="56" t="str">
        <f>"EQP-LAWPACK2"</f>
        <v>EQP-LAWPACK2</v>
      </c>
      <c r="M2488" s="14"/>
      <c r="N2488" s="15"/>
      <c r="O2488" s="12"/>
      <c r="P2488" s="34"/>
      <c r="Q2488" s="37"/>
      <c r="R2488" s="47"/>
      <c r="S2488" s="46"/>
    </row>
    <row r="2489" spans="1:19" ht="15.6" hidden="1" customHeight="1" thickBot="1" x14ac:dyDescent="0.3">
      <c r="A2489" t="s">
        <v>23</v>
      </c>
      <c r="B2489" s="60" t="str">
        <f t="shared" si="1779"/>
        <v>hide</v>
      </c>
      <c r="D2489" s="48" t="str">
        <f>D2488</f>
        <v>31736</v>
      </c>
      <c r="E2489" s="7"/>
      <c r="F2489" s="27">
        <v>0</v>
      </c>
      <c r="G2489" s="27">
        <v>0</v>
      </c>
      <c r="H2489" s="27">
        <v>0</v>
      </c>
      <c r="I2489" s="27">
        <v>0</v>
      </c>
      <c r="J2489" s="27">
        <v>0</v>
      </c>
      <c r="K2489" s="63">
        <f>AVERAGE(I2489:J2489)</f>
        <v>0</v>
      </c>
      <c r="L2489" s="56" t="str">
        <f>"SW-COMAS-PACKL"</f>
        <v>SW-COMAS-PACKL</v>
      </c>
      <c r="M2489" s="14"/>
      <c r="N2489" s="15"/>
      <c r="O2489" s="12"/>
      <c r="P2489" s="34"/>
      <c r="Q2489" s="37"/>
      <c r="R2489" s="47"/>
      <c r="S2489" s="46"/>
    </row>
    <row r="2490" spans="1:19" ht="15.6" hidden="1" customHeight="1" thickBot="1" x14ac:dyDescent="0.3">
      <c r="A2490" t="s">
        <v>23</v>
      </c>
      <c r="B2490" s="60" t="str">
        <f t="shared" si="1779"/>
        <v>hide</v>
      </c>
      <c r="D2490" s="48" t="str">
        <f>D2489</f>
        <v>31736</v>
      </c>
      <c r="E2490" s="7"/>
      <c r="F2490" s="27">
        <v>0</v>
      </c>
      <c r="G2490" s="27">
        <v>0</v>
      </c>
      <c r="H2490" s="27">
        <v>0</v>
      </c>
      <c r="I2490" s="27">
        <v>0</v>
      </c>
      <c r="J2490" s="27">
        <v>0</v>
      </c>
      <c r="K2490" s="63">
        <f>AVERAGE(I2490:J2490)</f>
        <v>0</v>
      </c>
      <c r="L2490" s="56" t="str">
        <f>"SW-RISER-PACK"</f>
        <v>SW-RISER-PACK</v>
      </c>
      <c r="M2490" s="14"/>
      <c r="N2490" s="15"/>
      <c r="O2490" s="12"/>
      <c r="P2490" s="34"/>
      <c r="Q2490" s="37"/>
      <c r="R2490" s="47"/>
      <c r="S2490" s="46"/>
    </row>
    <row r="2491" spans="1:19" ht="12" hidden="1" customHeight="1" x14ac:dyDescent="0.3">
      <c r="A2491" s="35" t="s">
        <v>908</v>
      </c>
      <c r="B2491" s="49" t="str">
        <f>B2487</f>
        <v>hide</v>
      </c>
      <c r="N2491"/>
      <c r="Q2491" s="33"/>
    </row>
    <row r="2492" spans="1:19" ht="13.8" hidden="1" thickBot="1" x14ac:dyDescent="0.3">
      <c r="A2492" t="s">
        <v>23</v>
      </c>
      <c r="B2492" s="49" t="str">
        <f t="shared" ref="B2492" si="1780">B2491</f>
        <v>hide</v>
      </c>
      <c r="D2492" s="58"/>
      <c r="E2492" s="58"/>
      <c r="F2492" s="52">
        <f>SUM(F2487:F2491)</f>
        <v>0</v>
      </c>
      <c r="G2492" s="52">
        <f>SUM(G2487:G2491)</f>
        <v>0</v>
      </c>
      <c r="H2492" s="52">
        <f>SUM(H2487:H2491)</f>
        <v>0</v>
      </c>
      <c r="I2492" s="52">
        <f>SUM(I2487:I2491)</f>
        <v>0</v>
      </c>
      <c r="J2492" s="52">
        <f>SUM(J2487:J2491)</f>
        <v>0</v>
      </c>
      <c r="K2492" s="52"/>
      <c r="L2492" s="51" t="s">
        <v>4</v>
      </c>
      <c r="M2492" s="58"/>
      <c r="N2492" s="58"/>
      <c r="O2492" s="58"/>
      <c r="P2492" s="58"/>
      <c r="Q2492" s="58"/>
      <c r="R2492" s="58"/>
      <c r="S2492" s="58"/>
    </row>
    <row r="2493" spans="1:19" s="59" customFormat="1" ht="18.75" customHeight="1" thickBot="1" x14ac:dyDescent="0.3">
      <c r="A2493" s="59" t="s">
        <v>23</v>
      </c>
      <c r="B2493" s="60" t="str">
        <f t="shared" ref="B2493:B2494" si="1781">IF(K2493=0,"hide","")</f>
        <v/>
      </c>
      <c r="D2493" s="61" t="str">
        <f>"31751"</f>
        <v>31751</v>
      </c>
      <c r="E2493" s="62" t="str">
        <f>"1"</f>
        <v>1</v>
      </c>
      <c r="F2493" s="63">
        <v>23.333333333333332</v>
      </c>
      <c r="G2493" s="63">
        <v>43.833333333333336</v>
      </c>
      <c r="H2493" s="63">
        <v>37.25</v>
      </c>
      <c r="I2493" s="63">
        <v>32.5</v>
      </c>
      <c r="J2493" s="63">
        <v>26.731566265060241</v>
      </c>
      <c r="K2493" s="63">
        <f>AVERAGE(I2493:J2493)</f>
        <v>29.615783132530119</v>
      </c>
      <c r="L2493" s="64" t="str">
        <f>"BANANA MUFFIN"</f>
        <v>BANANA MUFFIN</v>
      </c>
      <c r="M2493" s="65" t="str">
        <f>"96-2.5 oz. 16-6pks"</f>
        <v>96-2.5 oz. 16-6pks</v>
      </c>
      <c r="N2493" s="66">
        <v>96</v>
      </c>
      <c r="O2493" s="67" t="str">
        <f>""</f>
        <v/>
      </c>
      <c r="P2493" s="68" t="e">
        <f>1/O2493</f>
        <v>#VALUE!</v>
      </c>
      <c r="Q2493" s="53">
        <v>1</v>
      </c>
      <c r="R2493" s="69">
        <f t="shared" ref="R2493" si="1782">1/Q2493</f>
        <v>1</v>
      </c>
      <c r="S2493" s="70">
        <f t="shared" ref="S2493" si="1783">R2493*N2493</f>
        <v>96</v>
      </c>
    </row>
    <row r="2494" spans="1:19" ht="15.6" hidden="1" customHeight="1" thickBot="1" x14ac:dyDescent="0.3">
      <c r="A2494" t="s">
        <v>23</v>
      </c>
      <c r="B2494" s="60" t="str">
        <f t="shared" si="1781"/>
        <v>hide</v>
      </c>
      <c r="D2494" s="48" t="str">
        <f>D2493</f>
        <v>31751</v>
      </c>
      <c r="E2494" s="7"/>
      <c r="F2494" s="27">
        <v>0</v>
      </c>
      <c r="G2494" s="27">
        <v>0</v>
      </c>
      <c r="H2494" s="27">
        <v>0</v>
      </c>
      <c r="I2494" s="27">
        <v>0</v>
      </c>
      <c r="J2494" s="27">
        <v>0</v>
      </c>
      <c r="K2494" s="63">
        <f>AVERAGE(I2494:J2494)</f>
        <v>0</v>
      </c>
      <c r="L2494" s="56" t="str">
        <f>"EQP-LAWPACK1"</f>
        <v>EQP-LAWPACK1</v>
      </c>
      <c r="M2494" s="14"/>
      <c r="N2494" s="15"/>
      <c r="O2494" s="12"/>
      <c r="P2494" s="34"/>
      <c r="Q2494" s="37"/>
      <c r="R2494" s="47"/>
      <c r="S2494" s="46"/>
    </row>
    <row r="2495" spans="1:19" ht="15.6" hidden="1" customHeight="1" thickBot="1" x14ac:dyDescent="0.3">
      <c r="A2495" t="s">
        <v>23</v>
      </c>
      <c r="B2495" s="60" t="str">
        <f t="shared" ref="B2495:B2497" si="1784">IF(K2495=0,"hide","")</f>
        <v>hide</v>
      </c>
      <c r="D2495" s="48" t="str">
        <f>D2494</f>
        <v>31751</v>
      </c>
      <c r="E2495" s="7"/>
      <c r="F2495" s="27">
        <v>0</v>
      </c>
      <c r="G2495" s="27">
        <v>0</v>
      </c>
      <c r="H2495" s="27">
        <v>0</v>
      </c>
      <c r="I2495" s="27">
        <v>0</v>
      </c>
      <c r="J2495" s="27">
        <v>0</v>
      </c>
      <c r="K2495" s="63">
        <f>AVERAGE(I2495:J2495)</f>
        <v>0</v>
      </c>
      <c r="L2495" s="56" t="str">
        <f>"EQP-LAWPACK2"</f>
        <v>EQP-LAWPACK2</v>
      </c>
      <c r="M2495" s="14"/>
      <c r="N2495" s="15"/>
      <c r="O2495" s="12"/>
      <c r="P2495" s="34"/>
      <c r="Q2495" s="37"/>
      <c r="R2495" s="47"/>
      <c r="S2495" s="46"/>
    </row>
    <row r="2496" spans="1:19" ht="15.6" hidden="1" customHeight="1" thickBot="1" x14ac:dyDescent="0.3">
      <c r="A2496" t="s">
        <v>23</v>
      </c>
      <c r="B2496" s="60" t="str">
        <f t="shared" si="1784"/>
        <v>hide</v>
      </c>
      <c r="D2496" s="48" t="str">
        <f>D2495</f>
        <v>31751</v>
      </c>
      <c r="E2496" s="7"/>
      <c r="F2496" s="27">
        <v>0</v>
      </c>
      <c r="G2496" s="27">
        <v>0</v>
      </c>
      <c r="H2496" s="27">
        <v>0</v>
      </c>
      <c r="I2496" s="27">
        <v>0</v>
      </c>
      <c r="J2496" s="27">
        <v>0</v>
      </c>
      <c r="K2496" s="63">
        <f>AVERAGE(I2496:J2496)</f>
        <v>0</v>
      </c>
      <c r="L2496" s="56" t="str">
        <f>"SW-COMAS-PACKL"</f>
        <v>SW-COMAS-PACKL</v>
      </c>
      <c r="M2496" s="14"/>
      <c r="N2496" s="15"/>
      <c r="O2496" s="12"/>
      <c r="P2496" s="34"/>
      <c r="Q2496" s="37"/>
      <c r="R2496" s="47"/>
      <c r="S2496" s="46"/>
    </row>
    <row r="2497" spans="1:19" ht="15.6" hidden="1" customHeight="1" thickBot="1" x14ac:dyDescent="0.3">
      <c r="A2497" t="s">
        <v>23</v>
      </c>
      <c r="B2497" s="60" t="str">
        <f t="shared" si="1784"/>
        <v>hide</v>
      </c>
      <c r="D2497" s="48" t="str">
        <f>D2496</f>
        <v>31751</v>
      </c>
      <c r="E2497" s="7"/>
      <c r="F2497" s="27">
        <v>0</v>
      </c>
      <c r="G2497" s="27">
        <v>0</v>
      </c>
      <c r="H2497" s="27">
        <v>0</v>
      </c>
      <c r="I2497" s="27">
        <v>0</v>
      </c>
      <c r="J2497" s="27">
        <v>0</v>
      </c>
      <c r="K2497" s="63">
        <f>AVERAGE(I2497:J2497)</f>
        <v>0</v>
      </c>
      <c r="L2497" s="56" t="str">
        <f>"SW-RISER-PACK"</f>
        <v>SW-RISER-PACK</v>
      </c>
      <c r="M2497" s="14"/>
      <c r="N2497" s="15"/>
      <c r="O2497" s="12"/>
      <c r="P2497" s="34"/>
      <c r="Q2497" s="37"/>
      <c r="R2497" s="47"/>
      <c r="S2497" s="46"/>
    </row>
    <row r="2498" spans="1:19" ht="12" hidden="1" customHeight="1" x14ac:dyDescent="0.3">
      <c r="A2498" s="35" t="s">
        <v>908</v>
      </c>
      <c r="B2498" s="49" t="str">
        <f>B2494</f>
        <v>hide</v>
      </c>
      <c r="N2498"/>
      <c r="Q2498" s="33"/>
    </row>
    <row r="2499" spans="1:19" ht="13.8" hidden="1" thickBot="1" x14ac:dyDescent="0.3">
      <c r="A2499" t="s">
        <v>23</v>
      </c>
      <c r="B2499" s="49" t="str">
        <f t="shared" ref="B2499" si="1785">B2498</f>
        <v>hide</v>
      </c>
      <c r="D2499" s="58"/>
      <c r="E2499" s="58"/>
      <c r="F2499" s="52">
        <f>SUM(F2494:F2498)</f>
        <v>0</v>
      </c>
      <c r="G2499" s="52">
        <f>SUM(G2494:G2498)</f>
        <v>0</v>
      </c>
      <c r="H2499" s="52">
        <f>SUM(H2494:H2498)</f>
        <v>0</v>
      </c>
      <c r="I2499" s="52">
        <f>SUM(I2494:I2498)</f>
        <v>0</v>
      </c>
      <c r="J2499" s="52">
        <f>SUM(J2494:J2498)</f>
        <v>0</v>
      </c>
      <c r="K2499" s="52"/>
      <c r="L2499" s="51" t="s">
        <v>4</v>
      </c>
      <c r="M2499" s="58"/>
      <c r="N2499" s="58"/>
      <c r="O2499" s="58"/>
      <c r="P2499" s="58"/>
      <c r="Q2499" s="58"/>
      <c r="R2499" s="58"/>
      <c r="S2499" s="58"/>
    </row>
    <row r="2500" spans="1:19" s="59" customFormat="1" ht="18.75" customHeight="1" thickBot="1" x14ac:dyDescent="0.3">
      <c r="A2500" s="59" t="s">
        <v>23</v>
      </c>
      <c r="B2500" s="60" t="str">
        <f t="shared" ref="B2500:B2501" si="1786">IF(K2500=0,"hide","")</f>
        <v/>
      </c>
      <c r="D2500" s="61" t="str">
        <f>"31801"</f>
        <v>31801</v>
      </c>
      <c r="E2500" s="62" t="str">
        <f>"4"</f>
        <v>4</v>
      </c>
      <c r="F2500" s="63">
        <v>808.91666666666663</v>
      </c>
      <c r="G2500" s="63">
        <v>1259.9166666666667</v>
      </c>
      <c r="H2500" s="63">
        <v>1158.9166666666667</v>
      </c>
      <c r="I2500" s="63">
        <v>1066.5833333333333</v>
      </c>
      <c r="J2500" s="63">
        <v>297.86602409638556</v>
      </c>
      <c r="K2500" s="63">
        <f>AVERAGE(I2500:J2500)</f>
        <v>682.22467871485946</v>
      </c>
      <c r="L2500" s="64" t="str">
        <f>"BLUEBERRY MUFFINS"</f>
        <v>BLUEBERRY MUFFINS</v>
      </c>
      <c r="M2500" s="65" t="str">
        <f>"96-2.5 oz. 16-6pks"</f>
        <v>96-2.5 oz. 16-6pks</v>
      </c>
      <c r="N2500" s="66">
        <v>96</v>
      </c>
      <c r="O2500" s="67" t="str">
        <f>""</f>
        <v/>
      </c>
      <c r="P2500" s="68" t="e">
        <f>1/O2500</f>
        <v>#VALUE!</v>
      </c>
      <c r="Q2500" s="53">
        <v>1</v>
      </c>
      <c r="R2500" s="69">
        <f t="shared" ref="R2500" si="1787">1/Q2500</f>
        <v>1</v>
      </c>
      <c r="S2500" s="70">
        <f t="shared" ref="S2500" si="1788">R2500*N2500</f>
        <v>96</v>
      </c>
    </row>
    <row r="2501" spans="1:19" ht="15.6" hidden="1" customHeight="1" thickBot="1" x14ac:dyDescent="0.3">
      <c r="A2501" t="s">
        <v>23</v>
      </c>
      <c r="B2501" s="60" t="str">
        <f t="shared" si="1786"/>
        <v>hide</v>
      </c>
      <c r="D2501" s="48" t="str">
        <f>D2500</f>
        <v>31801</v>
      </c>
      <c r="E2501" s="7"/>
      <c r="F2501" s="27">
        <v>0</v>
      </c>
      <c r="G2501" s="27">
        <v>0</v>
      </c>
      <c r="H2501" s="27">
        <v>0</v>
      </c>
      <c r="I2501" s="27">
        <v>0</v>
      </c>
      <c r="J2501" s="27">
        <v>0</v>
      </c>
      <c r="K2501" s="63">
        <f>AVERAGE(I2501:J2501)</f>
        <v>0</v>
      </c>
      <c r="L2501" s="56" t="str">
        <f>"EQP-LAWPACK1"</f>
        <v>EQP-LAWPACK1</v>
      </c>
      <c r="M2501" s="14"/>
      <c r="N2501" s="15"/>
      <c r="O2501" s="12"/>
      <c r="P2501" s="34"/>
      <c r="Q2501" s="37"/>
      <c r="R2501" s="47"/>
      <c r="S2501" s="46"/>
    </row>
    <row r="2502" spans="1:19" ht="15.6" hidden="1" customHeight="1" thickBot="1" x14ac:dyDescent="0.3">
      <c r="A2502" t="s">
        <v>23</v>
      </c>
      <c r="B2502" s="60" t="str">
        <f t="shared" ref="B2502:B2504" si="1789">IF(K2502=0,"hide","")</f>
        <v>hide</v>
      </c>
      <c r="D2502" s="48" t="str">
        <f>D2501</f>
        <v>31801</v>
      </c>
      <c r="E2502" s="7"/>
      <c r="F2502" s="27">
        <v>0</v>
      </c>
      <c r="G2502" s="27">
        <v>0</v>
      </c>
      <c r="H2502" s="27">
        <v>0</v>
      </c>
      <c r="I2502" s="27">
        <v>0</v>
      </c>
      <c r="J2502" s="27">
        <v>0</v>
      </c>
      <c r="K2502" s="63">
        <f>AVERAGE(I2502:J2502)</f>
        <v>0</v>
      </c>
      <c r="L2502" s="56" t="str">
        <f>"EQP-LAWPACK2"</f>
        <v>EQP-LAWPACK2</v>
      </c>
      <c r="M2502" s="14"/>
      <c r="N2502" s="15"/>
      <c r="O2502" s="12"/>
      <c r="P2502" s="34"/>
      <c r="Q2502" s="37"/>
      <c r="R2502" s="47"/>
      <c r="S2502" s="46"/>
    </row>
    <row r="2503" spans="1:19" ht="15.6" hidden="1" customHeight="1" thickBot="1" x14ac:dyDescent="0.3">
      <c r="A2503" t="s">
        <v>23</v>
      </c>
      <c r="B2503" s="60" t="str">
        <f t="shared" si="1789"/>
        <v>hide</v>
      </c>
      <c r="D2503" s="48" t="str">
        <f>D2502</f>
        <v>31801</v>
      </c>
      <c r="E2503" s="7"/>
      <c r="F2503" s="27">
        <v>0</v>
      </c>
      <c r="G2503" s="27">
        <v>0</v>
      </c>
      <c r="H2503" s="27">
        <v>0</v>
      </c>
      <c r="I2503" s="27">
        <v>0</v>
      </c>
      <c r="J2503" s="27">
        <v>0</v>
      </c>
      <c r="K2503" s="63">
        <f>AVERAGE(I2503:J2503)</f>
        <v>0</v>
      </c>
      <c r="L2503" s="56" t="str">
        <f>"SW-COMAS-PACKL"</f>
        <v>SW-COMAS-PACKL</v>
      </c>
      <c r="M2503" s="14"/>
      <c r="N2503" s="15"/>
      <c r="O2503" s="12"/>
      <c r="P2503" s="34"/>
      <c r="Q2503" s="37"/>
      <c r="R2503" s="47"/>
      <c r="S2503" s="46"/>
    </row>
    <row r="2504" spans="1:19" ht="15.6" hidden="1" customHeight="1" thickBot="1" x14ac:dyDescent="0.3">
      <c r="A2504" t="s">
        <v>23</v>
      </c>
      <c r="B2504" s="60" t="str">
        <f t="shared" si="1789"/>
        <v>hide</v>
      </c>
      <c r="D2504" s="48" t="str">
        <f>D2503</f>
        <v>31801</v>
      </c>
      <c r="E2504" s="7"/>
      <c r="F2504" s="27">
        <v>0</v>
      </c>
      <c r="G2504" s="27">
        <v>0</v>
      </c>
      <c r="H2504" s="27">
        <v>0</v>
      </c>
      <c r="I2504" s="27">
        <v>0</v>
      </c>
      <c r="J2504" s="27">
        <v>0</v>
      </c>
      <c r="K2504" s="63">
        <f>AVERAGE(I2504:J2504)</f>
        <v>0</v>
      </c>
      <c r="L2504" s="56" t="str">
        <f>"SW-RISER-PACK"</f>
        <v>SW-RISER-PACK</v>
      </c>
      <c r="M2504" s="14"/>
      <c r="N2504" s="15"/>
      <c r="O2504" s="12"/>
      <c r="P2504" s="34"/>
      <c r="Q2504" s="37"/>
      <c r="R2504" s="47"/>
      <c r="S2504" s="46"/>
    </row>
    <row r="2505" spans="1:19" ht="12" hidden="1" customHeight="1" x14ac:dyDescent="0.3">
      <c r="A2505" s="35" t="s">
        <v>908</v>
      </c>
      <c r="B2505" s="49" t="str">
        <f>B2501</f>
        <v>hide</v>
      </c>
      <c r="N2505"/>
      <c r="Q2505" s="33"/>
    </row>
    <row r="2506" spans="1:19" ht="13.8" hidden="1" thickBot="1" x14ac:dyDescent="0.3">
      <c r="A2506" t="s">
        <v>23</v>
      </c>
      <c r="B2506" s="49" t="str">
        <f t="shared" ref="B2506" si="1790">B2505</f>
        <v>hide</v>
      </c>
      <c r="D2506" s="58"/>
      <c r="E2506" s="58"/>
      <c r="F2506" s="52">
        <f>SUM(F2501:F2505)</f>
        <v>0</v>
      </c>
      <c r="G2506" s="52">
        <f>SUM(G2501:G2505)</f>
        <v>0</v>
      </c>
      <c r="H2506" s="52">
        <f>SUM(H2501:H2505)</f>
        <v>0</v>
      </c>
      <c r="I2506" s="52">
        <f>SUM(I2501:I2505)</f>
        <v>0</v>
      </c>
      <c r="J2506" s="52">
        <f>SUM(J2501:J2505)</f>
        <v>0</v>
      </c>
      <c r="K2506" s="52"/>
      <c r="L2506" s="51" t="s">
        <v>4</v>
      </c>
      <c r="M2506" s="58"/>
      <c r="N2506" s="58"/>
      <c r="O2506" s="58"/>
      <c r="P2506" s="58"/>
      <c r="Q2506" s="58"/>
      <c r="R2506" s="58"/>
      <c r="S2506" s="58"/>
    </row>
    <row r="2507" spans="1:19" s="59" customFormat="1" ht="18.75" customHeight="1" thickBot="1" x14ac:dyDescent="0.3">
      <c r="A2507" s="59" t="s">
        <v>23</v>
      </c>
      <c r="B2507" s="60" t="str">
        <f t="shared" ref="B2507:B2508" si="1791">IF(K2507=0,"hide","")</f>
        <v/>
      </c>
      <c r="D2507" s="61" t="str">
        <f>"31805"</f>
        <v>31805</v>
      </c>
      <c r="E2507" s="62" t="str">
        <f>"4"</f>
        <v>4</v>
      </c>
      <c r="F2507" s="63">
        <v>938.41666666666663</v>
      </c>
      <c r="G2507" s="63">
        <v>1285.5833333333333</v>
      </c>
      <c r="H2507" s="63">
        <v>1164.75</v>
      </c>
      <c r="I2507" s="63">
        <v>978.33333333333337</v>
      </c>
      <c r="J2507" s="63">
        <v>217.39855421686747</v>
      </c>
      <c r="K2507" s="63">
        <f>AVERAGE(I2507:J2507)</f>
        <v>597.86594377510039</v>
      </c>
      <c r="L2507" s="64" t="str">
        <f>"CORN MUFFINS"</f>
        <v>CORN MUFFINS</v>
      </c>
      <c r="M2507" s="65" t="str">
        <f>"96-2.5 oz. 16-6pks"</f>
        <v>96-2.5 oz. 16-6pks</v>
      </c>
      <c r="N2507" s="66">
        <v>96</v>
      </c>
      <c r="O2507" s="67" t="str">
        <f>""</f>
        <v/>
      </c>
      <c r="P2507" s="68" t="e">
        <f>1/O2507</f>
        <v>#VALUE!</v>
      </c>
      <c r="Q2507" s="53">
        <v>1</v>
      </c>
      <c r="R2507" s="69">
        <f t="shared" ref="R2507" si="1792">1/Q2507</f>
        <v>1</v>
      </c>
      <c r="S2507" s="70">
        <f t="shared" ref="S2507" si="1793">R2507*N2507</f>
        <v>96</v>
      </c>
    </row>
    <row r="2508" spans="1:19" ht="15.6" hidden="1" customHeight="1" thickBot="1" x14ac:dyDescent="0.3">
      <c r="A2508" t="s">
        <v>23</v>
      </c>
      <c r="B2508" s="60" t="str">
        <f t="shared" si="1791"/>
        <v>hide</v>
      </c>
      <c r="D2508" s="48" t="str">
        <f>D2507</f>
        <v>31805</v>
      </c>
      <c r="E2508" s="7"/>
      <c r="F2508" s="27">
        <v>0</v>
      </c>
      <c r="G2508" s="27">
        <v>0</v>
      </c>
      <c r="H2508" s="27">
        <v>0</v>
      </c>
      <c r="I2508" s="27">
        <v>0</v>
      </c>
      <c r="J2508" s="27">
        <v>0</v>
      </c>
      <c r="K2508" s="63">
        <f>AVERAGE(I2508:J2508)</f>
        <v>0</v>
      </c>
      <c r="L2508" s="56" t="str">
        <f>"EQP-LAWPACK1"</f>
        <v>EQP-LAWPACK1</v>
      </c>
      <c r="M2508" s="14"/>
      <c r="N2508" s="15"/>
      <c r="O2508" s="12"/>
      <c r="P2508" s="34"/>
      <c r="Q2508" s="37"/>
      <c r="R2508" s="47"/>
      <c r="S2508" s="46"/>
    </row>
    <row r="2509" spans="1:19" ht="15.6" hidden="1" customHeight="1" thickBot="1" x14ac:dyDescent="0.3">
      <c r="A2509" t="s">
        <v>23</v>
      </c>
      <c r="B2509" s="60" t="str">
        <f t="shared" ref="B2509:B2511" si="1794">IF(K2509=0,"hide","")</f>
        <v>hide</v>
      </c>
      <c r="D2509" s="48" t="str">
        <f>D2508</f>
        <v>31805</v>
      </c>
      <c r="E2509" s="7"/>
      <c r="F2509" s="27">
        <v>0</v>
      </c>
      <c r="G2509" s="27">
        <v>0</v>
      </c>
      <c r="H2509" s="27">
        <v>0</v>
      </c>
      <c r="I2509" s="27">
        <v>0</v>
      </c>
      <c r="J2509" s="27">
        <v>0</v>
      </c>
      <c r="K2509" s="63">
        <f>AVERAGE(I2509:J2509)</f>
        <v>0</v>
      </c>
      <c r="L2509" s="56" t="str">
        <f>"EQP-LAWPACK2"</f>
        <v>EQP-LAWPACK2</v>
      </c>
      <c r="M2509" s="14"/>
      <c r="N2509" s="15"/>
      <c r="O2509" s="12"/>
      <c r="P2509" s="34"/>
      <c r="Q2509" s="37"/>
      <c r="R2509" s="47"/>
      <c r="S2509" s="46"/>
    </row>
    <row r="2510" spans="1:19" ht="15.6" hidden="1" customHeight="1" thickBot="1" x14ac:dyDescent="0.3">
      <c r="A2510" t="s">
        <v>23</v>
      </c>
      <c r="B2510" s="60" t="str">
        <f t="shared" si="1794"/>
        <v>hide</v>
      </c>
      <c r="D2510" s="48" t="str">
        <f>D2509</f>
        <v>31805</v>
      </c>
      <c r="E2510" s="7"/>
      <c r="F2510" s="27">
        <v>0</v>
      </c>
      <c r="G2510" s="27">
        <v>0</v>
      </c>
      <c r="H2510" s="27">
        <v>0</v>
      </c>
      <c r="I2510" s="27">
        <v>0</v>
      </c>
      <c r="J2510" s="27">
        <v>0</v>
      </c>
      <c r="K2510" s="63">
        <f>AVERAGE(I2510:J2510)</f>
        <v>0</v>
      </c>
      <c r="L2510" s="56" t="str">
        <f>"SW-COMAS-PACKL"</f>
        <v>SW-COMAS-PACKL</v>
      </c>
      <c r="M2510" s="14"/>
      <c r="N2510" s="15"/>
      <c r="O2510" s="12"/>
      <c r="P2510" s="34"/>
      <c r="Q2510" s="37"/>
      <c r="R2510" s="47"/>
      <c r="S2510" s="46"/>
    </row>
    <row r="2511" spans="1:19" ht="15.6" hidden="1" customHeight="1" thickBot="1" x14ac:dyDescent="0.3">
      <c r="A2511" t="s">
        <v>23</v>
      </c>
      <c r="B2511" s="60" t="str">
        <f t="shared" si="1794"/>
        <v>hide</v>
      </c>
      <c r="D2511" s="48" t="str">
        <f>D2510</f>
        <v>31805</v>
      </c>
      <c r="E2511" s="7"/>
      <c r="F2511" s="27">
        <v>0</v>
      </c>
      <c r="G2511" s="27">
        <v>0</v>
      </c>
      <c r="H2511" s="27">
        <v>0</v>
      </c>
      <c r="I2511" s="27">
        <v>0</v>
      </c>
      <c r="J2511" s="27">
        <v>0</v>
      </c>
      <c r="K2511" s="63">
        <f>AVERAGE(I2511:J2511)</f>
        <v>0</v>
      </c>
      <c r="L2511" s="56" t="str">
        <f>"SW-RISER-PACK"</f>
        <v>SW-RISER-PACK</v>
      </c>
      <c r="M2511" s="14"/>
      <c r="N2511" s="15"/>
      <c r="O2511" s="12"/>
      <c r="P2511" s="34"/>
      <c r="Q2511" s="37"/>
      <c r="R2511" s="47"/>
      <c r="S2511" s="46"/>
    </row>
    <row r="2512" spans="1:19" ht="12" hidden="1" customHeight="1" x14ac:dyDescent="0.3">
      <c r="A2512" s="35" t="s">
        <v>908</v>
      </c>
      <c r="B2512" s="49" t="str">
        <f>B2508</f>
        <v>hide</v>
      </c>
      <c r="N2512"/>
      <c r="Q2512" s="33"/>
    </row>
    <row r="2513" spans="1:19" ht="13.8" hidden="1" thickBot="1" x14ac:dyDescent="0.3">
      <c r="A2513" t="s">
        <v>23</v>
      </c>
      <c r="B2513" s="49" t="str">
        <f t="shared" ref="B2513" si="1795">B2512</f>
        <v>hide</v>
      </c>
      <c r="D2513" s="58"/>
      <c r="E2513" s="58"/>
      <c r="F2513" s="52">
        <f>SUM(F2508:F2512)</f>
        <v>0</v>
      </c>
      <c r="G2513" s="52">
        <f>SUM(G2508:G2512)</f>
        <v>0</v>
      </c>
      <c r="H2513" s="52">
        <f>SUM(H2508:H2512)</f>
        <v>0</v>
      </c>
      <c r="I2513" s="52">
        <f>SUM(I2508:I2512)</f>
        <v>0</v>
      </c>
      <c r="J2513" s="52">
        <f>SUM(J2508:J2512)</f>
        <v>0</v>
      </c>
      <c r="K2513" s="52"/>
      <c r="L2513" s="51" t="s">
        <v>4</v>
      </c>
      <c r="M2513" s="58"/>
      <c r="N2513" s="58"/>
      <c r="O2513" s="58"/>
      <c r="P2513" s="58"/>
      <c r="Q2513" s="58"/>
      <c r="R2513" s="58"/>
      <c r="S2513" s="58"/>
    </row>
    <row r="2514" spans="1:19" s="59" customFormat="1" ht="18.75" customHeight="1" thickBot="1" x14ac:dyDescent="0.3">
      <c r="A2514" s="59" t="s">
        <v>23</v>
      </c>
      <c r="B2514" s="60" t="str">
        <f t="shared" ref="B2514:B2515" si="1796">IF(K2514=0,"hide","")</f>
        <v/>
      </c>
      <c r="D2514" s="61" t="str">
        <f>"31810"</f>
        <v>31810</v>
      </c>
      <c r="E2514" s="62" t="str">
        <f>"4"</f>
        <v>4</v>
      </c>
      <c r="F2514" s="63">
        <v>574</v>
      </c>
      <c r="G2514" s="63">
        <v>868.41666666666663</v>
      </c>
      <c r="H2514" s="63">
        <v>811.58333333333337</v>
      </c>
      <c r="I2514" s="63">
        <v>779.08333333333337</v>
      </c>
      <c r="J2514" s="63">
        <v>175.66457831325303</v>
      </c>
      <c r="K2514" s="63">
        <f>AVERAGE(I2514:J2514)</f>
        <v>477.37395582329322</v>
      </c>
      <c r="L2514" s="64" t="str">
        <f>"CHOCOLATE CHIP MUFFINS"</f>
        <v>CHOCOLATE CHIP MUFFINS</v>
      </c>
      <c r="M2514" s="65" t="str">
        <f>"96-2.5 oz. 16-6pks"</f>
        <v>96-2.5 oz. 16-6pks</v>
      </c>
      <c r="N2514" s="66">
        <v>96</v>
      </c>
      <c r="O2514" s="67" t="str">
        <f>""</f>
        <v/>
      </c>
      <c r="P2514" s="68" t="e">
        <f>1/O2514</f>
        <v>#VALUE!</v>
      </c>
      <c r="Q2514" s="53">
        <v>1</v>
      </c>
      <c r="R2514" s="69">
        <f t="shared" ref="R2514" si="1797">1/Q2514</f>
        <v>1</v>
      </c>
      <c r="S2514" s="70">
        <f t="shared" ref="S2514" si="1798">R2514*N2514</f>
        <v>96</v>
      </c>
    </row>
    <row r="2515" spans="1:19" ht="15.6" hidden="1" customHeight="1" thickBot="1" x14ac:dyDescent="0.3">
      <c r="A2515" t="s">
        <v>23</v>
      </c>
      <c r="B2515" s="60" t="str">
        <f t="shared" si="1796"/>
        <v>hide</v>
      </c>
      <c r="D2515" s="48" t="str">
        <f>D2514</f>
        <v>31810</v>
      </c>
      <c r="E2515" s="7"/>
      <c r="F2515" s="27">
        <v>0</v>
      </c>
      <c r="G2515" s="27">
        <v>0</v>
      </c>
      <c r="H2515" s="27">
        <v>0</v>
      </c>
      <c r="I2515" s="27">
        <v>0</v>
      </c>
      <c r="J2515" s="27">
        <v>0</v>
      </c>
      <c r="K2515" s="63">
        <f>AVERAGE(I2515:J2515)</f>
        <v>0</v>
      </c>
      <c r="L2515" s="56" t="str">
        <f>"EQP-LAWPACK1"</f>
        <v>EQP-LAWPACK1</v>
      </c>
      <c r="M2515" s="14"/>
      <c r="N2515" s="15"/>
      <c r="O2515" s="12"/>
      <c r="P2515" s="34"/>
      <c r="Q2515" s="37"/>
      <c r="R2515" s="47"/>
      <c r="S2515" s="46"/>
    </row>
    <row r="2516" spans="1:19" ht="15.6" hidden="1" customHeight="1" thickBot="1" x14ac:dyDescent="0.3">
      <c r="A2516" t="s">
        <v>23</v>
      </c>
      <c r="B2516" s="60" t="str">
        <f t="shared" ref="B2516:B2518" si="1799">IF(K2516=0,"hide","")</f>
        <v>hide</v>
      </c>
      <c r="D2516" s="48" t="str">
        <f>D2515</f>
        <v>31810</v>
      </c>
      <c r="E2516" s="7"/>
      <c r="F2516" s="27">
        <v>0</v>
      </c>
      <c r="G2516" s="27">
        <v>0</v>
      </c>
      <c r="H2516" s="27">
        <v>0</v>
      </c>
      <c r="I2516" s="27">
        <v>0</v>
      </c>
      <c r="J2516" s="27">
        <v>0</v>
      </c>
      <c r="K2516" s="63">
        <f>AVERAGE(I2516:J2516)</f>
        <v>0</v>
      </c>
      <c r="L2516" s="56" t="str">
        <f>"EQP-LAWPACK2"</f>
        <v>EQP-LAWPACK2</v>
      </c>
      <c r="M2516" s="14"/>
      <c r="N2516" s="15"/>
      <c r="O2516" s="12"/>
      <c r="P2516" s="34"/>
      <c r="Q2516" s="37"/>
      <c r="R2516" s="47"/>
      <c r="S2516" s="46"/>
    </row>
    <row r="2517" spans="1:19" ht="15.6" hidden="1" customHeight="1" thickBot="1" x14ac:dyDescent="0.3">
      <c r="A2517" t="s">
        <v>23</v>
      </c>
      <c r="B2517" s="60" t="str">
        <f t="shared" si="1799"/>
        <v>hide</v>
      </c>
      <c r="D2517" s="48" t="str">
        <f>D2516</f>
        <v>31810</v>
      </c>
      <c r="E2517" s="7"/>
      <c r="F2517" s="27">
        <v>0</v>
      </c>
      <c r="G2517" s="27">
        <v>0</v>
      </c>
      <c r="H2517" s="27">
        <v>0</v>
      </c>
      <c r="I2517" s="27">
        <v>0</v>
      </c>
      <c r="J2517" s="27">
        <v>0</v>
      </c>
      <c r="K2517" s="63">
        <f>AVERAGE(I2517:J2517)</f>
        <v>0</v>
      </c>
      <c r="L2517" s="56" t="str">
        <f>"SW-COMAS-PACKL"</f>
        <v>SW-COMAS-PACKL</v>
      </c>
      <c r="M2517" s="14"/>
      <c r="N2517" s="15"/>
      <c r="O2517" s="12"/>
      <c r="P2517" s="34"/>
      <c r="Q2517" s="37"/>
      <c r="R2517" s="47"/>
      <c r="S2517" s="46"/>
    </row>
    <row r="2518" spans="1:19" ht="15.6" hidden="1" customHeight="1" thickBot="1" x14ac:dyDescent="0.3">
      <c r="A2518" t="s">
        <v>23</v>
      </c>
      <c r="B2518" s="60" t="str">
        <f t="shared" si="1799"/>
        <v>hide</v>
      </c>
      <c r="D2518" s="48" t="str">
        <f>D2517</f>
        <v>31810</v>
      </c>
      <c r="E2518" s="7"/>
      <c r="F2518" s="27">
        <v>0</v>
      </c>
      <c r="G2518" s="27">
        <v>0</v>
      </c>
      <c r="H2518" s="27">
        <v>0</v>
      </c>
      <c r="I2518" s="27">
        <v>0</v>
      </c>
      <c r="J2518" s="27">
        <v>0</v>
      </c>
      <c r="K2518" s="63">
        <f>AVERAGE(I2518:J2518)</f>
        <v>0</v>
      </c>
      <c r="L2518" s="56" t="str">
        <f>"SW-RISER-PACK"</f>
        <v>SW-RISER-PACK</v>
      </c>
      <c r="M2518" s="14"/>
      <c r="N2518" s="15"/>
      <c r="O2518" s="12"/>
      <c r="P2518" s="34"/>
      <c r="Q2518" s="37"/>
      <c r="R2518" s="47"/>
      <c r="S2518" s="46"/>
    </row>
    <row r="2519" spans="1:19" ht="12" hidden="1" customHeight="1" x14ac:dyDescent="0.3">
      <c r="A2519" s="35" t="s">
        <v>908</v>
      </c>
      <c r="B2519" s="49" t="str">
        <f>B2515</f>
        <v>hide</v>
      </c>
      <c r="N2519"/>
      <c r="Q2519" s="33"/>
    </row>
    <row r="2520" spans="1:19" ht="13.8" hidden="1" thickBot="1" x14ac:dyDescent="0.3">
      <c r="A2520" t="s">
        <v>23</v>
      </c>
      <c r="B2520" s="49" t="str">
        <f t="shared" ref="B2520" si="1800">B2519</f>
        <v>hide</v>
      </c>
      <c r="D2520" s="58"/>
      <c r="E2520" s="58"/>
      <c r="F2520" s="52">
        <f>SUM(F2515:F2519)</f>
        <v>0</v>
      </c>
      <c r="G2520" s="52">
        <f>SUM(G2515:G2519)</f>
        <v>0</v>
      </c>
      <c r="H2520" s="52">
        <f>SUM(H2515:H2519)</f>
        <v>0</v>
      </c>
      <c r="I2520" s="52">
        <f>SUM(I2515:I2519)</f>
        <v>0</v>
      </c>
      <c r="J2520" s="52">
        <f>SUM(J2515:J2519)</f>
        <v>0</v>
      </c>
      <c r="K2520" s="52"/>
      <c r="L2520" s="51" t="s">
        <v>4</v>
      </c>
      <c r="M2520" s="58"/>
      <c r="N2520" s="58"/>
      <c r="O2520" s="58"/>
      <c r="P2520" s="58"/>
      <c r="Q2520" s="58"/>
      <c r="R2520" s="58"/>
      <c r="S2520" s="58"/>
    </row>
    <row r="2521" spans="1:19" s="59" customFormat="1" ht="18.75" hidden="1" customHeight="1" thickBot="1" x14ac:dyDescent="0.3">
      <c r="A2521" s="59" t="s">
        <v>23</v>
      </c>
      <c r="B2521" s="60" t="str">
        <f t="shared" ref="B2521:B2522" si="1801">IF(K2521=0,"hide","")</f>
        <v>hide</v>
      </c>
      <c r="D2521" s="61" t="str">
        <f>"31836"</f>
        <v>31836</v>
      </c>
      <c r="E2521" s="62" t="str">
        <f>"3"</f>
        <v>3</v>
      </c>
      <c r="F2521" s="63">
        <v>0</v>
      </c>
      <c r="G2521" s="63">
        <v>0</v>
      </c>
      <c r="H2521" s="63">
        <v>0</v>
      </c>
      <c r="I2521" s="63">
        <v>0</v>
      </c>
      <c r="J2521" s="63">
        <v>0</v>
      </c>
      <c r="K2521" s="63">
        <f>AVERAGE(I2521:J2521)</f>
        <v>0</v>
      </c>
      <c r="L2521" s="64" t="str">
        <f>"COFFEE CAKE MUFFINS"</f>
        <v>COFFEE CAKE MUFFINS</v>
      </c>
      <c r="M2521" s="65" t="str">
        <f>"96-2.5 oz. 16-6pks"</f>
        <v>96-2.5 oz. 16-6pks</v>
      </c>
      <c r="N2521" s="66">
        <v>96</v>
      </c>
      <c r="O2521" s="67" t="str">
        <f>""</f>
        <v/>
      </c>
      <c r="P2521" s="68" t="e">
        <f>1/O2521</f>
        <v>#VALUE!</v>
      </c>
      <c r="Q2521" s="53">
        <v>1</v>
      </c>
      <c r="R2521" s="69">
        <f t="shared" ref="R2521" si="1802">1/Q2521</f>
        <v>1</v>
      </c>
      <c r="S2521" s="70">
        <f t="shared" ref="S2521" si="1803">R2521*N2521</f>
        <v>96</v>
      </c>
    </row>
    <row r="2522" spans="1:19" ht="15.6" hidden="1" customHeight="1" thickBot="1" x14ac:dyDescent="0.3">
      <c r="A2522" t="s">
        <v>23</v>
      </c>
      <c r="B2522" s="60" t="str">
        <f t="shared" si="1801"/>
        <v>hide</v>
      </c>
      <c r="D2522" s="48" t="str">
        <f>D2521</f>
        <v>31836</v>
      </c>
      <c r="E2522" s="7"/>
      <c r="F2522" s="27">
        <v>0</v>
      </c>
      <c r="G2522" s="27">
        <v>0</v>
      </c>
      <c r="H2522" s="27">
        <v>0</v>
      </c>
      <c r="I2522" s="27">
        <v>0</v>
      </c>
      <c r="J2522" s="27">
        <v>0</v>
      </c>
      <c r="K2522" s="63">
        <f>AVERAGE(I2522:J2522)</f>
        <v>0</v>
      </c>
      <c r="L2522" s="56" t="str">
        <f>"EQP-LAWPACK1"</f>
        <v>EQP-LAWPACK1</v>
      </c>
      <c r="M2522" s="14"/>
      <c r="N2522" s="15"/>
      <c r="O2522" s="12"/>
      <c r="P2522" s="34"/>
      <c r="Q2522" s="37"/>
      <c r="R2522" s="47"/>
      <c r="S2522" s="46"/>
    </row>
    <row r="2523" spans="1:19" ht="15.6" hidden="1" customHeight="1" thickBot="1" x14ac:dyDescent="0.3">
      <c r="A2523" t="s">
        <v>23</v>
      </c>
      <c r="B2523" s="60" t="str">
        <f t="shared" ref="B2523:B2525" si="1804">IF(K2523=0,"hide","")</f>
        <v>hide</v>
      </c>
      <c r="D2523" s="48" t="str">
        <f>D2522</f>
        <v>31836</v>
      </c>
      <c r="E2523" s="7"/>
      <c r="F2523" s="27">
        <v>0</v>
      </c>
      <c r="G2523" s="27">
        <v>0</v>
      </c>
      <c r="H2523" s="27">
        <v>0</v>
      </c>
      <c r="I2523" s="27">
        <v>0</v>
      </c>
      <c r="J2523" s="27">
        <v>0</v>
      </c>
      <c r="K2523" s="63">
        <f>AVERAGE(I2523:J2523)</f>
        <v>0</v>
      </c>
      <c r="L2523" s="56" t="str">
        <f>"EQP-LAWPACK2"</f>
        <v>EQP-LAWPACK2</v>
      </c>
      <c r="M2523" s="14"/>
      <c r="N2523" s="15"/>
      <c r="O2523" s="12"/>
      <c r="P2523" s="34"/>
      <c r="Q2523" s="37"/>
      <c r="R2523" s="47"/>
      <c r="S2523" s="46"/>
    </row>
    <row r="2524" spans="1:19" ht="15.6" hidden="1" customHeight="1" thickBot="1" x14ac:dyDescent="0.3">
      <c r="A2524" t="s">
        <v>23</v>
      </c>
      <c r="B2524" s="60" t="str">
        <f t="shared" si="1804"/>
        <v>hide</v>
      </c>
      <c r="D2524" s="48" t="str">
        <f>D2523</f>
        <v>31836</v>
      </c>
      <c r="E2524" s="7"/>
      <c r="F2524" s="27">
        <v>0</v>
      </c>
      <c r="G2524" s="27">
        <v>0</v>
      </c>
      <c r="H2524" s="27">
        <v>0</v>
      </c>
      <c r="I2524" s="27">
        <v>0</v>
      </c>
      <c r="J2524" s="27">
        <v>0</v>
      </c>
      <c r="K2524" s="63">
        <f>AVERAGE(I2524:J2524)</f>
        <v>0</v>
      </c>
      <c r="L2524" s="56" t="str">
        <f>"SW-COMAS-PACKL"</f>
        <v>SW-COMAS-PACKL</v>
      </c>
      <c r="M2524" s="14"/>
      <c r="N2524" s="15"/>
      <c r="O2524" s="12"/>
      <c r="P2524" s="34"/>
      <c r="Q2524" s="37"/>
      <c r="R2524" s="47"/>
      <c r="S2524" s="46"/>
    </row>
    <row r="2525" spans="1:19" ht="15.6" hidden="1" customHeight="1" thickBot="1" x14ac:dyDescent="0.3">
      <c r="A2525" t="s">
        <v>23</v>
      </c>
      <c r="B2525" s="60" t="str">
        <f t="shared" si="1804"/>
        <v>hide</v>
      </c>
      <c r="D2525" s="48" t="str">
        <f>D2524</f>
        <v>31836</v>
      </c>
      <c r="E2525" s="7"/>
      <c r="F2525" s="27">
        <v>0</v>
      </c>
      <c r="G2525" s="27">
        <v>0</v>
      </c>
      <c r="H2525" s="27">
        <v>0</v>
      </c>
      <c r="I2525" s="27">
        <v>0</v>
      </c>
      <c r="J2525" s="27">
        <v>0</v>
      </c>
      <c r="K2525" s="63">
        <f>AVERAGE(I2525:J2525)</f>
        <v>0</v>
      </c>
      <c r="L2525" s="56" t="str">
        <f>"SW-RISER-PACK"</f>
        <v>SW-RISER-PACK</v>
      </c>
      <c r="M2525" s="14"/>
      <c r="N2525" s="15"/>
      <c r="O2525" s="12"/>
      <c r="P2525" s="34"/>
      <c r="Q2525" s="37"/>
      <c r="R2525" s="47"/>
      <c r="S2525" s="46"/>
    </row>
    <row r="2526" spans="1:19" ht="12" hidden="1" customHeight="1" x14ac:dyDescent="0.3">
      <c r="A2526" s="35" t="s">
        <v>908</v>
      </c>
      <c r="B2526" s="49" t="str">
        <f>B2522</f>
        <v>hide</v>
      </c>
      <c r="N2526"/>
      <c r="Q2526" s="33"/>
    </row>
    <row r="2527" spans="1:19" ht="13.8" hidden="1" thickBot="1" x14ac:dyDescent="0.3">
      <c r="A2527" t="s">
        <v>23</v>
      </c>
      <c r="B2527" s="49" t="str">
        <f t="shared" ref="B2527" si="1805">B2526</f>
        <v>hide</v>
      </c>
      <c r="D2527" s="58"/>
      <c r="E2527" s="58"/>
      <c r="F2527" s="52">
        <f>SUM(F2522:F2526)</f>
        <v>0</v>
      </c>
      <c r="G2527" s="52">
        <f>SUM(G2522:G2526)</f>
        <v>0</v>
      </c>
      <c r="H2527" s="52">
        <f>SUM(H2522:H2526)</f>
        <v>0</v>
      </c>
      <c r="I2527" s="52">
        <f>SUM(I2522:I2526)</f>
        <v>0</v>
      </c>
      <c r="J2527" s="52">
        <f>SUM(J2522:J2526)</f>
        <v>0</v>
      </c>
      <c r="K2527" s="52"/>
      <c r="L2527" s="51" t="s">
        <v>4</v>
      </c>
      <c r="M2527" s="58"/>
      <c r="N2527" s="58"/>
      <c r="O2527" s="58"/>
      <c r="P2527" s="58"/>
      <c r="Q2527" s="58"/>
      <c r="R2527" s="58"/>
      <c r="S2527" s="58"/>
    </row>
    <row r="2528" spans="1:19" s="59" customFormat="1" ht="18.75" customHeight="1" thickBot="1" x14ac:dyDescent="0.3">
      <c r="A2528" s="59" t="s">
        <v>23</v>
      </c>
      <c r="B2528" s="60" t="str">
        <f t="shared" ref="B2528:B2529" si="1806">IF(K2528=0,"hide","")</f>
        <v/>
      </c>
      <c r="D2528" s="61" t="str">
        <f>"32139"</f>
        <v>32139</v>
      </c>
      <c r="E2528" s="62" t="str">
        <f>"1"</f>
        <v>1</v>
      </c>
      <c r="F2528" s="63">
        <v>0</v>
      </c>
      <c r="G2528" s="63">
        <v>8.3333333333333339</v>
      </c>
      <c r="H2528" s="63">
        <v>127.25</v>
      </c>
      <c r="I2528" s="63">
        <v>76.166666666666671</v>
      </c>
      <c r="J2528" s="63">
        <v>105.69879518072288</v>
      </c>
      <c r="K2528" s="63">
        <f>AVERAGE(I2528:J2528)</f>
        <v>90.932730923694777</v>
      </c>
      <c r="L2528" s="64" t="str">
        <f>"Mini Angel Food Cake"</f>
        <v>Mini Angel Food Cake</v>
      </c>
      <c r="M2528" s="65" t="str">
        <f>"60-1.25 oz. 10 pks of 6"</f>
        <v>60-1.25 oz. 10 pks of 6</v>
      </c>
      <c r="N2528" s="66">
        <v>60</v>
      </c>
      <c r="O2528" s="67" t="str">
        <f>""</f>
        <v/>
      </c>
      <c r="P2528" s="68" t="e">
        <f>1/O2528</f>
        <v>#VALUE!</v>
      </c>
      <c r="Q2528" s="53">
        <v>1</v>
      </c>
      <c r="R2528" s="69">
        <f t="shared" ref="R2528" si="1807">1/Q2528</f>
        <v>1</v>
      </c>
      <c r="S2528" s="70">
        <f t="shared" ref="S2528" si="1808">R2528*N2528</f>
        <v>60</v>
      </c>
    </row>
    <row r="2529" spans="1:19" ht="15.6" hidden="1" customHeight="1" thickBot="1" x14ac:dyDescent="0.3">
      <c r="A2529" t="s">
        <v>23</v>
      </c>
      <c r="B2529" s="60" t="str">
        <f t="shared" si="1806"/>
        <v>hide</v>
      </c>
      <c r="D2529" s="48" t="str">
        <f>D2528</f>
        <v>32139</v>
      </c>
      <c r="E2529" s="7"/>
      <c r="F2529" s="27">
        <v>0</v>
      </c>
      <c r="G2529" s="27">
        <v>0</v>
      </c>
      <c r="H2529" s="27">
        <v>0</v>
      </c>
      <c r="I2529" s="27">
        <v>0</v>
      </c>
      <c r="J2529" s="27">
        <v>0</v>
      </c>
      <c r="K2529" s="63">
        <f>AVERAGE(I2529:J2529)</f>
        <v>0</v>
      </c>
      <c r="L2529" s="56" t="str">
        <f>"EQP-LAWPACK1"</f>
        <v>EQP-LAWPACK1</v>
      </c>
      <c r="M2529" s="14"/>
      <c r="N2529" s="15"/>
      <c r="O2529" s="12"/>
      <c r="P2529" s="34"/>
      <c r="Q2529" s="37"/>
      <c r="R2529" s="47"/>
      <c r="S2529" s="46"/>
    </row>
    <row r="2530" spans="1:19" ht="15.6" hidden="1" customHeight="1" thickBot="1" x14ac:dyDescent="0.3">
      <c r="A2530" t="s">
        <v>23</v>
      </c>
      <c r="B2530" s="60" t="str">
        <f t="shared" ref="B2530:B2532" si="1809">IF(K2530=0,"hide","")</f>
        <v>hide</v>
      </c>
      <c r="D2530" s="48" t="str">
        <f>D2529</f>
        <v>32139</v>
      </c>
      <c r="E2530" s="7"/>
      <c r="F2530" s="27">
        <v>0</v>
      </c>
      <c r="G2530" s="27">
        <v>0</v>
      </c>
      <c r="H2530" s="27">
        <v>0</v>
      </c>
      <c r="I2530" s="27">
        <v>0</v>
      </c>
      <c r="J2530" s="27">
        <v>0</v>
      </c>
      <c r="K2530" s="63">
        <f>AVERAGE(I2530:J2530)</f>
        <v>0</v>
      </c>
      <c r="L2530" s="56" t="str">
        <f>"EQP-LAWPACK2"</f>
        <v>EQP-LAWPACK2</v>
      </c>
      <c r="M2530" s="14"/>
      <c r="N2530" s="15"/>
      <c r="O2530" s="12"/>
      <c r="P2530" s="34"/>
      <c r="Q2530" s="37"/>
      <c r="R2530" s="47"/>
      <c r="S2530" s="46"/>
    </row>
    <row r="2531" spans="1:19" ht="15.6" hidden="1" customHeight="1" thickBot="1" x14ac:dyDescent="0.3">
      <c r="A2531" t="s">
        <v>23</v>
      </c>
      <c r="B2531" s="60" t="str">
        <f t="shared" si="1809"/>
        <v>hide</v>
      </c>
      <c r="D2531" s="48" t="str">
        <f>D2530</f>
        <v>32139</v>
      </c>
      <c r="E2531" s="7"/>
      <c r="F2531" s="27">
        <v>0</v>
      </c>
      <c r="G2531" s="27">
        <v>0</v>
      </c>
      <c r="H2531" s="27">
        <v>0</v>
      </c>
      <c r="I2531" s="27">
        <v>0</v>
      </c>
      <c r="J2531" s="27">
        <v>0</v>
      </c>
      <c r="K2531" s="63">
        <f>AVERAGE(I2531:J2531)</f>
        <v>0</v>
      </c>
      <c r="L2531" s="56" t="str">
        <f>"SW-COMAS-PACKL"</f>
        <v>SW-COMAS-PACKL</v>
      </c>
      <c r="M2531" s="14"/>
      <c r="N2531" s="15"/>
      <c r="O2531" s="12"/>
      <c r="P2531" s="34"/>
      <c r="Q2531" s="37"/>
      <c r="R2531" s="47"/>
      <c r="S2531" s="46"/>
    </row>
    <row r="2532" spans="1:19" ht="15.6" hidden="1" customHeight="1" thickBot="1" x14ac:dyDescent="0.3">
      <c r="A2532" t="s">
        <v>23</v>
      </c>
      <c r="B2532" s="60" t="str">
        <f t="shared" si="1809"/>
        <v>hide</v>
      </c>
      <c r="D2532" s="48" t="str">
        <f>D2531</f>
        <v>32139</v>
      </c>
      <c r="E2532" s="7"/>
      <c r="F2532" s="27">
        <v>0</v>
      </c>
      <c r="G2532" s="27">
        <v>0</v>
      </c>
      <c r="H2532" s="27">
        <v>0</v>
      </c>
      <c r="I2532" s="27">
        <v>0</v>
      </c>
      <c r="J2532" s="27">
        <v>0</v>
      </c>
      <c r="K2532" s="63">
        <f>AVERAGE(I2532:J2532)</f>
        <v>0</v>
      </c>
      <c r="L2532" s="56" t="str">
        <f>"SW-RISER-PACK"</f>
        <v>SW-RISER-PACK</v>
      </c>
      <c r="M2532" s="14"/>
      <c r="N2532" s="15"/>
      <c r="O2532" s="12"/>
      <c r="P2532" s="34"/>
      <c r="Q2532" s="37"/>
      <c r="R2532" s="47"/>
      <c r="S2532" s="46"/>
    </row>
    <row r="2533" spans="1:19" ht="12" hidden="1" customHeight="1" x14ac:dyDescent="0.3">
      <c r="A2533" s="35" t="s">
        <v>908</v>
      </c>
      <c r="B2533" s="49" t="str">
        <f>B2529</f>
        <v>hide</v>
      </c>
      <c r="N2533"/>
      <c r="Q2533" s="33"/>
    </row>
    <row r="2534" spans="1:19" ht="13.8" hidden="1" thickBot="1" x14ac:dyDescent="0.3">
      <c r="A2534" t="s">
        <v>23</v>
      </c>
      <c r="B2534" s="49" t="str">
        <f t="shared" ref="B2534" si="1810">B2533</f>
        <v>hide</v>
      </c>
      <c r="D2534" s="58"/>
      <c r="E2534" s="58"/>
      <c r="F2534" s="52">
        <f>SUM(F2529:F2533)</f>
        <v>0</v>
      </c>
      <c r="G2534" s="52">
        <f>SUM(G2529:G2533)</f>
        <v>0</v>
      </c>
      <c r="H2534" s="52">
        <f>SUM(H2529:H2533)</f>
        <v>0</v>
      </c>
      <c r="I2534" s="52">
        <f>SUM(I2529:I2533)</f>
        <v>0</v>
      </c>
      <c r="J2534" s="52">
        <f>SUM(J2529:J2533)</f>
        <v>0</v>
      </c>
      <c r="K2534" s="52"/>
      <c r="L2534" s="51" t="s">
        <v>4</v>
      </c>
      <c r="M2534" s="58"/>
      <c r="N2534" s="58"/>
      <c r="O2534" s="58"/>
      <c r="P2534" s="58"/>
      <c r="Q2534" s="58"/>
      <c r="R2534" s="58"/>
      <c r="S2534" s="58"/>
    </row>
    <row r="2535" spans="1:19" s="59" customFormat="1" ht="18.75" hidden="1" customHeight="1" thickBot="1" x14ac:dyDescent="0.3">
      <c r="A2535" s="59" t="s">
        <v>23</v>
      </c>
      <c r="B2535" s="60" t="str">
        <f t="shared" ref="B2535:B2536" si="1811">IF(K2535=0,"hide","")</f>
        <v>hide</v>
      </c>
      <c r="D2535" s="61" t="str">
        <f>"32205"</f>
        <v>32205</v>
      </c>
      <c r="E2535" s="62" t="str">
        <f>"1"</f>
        <v>1</v>
      </c>
      <c r="F2535" s="63">
        <v>56.666666666666664</v>
      </c>
      <c r="G2535" s="63">
        <v>0</v>
      </c>
      <c r="H2535" s="63">
        <v>0</v>
      </c>
      <c r="I2535" s="63">
        <v>0</v>
      </c>
      <c r="J2535" s="63">
        <v>0</v>
      </c>
      <c r="K2535" s="63">
        <f>AVERAGE(I2535:J2535)</f>
        <v>0</v>
      </c>
      <c r="L2535" s="64" t="str">
        <f>"COACH JOE'S CORNBREAD BOWLS"</f>
        <v>COACH JOE'S CORNBREAD BOWLS</v>
      </c>
      <c r="M2535" s="65" t="str">
        <f>"60-2.5 oz. 10 packs of 6"</f>
        <v>60-2.5 oz. 10 packs of 6</v>
      </c>
      <c r="N2535" s="66">
        <v>60</v>
      </c>
      <c r="O2535" s="67" t="str">
        <f>""</f>
        <v/>
      </c>
      <c r="P2535" s="68" t="e">
        <f>1/O2535</f>
        <v>#VALUE!</v>
      </c>
      <c r="Q2535" s="53">
        <v>1</v>
      </c>
      <c r="R2535" s="69">
        <f t="shared" ref="R2535" si="1812">1/Q2535</f>
        <v>1</v>
      </c>
      <c r="S2535" s="70">
        <f t="shared" ref="S2535" si="1813">R2535*N2535</f>
        <v>60</v>
      </c>
    </row>
    <row r="2536" spans="1:19" ht="15.6" hidden="1" customHeight="1" thickBot="1" x14ac:dyDescent="0.3">
      <c r="A2536" t="s">
        <v>23</v>
      </c>
      <c r="B2536" s="60" t="str">
        <f t="shared" si="1811"/>
        <v>hide</v>
      </c>
      <c r="D2536" s="48" t="str">
        <f>D2535</f>
        <v>32205</v>
      </c>
      <c r="E2536" s="7"/>
      <c r="F2536" s="27">
        <v>0</v>
      </c>
      <c r="G2536" s="27">
        <v>0</v>
      </c>
      <c r="H2536" s="27">
        <v>0</v>
      </c>
      <c r="I2536" s="27">
        <v>0</v>
      </c>
      <c r="J2536" s="27">
        <v>0</v>
      </c>
      <c r="K2536" s="63">
        <f>AVERAGE(I2536:J2536)</f>
        <v>0</v>
      </c>
      <c r="L2536" s="56" t="str">
        <f>"EQP-LAWPACK1"</f>
        <v>EQP-LAWPACK1</v>
      </c>
      <c r="M2536" s="14"/>
      <c r="N2536" s="15"/>
      <c r="O2536" s="12"/>
      <c r="P2536" s="34"/>
      <c r="Q2536" s="37"/>
      <c r="R2536" s="47"/>
      <c r="S2536" s="46"/>
    </row>
    <row r="2537" spans="1:19" ht="15.6" hidden="1" customHeight="1" thickBot="1" x14ac:dyDescent="0.3">
      <c r="A2537" t="s">
        <v>23</v>
      </c>
      <c r="B2537" s="60" t="str">
        <f t="shared" ref="B2537:B2539" si="1814">IF(K2537=0,"hide","")</f>
        <v>hide</v>
      </c>
      <c r="D2537" s="48" t="str">
        <f>D2536</f>
        <v>32205</v>
      </c>
      <c r="E2537" s="7"/>
      <c r="F2537" s="27">
        <v>0</v>
      </c>
      <c r="G2537" s="27">
        <v>0</v>
      </c>
      <c r="H2537" s="27">
        <v>0</v>
      </c>
      <c r="I2537" s="27">
        <v>0</v>
      </c>
      <c r="J2537" s="27">
        <v>0</v>
      </c>
      <c r="K2537" s="63">
        <f>AVERAGE(I2537:J2537)</f>
        <v>0</v>
      </c>
      <c r="L2537" s="56" t="str">
        <f>"EQP-LAWPACK2"</f>
        <v>EQP-LAWPACK2</v>
      </c>
      <c r="M2537" s="14"/>
      <c r="N2537" s="15"/>
      <c r="O2537" s="12"/>
      <c r="P2537" s="34"/>
      <c r="Q2537" s="37"/>
      <c r="R2537" s="47"/>
      <c r="S2537" s="46"/>
    </row>
    <row r="2538" spans="1:19" ht="15.6" hidden="1" customHeight="1" thickBot="1" x14ac:dyDescent="0.3">
      <c r="A2538" t="s">
        <v>23</v>
      </c>
      <c r="B2538" s="60" t="str">
        <f t="shared" si="1814"/>
        <v>hide</v>
      </c>
      <c r="D2538" s="48" t="str">
        <f>D2537</f>
        <v>32205</v>
      </c>
      <c r="E2538" s="7"/>
      <c r="F2538" s="27">
        <v>0</v>
      </c>
      <c r="G2538" s="27">
        <v>0</v>
      </c>
      <c r="H2538" s="27">
        <v>0</v>
      </c>
      <c r="I2538" s="27">
        <v>0</v>
      </c>
      <c r="J2538" s="27">
        <v>0</v>
      </c>
      <c r="K2538" s="63">
        <f>AVERAGE(I2538:J2538)</f>
        <v>0</v>
      </c>
      <c r="L2538" s="56" t="str">
        <f>"SW-COMAS-PACKL"</f>
        <v>SW-COMAS-PACKL</v>
      </c>
      <c r="M2538" s="14"/>
      <c r="N2538" s="15"/>
      <c r="O2538" s="12"/>
      <c r="P2538" s="34"/>
      <c r="Q2538" s="37"/>
      <c r="R2538" s="47"/>
      <c r="S2538" s="46"/>
    </row>
    <row r="2539" spans="1:19" ht="15.6" hidden="1" customHeight="1" thickBot="1" x14ac:dyDescent="0.3">
      <c r="A2539" t="s">
        <v>23</v>
      </c>
      <c r="B2539" s="60" t="str">
        <f t="shared" si="1814"/>
        <v>hide</v>
      </c>
      <c r="D2539" s="48" t="str">
        <f>D2538</f>
        <v>32205</v>
      </c>
      <c r="E2539" s="7"/>
      <c r="F2539" s="27">
        <v>0</v>
      </c>
      <c r="G2539" s="27">
        <v>0</v>
      </c>
      <c r="H2539" s="27">
        <v>0</v>
      </c>
      <c r="I2539" s="27">
        <v>0</v>
      </c>
      <c r="J2539" s="27">
        <v>0</v>
      </c>
      <c r="K2539" s="63">
        <f>AVERAGE(I2539:J2539)</f>
        <v>0</v>
      </c>
      <c r="L2539" s="56" t="str">
        <f>"SW-RISER-PACK"</f>
        <v>SW-RISER-PACK</v>
      </c>
      <c r="M2539" s="14"/>
      <c r="N2539" s="15"/>
      <c r="O2539" s="12"/>
      <c r="P2539" s="34"/>
      <c r="Q2539" s="37"/>
      <c r="R2539" s="47"/>
      <c r="S2539" s="46"/>
    </row>
    <row r="2540" spans="1:19" ht="12" hidden="1" customHeight="1" x14ac:dyDescent="0.3">
      <c r="A2540" s="35" t="s">
        <v>908</v>
      </c>
      <c r="B2540" s="49" t="str">
        <f>B2536</f>
        <v>hide</v>
      </c>
      <c r="N2540"/>
      <c r="Q2540" s="33"/>
    </row>
    <row r="2541" spans="1:19" ht="13.8" hidden="1" thickBot="1" x14ac:dyDescent="0.3">
      <c r="A2541" t="s">
        <v>23</v>
      </c>
      <c r="B2541" s="49" t="str">
        <f t="shared" ref="B2541" si="1815">B2540</f>
        <v>hide</v>
      </c>
      <c r="D2541" s="58"/>
      <c r="E2541" s="58"/>
      <c r="F2541" s="52">
        <f>SUM(F2536:F2540)</f>
        <v>0</v>
      </c>
      <c r="G2541" s="52">
        <f>SUM(G2536:G2540)</f>
        <v>0</v>
      </c>
      <c r="H2541" s="52">
        <f>SUM(H2536:H2540)</f>
        <v>0</v>
      </c>
      <c r="I2541" s="52">
        <f>SUM(I2536:I2540)</f>
        <v>0</v>
      </c>
      <c r="J2541" s="52">
        <f>SUM(J2536:J2540)</f>
        <v>0</v>
      </c>
      <c r="K2541" s="52"/>
      <c r="L2541" s="51" t="s">
        <v>4</v>
      </c>
      <c r="M2541" s="58"/>
      <c r="N2541" s="58"/>
      <c r="O2541" s="58"/>
      <c r="P2541" s="58"/>
      <c r="Q2541" s="58"/>
      <c r="R2541" s="58"/>
      <c r="S2541" s="58"/>
    </row>
    <row r="2542" spans="1:19" s="59" customFormat="1" ht="18.75" customHeight="1" thickBot="1" x14ac:dyDescent="0.3">
      <c r="A2542" s="59" t="s">
        <v>23</v>
      </c>
      <c r="B2542" s="60" t="str">
        <f t="shared" ref="B2542:B2543" si="1816">IF(K2542=0,"hide","")</f>
        <v/>
      </c>
      <c r="D2542" s="61" t="str">
        <f>"32405"</f>
        <v>32405</v>
      </c>
      <c r="E2542" s="62" t="str">
        <f>"6"</f>
        <v>6</v>
      </c>
      <c r="F2542" s="63">
        <v>75</v>
      </c>
      <c r="G2542" s="63">
        <v>43.083333333333336</v>
      </c>
      <c r="H2542" s="63">
        <v>49.833333333333336</v>
      </c>
      <c r="I2542" s="63">
        <v>17.499999999999996</v>
      </c>
      <c r="J2542" s="63">
        <v>0</v>
      </c>
      <c r="K2542" s="63">
        <f>AVERAGE(I2542:J2542)</f>
        <v>8.7499999999999982</v>
      </c>
      <c r="L2542" s="64" t="str">
        <f>"CORNBREAD BOWLS"</f>
        <v>CORNBREAD BOWLS</v>
      </c>
      <c r="M2542" s="65" t="str">
        <f>"60-2.5 oz. 10 packs of 6"</f>
        <v>60-2.5 oz. 10 packs of 6</v>
      </c>
      <c r="N2542" s="66">
        <v>60</v>
      </c>
      <c r="O2542" s="67" t="str">
        <f>""</f>
        <v/>
      </c>
      <c r="P2542" s="68" t="e">
        <f>1/O2542</f>
        <v>#VALUE!</v>
      </c>
      <c r="Q2542" s="53">
        <v>1</v>
      </c>
      <c r="R2542" s="69">
        <f t="shared" ref="R2542" si="1817">1/Q2542</f>
        <v>1</v>
      </c>
      <c r="S2542" s="70">
        <f t="shared" ref="S2542" si="1818">R2542*N2542</f>
        <v>60</v>
      </c>
    </row>
    <row r="2543" spans="1:19" ht="15.6" hidden="1" customHeight="1" thickBot="1" x14ac:dyDescent="0.3">
      <c r="A2543" t="s">
        <v>23</v>
      </c>
      <c r="B2543" s="60" t="str">
        <f t="shared" si="1816"/>
        <v>hide</v>
      </c>
      <c r="D2543" s="48" t="str">
        <f>D2542</f>
        <v>32405</v>
      </c>
      <c r="E2543" s="7"/>
      <c r="F2543" s="27">
        <v>0</v>
      </c>
      <c r="G2543" s="27">
        <v>0</v>
      </c>
      <c r="H2543" s="27">
        <v>0</v>
      </c>
      <c r="I2543" s="27">
        <v>0</v>
      </c>
      <c r="J2543" s="27">
        <v>0</v>
      </c>
      <c r="K2543" s="63">
        <f>AVERAGE(I2543:J2543)</f>
        <v>0</v>
      </c>
      <c r="L2543" s="56" t="str">
        <f>"EQP-LAWPACK1"</f>
        <v>EQP-LAWPACK1</v>
      </c>
      <c r="M2543" s="14"/>
      <c r="N2543" s="15"/>
      <c r="O2543" s="12"/>
      <c r="P2543" s="34"/>
      <c r="Q2543" s="37"/>
      <c r="R2543" s="47"/>
      <c r="S2543" s="46"/>
    </row>
    <row r="2544" spans="1:19" ht="15.6" hidden="1" customHeight="1" thickBot="1" x14ac:dyDescent="0.3">
      <c r="A2544" t="s">
        <v>23</v>
      </c>
      <c r="B2544" s="60" t="str">
        <f t="shared" ref="B2544:B2546" si="1819">IF(K2544=0,"hide","")</f>
        <v>hide</v>
      </c>
      <c r="D2544" s="48" t="str">
        <f>D2543</f>
        <v>32405</v>
      </c>
      <c r="E2544" s="7"/>
      <c r="F2544" s="27">
        <v>0</v>
      </c>
      <c r="G2544" s="27">
        <v>0</v>
      </c>
      <c r="H2544" s="27">
        <v>0</v>
      </c>
      <c r="I2544" s="27">
        <v>0</v>
      </c>
      <c r="J2544" s="27">
        <v>0</v>
      </c>
      <c r="K2544" s="63">
        <f>AVERAGE(I2544:J2544)</f>
        <v>0</v>
      </c>
      <c r="L2544" s="56" t="str">
        <f>"EQP-LAWPACK2"</f>
        <v>EQP-LAWPACK2</v>
      </c>
      <c r="M2544" s="14"/>
      <c r="N2544" s="15"/>
      <c r="O2544" s="12"/>
      <c r="P2544" s="34"/>
      <c r="Q2544" s="37"/>
      <c r="R2544" s="47"/>
      <c r="S2544" s="46"/>
    </row>
    <row r="2545" spans="1:19" ht="15.6" hidden="1" customHeight="1" thickBot="1" x14ac:dyDescent="0.3">
      <c r="A2545" t="s">
        <v>23</v>
      </c>
      <c r="B2545" s="60" t="str">
        <f t="shared" si="1819"/>
        <v>hide</v>
      </c>
      <c r="D2545" s="48" t="str">
        <f>D2544</f>
        <v>32405</v>
      </c>
      <c r="E2545" s="7"/>
      <c r="F2545" s="27">
        <v>0</v>
      </c>
      <c r="G2545" s="27">
        <v>0</v>
      </c>
      <c r="H2545" s="27">
        <v>0</v>
      </c>
      <c r="I2545" s="27">
        <v>0</v>
      </c>
      <c r="J2545" s="27">
        <v>0</v>
      </c>
      <c r="K2545" s="63">
        <f>AVERAGE(I2545:J2545)</f>
        <v>0</v>
      </c>
      <c r="L2545" s="56" t="str">
        <f>"SW-COMAS-PACKL"</f>
        <v>SW-COMAS-PACKL</v>
      </c>
      <c r="M2545" s="14"/>
      <c r="N2545" s="15"/>
      <c r="O2545" s="12"/>
      <c r="P2545" s="34"/>
      <c r="Q2545" s="37"/>
      <c r="R2545" s="47"/>
      <c r="S2545" s="46"/>
    </row>
    <row r="2546" spans="1:19" ht="15.6" hidden="1" customHeight="1" thickBot="1" x14ac:dyDescent="0.3">
      <c r="A2546" t="s">
        <v>23</v>
      </c>
      <c r="B2546" s="60" t="str">
        <f t="shared" si="1819"/>
        <v>hide</v>
      </c>
      <c r="D2546" s="48" t="str">
        <f>D2545</f>
        <v>32405</v>
      </c>
      <c r="E2546" s="7"/>
      <c r="F2546" s="27">
        <v>0</v>
      </c>
      <c r="G2546" s="27">
        <v>0</v>
      </c>
      <c r="H2546" s="27">
        <v>0</v>
      </c>
      <c r="I2546" s="27">
        <v>0</v>
      </c>
      <c r="J2546" s="27">
        <v>0</v>
      </c>
      <c r="K2546" s="63">
        <f>AVERAGE(I2546:J2546)</f>
        <v>0</v>
      </c>
      <c r="L2546" s="56" t="str">
        <f>"SW-RISER-PACK"</f>
        <v>SW-RISER-PACK</v>
      </c>
      <c r="M2546" s="14"/>
      <c r="N2546" s="15"/>
      <c r="O2546" s="12"/>
      <c r="P2546" s="34"/>
      <c r="Q2546" s="37"/>
      <c r="R2546" s="47"/>
      <c r="S2546" s="46"/>
    </row>
    <row r="2547" spans="1:19" ht="12" hidden="1" customHeight="1" x14ac:dyDescent="0.3">
      <c r="A2547" s="35" t="s">
        <v>908</v>
      </c>
      <c r="B2547" s="49" t="str">
        <f>B2543</f>
        <v>hide</v>
      </c>
      <c r="N2547"/>
      <c r="Q2547" s="33"/>
    </row>
    <row r="2548" spans="1:19" ht="13.8" hidden="1" thickBot="1" x14ac:dyDescent="0.3">
      <c r="A2548" t="s">
        <v>23</v>
      </c>
      <c r="B2548" s="49" t="str">
        <f t="shared" ref="B2548" si="1820">B2547</f>
        <v>hide</v>
      </c>
      <c r="D2548" s="58"/>
      <c r="E2548" s="58"/>
      <c r="F2548" s="52">
        <f>SUM(F2543:F2547)</f>
        <v>0</v>
      </c>
      <c r="G2548" s="52">
        <f>SUM(G2543:G2547)</f>
        <v>0</v>
      </c>
      <c r="H2548" s="52">
        <f>SUM(H2543:H2547)</f>
        <v>0</v>
      </c>
      <c r="I2548" s="52">
        <f>SUM(I2543:I2547)</f>
        <v>0</v>
      </c>
      <c r="J2548" s="52">
        <f>SUM(J2543:J2547)</f>
        <v>0</v>
      </c>
      <c r="K2548" s="52"/>
      <c r="L2548" s="51" t="s">
        <v>4</v>
      </c>
      <c r="M2548" s="58"/>
      <c r="N2548" s="58"/>
      <c r="O2548" s="58"/>
      <c r="P2548" s="58"/>
      <c r="Q2548" s="58"/>
      <c r="R2548" s="58"/>
      <c r="S2548" s="58"/>
    </row>
    <row r="2549" spans="1:19" s="59" customFormat="1" ht="18.75" hidden="1" customHeight="1" thickBot="1" x14ac:dyDescent="0.3">
      <c r="A2549" s="59" t="s">
        <v>23</v>
      </c>
      <c r="B2549" s="60" t="str">
        <f t="shared" ref="B2549:B2550" si="1821">IF(K2549=0,"hide","")</f>
        <v>hide</v>
      </c>
      <c r="D2549" s="61" t="str">
        <f>"32430"</f>
        <v>32430</v>
      </c>
      <c r="E2549" s="62" t="str">
        <f>"1"</f>
        <v>1</v>
      </c>
      <c r="F2549" s="63">
        <v>0</v>
      </c>
      <c r="G2549" s="63">
        <v>11.916666666666666</v>
      </c>
      <c r="H2549" s="63">
        <v>0</v>
      </c>
      <c r="I2549" s="63">
        <v>0</v>
      </c>
      <c r="J2549" s="63">
        <v>0</v>
      </c>
      <c r="K2549" s="63">
        <f>AVERAGE(I2549:J2549)</f>
        <v>0</v>
      </c>
      <c r="L2549" s="64" t="str">
        <f>"CHOCOLATE BOWL"</f>
        <v>CHOCOLATE BOWL</v>
      </c>
      <c r="M2549" s="65" t="str">
        <f>"60-3 oz. 10 packs of 6"</f>
        <v>60-3 oz. 10 packs of 6</v>
      </c>
      <c r="N2549" s="66">
        <v>60</v>
      </c>
      <c r="O2549" s="67" t="str">
        <f>""</f>
        <v/>
      </c>
      <c r="P2549" s="68" t="e">
        <f>1/O2549</f>
        <v>#VALUE!</v>
      </c>
      <c r="Q2549" s="53">
        <v>1</v>
      </c>
      <c r="R2549" s="69">
        <f t="shared" ref="R2549" si="1822">1/Q2549</f>
        <v>1</v>
      </c>
      <c r="S2549" s="70">
        <f t="shared" ref="S2549" si="1823">R2549*N2549</f>
        <v>60</v>
      </c>
    </row>
    <row r="2550" spans="1:19" ht="15.6" hidden="1" customHeight="1" thickBot="1" x14ac:dyDescent="0.3">
      <c r="A2550" t="s">
        <v>23</v>
      </c>
      <c r="B2550" s="60" t="str">
        <f t="shared" si="1821"/>
        <v>hide</v>
      </c>
      <c r="D2550" s="48" t="str">
        <f>D2549</f>
        <v>32430</v>
      </c>
      <c r="E2550" s="7"/>
      <c r="F2550" s="27">
        <v>0</v>
      </c>
      <c r="G2550" s="27">
        <v>0</v>
      </c>
      <c r="H2550" s="27">
        <v>0</v>
      </c>
      <c r="I2550" s="27">
        <v>0</v>
      </c>
      <c r="J2550" s="27">
        <v>0</v>
      </c>
      <c r="K2550" s="63">
        <f>AVERAGE(I2550:J2550)</f>
        <v>0</v>
      </c>
      <c r="L2550" s="56" t="str">
        <f>"EQP-LAWPACK1"</f>
        <v>EQP-LAWPACK1</v>
      </c>
      <c r="M2550" s="14"/>
      <c r="N2550" s="15"/>
      <c r="O2550" s="12"/>
      <c r="P2550" s="34"/>
      <c r="Q2550" s="37"/>
      <c r="R2550" s="47"/>
      <c r="S2550" s="46"/>
    </row>
    <row r="2551" spans="1:19" ht="15.6" hidden="1" customHeight="1" thickBot="1" x14ac:dyDescent="0.3">
      <c r="A2551" t="s">
        <v>23</v>
      </c>
      <c r="B2551" s="60" t="str">
        <f t="shared" ref="B2551:B2553" si="1824">IF(K2551=0,"hide","")</f>
        <v>hide</v>
      </c>
      <c r="D2551" s="48" t="str">
        <f>D2550</f>
        <v>32430</v>
      </c>
      <c r="E2551" s="7"/>
      <c r="F2551" s="27">
        <v>0</v>
      </c>
      <c r="G2551" s="27">
        <v>0</v>
      </c>
      <c r="H2551" s="27">
        <v>0</v>
      </c>
      <c r="I2551" s="27">
        <v>0</v>
      </c>
      <c r="J2551" s="27">
        <v>0</v>
      </c>
      <c r="K2551" s="63">
        <f>AVERAGE(I2551:J2551)</f>
        <v>0</v>
      </c>
      <c r="L2551" s="56" t="str">
        <f>"EQP-LAWPACK2"</f>
        <v>EQP-LAWPACK2</v>
      </c>
      <c r="M2551" s="14"/>
      <c r="N2551" s="15"/>
      <c r="O2551" s="12"/>
      <c r="P2551" s="34"/>
      <c r="Q2551" s="37"/>
      <c r="R2551" s="47"/>
      <c r="S2551" s="46"/>
    </row>
    <row r="2552" spans="1:19" ht="15.6" hidden="1" customHeight="1" thickBot="1" x14ac:dyDescent="0.3">
      <c r="A2552" t="s">
        <v>23</v>
      </c>
      <c r="B2552" s="60" t="str">
        <f t="shared" si="1824"/>
        <v>hide</v>
      </c>
      <c r="D2552" s="48" t="str">
        <f>D2551</f>
        <v>32430</v>
      </c>
      <c r="E2552" s="7"/>
      <c r="F2552" s="27">
        <v>0</v>
      </c>
      <c r="G2552" s="27">
        <v>0</v>
      </c>
      <c r="H2552" s="27">
        <v>0</v>
      </c>
      <c r="I2552" s="27">
        <v>0</v>
      </c>
      <c r="J2552" s="27">
        <v>0</v>
      </c>
      <c r="K2552" s="63">
        <f>AVERAGE(I2552:J2552)</f>
        <v>0</v>
      </c>
      <c r="L2552" s="56" t="str">
        <f>"SW-COMAS-PACKL"</f>
        <v>SW-COMAS-PACKL</v>
      </c>
      <c r="M2552" s="14"/>
      <c r="N2552" s="15"/>
      <c r="O2552" s="12"/>
      <c r="P2552" s="34"/>
      <c r="Q2552" s="37"/>
      <c r="R2552" s="47"/>
      <c r="S2552" s="46"/>
    </row>
    <row r="2553" spans="1:19" ht="15.6" hidden="1" customHeight="1" thickBot="1" x14ac:dyDescent="0.3">
      <c r="A2553" t="s">
        <v>23</v>
      </c>
      <c r="B2553" s="60" t="str">
        <f t="shared" si="1824"/>
        <v>hide</v>
      </c>
      <c r="D2553" s="48" t="str">
        <f>D2552</f>
        <v>32430</v>
      </c>
      <c r="E2553" s="7"/>
      <c r="F2553" s="27">
        <v>0</v>
      </c>
      <c r="G2553" s="27">
        <v>0</v>
      </c>
      <c r="H2553" s="27">
        <v>0</v>
      </c>
      <c r="I2553" s="27">
        <v>0</v>
      </c>
      <c r="J2553" s="27">
        <v>0</v>
      </c>
      <c r="K2553" s="63">
        <f>AVERAGE(I2553:J2553)</f>
        <v>0</v>
      </c>
      <c r="L2553" s="56" t="str">
        <f>"SW-RISER-PACK"</f>
        <v>SW-RISER-PACK</v>
      </c>
      <c r="M2553" s="14"/>
      <c r="N2553" s="15"/>
      <c r="O2553" s="12"/>
      <c r="P2553" s="34"/>
      <c r="Q2553" s="37"/>
      <c r="R2553" s="47"/>
      <c r="S2553" s="46"/>
    </row>
    <row r="2554" spans="1:19" ht="12" hidden="1" customHeight="1" x14ac:dyDescent="0.3">
      <c r="A2554" s="35" t="s">
        <v>908</v>
      </c>
      <c r="B2554" s="49" t="str">
        <f>B2550</f>
        <v>hide</v>
      </c>
      <c r="N2554"/>
      <c r="Q2554" s="33"/>
    </row>
    <row r="2555" spans="1:19" ht="13.8" hidden="1" thickBot="1" x14ac:dyDescent="0.3">
      <c r="A2555" t="s">
        <v>23</v>
      </c>
      <c r="B2555" s="49" t="str">
        <f t="shared" ref="B2555" si="1825">B2554</f>
        <v>hide</v>
      </c>
      <c r="D2555" s="58"/>
      <c r="E2555" s="58"/>
      <c r="F2555" s="52">
        <f>SUM(F2550:F2554)</f>
        <v>0</v>
      </c>
      <c r="G2555" s="52">
        <f>SUM(G2550:G2554)</f>
        <v>0</v>
      </c>
      <c r="H2555" s="52">
        <f>SUM(H2550:H2554)</f>
        <v>0</v>
      </c>
      <c r="I2555" s="52">
        <f>SUM(I2550:I2554)</f>
        <v>0</v>
      </c>
      <c r="J2555" s="52">
        <f>SUM(J2550:J2554)</f>
        <v>0</v>
      </c>
      <c r="K2555" s="52"/>
      <c r="L2555" s="51" t="s">
        <v>4</v>
      </c>
      <c r="M2555" s="58"/>
      <c r="N2555" s="58"/>
      <c r="O2555" s="58"/>
      <c r="P2555" s="58"/>
      <c r="Q2555" s="58"/>
      <c r="R2555" s="58"/>
      <c r="S2555" s="58"/>
    </row>
    <row r="2556" spans="1:19" s="59" customFormat="1" ht="18.75" customHeight="1" thickBot="1" x14ac:dyDescent="0.3">
      <c r="A2556" s="59" t="s">
        <v>23</v>
      </c>
      <c r="B2556" s="60" t="str">
        <f t="shared" ref="B2556:B2557" si="1826">IF(K2556=0,"hide","")</f>
        <v/>
      </c>
      <c r="D2556" s="61" t="str">
        <f>"32739"</f>
        <v>32739</v>
      </c>
      <c r="E2556" s="62" t="str">
        <f>"1"</f>
        <v>1</v>
      </c>
      <c r="F2556" s="63">
        <v>11.666666666666666</v>
      </c>
      <c r="G2556" s="63">
        <v>303.33333333333331</v>
      </c>
      <c r="H2556" s="63">
        <v>263.33333333333331</v>
      </c>
      <c r="I2556" s="63">
        <v>309</v>
      </c>
      <c r="J2556" s="63">
        <v>119.33734939759037</v>
      </c>
      <c r="K2556" s="63">
        <f>AVERAGE(I2556:J2556)</f>
        <v>214.1686746987952</v>
      </c>
      <c r="L2556" s="64" t="str">
        <f>"Mini Angel Food Cake"</f>
        <v>Mini Angel Food Cake</v>
      </c>
      <c r="M2556" s="65" t="str">
        <f>"60-1.25 oz. 10 pks of 6"</f>
        <v>60-1.25 oz. 10 pks of 6</v>
      </c>
      <c r="N2556" s="66">
        <v>60</v>
      </c>
      <c r="O2556" s="67" t="str">
        <f>""</f>
        <v/>
      </c>
      <c r="P2556" s="68" t="e">
        <f>1/O2556</f>
        <v>#VALUE!</v>
      </c>
      <c r="Q2556" s="53">
        <v>1</v>
      </c>
      <c r="R2556" s="69">
        <f t="shared" ref="R2556" si="1827">1/Q2556</f>
        <v>1</v>
      </c>
      <c r="S2556" s="70">
        <f t="shared" ref="S2556" si="1828">R2556*N2556</f>
        <v>60</v>
      </c>
    </row>
    <row r="2557" spans="1:19" ht="15.6" hidden="1" customHeight="1" thickBot="1" x14ac:dyDescent="0.3">
      <c r="A2557" t="s">
        <v>23</v>
      </c>
      <c r="B2557" s="60" t="str">
        <f t="shared" si="1826"/>
        <v>hide</v>
      </c>
      <c r="D2557" s="48" t="str">
        <f>D2556</f>
        <v>32739</v>
      </c>
      <c r="E2557" s="7"/>
      <c r="F2557" s="27">
        <v>0</v>
      </c>
      <c r="G2557" s="27">
        <v>0</v>
      </c>
      <c r="H2557" s="27">
        <v>0</v>
      </c>
      <c r="I2557" s="27">
        <v>0</v>
      </c>
      <c r="J2557" s="27">
        <v>0</v>
      </c>
      <c r="K2557" s="63">
        <f>AVERAGE(I2557:J2557)</f>
        <v>0</v>
      </c>
      <c r="L2557" s="56" t="str">
        <f>"EQP-LAWPACK1"</f>
        <v>EQP-LAWPACK1</v>
      </c>
      <c r="M2557" s="14"/>
      <c r="N2557" s="15"/>
      <c r="O2557" s="12"/>
      <c r="P2557" s="34"/>
      <c r="Q2557" s="37"/>
      <c r="R2557" s="47"/>
      <c r="S2557" s="46"/>
    </row>
    <row r="2558" spans="1:19" ht="15.6" hidden="1" customHeight="1" thickBot="1" x14ac:dyDescent="0.3">
      <c r="A2558" t="s">
        <v>23</v>
      </c>
      <c r="B2558" s="60" t="str">
        <f t="shared" ref="B2558:B2560" si="1829">IF(K2558=0,"hide","")</f>
        <v>hide</v>
      </c>
      <c r="D2558" s="48" t="str">
        <f>D2557</f>
        <v>32739</v>
      </c>
      <c r="E2558" s="7"/>
      <c r="F2558" s="27">
        <v>0</v>
      </c>
      <c r="G2558" s="27">
        <v>0</v>
      </c>
      <c r="H2558" s="27">
        <v>0</v>
      </c>
      <c r="I2558" s="27">
        <v>0</v>
      </c>
      <c r="J2558" s="27">
        <v>0</v>
      </c>
      <c r="K2558" s="63">
        <f>AVERAGE(I2558:J2558)</f>
        <v>0</v>
      </c>
      <c r="L2558" s="56" t="str">
        <f>"EQP-LAWPACK2"</f>
        <v>EQP-LAWPACK2</v>
      </c>
      <c r="M2558" s="14"/>
      <c r="N2558" s="15"/>
      <c r="O2558" s="12"/>
      <c r="P2558" s="34"/>
      <c r="Q2558" s="37"/>
      <c r="R2558" s="47"/>
      <c r="S2558" s="46"/>
    </row>
    <row r="2559" spans="1:19" ht="15.6" hidden="1" customHeight="1" thickBot="1" x14ac:dyDescent="0.3">
      <c r="A2559" t="s">
        <v>23</v>
      </c>
      <c r="B2559" s="60" t="str">
        <f t="shared" si="1829"/>
        <v>hide</v>
      </c>
      <c r="D2559" s="48" t="str">
        <f>D2558</f>
        <v>32739</v>
      </c>
      <c r="E2559" s="7"/>
      <c r="F2559" s="27">
        <v>0</v>
      </c>
      <c r="G2559" s="27">
        <v>0</v>
      </c>
      <c r="H2559" s="27">
        <v>0</v>
      </c>
      <c r="I2559" s="27">
        <v>0</v>
      </c>
      <c r="J2559" s="27">
        <v>0</v>
      </c>
      <c r="K2559" s="63">
        <f>AVERAGE(I2559:J2559)</f>
        <v>0</v>
      </c>
      <c r="L2559" s="56" t="str">
        <f>"SW-COMAS-PACKL"</f>
        <v>SW-COMAS-PACKL</v>
      </c>
      <c r="M2559" s="14"/>
      <c r="N2559" s="15"/>
      <c r="O2559" s="12"/>
      <c r="P2559" s="34"/>
      <c r="Q2559" s="37"/>
      <c r="R2559" s="47"/>
      <c r="S2559" s="46"/>
    </row>
    <row r="2560" spans="1:19" ht="15.6" hidden="1" customHeight="1" thickBot="1" x14ac:dyDescent="0.3">
      <c r="A2560" t="s">
        <v>23</v>
      </c>
      <c r="B2560" s="60" t="str">
        <f t="shared" si="1829"/>
        <v>hide</v>
      </c>
      <c r="D2560" s="48" t="str">
        <f>D2559</f>
        <v>32739</v>
      </c>
      <c r="E2560" s="7"/>
      <c r="F2560" s="27">
        <v>0</v>
      </c>
      <c r="G2560" s="27">
        <v>0</v>
      </c>
      <c r="H2560" s="27">
        <v>0</v>
      </c>
      <c r="I2560" s="27">
        <v>0</v>
      </c>
      <c r="J2560" s="27">
        <v>0</v>
      </c>
      <c r="K2560" s="63">
        <f>AVERAGE(I2560:J2560)</f>
        <v>0</v>
      </c>
      <c r="L2560" s="56" t="str">
        <f>"SW-RISER-PACK"</f>
        <v>SW-RISER-PACK</v>
      </c>
      <c r="M2560" s="14"/>
      <c r="N2560" s="15"/>
      <c r="O2560" s="12"/>
      <c r="P2560" s="34"/>
      <c r="Q2560" s="37"/>
      <c r="R2560" s="47"/>
      <c r="S2560" s="46"/>
    </row>
    <row r="2561" spans="1:19" ht="12" hidden="1" customHeight="1" x14ac:dyDescent="0.3">
      <c r="A2561" s="35" t="s">
        <v>908</v>
      </c>
      <c r="B2561" s="49" t="str">
        <f>B2557</f>
        <v>hide</v>
      </c>
      <c r="N2561"/>
      <c r="Q2561" s="33"/>
    </row>
    <row r="2562" spans="1:19" ht="13.8" hidden="1" thickBot="1" x14ac:dyDescent="0.3">
      <c r="A2562" t="s">
        <v>23</v>
      </c>
      <c r="B2562" s="49" t="str">
        <f t="shared" ref="B2562" si="1830">B2561</f>
        <v>hide</v>
      </c>
      <c r="D2562" s="58"/>
      <c r="E2562" s="58"/>
      <c r="F2562" s="52">
        <f>SUM(F2557:F2561)</f>
        <v>0</v>
      </c>
      <c r="G2562" s="52">
        <f>SUM(G2557:G2561)</f>
        <v>0</v>
      </c>
      <c r="H2562" s="52">
        <f>SUM(H2557:H2561)</f>
        <v>0</v>
      </c>
      <c r="I2562" s="52">
        <f>SUM(I2557:I2561)</f>
        <v>0</v>
      </c>
      <c r="J2562" s="52">
        <f>SUM(J2557:J2561)</f>
        <v>0</v>
      </c>
      <c r="K2562" s="52"/>
      <c r="L2562" s="51" t="s">
        <v>4</v>
      </c>
      <c r="M2562" s="58"/>
      <c r="N2562" s="58"/>
      <c r="O2562" s="58"/>
      <c r="P2562" s="58"/>
      <c r="Q2562" s="58"/>
      <c r="R2562" s="58"/>
      <c r="S2562" s="58"/>
    </row>
    <row r="2563" spans="1:19" s="59" customFormat="1" ht="18.75" customHeight="1" thickBot="1" x14ac:dyDescent="0.3">
      <c r="A2563" s="59" t="s">
        <v>23</v>
      </c>
      <c r="B2563" s="60" t="str">
        <f t="shared" ref="B2563:B2564" si="1831">IF(K2563=0,"hide","")</f>
        <v/>
      </c>
      <c r="D2563" s="61" t="str">
        <f>"33405"</f>
        <v>33405</v>
      </c>
      <c r="E2563" s="62" t="str">
        <f>"13"</f>
        <v>13</v>
      </c>
      <c r="F2563" s="63">
        <v>4138.916666666667</v>
      </c>
      <c r="G2563" s="63">
        <v>4053.1666666666661</v>
      </c>
      <c r="H2563" s="63">
        <v>4856.25</v>
      </c>
      <c r="I2563" s="63">
        <v>3010.5</v>
      </c>
      <c r="J2563" s="63">
        <v>2454.7351807228915</v>
      </c>
      <c r="K2563" s="63">
        <f>AVERAGE(I2563:J2563)</f>
        <v>2732.6175903614458</v>
      </c>
      <c r="L2563" s="64" t="str">
        <f>"CORNBREAD LOAVES"</f>
        <v>CORNBREAD LOAVES</v>
      </c>
      <c r="M2563" s="65" t="str">
        <f>"96-2oz. 24 trays of 4"</f>
        <v>96-2oz. 24 trays of 4</v>
      </c>
      <c r="N2563" s="66">
        <v>96</v>
      </c>
      <c r="O2563" s="67" t="str">
        <f>""</f>
        <v/>
      </c>
      <c r="P2563" s="68" t="e">
        <f>1/O2563</f>
        <v>#VALUE!</v>
      </c>
      <c r="Q2563" s="53">
        <v>1</v>
      </c>
      <c r="R2563" s="69">
        <f t="shared" ref="R2563" si="1832">1/Q2563</f>
        <v>1</v>
      </c>
      <c r="S2563" s="70">
        <f t="shared" ref="S2563" si="1833">R2563*N2563</f>
        <v>96</v>
      </c>
    </row>
    <row r="2564" spans="1:19" ht="15.6" hidden="1" customHeight="1" thickBot="1" x14ac:dyDescent="0.3">
      <c r="A2564" t="s">
        <v>23</v>
      </c>
      <c r="B2564" s="60" t="str">
        <f t="shared" si="1831"/>
        <v>hide</v>
      </c>
      <c r="D2564" s="48" t="str">
        <f>D2563</f>
        <v>33405</v>
      </c>
      <c r="E2564" s="7"/>
      <c r="F2564" s="27">
        <v>0</v>
      </c>
      <c r="G2564" s="27">
        <v>-75</v>
      </c>
      <c r="H2564" s="27">
        <v>0</v>
      </c>
      <c r="I2564" s="27">
        <v>0</v>
      </c>
      <c r="J2564" s="27">
        <v>0</v>
      </c>
      <c r="K2564" s="63">
        <f>AVERAGE(I2564:J2564)</f>
        <v>0</v>
      </c>
      <c r="L2564" s="56" t="str">
        <f>"EQP-LAWPACK1"</f>
        <v>EQP-LAWPACK1</v>
      </c>
      <c r="M2564" s="14"/>
      <c r="N2564" s="15"/>
      <c r="O2564" s="12"/>
      <c r="P2564" s="34"/>
      <c r="Q2564" s="37"/>
      <c r="R2564" s="47"/>
      <c r="S2564" s="46"/>
    </row>
    <row r="2565" spans="1:19" ht="15.6" hidden="1" customHeight="1" thickBot="1" x14ac:dyDescent="0.3">
      <c r="A2565" t="s">
        <v>23</v>
      </c>
      <c r="B2565" s="60" t="str">
        <f t="shared" ref="B2565:B2567" si="1834">IF(K2565=0,"hide","")</f>
        <v>hide</v>
      </c>
      <c r="D2565" s="48" t="str">
        <f>D2564</f>
        <v>33405</v>
      </c>
      <c r="E2565" s="7"/>
      <c r="F2565" s="27">
        <v>0</v>
      </c>
      <c r="G2565" s="27">
        <v>0</v>
      </c>
      <c r="H2565" s="27">
        <v>0</v>
      </c>
      <c r="I2565" s="27">
        <v>0</v>
      </c>
      <c r="J2565" s="27">
        <v>0</v>
      </c>
      <c r="K2565" s="63">
        <f>AVERAGE(I2565:J2565)</f>
        <v>0</v>
      </c>
      <c r="L2565" s="56" t="str">
        <f>"EQP-LAWPACK2"</f>
        <v>EQP-LAWPACK2</v>
      </c>
      <c r="M2565" s="14"/>
      <c r="N2565" s="15"/>
      <c r="O2565" s="12"/>
      <c r="P2565" s="34"/>
      <c r="Q2565" s="37"/>
      <c r="R2565" s="47"/>
      <c r="S2565" s="46"/>
    </row>
    <row r="2566" spans="1:19" ht="15.6" hidden="1" customHeight="1" thickBot="1" x14ac:dyDescent="0.3">
      <c r="A2566" t="s">
        <v>23</v>
      </c>
      <c r="B2566" s="60" t="str">
        <f t="shared" si="1834"/>
        <v>hide</v>
      </c>
      <c r="D2566" s="48" t="str">
        <f>D2565</f>
        <v>33405</v>
      </c>
      <c r="E2566" s="7"/>
      <c r="F2566" s="27">
        <v>0</v>
      </c>
      <c r="G2566" s="27">
        <v>0</v>
      </c>
      <c r="H2566" s="27">
        <v>0</v>
      </c>
      <c r="I2566" s="27">
        <v>0</v>
      </c>
      <c r="J2566" s="27">
        <v>0</v>
      </c>
      <c r="K2566" s="63">
        <f>AVERAGE(I2566:J2566)</f>
        <v>0</v>
      </c>
      <c r="L2566" s="56" t="str">
        <f>"SW-COMAS-PACKL"</f>
        <v>SW-COMAS-PACKL</v>
      </c>
      <c r="M2566" s="14"/>
      <c r="N2566" s="15"/>
      <c r="O2566" s="12"/>
      <c r="P2566" s="34"/>
      <c r="Q2566" s="37"/>
      <c r="R2566" s="47"/>
      <c r="S2566" s="46"/>
    </row>
    <row r="2567" spans="1:19" ht="15.6" hidden="1" customHeight="1" thickBot="1" x14ac:dyDescent="0.3">
      <c r="A2567" t="s">
        <v>23</v>
      </c>
      <c r="B2567" s="60" t="str">
        <f t="shared" si="1834"/>
        <v>hide</v>
      </c>
      <c r="D2567" s="48" t="str">
        <f>D2566</f>
        <v>33405</v>
      </c>
      <c r="E2567" s="7"/>
      <c r="F2567" s="27">
        <v>0</v>
      </c>
      <c r="G2567" s="27">
        <v>0</v>
      </c>
      <c r="H2567" s="27">
        <v>0</v>
      </c>
      <c r="I2567" s="27">
        <v>0</v>
      </c>
      <c r="J2567" s="27">
        <v>0</v>
      </c>
      <c r="K2567" s="63">
        <f>AVERAGE(I2567:J2567)</f>
        <v>0</v>
      </c>
      <c r="L2567" s="56" t="str">
        <f>"SW-RISER-PACK"</f>
        <v>SW-RISER-PACK</v>
      </c>
      <c r="M2567" s="14"/>
      <c r="N2567" s="15"/>
      <c r="O2567" s="12"/>
      <c r="P2567" s="34"/>
      <c r="Q2567" s="37"/>
      <c r="R2567" s="47"/>
      <c r="S2567" s="46"/>
    </row>
    <row r="2568" spans="1:19" ht="12" hidden="1" customHeight="1" x14ac:dyDescent="0.3">
      <c r="A2568" s="35" t="s">
        <v>908</v>
      </c>
      <c r="B2568" s="49" t="str">
        <f>B2564</f>
        <v>hide</v>
      </c>
      <c r="N2568"/>
      <c r="Q2568" s="33"/>
    </row>
    <row r="2569" spans="1:19" ht="13.8" hidden="1" thickBot="1" x14ac:dyDescent="0.3">
      <c r="A2569" t="s">
        <v>23</v>
      </c>
      <c r="B2569" s="49" t="str">
        <f t="shared" ref="B2569" si="1835">B2568</f>
        <v>hide</v>
      </c>
      <c r="D2569" s="58"/>
      <c r="E2569" s="58"/>
      <c r="F2569" s="52">
        <f>SUM(F2564:F2568)</f>
        <v>0</v>
      </c>
      <c r="G2569" s="52">
        <f>SUM(G2564:G2568)</f>
        <v>-75</v>
      </c>
      <c r="H2569" s="52">
        <f>SUM(H2564:H2568)</f>
        <v>0</v>
      </c>
      <c r="I2569" s="52">
        <f>SUM(I2564:I2568)</f>
        <v>0</v>
      </c>
      <c r="J2569" s="52">
        <f>SUM(J2564:J2568)</f>
        <v>0</v>
      </c>
      <c r="K2569" s="52"/>
      <c r="L2569" s="51" t="s">
        <v>4</v>
      </c>
      <c r="M2569" s="58"/>
      <c r="N2569" s="58"/>
      <c r="O2569" s="58"/>
      <c r="P2569" s="58"/>
      <c r="Q2569" s="58"/>
      <c r="R2569" s="58"/>
      <c r="S2569" s="58"/>
    </row>
    <row r="2570" spans="1:19" s="59" customFormat="1" ht="18.75" hidden="1" customHeight="1" thickBot="1" x14ac:dyDescent="0.3">
      <c r="A2570" s="59" t="s">
        <v>23</v>
      </c>
      <c r="B2570" s="60" t="str">
        <f t="shared" ref="B2570:B2571" si="1836">IF(K2570=0,"hide","")</f>
        <v>hide</v>
      </c>
      <c r="D2570" s="61" t="str">
        <f>"33505"</f>
        <v>33505</v>
      </c>
      <c r="E2570" s="62" t="str">
        <f>"2"</f>
        <v>2</v>
      </c>
      <c r="F2570" s="63">
        <v>0</v>
      </c>
      <c r="G2570" s="63">
        <v>0</v>
      </c>
      <c r="H2570" s="63">
        <v>0</v>
      </c>
      <c r="I2570" s="63">
        <v>0</v>
      </c>
      <c r="J2570" s="63">
        <v>0</v>
      </c>
      <c r="K2570" s="63">
        <f>AVERAGE(I2570:J2570)</f>
        <v>0</v>
      </c>
      <c r="L2570" s="64" t="str">
        <f>"Cornbread Loaves no-labels"</f>
        <v>Cornbread Loaves no-labels</v>
      </c>
      <c r="M2570" s="65" t="str">
        <f>"96-2oz. 24 trays of 4"</f>
        <v>96-2oz. 24 trays of 4</v>
      </c>
      <c r="N2570" s="66">
        <v>96</v>
      </c>
      <c r="O2570" s="67" t="str">
        <f>""</f>
        <v/>
      </c>
      <c r="P2570" s="68" t="e">
        <f>1/O2570</f>
        <v>#VALUE!</v>
      </c>
      <c r="Q2570" s="53">
        <v>1</v>
      </c>
      <c r="R2570" s="69">
        <f t="shared" ref="R2570" si="1837">1/Q2570</f>
        <v>1</v>
      </c>
      <c r="S2570" s="70">
        <f t="shared" ref="S2570" si="1838">R2570*N2570</f>
        <v>96</v>
      </c>
    </row>
    <row r="2571" spans="1:19" ht="15.6" hidden="1" customHeight="1" thickBot="1" x14ac:dyDescent="0.3">
      <c r="A2571" t="s">
        <v>23</v>
      </c>
      <c r="B2571" s="60" t="str">
        <f t="shared" si="1836"/>
        <v>hide</v>
      </c>
      <c r="D2571" s="48" t="str">
        <f>D2570</f>
        <v>33505</v>
      </c>
      <c r="E2571" s="7"/>
      <c r="F2571" s="27">
        <v>0</v>
      </c>
      <c r="G2571" s="27">
        <v>0</v>
      </c>
      <c r="H2571" s="27">
        <v>0</v>
      </c>
      <c r="I2571" s="27">
        <v>0</v>
      </c>
      <c r="J2571" s="27">
        <v>0</v>
      </c>
      <c r="K2571" s="63">
        <f>AVERAGE(I2571:J2571)</f>
        <v>0</v>
      </c>
      <c r="L2571" s="56" t="str">
        <f>"EQP-LAWPACK1"</f>
        <v>EQP-LAWPACK1</v>
      </c>
      <c r="M2571" s="14"/>
      <c r="N2571" s="15"/>
      <c r="O2571" s="12"/>
      <c r="P2571" s="34"/>
      <c r="Q2571" s="37"/>
      <c r="R2571" s="47"/>
      <c r="S2571" s="46"/>
    </row>
    <row r="2572" spans="1:19" ht="15.6" hidden="1" customHeight="1" thickBot="1" x14ac:dyDescent="0.3">
      <c r="A2572" t="s">
        <v>23</v>
      </c>
      <c r="B2572" s="60" t="str">
        <f t="shared" ref="B2572:B2574" si="1839">IF(K2572=0,"hide","")</f>
        <v>hide</v>
      </c>
      <c r="D2572" s="48" t="str">
        <f>D2571</f>
        <v>33505</v>
      </c>
      <c r="E2572" s="7"/>
      <c r="F2572" s="27">
        <v>0</v>
      </c>
      <c r="G2572" s="27">
        <v>0</v>
      </c>
      <c r="H2572" s="27">
        <v>0</v>
      </c>
      <c r="I2572" s="27">
        <v>0</v>
      </c>
      <c r="J2572" s="27">
        <v>0</v>
      </c>
      <c r="K2572" s="63">
        <f>AVERAGE(I2572:J2572)</f>
        <v>0</v>
      </c>
      <c r="L2572" s="56" t="str">
        <f>"EQP-LAWPACK2"</f>
        <v>EQP-LAWPACK2</v>
      </c>
      <c r="M2572" s="14"/>
      <c r="N2572" s="15"/>
      <c r="O2572" s="12"/>
      <c r="P2572" s="34"/>
      <c r="Q2572" s="37"/>
      <c r="R2572" s="47"/>
      <c r="S2572" s="46"/>
    </row>
    <row r="2573" spans="1:19" ht="15.6" hidden="1" customHeight="1" thickBot="1" x14ac:dyDescent="0.3">
      <c r="A2573" t="s">
        <v>23</v>
      </c>
      <c r="B2573" s="60" t="str">
        <f t="shared" si="1839"/>
        <v>hide</v>
      </c>
      <c r="D2573" s="48" t="str">
        <f>D2572</f>
        <v>33505</v>
      </c>
      <c r="E2573" s="7"/>
      <c r="F2573" s="27">
        <v>0</v>
      </c>
      <c r="G2573" s="27">
        <v>0</v>
      </c>
      <c r="H2573" s="27">
        <v>0</v>
      </c>
      <c r="I2573" s="27">
        <v>0</v>
      </c>
      <c r="J2573" s="27">
        <v>0</v>
      </c>
      <c r="K2573" s="63">
        <f>AVERAGE(I2573:J2573)</f>
        <v>0</v>
      </c>
      <c r="L2573" s="56" t="str">
        <f>"SW-COMAS-PACKL"</f>
        <v>SW-COMAS-PACKL</v>
      </c>
      <c r="M2573" s="14"/>
      <c r="N2573" s="15"/>
      <c r="O2573" s="12"/>
      <c r="P2573" s="34"/>
      <c r="Q2573" s="37"/>
      <c r="R2573" s="47"/>
      <c r="S2573" s="46"/>
    </row>
    <row r="2574" spans="1:19" ht="15.6" hidden="1" customHeight="1" thickBot="1" x14ac:dyDescent="0.3">
      <c r="A2574" t="s">
        <v>23</v>
      </c>
      <c r="B2574" s="60" t="str">
        <f t="shared" si="1839"/>
        <v>hide</v>
      </c>
      <c r="D2574" s="48" t="str">
        <f>D2573</f>
        <v>33505</v>
      </c>
      <c r="E2574" s="7"/>
      <c r="F2574" s="27">
        <v>0</v>
      </c>
      <c r="G2574" s="27">
        <v>0</v>
      </c>
      <c r="H2574" s="27">
        <v>0</v>
      </c>
      <c r="I2574" s="27">
        <v>0</v>
      </c>
      <c r="J2574" s="27">
        <v>0</v>
      </c>
      <c r="K2574" s="63">
        <f>AVERAGE(I2574:J2574)</f>
        <v>0</v>
      </c>
      <c r="L2574" s="56" t="str">
        <f>"SW-RISER-PACK"</f>
        <v>SW-RISER-PACK</v>
      </c>
      <c r="M2574" s="14"/>
      <c r="N2574" s="15"/>
      <c r="O2574" s="12"/>
      <c r="P2574" s="34"/>
      <c r="Q2574" s="37"/>
      <c r="R2574" s="47"/>
      <c r="S2574" s="46"/>
    </row>
    <row r="2575" spans="1:19" ht="12" hidden="1" customHeight="1" x14ac:dyDescent="0.3">
      <c r="A2575" s="35" t="s">
        <v>908</v>
      </c>
      <c r="B2575" s="49" t="str">
        <f>B2571</f>
        <v>hide</v>
      </c>
      <c r="N2575"/>
      <c r="Q2575" s="33"/>
    </row>
    <row r="2576" spans="1:19" ht="13.8" hidden="1" thickBot="1" x14ac:dyDescent="0.3">
      <c r="A2576" t="s">
        <v>23</v>
      </c>
      <c r="B2576" s="49" t="str">
        <f t="shared" ref="B2576" si="1840">B2575</f>
        <v>hide</v>
      </c>
      <c r="D2576" s="58"/>
      <c r="E2576" s="58"/>
      <c r="F2576" s="52">
        <f>SUM(F2571:F2575)</f>
        <v>0</v>
      </c>
      <c r="G2576" s="52">
        <f>SUM(G2571:G2575)</f>
        <v>0</v>
      </c>
      <c r="H2576" s="52">
        <f>SUM(H2571:H2575)</f>
        <v>0</v>
      </c>
      <c r="I2576" s="52">
        <f>SUM(I2571:I2575)</f>
        <v>0</v>
      </c>
      <c r="J2576" s="52">
        <f>SUM(J2571:J2575)</f>
        <v>0</v>
      </c>
      <c r="K2576" s="52"/>
      <c r="L2576" s="51" t="s">
        <v>4</v>
      </c>
      <c r="M2576" s="58"/>
      <c r="N2576" s="58"/>
      <c r="O2576" s="58"/>
      <c r="P2576" s="58"/>
      <c r="Q2576" s="58"/>
      <c r="R2576" s="58"/>
      <c r="S2576" s="58"/>
    </row>
    <row r="2577" spans="1:19" s="59" customFormat="1" ht="18.75" hidden="1" customHeight="1" thickBot="1" x14ac:dyDescent="0.3">
      <c r="A2577" s="59" t="s">
        <v>23</v>
      </c>
      <c r="B2577" s="60" t="str">
        <f t="shared" ref="B2577:B2578" si="1841">IF(K2577=0,"hide","")</f>
        <v>hide</v>
      </c>
      <c r="D2577" s="61" t="str">
        <f>"34305"</f>
        <v>34305</v>
      </c>
      <c r="E2577" s="62" t="str">
        <f>"4"</f>
        <v>4</v>
      </c>
      <c r="F2577" s="63">
        <v>0</v>
      </c>
      <c r="G2577" s="63">
        <v>0</v>
      </c>
      <c r="H2577" s="63">
        <v>0</v>
      </c>
      <c r="I2577" s="63">
        <v>0</v>
      </c>
      <c r="J2577" s="63">
        <v>0</v>
      </c>
      <c r="K2577" s="63">
        <f>AVERAGE(I2577:J2577)</f>
        <v>0</v>
      </c>
      <c r="L2577" s="64" t="str">
        <f>"CORNBREAD LOAVES"</f>
        <v>CORNBREAD LOAVES</v>
      </c>
      <c r="M2577" s="65" t="str">
        <f>"96-2 oz. 16 trays of 6"</f>
        <v>96-2 oz. 16 trays of 6</v>
      </c>
      <c r="N2577" s="66">
        <v>96</v>
      </c>
      <c r="O2577" s="67" t="str">
        <f>""</f>
        <v/>
      </c>
      <c r="P2577" s="68" t="e">
        <f>1/O2577</f>
        <v>#VALUE!</v>
      </c>
      <c r="Q2577" s="53">
        <v>1</v>
      </c>
      <c r="R2577" s="69">
        <f t="shared" ref="R2577" si="1842">1/Q2577</f>
        <v>1</v>
      </c>
      <c r="S2577" s="70">
        <f t="shared" ref="S2577" si="1843">R2577*N2577</f>
        <v>96</v>
      </c>
    </row>
    <row r="2578" spans="1:19" ht="15.6" hidden="1" customHeight="1" thickBot="1" x14ac:dyDescent="0.3">
      <c r="A2578" t="s">
        <v>23</v>
      </c>
      <c r="B2578" s="60" t="str">
        <f t="shared" si="1841"/>
        <v>hide</v>
      </c>
      <c r="D2578" s="48" t="str">
        <f>D2577</f>
        <v>34305</v>
      </c>
      <c r="E2578" s="7"/>
      <c r="F2578" s="27">
        <v>0</v>
      </c>
      <c r="G2578" s="27">
        <v>0</v>
      </c>
      <c r="H2578" s="27">
        <v>0</v>
      </c>
      <c r="I2578" s="27">
        <v>0</v>
      </c>
      <c r="J2578" s="27">
        <v>0</v>
      </c>
      <c r="K2578" s="63">
        <f>AVERAGE(I2578:J2578)</f>
        <v>0</v>
      </c>
      <c r="L2578" s="56" t="str">
        <f>"EQP-LAWPACK1"</f>
        <v>EQP-LAWPACK1</v>
      </c>
      <c r="M2578" s="14"/>
      <c r="N2578" s="15"/>
      <c r="O2578" s="12"/>
      <c r="P2578" s="34"/>
      <c r="Q2578" s="37"/>
      <c r="R2578" s="47"/>
      <c r="S2578" s="46"/>
    </row>
    <row r="2579" spans="1:19" ht="15.6" hidden="1" customHeight="1" thickBot="1" x14ac:dyDescent="0.3">
      <c r="A2579" t="s">
        <v>23</v>
      </c>
      <c r="B2579" s="60" t="str">
        <f t="shared" ref="B2579:B2581" si="1844">IF(K2579=0,"hide","")</f>
        <v>hide</v>
      </c>
      <c r="D2579" s="48" t="str">
        <f>D2578</f>
        <v>34305</v>
      </c>
      <c r="E2579" s="7"/>
      <c r="F2579" s="27">
        <v>0</v>
      </c>
      <c r="G2579" s="27">
        <v>0</v>
      </c>
      <c r="H2579" s="27">
        <v>0</v>
      </c>
      <c r="I2579" s="27">
        <v>0</v>
      </c>
      <c r="J2579" s="27">
        <v>0</v>
      </c>
      <c r="K2579" s="63">
        <f>AVERAGE(I2579:J2579)</f>
        <v>0</v>
      </c>
      <c r="L2579" s="56" t="str">
        <f>"EQP-LAWPACK2"</f>
        <v>EQP-LAWPACK2</v>
      </c>
      <c r="M2579" s="14"/>
      <c r="N2579" s="15"/>
      <c r="O2579" s="12"/>
      <c r="P2579" s="34"/>
      <c r="Q2579" s="37"/>
      <c r="R2579" s="47"/>
      <c r="S2579" s="46"/>
    </row>
    <row r="2580" spans="1:19" ht="15.6" hidden="1" customHeight="1" thickBot="1" x14ac:dyDescent="0.3">
      <c r="A2580" t="s">
        <v>23</v>
      </c>
      <c r="B2580" s="60" t="str">
        <f t="shared" si="1844"/>
        <v>hide</v>
      </c>
      <c r="D2580" s="48" t="str">
        <f>D2579</f>
        <v>34305</v>
      </c>
      <c r="E2580" s="7"/>
      <c r="F2580" s="27">
        <v>0</v>
      </c>
      <c r="G2580" s="27">
        <v>0</v>
      </c>
      <c r="H2580" s="27">
        <v>0</v>
      </c>
      <c r="I2580" s="27">
        <v>0</v>
      </c>
      <c r="J2580" s="27">
        <v>0</v>
      </c>
      <c r="K2580" s="63">
        <f>AVERAGE(I2580:J2580)</f>
        <v>0</v>
      </c>
      <c r="L2580" s="56" t="str">
        <f>"SW-COMAS-PACKL"</f>
        <v>SW-COMAS-PACKL</v>
      </c>
      <c r="M2580" s="14"/>
      <c r="N2580" s="15"/>
      <c r="O2580" s="12"/>
      <c r="P2580" s="34"/>
      <c r="Q2580" s="37"/>
      <c r="R2580" s="47"/>
      <c r="S2580" s="46"/>
    </row>
    <row r="2581" spans="1:19" ht="15.6" hidden="1" customHeight="1" thickBot="1" x14ac:dyDescent="0.3">
      <c r="A2581" t="s">
        <v>23</v>
      </c>
      <c r="B2581" s="60" t="str">
        <f t="shared" si="1844"/>
        <v>hide</v>
      </c>
      <c r="D2581" s="48" t="str">
        <f>D2580</f>
        <v>34305</v>
      </c>
      <c r="E2581" s="7"/>
      <c r="F2581" s="27">
        <v>0</v>
      </c>
      <c r="G2581" s="27">
        <v>0</v>
      </c>
      <c r="H2581" s="27">
        <v>0</v>
      </c>
      <c r="I2581" s="27">
        <v>0</v>
      </c>
      <c r="J2581" s="27">
        <v>0</v>
      </c>
      <c r="K2581" s="63">
        <f>AVERAGE(I2581:J2581)</f>
        <v>0</v>
      </c>
      <c r="L2581" s="56" t="str">
        <f>"SW-RISER-PACK"</f>
        <v>SW-RISER-PACK</v>
      </c>
      <c r="M2581" s="14"/>
      <c r="N2581" s="15"/>
      <c r="O2581" s="12"/>
      <c r="P2581" s="34"/>
      <c r="Q2581" s="37"/>
      <c r="R2581" s="47"/>
      <c r="S2581" s="46"/>
    </row>
    <row r="2582" spans="1:19" ht="12" hidden="1" customHeight="1" x14ac:dyDescent="0.3">
      <c r="A2582" s="35" t="s">
        <v>908</v>
      </c>
      <c r="B2582" s="49" t="str">
        <f>B2578</f>
        <v>hide</v>
      </c>
      <c r="N2582"/>
      <c r="Q2582" s="33"/>
    </row>
    <row r="2583" spans="1:19" ht="13.8" hidden="1" thickBot="1" x14ac:dyDescent="0.3">
      <c r="A2583" t="s">
        <v>23</v>
      </c>
      <c r="B2583" s="49" t="str">
        <f t="shared" ref="B2583" si="1845">B2582</f>
        <v>hide</v>
      </c>
      <c r="D2583" s="58"/>
      <c r="E2583" s="58"/>
      <c r="F2583" s="52">
        <f>SUM(F2578:F2582)</f>
        <v>0</v>
      </c>
      <c r="G2583" s="52">
        <f>SUM(G2578:G2582)</f>
        <v>0</v>
      </c>
      <c r="H2583" s="52">
        <f>SUM(H2578:H2582)</f>
        <v>0</v>
      </c>
      <c r="I2583" s="52">
        <f>SUM(I2578:I2582)</f>
        <v>0</v>
      </c>
      <c r="J2583" s="52">
        <f>SUM(J2578:J2582)</f>
        <v>0</v>
      </c>
      <c r="K2583" s="52"/>
      <c r="L2583" s="51" t="s">
        <v>4</v>
      </c>
      <c r="M2583" s="58"/>
      <c r="N2583" s="58"/>
      <c r="O2583" s="58"/>
      <c r="P2583" s="58"/>
      <c r="Q2583" s="58"/>
      <c r="R2583" s="58"/>
      <c r="S2583" s="58"/>
    </row>
    <row r="2584" spans="1:19" s="59" customFormat="1" ht="18.75" customHeight="1" thickBot="1" x14ac:dyDescent="0.3">
      <c r="A2584" s="59" t="s">
        <v>23</v>
      </c>
      <c r="B2584" s="60" t="str">
        <f t="shared" ref="B2584:B2585" si="1846">IF(K2584=0,"hide","")</f>
        <v/>
      </c>
      <c r="D2584" s="61" t="str">
        <f>"35405"</f>
        <v>35405</v>
      </c>
      <c r="E2584" s="62" t="str">
        <f>"8"</f>
        <v>8</v>
      </c>
      <c r="F2584" s="63">
        <v>2623.4166666666665</v>
      </c>
      <c r="G2584" s="63">
        <v>1364</v>
      </c>
      <c r="H2584" s="63">
        <v>1921.4166666666667</v>
      </c>
      <c r="I2584" s="63">
        <v>1446.25</v>
      </c>
      <c r="J2584" s="63">
        <v>781.55734939759043</v>
      </c>
      <c r="K2584" s="63">
        <f>AVERAGE(I2584:J2584)</f>
        <v>1113.9036746987952</v>
      </c>
      <c r="L2584" s="64" t="str">
        <f>"CORNBREAD LOAVES"</f>
        <v>CORNBREAD LOAVES</v>
      </c>
      <c r="M2584" s="65" t="str">
        <f>"36-3 oz. I.W."</f>
        <v>36-3 oz. I.W.</v>
      </c>
      <c r="N2584" s="66">
        <v>36</v>
      </c>
      <c r="O2584" s="67" t="str">
        <f>""</f>
        <v/>
      </c>
      <c r="P2584" s="68" t="e">
        <f>1/O2584</f>
        <v>#VALUE!</v>
      </c>
      <c r="Q2584" s="53">
        <v>1</v>
      </c>
      <c r="R2584" s="69">
        <f t="shared" ref="R2584" si="1847">1/Q2584</f>
        <v>1</v>
      </c>
      <c r="S2584" s="70">
        <f t="shared" ref="S2584" si="1848">R2584*N2584</f>
        <v>36</v>
      </c>
    </row>
    <row r="2585" spans="1:19" ht="15.6" hidden="1" customHeight="1" thickBot="1" x14ac:dyDescent="0.3">
      <c r="A2585" t="s">
        <v>23</v>
      </c>
      <c r="B2585" s="60" t="str">
        <f t="shared" si="1846"/>
        <v>hide</v>
      </c>
      <c r="D2585" s="48" t="str">
        <f>D2584</f>
        <v>35405</v>
      </c>
      <c r="E2585" s="7"/>
      <c r="F2585" s="27">
        <v>0</v>
      </c>
      <c r="G2585" s="27">
        <v>0</v>
      </c>
      <c r="H2585" s="27">
        <v>0</v>
      </c>
      <c r="I2585" s="27">
        <v>0</v>
      </c>
      <c r="J2585" s="27">
        <v>0</v>
      </c>
      <c r="K2585" s="63">
        <f>AVERAGE(I2585:J2585)</f>
        <v>0</v>
      </c>
      <c r="L2585" s="56" t="str">
        <f>"EQP-LAWPACK1"</f>
        <v>EQP-LAWPACK1</v>
      </c>
      <c r="M2585" s="14"/>
      <c r="N2585" s="15"/>
      <c r="O2585" s="12"/>
      <c r="P2585" s="34"/>
      <c r="Q2585" s="37"/>
      <c r="R2585" s="47"/>
      <c r="S2585" s="46"/>
    </row>
    <row r="2586" spans="1:19" ht="15.6" hidden="1" customHeight="1" thickBot="1" x14ac:dyDescent="0.3">
      <c r="A2586" t="s">
        <v>23</v>
      </c>
      <c r="B2586" s="60" t="str">
        <f t="shared" ref="B2586:B2588" si="1849">IF(K2586=0,"hide","")</f>
        <v>hide</v>
      </c>
      <c r="D2586" s="48" t="str">
        <f>D2585</f>
        <v>35405</v>
      </c>
      <c r="E2586" s="7"/>
      <c r="F2586" s="27">
        <v>0</v>
      </c>
      <c r="G2586" s="27">
        <v>0</v>
      </c>
      <c r="H2586" s="27">
        <v>0</v>
      </c>
      <c r="I2586" s="27">
        <v>0</v>
      </c>
      <c r="J2586" s="27">
        <v>0</v>
      </c>
      <c r="K2586" s="63">
        <f>AVERAGE(I2586:J2586)</f>
        <v>0</v>
      </c>
      <c r="L2586" s="56" t="str">
        <f>"EQP-LAWPACK2"</f>
        <v>EQP-LAWPACK2</v>
      </c>
      <c r="M2586" s="14"/>
      <c r="N2586" s="15"/>
      <c r="O2586" s="12"/>
      <c r="P2586" s="34"/>
      <c r="Q2586" s="37"/>
      <c r="R2586" s="47"/>
      <c r="S2586" s="46"/>
    </row>
    <row r="2587" spans="1:19" ht="15.6" hidden="1" customHeight="1" thickBot="1" x14ac:dyDescent="0.3">
      <c r="A2587" t="s">
        <v>23</v>
      </c>
      <c r="B2587" s="60" t="str">
        <f t="shared" si="1849"/>
        <v>hide</v>
      </c>
      <c r="D2587" s="48" t="str">
        <f>D2586</f>
        <v>35405</v>
      </c>
      <c r="E2587" s="7"/>
      <c r="F2587" s="27">
        <v>0</v>
      </c>
      <c r="G2587" s="27">
        <v>0</v>
      </c>
      <c r="H2587" s="27">
        <v>0</v>
      </c>
      <c r="I2587" s="27">
        <v>0</v>
      </c>
      <c r="J2587" s="27">
        <v>0</v>
      </c>
      <c r="K2587" s="63">
        <f>AVERAGE(I2587:J2587)</f>
        <v>0</v>
      </c>
      <c r="L2587" s="56" t="str">
        <f>"SW-COMAS-PACKL"</f>
        <v>SW-COMAS-PACKL</v>
      </c>
      <c r="M2587" s="14"/>
      <c r="N2587" s="15"/>
      <c r="O2587" s="12"/>
      <c r="P2587" s="34"/>
      <c r="Q2587" s="37"/>
      <c r="R2587" s="47"/>
      <c r="S2587" s="46"/>
    </row>
    <row r="2588" spans="1:19" ht="15.6" hidden="1" customHeight="1" thickBot="1" x14ac:dyDescent="0.3">
      <c r="A2588" t="s">
        <v>23</v>
      </c>
      <c r="B2588" s="60" t="str">
        <f t="shared" si="1849"/>
        <v>hide</v>
      </c>
      <c r="D2588" s="48" t="str">
        <f>D2587</f>
        <v>35405</v>
      </c>
      <c r="E2588" s="7"/>
      <c r="F2588" s="27">
        <v>0</v>
      </c>
      <c r="G2588" s="27">
        <v>0</v>
      </c>
      <c r="H2588" s="27">
        <v>0</v>
      </c>
      <c r="I2588" s="27">
        <v>0</v>
      </c>
      <c r="J2588" s="27">
        <v>0</v>
      </c>
      <c r="K2588" s="63">
        <f>AVERAGE(I2588:J2588)</f>
        <v>0</v>
      </c>
      <c r="L2588" s="56" t="str">
        <f>"SW-RISER-PACK"</f>
        <v>SW-RISER-PACK</v>
      </c>
      <c r="M2588" s="14"/>
      <c r="N2588" s="15"/>
      <c r="O2588" s="12"/>
      <c r="P2588" s="34"/>
      <c r="Q2588" s="37"/>
      <c r="R2588" s="47"/>
      <c r="S2588" s="46"/>
    </row>
    <row r="2589" spans="1:19" ht="12" hidden="1" customHeight="1" x14ac:dyDescent="0.3">
      <c r="A2589" s="35" t="s">
        <v>908</v>
      </c>
      <c r="B2589" s="49" t="str">
        <f>B2585</f>
        <v>hide</v>
      </c>
      <c r="N2589"/>
      <c r="Q2589" s="33"/>
    </row>
    <row r="2590" spans="1:19" ht="13.8" hidden="1" thickBot="1" x14ac:dyDescent="0.3">
      <c r="A2590" t="s">
        <v>23</v>
      </c>
      <c r="B2590" s="49" t="str">
        <f t="shared" ref="B2590" si="1850">B2589</f>
        <v>hide</v>
      </c>
      <c r="D2590" s="58"/>
      <c r="E2590" s="58"/>
      <c r="F2590" s="52">
        <f>SUM(F2585:F2589)</f>
        <v>0</v>
      </c>
      <c r="G2590" s="52">
        <f>SUM(G2585:G2589)</f>
        <v>0</v>
      </c>
      <c r="H2590" s="52">
        <f>SUM(H2585:H2589)</f>
        <v>0</v>
      </c>
      <c r="I2590" s="52">
        <f>SUM(I2585:I2589)</f>
        <v>0</v>
      </c>
      <c r="J2590" s="52">
        <f>SUM(J2585:J2589)</f>
        <v>0</v>
      </c>
      <c r="K2590" s="52"/>
      <c r="L2590" s="51" t="s">
        <v>4</v>
      </c>
      <c r="M2590" s="58"/>
      <c r="N2590" s="58"/>
      <c r="O2590" s="58"/>
      <c r="P2590" s="58"/>
      <c r="Q2590" s="58"/>
      <c r="R2590" s="58"/>
      <c r="S2590" s="58"/>
    </row>
    <row r="2591" spans="1:19" s="59" customFormat="1" ht="18.75" customHeight="1" thickBot="1" x14ac:dyDescent="0.3">
      <c r="A2591" s="59" t="s">
        <v>23</v>
      </c>
      <c r="B2591" s="60" t="str">
        <f t="shared" ref="B2591:B2592" si="1851">IF(K2591=0,"hide","")</f>
        <v/>
      </c>
      <c r="D2591" s="61" t="str">
        <f>"35425"</f>
        <v>35425</v>
      </c>
      <c r="E2591" s="62" t="str">
        <f>"2"</f>
        <v>2</v>
      </c>
      <c r="F2591" s="63">
        <v>60.666666666666664</v>
      </c>
      <c r="G2591" s="63">
        <v>66.916666666666671</v>
      </c>
      <c r="H2591" s="63">
        <v>95.333333333333329</v>
      </c>
      <c r="I2591" s="63">
        <v>120.91666666666667</v>
      </c>
      <c r="J2591" s="63">
        <v>79.785542168674695</v>
      </c>
      <c r="K2591" s="63">
        <f>AVERAGE(I2591:J2591)</f>
        <v>100.35110441767068</v>
      </c>
      <c r="L2591" s="64" t="str">
        <f>"Jalapeno Cornbread Loaves"</f>
        <v>Jalapeno Cornbread Loaves</v>
      </c>
      <c r="M2591" s="65" t="str">
        <f>"36-3 oz. I.W."</f>
        <v>36-3 oz. I.W.</v>
      </c>
      <c r="N2591" s="66">
        <v>36</v>
      </c>
      <c r="O2591" s="67" t="str">
        <f>""</f>
        <v/>
      </c>
      <c r="P2591" s="68" t="e">
        <f>1/O2591</f>
        <v>#VALUE!</v>
      </c>
      <c r="Q2591" s="53">
        <v>1</v>
      </c>
      <c r="R2591" s="69">
        <f t="shared" ref="R2591" si="1852">1/Q2591</f>
        <v>1</v>
      </c>
      <c r="S2591" s="70">
        <f t="shared" ref="S2591" si="1853">R2591*N2591</f>
        <v>36</v>
      </c>
    </row>
    <row r="2592" spans="1:19" ht="15.6" hidden="1" customHeight="1" thickBot="1" x14ac:dyDescent="0.3">
      <c r="A2592" t="s">
        <v>23</v>
      </c>
      <c r="B2592" s="60" t="str">
        <f t="shared" si="1851"/>
        <v>hide</v>
      </c>
      <c r="D2592" s="48" t="str">
        <f>D2591</f>
        <v>35425</v>
      </c>
      <c r="E2592" s="7"/>
      <c r="F2592" s="27">
        <v>0</v>
      </c>
      <c r="G2592" s="27">
        <v>0</v>
      </c>
      <c r="H2592" s="27">
        <v>0</v>
      </c>
      <c r="I2592" s="27">
        <v>0</v>
      </c>
      <c r="J2592" s="27">
        <v>0</v>
      </c>
      <c r="K2592" s="63">
        <f>AVERAGE(I2592:J2592)</f>
        <v>0</v>
      </c>
      <c r="L2592" s="56" t="str">
        <f>"EQP-LAWPACK1"</f>
        <v>EQP-LAWPACK1</v>
      </c>
      <c r="M2592" s="14"/>
      <c r="N2592" s="15"/>
      <c r="O2592" s="12"/>
      <c r="P2592" s="34"/>
      <c r="Q2592" s="37"/>
      <c r="R2592" s="47"/>
      <c r="S2592" s="46"/>
    </row>
    <row r="2593" spans="1:19" ht="15.6" hidden="1" customHeight="1" thickBot="1" x14ac:dyDescent="0.3">
      <c r="A2593" t="s">
        <v>23</v>
      </c>
      <c r="B2593" s="60" t="str">
        <f t="shared" ref="B2593:B2595" si="1854">IF(K2593=0,"hide","")</f>
        <v>hide</v>
      </c>
      <c r="D2593" s="48" t="str">
        <f>D2592</f>
        <v>35425</v>
      </c>
      <c r="E2593" s="7"/>
      <c r="F2593" s="27">
        <v>0</v>
      </c>
      <c r="G2593" s="27">
        <v>0</v>
      </c>
      <c r="H2593" s="27">
        <v>0</v>
      </c>
      <c r="I2593" s="27">
        <v>0</v>
      </c>
      <c r="J2593" s="27">
        <v>0</v>
      </c>
      <c r="K2593" s="63">
        <f>AVERAGE(I2593:J2593)</f>
        <v>0</v>
      </c>
      <c r="L2593" s="56" t="str">
        <f>"EQP-LAWPACK2"</f>
        <v>EQP-LAWPACK2</v>
      </c>
      <c r="M2593" s="14"/>
      <c r="N2593" s="15"/>
      <c r="O2593" s="12"/>
      <c r="P2593" s="34"/>
      <c r="Q2593" s="37"/>
      <c r="R2593" s="47"/>
      <c r="S2593" s="46"/>
    </row>
    <row r="2594" spans="1:19" ht="15.6" hidden="1" customHeight="1" thickBot="1" x14ac:dyDescent="0.3">
      <c r="A2594" t="s">
        <v>23</v>
      </c>
      <c r="B2594" s="60" t="str">
        <f t="shared" si="1854"/>
        <v>hide</v>
      </c>
      <c r="D2594" s="48" t="str">
        <f>D2593</f>
        <v>35425</v>
      </c>
      <c r="E2594" s="7"/>
      <c r="F2594" s="27">
        <v>0</v>
      </c>
      <c r="G2594" s="27">
        <v>0</v>
      </c>
      <c r="H2594" s="27">
        <v>0</v>
      </c>
      <c r="I2594" s="27">
        <v>0</v>
      </c>
      <c r="J2594" s="27">
        <v>0</v>
      </c>
      <c r="K2594" s="63">
        <f>AVERAGE(I2594:J2594)</f>
        <v>0</v>
      </c>
      <c r="L2594" s="56" t="str">
        <f>"SW-COMAS-PACKL"</f>
        <v>SW-COMAS-PACKL</v>
      </c>
      <c r="M2594" s="14"/>
      <c r="N2594" s="15"/>
      <c r="O2594" s="12"/>
      <c r="P2594" s="34"/>
      <c r="Q2594" s="37"/>
      <c r="R2594" s="47"/>
      <c r="S2594" s="46"/>
    </row>
    <row r="2595" spans="1:19" ht="15.6" hidden="1" customHeight="1" thickBot="1" x14ac:dyDescent="0.3">
      <c r="A2595" t="s">
        <v>23</v>
      </c>
      <c r="B2595" s="60" t="str">
        <f t="shared" si="1854"/>
        <v>hide</v>
      </c>
      <c r="D2595" s="48" t="str">
        <f>D2594</f>
        <v>35425</v>
      </c>
      <c r="E2595" s="7"/>
      <c r="F2595" s="27">
        <v>0</v>
      </c>
      <c r="G2595" s="27">
        <v>0</v>
      </c>
      <c r="H2595" s="27">
        <v>0</v>
      </c>
      <c r="I2595" s="27">
        <v>0</v>
      </c>
      <c r="J2595" s="27">
        <v>0</v>
      </c>
      <c r="K2595" s="63">
        <f>AVERAGE(I2595:J2595)</f>
        <v>0</v>
      </c>
      <c r="L2595" s="56" t="str">
        <f>"SW-RISER-PACK"</f>
        <v>SW-RISER-PACK</v>
      </c>
      <c r="M2595" s="14"/>
      <c r="N2595" s="15"/>
      <c r="O2595" s="12"/>
      <c r="P2595" s="34"/>
      <c r="Q2595" s="37"/>
      <c r="R2595" s="47"/>
      <c r="S2595" s="46"/>
    </row>
    <row r="2596" spans="1:19" ht="12" hidden="1" customHeight="1" x14ac:dyDescent="0.3">
      <c r="A2596" s="35" t="s">
        <v>908</v>
      </c>
      <c r="B2596" s="49" t="str">
        <f>B2592</f>
        <v>hide</v>
      </c>
      <c r="N2596"/>
      <c r="Q2596" s="33"/>
    </row>
    <row r="2597" spans="1:19" ht="13.8" hidden="1" thickBot="1" x14ac:dyDescent="0.3">
      <c r="A2597" t="s">
        <v>23</v>
      </c>
      <c r="B2597" s="49" t="str">
        <f t="shared" ref="B2597" si="1855">B2596</f>
        <v>hide</v>
      </c>
      <c r="D2597" s="58"/>
      <c r="E2597" s="58"/>
      <c r="F2597" s="52">
        <f>SUM(F2592:F2596)</f>
        <v>0</v>
      </c>
      <c r="G2597" s="52">
        <f>SUM(G2592:G2596)</f>
        <v>0</v>
      </c>
      <c r="H2597" s="52">
        <f>SUM(H2592:H2596)</f>
        <v>0</v>
      </c>
      <c r="I2597" s="52">
        <f>SUM(I2592:I2596)</f>
        <v>0</v>
      </c>
      <c r="J2597" s="52">
        <f>SUM(J2592:J2596)</f>
        <v>0</v>
      </c>
      <c r="K2597" s="52"/>
      <c r="L2597" s="51" t="s">
        <v>4</v>
      </c>
      <c r="M2597" s="58"/>
      <c r="N2597" s="58"/>
      <c r="O2597" s="58"/>
      <c r="P2597" s="58"/>
      <c r="Q2597" s="58"/>
      <c r="R2597" s="58"/>
      <c r="S2597" s="58"/>
    </row>
    <row r="2598" spans="1:19" s="59" customFormat="1" ht="18.75" customHeight="1" thickBot="1" x14ac:dyDescent="0.3">
      <c r="A2598" s="59" t="s">
        <v>23</v>
      </c>
      <c r="B2598" s="60" t="str">
        <f t="shared" ref="B2598:B2599" si="1856">IF(K2598=0,"hide","")</f>
        <v/>
      </c>
      <c r="D2598" s="61" t="str">
        <f>"35705"</f>
        <v>35705</v>
      </c>
      <c r="E2598" s="62" t="str">
        <f>"1"</f>
        <v>1</v>
      </c>
      <c r="F2598" s="63">
        <v>0</v>
      </c>
      <c r="G2598" s="63">
        <v>0</v>
      </c>
      <c r="H2598" s="63">
        <v>0</v>
      </c>
      <c r="I2598" s="63">
        <v>216.5</v>
      </c>
      <c r="J2598" s="63">
        <v>398.51855421686747</v>
      </c>
      <c r="K2598" s="63">
        <f>AVERAGE(I2598:J2598)</f>
        <v>307.50927710843371</v>
      </c>
      <c r="L2598" s="64" t="str">
        <f>"Sabrina's CORNBREAD LOAVES"</f>
        <v>Sabrina's CORNBREAD LOAVES</v>
      </c>
      <c r="M2598" s="65" t="str">
        <f>"36-3 oz. I.W."</f>
        <v>36-3 oz. I.W.</v>
      </c>
      <c r="N2598" s="66">
        <v>36</v>
      </c>
      <c r="O2598" s="67" t="str">
        <f>""</f>
        <v/>
      </c>
      <c r="P2598" s="68" t="e">
        <f>1/O2598</f>
        <v>#VALUE!</v>
      </c>
      <c r="Q2598" s="53">
        <v>1</v>
      </c>
      <c r="R2598" s="69">
        <f t="shared" ref="R2598" si="1857">1/Q2598</f>
        <v>1</v>
      </c>
      <c r="S2598" s="70">
        <f t="shared" ref="S2598" si="1858">R2598*N2598</f>
        <v>36</v>
      </c>
    </row>
    <row r="2599" spans="1:19" ht="15.6" hidden="1" customHeight="1" thickBot="1" x14ac:dyDescent="0.3">
      <c r="A2599" t="s">
        <v>23</v>
      </c>
      <c r="B2599" s="60" t="str">
        <f t="shared" si="1856"/>
        <v>hide</v>
      </c>
      <c r="D2599" s="48" t="str">
        <f>D2598</f>
        <v>35705</v>
      </c>
      <c r="E2599" s="7"/>
      <c r="F2599" s="27">
        <v>0</v>
      </c>
      <c r="G2599" s="27">
        <v>0</v>
      </c>
      <c r="H2599" s="27">
        <v>0</v>
      </c>
      <c r="I2599" s="27">
        <v>0</v>
      </c>
      <c r="J2599" s="27">
        <v>0</v>
      </c>
      <c r="K2599" s="63">
        <f>AVERAGE(I2599:J2599)</f>
        <v>0</v>
      </c>
      <c r="L2599" s="56" t="str">
        <f>"EQP-LAWPACK1"</f>
        <v>EQP-LAWPACK1</v>
      </c>
      <c r="M2599" s="14"/>
      <c r="N2599" s="15"/>
      <c r="O2599" s="12"/>
      <c r="P2599" s="34"/>
      <c r="Q2599" s="37"/>
      <c r="R2599" s="47"/>
      <c r="S2599" s="46"/>
    </row>
    <row r="2600" spans="1:19" ht="15.6" hidden="1" customHeight="1" thickBot="1" x14ac:dyDescent="0.3">
      <c r="A2600" t="s">
        <v>23</v>
      </c>
      <c r="B2600" s="60" t="str">
        <f t="shared" ref="B2600:B2602" si="1859">IF(K2600=0,"hide","")</f>
        <v>hide</v>
      </c>
      <c r="D2600" s="48" t="str">
        <f>D2599</f>
        <v>35705</v>
      </c>
      <c r="E2600" s="7"/>
      <c r="F2600" s="27">
        <v>0</v>
      </c>
      <c r="G2600" s="27">
        <v>0</v>
      </c>
      <c r="H2600" s="27">
        <v>0</v>
      </c>
      <c r="I2600" s="27">
        <v>0</v>
      </c>
      <c r="J2600" s="27">
        <v>0</v>
      </c>
      <c r="K2600" s="63">
        <f>AVERAGE(I2600:J2600)</f>
        <v>0</v>
      </c>
      <c r="L2600" s="56" t="str">
        <f>"EQP-LAWPACK2"</f>
        <v>EQP-LAWPACK2</v>
      </c>
      <c r="M2600" s="14"/>
      <c r="N2600" s="15"/>
      <c r="O2600" s="12"/>
      <c r="P2600" s="34"/>
      <c r="Q2600" s="37"/>
      <c r="R2600" s="47"/>
      <c r="S2600" s="46"/>
    </row>
    <row r="2601" spans="1:19" ht="15.6" hidden="1" customHeight="1" thickBot="1" x14ac:dyDescent="0.3">
      <c r="A2601" t="s">
        <v>23</v>
      </c>
      <c r="B2601" s="60" t="str">
        <f t="shared" si="1859"/>
        <v>hide</v>
      </c>
      <c r="D2601" s="48" t="str">
        <f>D2600</f>
        <v>35705</v>
      </c>
      <c r="E2601" s="7"/>
      <c r="F2601" s="27">
        <v>0</v>
      </c>
      <c r="G2601" s="27">
        <v>0</v>
      </c>
      <c r="H2601" s="27">
        <v>0</v>
      </c>
      <c r="I2601" s="27">
        <v>0</v>
      </c>
      <c r="J2601" s="27">
        <v>0</v>
      </c>
      <c r="K2601" s="63">
        <f>AVERAGE(I2601:J2601)</f>
        <v>0</v>
      </c>
      <c r="L2601" s="56" t="str">
        <f>"SW-COMAS-PACKL"</f>
        <v>SW-COMAS-PACKL</v>
      </c>
      <c r="M2601" s="14"/>
      <c r="N2601" s="15"/>
      <c r="O2601" s="12"/>
      <c r="P2601" s="34"/>
      <c r="Q2601" s="37"/>
      <c r="R2601" s="47"/>
      <c r="S2601" s="46"/>
    </row>
    <row r="2602" spans="1:19" ht="15.6" hidden="1" customHeight="1" thickBot="1" x14ac:dyDescent="0.3">
      <c r="A2602" t="s">
        <v>23</v>
      </c>
      <c r="B2602" s="60" t="str">
        <f t="shared" si="1859"/>
        <v>hide</v>
      </c>
      <c r="D2602" s="48" t="str">
        <f>D2601</f>
        <v>35705</v>
      </c>
      <c r="E2602" s="7"/>
      <c r="F2602" s="27">
        <v>0</v>
      </c>
      <c r="G2602" s="27">
        <v>0</v>
      </c>
      <c r="H2602" s="27">
        <v>0</v>
      </c>
      <c r="I2602" s="27">
        <v>0</v>
      </c>
      <c r="J2602" s="27">
        <v>0</v>
      </c>
      <c r="K2602" s="63">
        <f>AVERAGE(I2602:J2602)</f>
        <v>0</v>
      </c>
      <c r="L2602" s="56" t="str">
        <f>"SW-RISER-PACK"</f>
        <v>SW-RISER-PACK</v>
      </c>
      <c r="M2602" s="14"/>
      <c r="N2602" s="15"/>
      <c r="O2602" s="12"/>
      <c r="P2602" s="34"/>
      <c r="Q2602" s="37"/>
      <c r="R2602" s="47"/>
      <c r="S2602" s="46"/>
    </row>
    <row r="2603" spans="1:19" ht="12" hidden="1" customHeight="1" x14ac:dyDescent="0.3">
      <c r="A2603" s="35" t="s">
        <v>908</v>
      </c>
      <c r="B2603" s="49" t="str">
        <f>B2599</f>
        <v>hide</v>
      </c>
      <c r="N2603"/>
      <c r="Q2603" s="33"/>
    </row>
    <row r="2604" spans="1:19" ht="13.8" hidden="1" thickBot="1" x14ac:dyDescent="0.3">
      <c r="A2604" t="s">
        <v>23</v>
      </c>
      <c r="B2604" s="49" t="str">
        <f t="shared" ref="B2604" si="1860">B2603</f>
        <v>hide</v>
      </c>
      <c r="D2604" s="58"/>
      <c r="E2604" s="58"/>
      <c r="F2604" s="52">
        <f>SUM(F2599:F2603)</f>
        <v>0</v>
      </c>
      <c r="G2604" s="52">
        <f>SUM(G2599:G2603)</f>
        <v>0</v>
      </c>
      <c r="H2604" s="52">
        <f>SUM(H2599:H2603)</f>
        <v>0</v>
      </c>
      <c r="I2604" s="52">
        <f>SUM(I2599:I2603)</f>
        <v>0</v>
      </c>
      <c r="J2604" s="52">
        <f>SUM(J2599:J2603)</f>
        <v>0</v>
      </c>
      <c r="K2604" s="52"/>
      <c r="L2604" s="51" t="s">
        <v>4</v>
      </c>
      <c r="M2604" s="58"/>
      <c r="N2604" s="58"/>
      <c r="O2604" s="58"/>
      <c r="P2604" s="58"/>
      <c r="Q2604" s="58"/>
      <c r="R2604" s="58"/>
      <c r="S2604" s="58"/>
    </row>
    <row r="2605" spans="1:19" s="59" customFormat="1" ht="18.75" customHeight="1" thickBot="1" x14ac:dyDescent="0.3">
      <c r="A2605" s="59" t="s">
        <v>23</v>
      </c>
      <c r="B2605" s="60" t="str">
        <f t="shared" ref="B2605:B2606" si="1861">IF(K2605=0,"hide","")</f>
        <v/>
      </c>
      <c r="D2605" s="61" t="str">
        <f>"36101"</f>
        <v>36101</v>
      </c>
      <c r="E2605" s="62" t="str">
        <f>"1"</f>
        <v>1</v>
      </c>
      <c r="F2605" s="63">
        <v>0</v>
      </c>
      <c r="G2605" s="63">
        <v>0</v>
      </c>
      <c r="H2605" s="63">
        <v>0</v>
      </c>
      <c r="I2605" s="63">
        <v>0</v>
      </c>
      <c r="J2605" s="63">
        <v>17.730120481927713</v>
      </c>
      <c r="K2605" s="63">
        <f>AVERAGE(I2605:J2605)</f>
        <v>8.8650602409638566</v>
      </c>
      <c r="L2605" s="64" t="str">
        <f>"BLUEBERRY MUFFINS"</f>
        <v>BLUEBERRY MUFFINS</v>
      </c>
      <c r="M2605" s="65" t="str">
        <f>"24ct. 3.6oz. IW Muffin"</f>
        <v>24ct. 3.6oz. IW Muffin</v>
      </c>
      <c r="N2605" s="66">
        <v>24</v>
      </c>
      <c r="O2605" s="67" t="str">
        <f>""</f>
        <v/>
      </c>
      <c r="P2605" s="68" t="e">
        <f>1/O2605</f>
        <v>#VALUE!</v>
      </c>
      <c r="Q2605" s="53">
        <v>1</v>
      </c>
      <c r="R2605" s="69">
        <f t="shared" ref="R2605" si="1862">1/Q2605</f>
        <v>1</v>
      </c>
      <c r="S2605" s="70">
        <f t="shared" ref="S2605" si="1863">R2605*N2605</f>
        <v>24</v>
      </c>
    </row>
    <row r="2606" spans="1:19" ht="15.6" hidden="1" customHeight="1" thickBot="1" x14ac:dyDescent="0.3">
      <c r="A2606" t="s">
        <v>23</v>
      </c>
      <c r="B2606" s="60" t="str">
        <f t="shared" si="1861"/>
        <v>hide</v>
      </c>
      <c r="D2606" s="48" t="str">
        <f>D2605</f>
        <v>36101</v>
      </c>
      <c r="E2606" s="7"/>
      <c r="F2606" s="27">
        <v>0</v>
      </c>
      <c r="G2606" s="27">
        <v>0</v>
      </c>
      <c r="H2606" s="27">
        <v>0</v>
      </c>
      <c r="I2606" s="27">
        <v>0</v>
      </c>
      <c r="J2606" s="27">
        <v>0</v>
      </c>
      <c r="K2606" s="63">
        <f>AVERAGE(I2606:J2606)</f>
        <v>0</v>
      </c>
      <c r="L2606" s="56" t="str">
        <f>"EQP-LAWPACK1"</f>
        <v>EQP-LAWPACK1</v>
      </c>
      <c r="M2606" s="14"/>
      <c r="N2606" s="15"/>
      <c r="O2606" s="12"/>
      <c r="P2606" s="34"/>
      <c r="Q2606" s="37"/>
      <c r="R2606" s="47"/>
      <c r="S2606" s="46"/>
    </row>
    <row r="2607" spans="1:19" ht="15.6" hidden="1" customHeight="1" thickBot="1" x14ac:dyDescent="0.3">
      <c r="A2607" t="s">
        <v>23</v>
      </c>
      <c r="B2607" s="60" t="str">
        <f t="shared" ref="B2607:B2609" si="1864">IF(K2607=0,"hide","")</f>
        <v>hide</v>
      </c>
      <c r="D2607" s="48" t="str">
        <f>D2606</f>
        <v>36101</v>
      </c>
      <c r="E2607" s="7"/>
      <c r="F2607" s="27">
        <v>0</v>
      </c>
      <c r="G2607" s="27">
        <v>0</v>
      </c>
      <c r="H2607" s="27">
        <v>0</v>
      </c>
      <c r="I2607" s="27">
        <v>0</v>
      </c>
      <c r="J2607" s="27">
        <v>0</v>
      </c>
      <c r="K2607" s="63">
        <f>AVERAGE(I2607:J2607)</f>
        <v>0</v>
      </c>
      <c r="L2607" s="56" t="str">
        <f>"EQP-LAWPACK2"</f>
        <v>EQP-LAWPACK2</v>
      </c>
      <c r="M2607" s="14"/>
      <c r="N2607" s="15"/>
      <c r="O2607" s="12"/>
      <c r="P2607" s="34"/>
      <c r="Q2607" s="37"/>
      <c r="R2607" s="47"/>
      <c r="S2607" s="46"/>
    </row>
    <row r="2608" spans="1:19" ht="15.6" hidden="1" customHeight="1" thickBot="1" x14ac:dyDescent="0.3">
      <c r="A2608" t="s">
        <v>23</v>
      </c>
      <c r="B2608" s="60" t="str">
        <f t="shared" si="1864"/>
        <v>hide</v>
      </c>
      <c r="D2608" s="48" t="str">
        <f>D2607</f>
        <v>36101</v>
      </c>
      <c r="E2608" s="7"/>
      <c r="F2608" s="27">
        <v>0</v>
      </c>
      <c r="G2608" s="27">
        <v>0</v>
      </c>
      <c r="H2608" s="27">
        <v>0</v>
      </c>
      <c r="I2608" s="27">
        <v>0</v>
      </c>
      <c r="J2608" s="27">
        <v>0</v>
      </c>
      <c r="K2608" s="63">
        <f>AVERAGE(I2608:J2608)</f>
        <v>0</v>
      </c>
      <c r="L2608" s="56" t="str">
        <f>"SW-COMAS-PACKL"</f>
        <v>SW-COMAS-PACKL</v>
      </c>
      <c r="M2608" s="14"/>
      <c r="N2608" s="15"/>
      <c r="O2608" s="12"/>
      <c r="P2608" s="34"/>
      <c r="Q2608" s="37"/>
      <c r="R2608" s="47"/>
      <c r="S2608" s="46"/>
    </row>
    <row r="2609" spans="1:19" ht="15.6" hidden="1" customHeight="1" thickBot="1" x14ac:dyDescent="0.3">
      <c r="A2609" t="s">
        <v>23</v>
      </c>
      <c r="B2609" s="60" t="str">
        <f t="shared" si="1864"/>
        <v>hide</v>
      </c>
      <c r="D2609" s="48" t="str">
        <f>D2608</f>
        <v>36101</v>
      </c>
      <c r="E2609" s="7"/>
      <c r="F2609" s="27">
        <v>0</v>
      </c>
      <c r="G2609" s="27">
        <v>0</v>
      </c>
      <c r="H2609" s="27">
        <v>0</v>
      </c>
      <c r="I2609" s="27">
        <v>0</v>
      </c>
      <c r="J2609" s="27">
        <v>0</v>
      </c>
      <c r="K2609" s="63">
        <f>AVERAGE(I2609:J2609)</f>
        <v>0</v>
      </c>
      <c r="L2609" s="56" t="str">
        <f>"SW-RISER-PACK"</f>
        <v>SW-RISER-PACK</v>
      </c>
      <c r="M2609" s="14"/>
      <c r="N2609" s="15"/>
      <c r="O2609" s="12"/>
      <c r="P2609" s="34"/>
      <c r="Q2609" s="37"/>
      <c r="R2609" s="47"/>
      <c r="S2609" s="46"/>
    </row>
    <row r="2610" spans="1:19" ht="12" hidden="1" customHeight="1" x14ac:dyDescent="0.3">
      <c r="A2610" s="35" t="s">
        <v>908</v>
      </c>
      <c r="B2610" s="49" t="str">
        <f>B2606</f>
        <v>hide</v>
      </c>
      <c r="N2610"/>
      <c r="Q2610" s="33"/>
    </row>
    <row r="2611" spans="1:19" ht="13.8" hidden="1" thickBot="1" x14ac:dyDescent="0.3">
      <c r="A2611" t="s">
        <v>23</v>
      </c>
      <c r="B2611" s="49" t="str">
        <f t="shared" ref="B2611" si="1865">B2610</f>
        <v>hide</v>
      </c>
      <c r="D2611" s="58"/>
      <c r="E2611" s="58"/>
      <c r="F2611" s="52">
        <f>SUM(F2606:F2610)</f>
        <v>0</v>
      </c>
      <c r="G2611" s="52">
        <f>SUM(G2606:G2610)</f>
        <v>0</v>
      </c>
      <c r="H2611" s="52">
        <f>SUM(H2606:H2610)</f>
        <v>0</v>
      </c>
      <c r="I2611" s="52">
        <f>SUM(I2606:I2610)</f>
        <v>0</v>
      </c>
      <c r="J2611" s="52">
        <f>SUM(J2606:J2610)</f>
        <v>0</v>
      </c>
      <c r="K2611" s="52"/>
      <c r="L2611" s="51" t="s">
        <v>4</v>
      </c>
      <c r="M2611" s="58"/>
      <c r="N2611" s="58"/>
      <c r="O2611" s="58"/>
      <c r="P2611" s="58"/>
      <c r="Q2611" s="58"/>
      <c r="R2611" s="58"/>
      <c r="S2611" s="58"/>
    </row>
    <row r="2612" spans="1:19" s="59" customFormat="1" ht="18.75" customHeight="1" thickBot="1" x14ac:dyDescent="0.3">
      <c r="A2612" s="59" t="s">
        <v>23</v>
      </c>
      <c r="B2612" s="60" t="str">
        <f t="shared" ref="B2612:B2613" si="1866">IF(K2612=0,"hide","")</f>
        <v/>
      </c>
      <c r="D2612" s="61" t="str">
        <f>"36105"</f>
        <v>36105</v>
      </c>
      <c r="E2612" s="62" t="str">
        <f>"1"</f>
        <v>1</v>
      </c>
      <c r="F2612" s="63">
        <v>0</v>
      </c>
      <c r="G2612" s="63">
        <v>0</v>
      </c>
      <c r="H2612" s="63">
        <v>0</v>
      </c>
      <c r="I2612" s="63">
        <v>0</v>
      </c>
      <c r="J2612" s="63">
        <v>26.595180722891566</v>
      </c>
      <c r="K2612" s="63">
        <f>AVERAGE(I2612:J2612)</f>
        <v>13.297590361445783</v>
      </c>
      <c r="L2612" s="64" t="str">
        <f>"CORN MUFFIN"</f>
        <v>CORN MUFFIN</v>
      </c>
      <c r="M2612" s="65" t="str">
        <f>"24ct. 3.6oz. IW Muffin"</f>
        <v>24ct. 3.6oz. IW Muffin</v>
      </c>
      <c r="N2612" s="66">
        <v>24</v>
      </c>
      <c r="O2612" s="67" t="str">
        <f>""</f>
        <v/>
      </c>
      <c r="P2612" s="68" t="e">
        <f>1/O2612</f>
        <v>#VALUE!</v>
      </c>
      <c r="Q2612" s="53">
        <v>1</v>
      </c>
      <c r="R2612" s="69">
        <f t="shared" ref="R2612" si="1867">1/Q2612</f>
        <v>1</v>
      </c>
      <c r="S2612" s="70">
        <f t="shared" ref="S2612" si="1868">R2612*N2612</f>
        <v>24</v>
      </c>
    </row>
    <row r="2613" spans="1:19" ht="15.6" hidden="1" customHeight="1" thickBot="1" x14ac:dyDescent="0.3">
      <c r="A2613" t="s">
        <v>23</v>
      </c>
      <c r="B2613" s="60" t="str">
        <f t="shared" si="1866"/>
        <v>hide</v>
      </c>
      <c r="D2613" s="48" t="str">
        <f>D2612</f>
        <v>36105</v>
      </c>
      <c r="E2613" s="7"/>
      <c r="F2613" s="27">
        <v>0</v>
      </c>
      <c r="G2613" s="27">
        <v>0</v>
      </c>
      <c r="H2613" s="27">
        <v>0</v>
      </c>
      <c r="I2613" s="27">
        <v>0</v>
      </c>
      <c r="J2613" s="27">
        <v>0</v>
      </c>
      <c r="K2613" s="63">
        <f>AVERAGE(I2613:J2613)</f>
        <v>0</v>
      </c>
      <c r="L2613" s="56" t="str">
        <f>"EQP-LAWPACK1"</f>
        <v>EQP-LAWPACK1</v>
      </c>
      <c r="M2613" s="14"/>
      <c r="N2613" s="15"/>
      <c r="O2613" s="12"/>
      <c r="P2613" s="34"/>
      <c r="Q2613" s="37"/>
      <c r="R2613" s="47"/>
      <c r="S2613" s="46"/>
    </row>
    <row r="2614" spans="1:19" ht="15.6" hidden="1" customHeight="1" thickBot="1" x14ac:dyDescent="0.3">
      <c r="A2614" t="s">
        <v>23</v>
      </c>
      <c r="B2614" s="60" t="str">
        <f t="shared" ref="B2614:B2616" si="1869">IF(K2614=0,"hide","")</f>
        <v>hide</v>
      </c>
      <c r="D2614" s="48" t="str">
        <f>D2613</f>
        <v>36105</v>
      </c>
      <c r="E2614" s="7"/>
      <c r="F2614" s="27">
        <v>0</v>
      </c>
      <c r="G2614" s="27">
        <v>0</v>
      </c>
      <c r="H2614" s="27">
        <v>0</v>
      </c>
      <c r="I2614" s="27">
        <v>0</v>
      </c>
      <c r="J2614" s="27">
        <v>0</v>
      </c>
      <c r="K2614" s="63">
        <f>AVERAGE(I2614:J2614)</f>
        <v>0</v>
      </c>
      <c r="L2614" s="56" t="str">
        <f>"EQP-LAWPACK2"</f>
        <v>EQP-LAWPACK2</v>
      </c>
      <c r="M2614" s="14"/>
      <c r="N2614" s="15"/>
      <c r="O2614" s="12"/>
      <c r="P2614" s="34"/>
      <c r="Q2614" s="37"/>
      <c r="R2614" s="47"/>
      <c r="S2614" s="46"/>
    </row>
    <row r="2615" spans="1:19" ht="15.6" hidden="1" customHeight="1" thickBot="1" x14ac:dyDescent="0.3">
      <c r="A2615" t="s">
        <v>23</v>
      </c>
      <c r="B2615" s="60" t="str">
        <f t="shared" si="1869"/>
        <v>hide</v>
      </c>
      <c r="D2615" s="48" t="str">
        <f>D2614</f>
        <v>36105</v>
      </c>
      <c r="E2615" s="7"/>
      <c r="F2615" s="27">
        <v>0</v>
      </c>
      <c r="G2615" s="27">
        <v>0</v>
      </c>
      <c r="H2615" s="27">
        <v>0</v>
      </c>
      <c r="I2615" s="27">
        <v>0</v>
      </c>
      <c r="J2615" s="27">
        <v>0</v>
      </c>
      <c r="K2615" s="63">
        <f>AVERAGE(I2615:J2615)</f>
        <v>0</v>
      </c>
      <c r="L2615" s="56" t="str">
        <f>"SW-COMAS-PACKL"</f>
        <v>SW-COMAS-PACKL</v>
      </c>
      <c r="M2615" s="14"/>
      <c r="N2615" s="15"/>
      <c r="O2615" s="12"/>
      <c r="P2615" s="34"/>
      <c r="Q2615" s="37"/>
      <c r="R2615" s="47"/>
      <c r="S2615" s="46"/>
    </row>
    <row r="2616" spans="1:19" ht="15.6" hidden="1" customHeight="1" thickBot="1" x14ac:dyDescent="0.3">
      <c r="A2616" t="s">
        <v>23</v>
      </c>
      <c r="B2616" s="60" t="str">
        <f t="shared" si="1869"/>
        <v>hide</v>
      </c>
      <c r="D2616" s="48" t="str">
        <f>D2615</f>
        <v>36105</v>
      </c>
      <c r="E2616" s="7"/>
      <c r="F2616" s="27">
        <v>0</v>
      </c>
      <c r="G2616" s="27">
        <v>0</v>
      </c>
      <c r="H2616" s="27">
        <v>0</v>
      </c>
      <c r="I2616" s="27">
        <v>0</v>
      </c>
      <c r="J2616" s="27">
        <v>0</v>
      </c>
      <c r="K2616" s="63">
        <f>AVERAGE(I2616:J2616)</f>
        <v>0</v>
      </c>
      <c r="L2616" s="56" t="str">
        <f>"SW-RISER-PACK"</f>
        <v>SW-RISER-PACK</v>
      </c>
      <c r="M2616" s="14"/>
      <c r="N2616" s="15"/>
      <c r="O2616" s="12"/>
      <c r="P2616" s="34"/>
      <c r="Q2616" s="37"/>
      <c r="R2616" s="47"/>
      <c r="S2616" s="46"/>
    </row>
    <row r="2617" spans="1:19" ht="12" hidden="1" customHeight="1" x14ac:dyDescent="0.3">
      <c r="A2617" s="35" t="s">
        <v>908</v>
      </c>
      <c r="B2617" s="49" t="str">
        <f>B2613</f>
        <v>hide</v>
      </c>
      <c r="N2617"/>
      <c r="Q2617" s="33"/>
    </row>
    <row r="2618" spans="1:19" ht="13.8" hidden="1" thickBot="1" x14ac:dyDescent="0.3">
      <c r="A2618" t="s">
        <v>23</v>
      </c>
      <c r="B2618" s="49" t="str">
        <f t="shared" ref="B2618" si="1870">B2617</f>
        <v>hide</v>
      </c>
      <c r="D2618" s="58"/>
      <c r="E2618" s="58"/>
      <c r="F2618" s="52">
        <f>SUM(F2613:F2617)</f>
        <v>0</v>
      </c>
      <c r="G2618" s="52">
        <f>SUM(G2613:G2617)</f>
        <v>0</v>
      </c>
      <c r="H2618" s="52">
        <f>SUM(H2613:H2617)</f>
        <v>0</v>
      </c>
      <c r="I2618" s="52">
        <f>SUM(I2613:I2617)</f>
        <v>0</v>
      </c>
      <c r="J2618" s="52">
        <f>SUM(J2613:J2617)</f>
        <v>0</v>
      </c>
      <c r="K2618" s="52"/>
      <c r="L2618" s="51" t="s">
        <v>4</v>
      </c>
      <c r="M2618" s="58"/>
      <c r="N2618" s="58"/>
      <c r="O2618" s="58"/>
      <c r="P2618" s="58"/>
      <c r="Q2618" s="58"/>
      <c r="R2618" s="58"/>
      <c r="S2618" s="58"/>
    </row>
    <row r="2619" spans="1:19" s="59" customFormat="1" ht="18.75" customHeight="1" thickBot="1" x14ac:dyDescent="0.3">
      <c r="A2619" s="59" t="s">
        <v>23</v>
      </c>
      <c r="B2619" s="60" t="str">
        <f t="shared" ref="B2619:B2620" si="1871">IF(K2619=0,"hide","")</f>
        <v/>
      </c>
      <c r="D2619" s="61" t="str">
        <f>"36110"</f>
        <v>36110</v>
      </c>
      <c r="E2619" s="62" t="str">
        <f>"1"</f>
        <v>1</v>
      </c>
      <c r="F2619" s="63">
        <v>0</v>
      </c>
      <c r="G2619" s="63">
        <v>0</v>
      </c>
      <c r="H2619" s="63">
        <v>0</v>
      </c>
      <c r="I2619" s="63">
        <v>0</v>
      </c>
      <c r="J2619" s="63">
        <v>26.595180722891566</v>
      </c>
      <c r="K2619" s="63">
        <f>AVERAGE(I2619:J2619)</f>
        <v>13.297590361445783</v>
      </c>
      <c r="L2619" s="64" t="str">
        <f>"CHOCOLATE CHIP MUFFIN"</f>
        <v>CHOCOLATE CHIP MUFFIN</v>
      </c>
      <c r="M2619" s="65" t="str">
        <f>"24ct. 3.6oz. IW Muffin"</f>
        <v>24ct. 3.6oz. IW Muffin</v>
      </c>
      <c r="N2619" s="66">
        <v>24</v>
      </c>
      <c r="O2619" s="67" t="str">
        <f>""</f>
        <v/>
      </c>
      <c r="P2619" s="68" t="e">
        <f>1/O2619</f>
        <v>#VALUE!</v>
      </c>
      <c r="Q2619" s="53">
        <v>1</v>
      </c>
      <c r="R2619" s="69">
        <f t="shared" ref="R2619" si="1872">1/Q2619</f>
        <v>1</v>
      </c>
      <c r="S2619" s="70">
        <f t="shared" ref="S2619" si="1873">R2619*N2619</f>
        <v>24</v>
      </c>
    </row>
    <row r="2620" spans="1:19" ht="15.6" hidden="1" customHeight="1" thickBot="1" x14ac:dyDescent="0.3">
      <c r="A2620" t="s">
        <v>23</v>
      </c>
      <c r="B2620" s="60" t="str">
        <f t="shared" si="1871"/>
        <v>hide</v>
      </c>
      <c r="D2620" s="48" t="str">
        <f>D2619</f>
        <v>36110</v>
      </c>
      <c r="E2620" s="7"/>
      <c r="F2620" s="27">
        <v>0</v>
      </c>
      <c r="G2620" s="27">
        <v>0</v>
      </c>
      <c r="H2620" s="27">
        <v>0</v>
      </c>
      <c r="I2620" s="27">
        <v>0</v>
      </c>
      <c r="J2620" s="27">
        <v>0</v>
      </c>
      <c r="K2620" s="63">
        <f>AVERAGE(I2620:J2620)</f>
        <v>0</v>
      </c>
      <c r="L2620" s="56" t="str">
        <f>"EQP-LAWPACK1"</f>
        <v>EQP-LAWPACK1</v>
      </c>
      <c r="M2620" s="14"/>
      <c r="N2620" s="15"/>
      <c r="O2620" s="12"/>
      <c r="P2620" s="34"/>
      <c r="Q2620" s="37"/>
      <c r="R2620" s="47"/>
      <c r="S2620" s="46"/>
    </row>
    <row r="2621" spans="1:19" ht="15.6" hidden="1" customHeight="1" thickBot="1" x14ac:dyDescent="0.3">
      <c r="A2621" t="s">
        <v>23</v>
      </c>
      <c r="B2621" s="60" t="str">
        <f t="shared" ref="B2621:B2623" si="1874">IF(K2621=0,"hide","")</f>
        <v>hide</v>
      </c>
      <c r="D2621" s="48" t="str">
        <f>D2620</f>
        <v>36110</v>
      </c>
      <c r="E2621" s="7"/>
      <c r="F2621" s="27">
        <v>0</v>
      </c>
      <c r="G2621" s="27">
        <v>0</v>
      </c>
      <c r="H2621" s="27">
        <v>0</v>
      </c>
      <c r="I2621" s="27">
        <v>0</v>
      </c>
      <c r="J2621" s="27">
        <v>0</v>
      </c>
      <c r="K2621" s="63">
        <f>AVERAGE(I2621:J2621)</f>
        <v>0</v>
      </c>
      <c r="L2621" s="56" t="str">
        <f>"EQP-LAWPACK2"</f>
        <v>EQP-LAWPACK2</v>
      </c>
      <c r="M2621" s="14"/>
      <c r="N2621" s="15"/>
      <c r="O2621" s="12"/>
      <c r="P2621" s="34"/>
      <c r="Q2621" s="37"/>
      <c r="R2621" s="47"/>
      <c r="S2621" s="46"/>
    </row>
    <row r="2622" spans="1:19" ht="15.6" hidden="1" customHeight="1" thickBot="1" x14ac:dyDescent="0.3">
      <c r="A2622" t="s">
        <v>23</v>
      </c>
      <c r="B2622" s="60" t="str">
        <f t="shared" si="1874"/>
        <v>hide</v>
      </c>
      <c r="D2622" s="48" t="str">
        <f>D2621</f>
        <v>36110</v>
      </c>
      <c r="E2622" s="7"/>
      <c r="F2622" s="27">
        <v>0</v>
      </c>
      <c r="G2622" s="27">
        <v>0</v>
      </c>
      <c r="H2622" s="27">
        <v>0</v>
      </c>
      <c r="I2622" s="27">
        <v>0</v>
      </c>
      <c r="J2622" s="27">
        <v>0</v>
      </c>
      <c r="K2622" s="63">
        <f>AVERAGE(I2622:J2622)</f>
        <v>0</v>
      </c>
      <c r="L2622" s="56" t="str">
        <f>"SW-COMAS-PACKL"</f>
        <v>SW-COMAS-PACKL</v>
      </c>
      <c r="M2622" s="14"/>
      <c r="N2622" s="15"/>
      <c r="O2622" s="12"/>
      <c r="P2622" s="34"/>
      <c r="Q2622" s="37"/>
      <c r="R2622" s="47"/>
      <c r="S2622" s="46"/>
    </row>
    <row r="2623" spans="1:19" ht="15.6" hidden="1" customHeight="1" thickBot="1" x14ac:dyDescent="0.3">
      <c r="A2623" t="s">
        <v>23</v>
      </c>
      <c r="B2623" s="60" t="str">
        <f t="shared" si="1874"/>
        <v>hide</v>
      </c>
      <c r="D2623" s="48" t="str">
        <f>D2622</f>
        <v>36110</v>
      </c>
      <c r="E2623" s="7"/>
      <c r="F2623" s="27">
        <v>0</v>
      </c>
      <c r="G2623" s="27">
        <v>0</v>
      </c>
      <c r="H2623" s="27">
        <v>0</v>
      </c>
      <c r="I2623" s="27">
        <v>0</v>
      </c>
      <c r="J2623" s="27">
        <v>0</v>
      </c>
      <c r="K2623" s="63">
        <f>AVERAGE(I2623:J2623)</f>
        <v>0</v>
      </c>
      <c r="L2623" s="56" t="str">
        <f>"SW-RISER-PACK"</f>
        <v>SW-RISER-PACK</v>
      </c>
      <c r="M2623" s="14"/>
      <c r="N2623" s="15"/>
      <c r="O2623" s="12"/>
      <c r="P2623" s="34"/>
      <c r="Q2623" s="37"/>
      <c r="R2623" s="47"/>
      <c r="S2623" s="46"/>
    </row>
    <row r="2624" spans="1:19" ht="12" hidden="1" customHeight="1" x14ac:dyDescent="0.3">
      <c r="A2624" s="35" t="s">
        <v>908</v>
      </c>
      <c r="B2624" s="49" t="str">
        <f>B2620</f>
        <v>hide</v>
      </c>
      <c r="N2624"/>
      <c r="Q2624" s="33"/>
    </row>
    <row r="2625" spans="1:19" ht="13.8" hidden="1" thickBot="1" x14ac:dyDescent="0.3">
      <c r="A2625" t="s">
        <v>23</v>
      </c>
      <c r="B2625" s="49" t="str">
        <f t="shared" ref="B2625" si="1875">B2624</f>
        <v>hide</v>
      </c>
      <c r="D2625" s="58"/>
      <c r="E2625" s="58"/>
      <c r="F2625" s="52">
        <f>SUM(F2620:F2624)</f>
        <v>0</v>
      </c>
      <c r="G2625" s="52">
        <f>SUM(G2620:G2624)</f>
        <v>0</v>
      </c>
      <c r="H2625" s="52">
        <f>SUM(H2620:H2624)</f>
        <v>0</v>
      </c>
      <c r="I2625" s="52">
        <f>SUM(I2620:I2624)</f>
        <v>0</v>
      </c>
      <c r="J2625" s="52">
        <f>SUM(J2620:J2624)</f>
        <v>0</v>
      </c>
      <c r="K2625" s="52"/>
      <c r="L2625" s="51" t="s">
        <v>4</v>
      </c>
      <c r="M2625" s="58"/>
      <c r="N2625" s="58"/>
      <c r="O2625" s="58"/>
      <c r="P2625" s="58"/>
      <c r="Q2625" s="58"/>
      <c r="R2625" s="58"/>
      <c r="S2625" s="58"/>
    </row>
    <row r="2626" spans="1:19" s="59" customFormat="1" ht="18.75" hidden="1" customHeight="1" thickBot="1" x14ac:dyDescent="0.3">
      <c r="A2626" s="59" t="s">
        <v>23</v>
      </c>
      <c r="B2626" s="60" t="str">
        <f t="shared" ref="B2626:B2627" si="1876">IF(K2626=0,"hide","")</f>
        <v>hide</v>
      </c>
      <c r="D2626" s="61" t="str">
        <f>"36130"</f>
        <v>36130</v>
      </c>
      <c r="E2626" s="62" t="str">
        <f>"1"</f>
        <v>1</v>
      </c>
      <c r="F2626" s="63">
        <v>0</v>
      </c>
      <c r="G2626" s="63">
        <v>0</v>
      </c>
      <c r="H2626" s="63">
        <v>0</v>
      </c>
      <c r="I2626" s="63">
        <v>0</v>
      </c>
      <c r="J2626" s="63">
        <v>0</v>
      </c>
      <c r="K2626" s="63">
        <f>AVERAGE(I2626:J2626)</f>
        <v>0</v>
      </c>
      <c r="L2626" s="64" t="str">
        <f>"DOUBLE CHOCOLATE CHIP MUFFIN"</f>
        <v>DOUBLE CHOCOLATE CHIP MUFFIN</v>
      </c>
      <c r="M2626" s="65" t="str">
        <f>"24ct. 3.6oz. IW Muffin"</f>
        <v>24ct. 3.6oz. IW Muffin</v>
      </c>
      <c r="N2626" s="66">
        <v>24</v>
      </c>
      <c r="O2626" s="67" t="str">
        <f>""</f>
        <v/>
      </c>
      <c r="P2626" s="68" t="e">
        <f>1/O2626</f>
        <v>#VALUE!</v>
      </c>
      <c r="Q2626" s="53">
        <v>1</v>
      </c>
      <c r="R2626" s="69">
        <f t="shared" ref="R2626" si="1877">1/Q2626</f>
        <v>1</v>
      </c>
      <c r="S2626" s="70">
        <f t="shared" ref="S2626" si="1878">R2626*N2626</f>
        <v>24</v>
      </c>
    </row>
    <row r="2627" spans="1:19" ht="15.6" hidden="1" customHeight="1" thickBot="1" x14ac:dyDescent="0.3">
      <c r="A2627" t="s">
        <v>23</v>
      </c>
      <c r="B2627" s="60" t="str">
        <f t="shared" si="1876"/>
        <v>hide</v>
      </c>
      <c r="D2627" s="48" t="str">
        <f>D2626</f>
        <v>36130</v>
      </c>
      <c r="E2627" s="7"/>
      <c r="F2627" s="27">
        <v>0</v>
      </c>
      <c r="G2627" s="27">
        <v>0</v>
      </c>
      <c r="H2627" s="27">
        <v>0</v>
      </c>
      <c r="I2627" s="27">
        <v>0</v>
      </c>
      <c r="J2627" s="27">
        <v>0</v>
      </c>
      <c r="K2627" s="63">
        <f>AVERAGE(I2627:J2627)</f>
        <v>0</v>
      </c>
      <c r="L2627" s="56" t="str">
        <f>"EQP-LAWPACK1"</f>
        <v>EQP-LAWPACK1</v>
      </c>
      <c r="M2627" s="14"/>
      <c r="N2627" s="15"/>
      <c r="O2627" s="12"/>
      <c r="P2627" s="34"/>
      <c r="Q2627" s="37"/>
      <c r="R2627" s="47"/>
      <c r="S2627" s="46"/>
    </row>
    <row r="2628" spans="1:19" ht="15.6" hidden="1" customHeight="1" thickBot="1" x14ac:dyDescent="0.3">
      <c r="A2628" t="s">
        <v>23</v>
      </c>
      <c r="B2628" s="60" t="str">
        <f t="shared" ref="B2628:B2630" si="1879">IF(K2628=0,"hide","")</f>
        <v>hide</v>
      </c>
      <c r="D2628" s="48" t="str">
        <f>D2627</f>
        <v>36130</v>
      </c>
      <c r="E2628" s="7"/>
      <c r="F2628" s="27">
        <v>0</v>
      </c>
      <c r="G2628" s="27">
        <v>0</v>
      </c>
      <c r="H2628" s="27">
        <v>0</v>
      </c>
      <c r="I2628" s="27">
        <v>0</v>
      </c>
      <c r="J2628" s="27">
        <v>0</v>
      </c>
      <c r="K2628" s="63">
        <f>AVERAGE(I2628:J2628)</f>
        <v>0</v>
      </c>
      <c r="L2628" s="56" t="str">
        <f>"EQP-LAWPACK2"</f>
        <v>EQP-LAWPACK2</v>
      </c>
      <c r="M2628" s="14"/>
      <c r="N2628" s="15"/>
      <c r="O2628" s="12"/>
      <c r="P2628" s="34"/>
      <c r="Q2628" s="37"/>
      <c r="R2628" s="47"/>
      <c r="S2628" s="46"/>
    </row>
    <row r="2629" spans="1:19" ht="15.6" hidden="1" customHeight="1" thickBot="1" x14ac:dyDescent="0.3">
      <c r="A2629" t="s">
        <v>23</v>
      </c>
      <c r="B2629" s="60" t="str">
        <f t="shared" si="1879"/>
        <v>hide</v>
      </c>
      <c r="D2629" s="48" t="str">
        <f>D2628</f>
        <v>36130</v>
      </c>
      <c r="E2629" s="7"/>
      <c r="F2629" s="27">
        <v>0</v>
      </c>
      <c r="G2629" s="27">
        <v>0</v>
      </c>
      <c r="H2629" s="27">
        <v>0</v>
      </c>
      <c r="I2629" s="27">
        <v>0</v>
      </c>
      <c r="J2629" s="27">
        <v>0</v>
      </c>
      <c r="K2629" s="63">
        <f>AVERAGE(I2629:J2629)</f>
        <v>0</v>
      </c>
      <c r="L2629" s="56" t="str">
        <f>"SW-COMAS-PACKL"</f>
        <v>SW-COMAS-PACKL</v>
      </c>
      <c r="M2629" s="14"/>
      <c r="N2629" s="15"/>
      <c r="O2629" s="12"/>
      <c r="P2629" s="34"/>
      <c r="Q2629" s="37"/>
      <c r="R2629" s="47"/>
      <c r="S2629" s="46"/>
    </row>
    <row r="2630" spans="1:19" ht="15.6" hidden="1" customHeight="1" thickBot="1" x14ac:dyDescent="0.3">
      <c r="A2630" t="s">
        <v>23</v>
      </c>
      <c r="B2630" s="60" t="str">
        <f t="shared" si="1879"/>
        <v>hide</v>
      </c>
      <c r="D2630" s="48" t="str">
        <f>D2629</f>
        <v>36130</v>
      </c>
      <c r="E2630" s="7"/>
      <c r="F2630" s="27">
        <v>0</v>
      </c>
      <c r="G2630" s="27">
        <v>0</v>
      </c>
      <c r="H2630" s="27">
        <v>0</v>
      </c>
      <c r="I2630" s="27">
        <v>0</v>
      </c>
      <c r="J2630" s="27">
        <v>0</v>
      </c>
      <c r="K2630" s="63">
        <f>AVERAGE(I2630:J2630)</f>
        <v>0</v>
      </c>
      <c r="L2630" s="56" t="str">
        <f>"SW-RISER-PACK"</f>
        <v>SW-RISER-PACK</v>
      </c>
      <c r="M2630" s="14"/>
      <c r="N2630" s="15"/>
      <c r="O2630" s="12"/>
      <c r="P2630" s="34"/>
      <c r="Q2630" s="37"/>
      <c r="R2630" s="47"/>
      <c r="S2630" s="46"/>
    </row>
    <row r="2631" spans="1:19" ht="12" hidden="1" customHeight="1" x14ac:dyDescent="0.3">
      <c r="A2631" s="35" t="s">
        <v>908</v>
      </c>
      <c r="B2631" s="49" t="str">
        <f>B2627</f>
        <v>hide</v>
      </c>
      <c r="N2631"/>
      <c r="Q2631" s="33"/>
    </row>
    <row r="2632" spans="1:19" ht="13.8" hidden="1" thickBot="1" x14ac:dyDescent="0.3">
      <c r="A2632" t="s">
        <v>23</v>
      </c>
      <c r="B2632" s="49" t="str">
        <f t="shared" ref="B2632" si="1880">B2631</f>
        <v>hide</v>
      </c>
      <c r="D2632" s="58"/>
      <c r="E2632" s="58"/>
      <c r="F2632" s="52">
        <f>SUM(F2627:F2631)</f>
        <v>0</v>
      </c>
      <c r="G2632" s="52">
        <f>SUM(G2627:G2631)</f>
        <v>0</v>
      </c>
      <c r="H2632" s="52">
        <f>SUM(H2627:H2631)</f>
        <v>0</v>
      </c>
      <c r="I2632" s="52">
        <f>SUM(I2627:I2631)</f>
        <v>0</v>
      </c>
      <c r="J2632" s="52">
        <f>SUM(J2627:J2631)</f>
        <v>0</v>
      </c>
      <c r="K2632" s="52"/>
      <c r="L2632" s="51" t="s">
        <v>4</v>
      </c>
      <c r="M2632" s="58"/>
      <c r="N2632" s="58"/>
      <c r="O2632" s="58"/>
      <c r="P2632" s="58"/>
      <c r="Q2632" s="58"/>
      <c r="R2632" s="58"/>
      <c r="S2632" s="58"/>
    </row>
    <row r="2633" spans="1:19" s="59" customFormat="1" ht="18.75" customHeight="1" thickBot="1" x14ac:dyDescent="0.3">
      <c r="A2633" s="59" t="s">
        <v>23</v>
      </c>
      <c r="B2633" s="60" t="str">
        <f t="shared" ref="B2633:B2634" si="1881">IF(K2633=0,"hide","")</f>
        <v/>
      </c>
      <c r="D2633" s="61" t="str">
        <f>"36151"</f>
        <v>36151</v>
      </c>
      <c r="E2633" s="62" t="str">
        <f>"1"</f>
        <v>1</v>
      </c>
      <c r="F2633" s="63">
        <v>0</v>
      </c>
      <c r="G2633" s="63">
        <v>0</v>
      </c>
      <c r="H2633" s="63">
        <v>0</v>
      </c>
      <c r="I2633" s="63">
        <v>0</v>
      </c>
      <c r="J2633" s="63">
        <v>17.730120481927713</v>
      </c>
      <c r="K2633" s="63">
        <f>AVERAGE(I2633:J2633)</f>
        <v>8.8650602409638566</v>
      </c>
      <c r="L2633" s="64" t="str">
        <f>"BANANA MUFFIN"</f>
        <v>BANANA MUFFIN</v>
      </c>
      <c r="M2633" s="65" t="str">
        <f>"24ct. 3.6oz. IW Muffin"</f>
        <v>24ct. 3.6oz. IW Muffin</v>
      </c>
      <c r="N2633" s="66">
        <v>24</v>
      </c>
      <c r="O2633" s="67" t="str">
        <f>""</f>
        <v/>
      </c>
      <c r="P2633" s="68" t="e">
        <f>1/O2633</f>
        <v>#VALUE!</v>
      </c>
      <c r="Q2633" s="53">
        <v>1</v>
      </c>
      <c r="R2633" s="69">
        <f t="shared" ref="R2633" si="1882">1/Q2633</f>
        <v>1</v>
      </c>
      <c r="S2633" s="70">
        <f t="shared" ref="S2633" si="1883">R2633*N2633</f>
        <v>24</v>
      </c>
    </row>
    <row r="2634" spans="1:19" ht="15.6" hidden="1" customHeight="1" thickBot="1" x14ac:dyDescent="0.3">
      <c r="A2634" t="s">
        <v>23</v>
      </c>
      <c r="B2634" s="60" t="str">
        <f t="shared" si="1881"/>
        <v>hide</v>
      </c>
      <c r="D2634" s="48" t="str">
        <f>D2633</f>
        <v>36151</v>
      </c>
      <c r="E2634" s="7"/>
      <c r="F2634" s="27">
        <v>0</v>
      </c>
      <c r="G2634" s="27">
        <v>0</v>
      </c>
      <c r="H2634" s="27">
        <v>0</v>
      </c>
      <c r="I2634" s="27">
        <v>0</v>
      </c>
      <c r="J2634" s="27">
        <v>0</v>
      </c>
      <c r="K2634" s="63">
        <f>AVERAGE(I2634:J2634)</f>
        <v>0</v>
      </c>
      <c r="L2634" s="56" t="str">
        <f>"EQP-LAWPACK1"</f>
        <v>EQP-LAWPACK1</v>
      </c>
      <c r="M2634" s="14"/>
      <c r="N2634" s="15"/>
      <c r="O2634" s="12"/>
      <c r="P2634" s="34"/>
      <c r="Q2634" s="37"/>
      <c r="R2634" s="47"/>
      <c r="S2634" s="46"/>
    </row>
    <row r="2635" spans="1:19" ht="15.6" hidden="1" customHeight="1" thickBot="1" x14ac:dyDescent="0.3">
      <c r="A2635" t="s">
        <v>23</v>
      </c>
      <c r="B2635" s="60" t="str">
        <f t="shared" ref="B2635:B2637" si="1884">IF(K2635=0,"hide","")</f>
        <v>hide</v>
      </c>
      <c r="D2635" s="48" t="str">
        <f>D2634</f>
        <v>36151</v>
      </c>
      <c r="E2635" s="7"/>
      <c r="F2635" s="27">
        <v>0</v>
      </c>
      <c r="G2635" s="27">
        <v>0</v>
      </c>
      <c r="H2635" s="27">
        <v>0</v>
      </c>
      <c r="I2635" s="27">
        <v>0</v>
      </c>
      <c r="J2635" s="27">
        <v>0</v>
      </c>
      <c r="K2635" s="63">
        <f>AVERAGE(I2635:J2635)</f>
        <v>0</v>
      </c>
      <c r="L2635" s="56" t="str">
        <f>"EQP-LAWPACK2"</f>
        <v>EQP-LAWPACK2</v>
      </c>
      <c r="M2635" s="14"/>
      <c r="N2635" s="15"/>
      <c r="O2635" s="12"/>
      <c r="P2635" s="34"/>
      <c r="Q2635" s="37"/>
      <c r="R2635" s="47"/>
      <c r="S2635" s="46"/>
    </row>
    <row r="2636" spans="1:19" ht="15.6" hidden="1" customHeight="1" thickBot="1" x14ac:dyDescent="0.3">
      <c r="A2636" t="s">
        <v>23</v>
      </c>
      <c r="B2636" s="60" t="str">
        <f t="shared" si="1884"/>
        <v>hide</v>
      </c>
      <c r="D2636" s="48" t="str">
        <f>D2635</f>
        <v>36151</v>
      </c>
      <c r="E2636" s="7"/>
      <c r="F2636" s="27">
        <v>0</v>
      </c>
      <c r="G2636" s="27">
        <v>0</v>
      </c>
      <c r="H2636" s="27">
        <v>0</v>
      </c>
      <c r="I2636" s="27">
        <v>0</v>
      </c>
      <c r="J2636" s="27">
        <v>0</v>
      </c>
      <c r="K2636" s="63">
        <f>AVERAGE(I2636:J2636)</f>
        <v>0</v>
      </c>
      <c r="L2636" s="56" t="str">
        <f>"SW-COMAS-PACKL"</f>
        <v>SW-COMAS-PACKL</v>
      </c>
      <c r="M2636" s="14"/>
      <c r="N2636" s="15"/>
      <c r="O2636" s="12"/>
      <c r="P2636" s="34"/>
      <c r="Q2636" s="37"/>
      <c r="R2636" s="47"/>
      <c r="S2636" s="46"/>
    </row>
    <row r="2637" spans="1:19" ht="15.6" hidden="1" customHeight="1" thickBot="1" x14ac:dyDescent="0.3">
      <c r="A2637" t="s">
        <v>23</v>
      </c>
      <c r="B2637" s="60" t="str">
        <f t="shared" si="1884"/>
        <v>hide</v>
      </c>
      <c r="D2637" s="48" t="str">
        <f>D2636</f>
        <v>36151</v>
      </c>
      <c r="E2637" s="7"/>
      <c r="F2637" s="27">
        <v>0</v>
      </c>
      <c r="G2637" s="27">
        <v>0</v>
      </c>
      <c r="H2637" s="27">
        <v>0</v>
      </c>
      <c r="I2637" s="27">
        <v>0</v>
      </c>
      <c r="J2637" s="27">
        <v>0</v>
      </c>
      <c r="K2637" s="63">
        <f>AVERAGE(I2637:J2637)</f>
        <v>0</v>
      </c>
      <c r="L2637" s="56" t="str">
        <f>"SW-RISER-PACK"</f>
        <v>SW-RISER-PACK</v>
      </c>
      <c r="M2637" s="14"/>
      <c r="N2637" s="15"/>
      <c r="O2637" s="12"/>
      <c r="P2637" s="34"/>
      <c r="Q2637" s="37"/>
      <c r="R2637" s="47"/>
      <c r="S2637" s="46"/>
    </row>
    <row r="2638" spans="1:19" ht="12" hidden="1" customHeight="1" x14ac:dyDescent="0.3">
      <c r="A2638" s="35" t="s">
        <v>908</v>
      </c>
      <c r="B2638" s="49" t="str">
        <f>B2634</f>
        <v>hide</v>
      </c>
      <c r="N2638"/>
      <c r="Q2638" s="33"/>
    </row>
    <row r="2639" spans="1:19" ht="13.8" hidden="1" thickBot="1" x14ac:dyDescent="0.3">
      <c r="A2639" t="s">
        <v>23</v>
      </c>
      <c r="B2639" s="49" t="str">
        <f t="shared" ref="B2639" si="1885">B2638</f>
        <v>hide</v>
      </c>
      <c r="D2639" s="58"/>
      <c r="E2639" s="58"/>
      <c r="F2639" s="52">
        <f>SUM(F2634:F2638)</f>
        <v>0</v>
      </c>
      <c r="G2639" s="52">
        <f>SUM(G2634:G2638)</f>
        <v>0</v>
      </c>
      <c r="H2639" s="52">
        <f>SUM(H2634:H2638)</f>
        <v>0</v>
      </c>
      <c r="I2639" s="52">
        <f>SUM(I2634:I2638)</f>
        <v>0</v>
      </c>
      <c r="J2639" s="52">
        <f>SUM(J2634:J2638)</f>
        <v>0</v>
      </c>
      <c r="K2639" s="52"/>
      <c r="L2639" s="51" t="s">
        <v>4</v>
      </c>
      <c r="M2639" s="58"/>
      <c r="N2639" s="58"/>
      <c r="O2639" s="58"/>
      <c r="P2639" s="58"/>
      <c r="Q2639" s="58"/>
      <c r="R2639" s="58"/>
      <c r="S2639" s="58"/>
    </row>
    <row r="2640" spans="1:19" s="59" customFormat="1" ht="18.75" customHeight="1" thickBot="1" x14ac:dyDescent="0.3">
      <c r="A2640" s="59" t="s">
        <v>23</v>
      </c>
      <c r="B2640" s="60" t="str">
        <f t="shared" ref="B2640:B2641" si="1886">IF(K2640=0,"hide","")</f>
        <v/>
      </c>
      <c r="D2640" s="61" t="str">
        <f>"36501"</f>
        <v>36501</v>
      </c>
      <c r="E2640" s="62" t="str">
        <f>"12"</f>
        <v>12</v>
      </c>
      <c r="F2640" s="63">
        <v>5.75</v>
      </c>
      <c r="G2640" s="63">
        <v>0</v>
      </c>
      <c r="H2640" s="63">
        <v>0</v>
      </c>
      <c r="I2640" s="63">
        <v>5</v>
      </c>
      <c r="J2640" s="63">
        <v>5.4554216867469885</v>
      </c>
      <c r="K2640" s="63">
        <f>AVERAGE(I2640:J2640)</f>
        <v>5.2277108433734938</v>
      </c>
      <c r="L2640" s="64" t="str">
        <f>"BLUEBERRY MUFFINS"</f>
        <v>BLUEBERRY MUFFINS</v>
      </c>
      <c r="M2640" s="65" t="str">
        <f>"12-3.6 oz. I.W."</f>
        <v>12-3.6 oz. I.W.</v>
      </c>
      <c r="N2640" s="66">
        <v>12</v>
      </c>
      <c r="O2640" s="67" t="str">
        <f>""</f>
        <v/>
      </c>
      <c r="P2640" s="68" t="e">
        <f>1/O2640</f>
        <v>#VALUE!</v>
      </c>
      <c r="Q2640" s="53">
        <v>1</v>
      </c>
      <c r="R2640" s="69">
        <f t="shared" ref="R2640" si="1887">1/Q2640</f>
        <v>1</v>
      </c>
      <c r="S2640" s="70">
        <f t="shared" ref="S2640" si="1888">R2640*N2640</f>
        <v>12</v>
      </c>
    </row>
    <row r="2641" spans="1:19" ht="15.6" hidden="1" customHeight="1" thickBot="1" x14ac:dyDescent="0.3">
      <c r="A2641" t="s">
        <v>23</v>
      </c>
      <c r="B2641" s="60" t="str">
        <f t="shared" si="1886"/>
        <v>hide</v>
      </c>
      <c r="D2641" s="48" t="str">
        <f>D2640</f>
        <v>36501</v>
      </c>
      <c r="E2641" s="7"/>
      <c r="F2641" s="27">
        <v>0</v>
      </c>
      <c r="G2641" s="27">
        <v>0</v>
      </c>
      <c r="H2641" s="27">
        <v>0</v>
      </c>
      <c r="I2641" s="27">
        <v>0</v>
      </c>
      <c r="J2641" s="27">
        <v>0</v>
      </c>
      <c r="K2641" s="63">
        <f>AVERAGE(I2641:J2641)</f>
        <v>0</v>
      </c>
      <c r="L2641" s="56" t="str">
        <f>"EQP-LAWPACK1"</f>
        <v>EQP-LAWPACK1</v>
      </c>
      <c r="M2641" s="14"/>
      <c r="N2641" s="15"/>
      <c r="O2641" s="12"/>
      <c r="P2641" s="34"/>
      <c r="Q2641" s="37"/>
      <c r="R2641" s="47"/>
      <c r="S2641" s="46"/>
    </row>
    <row r="2642" spans="1:19" ht="15.6" hidden="1" customHeight="1" thickBot="1" x14ac:dyDescent="0.3">
      <c r="A2642" t="s">
        <v>23</v>
      </c>
      <c r="B2642" s="60" t="str">
        <f t="shared" ref="B2642:B2644" si="1889">IF(K2642=0,"hide","")</f>
        <v>hide</v>
      </c>
      <c r="D2642" s="48" t="str">
        <f>D2641</f>
        <v>36501</v>
      </c>
      <c r="E2642" s="7"/>
      <c r="F2642" s="27">
        <v>0</v>
      </c>
      <c r="G2642" s="27">
        <v>0</v>
      </c>
      <c r="H2642" s="27">
        <v>0</v>
      </c>
      <c r="I2642" s="27">
        <v>0</v>
      </c>
      <c r="J2642" s="27">
        <v>0</v>
      </c>
      <c r="K2642" s="63">
        <f>AVERAGE(I2642:J2642)</f>
        <v>0</v>
      </c>
      <c r="L2642" s="56" t="str">
        <f>"EQP-LAWPACK2"</f>
        <v>EQP-LAWPACK2</v>
      </c>
      <c r="M2642" s="14"/>
      <c r="N2642" s="15"/>
      <c r="O2642" s="12"/>
      <c r="P2642" s="34"/>
      <c r="Q2642" s="37"/>
      <c r="R2642" s="47"/>
      <c r="S2642" s="46"/>
    </row>
    <row r="2643" spans="1:19" ht="15.6" hidden="1" customHeight="1" thickBot="1" x14ac:dyDescent="0.3">
      <c r="A2643" t="s">
        <v>23</v>
      </c>
      <c r="B2643" s="60" t="str">
        <f t="shared" si="1889"/>
        <v>hide</v>
      </c>
      <c r="D2643" s="48" t="str">
        <f>D2642</f>
        <v>36501</v>
      </c>
      <c r="E2643" s="7"/>
      <c r="F2643" s="27">
        <v>0</v>
      </c>
      <c r="G2643" s="27">
        <v>0</v>
      </c>
      <c r="H2643" s="27">
        <v>0</v>
      </c>
      <c r="I2643" s="27">
        <v>0</v>
      </c>
      <c r="J2643" s="27">
        <v>0</v>
      </c>
      <c r="K2643" s="63">
        <f>AVERAGE(I2643:J2643)</f>
        <v>0</v>
      </c>
      <c r="L2643" s="56" t="str">
        <f>"SW-COMAS-PACKL"</f>
        <v>SW-COMAS-PACKL</v>
      </c>
      <c r="M2643" s="14"/>
      <c r="N2643" s="15"/>
      <c r="O2643" s="12"/>
      <c r="P2643" s="34"/>
      <c r="Q2643" s="37"/>
      <c r="R2643" s="47"/>
      <c r="S2643" s="46"/>
    </row>
    <row r="2644" spans="1:19" ht="15.6" hidden="1" customHeight="1" thickBot="1" x14ac:dyDescent="0.3">
      <c r="A2644" t="s">
        <v>23</v>
      </c>
      <c r="B2644" s="60" t="str">
        <f t="shared" si="1889"/>
        <v>hide</v>
      </c>
      <c r="D2644" s="48" t="str">
        <f>D2643</f>
        <v>36501</v>
      </c>
      <c r="E2644" s="7"/>
      <c r="F2644" s="27">
        <v>0</v>
      </c>
      <c r="G2644" s="27">
        <v>0</v>
      </c>
      <c r="H2644" s="27">
        <v>0</v>
      </c>
      <c r="I2644" s="27">
        <v>0</v>
      </c>
      <c r="J2644" s="27">
        <v>0</v>
      </c>
      <c r="K2644" s="63">
        <f>AVERAGE(I2644:J2644)</f>
        <v>0</v>
      </c>
      <c r="L2644" s="56" t="str">
        <f>"SW-RISER-PACK"</f>
        <v>SW-RISER-PACK</v>
      </c>
      <c r="M2644" s="14"/>
      <c r="N2644" s="15"/>
      <c r="O2644" s="12"/>
      <c r="P2644" s="34"/>
      <c r="Q2644" s="37"/>
      <c r="R2644" s="47"/>
      <c r="S2644" s="46"/>
    </row>
    <row r="2645" spans="1:19" ht="12" hidden="1" customHeight="1" x14ac:dyDescent="0.3">
      <c r="A2645" s="35" t="s">
        <v>908</v>
      </c>
      <c r="B2645" s="49" t="str">
        <f>B2641</f>
        <v>hide</v>
      </c>
      <c r="N2645"/>
      <c r="Q2645" s="33"/>
    </row>
    <row r="2646" spans="1:19" ht="13.8" hidden="1" thickBot="1" x14ac:dyDescent="0.3">
      <c r="A2646" t="s">
        <v>23</v>
      </c>
      <c r="B2646" s="49" t="str">
        <f t="shared" ref="B2646" si="1890">B2645</f>
        <v>hide</v>
      </c>
      <c r="D2646" s="58"/>
      <c r="E2646" s="58"/>
      <c r="F2646" s="52">
        <f>SUM(F2641:F2645)</f>
        <v>0</v>
      </c>
      <c r="G2646" s="52">
        <f>SUM(G2641:G2645)</f>
        <v>0</v>
      </c>
      <c r="H2646" s="52">
        <f>SUM(H2641:H2645)</f>
        <v>0</v>
      </c>
      <c r="I2646" s="52">
        <f>SUM(I2641:I2645)</f>
        <v>0</v>
      </c>
      <c r="J2646" s="52">
        <f>SUM(J2641:J2645)</f>
        <v>0</v>
      </c>
      <c r="K2646" s="52"/>
      <c r="L2646" s="51" t="s">
        <v>4</v>
      </c>
      <c r="M2646" s="58"/>
      <c r="N2646" s="58"/>
      <c r="O2646" s="58"/>
      <c r="P2646" s="58"/>
      <c r="Q2646" s="58"/>
      <c r="R2646" s="58"/>
      <c r="S2646" s="58"/>
    </row>
    <row r="2647" spans="1:19" s="59" customFormat="1" ht="18.75" hidden="1" customHeight="1" thickBot="1" x14ac:dyDescent="0.3">
      <c r="A2647" s="59" t="s">
        <v>23</v>
      </c>
      <c r="B2647" s="60" t="str">
        <f t="shared" ref="B2647:B2648" si="1891">IF(K2647=0,"hide","")</f>
        <v>hide</v>
      </c>
      <c r="D2647" s="61" t="str">
        <f>"36505"</f>
        <v>36505</v>
      </c>
      <c r="E2647" s="62" t="str">
        <f>"5"</f>
        <v>5</v>
      </c>
      <c r="F2647" s="63">
        <v>3.6666666666666665</v>
      </c>
      <c r="G2647" s="63">
        <v>0</v>
      </c>
      <c r="H2647" s="63">
        <v>0</v>
      </c>
      <c r="I2647" s="63">
        <v>0</v>
      </c>
      <c r="J2647" s="63">
        <v>0</v>
      </c>
      <c r="K2647" s="63">
        <f>AVERAGE(I2647:J2647)</f>
        <v>0</v>
      </c>
      <c r="L2647" s="64" t="str">
        <f>"CORNBREAD"</f>
        <v>CORNBREAD</v>
      </c>
      <c r="M2647" s="65" t="str">
        <f>"15-3 oz. I.W."</f>
        <v>15-3 oz. I.W.</v>
      </c>
      <c r="N2647" s="66">
        <v>15</v>
      </c>
      <c r="O2647" s="67" t="str">
        <f>""</f>
        <v/>
      </c>
      <c r="P2647" s="68" t="e">
        <f>1/O2647</f>
        <v>#VALUE!</v>
      </c>
      <c r="Q2647" s="53">
        <v>1</v>
      </c>
      <c r="R2647" s="69">
        <f t="shared" ref="R2647" si="1892">1/Q2647</f>
        <v>1</v>
      </c>
      <c r="S2647" s="70">
        <f t="shared" ref="S2647" si="1893">R2647*N2647</f>
        <v>15</v>
      </c>
    </row>
    <row r="2648" spans="1:19" ht="15.6" hidden="1" customHeight="1" thickBot="1" x14ac:dyDescent="0.3">
      <c r="A2648" t="s">
        <v>23</v>
      </c>
      <c r="B2648" s="60" t="str">
        <f t="shared" si="1891"/>
        <v>hide</v>
      </c>
      <c r="D2648" s="48" t="str">
        <f>D2647</f>
        <v>36505</v>
      </c>
      <c r="E2648" s="7"/>
      <c r="F2648" s="27">
        <v>0</v>
      </c>
      <c r="G2648" s="27">
        <v>0</v>
      </c>
      <c r="H2648" s="27">
        <v>0</v>
      </c>
      <c r="I2648" s="27">
        <v>0</v>
      </c>
      <c r="J2648" s="27">
        <v>0</v>
      </c>
      <c r="K2648" s="63">
        <f>AVERAGE(I2648:J2648)</f>
        <v>0</v>
      </c>
      <c r="L2648" s="56" t="str">
        <f>"EQP-LAWPACK1"</f>
        <v>EQP-LAWPACK1</v>
      </c>
      <c r="M2648" s="14"/>
      <c r="N2648" s="15"/>
      <c r="O2648" s="12"/>
      <c r="P2648" s="34"/>
      <c r="Q2648" s="37"/>
      <c r="R2648" s="47"/>
      <c r="S2648" s="46"/>
    </row>
    <row r="2649" spans="1:19" ht="15.6" hidden="1" customHeight="1" thickBot="1" x14ac:dyDescent="0.3">
      <c r="A2649" t="s">
        <v>23</v>
      </c>
      <c r="B2649" s="60" t="str">
        <f t="shared" ref="B2649:B2651" si="1894">IF(K2649=0,"hide","")</f>
        <v>hide</v>
      </c>
      <c r="D2649" s="48" t="str">
        <f>D2648</f>
        <v>36505</v>
      </c>
      <c r="E2649" s="7"/>
      <c r="F2649" s="27">
        <v>0</v>
      </c>
      <c r="G2649" s="27">
        <v>0</v>
      </c>
      <c r="H2649" s="27">
        <v>0</v>
      </c>
      <c r="I2649" s="27">
        <v>0</v>
      </c>
      <c r="J2649" s="27">
        <v>0</v>
      </c>
      <c r="K2649" s="63">
        <f>AVERAGE(I2649:J2649)</f>
        <v>0</v>
      </c>
      <c r="L2649" s="56" t="str">
        <f>"EQP-LAWPACK2"</f>
        <v>EQP-LAWPACK2</v>
      </c>
      <c r="M2649" s="14"/>
      <c r="N2649" s="15"/>
      <c r="O2649" s="12"/>
      <c r="P2649" s="34"/>
      <c r="Q2649" s="37"/>
      <c r="R2649" s="47"/>
      <c r="S2649" s="46"/>
    </row>
    <row r="2650" spans="1:19" ht="15.6" hidden="1" customHeight="1" thickBot="1" x14ac:dyDescent="0.3">
      <c r="A2650" t="s">
        <v>23</v>
      </c>
      <c r="B2650" s="60" t="str">
        <f t="shared" si="1894"/>
        <v>hide</v>
      </c>
      <c r="D2650" s="48" t="str">
        <f>D2649</f>
        <v>36505</v>
      </c>
      <c r="E2650" s="7"/>
      <c r="F2650" s="27">
        <v>0</v>
      </c>
      <c r="G2650" s="27">
        <v>0</v>
      </c>
      <c r="H2650" s="27">
        <v>0</v>
      </c>
      <c r="I2650" s="27">
        <v>0</v>
      </c>
      <c r="J2650" s="27">
        <v>0</v>
      </c>
      <c r="K2650" s="63">
        <f>AVERAGE(I2650:J2650)</f>
        <v>0</v>
      </c>
      <c r="L2650" s="56" t="str">
        <f>"SW-COMAS-PACKL"</f>
        <v>SW-COMAS-PACKL</v>
      </c>
      <c r="M2650" s="14"/>
      <c r="N2650" s="15"/>
      <c r="O2650" s="12"/>
      <c r="P2650" s="34"/>
      <c r="Q2650" s="37"/>
      <c r="R2650" s="47"/>
      <c r="S2650" s="46"/>
    </row>
    <row r="2651" spans="1:19" ht="15.6" hidden="1" customHeight="1" thickBot="1" x14ac:dyDescent="0.3">
      <c r="A2651" t="s">
        <v>23</v>
      </c>
      <c r="B2651" s="60" t="str">
        <f t="shared" si="1894"/>
        <v>hide</v>
      </c>
      <c r="D2651" s="48" t="str">
        <f>D2650</f>
        <v>36505</v>
      </c>
      <c r="E2651" s="7"/>
      <c r="F2651" s="27">
        <v>0</v>
      </c>
      <c r="G2651" s="27">
        <v>0</v>
      </c>
      <c r="H2651" s="27">
        <v>0</v>
      </c>
      <c r="I2651" s="27">
        <v>0</v>
      </c>
      <c r="J2651" s="27">
        <v>0</v>
      </c>
      <c r="K2651" s="63">
        <f>AVERAGE(I2651:J2651)</f>
        <v>0</v>
      </c>
      <c r="L2651" s="56" t="str">
        <f>"SW-RISER-PACK"</f>
        <v>SW-RISER-PACK</v>
      </c>
      <c r="M2651" s="14"/>
      <c r="N2651" s="15"/>
      <c r="O2651" s="12"/>
      <c r="P2651" s="34"/>
      <c r="Q2651" s="37"/>
      <c r="R2651" s="47"/>
      <c r="S2651" s="46"/>
    </row>
    <row r="2652" spans="1:19" ht="12" hidden="1" customHeight="1" x14ac:dyDescent="0.3">
      <c r="A2652" s="35" t="s">
        <v>908</v>
      </c>
      <c r="B2652" s="49" t="str">
        <f>B2648</f>
        <v>hide</v>
      </c>
      <c r="N2652"/>
      <c r="Q2652" s="33"/>
    </row>
    <row r="2653" spans="1:19" ht="13.8" hidden="1" thickBot="1" x14ac:dyDescent="0.3">
      <c r="A2653" t="s">
        <v>23</v>
      </c>
      <c r="B2653" s="49" t="str">
        <f t="shared" ref="B2653" si="1895">B2652</f>
        <v>hide</v>
      </c>
      <c r="D2653" s="58"/>
      <c r="E2653" s="58"/>
      <c r="F2653" s="52">
        <f>SUM(F2648:F2652)</f>
        <v>0</v>
      </c>
      <c r="G2653" s="52">
        <f>SUM(G2648:G2652)</f>
        <v>0</v>
      </c>
      <c r="H2653" s="52">
        <f>SUM(H2648:H2652)</f>
        <v>0</v>
      </c>
      <c r="I2653" s="52">
        <f>SUM(I2648:I2652)</f>
        <v>0</v>
      </c>
      <c r="J2653" s="52">
        <f>SUM(J2648:J2652)</f>
        <v>0</v>
      </c>
      <c r="K2653" s="52"/>
      <c r="L2653" s="51" t="s">
        <v>4</v>
      </c>
      <c r="M2653" s="58"/>
      <c r="N2653" s="58"/>
      <c r="O2653" s="58"/>
      <c r="P2653" s="58"/>
      <c r="Q2653" s="58"/>
      <c r="R2653" s="58"/>
      <c r="S2653" s="58"/>
    </row>
    <row r="2654" spans="1:19" s="59" customFormat="1" ht="18.75" customHeight="1" thickBot="1" x14ac:dyDescent="0.3">
      <c r="A2654" s="59" t="s">
        <v>23</v>
      </c>
      <c r="B2654" s="60" t="str">
        <f t="shared" ref="B2654:B2655" si="1896">IF(K2654=0,"hide","")</f>
        <v/>
      </c>
      <c r="D2654" s="61" t="str">
        <f>"36530"</f>
        <v>36530</v>
      </c>
      <c r="E2654" s="62" t="str">
        <f>"4"</f>
        <v>4</v>
      </c>
      <c r="F2654" s="63">
        <v>12</v>
      </c>
      <c r="G2654" s="63">
        <v>0</v>
      </c>
      <c r="H2654" s="63">
        <v>0</v>
      </c>
      <c r="I2654" s="63">
        <v>5</v>
      </c>
      <c r="J2654" s="63">
        <v>2.7277108433734942</v>
      </c>
      <c r="K2654" s="63">
        <f>AVERAGE(I2654:J2654)</f>
        <v>3.8638554216867469</v>
      </c>
      <c r="L2654" s="64" t="str">
        <f>"DOUBLE CHOC CHIP MUFFINS"</f>
        <v>DOUBLE CHOC CHIP MUFFINS</v>
      </c>
      <c r="M2654" s="65" t="str">
        <f>"12-3.6 oz. I.W."</f>
        <v>12-3.6 oz. I.W.</v>
      </c>
      <c r="N2654" s="66">
        <v>12</v>
      </c>
      <c r="O2654" s="67" t="str">
        <f>""</f>
        <v/>
      </c>
      <c r="P2654" s="68" t="e">
        <f>1/O2654</f>
        <v>#VALUE!</v>
      </c>
      <c r="Q2654" s="53">
        <v>1</v>
      </c>
      <c r="R2654" s="69">
        <f t="shared" ref="R2654" si="1897">1/Q2654</f>
        <v>1</v>
      </c>
      <c r="S2654" s="70">
        <f t="shared" ref="S2654" si="1898">R2654*N2654</f>
        <v>12</v>
      </c>
    </row>
    <row r="2655" spans="1:19" ht="15.6" hidden="1" customHeight="1" thickBot="1" x14ac:dyDescent="0.3">
      <c r="A2655" t="s">
        <v>23</v>
      </c>
      <c r="B2655" s="60" t="str">
        <f t="shared" si="1896"/>
        <v>hide</v>
      </c>
      <c r="D2655" s="48" t="str">
        <f>D2654</f>
        <v>36530</v>
      </c>
      <c r="E2655" s="7"/>
      <c r="F2655" s="27">
        <v>0</v>
      </c>
      <c r="G2655" s="27">
        <v>0</v>
      </c>
      <c r="H2655" s="27">
        <v>0</v>
      </c>
      <c r="I2655" s="27">
        <v>0</v>
      </c>
      <c r="J2655" s="27">
        <v>0</v>
      </c>
      <c r="K2655" s="63">
        <f>AVERAGE(I2655:J2655)</f>
        <v>0</v>
      </c>
      <c r="L2655" s="56" t="str">
        <f>"EQP-LAWPACK1"</f>
        <v>EQP-LAWPACK1</v>
      </c>
      <c r="M2655" s="14"/>
      <c r="N2655" s="15"/>
      <c r="O2655" s="12"/>
      <c r="P2655" s="34"/>
      <c r="Q2655" s="37"/>
      <c r="R2655" s="47"/>
      <c r="S2655" s="46"/>
    </row>
    <row r="2656" spans="1:19" ht="15.6" hidden="1" customHeight="1" thickBot="1" x14ac:dyDescent="0.3">
      <c r="A2656" t="s">
        <v>23</v>
      </c>
      <c r="B2656" s="60" t="str">
        <f t="shared" ref="B2656:B2658" si="1899">IF(K2656=0,"hide","")</f>
        <v>hide</v>
      </c>
      <c r="D2656" s="48" t="str">
        <f>D2655</f>
        <v>36530</v>
      </c>
      <c r="E2656" s="7"/>
      <c r="F2656" s="27">
        <v>0</v>
      </c>
      <c r="G2656" s="27">
        <v>0</v>
      </c>
      <c r="H2656" s="27">
        <v>0</v>
      </c>
      <c r="I2656" s="27">
        <v>0</v>
      </c>
      <c r="J2656" s="27">
        <v>0</v>
      </c>
      <c r="K2656" s="63">
        <f>AVERAGE(I2656:J2656)</f>
        <v>0</v>
      </c>
      <c r="L2656" s="56" t="str">
        <f>"EQP-LAWPACK2"</f>
        <v>EQP-LAWPACK2</v>
      </c>
      <c r="M2656" s="14"/>
      <c r="N2656" s="15"/>
      <c r="O2656" s="12"/>
      <c r="P2656" s="34"/>
      <c r="Q2656" s="37"/>
      <c r="R2656" s="47"/>
      <c r="S2656" s="46"/>
    </row>
    <row r="2657" spans="1:19" ht="15.6" hidden="1" customHeight="1" thickBot="1" x14ac:dyDescent="0.3">
      <c r="A2657" t="s">
        <v>23</v>
      </c>
      <c r="B2657" s="60" t="str">
        <f t="shared" si="1899"/>
        <v>hide</v>
      </c>
      <c r="D2657" s="48" t="str">
        <f>D2656</f>
        <v>36530</v>
      </c>
      <c r="E2657" s="7"/>
      <c r="F2657" s="27">
        <v>0</v>
      </c>
      <c r="G2657" s="27">
        <v>0</v>
      </c>
      <c r="H2657" s="27">
        <v>0</v>
      </c>
      <c r="I2657" s="27">
        <v>0</v>
      </c>
      <c r="J2657" s="27">
        <v>0</v>
      </c>
      <c r="K2657" s="63">
        <f>AVERAGE(I2657:J2657)</f>
        <v>0</v>
      </c>
      <c r="L2657" s="56" t="str">
        <f>"SW-COMAS-PACKL"</f>
        <v>SW-COMAS-PACKL</v>
      </c>
      <c r="M2657" s="14"/>
      <c r="N2657" s="15"/>
      <c r="O2657" s="12"/>
      <c r="P2657" s="34"/>
      <c r="Q2657" s="37"/>
      <c r="R2657" s="47"/>
      <c r="S2657" s="46"/>
    </row>
    <row r="2658" spans="1:19" ht="15.6" hidden="1" customHeight="1" thickBot="1" x14ac:dyDescent="0.3">
      <c r="A2658" t="s">
        <v>23</v>
      </c>
      <c r="B2658" s="60" t="str">
        <f t="shared" si="1899"/>
        <v>hide</v>
      </c>
      <c r="D2658" s="48" t="str">
        <f>D2657</f>
        <v>36530</v>
      </c>
      <c r="E2658" s="7"/>
      <c r="F2658" s="27">
        <v>0</v>
      </c>
      <c r="G2658" s="27">
        <v>0</v>
      </c>
      <c r="H2658" s="27">
        <v>0</v>
      </c>
      <c r="I2658" s="27">
        <v>0</v>
      </c>
      <c r="J2658" s="27">
        <v>0</v>
      </c>
      <c r="K2658" s="63">
        <f>AVERAGE(I2658:J2658)</f>
        <v>0</v>
      </c>
      <c r="L2658" s="56" t="str">
        <f>"SW-RISER-PACK"</f>
        <v>SW-RISER-PACK</v>
      </c>
      <c r="M2658" s="14"/>
      <c r="N2658" s="15"/>
      <c r="O2658" s="12"/>
      <c r="P2658" s="34"/>
      <c r="Q2658" s="37"/>
      <c r="R2658" s="47"/>
      <c r="S2658" s="46"/>
    </row>
    <row r="2659" spans="1:19" ht="12" hidden="1" customHeight="1" x14ac:dyDescent="0.3">
      <c r="A2659" s="35" t="s">
        <v>908</v>
      </c>
      <c r="B2659" s="49" t="str">
        <f>B2655</f>
        <v>hide</v>
      </c>
      <c r="N2659"/>
      <c r="Q2659" s="33"/>
    </row>
    <row r="2660" spans="1:19" ht="13.8" hidden="1" thickBot="1" x14ac:dyDescent="0.3">
      <c r="A2660" t="s">
        <v>23</v>
      </c>
      <c r="B2660" s="49" t="str">
        <f t="shared" ref="B2660" si="1900">B2659</f>
        <v>hide</v>
      </c>
      <c r="D2660" s="58"/>
      <c r="E2660" s="58"/>
      <c r="F2660" s="52">
        <f>SUM(F2655:F2659)</f>
        <v>0</v>
      </c>
      <c r="G2660" s="52">
        <f>SUM(G2655:G2659)</f>
        <v>0</v>
      </c>
      <c r="H2660" s="52">
        <f>SUM(H2655:H2659)</f>
        <v>0</v>
      </c>
      <c r="I2660" s="52">
        <f>SUM(I2655:I2659)</f>
        <v>0</v>
      </c>
      <c r="J2660" s="52">
        <f>SUM(J2655:J2659)</f>
        <v>0</v>
      </c>
      <c r="K2660" s="52"/>
      <c r="L2660" s="51" t="s">
        <v>4</v>
      </c>
      <c r="M2660" s="58"/>
      <c r="N2660" s="58"/>
      <c r="O2660" s="58"/>
      <c r="P2660" s="58"/>
      <c r="Q2660" s="58"/>
      <c r="R2660" s="58"/>
      <c r="S2660" s="58"/>
    </row>
    <row r="2661" spans="1:19" s="59" customFormat="1" ht="18.75" customHeight="1" thickBot="1" x14ac:dyDescent="0.3">
      <c r="A2661" s="59" t="s">
        <v>23</v>
      </c>
      <c r="B2661" s="60" t="str">
        <f t="shared" ref="B2661:B2662" si="1901">IF(K2661=0,"hide","")</f>
        <v/>
      </c>
      <c r="D2661" s="61" t="str">
        <f>"36536"</f>
        <v>36536</v>
      </c>
      <c r="E2661" s="62" t="str">
        <f>"5"</f>
        <v>5</v>
      </c>
      <c r="F2661" s="63">
        <v>10</v>
      </c>
      <c r="G2661" s="63">
        <v>0</v>
      </c>
      <c r="H2661" s="63">
        <v>0</v>
      </c>
      <c r="I2661" s="63">
        <v>5</v>
      </c>
      <c r="J2661" s="63">
        <v>2.3867469879518075</v>
      </c>
      <c r="K2661" s="63">
        <f>AVERAGE(I2661:J2661)</f>
        <v>3.693373493975904</v>
      </c>
      <c r="L2661" s="64" t="str">
        <f>"COFFEE CAKE MUFFINS"</f>
        <v>COFFEE CAKE MUFFINS</v>
      </c>
      <c r="M2661" s="65" t="str">
        <f>"12-3.6 oz. I.W."</f>
        <v>12-3.6 oz. I.W.</v>
      </c>
      <c r="N2661" s="66">
        <v>12</v>
      </c>
      <c r="O2661" s="67" t="str">
        <f>""</f>
        <v/>
      </c>
      <c r="P2661" s="68" t="e">
        <f>1/O2661</f>
        <v>#VALUE!</v>
      </c>
      <c r="Q2661" s="53">
        <v>1</v>
      </c>
      <c r="R2661" s="69">
        <f t="shared" ref="R2661" si="1902">1/Q2661</f>
        <v>1</v>
      </c>
      <c r="S2661" s="70">
        <f t="shared" ref="S2661" si="1903">R2661*N2661</f>
        <v>12</v>
      </c>
    </row>
    <row r="2662" spans="1:19" ht="15.6" hidden="1" customHeight="1" thickBot="1" x14ac:dyDescent="0.3">
      <c r="A2662" t="s">
        <v>23</v>
      </c>
      <c r="B2662" s="60" t="str">
        <f t="shared" si="1901"/>
        <v>hide</v>
      </c>
      <c r="D2662" s="48" t="str">
        <f>D2661</f>
        <v>36536</v>
      </c>
      <c r="E2662" s="7"/>
      <c r="F2662" s="27">
        <v>0</v>
      </c>
      <c r="G2662" s="27">
        <v>0</v>
      </c>
      <c r="H2662" s="27">
        <v>0</v>
      </c>
      <c r="I2662" s="27">
        <v>0</v>
      </c>
      <c r="J2662" s="27">
        <v>0</v>
      </c>
      <c r="K2662" s="63">
        <f>AVERAGE(I2662:J2662)</f>
        <v>0</v>
      </c>
      <c r="L2662" s="56" t="str">
        <f>"EQP-LAWPACK1"</f>
        <v>EQP-LAWPACK1</v>
      </c>
      <c r="M2662" s="14"/>
      <c r="N2662" s="15"/>
      <c r="O2662" s="12"/>
      <c r="P2662" s="34"/>
      <c r="Q2662" s="37"/>
      <c r="R2662" s="47"/>
      <c r="S2662" s="46"/>
    </row>
    <row r="2663" spans="1:19" ht="15.6" hidden="1" customHeight="1" thickBot="1" x14ac:dyDescent="0.3">
      <c r="A2663" t="s">
        <v>23</v>
      </c>
      <c r="B2663" s="60" t="str">
        <f t="shared" ref="B2663:B2665" si="1904">IF(K2663=0,"hide","")</f>
        <v>hide</v>
      </c>
      <c r="D2663" s="48" t="str">
        <f>D2662</f>
        <v>36536</v>
      </c>
      <c r="E2663" s="7"/>
      <c r="F2663" s="27">
        <v>0</v>
      </c>
      <c r="G2663" s="27">
        <v>0</v>
      </c>
      <c r="H2663" s="27">
        <v>0</v>
      </c>
      <c r="I2663" s="27">
        <v>0</v>
      </c>
      <c r="J2663" s="27">
        <v>0</v>
      </c>
      <c r="K2663" s="63">
        <f>AVERAGE(I2663:J2663)</f>
        <v>0</v>
      </c>
      <c r="L2663" s="56" t="str">
        <f>"EQP-LAWPACK2"</f>
        <v>EQP-LAWPACK2</v>
      </c>
      <c r="M2663" s="14"/>
      <c r="N2663" s="15"/>
      <c r="O2663" s="12"/>
      <c r="P2663" s="34"/>
      <c r="Q2663" s="37"/>
      <c r="R2663" s="47"/>
      <c r="S2663" s="46"/>
    </row>
    <row r="2664" spans="1:19" ht="15.6" hidden="1" customHeight="1" thickBot="1" x14ac:dyDescent="0.3">
      <c r="A2664" t="s">
        <v>23</v>
      </c>
      <c r="B2664" s="60" t="str">
        <f t="shared" si="1904"/>
        <v>hide</v>
      </c>
      <c r="D2664" s="48" t="str">
        <f>D2663</f>
        <v>36536</v>
      </c>
      <c r="E2664" s="7"/>
      <c r="F2664" s="27">
        <v>0</v>
      </c>
      <c r="G2664" s="27">
        <v>0</v>
      </c>
      <c r="H2664" s="27">
        <v>0</v>
      </c>
      <c r="I2664" s="27">
        <v>0</v>
      </c>
      <c r="J2664" s="27">
        <v>0</v>
      </c>
      <c r="K2664" s="63">
        <f>AVERAGE(I2664:J2664)</f>
        <v>0</v>
      </c>
      <c r="L2664" s="56" t="str">
        <f>"SW-COMAS-PACKL"</f>
        <v>SW-COMAS-PACKL</v>
      </c>
      <c r="M2664" s="14"/>
      <c r="N2664" s="15"/>
      <c r="O2664" s="12"/>
      <c r="P2664" s="34"/>
      <c r="Q2664" s="37"/>
      <c r="R2664" s="47"/>
      <c r="S2664" s="46"/>
    </row>
    <row r="2665" spans="1:19" ht="15.6" hidden="1" customHeight="1" thickBot="1" x14ac:dyDescent="0.3">
      <c r="A2665" t="s">
        <v>23</v>
      </c>
      <c r="B2665" s="60" t="str">
        <f t="shared" si="1904"/>
        <v>hide</v>
      </c>
      <c r="D2665" s="48" t="str">
        <f>D2664</f>
        <v>36536</v>
      </c>
      <c r="E2665" s="7"/>
      <c r="F2665" s="27">
        <v>0</v>
      </c>
      <c r="G2665" s="27">
        <v>0</v>
      </c>
      <c r="H2665" s="27">
        <v>0</v>
      </c>
      <c r="I2665" s="27">
        <v>0</v>
      </c>
      <c r="J2665" s="27">
        <v>0</v>
      </c>
      <c r="K2665" s="63">
        <f>AVERAGE(I2665:J2665)</f>
        <v>0</v>
      </c>
      <c r="L2665" s="56" t="str">
        <f>"SW-RISER-PACK"</f>
        <v>SW-RISER-PACK</v>
      </c>
      <c r="M2665" s="14"/>
      <c r="N2665" s="15"/>
      <c r="O2665" s="12"/>
      <c r="P2665" s="34"/>
      <c r="Q2665" s="37"/>
      <c r="R2665" s="47"/>
      <c r="S2665" s="46"/>
    </row>
    <row r="2666" spans="1:19" ht="12" hidden="1" customHeight="1" x14ac:dyDescent="0.3">
      <c r="A2666" s="35" t="s">
        <v>908</v>
      </c>
      <c r="B2666" s="49" t="str">
        <f>B2662</f>
        <v>hide</v>
      </c>
      <c r="N2666"/>
      <c r="Q2666" s="33"/>
    </row>
    <row r="2667" spans="1:19" ht="13.8" hidden="1" thickBot="1" x14ac:dyDescent="0.3">
      <c r="A2667" t="s">
        <v>23</v>
      </c>
      <c r="B2667" s="49" t="str">
        <f t="shared" ref="B2667" si="1905">B2666</f>
        <v>hide</v>
      </c>
      <c r="D2667" s="58"/>
      <c r="E2667" s="58"/>
      <c r="F2667" s="52">
        <f>SUM(F2662:F2666)</f>
        <v>0</v>
      </c>
      <c r="G2667" s="52">
        <f>SUM(G2662:G2666)</f>
        <v>0</v>
      </c>
      <c r="H2667" s="52">
        <f>SUM(H2662:H2666)</f>
        <v>0</v>
      </c>
      <c r="I2667" s="52">
        <f>SUM(I2662:I2666)</f>
        <v>0</v>
      </c>
      <c r="J2667" s="52">
        <f>SUM(J2662:J2666)</f>
        <v>0</v>
      </c>
      <c r="K2667" s="52"/>
      <c r="L2667" s="51" t="s">
        <v>4</v>
      </c>
      <c r="M2667" s="58"/>
      <c r="N2667" s="58"/>
      <c r="O2667" s="58"/>
      <c r="P2667" s="58"/>
      <c r="Q2667" s="58"/>
      <c r="R2667" s="58"/>
      <c r="S2667" s="58"/>
    </row>
    <row r="2668" spans="1:19" s="59" customFormat="1" ht="18.75" hidden="1" customHeight="1" thickBot="1" x14ac:dyDescent="0.3">
      <c r="A2668" s="59" t="s">
        <v>23</v>
      </c>
      <c r="B2668" s="60" t="str">
        <f t="shared" ref="B2668:B2669" si="1906">IF(K2668=0,"hide","")</f>
        <v>hide</v>
      </c>
      <c r="D2668" s="61" t="str">
        <f>"36701"</f>
        <v>36701</v>
      </c>
      <c r="E2668" s="62" t="str">
        <f>"2"</f>
        <v>2</v>
      </c>
      <c r="F2668" s="63">
        <v>0</v>
      </c>
      <c r="G2668" s="63">
        <v>0</v>
      </c>
      <c r="H2668" s="63">
        <v>0</v>
      </c>
      <c r="I2668" s="63">
        <v>0</v>
      </c>
      <c r="J2668" s="63">
        <v>0</v>
      </c>
      <c r="K2668" s="63">
        <f>AVERAGE(I2668:J2668)</f>
        <v>0</v>
      </c>
      <c r="L2668" s="64" t="str">
        <f>"WG BLUEBERRY MUFFINS"</f>
        <v>WG BLUEBERRY MUFFINS</v>
      </c>
      <c r="M2668" s="65" t="str">
        <f>"24-3.6 oz. I.W."</f>
        <v>24-3.6 oz. I.W.</v>
      </c>
      <c r="N2668" s="66">
        <v>24</v>
      </c>
      <c r="O2668" s="67" t="str">
        <f>""</f>
        <v/>
      </c>
      <c r="P2668" s="68" t="e">
        <f>1/O2668</f>
        <v>#VALUE!</v>
      </c>
      <c r="Q2668" s="53">
        <v>1</v>
      </c>
      <c r="R2668" s="69">
        <f t="shared" ref="R2668" si="1907">1/Q2668</f>
        <v>1</v>
      </c>
      <c r="S2668" s="70">
        <f t="shared" ref="S2668" si="1908">R2668*N2668</f>
        <v>24</v>
      </c>
    </row>
    <row r="2669" spans="1:19" ht="15.6" hidden="1" customHeight="1" thickBot="1" x14ac:dyDescent="0.3">
      <c r="A2669" t="s">
        <v>23</v>
      </c>
      <c r="B2669" s="60" t="str">
        <f t="shared" si="1906"/>
        <v>hide</v>
      </c>
      <c r="D2669" s="48" t="str">
        <f>D2668</f>
        <v>36701</v>
      </c>
      <c r="E2669" s="7"/>
      <c r="F2669" s="27">
        <v>0</v>
      </c>
      <c r="G2669" s="27">
        <v>0</v>
      </c>
      <c r="H2669" s="27">
        <v>0</v>
      </c>
      <c r="I2669" s="27">
        <v>0</v>
      </c>
      <c r="J2669" s="27">
        <v>0</v>
      </c>
      <c r="K2669" s="63">
        <f>AVERAGE(I2669:J2669)</f>
        <v>0</v>
      </c>
      <c r="L2669" s="56" t="str">
        <f>"EQP-LAWPACK1"</f>
        <v>EQP-LAWPACK1</v>
      </c>
      <c r="M2669" s="14"/>
      <c r="N2669" s="15"/>
      <c r="O2669" s="12"/>
      <c r="P2669" s="34"/>
      <c r="Q2669" s="37"/>
      <c r="R2669" s="47"/>
      <c r="S2669" s="46"/>
    </row>
    <row r="2670" spans="1:19" ht="15.6" hidden="1" customHeight="1" thickBot="1" x14ac:dyDescent="0.3">
      <c r="A2670" t="s">
        <v>23</v>
      </c>
      <c r="B2670" s="60" t="str">
        <f t="shared" ref="B2670:B2672" si="1909">IF(K2670=0,"hide","")</f>
        <v>hide</v>
      </c>
      <c r="D2670" s="48" t="str">
        <f>D2669</f>
        <v>36701</v>
      </c>
      <c r="E2670" s="7"/>
      <c r="F2670" s="27">
        <v>0</v>
      </c>
      <c r="G2670" s="27">
        <v>0</v>
      </c>
      <c r="H2670" s="27">
        <v>0</v>
      </c>
      <c r="I2670" s="27">
        <v>0</v>
      </c>
      <c r="J2670" s="27">
        <v>0</v>
      </c>
      <c r="K2670" s="63">
        <f>AVERAGE(I2670:J2670)</f>
        <v>0</v>
      </c>
      <c r="L2670" s="56" t="str">
        <f>"EQP-LAWPACK2"</f>
        <v>EQP-LAWPACK2</v>
      </c>
      <c r="M2670" s="14"/>
      <c r="N2670" s="15"/>
      <c r="O2670" s="12"/>
      <c r="P2670" s="34"/>
      <c r="Q2670" s="37"/>
      <c r="R2670" s="47"/>
      <c r="S2670" s="46"/>
    </row>
    <row r="2671" spans="1:19" ht="15.6" hidden="1" customHeight="1" thickBot="1" x14ac:dyDescent="0.3">
      <c r="A2671" t="s">
        <v>23</v>
      </c>
      <c r="B2671" s="60" t="str">
        <f t="shared" si="1909"/>
        <v>hide</v>
      </c>
      <c r="D2671" s="48" t="str">
        <f>D2670</f>
        <v>36701</v>
      </c>
      <c r="E2671" s="7"/>
      <c r="F2671" s="27">
        <v>0</v>
      </c>
      <c r="G2671" s="27">
        <v>0</v>
      </c>
      <c r="H2671" s="27">
        <v>0</v>
      </c>
      <c r="I2671" s="27">
        <v>0</v>
      </c>
      <c r="J2671" s="27">
        <v>0</v>
      </c>
      <c r="K2671" s="63">
        <f>AVERAGE(I2671:J2671)</f>
        <v>0</v>
      </c>
      <c r="L2671" s="56" t="str">
        <f>"SW-COMAS-PACKL"</f>
        <v>SW-COMAS-PACKL</v>
      </c>
      <c r="M2671" s="14"/>
      <c r="N2671" s="15"/>
      <c r="O2671" s="12"/>
      <c r="P2671" s="34"/>
      <c r="Q2671" s="37"/>
      <c r="R2671" s="47"/>
      <c r="S2671" s="46"/>
    </row>
    <row r="2672" spans="1:19" ht="15.6" hidden="1" customHeight="1" thickBot="1" x14ac:dyDescent="0.3">
      <c r="A2672" t="s">
        <v>23</v>
      </c>
      <c r="B2672" s="60" t="str">
        <f t="shared" si="1909"/>
        <v>hide</v>
      </c>
      <c r="D2672" s="48" t="str">
        <f>D2671</f>
        <v>36701</v>
      </c>
      <c r="E2672" s="7"/>
      <c r="F2672" s="27">
        <v>0</v>
      </c>
      <c r="G2672" s="27">
        <v>0</v>
      </c>
      <c r="H2672" s="27">
        <v>0</v>
      </c>
      <c r="I2672" s="27">
        <v>0</v>
      </c>
      <c r="J2672" s="27">
        <v>0</v>
      </c>
      <c r="K2672" s="63">
        <f>AVERAGE(I2672:J2672)</f>
        <v>0</v>
      </c>
      <c r="L2672" s="56" t="str">
        <f>"SW-RISER-PACK"</f>
        <v>SW-RISER-PACK</v>
      </c>
      <c r="M2672" s="14"/>
      <c r="N2672" s="15"/>
      <c r="O2672" s="12"/>
      <c r="P2672" s="34"/>
      <c r="Q2672" s="37"/>
      <c r="R2672" s="47"/>
      <c r="S2672" s="46"/>
    </row>
    <row r="2673" spans="1:19" ht="12" hidden="1" customHeight="1" x14ac:dyDescent="0.3">
      <c r="A2673" s="35" t="s">
        <v>908</v>
      </c>
      <c r="B2673" s="49" t="str">
        <f>B2669</f>
        <v>hide</v>
      </c>
      <c r="N2673"/>
      <c r="Q2673" s="33"/>
    </row>
    <row r="2674" spans="1:19" ht="13.8" hidden="1" thickBot="1" x14ac:dyDescent="0.3">
      <c r="A2674" t="s">
        <v>23</v>
      </c>
      <c r="B2674" s="49" t="str">
        <f t="shared" ref="B2674" si="1910">B2673</f>
        <v>hide</v>
      </c>
      <c r="D2674" s="58"/>
      <c r="E2674" s="58"/>
      <c r="F2674" s="52">
        <f>SUM(F2669:F2673)</f>
        <v>0</v>
      </c>
      <c r="G2674" s="52">
        <f>SUM(G2669:G2673)</f>
        <v>0</v>
      </c>
      <c r="H2674" s="52">
        <f>SUM(H2669:H2673)</f>
        <v>0</v>
      </c>
      <c r="I2674" s="52">
        <f>SUM(I2669:I2673)</f>
        <v>0</v>
      </c>
      <c r="J2674" s="52">
        <f>SUM(J2669:J2673)</f>
        <v>0</v>
      </c>
      <c r="K2674" s="52"/>
      <c r="L2674" s="51" t="s">
        <v>4</v>
      </c>
      <c r="M2674" s="58"/>
      <c r="N2674" s="58"/>
      <c r="O2674" s="58"/>
      <c r="P2674" s="58"/>
      <c r="Q2674" s="58"/>
      <c r="R2674" s="58"/>
      <c r="S2674" s="58"/>
    </row>
    <row r="2675" spans="1:19" s="59" customFormat="1" ht="18.75" hidden="1" customHeight="1" thickBot="1" x14ac:dyDescent="0.3">
      <c r="A2675" s="59" t="s">
        <v>23</v>
      </c>
      <c r="B2675" s="60" t="str">
        <f t="shared" ref="B2675:B2676" si="1911">IF(K2675=0,"hide","")</f>
        <v>hide</v>
      </c>
      <c r="D2675" s="61" t="str">
        <f>"36706"</f>
        <v>36706</v>
      </c>
      <c r="E2675" s="62" t="str">
        <f>"2"</f>
        <v>2</v>
      </c>
      <c r="F2675" s="63">
        <v>0</v>
      </c>
      <c r="G2675" s="63">
        <v>0</v>
      </c>
      <c r="H2675" s="63">
        <v>0</v>
      </c>
      <c r="I2675" s="63">
        <v>0</v>
      </c>
      <c r="J2675" s="63">
        <v>0</v>
      </c>
      <c r="K2675" s="63">
        <f>AVERAGE(I2675:J2675)</f>
        <v>0</v>
      </c>
      <c r="L2675" s="64" t="str">
        <f>"WG APPLE CINNAMON MUFFINS"</f>
        <v>WG APPLE CINNAMON MUFFINS</v>
      </c>
      <c r="M2675" s="65" t="str">
        <f>"24-3.6 oz. I.W."</f>
        <v>24-3.6 oz. I.W.</v>
      </c>
      <c r="N2675" s="66">
        <v>24</v>
      </c>
      <c r="O2675" s="67" t="str">
        <f>""</f>
        <v/>
      </c>
      <c r="P2675" s="68" t="e">
        <f>1/O2675</f>
        <v>#VALUE!</v>
      </c>
      <c r="Q2675" s="53">
        <v>1</v>
      </c>
      <c r="R2675" s="69">
        <f t="shared" ref="R2675" si="1912">1/Q2675</f>
        <v>1</v>
      </c>
      <c r="S2675" s="70">
        <f t="shared" ref="S2675" si="1913">R2675*N2675</f>
        <v>24</v>
      </c>
    </row>
    <row r="2676" spans="1:19" ht="15.6" hidden="1" customHeight="1" thickBot="1" x14ac:dyDescent="0.3">
      <c r="A2676" t="s">
        <v>23</v>
      </c>
      <c r="B2676" s="60" t="str">
        <f t="shared" si="1911"/>
        <v>hide</v>
      </c>
      <c r="D2676" s="48" t="str">
        <f>D2675</f>
        <v>36706</v>
      </c>
      <c r="E2676" s="7"/>
      <c r="F2676" s="27">
        <v>0</v>
      </c>
      <c r="G2676" s="27">
        <v>0</v>
      </c>
      <c r="H2676" s="27">
        <v>0</v>
      </c>
      <c r="I2676" s="27">
        <v>0</v>
      </c>
      <c r="J2676" s="27">
        <v>0</v>
      </c>
      <c r="K2676" s="63">
        <f>AVERAGE(I2676:J2676)</f>
        <v>0</v>
      </c>
      <c r="L2676" s="56" t="str">
        <f>"EQP-LAWPACK1"</f>
        <v>EQP-LAWPACK1</v>
      </c>
      <c r="M2676" s="14"/>
      <c r="N2676" s="15"/>
      <c r="O2676" s="12"/>
      <c r="P2676" s="34"/>
      <c r="Q2676" s="37"/>
      <c r="R2676" s="47"/>
      <c r="S2676" s="46"/>
    </row>
    <row r="2677" spans="1:19" ht="15.6" hidden="1" customHeight="1" thickBot="1" x14ac:dyDescent="0.3">
      <c r="A2677" t="s">
        <v>23</v>
      </c>
      <c r="B2677" s="60" t="str">
        <f t="shared" ref="B2677:B2679" si="1914">IF(K2677=0,"hide","")</f>
        <v>hide</v>
      </c>
      <c r="D2677" s="48" t="str">
        <f>D2676</f>
        <v>36706</v>
      </c>
      <c r="E2677" s="7"/>
      <c r="F2677" s="27">
        <v>0</v>
      </c>
      <c r="G2677" s="27">
        <v>0</v>
      </c>
      <c r="H2677" s="27">
        <v>0</v>
      </c>
      <c r="I2677" s="27">
        <v>0</v>
      </c>
      <c r="J2677" s="27">
        <v>0</v>
      </c>
      <c r="K2677" s="63">
        <f>AVERAGE(I2677:J2677)</f>
        <v>0</v>
      </c>
      <c r="L2677" s="56" t="str">
        <f>"EQP-LAWPACK2"</f>
        <v>EQP-LAWPACK2</v>
      </c>
      <c r="M2677" s="14"/>
      <c r="N2677" s="15"/>
      <c r="O2677" s="12"/>
      <c r="P2677" s="34"/>
      <c r="Q2677" s="37"/>
      <c r="R2677" s="47"/>
      <c r="S2677" s="46"/>
    </row>
    <row r="2678" spans="1:19" ht="15.6" hidden="1" customHeight="1" thickBot="1" x14ac:dyDescent="0.3">
      <c r="A2678" t="s">
        <v>23</v>
      </c>
      <c r="B2678" s="60" t="str">
        <f t="shared" si="1914"/>
        <v>hide</v>
      </c>
      <c r="D2678" s="48" t="str">
        <f>D2677</f>
        <v>36706</v>
      </c>
      <c r="E2678" s="7"/>
      <c r="F2678" s="27">
        <v>0</v>
      </c>
      <c r="G2678" s="27">
        <v>0</v>
      </c>
      <c r="H2678" s="27">
        <v>0</v>
      </c>
      <c r="I2678" s="27">
        <v>0</v>
      </c>
      <c r="J2678" s="27">
        <v>0</v>
      </c>
      <c r="K2678" s="63">
        <f>AVERAGE(I2678:J2678)</f>
        <v>0</v>
      </c>
      <c r="L2678" s="56" t="str">
        <f>"SW-COMAS-PACKL"</f>
        <v>SW-COMAS-PACKL</v>
      </c>
      <c r="M2678" s="14"/>
      <c r="N2678" s="15"/>
      <c r="O2678" s="12"/>
      <c r="P2678" s="34"/>
      <c r="Q2678" s="37"/>
      <c r="R2678" s="47"/>
      <c r="S2678" s="46"/>
    </row>
    <row r="2679" spans="1:19" ht="15.6" hidden="1" customHeight="1" thickBot="1" x14ac:dyDescent="0.3">
      <c r="A2679" t="s">
        <v>23</v>
      </c>
      <c r="B2679" s="60" t="str">
        <f t="shared" si="1914"/>
        <v>hide</v>
      </c>
      <c r="D2679" s="48" t="str">
        <f>D2678</f>
        <v>36706</v>
      </c>
      <c r="E2679" s="7"/>
      <c r="F2679" s="27">
        <v>0</v>
      </c>
      <c r="G2679" s="27">
        <v>0</v>
      </c>
      <c r="H2679" s="27">
        <v>0</v>
      </c>
      <c r="I2679" s="27">
        <v>0</v>
      </c>
      <c r="J2679" s="27">
        <v>0</v>
      </c>
      <c r="K2679" s="63">
        <f>AVERAGE(I2679:J2679)</f>
        <v>0</v>
      </c>
      <c r="L2679" s="56" t="str">
        <f>"SW-RISER-PACK"</f>
        <v>SW-RISER-PACK</v>
      </c>
      <c r="M2679" s="14"/>
      <c r="N2679" s="15"/>
      <c r="O2679" s="12"/>
      <c r="P2679" s="34"/>
      <c r="Q2679" s="37"/>
      <c r="R2679" s="47"/>
      <c r="S2679" s="46"/>
    </row>
    <row r="2680" spans="1:19" ht="12" hidden="1" customHeight="1" x14ac:dyDescent="0.3">
      <c r="A2680" s="35" t="s">
        <v>908</v>
      </c>
      <c r="B2680" s="49" t="str">
        <f>B2676</f>
        <v>hide</v>
      </c>
      <c r="N2680"/>
      <c r="Q2680" s="33"/>
    </row>
    <row r="2681" spans="1:19" ht="13.8" hidden="1" thickBot="1" x14ac:dyDescent="0.3">
      <c r="A2681" t="s">
        <v>23</v>
      </c>
      <c r="B2681" s="49" t="str">
        <f t="shared" ref="B2681" si="1915">B2680</f>
        <v>hide</v>
      </c>
      <c r="D2681" s="58"/>
      <c r="E2681" s="58"/>
      <c r="F2681" s="52">
        <f>SUM(F2676:F2680)</f>
        <v>0</v>
      </c>
      <c r="G2681" s="52">
        <f>SUM(G2676:G2680)</f>
        <v>0</v>
      </c>
      <c r="H2681" s="52">
        <f>SUM(H2676:H2680)</f>
        <v>0</v>
      </c>
      <c r="I2681" s="52">
        <f>SUM(I2676:I2680)</f>
        <v>0</v>
      </c>
      <c r="J2681" s="52">
        <f>SUM(J2676:J2680)</f>
        <v>0</v>
      </c>
      <c r="K2681" s="52"/>
      <c r="L2681" s="51" t="s">
        <v>4</v>
      </c>
      <c r="M2681" s="58"/>
      <c r="N2681" s="58"/>
      <c r="O2681" s="58"/>
      <c r="P2681" s="58"/>
      <c r="Q2681" s="58"/>
      <c r="R2681" s="58"/>
      <c r="S2681" s="58"/>
    </row>
    <row r="2682" spans="1:19" s="59" customFormat="1" ht="18.75" customHeight="1" thickBot="1" x14ac:dyDescent="0.3">
      <c r="A2682" s="59" t="s">
        <v>23</v>
      </c>
      <c r="B2682" s="60" t="str">
        <f t="shared" ref="B2682:B2683" si="1916">IF(K2682=0,"hide","")</f>
        <v/>
      </c>
      <c r="D2682" s="61" t="str">
        <f>"36795"</f>
        <v>36795</v>
      </c>
      <c r="E2682" s="62" t="str">
        <f>"2"</f>
        <v>2</v>
      </c>
      <c r="F2682" s="63">
        <v>0</v>
      </c>
      <c r="G2682" s="63">
        <v>206.5</v>
      </c>
      <c r="H2682" s="63">
        <v>360.75</v>
      </c>
      <c r="I2682" s="63">
        <v>459</v>
      </c>
      <c r="J2682" s="63">
        <v>259.47349397590364</v>
      </c>
      <c r="K2682" s="63">
        <f>AVERAGE(I2682:J2682)</f>
        <v>359.23674698795185</v>
      </c>
      <c r="L2682" s="64" t="str">
        <f>"CORNBREAD ""Favorite Day"""</f>
        <v>CORNBREAD "Favorite Day"</v>
      </c>
      <c r="M2682" s="65" t="str">
        <f>"108-2 oz. 18 trays of 6"</f>
        <v>108-2 oz. 18 trays of 6</v>
      </c>
      <c r="N2682" s="66">
        <v>108</v>
      </c>
      <c r="O2682" s="67" t="str">
        <f>""</f>
        <v/>
      </c>
      <c r="P2682" s="68" t="e">
        <f>1/O2682</f>
        <v>#VALUE!</v>
      </c>
      <c r="Q2682" s="53">
        <v>1</v>
      </c>
      <c r="R2682" s="69">
        <f t="shared" ref="R2682" si="1917">1/Q2682</f>
        <v>1</v>
      </c>
      <c r="S2682" s="70">
        <f t="shared" ref="S2682" si="1918">R2682*N2682</f>
        <v>108</v>
      </c>
    </row>
    <row r="2683" spans="1:19" ht="15.6" hidden="1" customHeight="1" thickBot="1" x14ac:dyDescent="0.3">
      <c r="A2683" t="s">
        <v>23</v>
      </c>
      <c r="B2683" s="60" t="str">
        <f t="shared" si="1916"/>
        <v>hide</v>
      </c>
      <c r="D2683" s="48" t="str">
        <f>D2682</f>
        <v>36795</v>
      </c>
      <c r="E2683" s="7"/>
      <c r="F2683" s="27">
        <v>0</v>
      </c>
      <c r="G2683" s="27">
        <v>0</v>
      </c>
      <c r="H2683" s="27">
        <v>0</v>
      </c>
      <c r="I2683" s="27">
        <v>0</v>
      </c>
      <c r="J2683" s="27">
        <v>0</v>
      </c>
      <c r="K2683" s="63">
        <f>AVERAGE(I2683:J2683)</f>
        <v>0</v>
      </c>
      <c r="L2683" s="56" t="str">
        <f>"EQP-LAWPACK1"</f>
        <v>EQP-LAWPACK1</v>
      </c>
      <c r="M2683" s="14"/>
      <c r="N2683" s="15"/>
      <c r="O2683" s="12"/>
      <c r="P2683" s="34"/>
      <c r="Q2683" s="37"/>
      <c r="R2683" s="47"/>
      <c r="S2683" s="46"/>
    </row>
    <row r="2684" spans="1:19" ht="15.6" hidden="1" customHeight="1" thickBot="1" x14ac:dyDescent="0.3">
      <c r="A2684" t="s">
        <v>23</v>
      </c>
      <c r="B2684" s="60" t="str">
        <f t="shared" ref="B2684:B2686" si="1919">IF(K2684=0,"hide","")</f>
        <v>hide</v>
      </c>
      <c r="D2684" s="48" t="str">
        <f>D2683</f>
        <v>36795</v>
      </c>
      <c r="E2684" s="7"/>
      <c r="F2684" s="27">
        <v>0</v>
      </c>
      <c r="G2684" s="27">
        <v>0</v>
      </c>
      <c r="H2684" s="27">
        <v>0</v>
      </c>
      <c r="I2684" s="27">
        <v>0</v>
      </c>
      <c r="J2684" s="27">
        <v>0</v>
      </c>
      <c r="K2684" s="63">
        <f>AVERAGE(I2684:J2684)</f>
        <v>0</v>
      </c>
      <c r="L2684" s="56" t="str">
        <f>"EQP-LAWPACK2"</f>
        <v>EQP-LAWPACK2</v>
      </c>
      <c r="M2684" s="14"/>
      <c r="N2684" s="15"/>
      <c r="O2684" s="12"/>
      <c r="P2684" s="34"/>
      <c r="Q2684" s="37"/>
      <c r="R2684" s="47"/>
      <c r="S2684" s="46"/>
    </row>
    <row r="2685" spans="1:19" ht="15.6" hidden="1" customHeight="1" thickBot="1" x14ac:dyDescent="0.3">
      <c r="A2685" t="s">
        <v>23</v>
      </c>
      <c r="B2685" s="60" t="str">
        <f t="shared" si="1919"/>
        <v>hide</v>
      </c>
      <c r="D2685" s="48" t="str">
        <f>D2684</f>
        <v>36795</v>
      </c>
      <c r="E2685" s="7"/>
      <c r="F2685" s="27">
        <v>0</v>
      </c>
      <c r="G2685" s="27">
        <v>0</v>
      </c>
      <c r="H2685" s="27">
        <v>0</v>
      </c>
      <c r="I2685" s="27">
        <v>0</v>
      </c>
      <c r="J2685" s="27">
        <v>0</v>
      </c>
      <c r="K2685" s="63">
        <f>AVERAGE(I2685:J2685)</f>
        <v>0</v>
      </c>
      <c r="L2685" s="56" t="str">
        <f>"SW-COMAS-PACKL"</f>
        <v>SW-COMAS-PACKL</v>
      </c>
      <c r="M2685" s="14"/>
      <c r="N2685" s="15"/>
      <c r="O2685" s="12"/>
      <c r="P2685" s="34"/>
      <c r="Q2685" s="37"/>
      <c r="R2685" s="47"/>
      <c r="S2685" s="46"/>
    </row>
    <row r="2686" spans="1:19" ht="15.6" hidden="1" customHeight="1" thickBot="1" x14ac:dyDescent="0.3">
      <c r="A2686" t="s">
        <v>23</v>
      </c>
      <c r="B2686" s="60" t="str">
        <f t="shared" si="1919"/>
        <v>hide</v>
      </c>
      <c r="D2686" s="48" t="str">
        <f>D2685</f>
        <v>36795</v>
      </c>
      <c r="E2686" s="7"/>
      <c r="F2686" s="27">
        <v>0</v>
      </c>
      <c r="G2686" s="27">
        <v>0</v>
      </c>
      <c r="H2686" s="27">
        <v>0</v>
      </c>
      <c r="I2686" s="27">
        <v>0</v>
      </c>
      <c r="J2686" s="27">
        <v>0</v>
      </c>
      <c r="K2686" s="63">
        <f>AVERAGE(I2686:J2686)</f>
        <v>0</v>
      </c>
      <c r="L2686" s="56" t="str">
        <f>"SW-RISER-PACK"</f>
        <v>SW-RISER-PACK</v>
      </c>
      <c r="M2686" s="14"/>
      <c r="N2686" s="15"/>
      <c r="O2686" s="12"/>
      <c r="P2686" s="34"/>
      <c r="Q2686" s="37"/>
      <c r="R2686" s="47"/>
      <c r="S2686" s="46"/>
    </row>
    <row r="2687" spans="1:19" ht="12" hidden="1" customHeight="1" x14ac:dyDescent="0.3">
      <c r="A2687" s="35" t="s">
        <v>908</v>
      </c>
      <c r="B2687" s="49" t="str">
        <f>B2683</f>
        <v>hide</v>
      </c>
      <c r="N2687"/>
      <c r="Q2687" s="33"/>
    </row>
    <row r="2688" spans="1:19" ht="13.8" hidden="1" thickBot="1" x14ac:dyDescent="0.3">
      <c r="A2688" t="s">
        <v>23</v>
      </c>
      <c r="B2688" s="49" t="str">
        <f t="shared" ref="B2688" si="1920">B2687</f>
        <v>hide</v>
      </c>
      <c r="D2688" s="58"/>
      <c r="E2688" s="58"/>
      <c r="F2688" s="52">
        <f>SUM(F2683:F2687)</f>
        <v>0</v>
      </c>
      <c r="G2688" s="52">
        <f>SUM(G2683:G2687)</f>
        <v>0</v>
      </c>
      <c r="H2688" s="52">
        <f>SUM(H2683:H2687)</f>
        <v>0</v>
      </c>
      <c r="I2688" s="52">
        <f>SUM(I2683:I2687)</f>
        <v>0</v>
      </c>
      <c r="J2688" s="52">
        <f>SUM(J2683:J2687)</f>
        <v>0</v>
      </c>
      <c r="K2688" s="52"/>
      <c r="L2688" s="51" t="s">
        <v>4</v>
      </c>
      <c r="M2688" s="58"/>
      <c r="N2688" s="58"/>
      <c r="O2688" s="58"/>
      <c r="P2688" s="58"/>
      <c r="Q2688" s="58"/>
      <c r="R2688" s="58"/>
      <c r="S2688" s="58"/>
    </row>
    <row r="2689" spans="1:19" s="59" customFormat="1" ht="18.75" hidden="1" customHeight="1" thickBot="1" x14ac:dyDescent="0.3">
      <c r="A2689" s="59" t="s">
        <v>23</v>
      </c>
      <c r="B2689" s="60" t="str">
        <f t="shared" ref="B2689:B2690" si="1921">IF(K2689=0,"hide","")</f>
        <v>hide</v>
      </c>
      <c r="D2689" s="61" t="str">
        <f>"36895"</f>
        <v>36895</v>
      </c>
      <c r="E2689" s="62" t="str">
        <f>"3"</f>
        <v>3</v>
      </c>
      <c r="F2689" s="63">
        <v>382.33333333333331</v>
      </c>
      <c r="G2689" s="63">
        <v>211.5</v>
      </c>
      <c r="H2689" s="63">
        <v>0</v>
      </c>
      <c r="I2689" s="63">
        <v>0</v>
      </c>
      <c r="J2689" s="63">
        <v>0</v>
      </c>
      <c r="K2689" s="63">
        <f>AVERAGE(I2689:J2689)</f>
        <v>0</v>
      </c>
      <c r="L2689" s="64" t="str">
        <f>"MARKET PANTRY CORNBREAD"</f>
        <v>MARKET PANTRY CORNBREAD</v>
      </c>
      <c r="M2689" s="65" t="str">
        <f>"108-2 oz. 18 trays of 6"</f>
        <v>108-2 oz. 18 trays of 6</v>
      </c>
      <c r="N2689" s="66">
        <v>108</v>
      </c>
      <c r="O2689" s="67" t="str">
        <f>""</f>
        <v/>
      </c>
      <c r="P2689" s="68" t="e">
        <f>1/O2689</f>
        <v>#VALUE!</v>
      </c>
      <c r="Q2689" s="53">
        <v>1</v>
      </c>
      <c r="R2689" s="69">
        <f t="shared" ref="R2689" si="1922">1/Q2689</f>
        <v>1</v>
      </c>
      <c r="S2689" s="70">
        <f t="shared" ref="S2689" si="1923">R2689*N2689</f>
        <v>108</v>
      </c>
    </row>
    <row r="2690" spans="1:19" ht="15.6" hidden="1" customHeight="1" thickBot="1" x14ac:dyDescent="0.3">
      <c r="A2690" t="s">
        <v>23</v>
      </c>
      <c r="B2690" s="60" t="str">
        <f t="shared" si="1921"/>
        <v>hide</v>
      </c>
      <c r="D2690" s="48" t="str">
        <f>D2689</f>
        <v>36895</v>
      </c>
      <c r="E2690" s="7"/>
      <c r="F2690" s="27">
        <v>0</v>
      </c>
      <c r="G2690" s="27">
        <v>0</v>
      </c>
      <c r="H2690" s="27">
        <v>0</v>
      </c>
      <c r="I2690" s="27">
        <v>0</v>
      </c>
      <c r="J2690" s="27">
        <v>0</v>
      </c>
      <c r="K2690" s="63">
        <f>AVERAGE(I2690:J2690)</f>
        <v>0</v>
      </c>
      <c r="L2690" s="56" t="str">
        <f>"EQP-LAWPACK1"</f>
        <v>EQP-LAWPACK1</v>
      </c>
      <c r="M2690" s="14"/>
      <c r="N2690" s="15"/>
      <c r="O2690" s="12"/>
      <c r="P2690" s="34"/>
      <c r="Q2690" s="37"/>
      <c r="R2690" s="47"/>
      <c r="S2690" s="46"/>
    </row>
    <row r="2691" spans="1:19" ht="15.6" hidden="1" customHeight="1" thickBot="1" x14ac:dyDescent="0.3">
      <c r="A2691" t="s">
        <v>23</v>
      </c>
      <c r="B2691" s="60" t="str">
        <f t="shared" ref="B2691:B2693" si="1924">IF(K2691=0,"hide","")</f>
        <v>hide</v>
      </c>
      <c r="D2691" s="48" t="str">
        <f>D2690</f>
        <v>36895</v>
      </c>
      <c r="E2691" s="7"/>
      <c r="F2691" s="27">
        <v>0</v>
      </c>
      <c r="G2691" s="27">
        <v>0</v>
      </c>
      <c r="H2691" s="27">
        <v>0</v>
      </c>
      <c r="I2691" s="27">
        <v>0</v>
      </c>
      <c r="J2691" s="27">
        <v>0</v>
      </c>
      <c r="K2691" s="63">
        <f>AVERAGE(I2691:J2691)</f>
        <v>0</v>
      </c>
      <c r="L2691" s="56" t="str">
        <f>"EQP-LAWPACK2"</f>
        <v>EQP-LAWPACK2</v>
      </c>
      <c r="M2691" s="14"/>
      <c r="N2691" s="15"/>
      <c r="O2691" s="12"/>
      <c r="P2691" s="34"/>
      <c r="Q2691" s="37"/>
      <c r="R2691" s="47"/>
      <c r="S2691" s="46"/>
    </row>
    <row r="2692" spans="1:19" ht="15.6" hidden="1" customHeight="1" thickBot="1" x14ac:dyDescent="0.3">
      <c r="A2692" t="s">
        <v>23</v>
      </c>
      <c r="B2692" s="60" t="str">
        <f t="shared" si="1924"/>
        <v>hide</v>
      </c>
      <c r="D2692" s="48" t="str">
        <f>D2691</f>
        <v>36895</v>
      </c>
      <c r="E2692" s="7"/>
      <c r="F2692" s="27">
        <v>0</v>
      </c>
      <c r="G2692" s="27">
        <v>0</v>
      </c>
      <c r="H2692" s="27">
        <v>0</v>
      </c>
      <c r="I2692" s="27">
        <v>0</v>
      </c>
      <c r="J2692" s="27">
        <v>0</v>
      </c>
      <c r="K2692" s="63">
        <f>AVERAGE(I2692:J2692)</f>
        <v>0</v>
      </c>
      <c r="L2692" s="56" t="str">
        <f>"SW-COMAS-PACKL"</f>
        <v>SW-COMAS-PACKL</v>
      </c>
      <c r="M2692" s="14"/>
      <c r="N2692" s="15"/>
      <c r="O2692" s="12"/>
      <c r="P2692" s="34"/>
      <c r="Q2692" s="37"/>
      <c r="R2692" s="47"/>
      <c r="S2692" s="46"/>
    </row>
    <row r="2693" spans="1:19" ht="15.6" hidden="1" customHeight="1" thickBot="1" x14ac:dyDescent="0.3">
      <c r="A2693" t="s">
        <v>23</v>
      </c>
      <c r="B2693" s="60" t="str">
        <f t="shared" si="1924"/>
        <v>hide</v>
      </c>
      <c r="D2693" s="48" t="str">
        <f>D2692</f>
        <v>36895</v>
      </c>
      <c r="E2693" s="7"/>
      <c r="F2693" s="27">
        <v>0</v>
      </c>
      <c r="G2693" s="27">
        <v>0</v>
      </c>
      <c r="H2693" s="27">
        <v>0</v>
      </c>
      <c r="I2693" s="27">
        <v>0</v>
      </c>
      <c r="J2693" s="27">
        <v>0</v>
      </c>
      <c r="K2693" s="63">
        <f>AVERAGE(I2693:J2693)</f>
        <v>0</v>
      </c>
      <c r="L2693" s="56" t="str">
        <f>"SW-RISER-PACK"</f>
        <v>SW-RISER-PACK</v>
      </c>
      <c r="M2693" s="14"/>
      <c r="N2693" s="15"/>
      <c r="O2693" s="12"/>
      <c r="P2693" s="34"/>
      <c r="Q2693" s="37"/>
      <c r="R2693" s="47"/>
      <c r="S2693" s="46"/>
    </row>
    <row r="2694" spans="1:19" ht="12" hidden="1" customHeight="1" x14ac:dyDescent="0.3">
      <c r="A2694" s="35" t="s">
        <v>908</v>
      </c>
      <c r="B2694" s="49" t="str">
        <f>B2690</f>
        <v>hide</v>
      </c>
      <c r="N2694"/>
      <c r="Q2694" s="33"/>
    </row>
    <row r="2695" spans="1:19" ht="13.8" hidden="1" thickBot="1" x14ac:dyDescent="0.3">
      <c r="A2695" t="s">
        <v>23</v>
      </c>
      <c r="B2695" s="49" t="str">
        <f t="shared" ref="B2695" si="1925">B2694</f>
        <v>hide</v>
      </c>
      <c r="D2695" s="58"/>
      <c r="E2695" s="58"/>
      <c r="F2695" s="52">
        <f>SUM(F2690:F2694)</f>
        <v>0</v>
      </c>
      <c r="G2695" s="52">
        <f>SUM(G2690:G2694)</f>
        <v>0</v>
      </c>
      <c r="H2695" s="52">
        <f>SUM(H2690:H2694)</f>
        <v>0</v>
      </c>
      <c r="I2695" s="52">
        <f>SUM(I2690:I2694)</f>
        <v>0</v>
      </c>
      <c r="J2695" s="52">
        <f>SUM(J2690:J2694)</f>
        <v>0</v>
      </c>
      <c r="K2695" s="52"/>
      <c r="L2695" s="51" t="s">
        <v>4</v>
      </c>
      <c r="M2695" s="58"/>
      <c r="N2695" s="58"/>
      <c r="O2695" s="58"/>
      <c r="P2695" s="58"/>
      <c r="Q2695" s="58"/>
      <c r="R2695" s="58"/>
      <c r="S2695" s="58"/>
    </row>
    <row r="2696" spans="1:19" s="59" customFormat="1" ht="18.75" hidden="1" customHeight="1" thickBot="1" x14ac:dyDescent="0.3">
      <c r="A2696" s="59" t="s">
        <v>23</v>
      </c>
      <c r="B2696" s="60" t="str">
        <f t="shared" ref="B2696:B2697" si="1926">IF(K2696=0,"hide","")</f>
        <v>hide</v>
      </c>
      <c r="D2696" s="61" t="str">
        <f>"37101"</f>
        <v>37101</v>
      </c>
      <c r="E2696" s="62" t="str">
        <f>"1"</f>
        <v>1</v>
      </c>
      <c r="F2696" s="63">
        <v>0</v>
      </c>
      <c r="G2696" s="63">
        <v>0</v>
      </c>
      <c r="H2696" s="63">
        <v>0</v>
      </c>
      <c r="I2696" s="63">
        <v>0</v>
      </c>
      <c r="J2696" s="63">
        <v>0</v>
      </c>
      <c r="K2696" s="63">
        <f>AVERAGE(I2696:J2696)</f>
        <v>0</v>
      </c>
      <c r="L2696" s="64" t="str">
        <f>"Blueberry Muffin"</f>
        <v>Blueberry Muffin</v>
      </c>
      <c r="M2696" s="65" t="str">
        <f>"32-4.5 oz. 8-4 pack"</f>
        <v>32-4.5 oz. 8-4 pack</v>
      </c>
      <c r="N2696" s="66">
        <v>32</v>
      </c>
      <c r="O2696" s="67" t="str">
        <f>""</f>
        <v/>
      </c>
      <c r="P2696" s="68" t="e">
        <f>1/O2696</f>
        <v>#VALUE!</v>
      </c>
      <c r="Q2696" s="53">
        <v>1</v>
      </c>
      <c r="R2696" s="69">
        <f t="shared" ref="R2696" si="1927">1/Q2696</f>
        <v>1</v>
      </c>
      <c r="S2696" s="70">
        <f t="shared" ref="S2696" si="1928">R2696*N2696</f>
        <v>32</v>
      </c>
    </row>
    <row r="2697" spans="1:19" ht="15.6" hidden="1" customHeight="1" thickBot="1" x14ac:dyDescent="0.3">
      <c r="A2697" t="s">
        <v>23</v>
      </c>
      <c r="B2697" s="60" t="str">
        <f t="shared" si="1926"/>
        <v>hide</v>
      </c>
      <c r="D2697" s="48" t="str">
        <f>D2696</f>
        <v>37101</v>
      </c>
      <c r="E2697" s="7"/>
      <c r="F2697" s="27">
        <v>0</v>
      </c>
      <c r="G2697" s="27">
        <v>0</v>
      </c>
      <c r="H2697" s="27">
        <v>0</v>
      </c>
      <c r="I2697" s="27">
        <v>0</v>
      </c>
      <c r="J2697" s="27">
        <v>0</v>
      </c>
      <c r="K2697" s="63">
        <f>AVERAGE(I2697:J2697)</f>
        <v>0</v>
      </c>
      <c r="L2697" s="56" t="str">
        <f>"EQP-LAWPACK1"</f>
        <v>EQP-LAWPACK1</v>
      </c>
      <c r="M2697" s="14"/>
      <c r="N2697" s="15"/>
      <c r="O2697" s="12"/>
      <c r="P2697" s="34"/>
      <c r="Q2697" s="37"/>
      <c r="R2697" s="47"/>
      <c r="S2697" s="46"/>
    </row>
    <row r="2698" spans="1:19" ht="15.6" hidden="1" customHeight="1" thickBot="1" x14ac:dyDescent="0.3">
      <c r="A2698" t="s">
        <v>23</v>
      </c>
      <c r="B2698" s="60" t="str">
        <f t="shared" ref="B2698:B2700" si="1929">IF(K2698=0,"hide","")</f>
        <v>hide</v>
      </c>
      <c r="D2698" s="48" t="str">
        <f>D2697</f>
        <v>37101</v>
      </c>
      <c r="E2698" s="7"/>
      <c r="F2698" s="27">
        <v>0</v>
      </c>
      <c r="G2698" s="27">
        <v>0</v>
      </c>
      <c r="H2698" s="27">
        <v>0</v>
      </c>
      <c r="I2698" s="27">
        <v>0</v>
      </c>
      <c r="J2698" s="27">
        <v>0</v>
      </c>
      <c r="K2698" s="63">
        <f>AVERAGE(I2698:J2698)</f>
        <v>0</v>
      </c>
      <c r="L2698" s="56" t="str">
        <f>"EQP-LAWPACK2"</f>
        <v>EQP-LAWPACK2</v>
      </c>
      <c r="M2698" s="14"/>
      <c r="N2698" s="15"/>
      <c r="O2698" s="12"/>
      <c r="P2698" s="34"/>
      <c r="Q2698" s="37"/>
      <c r="R2698" s="47"/>
      <c r="S2698" s="46"/>
    </row>
    <row r="2699" spans="1:19" ht="15.6" hidden="1" customHeight="1" thickBot="1" x14ac:dyDescent="0.3">
      <c r="A2699" t="s">
        <v>23</v>
      </c>
      <c r="B2699" s="60" t="str">
        <f t="shared" si="1929"/>
        <v>hide</v>
      </c>
      <c r="D2699" s="48" t="str">
        <f>D2698</f>
        <v>37101</v>
      </c>
      <c r="E2699" s="7"/>
      <c r="F2699" s="27">
        <v>0</v>
      </c>
      <c r="G2699" s="27">
        <v>0</v>
      </c>
      <c r="H2699" s="27">
        <v>0</v>
      </c>
      <c r="I2699" s="27">
        <v>0</v>
      </c>
      <c r="J2699" s="27">
        <v>0</v>
      </c>
      <c r="K2699" s="63">
        <f>AVERAGE(I2699:J2699)</f>
        <v>0</v>
      </c>
      <c r="L2699" s="56" t="str">
        <f>"SW-COMAS-PACKL"</f>
        <v>SW-COMAS-PACKL</v>
      </c>
      <c r="M2699" s="14"/>
      <c r="N2699" s="15"/>
      <c r="O2699" s="12"/>
      <c r="P2699" s="34"/>
      <c r="Q2699" s="37"/>
      <c r="R2699" s="47"/>
      <c r="S2699" s="46"/>
    </row>
    <row r="2700" spans="1:19" ht="15.6" hidden="1" customHeight="1" thickBot="1" x14ac:dyDescent="0.3">
      <c r="A2700" t="s">
        <v>23</v>
      </c>
      <c r="B2700" s="60" t="str">
        <f t="shared" si="1929"/>
        <v>hide</v>
      </c>
      <c r="D2700" s="48" t="str">
        <f>D2699</f>
        <v>37101</v>
      </c>
      <c r="E2700" s="7"/>
      <c r="F2700" s="27">
        <v>0</v>
      </c>
      <c r="G2700" s="27">
        <v>0</v>
      </c>
      <c r="H2700" s="27">
        <v>0</v>
      </c>
      <c r="I2700" s="27">
        <v>0</v>
      </c>
      <c r="J2700" s="27">
        <v>0</v>
      </c>
      <c r="K2700" s="63">
        <f>AVERAGE(I2700:J2700)</f>
        <v>0</v>
      </c>
      <c r="L2700" s="56" t="str">
        <f>"SW-RISER-PACK"</f>
        <v>SW-RISER-PACK</v>
      </c>
      <c r="M2700" s="14"/>
      <c r="N2700" s="15"/>
      <c r="O2700" s="12"/>
      <c r="P2700" s="34"/>
      <c r="Q2700" s="37"/>
      <c r="R2700" s="47"/>
      <c r="S2700" s="46"/>
    </row>
    <row r="2701" spans="1:19" ht="12" hidden="1" customHeight="1" x14ac:dyDescent="0.3">
      <c r="A2701" s="35" t="s">
        <v>908</v>
      </c>
      <c r="B2701" s="49" t="str">
        <f>B2697</f>
        <v>hide</v>
      </c>
      <c r="N2701"/>
      <c r="Q2701" s="33"/>
    </row>
    <row r="2702" spans="1:19" ht="13.8" hidden="1" thickBot="1" x14ac:dyDescent="0.3">
      <c r="A2702" t="s">
        <v>23</v>
      </c>
      <c r="B2702" s="49" t="str">
        <f t="shared" ref="B2702" si="1930">B2701</f>
        <v>hide</v>
      </c>
      <c r="D2702" s="58"/>
      <c r="E2702" s="58"/>
      <c r="F2702" s="52">
        <f>SUM(F2697:F2701)</f>
        <v>0</v>
      </c>
      <c r="G2702" s="52">
        <f>SUM(G2697:G2701)</f>
        <v>0</v>
      </c>
      <c r="H2702" s="52">
        <f>SUM(H2697:H2701)</f>
        <v>0</v>
      </c>
      <c r="I2702" s="52">
        <f>SUM(I2697:I2701)</f>
        <v>0</v>
      </c>
      <c r="J2702" s="52">
        <f>SUM(J2697:J2701)</f>
        <v>0</v>
      </c>
      <c r="K2702" s="52"/>
      <c r="L2702" s="51" t="s">
        <v>4</v>
      </c>
      <c r="M2702" s="58"/>
      <c r="N2702" s="58"/>
      <c r="O2702" s="58"/>
      <c r="P2702" s="58"/>
      <c r="Q2702" s="58"/>
      <c r="R2702" s="58"/>
      <c r="S2702" s="58"/>
    </row>
    <row r="2703" spans="1:19" s="59" customFormat="1" ht="18.75" hidden="1" customHeight="1" thickBot="1" x14ac:dyDescent="0.3">
      <c r="A2703" s="59" t="s">
        <v>23</v>
      </c>
      <c r="B2703" s="60" t="str">
        <f t="shared" ref="B2703:B2704" si="1931">IF(K2703=0,"hide","")</f>
        <v>hide</v>
      </c>
      <c r="D2703" s="61" t="str">
        <f>"37105"</f>
        <v>37105</v>
      </c>
      <c r="E2703" s="62" t="str">
        <f>"1"</f>
        <v>1</v>
      </c>
      <c r="F2703" s="63">
        <v>0</v>
      </c>
      <c r="G2703" s="63">
        <v>0</v>
      </c>
      <c r="H2703" s="63">
        <v>0</v>
      </c>
      <c r="I2703" s="63">
        <v>0</v>
      </c>
      <c r="J2703" s="63">
        <v>0</v>
      </c>
      <c r="K2703" s="63">
        <f>AVERAGE(I2703:J2703)</f>
        <v>0</v>
      </c>
      <c r="L2703" s="64" t="str">
        <f>"Corn Muffin"</f>
        <v>Corn Muffin</v>
      </c>
      <c r="M2703" s="65" t="str">
        <f>"32-4.5 oz. 8-4 pack"</f>
        <v>32-4.5 oz. 8-4 pack</v>
      </c>
      <c r="N2703" s="66">
        <v>32</v>
      </c>
      <c r="O2703" s="67" t="str">
        <f>""</f>
        <v/>
      </c>
      <c r="P2703" s="68" t="e">
        <f>1/O2703</f>
        <v>#VALUE!</v>
      </c>
      <c r="Q2703" s="53">
        <v>1</v>
      </c>
      <c r="R2703" s="69">
        <f t="shared" ref="R2703" si="1932">1/Q2703</f>
        <v>1</v>
      </c>
      <c r="S2703" s="70">
        <f t="shared" ref="S2703" si="1933">R2703*N2703</f>
        <v>32</v>
      </c>
    </row>
    <row r="2704" spans="1:19" ht="15.6" hidden="1" customHeight="1" thickBot="1" x14ac:dyDescent="0.3">
      <c r="A2704" t="s">
        <v>23</v>
      </c>
      <c r="B2704" s="60" t="str">
        <f t="shared" si="1931"/>
        <v>hide</v>
      </c>
      <c r="D2704" s="48" t="str">
        <f>D2703</f>
        <v>37105</v>
      </c>
      <c r="E2704" s="7"/>
      <c r="F2704" s="27">
        <v>0</v>
      </c>
      <c r="G2704" s="27">
        <v>0</v>
      </c>
      <c r="H2704" s="27">
        <v>0</v>
      </c>
      <c r="I2704" s="27">
        <v>0</v>
      </c>
      <c r="J2704" s="27">
        <v>0</v>
      </c>
      <c r="K2704" s="63">
        <f>AVERAGE(I2704:J2704)</f>
        <v>0</v>
      </c>
      <c r="L2704" s="56" t="str">
        <f>"EQP-LAWPACK1"</f>
        <v>EQP-LAWPACK1</v>
      </c>
      <c r="M2704" s="14"/>
      <c r="N2704" s="15"/>
      <c r="O2704" s="12"/>
      <c r="P2704" s="34"/>
      <c r="Q2704" s="37"/>
      <c r="R2704" s="47"/>
      <c r="S2704" s="46"/>
    </row>
    <row r="2705" spans="1:19" ht="15.6" hidden="1" customHeight="1" thickBot="1" x14ac:dyDescent="0.3">
      <c r="A2705" t="s">
        <v>23</v>
      </c>
      <c r="B2705" s="60" t="str">
        <f t="shared" ref="B2705:B2707" si="1934">IF(K2705=0,"hide","")</f>
        <v>hide</v>
      </c>
      <c r="D2705" s="48" t="str">
        <f>D2704</f>
        <v>37105</v>
      </c>
      <c r="E2705" s="7"/>
      <c r="F2705" s="27">
        <v>0</v>
      </c>
      <c r="G2705" s="27">
        <v>0</v>
      </c>
      <c r="H2705" s="27">
        <v>0</v>
      </c>
      <c r="I2705" s="27">
        <v>0</v>
      </c>
      <c r="J2705" s="27">
        <v>0</v>
      </c>
      <c r="K2705" s="63">
        <f>AVERAGE(I2705:J2705)</f>
        <v>0</v>
      </c>
      <c r="L2705" s="56" t="str">
        <f>"EQP-LAWPACK2"</f>
        <v>EQP-LAWPACK2</v>
      </c>
      <c r="M2705" s="14"/>
      <c r="N2705" s="15"/>
      <c r="O2705" s="12"/>
      <c r="P2705" s="34"/>
      <c r="Q2705" s="37"/>
      <c r="R2705" s="47"/>
      <c r="S2705" s="46"/>
    </row>
    <row r="2706" spans="1:19" ht="15.6" hidden="1" customHeight="1" thickBot="1" x14ac:dyDescent="0.3">
      <c r="A2706" t="s">
        <v>23</v>
      </c>
      <c r="B2706" s="60" t="str">
        <f t="shared" si="1934"/>
        <v>hide</v>
      </c>
      <c r="D2706" s="48" t="str">
        <f>D2705</f>
        <v>37105</v>
      </c>
      <c r="E2706" s="7"/>
      <c r="F2706" s="27">
        <v>0</v>
      </c>
      <c r="G2706" s="27">
        <v>0</v>
      </c>
      <c r="H2706" s="27">
        <v>0</v>
      </c>
      <c r="I2706" s="27">
        <v>0</v>
      </c>
      <c r="J2706" s="27">
        <v>0</v>
      </c>
      <c r="K2706" s="63">
        <f>AVERAGE(I2706:J2706)</f>
        <v>0</v>
      </c>
      <c r="L2706" s="56" t="str">
        <f>"SW-COMAS-PACKL"</f>
        <v>SW-COMAS-PACKL</v>
      </c>
      <c r="M2706" s="14"/>
      <c r="N2706" s="15"/>
      <c r="O2706" s="12"/>
      <c r="P2706" s="34"/>
      <c r="Q2706" s="37"/>
      <c r="R2706" s="47"/>
      <c r="S2706" s="46"/>
    </row>
    <row r="2707" spans="1:19" ht="15.6" hidden="1" customHeight="1" thickBot="1" x14ac:dyDescent="0.3">
      <c r="A2707" t="s">
        <v>23</v>
      </c>
      <c r="B2707" s="60" t="str">
        <f t="shared" si="1934"/>
        <v>hide</v>
      </c>
      <c r="D2707" s="48" t="str">
        <f>D2706</f>
        <v>37105</v>
      </c>
      <c r="E2707" s="7"/>
      <c r="F2707" s="27">
        <v>0</v>
      </c>
      <c r="G2707" s="27">
        <v>0</v>
      </c>
      <c r="H2707" s="27">
        <v>0</v>
      </c>
      <c r="I2707" s="27">
        <v>0</v>
      </c>
      <c r="J2707" s="27">
        <v>0</v>
      </c>
      <c r="K2707" s="63">
        <f>AVERAGE(I2707:J2707)</f>
        <v>0</v>
      </c>
      <c r="L2707" s="56" t="str">
        <f>"SW-RISER-PACK"</f>
        <v>SW-RISER-PACK</v>
      </c>
      <c r="M2707" s="14"/>
      <c r="N2707" s="15"/>
      <c r="O2707" s="12"/>
      <c r="P2707" s="34"/>
      <c r="Q2707" s="37"/>
      <c r="R2707" s="47"/>
      <c r="S2707" s="46"/>
    </row>
    <row r="2708" spans="1:19" ht="12" hidden="1" customHeight="1" x14ac:dyDescent="0.3">
      <c r="A2708" s="35" t="s">
        <v>908</v>
      </c>
      <c r="B2708" s="49" t="str">
        <f>B2704</f>
        <v>hide</v>
      </c>
      <c r="N2708"/>
      <c r="Q2708" s="33"/>
    </row>
    <row r="2709" spans="1:19" ht="13.8" hidden="1" thickBot="1" x14ac:dyDescent="0.3">
      <c r="A2709" t="s">
        <v>23</v>
      </c>
      <c r="B2709" s="49" t="str">
        <f t="shared" ref="B2709" si="1935">B2708</f>
        <v>hide</v>
      </c>
      <c r="D2709" s="58"/>
      <c r="E2709" s="58"/>
      <c r="F2709" s="52">
        <f>SUM(F2704:F2708)</f>
        <v>0</v>
      </c>
      <c r="G2709" s="52">
        <f>SUM(G2704:G2708)</f>
        <v>0</v>
      </c>
      <c r="H2709" s="52">
        <f>SUM(H2704:H2708)</f>
        <v>0</v>
      </c>
      <c r="I2709" s="52">
        <f>SUM(I2704:I2708)</f>
        <v>0</v>
      </c>
      <c r="J2709" s="52">
        <f>SUM(J2704:J2708)</f>
        <v>0</v>
      </c>
      <c r="K2709" s="52"/>
      <c r="L2709" s="51" t="s">
        <v>4</v>
      </c>
      <c r="M2709" s="58"/>
      <c r="N2709" s="58"/>
      <c r="O2709" s="58"/>
      <c r="P2709" s="58"/>
      <c r="Q2709" s="58"/>
      <c r="R2709" s="58"/>
      <c r="S2709" s="58"/>
    </row>
    <row r="2710" spans="1:19" s="59" customFormat="1" ht="18.75" hidden="1" customHeight="1" thickBot="1" x14ac:dyDescent="0.3">
      <c r="A2710" s="59" t="s">
        <v>23</v>
      </c>
      <c r="B2710" s="60" t="str">
        <f t="shared" ref="B2710:B2711" si="1936">IF(K2710=0,"hide","")</f>
        <v>hide</v>
      </c>
      <c r="D2710" s="61" t="str">
        <f>"37136"</f>
        <v>37136</v>
      </c>
      <c r="E2710" s="62" t="str">
        <f>"1"</f>
        <v>1</v>
      </c>
      <c r="F2710" s="63">
        <v>0</v>
      </c>
      <c r="G2710" s="63">
        <v>0</v>
      </c>
      <c r="H2710" s="63">
        <v>0</v>
      </c>
      <c r="I2710" s="63">
        <v>0</v>
      </c>
      <c r="J2710" s="63">
        <v>0</v>
      </c>
      <c r="K2710" s="63">
        <f>AVERAGE(I2710:J2710)</f>
        <v>0</v>
      </c>
      <c r="L2710" s="64" t="str">
        <f>"Coffee Cake Muffin"</f>
        <v>Coffee Cake Muffin</v>
      </c>
      <c r="M2710" s="65" t="str">
        <f>"32-4.5 oz. 8-4 pack"</f>
        <v>32-4.5 oz. 8-4 pack</v>
      </c>
      <c r="N2710" s="66">
        <v>32</v>
      </c>
      <c r="O2710" s="67" t="str">
        <f>""</f>
        <v/>
      </c>
      <c r="P2710" s="68" t="e">
        <f>1/O2710</f>
        <v>#VALUE!</v>
      </c>
      <c r="Q2710" s="53">
        <v>1</v>
      </c>
      <c r="R2710" s="69">
        <f t="shared" ref="R2710" si="1937">1/Q2710</f>
        <v>1</v>
      </c>
      <c r="S2710" s="70">
        <f t="shared" ref="S2710" si="1938">R2710*N2710</f>
        <v>32</v>
      </c>
    </row>
    <row r="2711" spans="1:19" ht="15.6" hidden="1" customHeight="1" thickBot="1" x14ac:dyDescent="0.3">
      <c r="A2711" t="s">
        <v>23</v>
      </c>
      <c r="B2711" s="60" t="str">
        <f t="shared" si="1936"/>
        <v>hide</v>
      </c>
      <c r="D2711" s="48" t="str">
        <f>D2710</f>
        <v>37136</v>
      </c>
      <c r="E2711" s="7"/>
      <c r="F2711" s="27">
        <v>0</v>
      </c>
      <c r="G2711" s="27">
        <v>0</v>
      </c>
      <c r="H2711" s="27">
        <v>0</v>
      </c>
      <c r="I2711" s="27">
        <v>0</v>
      </c>
      <c r="J2711" s="27">
        <v>0</v>
      </c>
      <c r="K2711" s="63">
        <f>AVERAGE(I2711:J2711)</f>
        <v>0</v>
      </c>
      <c r="L2711" s="56" t="str">
        <f>"EQP-LAWPACK1"</f>
        <v>EQP-LAWPACK1</v>
      </c>
      <c r="M2711" s="14"/>
      <c r="N2711" s="15"/>
      <c r="O2711" s="12"/>
      <c r="P2711" s="34"/>
      <c r="Q2711" s="37"/>
      <c r="R2711" s="47"/>
      <c r="S2711" s="46"/>
    </row>
    <row r="2712" spans="1:19" ht="15.6" hidden="1" customHeight="1" thickBot="1" x14ac:dyDescent="0.3">
      <c r="A2712" t="s">
        <v>23</v>
      </c>
      <c r="B2712" s="60" t="str">
        <f t="shared" ref="B2712:B2714" si="1939">IF(K2712=0,"hide","")</f>
        <v>hide</v>
      </c>
      <c r="D2712" s="48" t="str">
        <f>D2711</f>
        <v>37136</v>
      </c>
      <c r="E2712" s="7"/>
      <c r="F2712" s="27">
        <v>0</v>
      </c>
      <c r="G2712" s="27">
        <v>0</v>
      </c>
      <c r="H2712" s="27">
        <v>0</v>
      </c>
      <c r="I2712" s="27">
        <v>0</v>
      </c>
      <c r="J2712" s="27">
        <v>0</v>
      </c>
      <c r="K2712" s="63">
        <f>AVERAGE(I2712:J2712)</f>
        <v>0</v>
      </c>
      <c r="L2712" s="56" t="str">
        <f>"EQP-LAWPACK2"</f>
        <v>EQP-LAWPACK2</v>
      </c>
      <c r="M2712" s="14"/>
      <c r="N2712" s="15"/>
      <c r="O2712" s="12"/>
      <c r="P2712" s="34"/>
      <c r="Q2712" s="37"/>
      <c r="R2712" s="47"/>
      <c r="S2712" s="46"/>
    </row>
    <row r="2713" spans="1:19" ht="15.6" hidden="1" customHeight="1" thickBot="1" x14ac:dyDescent="0.3">
      <c r="A2713" t="s">
        <v>23</v>
      </c>
      <c r="B2713" s="60" t="str">
        <f t="shared" si="1939"/>
        <v>hide</v>
      </c>
      <c r="D2713" s="48" t="str">
        <f>D2712</f>
        <v>37136</v>
      </c>
      <c r="E2713" s="7"/>
      <c r="F2713" s="27">
        <v>0</v>
      </c>
      <c r="G2713" s="27">
        <v>0</v>
      </c>
      <c r="H2713" s="27">
        <v>0</v>
      </c>
      <c r="I2713" s="27">
        <v>0</v>
      </c>
      <c r="J2713" s="27">
        <v>0</v>
      </c>
      <c r="K2713" s="63">
        <f>AVERAGE(I2713:J2713)</f>
        <v>0</v>
      </c>
      <c r="L2713" s="56" t="str">
        <f>"SW-COMAS-PACKL"</f>
        <v>SW-COMAS-PACKL</v>
      </c>
      <c r="M2713" s="14"/>
      <c r="N2713" s="15"/>
      <c r="O2713" s="12"/>
      <c r="P2713" s="34"/>
      <c r="Q2713" s="37"/>
      <c r="R2713" s="47"/>
      <c r="S2713" s="46"/>
    </row>
    <row r="2714" spans="1:19" ht="15.6" hidden="1" customHeight="1" thickBot="1" x14ac:dyDescent="0.3">
      <c r="A2714" t="s">
        <v>23</v>
      </c>
      <c r="B2714" s="60" t="str">
        <f t="shared" si="1939"/>
        <v>hide</v>
      </c>
      <c r="D2714" s="48" t="str">
        <f>D2713</f>
        <v>37136</v>
      </c>
      <c r="E2714" s="7"/>
      <c r="F2714" s="27">
        <v>0</v>
      </c>
      <c r="G2714" s="27">
        <v>0</v>
      </c>
      <c r="H2714" s="27">
        <v>0</v>
      </c>
      <c r="I2714" s="27">
        <v>0</v>
      </c>
      <c r="J2714" s="27">
        <v>0</v>
      </c>
      <c r="K2714" s="63">
        <f>AVERAGE(I2714:J2714)</f>
        <v>0</v>
      </c>
      <c r="L2714" s="56" t="str">
        <f>"SW-RISER-PACK"</f>
        <v>SW-RISER-PACK</v>
      </c>
      <c r="M2714" s="14"/>
      <c r="N2714" s="15"/>
      <c r="O2714" s="12"/>
      <c r="P2714" s="34"/>
      <c r="Q2714" s="37"/>
      <c r="R2714" s="47"/>
      <c r="S2714" s="46"/>
    </row>
    <row r="2715" spans="1:19" ht="12" hidden="1" customHeight="1" x14ac:dyDescent="0.3">
      <c r="A2715" s="35" t="s">
        <v>908</v>
      </c>
      <c r="B2715" s="49" t="str">
        <f>B2711</f>
        <v>hide</v>
      </c>
      <c r="N2715"/>
      <c r="Q2715" s="33"/>
    </row>
    <row r="2716" spans="1:19" ht="13.8" hidden="1" thickBot="1" x14ac:dyDescent="0.3">
      <c r="A2716" t="s">
        <v>23</v>
      </c>
      <c r="B2716" s="49" t="str">
        <f t="shared" ref="B2716" si="1940">B2715</f>
        <v>hide</v>
      </c>
      <c r="D2716" s="58"/>
      <c r="E2716" s="58"/>
      <c r="F2716" s="52">
        <f>SUM(F2711:F2715)</f>
        <v>0</v>
      </c>
      <c r="G2716" s="52">
        <f>SUM(G2711:G2715)</f>
        <v>0</v>
      </c>
      <c r="H2716" s="52">
        <f>SUM(H2711:H2715)</f>
        <v>0</v>
      </c>
      <c r="I2716" s="52">
        <f>SUM(I2711:I2715)</f>
        <v>0</v>
      </c>
      <c r="J2716" s="52">
        <f>SUM(J2711:J2715)</f>
        <v>0</v>
      </c>
      <c r="K2716" s="52"/>
      <c r="L2716" s="51" t="s">
        <v>4</v>
      </c>
      <c r="M2716" s="58"/>
      <c r="N2716" s="58"/>
      <c r="O2716" s="58"/>
      <c r="P2716" s="58"/>
      <c r="Q2716" s="58"/>
      <c r="R2716" s="58"/>
      <c r="S2716" s="58"/>
    </row>
    <row r="2717" spans="1:19" s="59" customFormat="1" ht="18.75" hidden="1" customHeight="1" thickBot="1" x14ac:dyDescent="0.3">
      <c r="A2717" s="59" t="s">
        <v>23</v>
      </c>
      <c r="B2717" s="60" t="str">
        <f t="shared" ref="B2717:B2718" si="1941">IF(K2717=0,"hide","")</f>
        <v>hide</v>
      </c>
      <c r="D2717" s="61" t="str">
        <f>"37140"</f>
        <v>37140</v>
      </c>
      <c r="E2717" s="62" t="str">
        <f>"1"</f>
        <v>1</v>
      </c>
      <c r="F2717" s="63">
        <v>0</v>
      </c>
      <c r="G2717" s="63">
        <v>0</v>
      </c>
      <c r="H2717" s="63">
        <v>0</v>
      </c>
      <c r="I2717" s="63">
        <v>0</v>
      </c>
      <c r="J2717" s="63">
        <v>0</v>
      </c>
      <c r="K2717" s="63">
        <f>AVERAGE(I2717:J2717)</f>
        <v>0</v>
      </c>
      <c r="L2717" s="64" t="str">
        <f>"Choc Chip Chunk Muffin"</f>
        <v>Choc Chip Chunk Muffin</v>
      </c>
      <c r="M2717" s="65" t="str">
        <f>"32-4.5 oz. 8-4 pack"</f>
        <v>32-4.5 oz. 8-4 pack</v>
      </c>
      <c r="N2717" s="66">
        <v>32</v>
      </c>
      <c r="O2717" s="67" t="str">
        <f>""</f>
        <v/>
      </c>
      <c r="P2717" s="68" t="e">
        <f>1/O2717</f>
        <v>#VALUE!</v>
      </c>
      <c r="Q2717" s="53">
        <v>1</v>
      </c>
      <c r="R2717" s="69">
        <f t="shared" ref="R2717" si="1942">1/Q2717</f>
        <v>1</v>
      </c>
      <c r="S2717" s="70">
        <f t="shared" ref="S2717" si="1943">R2717*N2717</f>
        <v>32</v>
      </c>
    </row>
    <row r="2718" spans="1:19" ht="15.6" hidden="1" customHeight="1" thickBot="1" x14ac:dyDescent="0.3">
      <c r="A2718" t="s">
        <v>23</v>
      </c>
      <c r="B2718" s="60" t="str">
        <f t="shared" si="1941"/>
        <v>hide</v>
      </c>
      <c r="D2718" s="48" t="str">
        <f>D2717</f>
        <v>37140</v>
      </c>
      <c r="E2718" s="7"/>
      <c r="F2718" s="27">
        <v>0</v>
      </c>
      <c r="G2718" s="27">
        <v>0</v>
      </c>
      <c r="H2718" s="27">
        <v>0</v>
      </c>
      <c r="I2718" s="27">
        <v>0</v>
      </c>
      <c r="J2718" s="27">
        <v>0</v>
      </c>
      <c r="K2718" s="63">
        <f>AVERAGE(I2718:J2718)</f>
        <v>0</v>
      </c>
      <c r="L2718" s="56" t="str">
        <f>"EQP-LAWPACK1"</f>
        <v>EQP-LAWPACK1</v>
      </c>
      <c r="M2718" s="14"/>
      <c r="N2718" s="15"/>
      <c r="O2718" s="12"/>
      <c r="P2718" s="34"/>
      <c r="Q2718" s="37"/>
      <c r="R2718" s="47"/>
      <c r="S2718" s="46"/>
    </row>
    <row r="2719" spans="1:19" ht="15.6" hidden="1" customHeight="1" thickBot="1" x14ac:dyDescent="0.3">
      <c r="A2719" t="s">
        <v>23</v>
      </c>
      <c r="B2719" s="60" t="str">
        <f t="shared" ref="B2719:B2721" si="1944">IF(K2719=0,"hide","")</f>
        <v>hide</v>
      </c>
      <c r="D2719" s="48" t="str">
        <f>D2718</f>
        <v>37140</v>
      </c>
      <c r="E2719" s="7"/>
      <c r="F2719" s="27">
        <v>0</v>
      </c>
      <c r="G2719" s="27">
        <v>0</v>
      </c>
      <c r="H2719" s="27">
        <v>0</v>
      </c>
      <c r="I2719" s="27">
        <v>0</v>
      </c>
      <c r="J2719" s="27">
        <v>0</v>
      </c>
      <c r="K2719" s="63">
        <f>AVERAGE(I2719:J2719)</f>
        <v>0</v>
      </c>
      <c r="L2719" s="56" t="str">
        <f>"EQP-LAWPACK2"</f>
        <v>EQP-LAWPACK2</v>
      </c>
      <c r="M2719" s="14"/>
      <c r="N2719" s="15"/>
      <c r="O2719" s="12"/>
      <c r="P2719" s="34"/>
      <c r="Q2719" s="37"/>
      <c r="R2719" s="47"/>
      <c r="S2719" s="46"/>
    </row>
    <row r="2720" spans="1:19" ht="15.6" hidden="1" customHeight="1" thickBot="1" x14ac:dyDescent="0.3">
      <c r="A2720" t="s">
        <v>23</v>
      </c>
      <c r="B2720" s="60" t="str">
        <f t="shared" si="1944"/>
        <v>hide</v>
      </c>
      <c r="D2720" s="48" t="str">
        <f>D2719</f>
        <v>37140</v>
      </c>
      <c r="E2720" s="7"/>
      <c r="F2720" s="27">
        <v>0</v>
      </c>
      <c r="G2720" s="27">
        <v>0</v>
      </c>
      <c r="H2720" s="27">
        <v>0</v>
      </c>
      <c r="I2720" s="27">
        <v>0</v>
      </c>
      <c r="J2720" s="27">
        <v>0</v>
      </c>
      <c r="K2720" s="63">
        <f>AVERAGE(I2720:J2720)</f>
        <v>0</v>
      </c>
      <c r="L2720" s="56" t="str">
        <f>"SW-COMAS-PACKL"</f>
        <v>SW-COMAS-PACKL</v>
      </c>
      <c r="M2720" s="14"/>
      <c r="N2720" s="15"/>
      <c r="O2720" s="12"/>
      <c r="P2720" s="34"/>
      <c r="Q2720" s="37"/>
      <c r="R2720" s="47"/>
      <c r="S2720" s="46"/>
    </row>
    <row r="2721" spans="1:19" ht="15.6" hidden="1" customHeight="1" thickBot="1" x14ac:dyDescent="0.3">
      <c r="A2721" t="s">
        <v>23</v>
      </c>
      <c r="B2721" s="60" t="str">
        <f t="shared" si="1944"/>
        <v>hide</v>
      </c>
      <c r="D2721" s="48" t="str">
        <f>D2720</f>
        <v>37140</v>
      </c>
      <c r="E2721" s="7"/>
      <c r="F2721" s="27">
        <v>0</v>
      </c>
      <c r="G2721" s="27">
        <v>0</v>
      </c>
      <c r="H2721" s="27">
        <v>0</v>
      </c>
      <c r="I2721" s="27">
        <v>0</v>
      </c>
      <c r="J2721" s="27">
        <v>0</v>
      </c>
      <c r="K2721" s="63">
        <f>AVERAGE(I2721:J2721)</f>
        <v>0</v>
      </c>
      <c r="L2721" s="56" t="str">
        <f>"SW-RISER-PACK"</f>
        <v>SW-RISER-PACK</v>
      </c>
      <c r="M2721" s="14"/>
      <c r="N2721" s="15"/>
      <c r="O2721" s="12"/>
      <c r="P2721" s="34"/>
      <c r="Q2721" s="37"/>
      <c r="R2721" s="47"/>
      <c r="S2721" s="46"/>
    </row>
    <row r="2722" spans="1:19" ht="12" hidden="1" customHeight="1" x14ac:dyDescent="0.3">
      <c r="A2722" s="35" t="s">
        <v>908</v>
      </c>
      <c r="B2722" s="49" t="str">
        <f>B2718</f>
        <v>hide</v>
      </c>
      <c r="N2722"/>
      <c r="Q2722" s="33"/>
    </row>
    <row r="2723" spans="1:19" ht="13.8" hidden="1" thickBot="1" x14ac:dyDescent="0.3">
      <c r="A2723" t="s">
        <v>23</v>
      </c>
      <c r="B2723" s="49" t="str">
        <f t="shared" ref="B2723" si="1945">B2722</f>
        <v>hide</v>
      </c>
      <c r="D2723" s="58"/>
      <c r="E2723" s="58"/>
      <c r="F2723" s="52">
        <f>SUM(F2718:F2722)</f>
        <v>0</v>
      </c>
      <c r="G2723" s="52">
        <f>SUM(G2718:G2722)</f>
        <v>0</v>
      </c>
      <c r="H2723" s="52">
        <f>SUM(H2718:H2722)</f>
        <v>0</v>
      </c>
      <c r="I2723" s="52">
        <f>SUM(I2718:I2722)</f>
        <v>0</v>
      </c>
      <c r="J2723" s="52">
        <f>SUM(J2718:J2722)</f>
        <v>0</v>
      </c>
      <c r="K2723" s="52"/>
      <c r="L2723" s="51" t="s">
        <v>4</v>
      </c>
      <c r="M2723" s="58"/>
      <c r="N2723" s="58"/>
      <c r="O2723" s="58"/>
      <c r="P2723" s="58"/>
      <c r="Q2723" s="58"/>
      <c r="R2723" s="58"/>
      <c r="S2723" s="58"/>
    </row>
    <row r="2724" spans="1:19" s="59" customFormat="1" ht="18.75" hidden="1" customHeight="1" thickBot="1" x14ac:dyDescent="0.3">
      <c r="A2724" s="59" t="s">
        <v>23</v>
      </c>
      <c r="B2724" s="60" t="str">
        <f t="shared" ref="B2724:B2725" si="1946">IF(K2724=0,"hide","")</f>
        <v>hide</v>
      </c>
      <c r="D2724" s="61" t="str">
        <f>"37148"</f>
        <v>37148</v>
      </c>
      <c r="E2724" s="62" t="str">
        <f>"1"</f>
        <v>1</v>
      </c>
      <c r="F2724" s="63">
        <v>0</v>
      </c>
      <c r="G2724" s="63">
        <v>0</v>
      </c>
      <c r="H2724" s="63">
        <v>0</v>
      </c>
      <c r="I2724" s="63">
        <v>0</v>
      </c>
      <c r="J2724" s="63">
        <v>0</v>
      </c>
      <c r="K2724" s="63">
        <f>AVERAGE(I2724:J2724)</f>
        <v>0</v>
      </c>
      <c r="L2724" s="64" t="str">
        <f>"Pumpkin Spice Muffin"</f>
        <v>Pumpkin Spice Muffin</v>
      </c>
      <c r="M2724" s="65" t="str">
        <f>"32-4.5 oz. 8-4 pack"</f>
        <v>32-4.5 oz. 8-4 pack</v>
      </c>
      <c r="N2724" s="66">
        <v>32</v>
      </c>
      <c r="O2724" s="67" t="str">
        <f>""</f>
        <v/>
      </c>
      <c r="P2724" s="68" t="e">
        <f>1/O2724</f>
        <v>#VALUE!</v>
      </c>
      <c r="Q2724" s="53">
        <v>1</v>
      </c>
      <c r="R2724" s="69">
        <f t="shared" ref="R2724" si="1947">1/Q2724</f>
        <v>1</v>
      </c>
      <c r="S2724" s="70">
        <f t="shared" ref="S2724" si="1948">R2724*N2724</f>
        <v>32</v>
      </c>
    </row>
    <row r="2725" spans="1:19" ht="15.6" hidden="1" customHeight="1" thickBot="1" x14ac:dyDescent="0.3">
      <c r="A2725" t="s">
        <v>23</v>
      </c>
      <c r="B2725" s="60" t="str">
        <f t="shared" si="1946"/>
        <v>hide</v>
      </c>
      <c r="D2725" s="48" t="str">
        <f>D2724</f>
        <v>37148</v>
      </c>
      <c r="E2725" s="7"/>
      <c r="F2725" s="27">
        <v>0</v>
      </c>
      <c r="G2725" s="27">
        <v>0</v>
      </c>
      <c r="H2725" s="27">
        <v>0</v>
      </c>
      <c r="I2725" s="27">
        <v>0</v>
      </c>
      <c r="J2725" s="27">
        <v>0</v>
      </c>
      <c r="K2725" s="63">
        <f>AVERAGE(I2725:J2725)</f>
        <v>0</v>
      </c>
      <c r="L2725" s="56" t="str">
        <f>"EQP-LAWPACK1"</f>
        <v>EQP-LAWPACK1</v>
      </c>
      <c r="M2725" s="14"/>
      <c r="N2725" s="15"/>
      <c r="O2725" s="12"/>
      <c r="P2725" s="34"/>
      <c r="Q2725" s="37"/>
      <c r="R2725" s="47"/>
      <c r="S2725" s="46"/>
    </row>
    <row r="2726" spans="1:19" ht="15.6" hidden="1" customHeight="1" thickBot="1" x14ac:dyDescent="0.3">
      <c r="A2726" t="s">
        <v>23</v>
      </c>
      <c r="B2726" s="60" t="str">
        <f t="shared" ref="B2726:B2728" si="1949">IF(K2726=0,"hide","")</f>
        <v>hide</v>
      </c>
      <c r="D2726" s="48" t="str">
        <f>D2725</f>
        <v>37148</v>
      </c>
      <c r="E2726" s="7"/>
      <c r="F2726" s="27">
        <v>0</v>
      </c>
      <c r="G2726" s="27">
        <v>0</v>
      </c>
      <c r="H2726" s="27">
        <v>0</v>
      </c>
      <c r="I2726" s="27">
        <v>0</v>
      </c>
      <c r="J2726" s="27">
        <v>0</v>
      </c>
      <c r="K2726" s="63">
        <f>AVERAGE(I2726:J2726)</f>
        <v>0</v>
      </c>
      <c r="L2726" s="56" t="str">
        <f>"EQP-LAWPACK2"</f>
        <v>EQP-LAWPACK2</v>
      </c>
      <c r="M2726" s="14"/>
      <c r="N2726" s="15"/>
      <c r="O2726" s="12"/>
      <c r="P2726" s="34"/>
      <c r="Q2726" s="37"/>
      <c r="R2726" s="47"/>
      <c r="S2726" s="46"/>
    </row>
    <row r="2727" spans="1:19" ht="15.6" hidden="1" customHeight="1" thickBot="1" x14ac:dyDescent="0.3">
      <c r="A2727" t="s">
        <v>23</v>
      </c>
      <c r="B2727" s="60" t="str">
        <f t="shared" si="1949"/>
        <v>hide</v>
      </c>
      <c r="D2727" s="48" t="str">
        <f>D2726</f>
        <v>37148</v>
      </c>
      <c r="E2727" s="7"/>
      <c r="F2727" s="27">
        <v>0</v>
      </c>
      <c r="G2727" s="27">
        <v>0</v>
      </c>
      <c r="H2727" s="27">
        <v>0</v>
      </c>
      <c r="I2727" s="27">
        <v>0</v>
      </c>
      <c r="J2727" s="27">
        <v>0</v>
      </c>
      <c r="K2727" s="63">
        <f>AVERAGE(I2727:J2727)</f>
        <v>0</v>
      </c>
      <c r="L2727" s="56" t="str">
        <f>"SW-COMAS-PACKL"</f>
        <v>SW-COMAS-PACKL</v>
      </c>
      <c r="M2727" s="14"/>
      <c r="N2727" s="15"/>
      <c r="O2727" s="12"/>
      <c r="P2727" s="34"/>
      <c r="Q2727" s="37"/>
      <c r="R2727" s="47"/>
      <c r="S2727" s="46"/>
    </row>
    <row r="2728" spans="1:19" ht="15.6" hidden="1" customHeight="1" thickBot="1" x14ac:dyDescent="0.3">
      <c r="A2728" t="s">
        <v>23</v>
      </c>
      <c r="B2728" s="60" t="str">
        <f t="shared" si="1949"/>
        <v>hide</v>
      </c>
      <c r="D2728" s="48" t="str">
        <f>D2727</f>
        <v>37148</v>
      </c>
      <c r="E2728" s="7"/>
      <c r="F2728" s="27">
        <v>0</v>
      </c>
      <c r="G2728" s="27">
        <v>0</v>
      </c>
      <c r="H2728" s="27">
        <v>0</v>
      </c>
      <c r="I2728" s="27">
        <v>0</v>
      </c>
      <c r="J2728" s="27">
        <v>0</v>
      </c>
      <c r="K2728" s="63">
        <f>AVERAGE(I2728:J2728)</f>
        <v>0</v>
      </c>
      <c r="L2728" s="56" t="str">
        <f>"SW-RISER-PACK"</f>
        <v>SW-RISER-PACK</v>
      </c>
      <c r="M2728" s="14"/>
      <c r="N2728" s="15"/>
      <c r="O2728" s="12"/>
      <c r="P2728" s="34"/>
      <c r="Q2728" s="37"/>
      <c r="R2728" s="47"/>
      <c r="S2728" s="46"/>
    </row>
    <row r="2729" spans="1:19" ht="12" hidden="1" customHeight="1" x14ac:dyDescent="0.3">
      <c r="A2729" s="35" t="s">
        <v>908</v>
      </c>
      <c r="B2729" s="49" t="str">
        <f>B2725</f>
        <v>hide</v>
      </c>
      <c r="N2729"/>
      <c r="Q2729" s="33"/>
    </row>
    <row r="2730" spans="1:19" ht="13.8" hidden="1" thickBot="1" x14ac:dyDescent="0.3">
      <c r="A2730" t="s">
        <v>23</v>
      </c>
      <c r="B2730" s="49" t="str">
        <f t="shared" ref="B2730" si="1950">B2729</f>
        <v>hide</v>
      </c>
      <c r="D2730" s="58"/>
      <c r="E2730" s="58"/>
      <c r="F2730" s="52">
        <f>SUM(F2725:F2729)</f>
        <v>0</v>
      </c>
      <c r="G2730" s="52">
        <f>SUM(G2725:G2729)</f>
        <v>0</v>
      </c>
      <c r="H2730" s="52">
        <f>SUM(H2725:H2729)</f>
        <v>0</v>
      </c>
      <c r="I2730" s="52">
        <f>SUM(I2725:I2729)</f>
        <v>0</v>
      </c>
      <c r="J2730" s="52">
        <f>SUM(J2725:J2729)</f>
        <v>0</v>
      </c>
      <c r="K2730" s="52"/>
      <c r="L2730" s="51" t="s">
        <v>4</v>
      </c>
      <c r="M2730" s="58"/>
      <c r="N2730" s="58"/>
      <c r="O2730" s="58"/>
      <c r="P2730" s="58"/>
      <c r="Q2730" s="58"/>
      <c r="R2730" s="58"/>
      <c r="S2730" s="58"/>
    </row>
    <row r="2731" spans="1:19" s="59" customFormat="1" ht="18.75" hidden="1" customHeight="1" thickBot="1" x14ac:dyDescent="0.3">
      <c r="A2731" s="59" t="s">
        <v>23</v>
      </c>
      <c r="B2731" s="60" t="str">
        <f t="shared" ref="B2731:B2732" si="1951">IF(K2731=0,"hide","")</f>
        <v>hide</v>
      </c>
      <c r="D2731" s="61" t="str">
        <f>"37186"</f>
        <v>37186</v>
      </c>
      <c r="E2731" s="62" t="str">
        <f>"1"</f>
        <v>1</v>
      </c>
      <c r="F2731" s="63">
        <v>0</v>
      </c>
      <c r="G2731" s="63">
        <v>0</v>
      </c>
      <c r="H2731" s="63">
        <v>0</v>
      </c>
      <c r="I2731" s="63">
        <v>0</v>
      </c>
      <c r="J2731" s="63">
        <v>0</v>
      </c>
      <c r="K2731" s="63">
        <f>AVERAGE(I2731:J2731)</f>
        <v>0</v>
      </c>
      <c r="L2731" s="64" t="str">
        <f>"Apple Cider Muffin"</f>
        <v>Apple Cider Muffin</v>
      </c>
      <c r="M2731" s="65" t="str">
        <f>"32-4.5 oz. 8-4 pack"</f>
        <v>32-4.5 oz. 8-4 pack</v>
      </c>
      <c r="N2731" s="66">
        <v>32</v>
      </c>
      <c r="O2731" s="67" t="str">
        <f>""</f>
        <v/>
      </c>
      <c r="P2731" s="68" t="e">
        <f>1/O2731</f>
        <v>#VALUE!</v>
      </c>
      <c r="Q2731" s="53">
        <v>1</v>
      </c>
      <c r="R2731" s="69">
        <f t="shared" ref="R2731" si="1952">1/Q2731</f>
        <v>1</v>
      </c>
      <c r="S2731" s="70">
        <f t="shared" ref="S2731" si="1953">R2731*N2731</f>
        <v>32</v>
      </c>
    </row>
    <row r="2732" spans="1:19" ht="15.6" hidden="1" customHeight="1" thickBot="1" x14ac:dyDescent="0.3">
      <c r="A2732" t="s">
        <v>23</v>
      </c>
      <c r="B2732" s="60" t="str">
        <f t="shared" si="1951"/>
        <v>hide</v>
      </c>
      <c r="D2732" s="48" t="str">
        <f>D2731</f>
        <v>37186</v>
      </c>
      <c r="E2732" s="7"/>
      <c r="F2732" s="27">
        <v>0</v>
      </c>
      <c r="G2732" s="27">
        <v>0</v>
      </c>
      <c r="H2732" s="27">
        <v>0</v>
      </c>
      <c r="I2732" s="27">
        <v>0</v>
      </c>
      <c r="J2732" s="27">
        <v>0</v>
      </c>
      <c r="K2732" s="63">
        <f>AVERAGE(I2732:J2732)</f>
        <v>0</v>
      </c>
      <c r="L2732" s="56" t="str">
        <f>"EQP-LAWPACK1"</f>
        <v>EQP-LAWPACK1</v>
      </c>
      <c r="M2732" s="14"/>
      <c r="N2732" s="15"/>
      <c r="O2732" s="12"/>
      <c r="P2732" s="34"/>
      <c r="Q2732" s="37"/>
      <c r="R2732" s="47"/>
      <c r="S2732" s="46"/>
    </row>
    <row r="2733" spans="1:19" ht="15.6" hidden="1" customHeight="1" thickBot="1" x14ac:dyDescent="0.3">
      <c r="A2733" t="s">
        <v>23</v>
      </c>
      <c r="B2733" s="60" t="str">
        <f t="shared" ref="B2733:B2735" si="1954">IF(K2733=0,"hide","")</f>
        <v>hide</v>
      </c>
      <c r="D2733" s="48" t="str">
        <f>D2732</f>
        <v>37186</v>
      </c>
      <c r="E2733" s="7"/>
      <c r="F2733" s="27">
        <v>0</v>
      </c>
      <c r="G2733" s="27">
        <v>0</v>
      </c>
      <c r="H2733" s="27">
        <v>0</v>
      </c>
      <c r="I2733" s="27">
        <v>0</v>
      </c>
      <c r="J2733" s="27">
        <v>0</v>
      </c>
      <c r="K2733" s="63">
        <f>AVERAGE(I2733:J2733)</f>
        <v>0</v>
      </c>
      <c r="L2733" s="56" t="str">
        <f>"EQP-LAWPACK2"</f>
        <v>EQP-LAWPACK2</v>
      </c>
      <c r="M2733" s="14"/>
      <c r="N2733" s="15"/>
      <c r="O2733" s="12"/>
      <c r="P2733" s="34"/>
      <c r="Q2733" s="37"/>
      <c r="R2733" s="47"/>
      <c r="S2733" s="46"/>
    </row>
    <row r="2734" spans="1:19" ht="15.6" hidden="1" customHeight="1" thickBot="1" x14ac:dyDescent="0.3">
      <c r="A2734" t="s">
        <v>23</v>
      </c>
      <c r="B2734" s="60" t="str">
        <f t="shared" si="1954"/>
        <v>hide</v>
      </c>
      <c r="D2734" s="48" t="str">
        <f>D2733</f>
        <v>37186</v>
      </c>
      <c r="E2734" s="7"/>
      <c r="F2734" s="27">
        <v>0</v>
      </c>
      <c r="G2734" s="27">
        <v>0</v>
      </c>
      <c r="H2734" s="27">
        <v>0</v>
      </c>
      <c r="I2734" s="27">
        <v>0</v>
      </c>
      <c r="J2734" s="27">
        <v>0</v>
      </c>
      <c r="K2734" s="63">
        <f>AVERAGE(I2734:J2734)</f>
        <v>0</v>
      </c>
      <c r="L2734" s="56" t="str">
        <f>"SW-COMAS-PACKL"</f>
        <v>SW-COMAS-PACKL</v>
      </c>
      <c r="M2734" s="14"/>
      <c r="N2734" s="15"/>
      <c r="O2734" s="12"/>
      <c r="P2734" s="34"/>
      <c r="Q2734" s="37"/>
      <c r="R2734" s="47"/>
      <c r="S2734" s="46"/>
    </row>
    <row r="2735" spans="1:19" ht="15.6" hidden="1" customHeight="1" thickBot="1" x14ac:dyDescent="0.3">
      <c r="A2735" t="s">
        <v>23</v>
      </c>
      <c r="B2735" s="60" t="str">
        <f t="shared" si="1954"/>
        <v>hide</v>
      </c>
      <c r="D2735" s="48" t="str">
        <f>D2734</f>
        <v>37186</v>
      </c>
      <c r="E2735" s="7"/>
      <c r="F2735" s="27">
        <v>0</v>
      </c>
      <c r="G2735" s="27">
        <v>0</v>
      </c>
      <c r="H2735" s="27">
        <v>0</v>
      </c>
      <c r="I2735" s="27">
        <v>0</v>
      </c>
      <c r="J2735" s="27">
        <v>0</v>
      </c>
      <c r="K2735" s="63">
        <f>AVERAGE(I2735:J2735)</f>
        <v>0</v>
      </c>
      <c r="L2735" s="56" t="str">
        <f>"SW-RISER-PACK"</f>
        <v>SW-RISER-PACK</v>
      </c>
      <c r="M2735" s="14"/>
      <c r="N2735" s="15"/>
      <c r="O2735" s="12"/>
      <c r="P2735" s="34"/>
      <c r="Q2735" s="37"/>
      <c r="R2735" s="47"/>
      <c r="S2735" s="46"/>
    </row>
    <row r="2736" spans="1:19" ht="12" hidden="1" customHeight="1" x14ac:dyDescent="0.3">
      <c r="A2736" s="35" t="s">
        <v>908</v>
      </c>
      <c r="B2736" s="49" t="str">
        <f>B2732</f>
        <v>hide</v>
      </c>
      <c r="N2736"/>
      <c r="Q2736" s="33"/>
    </row>
    <row r="2737" spans="1:19" ht="13.8" hidden="1" thickBot="1" x14ac:dyDescent="0.3">
      <c r="A2737" t="s">
        <v>23</v>
      </c>
      <c r="B2737" s="49" t="str">
        <f t="shared" ref="B2737" si="1955">B2736</f>
        <v>hide</v>
      </c>
      <c r="D2737" s="58"/>
      <c r="E2737" s="58"/>
      <c r="F2737" s="52">
        <f>SUM(F2732:F2736)</f>
        <v>0</v>
      </c>
      <c r="G2737" s="52">
        <f>SUM(G2732:G2736)</f>
        <v>0</v>
      </c>
      <c r="H2737" s="52">
        <f>SUM(H2732:H2736)</f>
        <v>0</v>
      </c>
      <c r="I2737" s="52">
        <f>SUM(I2732:I2736)</f>
        <v>0</v>
      </c>
      <c r="J2737" s="52">
        <f>SUM(J2732:J2736)</f>
        <v>0</v>
      </c>
      <c r="K2737" s="52"/>
      <c r="L2737" s="51" t="s">
        <v>4</v>
      </c>
      <c r="M2737" s="58"/>
      <c r="N2737" s="58"/>
      <c r="O2737" s="58"/>
      <c r="P2737" s="58"/>
      <c r="Q2737" s="58"/>
      <c r="R2737" s="58"/>
      <c r="S2737" s="58"/>
    </row>
    <row r="2738" spans="1:19" s="59" customFormat="1" ht="18.75" customHeight="1" thickBot="1" x14ac:dyDescent="0.3">
      <c r="A2738" s="59" t="s">
        <v>23</v>
      </c>
      <c r="B2738" s="60" t="str">
        <f t="shared" ref="B2738:B2740" si="1956">IF(K2738=0,"hide","")</f>
        <v/>
      </c>
      <c r="D2738" s="61" t="str">
        <f>"37401"</f>
        <v>37401</v>
      </c>
      <c r="E2738" s="62" t="str">
        <f>"11"</f>
        <v>11</v>
      </c>
      <c r="F2738" s="63">
        <v>320.16666666666669</v>
      </c>
      <c r="G2738" s="63">
        <v>488.25</v>
      </c>
      <c r="H2738" s="63">
        <v>426.25</v>
      </c>
      <c r="I2738" s="63">
        <v>409</v>
      </c>
      <c r="J2738" s="63">
        <v>243.65277108433739</v>
      </c>
      <c r="K2738" s="63">
        <f t="shared" ref="K2738:K2743" si="1957">AVERAGE(I2738:J2738)</f>
        <v>326.32638554216868</v>
      </c>
      <c r="L2738" s="64" t="str">
        <f>"BLUEBERRY MUFFINS"</f>
        <v>BLUEBERRY MUFFINS</v>
      </c>
      <c r="M2738" s="65" t="str">
        <f>"24-4.5 oz. 6-4 pack"</f>
        <v>24-4.5 oz. 6-4 pack</v>
      </c>
      <c r="N2738" s="66">
        <v>24</v>
      </c>
      <c r="O2738" s="67" t="str">
        <f>""</f>
        <v/>
      </c>
      <c r="P2738" s="68" t="e">
        <f>1/O2738</f>
        <v>#VALUE!</v>
      </c>
      <c r="Q2738" s="53">
        <v>1</v>
      </c>
      <c r="R2738" s="69">
        <f t="shared" ref="R2738:R2739" si="1958">1/Q2738</f>
        <v>1</v>
      </c>
      <c r="S2738" s="70">
        <f t="shared" ref="S2738" si="1959">R2738*N2738</f>
        <v>24</v>
      </c>
    </row>
    <row r="2739" spans="1:19" s="59" customFormat="1" ht="18.75" customHeight="1" thickBot="1" x14ac:dyDescent="0.3">
      <c r="A2739" s="59" t="s">
        <v>23</v>
      </c>
      <c r="B2739" s="60" t="str">
        <f t="shared" ref="B2739" si="1960">IF(K2739=0,"hide","")</f>
        <v/>
      </c>
      <c r="D2739" s="61" t="str">
        <f>"37401"</f>
        <v>37401</v>
      </c>
      <c r="E2739" s="62" t="str">
        <f>"13"</f>
        <v>13</v>
      </c>
      <c r="F2739" s="63">
        <v>320.16666666666669</v>
      </c>
      <c r="G2739" s="63">
        <v>488.25</v>
      </c>
      <c r="H2739" s="63">
        <v>426.25</v>
      </c>
      <c r="I2739" s="63">
        <v>409</v>
      </c>
      <c r="J2739" s="63">
        <v>243.65277108433739</v>
      </c>
      <c r="K2739" s="63">
        <f t="shared" si="1957"/>
        <v>326.32638554216868</v>
      </c>
      <c r="L2739" s="64" t="str">
        <f>"BLUEBERRY MUFFINS"</f>
        <v>BLUEBERRY MUFFINS</v>
      </c>
      <c r="M2739" s="65" t="str">
        <f>"24-4.5 oz. 6-4 pack"</f>
        <v>24-4.5 oz. 6-4 pack</v>
      </c>
      <c r="N2739" s="66">
        <v>24</v>
      </c>
      <c r="O2739" s="67">
        <v>4.1999999999999997E-3</v>
      </c>
      <c r="P2739" s="68">
        <f>1/O2739</f>
        <v>238.0952380952381</v>
      </c>
      <c r="Q2739" s="53">
        <v>2.3999999999999998E-3</v>
      </c>
      <c r="R2739" s="69">
        <f t="shared" si="1958"/>
        <v>416.66666666666669</v>
      </c>
      <c r="S2739" s="70">
        <f t="shared" ref="S2739" si="1961">R2739*N2739</f>
        <v>10000</v>
      </c>
    </row>
    <row r="2740" spans="1:19" ht="15.6" hidden="1" customHeight="1" thickBot="1" x14ac:dyDescent="0.3">
      <c r="A2740" t="s">
        <v>23</v>
      </c>
      <c r="B2740" s="60" t="str">
        <f t="shared" si="1956"/>
        <v>hide</v>
      </c>
      <c r="D2740" s="48" t="str">
        <f>D2738</f>
        <v>37401</v>
      </c>
      <c r="E2740" s="7"/>
      <c r="F2740" s="27">
        <v>0</v>
      </c>
      <c r="G2740" s="27">
        <v>0</v>
      </c>
      <c r="H2740" s="27">
        <v>0</v>
      </c>
      <c r="I2740" s="27">
        <v>0</v>
      </c>
      <c r="J2740" s="27">
        <v>0</v>
      </c>
      <c r="K2740" s="63">
        <f t="shared" si="1957"/>
        <v>0</v>
      </c>
      <c r="L2740" s="56" t="str">
        <f>"EQP-LAWPACK1"</f>
        <v>EQP-LAWPACK1</v>
      </c>
      <c r="M2740" s="14"/>
      <c r="N2740" s="15"/>
      <c r="O2740" s="12"/>
      <c r="P2740" s="34"/>
      <c r="Q2740" s="37"/>
      <c r="R2740" s="47"/>
      <c r="S2740" s="46"/>
    </row>
    <row r="2741" spans="1:19" ht="15.6" hidden="1" customHeight="1" thickBot="1" x14ac:dyDescent="0.3">
      <c r="A2741" t="s">
        <v>23</v>
      </c>
      <c r="B2741" s="60" t="str">
        <f t="shared" ref="B2741:B2743" si="1962">IF(K2741=0,"hide","")</f>
        <v>hide</v>
      </c>
      <c r="D2741" s="48" t="str">
        <f>D2739</f>
        <v>37401</v>
      </c>
      <c r="E2741" s="7"/>
      <c r="F2741" s="27">
        <v>0</v>
      </c>
      <c r="G2741" s="27">
        <v>0</v>
      </c>
      <c r="H2741" s="27">
        <v>0</v>
      </c>
      <c r="I2741" s="27">
        <v>0</v>
      </c>
      <c r="J2741" s="27">
        <v>0</v>
      </c>
      <c r="K2741" s="63">
        <f t="shared" si="1957"/>
        <v>0</v>
      </c>
      <c r="L2741" s="56" t="str">
        <f>"EQP-LAWPACK2"</f>
        <v>EQP-LAWPACK2</v>
      </c>
      <c r="M2741" s="14"/>
      <c r="N2741" s="15"/>
      <c r="O2741" s="12"/>
      <c r="P2741" s="34"/>
      <c r="Q2741" s="37"/>
      <c r="R2741" s="47"/>
      <c r="S2741" s="46"/>
    </row>
    <row r="2742" spans="1:19" ht="15.6" hidden="1" customHeight="1" thickBot="1" x14ac:dyDescent="0.3">
      <c r="A2742" t="s">
        <v>23</v>
      </c>
      <c r="B2742" s="60" t="str">
        <f t="shared" si="1962"/>
        <v>hide</v>
      </c>
      <c r="D2742" s="48" t="str">
        <f>D2740</f>
        <v>37401</v>
      </c>
      <c r="E2742" s="7"/>
      <c r="F2742" s="27">
        <v>0</v>
      </c>
      <c r="G2742" s="27">
        <v>0</v>
      </c>
      <c r="H2742" s="27">
        <v>0</v>
      </c>
      <c r="I2742" s="27">
        <v>0</v>
      </c>
      <c r="J2742" s="27">
        <v>0</v>
      </c>
      <c r="K2742" s="63">
        <f t="shared" si="1957"/>
        <v>0</v>
      </c>
      <c r="L2742" s="56" t="str">
        <f>"SW-COMAS-PACKL"</f>
        <v>SW-COMAS-PACKL</v>
      </c>
      <c r="M2742" s="14"/>
      <c r="N2742" s="15"/>
      <c r="O2742" s="12"/>
      <c r="P2742" s="34"/>
      <c r="Q2742" s="37"/>
      <c r="R2742" s="47"/>
      <c r="S2742" s="46"/>
    </row>
    <row r="2743" spans="1:19" ht="15.6" hidden="1" customHeight="1" thickBot="1" x14ac:dyDescent="0.3">
      <c r="A2743" t="s">
        <v>23</v>
      </c>
      <c r="B2743" s="60" t="str">
        <f t="shared" si="1962"/>
        <v>hide</v>
      </c>
      <c r="D2743" s="48" t="str">
        <f>D2741</f>
        <v>37401</v>
      </c>
      <c r="E2743" s="7"/>
      <c r="F2743" s="27">
        <v>0</v>
      </c>
      <c r="G2743" s="27">
        <v>0</v>
      </c>
      <c r="H2743" s="27">
        <v>0</v>
      </c>
      <c r="I2743" s="27">
        <v>0</v>
      </c>
      <c r="J2743" s="27">
        <v>0</v>
      </c>
      <c r="K2743" s="63">
        <f t="shared" si="1957"/>
        <v>0</v>
      </c>
      <c r="L2743" s="56" t="str">
        <f>"SW-RISER-PACK"</f>
        <v>SW-RISER-PACK</v>
      </c>
      <c r="M2743" s="14"/>
      <c r="N2743" s="15"/>
      <c r="O2743" s="12"/>
      <c r="P2743" s="34"/>
      <c r="Q2743" s="37"/>
      <c r="R2743" s="47"/>
      <c r="S2743" s="46"/>
    </row>
    <row r="2744" spans="1:19" ht="12" hidden="1" customHeight="1" x14ac:dyDescent="0.3">
      <c r="A2744" s="35" t="s">
        <v>908</v>
      </c>
      <c r="B2744" s="49" t="str">
        <f>B2740</f>
        <v>hide</v>
      </c>
      <c r="N2744"/>
      <c r="Q2744" s="33"/>
    </row>
    <row r="2745" spans="1:19" ht="13.8" hidden="1" thickBot="1" x14ac:dyDescent="0.3">
      <c r="A2745" t="s">
        <v>23</v>
      </c>
      <c r="B2745" s="49" t="str">
        <f t="shared" ref="B2745" si="1963">B2744</f>
        <v>hide</v>
      </c>
      <c r="D2745" s="58"/>
      <c r="E2745" s="58"/>
      <c r="F2745" s="52">
        <f>SUM(F2740:F2744)</f>
        <v>0</v>
      </c>
      <c r="G2745" s="52">
        <f>SUM(G2740:G2744)</f>
        <v>0</v>
      </c>
      <c r="H2745" s="52">
        <f>SUM(H2740:H2744)</f>
        <v>0</v>
      </c>
      <c r="I2745" s="52">
        <f>SUM(I2740:I2744)</f>
        <v>0</v>
      </c>
      <c r="J2745" s="52">
        <f>SUM(J2740:J2744)</f>
        <v>0</v>
      </c>
      <c r="K2745" s="52"/>
      <c r="L2745" s="51" t="s">
        <v>4</v>
      </c>
      <c r="M2745" s="58"/>
      <c r="N2745" s="58"/>
      <c r="O2745" s="58"/>
      <c r="P2745" s="58"/>
      <c r="Q2745" s="58"/>
      <c r="R2745" s="58"/>
      <c r="S2745" s="58"/>
    </row>
    <row r="2746" spans="1:19" s="59" customFormat="1" ht="18.75" hidden="1" customHeight="1" thickBot="1" x14ac:dyDescent="0.3">
      <c r="A2746" s="59" t="s">
        <v>23</v>
      </c>
      <c r="B2746" s="60" t="str">
        <f t="shared" ref="B2746:B2747" si="1964">IF(K2746=0,"hide","")</f>
        <v>hide</v>
      </c>
      <c r="D2746" s="61" t="str">
        <f>"37402"</f>
        <v>37402</v>
      </c>
      <c r="E2746" s="62" t="str">
        <f>"2"</f>
        <v>2</v>
      </c>
      <c r="F2746" s="63">
        <v>3.75</v>
      </c>
      <c r="G2746" s="63">
        <v>0</v>
      </c>
      <c r="H2746" s="63">
        <v>0</v>
      </c>
      <c r="I2746" s="63">
        <v>0</v>
      </c>
      <c r="J2746" s="63">
        <v>0</v>
      </c>
      <c r="K2746" s="63">
        <f>AVERAGE(I2746:J2746)</f>
        <v>0</v>
      </c>
      <c r="L2746" s="64" t="str">
        <f>"CRANBERRY MUFFINS"</f>
        <v>CRANBERRY MUFFINS</v>
      </c>
      <c r="M2746" s="65" t="str">
        <f>"24-4.5 oz. 6-4 pack"</f>
        <v>24-4.5 oz. 6-4 pack</v>
      </c>
      <c r="N2746" s="66">
        <v>24</v>
      </c>
      <c r="O2746" s="67" t="str">
        <f>""</f>
        <v/>
      </c>
      <c r="P2746" s="68" t="e">
        <f>1/O2746</f>
        <v>#VALUE!</v>
      </c>
      <c r="Q2746" s="53">
        <v>1</v>
      </c>
      <c r="R2746" s="69">
        <f t="shared" ref="R2746" si="1965">1/Q2746</f>
        <v>1</v>
      </c>
      <c r="S2746" s="70">
        <f t="shared" ref="S2746" si="1966">R2746*N2746</f>
        <v>24</v>
      </c>
    </row>
    <row r="2747" spans="1:19" ht="15.6" hidden="1" customHeight="1" thickBot="1" x14ac:dyDescent="0.3">
      <c r="A2747" t="s">
        <v>23</v>
      </c>
      <c r="B2747" s="60" t="str">
        <f t="shared" si="1964"/>
        <v>hide</v>
      </c>
      <c r="D2747" s="48" t="str">
        <f>D2746</f>
        <v>37402</v>
      </c>
      <c r="E2747" s="7"/>
      <c r="F2747" s="27">
        <v>0</v>
      </c>
      <c r="G2747" s="27">
        <v>0</v>
      </c>
      <c r="H2747" s="27">
        <v>0</v>
      </c>
      <c r="I2747" s="27">
        <v>0</v>
      </c>
      <c r="J2747" s="27">
        <v>0</v>
      </c>
      <c r="K2747" s="63">
        <f>AVERAGE(I2747:J2747)</f>
        <v>0</v>
      </c>
      <c r="L2747" s="56" t="str">
        <f>"EQP-LAWPACK1"</f>
        <v>EQP-LAWPACK1</v>
      </c>
      <c r="M2747" s="14"/>
      <c r="N2747" s="15"/>
      <c r="O2747" s="12"/>
      <c r="P2747" s="34"/>
      <c r="Q2747" s="37"/>
      <c r="R2747" s="47"/>
      <c r="S2747" s="46"/>
    </row>
    <row r="2748" spans="1:19" ht="15.6" hidden="1" customHeight="1" thickBot="1" x14ac:dyDescent="0.3">
      <c r="A2748" t="s">
        <v>23</v>
      </c>
      <c r="B2748" s="60" t="str">
        <f t="shared" ref="B2748:B2750" si="1967">IF(K2748=0,"hide","")</f>
        <v>hide</v>
      </c>
      <c r="D2748" s="48" t="str">
        <f>D2747</f>
        <v>37402</v>
      </c>
      <c r="E2748" s="7"/>
      <c r="F2748" s="27">
        <v>0</v>
      </c>
      <c r="G2748" s="27">
        <v>0</v>
      </c>
      <c r="H2748" s="27">
        <v>0</v>
      </c>
      <c r="I2748" s="27">
        <v>0</v>
      </c>
      <c r="J2748" s="27">
        <v>0</v>
      </c>
      <c r="K2748" s="63">
        <f>AVERAGE(I2748:J2748)</f>
        <v>0</v>
      </c>
      <c r="L2748" s="56" t="str">
        <f>"EQP-LAWPACK2"</f>
        <v>EQP-LAWPACK2</v>
      </c>
      <c r="M2748" s="14"/>
      <c r="N2748" s="15"/>
      <c r="O2748" s="12"/>
      <c r="P2748" s="34"/>
      <c r="Q2748" s="37"/>
      <c r="R2748" s="47"/>
      <c r="S2748" s="46"/>
    </row>
    <row r="2749" spans="1:19" ht="15.6" hidden="1" customHeight="1" thickBot="1" x14ac:dyDescent="0.3">
      <c r="A2749" t="s">
        <v>23</v>
      </c>
      <c r="B2749" s="60" t="str">
        <f t="shared" si="1967"/>
        <v>hide</v>
      </c>
      <c r="D2749" s="48" t="str">
        <f>D2748</f>
        <v>37402</v>
      </c>
      <c r="E2749" s="7"/>
      <c r="F2749" s="27">
        <v>0</v>
      </c>
      <c r="G2749" s="27">
        <v>0</v>
      </c>
      <c r="H2749" s="27">
        <v>0</v>
      </c>
      <c r="I2749" s="27">
        <v>0</v>
      </c>
      <c r="J2749" s="27">
        <v>0</v>
      </c>
      <c r="K2749" s="63">
        <f>AVERAGE(I2749:J2749)</f>
        <v>0</v>
      </c>
      <c r="L2749" s="56" t="str">
        <f>"SW-COMAS-PACKL"</f>
        <v>SW-COMAS-PACKL</v>
      </c>
      <c r="M2749" s="14"/>
      <c r="N2749" s="15"/>
      <c r="O2749" s="12"/>
      <c r="P2749" s="34"/>
      <c r="Q2749" s="37"/>
      <c r="R2749" s="47"/>
      <c r="S2749" s="46"/>
    </row>
    <row r="2750" spans="1:19" ht="15.6" hidden="1" customHeight="1" thickBot="1" x14ac:dyDescent="0.3">
      <c r="A2750" t="s">
        <v>23</v>
      </c>
      <c r="B2750" s="60" t="str">
        <f t="shared" si="1967"/>
        <v>hide</v>
      </c>
      <c r="D2750" s="48" t="str">
        <f>D2749</f>
        <v>37402</v>
      </c>
      <c r="E2750" s="7"/>
      <c r="F2750" s="27">
        <v>0</v>
      </c>
      <c r="G2750" s="27">
        <v>0</v>
      </c>
      <c r="H2750" s="27">
        <v>0</v>
      </c>
      <c r="I2750" s="27">
        <v>0</v>
      </c>
      <c r="J2750" s="27">
        <v>0</v>
      </c>
      <c r="K2750" s="63">
        <f>AVERAGE(I2750:J2750)</f>
        <v>0</v>
      </c>
      <c r="L2750" s="56" t="str">
        <f>"SW-RISER-PACK"</f>
        <v>SW-RISER-PACK</v>
      </c>
      <c r="M2750" s="14"/>
      <c r="N2750" s="15"/>
      <c r="O2750" s="12"/>
      <c r="P2750" s="34"/>
      <c r="Q2750" s="37"/>
      <c r="R2750" s="47"/>
      <c r="S2750" s="46"/>
    </row>
    <row r="2751" spans="1:19" ht="12" hidden="1" customHeight="1" x14ac:dyDescent="0.3">
      <c r="A2751" s="35" t="s">
        <v>908</v>
      </c>
      <c r="B2751" s="49" t="str">
        <f>B2747</f>
        <v>hide</v>
      </c>
      <c r="N2751"/>
      <c r="Q2751" s="33"/>
    </row>
    <row r="2752" spans="1:19" ht="13.8" hidden="1" thickBot="1" x14ac:dyDescent="0.3">
      <c r="A2752" t="s">
        <v>23</v>
      </c>
      <c r="B2752" s="49" t="str">
        <f t="shared" ref="B2752" si="1968">B2751</f>
        <v>hide</v>
      </c>
      <c r="D2752" s="58"/>
      <c r="E2752" s="58"/>
      <c r="F2752" s="52">
        <f>SUM(F2747:F2751)</f>
        <v>0</v>
      </c>
      <c r="G2752" s="52">
        <f>SUM(G2747:G2751)</f>
        <v>0</v>
      </c>
      <c r="H2752" s="52">
        <f>SUM(H2747:H2751)</f>
        <v>0</v>
      </c>
      <c r="I2752" s="52">
        <f>SUM(I2747:I2751)</f>
        <v>0</v>
      </c>
      <c r="J2752" s="52">
        <f>SUM(J2747:J2751)</f>
        <v>0</v>
      </c>
      <c r="K2752" s="52"/>
      <c r="L2752" s="51" t="s">
        <v>4</v>
      </c>
      <c r="M2752" s="58"/>
      <c r="N2752" s="58"/>
      <c r="O2752" s="58"/>
      <c r="P2752" s="58"/>
      <c r="Q2752" s="58"/>
      <c r="R2752" s="58"/>
      <c r="S2752" s="58"/>
    </row>
    <row r="2753" spans="1:19" s="59" customFormat="1" ht="18.75" hidden="1" customHeight="1" thickBot="1" x14ac:dyDescent="0.3">
      <c r="A2753" s="59" t="s">
        <v>23</v>
      </c>
      <c r="B2753" s="60" t="str">
        <f t="shared" ref="B2753:B2754" si="1969">IF(K2753=0,"hide","")</f>
        <v>hide</v>
      </c>
      <c r="D2753" s="61" t="str">
        <f>"37403"</f>
        <v>37403</v>
      </c>
      <c r="E2753" s="62" t="str">
        <f>"4"</f>
        <v>4</v>
      </c>
      <c r="F2753" s="63">
        <v>0</v>
      </c>
      <c r="G2753" s="63">
        <v>0</v>
      </c>
      <c r="H2753" s="63">
        <v>0</v>
      </c>
      <c r="I2753" s="63">
        <v>0</v>
      </c>
      <c r="J2753" s="63">
        <v>0</v>
      </c>
      <c r="K2753" s="63">
        <f>AVERAGE(I2753:J2753)</f>
        <v>0</v>
      </c>
      <c r="L2753" s="64" t="str">
        <f>"ORANGE CRANBERRY MUFFINS"</f>
        <v>ORANGE CRANBERRY MUFFINS</v>
      </c>
      <c r="M2753" s="65" t="str">
        <f>"24-4.5 oz. 6-4 pack"</f>
        <v>24-4.5 oz. 6-4 pack</v>
      </c>
      <c r="N2753" s="66">
        <v>24</v>
      </c>
      <c r="O2753" s="67" t="str">
        <f>""</f>
        <v/>
      </c>
      <c r="P2753" s="68" t="e">
        <f>1/O2753</f>
        <v>#VALUE!</v>
      </c>
      <c r="Q2753" s="53">
        <v>1</v>
      </c>
      <c r="R2753" s="69">
        <f t="shared" ref="R2753" si="1970">1/Q2753</f>
        <v>1</v>
      </c>
      <c r="S2753" s="70">
        <f t="shared" ref="S2753" si="1971">R2753*N2753</f>
        <v>24</v>
      </c>
    </row>
    <row r="2754" spans="1:19" ht="15.6" hidden="1" customHeight="1" thickBot="1" x14ac:dyDescent="0.3">
      <c r="A2754" t="s">
        <v>23</v>
      </c>
      <c r="B2754" s="60" t="str">
        <f t="shared" si="1969"/>
        <v>hide</v>
      </c>
      <c r="D2754" s="48" t="str">
        <f>D2753</f>
        <v>37403</v>
      </c>
      <c r="E2754" s="7"/>
      <c r="F2754" s="27">
        <v>0</v>
      </c>
      <c r="G2754" s="27">
        <v>0</v>
      </c>
      <c r="H2754" s="27">
        <v>0</v>
      </c>
      <c r="I2754" s="27">
        <v>0</v>
      </c>
      <c r="J2754" s="27">
        <v>0</v>
      </c>
      <c r="K2754" s="63">
        <f>AVERAGE(I2754:J2754)</f>
        <v>0</v>
      </c>
      <c r="L2754" s="56" t="str">
        <f>"EQP-LAWPACK1"</f>
        <v>EQP-LAWPACK1</v>
      </c>
      <c r="M2754" s="14"/>
      <c r="N2754" s="15"/>
      <c r="O2754" s="12"/>
      <c r="P2754" s="34"/>
      <c r="Q2754" s="37"/>
      <c r="R2754" s="47"/>
      <c r="S2754" s="46"/>
    </row>
    <row r="2755" spans="1:19" ht="15.6" hidden="1" customHeight="1" thickBot="1" x14ac:dyDescent="0.3">
      <c r="A2755" t="s">
        <v>23</v>
      </c>
      <c r="B2755" s="60" t="str">
        <f t="shared" ref="B2755:B2757" si="1972">IF(K2755=0,"hide","")</f>
        <v>hide</v>
      </c>
      <c r="D2755" s="48" t="str">
        <f>D2754</f>
        <v>37403</v>
      </c>
      <c r="E2755" s="7"/>
      <c r="F2755" s="27">
        <v>0</v>
      </c>
      <c r="G2755" s="27">
        <v>0</v>
      </c>
      <c r="H2755" s="27">
        <v>0</v>
      </c>
      <c r="I2755" s="27">
        <v>0</v>
      </c>
      <c r="J2755" s="27">
        <v>0</v>
      </c>
      <c r="K2755" s="63">
        <f>AVERAGE(I2755:J2755)</f>
        <v>0</v>
      </c>
      <c r="L2755" s="56" t="str">
        <f>"EQP-LAWPACK2"</f>
        <v>EQP-LAWPACK2</v>
      </c>
      <c r="M2755" s="14"/>
      <c r="N2755" s="15"/>
      <c r="O2755" s="12"/>
      <c r="P2755" s="34"/>
      <c r="Q2755" s="37"/>
      <c r="R2755" s="47"/>
      <c r="S2755" s="46"/>
    </row>
    <row r="2756" spans="1:19" ht="15.6" hidden="1" customHeight="1" thickBot="1" x14ac:dyDescent="0.3">
      <c r="A2756" t="s">
        <v>23</v>
      </c>
      <c r="B2756" s="60" t="str">
        <f t="shared" si="1972"/>
        <v>hide</v>
      </c>
      <c r="D2756" s="48" t="str">
        <f>D2755</f>
        <v>37403</v>
      </c>
      <c r="E2756" s="7"/>
      <c r="F2756" s="27">
        <v>0</v>
      </c>
      <c r="G2756" s="27">
        <v>0</v>
      </c>
      <c r="H2756" s="27">
        <v>0</v>
      </c>
      <c r="I2756" s="27">
        <v>0</v>
      </c>
      <c r="J2756" s="27">
        <v>0</v>
      </c>
      <c r="K2756" s="63">
        <f>AVERAGE(I2756:J2756)</f>
        <v>0</v>
      </c>
      <c r="L2756" s="56" t="str">
        <f>"SW-COMAS-PACKL"</f>
        <v>SW-COMAS-PACKL</v>
      </c>
      <c r="M2756" s="14"/>
      <c r="N2756" s="15"/>
      <c r="O2756" s="12"/>
      <c r="P2756" s="34"/>
      <c r="Q2756" s="37"/>
      <c r="R2756" s="47"/>
      <c r="S2756" s="46"/>
    </row>
    <row r="2757" spans="1:19" ht="15.6" hidden="1" customHeight="1" thickBot="1" x14ac:dyDescent="0.3">
      <c r="A2757" t="s">
        <v>23</v>
      </c>
      <c r="B2757" s="60" t="str">
        <f t="shared" si="1972"/>
        <v>hide</v>
      </c>
      <c r="D2757" s="48" t="str">
        <f>D2756</f>
        <v>37403</v>
      </c>
      <c r="E2757" s="7"/>
      <c r="F2757" s="27">
        <v>0</v>
      </c>
      <c r="G2757" s="27">
        <v>0</v>
      </c>
      <c r="H2757" s="27">
        <v>0</v>
      </c>
      <c r="I2757" s="27">
        <v>0</v>
      </c>
      <c r="J2757" s="27">
        <v>0</v>
      </c>
      <c r="K2757" s="63">
        <f>AVERAGE(I2757:J2757)</f>
        <v>0</v>
      </c>
      <c r="L2757" s="56" t="str">
        <f>"SW-RISER-PACK"</f>
        <v>SW-RISER-PACK</v>
      </c>
      <c r="M2757" s="14"/>
      <c r="N2757" s="15"/>
      <c r="O2757" s="12"/>
      <c r="P2757" s="34"/>
      <c r="Q2757" s="37"/>
      <c r="R2757" s="47"/>
      <c r="S2757" s="46"/>
    </row>
    <row r="2758" spans="1:19" ht="12" hidden="1" customHeight="1" x14ac:dyDescent="0.3">
      <c r="A2758" s="35" t="s">
        <v>908</v>
      </c>
      <c r="B2758" s="49" t="str">
        <f>B2754</f>
        <v>hide</v>
      </c>
      <c r="N2758"/>
      <c r="Q2758" s="33"/>
    </row>
    <row r="2759" spans="1:19" ht="13.8" hidden="1" thickBot="1" x14ac:dyDescent="0.3">
      <c r="A2759" t="s">
        <v>23</v>
      </c>
      <c r="B2759" s="49" t="str">
        <f t="shared" ref="B2759" si="1973">B2758</f>
        <v>hide</v>
      </c>
      <c r="D2759" s="58"/>
      <c r="E2759" s="58"/>
      <c r="F2759" s="52">
        <f>SUM(F2754:F2758)</f>
        <v>0</v>
      </c>
      <c r="G2759" s="52">
        <f>SUM(G2754:G2758)</f>
        <v>0</v>
      </c>
      <c r="H2759" s="52">
        <f>SUM(H2754:H2758)</f>
        <v>0</v>
      </c>
      <c r="I2759" s="52">
        <f>SUM(I2754:I2758)</f>
        <v>0</v>
      </c>
      <c r="J2759" s="52">
        <f>SUM(J2754:J2758)</f>
        <v>0</v>
      </c>
      <c r="K2759" s="52"/>
      <c r="L2759" s="51" t="s">
        <v>4</v>
      </c>
      <c r="M2759" s="58"/>
      <c r="N2759" s="58"/>
      <c r="O2759" s="58"/>
      <c r="P2759" s="58"/>
      <c r="Q2759" s="58"/>
      <c r="R2759" s="58"/>
      <c r="S2759" s="58"/>
    </row>
    <row r="2760" spans="1:19" s="59" customFormat="1" ht="18.75" customHeight="1" thickBot="1" x14ac:dyDescent="0.3">
      <c r="A2760" s="59" t="s">
        <v>23</v>
      </c>
      <c r="B2760" s="60" t="str">
        <f t="shared" ref="B2760:B2762" si="1974">IF(K2760=0,"hide","")</f>
        <v/>
      </c>
      <c r="D2760" s="61" t="str">
        <f>"37405"</f>
        <v>37405</v>
      </c>
      <c r="E2760" s="62" t="str">
        <f>"5"</f>
        <v>5</v>
      </c>
      <c r="F2760" s="63">
        <v>246.91666666666666</v>
      </c>
      <c r="G2760" s="63">
        <v>319.08333333333337</v>
      </c>
      <c r="H2760" s="63">
        <v>294.58333333333331</v>
      </c>
      <c r="I2760" s="63">
        <v>295.41666666666669</v>
      </c>
      <c r="J2760" s="63">
        <v>153.43373493975903</v>
      </c>
      <c r="K2760" s="63">
        <f t="shared" ref="K2760:K2765" si="1975">AVERAGE(I2760:J2760)</f>
        <v>224.42520080321287</v>
      </c>
      <c r="L2760" s="64" t="str">
        <f>"CORN MUFFINS"</f>
        <v>CORN MUFFINS</v>
      </c>
      <c r="M2760" s="65" t="str">
        <f>"24-4.5 oz. 6-4 pack"</f>
        <v>24-4.5 oz. 6-4 pack</v>
      </c>
      <c r="N2760" s="66">
        <v>24</v>
      </c>
      <c r="O2760" s="67" t="str">
        <f>""</f>
        <v/>
      </c>
      <c r="P2760" s="68" t="e">
        <f>1/O2760</f>
        <v>#VALUE!</v>
      </c>
      <c r="Q2760" s="53">
        <v>1</v>
      </c>
      <c r="R2760" s="69">
        <f t="shared" ref="R2760:R2761" si="1976">1/Q2760</f>
        <v>1</v>
      </c>
      <c r="S2760" s="70">
        <f t="shared" ref="S2760" si="1977">R2760*N2760</f>
        <v>24</v>
      </c>
    </row>
    <row r="2761" spans="1:19" s="59" customFormat="1" ht="18.75" customHeight="1" thickBot="1" x14ac:dyDescent="0.3">
      <c r="A2761" s="59" t="s">
        <v>23</v>
      </c>
      <c r="B2761" s="60" t="str">
        <f t="shared" ref="B2761" si="1978">IF(K2761=0,"hide","")</f>
        <v/>
      </c>
      <c r="D2761" s="61" t="str">
        <f>"37405"</f>
        <v>37405</v>
      </c>
      <c r="E2761" s="62" t="str">
        <f>"7"</f>
        <v>7</v>
      </c>
      <c r="F2761" s="63">
        <v>246.91666666666666</v>
      </c>
      <c r="G2761" s="63">
        <v>319.08333333333337</v>
      </c>
      <c r="H2761" s="63">
        <v>294.58333333333331</v>
      </c>
      <c r="I2761" s="63">
        <v>295.41666666666669</v>
      </c>
      <c r="J2761" s="63">
        <v>153.43373493975903</v>
      </c>
      <c r="K2761" s="63">
        <f t="shared" si="1975"/>
        <v>224.42520080321287</v>
      </c>
      <c r="L2761" s="64" t="str">
        <f>"CORN MUFFINS"</f>
        <v>CORN MUFFINS</v>
      </c>
      <c r="M2761" s="65" t="str">
        <f>"24-4.5 oz. 6-4 pack"</f>
        <v>24-4.5 oz. 6-4 pack</v>
      </c>
      <c r="N2761" s="66">
        <v>24</v>
      </c>
      <c r="O2761" s="67">
        <v>4.1999999999999997E-3</v>
      </c>
      <c r="P2761" s="68">
        <f>1/O2761</f>
        <v>238.0952380952381</v>
      </c>
      <c r="Q2761" s="53">
        <v>2.3999999999999998E-3</v>
      </c>
      <c r="R2761" s="69">
        <f t="shared" si="1976"/>
        <v>416.66666666666669</v>
      </c>
      <c r="S2761" s="70">
        <f t="shared" ref="S2761" si="1979">R2761*N2761</f>
        <v>10000</v>
      </c>
    </row>
    <row r="2762" spans="1:19" ht="15.6" hidden="1" customHeight="1" thickBot="1" x14ac:dyDescent="0.3">
      <c r="A2762" t="s">
        <v>23</v>
      </c>
      <c r="B2762" s="60" t="str">
        <f t="shared" si="1974"/>
        <v>hide</v>
      </c>
      <c r="D2762" s="48" t="str">
        <f>D2760</f>
        <v>37405</v>
      </c>
      <c r="E2762" s="7"/>
      <c r="F2762" s="27">
        <v>0</v>
      </c>
      <c r="G2762" s="27">
        <v>-99.477500000000006</v>
      </c>
      <c r="H2762" s="27">
        <v>0</v>
      </c>
      <c r="I2762" s="27">
        <v>0</v>
      </c>
      <c r="J2762" s="27">
        <v>0</v>
      </c>
      <c r="K2762" s="63">
        <f t="shared" si="1975"/>
        <v>0</v>
      </c>
      <c r="L2762" s="56" t="str">
        <f>"EQP-LAWPACK1"</f>
        <v>EQP-LAWPACK1</v>
      </c>
      <c r="M2762" s="14"/>
      <c r="N2762" s="15"/>
      <c r="O2762" s="12"/>
      <c r="P2762" s="34"/>
      <c r="Q2762" s="37"/>
      <c r="R2762" s="47"/>
      <c r="S2762" s="46"/>
    </row>
    <row r="2763" spans="1:19" ht="15.6" hidden="1" customHeight="1" thickBot="1" x14ac:dyDescent="0.3">
      <c r="A2763" t="s">
        <v>23</v>
      </c>
      <c r="B2763" s="60" t="str">
        <f t="shared" ref="B2763:B2765" si="1980">IF(K2763=0,"hide","")</f>
        <v>hide</v>
      </c>
      <c r="D2763" s="48" t="str">
        <f>D2761</f>
        <v>37405</v>
      </c>
      <c r="E2763" s="7"/>
      <c r="F2763" s="27">
        <v>0</v>
      </c>
      <c r="G2763" s="27">
        <v>0</v>
      </c>
      <c r="H2763" s="27">
        <v>0</v>
      </c>
      <c r="I2763" s="27">
        <v>0</v>
      </c>
      <c r="J2763" s="27">
        <v>0</v>
      </c>
      <c r="K2763" s="63">
        <f t="shared" si="1975"/>
        <v>0</v>
      </c>
      <c r="L2763" s="56" t="str">
        <f>"EQP-LAWPACK2"</f>
        <v>EQP-LAWPACK2</v>
      </c>
      <c r="M2763" s="14"/>
      <c r="N2763" s="15"/>
      <c r="O2763" s="12"/>
      <c r="P2763" s="34"/>
      <c r="Q2763" s="37"/>
      <c r="R2763" s="47"/>
      <c r="S2763" s="46"/>
    </row>
    <row r="2764" spans="1:19" ht="15.6" hidden="1" customHeight="1" thickBot="1" x14ac:dyDescent="0.3">
      <c r="A2764" t="s">
        <v>23</v>
      </c>
      <c r="B2764" s="60" t="str">
        <f t="shared" si="1980"/>
        <v>hide</v>
      </c>
      <c r="D2764" s="48" t="str">
        <f>D2762</f>
        <v>37405</v>
      </c>
      <c r="E2764" s="7"/>
      <c r="F2764" s="27">
        <v>0</v>
      </c>
      <c r="G2764" s="27">
        <v>0</v>
      </c>
      <c r="H2764" s="27">
        <v>0</v>
      </c>
      <c r="I2764" s="27">
        <v>0</v>
      </c>
      <c r="J2764" s="27">
        <v>0</v>
      </c>
      <c r="K2764" s="63">
        <f t="shared" si="1975"/>
        <v>0</v>
      </c>
      <c r="L2764" s="56" t="str">
        <f>"SW-COMAS-PACKL"</f>
        <v>SW-COMAS-PACKL</v>
      </c>
      <c r="M2764" s="14"/>
      <c r="N2764" s="15"/>
      <c r="O2764" s="12"/>
      <c r="P2764" s="34"/>
      <c r="Q2764" s="37"/>
      <c r="R2764" s="47"/>
      <c r="S2764" s="46"/>
    </row>
    <row r="2765" spans="1:19" ht="15.6" hidden="1" customHeight="1" thickBot="1" x14ac:dyDescent="0.3">
      <c r="A2765" t="s">
        <v>23</v>
      </c>
      <c r="B2765" s="60" t="str">
        <f t="shared" si="1980"/>
        <v>hide</v>
      </c>
      <c r="D2765" s="48" t="str">
        <f>D2763</f>
        <v>37405</v>
      </c>
      <c r="E2765" s="7"/>
      <c r="F2765" s="27">
        <v>0</v>
      </c>
      <c r="G2765" s="27">
        <v>0</v>
      </c>
      <c r="H2765" s="27">
        <v>0</v>
      </c>
      <c r="I2765" s="27">
        <v>0</v>
      </c>
      <c r="J2765" s="27">
        <v>0</v>
      </c>
      <c r="K2765" s="63">
        <f t="shared" si="1975"/>
        <v>0</v>
      </c>
      <c r="L2765" s="56" t="str">
        <f>"SW-RISER-PACK"</f>
        <v>SW-RISER-PACK</v>
      </c>
      <c r="M2765" s="14"/>
      <c r="N2765" s="15"/>
      <c r="O2765" s="12"/>
      <c r="P2765" s="34"/>
      <c r="Q2765" s="37"/>
      <c r="R2765" s="47"/>
      <c r="S2765" s="46"/>
    </row>
    <row r="2766" spans="1:19" ht="12" hidden="1" customHeight="1" x14ac:dyDescent="0.3">
      <c r="A2766" s="35" t="s">
        <v>908</v>
      </c>
      <c r="B2766" s="49" t="str">
        <f>B2762</f>
        <v>hide</v>
      </c>
      <c r="N2766"/>
      <c r="Q2766" s="33"/>
    </row>
    <row r="2767" spans="1:19" ht="13.8" hidden="1" thickBot="1" x14ac:dyDescent="0.3">
      <c r="A2767" t="s">
        <v>23</v>
      </c>
      <c r="B2767" s="49" t="str">
        <f t="shared" ref="B2767" si="1981">B2766</f>
        <v>hide</v>
      </c>
      <c r="D2767" s="58"/>
      <c r="E2767" s="58"/>
      <c r="F2767" s="52">
        <f>SUM(F2762:F2766)</f>
        <v>0</v>
      </c>
      <c r="G2767" s="52">
        <f>SUM(G2762:G2766)</f>
        <v>-99.477500000000006</v>
      </c>
      <c r="H2767" s="52">
        <f>SUM(H2762:H2766)</f>
        <v>0</v>
      </c>
      <c r="I2767" s="52">
        <f>SUM(I2762:I2766)</f>
        <v>0</v>
      </c>
      <c r="J2767" s="52">
        <f>SUM(J2762:J2766)</f>
        <v>0</v>
      </c>
      <c r="K2767" s="52"/>
      <c r="L2767" s="51" t="s">
        <v>4</v>
      </c>
      <c r="M2767" s="58"/>
      <c r="N2767" s="58"/>
      <c r="O2767" s="58"/>
      <c r="P2767" s="58"/>
      <c r="Q2767" s="58"/>
      <c r="R2767" s="58"/>
      <c r="S2767" s="58"/>
    </row>
    <row r="2768" spans="1:19" s="59" customFormat="1" ht="18.75" hidden="1" customHeight="1" thickBot="1" x14ac:dyDescent="0.3">
      <c r="A2768" s="59" t="s">
        <v>23</v>
      </c>
      <c r="B2768" s="60" t="str">
        <f t="shared" ref="B2768:B2769" si="1982">IF(K2768=0,"hide","")</f>
        <v>hide</v>
      </c>
      <c r="D2768" s="61" t="str">
        <f>"37407"</f>
        <v>37407</v>
      </c>
      <c r="E2768" s="62" t="str">
        <f>"2"</f>
        <v>2</v>
      </c>
      <c r="F2768" s="63">
        <v>0</v>
      </c>
      <c r="G2768" s="63">
        <v>0</v>
      </c>
      <c r="H2768" s="63">
        <v>0</v>
      </c>
      <c r="I2768" s="63">
        <v>0</v>
      </c>
      <c r="J2768" s="63">
        <v>0</v>
      </c>
      <c r="K2768" s="63">
        <f>AVERAGE(I2768:J2768)</f>
        <v>0</v>
      </c>
      <c r="L2768" s="64" t="str">
        <f>"BANANA NUT MUFFINS"</f>
        <v>BANANA NUT MUFFINS</v>
      </c>
      <c r="M2768" s="65" t="str">
        <f>"24-4.5 oz. 6-4 pack"</f>
        <v>24-4.5 oz. 6-4 pack</v>
      </c>
      <c r="N2768" s="66">
        <v>24</v>
      </c>
      <c r="O2768" s="67" t="str">
        <f>""</f>
        <v/>
      </c>
      <c r="P2768" s="68" t="e">
        <f>1/O2768</f>
        <v>#VALUE!</v>
      </c>
      <c r="Q2768" s="53">
        <v>1</v>
      </c>
      <c r="R2768" s="69">
        <f t="shared" ref="R2768" si="1983">1/Q2768</f>
        <v>1</v>
      </c>
      <c r="S2768" s="70">
        <f t="shared" ref="S2768" si="1984">R2768*N2768</f>
        <v>24</v>
      </c>
    </row>
    <row r="2769" spans="1:19" ht="15.6" hidden="1" customHeight="1" thickBot="1" x14ac:dyDescent="0.3">
      <c r="A2769" t="s">
        <v>23</v>
      </c>
      <c r="B2769" s="60" t="str">
        <f t="shared" si="1982"/>
        <v>hide</v>
      </c>
      <c r="D2769" s="48" t="str">
        <f>D2768</f>
        <v>37407</v>
      </c>
      <c r="E2769" s="7"/>
      <c r="F2769" s="27">
        <v>0</v>
      </c>
      <c r="G2769" s="27">
        <v>0</v>
      </c>
      <c r="H2769" s="27">
        <v>0</v>
      </c>
      <c r="I2769" s="27">
        <v>0</v>
      </c>
      <c r="J2769" s="27">
        <v>0</v>
      </c>
      <c r="K2769" s="63">
        <f>AVERAGE(I2769:J2769)</f>
        <v>0</v>
      </c>
      <c r="L2769" s="56" t="str">
        <f>"EQP-LAWPACK1"</f>
        <v>EQP-LAWPACK1</v>
      </c>
      <c r="M2769" s="14"/>
      <c r="N2769" s="15"/>
      <c r="O2769" s="12"/>
      <c r="P2769" s="34"/>
      <c r="Q2769" s="37"/>
      <c r="R2769" s="47"/>
      <c r="S2769" s="46"/>
    </row>
    <row r="2770" spans="1:19" ht="15.6" hidden="1" customHeight="1" thickBot="1" x14ac:dyDescent="0.3">
      <c r="A2770" t="s">
        <v>23</v>
      </c>
      <c r="B2770" s="60" t="str">
        <f t="shared" ref="B2770:B2772" si="1985">IF(K2770=0,"hide","")</f>
        <v>hide</v>
      </c>
      <c r="D2770" s="48" t="str">
        <f>D2769</f>
        <v>37407</v>
      </c>
      <c r="E2770" s="7"/>
      <c r="F2770" s="27">
        <v>0</v>
      </c>
      <c r="G2770" s="27">
        <v>0</v>
      </c>
      <c r="H2770" s="27">
        <v>0</v>
      </c>
      <c r="I2770" s="27">
        <v>0</v>
      </c>
      <c r="J2770" s="27">
        <v>0</v>
      </c>
      <c r="K2770" s="63">
        <f>AVERAGE(I2770:J2770)</f>
        <v>0</v>
      </c>
      <c r="L2770" s="56" t="str">
        <f>"EQP-LAWPACK2"</f>
        <v>EQP-LAWPACK2</v>
      </c>
      <c r="M2770" s="14"/>
      <c r="N2770" s="15"/>
      <c r="O2770" s="12"/>
      <c r="P2770" s="34"/>
      <c r="Q2770" s="37"/>
      <c r="R2770" s="47"/>
      <c r="S2770" s="46"/>
    </row>
    <row r="2771" spans="1:19" ht="15.6" hidden="1" customHeight="1" thickBot="1" x14ac:dyDescent="0.3">
      <c r="A2771" t="s">
        <v>23</v>
      </c>
      <c r="B2771" s="60" t="str">
        <f t="shared" si="1985"/>
        <v>hide</v>
      </c>
      <c r="D2771" s="48" t="str">
        <f>D2770</f>
        <v>37407</v>
      </c>
      <c r="E2771" s="7"/>
      <c r="F2771" s="27">
        <v>0</v>
      </c>
      <c r="G2771" s="27">
        <v>0</v>
      </c>
      <c r="H2771" s="27">
        <v>0</v>
      </c>
      <c r="I2771" s="27">
        <v>0</v>
      </c>
      <c r="J2771" s="27">
        <v>0</v>
      </c>
      <c r="K2771" s="63">
        <f>AVERAGE(I2771:J2771)</f>
        <v>0</v>
      </c>
      <c r="L2771" s="56" t="str">
        <f>"SW-COMAS-PACKL"</f>
        <v>SW-COMAS-PACKL</v>
      </c>
      <c r="M2771" s="14"/>
      <c r="N2771" s="15"/>
      <c r="O2771" s="12"/>
      <c r="P2771" s="34"/>
      <c r="Q2771" s="37"/>
      <c r="R2771" s="47"/>
      <c r="S2771" s="46"/>
    </row>
    <row r="2772" spans="1:19" ht="15.6" hidden="1" customHeight="1" thickBot="1" x14ac:dyDescent="0.3">
      <c r="A2772" t="s">
        <v>23</v>
      </c>
      <c r="B2772" s="60" t="str">
        <f t="shared" si="1985"/>
        <v>hide</v>
      </c>
      <c r="D2772" s="48" t="str">
        <f>D2771</f>
        <v>37407</v>
      </c>
      <c r="E2772" s="7"/>
      <c r="F2772" s="27">
        <v>0</v>
      </c>
      <c r="G2772" s="27">
        <v>0</v>
      </c>
      <c r="H2772" s="27">
        <v>0</v>
      </c>
      <c r="I2772" s="27">
        <v>0</v>
      </c>
      <c r="J2772" s="27">
        <v>0</v>
      </c>
      <c r="K2772" s="63">
        <f>AVERAGE(I2772:J2772)</f>
        <v>0</v>
      </c>
      <c r="L2772" s="56" t="str">
        <f>"SW-RISER-PACK"</f>
        <v>SW-RISER-PACK</v>
      </c>
      <c r="M2772" s="14"/>
      <c r="N2772" s="15"/>
      <c r="O2772" s="12"/>
      <c r="P2772" s="34"/>
      <c r="Q2772" s="37"/>
      <c r="R2772" s="47"/>
      <c r="S2772" s="46"/>
    </row>
    <row r="2773" spans="1:19" ht="12" hidden="1" customHeight="1" x14ac:dyDescent="0.3">
      <c r="A2773" s="35" t="s">
        <v>908</v>
      </c>
      <c r="B2773" s="49" t="str">
        <f>B2769</f>
        <v>hide</v>
      </c>
      <c r="N2773"/>
      <c r="Q2773" s="33"/>
    </row>
    <row r="2774" spans="1:19" ht="13.8" hidden="1" thickBot="1" x14ac:dyDescent="0.3">
      <c r="A2774" t="s">
        <v>23</v>
      </c>
      <c r="B2774" s="49" t="str">
        <f t="shared" ref="B2774" si="1986">B2773</f>
        <v>hide</v>
      </c>
      <c r="D2774" s="58"/>
      <c r="E2774" s="58"/>
      <c r="F2774" s="52">
        <f>SUM(F2769:F2773)</f>
        <v>0</v>
      </c>
      <c r="G2774" s="52">
        <f>SUM(G2769:G2773)</f>
        <v>0</v>
      </c>
      <c r="H2774" s="52">
        <f>SUM(H2769:H2773)</f>
        <v>0</v>
      </c>
      <c r="I2774" s="52">
        <f>SUM(I2769:I2773)</f>
        <v>0</v>
      </c>
      <c r="J2774" s="52">
        <f>SUM(J2769:J2773)</f>
        <v>0</v>
      </c>
      <c r="K2774" s="52"/>
      <c r="L2774" s="51" t="s">
        <v>4</v>
      </c>
      <c r="M2774" s="58"/>
      <c r="N2774" s="58"/>
      <c r="O2774" s="58"/>
      <c r="P2774" s="58"/>
      <c r="Q2774" s="58"/>
      <c r="R2774" s="58"/>
      <c r="S2774" s="58"/>
    </row>
    <row r="2775" spans="1:19" s="59" customFormat="1" ht="18.75" customHeight="1" thickBot="1" x14ac:dyDescent="0.3">
      <c r="A2775" s="59" t="s">
        <v>23</v>
      </c>
      <c r="B2775" s="60" t="str">
        <f t="shared" ref="B2775:B2776" si="1987">IF(K2775=0,"hide","")</f>
        <v/>
      </c>
      <c r="D2775" s="61" t="str">
        <f>"37409"</f>
        <v>37409</v>
      </c>
      <c r="E2775" s="62" t="str">
        <f>"5"</f>
        <v>5</v>
      </c>
      <c r="F2775" s="63">
        <v>72.083333333333329</v>
      </c>
      <c r="G2775" s="63">
        <v>62.75</v>
      </c>
      <c r="H2775" s="63">
        <v>68</v>
      </c>
      <c r="I2775" s="63">
        <v>60.5</v>
      </c>
      <c r="J2775" s="63">
        <v>13.843132530120483</v>
      </c>
      <c r="K2775" s="63">
        <f>AVERAGE(I2775:J2775)</f>
        <v>37.171566265060243</v>
      </c>
      <c r="L2775" s="64" t="str">
        <f>"HONEY RAISIN BRAN MUFFINS"</f>
        <v>HONEY RAISIN BRAN MUFFINS</v>
      </c>
      <c r="M2775" s="65" t="str">
        <f>"24-4.5 oz. 6-4 pack"</f>
        <v>24-4.5 oz. 6-4 pack</v>
      </c>
      <c r="N2775" s="66">
        <v>24</v>
      </c>
      <c r="O2775" s="67" t="str">
        <f>""</f>
        <v/>
      </c>
      <c r="P2775" s="68" t="e">
        <f>1/O2775</f>
        <v>#VALUE!</v>
      </c>
      <c r="Q2775" s="53">
        <v>1</v>
      </c>
      <c r="R2775" s="69">
        <f t="shared" ref="R2775" si="1988">1/Q2775</f>
        <v>1</v>
      </c>
      <c r="S2775" s="70">
        <f t="shared" ref="S2775" si="1989">R2775*N2775</f>
        <v>24</v>
      </c>
    </row>
    <row r="2776" spans="1:19" ht="15.6" hidden="1" customHeight="1" thickBot="1" x14ac:dyDescent="0.3">
      <c r="A2776" t="s">
        <v>23</v>
      </c>
      <c r="B2776" s="60" t="str">
        <f t="shared" si="1987"/>
        <v>hide</v>
      </c>
      <c r="D2776" s="48" t="str">
        <f>D2775</f>
        <v>37409</v>
      </c>
      <c r="E2776" s="7"/>
      <c r="F2776" s="27">
        <v>0</v>
      </c>
      <c r="G2776" s="27">
        <v>0</v>
      </c>
      <c r="H2776" s="27">
        <v>0</v>
      </c>
      <c r="I2776" s="27">
        <v>0</v>
      </c>
      <c r="J2776" s="27">
        <v>0</v>
      </c>
      <c r="K2776" s="63">
        <f>AVERAGE(I2776:J2776)</f>
        <v>0</v>
      </c>
      <c r="L2776" s="56" t="str">
        <f>"EQP-LAWPACK1"</f>
        <v>EQP-LAWPACK1</v>
      </c>
      <c r="M2776" s="14"/>
      <c r="N2776" s="15"/>
      <c r="O2776" s="12"/>
      <c r="P2776" s="34"/>
      <c r="Q2776" s="37"/>
      <c r="R2776" s="47"/>
      <c r="S2776" s="46"/>
    </row>
    <row r="2777" spans="1:19" ht="15.6" hidden="1" customHeight="1" thickBot="1" x14ac:dyDescent="0.3">
      <c r="A2777" t="s">
        <v>23</v>
      </c>
      <c r="B2777" s="60" t="str">
        <f t="shared" ref="B2777:B2779" si="1990">IF(K2777=0,"hide","")</f>
        <v>hide</v>
      </c>
      <c r="D2777" s="48" t="str">
        <f>D2776</f>
        <v>37409</v>
      </c>
      <c r="E2777" s="7"/>
      <c r="F2777" s="27">
        <v>0</v>
      </c>
      <c r="G2777" s="27">
        <v>0</v>
      </c>
      <c r="H2777" s="27">
        <v>0</v>
      </c>
      <c r="I2777" s="27">
        <v>0</v>
      </c>
      <c r="J2777" s="27">
        <v>0</v>
      </c>
      <c r="K2777" s="63">
        <f>AVERAGE(I2777:J2777)</f>
        <v>0</v>
      </c>
      <c r="L2777" s="56" t="str">
        <f>"EQP-LAWPACK2"</f>
        <v>EQP-LAWPACK2</v>
      </c>
      <c r="M2777" s="14"/>
      <c r="N2777" s="15"/>
      <c r="O2777" s="12"/>
      <c r="P2777" s="34"/>
      <c r="Q2777" s="37"/>
      <c r="R2777" s="47"/>
      <c r="S2777" s="46"/>
    </row>
    <row r="2778" spans="1:19" ht="15.6" hidden="1" customHeight="1" thickBot="1" x14ac:dyDescent="0.3">
      <c r="A2778" t="s">
        <v>23</v>
      </c>
      <c r="B2778" s="60" t="str">
        <f t="shared" si="1990"/>
        <v>hide</v>
      </c>
      <c r="D2778" s="48" t="str">
        <f>D2777</f>
        <v>37409</v>
      </c>
      <c r="E2778" s="7"/>
      <c r="F2778" s="27">
        <v>0</v>
      </c>
      <c r="G2778" s="27">
        <v>0</v>
      </c>
      <c r="H2778" s="27">
        <v>0</v>
      </c>
      <c r="I2778" s="27">
        <v>0</v>
      </c>
      <c r="J2778" s="27">
        <v>0</v>
      </c>
      <c r="K2778" s="63">
        <f>AVERAGE(I2778:J2778)</f>
        <v>0</v>
      </c>
      <c r="L2778" s="56" t="str">
        <f>"SW-COMAS-PACKL"</f>
        <v>SW-COMAS-PACKL</v>
      </c>
      <c r="M2778" s="14"/>
      <c r="N2778" s="15"/>
      <c r="O2778" s="12"/>
      <c r="P2778" s="34"/>
      <c r="Q2778" s="37"/>
      <c r="R2778" s="47"/>
      <c r="S2778" s="46"/>
    </row>
    <row r="2779" spans="1:19" ht="15.6" hidden="1" customHeight="1" thickBot="1" x14ac:dyDescent="0.3">
      <c r="A2779" t="s">
        <v>23</v>
      </c>
      <c r="B2779" s="60" t="str">
        <f t="shared" si="1990"/>
        <v>hide</v>
      </c>
      <c r="D2779" s="48" t="str">
        <f>D2778</f>
        <v>37409</v>
      </c>
      <c r="E2779" s="7"/>
      <c r="F2779" s="27">
        <v>0</v>
      </c>
      <c r="G2779" s="27">
        <v>0</v>
      </c>
      <c r="H2779" s="27">
        <v>0</v>
      </c>
      <c r="I2779" s="27">
        <v>0</v>
      </c>
      <c r="J2779" s="27">
        <v>0</v>
      </c>
      <c r="K2779" s="63">
        <f>AVERAGE(I2779:J2779)</f>
        <v>0</v>
      </c>
      <c r="L2779" s="56" t="str">
        <f>"SW-RISER-PACK"</f>
        <v>SW-RISER-PACK</v>
      </c>
      <c r="M2779" s="14"/>
      <c r="N2779" s="15"/>
      <c r="O2779" s="12"/>
      <c r="P2779" s="34"/>
      <c r="Q2779" s="37"/>
      <c r="R2779" s="47"/>
      <c r="S2779" s="46"/>
    </row>
    <row r="2780" spans="1:19" ht="12" hidden="1" customHeight="1" x14ac:dyDescent="0.3">
      <c r="A2780" s="35" t="s">
        <v>908</v>
      </c>
      <c r="B2780" s="49" t="str">
        <f>B2776</f>
        <v>hide</v>
      </c>
      <c r="N2780"/>
      <c r="Q2780" s="33"/>
    </row>
    <row r="2781" spans="1:19" ht="13.8" hidden="1" thickBot="1" x14ac:dyDescent="0.3">
      <c r="A2781" t="s">
        <v>23</v>
      </c>
      <c r="B2781" s="49" t="str">
        <f t="shared" ref="B2781" si="1991">B2780</f>
        <v>hide</v>
      </c>
      <c r="D2781" s="58"/>
      <c r="E2781" s="58"/>
      <c r="F2781" s="52">
        <f>SUM(F2776:F2780)</f>
        <v>0</v>
      </c>
      <c r="G2781" s="52">
        <f>SUM(G2776:G2780)</f>
        <v>0</v>
      </c>
      <c r="H2781" s="52">
        <f>SUM(H2776:H2780)</f>
        <v>0</v>
      </c>
      <c r="I2781" s="52">
        <f>SUM(I2776:I2780)</f>
        <v>0</v>
      </c>
      <c r="J2781" s="52">
        <f>SUM(J2776:J2780)</f>
        <v>0</v>
      </c>
      <c r="K2781" s="52"/>
      <c r="L2781" s="51" t="s">
        <v>4</v>
      </c>
      <c r="M2781" s="58"/>
      <c r="N2781" s="58"/>
      <c r="O2781" s="58"/>
      <c r="P2781" s="58"/>
      <c r="Q2781" s="58"/>
      <c r="R2781" s="58"/>
      <c r="S2781" s="58"/>
    </row>
    <row r="2782" spans="1:19" s="59" customFormat="1" ht="18.75" customHeight="1" thickBot="1" x14ac:dyDescent="0.3">
      <c r="A2782" s="59" t="s">
        <v>23</v>
      </c>
      <c r="B2782" s="60" t="str">
        <f t="shared" ref="B2782:B2783" si="1992">IF(K2782=0,"hide","")</f>
        <v/>
      </c>
      <c r="D2782" s="61" t="str">
        <f>"37410"</f>
        <v>37410</v>
      </c>
      <c r="E2782" s="62" t="str">
        <f>"7"</f>
        <v>7</v>
      </c>
      <c r="F2782" s="63">
        <v>144.58333333333334</v>
      </c>
      <c r="G2782" s="63">
        <v>339.58333333333331</v>
      </c>
      <c r="H2782" s="63">
        <v>250.91666666666666</v>
      </c>
      <c r="I2782" s="63">
        <v>253.75</v>
      </c>
      <c r="J2782" s="63">
        <v>146.4098795180723</v>
      </c>
      <c r="K2782" s="63">
        <f>AVERAGE(I2782:J2782)</f>
        <v>200.07993975903617</v>
      </c>
      <c r="L2782" s="64" t="str">
        <f>"CHOCOLATE CHIP MUFFINS"</f>
        <v>CHOCOLATE CHIP MUFFINS</v>
      </c>
      <c r="M2782" s="65" t="str">
        <f>"24-4.5 oz. 6-4 pack"</f>
        <v>24-4.5 oz. 6-4 pack</v>
      </c>
      <c r="N2782" s="66">
        <v>24</v>
      </c>
      <c r="O2782" s="67">
        <v>4.1999999999999997E-3</v>
      </c>
      <c r="P2782" s="68">
        <f>1/O2782</f>
        <v>238.0952380952381</v>
      </c>
      <c r="Q2782" s="53">
        <v>4.4000000000000003E-3</v>
      </c>
      <c r="R2782" s="69">
        <f t="shared" ref="R2782" si="1993">1/Q2782</f>
        <v>227.27272727272725</v>
      </c>
      <c r="S2782" s="70">
        <f t="shared" ref="S2782" si="1994">R2782*N2782</f>
        <v>5454.545454545454</v>
      </c>
    </row>
    <row r="2783" spans="1:19" ht="15.6" hidden="1" customHeight="1" thickBot="1" x14ac:dyDescent="0.3">
      <c r="A2783" t="s">
        <v>23</v>
      </c>
      <c r="B2783" s="60" t="str">
        <f t="shared" si="1992"/>
        <v>hide</v>
      </c>
      <c r="D2783" s="48" t="str">
        <f>D2782</f>
        <v>37410</v>
      </c>
      <c r="E2783" s="7"/>
      <c r="F2783" s="27">
        <v>0</v>
      </c>
      <c r="G2783" s="27">
        <v>-177.10833333333335</v>
      </c>
      <c r="H2783" s="27">
        <v>0</v>
      </c>
      <c r="I2783" s="27">
        <v>0</v>
      </c>
      <c r="J2783" s="27">
        <v>0</v>
      </c>
      <c r="K2783" s="63">
        <f>AVERAGE(I2783:J2783)</f>
        <v>0</v>
      </c>
      <c r="L2783" s="56" t="str">
        <f>"EQP-LAWPACK1"</f>
        <v>EQP-LAWPACK1</v>
      </c>
      <c r="M2783" s="14"/>
      <c r="N2783" s="15"/>
      <c r="O2783" s="12"/>
      <c r="P2783" s="34"/>
      <c r="Q2783" s="37"/>
      <c r="R2783" s="47"/>
      <c r="S2783" s="46"/>
    </row>
    <row r="2784" spans="1:19" ht="15.6" hidden="1" customHeight="1" thickBot="1" x14ac:dyDescent="0.3">
      <c r="A2784" t="s">
        <v>23</v>
      </c>
      <c r="B2784" s="60" t="str">
        <f t="shared" ref="B2784:B2786" si="1995">IF(K2784=0,"hide","")</f>
        <v>hide</v>
      </c>
      <c r="D2784" s="48" t="str">
        <f>D2783</f>
        <v>37410</v>
      </c>
      <c r="E2784" s="7"/>
      <c r="F2784" s="27">
        <v>0</v>
      </c>
      <c r="G2784" s="27">
        <v>0</v>
      </c>
      <c r="H2784" s="27">
        <v>0</v>
      </c>
      <c r="I2784" s="27">
        <v>0</v>
      </c>
      <c r="J2784" s="27">
        <v>0</v>
      </c>
      <c r="K2784" s="63">
        <f>AVERAGE(I2784:J2784)</f>
        <v>0</v>
      </c>
      <c r="L2784" s="56" t="str">
        <f>"EQP-LAWPACK2"</f>
        <v>EQP-LAWPACK2</v>
      </c>
      <c r="M2784" s="14"/>
      <c r="N2784" s="15"/>
      <c r="O2784" s="12"/>
      <c r="P2784" s="34"/>
      <c r="Q2784" s="37"/>
      <c r="R2784" s="47"/>
      <c r="S2784" s="46"/>
    </row>
    <row r="2785" spans="1:19" ht="15.6" hidden="1" customHeight="1" thickBot="1" x14ac:dyDescent="0.3">
      <c r="A2785" t="s">
        <v>23</v>
      </c>
      <c r="B2785" s="60" t="str">
        <f t="shared" si="1995"/>
        <v>hide</v>
      </c>
      <c r="D2785" s="48" t="str">
        <f>D2784</f>
        <v>37410</v>
      </c>
      <c r="E2785" s="7"/>
      <c r="F2785" s="27">
        <v>0</v>
      </c>
      <c r="G2785" s="27">
        <v>0</v>
      </c>
      <c r="H2785" s="27">
        <v>0</v>
      </c>
      <c r="I2785" s="27">
        <v>0</v>
      </c>
      <c r="J2785" s="27">
        <v>0</v>
      </c>
      <c r="K2785" s="63">
        <f>AVERAGE(I2785:J2785)</f>
        <v>0</v>
      </c>
      <c r="L2785" s="56" t="str">
        <f>"SW-COMAS-PACKL"</f>
        <v>SW-COMAS-PACKL</v>
      </c>
      <c r="M2785" s="14"/>
      <c r="N2785" s="15"/>
      <c r="O2785" s="12"/>
      <c r="P2785" s="34"/>
      <c r="Q2785" s="37"/>
      <c r="R2785" s="47"/>
      <c r="S2785" s="46"/>
    </row>
    <row r="2786" spans="1:19" ht="15.6" hidden="1" customHeight="1" thickBot="1" x14ac:dyDescent="0.3">
      <c r="A2786" t="s">
        <v>23</v>
      </c>
      <c r="B2786" s="60" t="str">
        <f t="shared" si="1995"/>
        <v>hide</v>
      </c>
      <c r="D2786" s="48" t="str">
        <f>D2785</f>
        <v>37410</v>
      </c>
      <c r="E2786" s="7"/>
      <c r="F2786" s="27">
        <v>0</v>
      </c>
      <c r="G2786" s="27">
        <v>0</v>
      </c>
      <c r="H2786" s="27">
        <v>0</v>
      </c>
      <c r="I2786" s="27">
        <v>0</v>
      </c>
      <c r="J2786" s="27">
        <v>0</v>
      </c>
      <c r="K2786" s="63">
        <f>AVERAGE(I2786:J2786)</f>
        <v>0</v>
      </c>
      <c r="L2786" s="56" t="str">
        <f>"SW-RISER-PACK"</f>
        <v>SW-RISER-PACK</v>
      </c>
      <c r="M2786" s="14"/>
      <c r="N2786" s="15"/>
      <c r="O2786" s="12"/>
      <c r="P2786" s="34"/>
      <c r="Q2786" s="37"/>
      <c r="R2786" s="47"/>
      <c r="S2786" s="46"/>
    </row>
    <row r="2787" spans="1:19" ht="12" hidden="1" customHeight="1" x14ac:dyDescent="0.3">
      <c r="A2787" s="35" t="s">
        <v>908</v>
      </c>
      <c r="B2787" s="49" t="str">
        <f>B2783</f>
        <v>hide</v>
      </c>
      <c r="N2787"/>
      <c r="Q2787" s="33"/>
    </row>
    <row r="2788" spans="1:19" ht="13.8" hidden="1" thickBot="1" x14ac:dyDescent="0.3">
      <c r="A2788" t="s">
        <v>23</v>
      </c>
      <c r="B2788" s="49" t="str">
        <f t="shared" ref="B2788" si="1996">B2787</f>
        <v>hide</v>
      </c>
      <c r="D2788" s="58"/>
      <c r="E2788" s="58"/>
      <c r="F2788" s="52">
        <f>SUM(F2783:F2787)</f>
        <v>0</v>
      </c>
      <c r="G2788" s="52">
        <f>SUM(G2783:G2787)</f>
        <v>-177.10833333333335</v>
      </c>
      <c r="H2788" s="52">
        <f>SUM(H2783:H2787)</f>
        <v>0</v>
      </c>
      <c r="I2788" s="52">
        <f>SUM(I2783:I2787)</f>
        <v>0</v>
      </c>
      <c r="J2788" s="52">
        <f>SUM(J2783:J2787)</f>
        <v>0</v>
      </c>
      <c r="K2788" s="52"/>
      <c r="L2788" s="51" t="s">
        <v>4</v>
      </c>
      <c r="M2788" s="58"/>
      <c r="N2788" s="58"/>
      <c r="O2788" s="58"/>
      <c r="P2788" s="58"/>
      <c r="Q2788" s="58"/>
      <c r="R2788" s="58"/>
      <c r="S2788" s="58"/>
    </row>
    <row r="2789" spans="1:19" s="59" customFormat="1" ht="18.75" hidden="1" customHeight="1" thickBot="1" x14ac:dyDescent="0.3">
      <c r="A2789" s="59" t="s">
        <v>23</v>
      </c>
      <c r="B2789" s="60" t="str">
        <f t="shared" ref="B2789:B2790" si="1997">IF(K2789=0,"hide","")</f>
        <v>hide</v>
      </c>
      <c r="D2789" s="61" t="str">
        <f>"37422"</f>
        <v>37422</v>
      </c>
      <c r="E2789" s="62" t="str">
        <f>"3"</f>
        <v>3</v>
      </c>
      <c r="F2789" s="63">
        <v>0</v>
      </c>
      <c r="G2789" s="63">
        <v>0</v>
      </c>
      <c r="H2789" s="63">
        <v>0</v>
      </c>
      <c r="I2789" s="63">
        <v>0</v>
      </c>
      <c r="J2789" s="63">
        <v>0</v>
      </c>
      <c r="K2789" s="63">
        <f>AVERAGE(I2789:J2789)</f>
        <v>0</v>
      </c>
      <c r="L2789" s="64" t="str">
        <f>"LEMON POPPY MUFFINS"</f>
        <v>LEMON POPPY MUFFINS</v>
      </c>
      <c r="M2789" s="65" t="str">
        <f>"24-4.5 oz. 6-4 pack"</f>
        <v>24-4.5 oz. 6-4 pack</v>
      </c>
      <c r="N2789" s="66">
        <v>24</v>
      </c>
      <c r="O2789" s="67" t="str">
        <f>""</f>
        <v/>
      </c>
      <c r="P2789" s="68" t="e">
        <f>1/O2789</f>
        <v>#VALUE!</v>
      </c>
      <c r="Q2789" s="53">
        <v>1</v>
      </c>
      <c r="R2789" s="69">
        <f t="shared" ref="R2789" si="1998">1/Q2789</f>
        <v>1</v>
      </c>
      <c r="S2789" s="70">
        <f t="shared" ref="S2789" si="1999">R2789*N2789</f>
        <v>24</v>
      </c>
    </row>
    <row r="2790" spans="1:19" ht="15.6" hidden="1" customHeight="1" thickBot="1" x14ac:dyDescent="0.3">
      <c r="A2790" t="s">
        <v>23</v>
      </c>
      <c r="B2790" s="60" t="str">
        <f t="shared" si="1997"/>
        <v>hide</v>
      </c>
      <c r="D2790" s="48" t="str">
        <f>D2789</f>
        <v>37422</v>
      </c>
      <c r="E2790" s="7"/>
      <c r="F2790" s="27">
        <v>0</v>
      </c>
      <c r="G2790" s="27">
        <v>0</v>
      </c>
      <c r="H2790" s="27">
        <v>0</v>
      </c>
      <c r="I2790" s="27">
        <v>0</v>
      </c>
      <c r="J2790" s="27">
        <v>0</v>
      </c>
      <c r="K2790" s="63">
        <f>AVERAGE(I2790:J2790)</f>
        <v>0</v>
      </c>
      <c r="L2790" s="56" t="str">
        <f>"EQP-LAWPACK1"</f>
        <v>EQP-LAWPACK1</v>
      </c>
      <c r="M2790" s="14"/>
      <c r="N2790" s="15"/>
      <c r="O2790" s="12"/>
      <c r="P2790" s="34"/>
      <c r="Q2790" s="37"/>
      <c r="R2790" s="47"/>
      <c r="S2790" s="46"/>
    </row>
    <row r="2791" spans="1:19" ht="15.6" hidden="1" customHeight="1" thickBot="1" x14ac:dyDescent="0.3">
      <c r="A2791" t="s">
        <v>23</v>
      </c>
      <c r="B2791" s="60" t="str">
        <f t="shared" ref="B2791:B2793" si="2000">IF(K2791=0,"hide","")</f>
        <v>hide</v>
      </c>
      <c r="D2791" s="48" t="str">
        <f>D2790</f>
        <v>37422</v>
      </c>
      <c r="E2791" s="7"/>
      <c r="F2791" s="27">
        <v>0</v>
      </c>
      <c r="G2791" s="27">
        <v>0</v>
      </c>
      <c r="H2791" s="27">
        <v>0</v>
      </c>
      <c r="I2791" s="27">
        <v>0</v>
      </c>
      <c r="J2791" s="27">
        <v>0</v>
      </c>
      <c r="K2791" s="63">
        <f>AVERAGE(I2791:J2791)</f>
        <v>0</v>
      </c>
      <c r="L2791" s="56" t="str">
        <f>"EQP-LAWPACK2"</f>
        <v>EQP-LAWPACK2</v>
      </c>
      <c r="M2791" s="14"/>
      <c r="N2791" s="15"/>
      <c r="O2791" s="12"/>
      <c r="P2791" s="34"/>
      <c r="Q2791" s="37"/>
      <c r="R2791" s="47"/>
      <c r="S2791" s="46"/>
    </row>
    <row r="2792" spans="1:19" ht="15.6" hidden="1" customHeight="1" thickBot="1" x14ac:dyDescent="0.3">
      <c r="A2792" t="s">
        <v>23</v>
      </c>
      <c r="B2792" s="60" t="str">
        <f t="shared" si="2000"/>
        <v>hide</v>
      </c>
      <c r="D2792" s="48" t="str">
        <f>D2791</f>
        <v>37422</v>
      </c>
      <c r="E2792" s="7"/>
      <c r="F2792" s="27">
        <v>0</v>
      </c>
      <c r="G2792" s="27">
        <v>0</v>
      </c>
      <c r="H2792" s="27">
        <v>0</v>
      </c>
      <c r="I2792" s="27">
        <v>0</v>
      </c>
      <c r="J2792" s="27">
        <v>0</v>
      </c>
      <c r="K2792" s="63">
        <f>AVERAGE(I2792:J2792)</f>
        <v>0</v>
      </c>
      <c r="L2792" s="56" t="str">
        <f>"SW-COMAS-PACKL"</f>
        <v>SW-COMAS-PACKL</v>
      </c>
      <c r="M2792" s="14"/>
      <c r="N2792" s="15"/>
      <c r="O2792" s="12"/>
      <c r="P2792" s="34"/>
      <c r="Q2792" s="37"/>
      <c r="R2792" s="47"/>
      <c r="S2792" s="46"/>
    </row>
    <row r="2793" spans="1:19" ht="15.6" hidden="1" customHeight="1" thickBot="1" x14ac:dyDescent="0.3">
      <c r="A2793" t="s">
        <v>23</v>
      </c>
      <c r="B2793" s="60" t="str">
        <f t="shared" si="2000"/>
        <v>hide</v>
      </c>
      <c r="D2793" s="48" t="str">
        <f>D2792</f>
        <v>37422</v>
      </c>
      <c r="E2793" s="7"/>
      <c r="F2793" s="27">
        <v>0</v>
      </c>
      <c r="G2793" s="27">
        <v>0</v>
      </c>
      <c r="H2793" s="27">
        <v>0</v>
      </c>
      <c r="I2793" s="27">
        <v>0</v>
      </c>
      <c r="J2793" s="27">
        <v>0</v>
      </c>
      <c r="K2793" s="63">
        <f>AVERAGE(I2793:J2793)</f>
        <v>0</v>
      </c>
      <c r="L2793" s="56" t="str">
        <f>"SW-RISER-PACK"</f>
        <v>SW-RISER-PACK</v>
      </c>
      <c r="M2793" s="14"/>
      <c r="N2793" s="15"/>
      <c r="O2793" s="12"/>
      <c r="P2793" s="34"/>
      <c r="Q2793" s="37"/>
      <c r="R2793" s="47"/>
      <c r="S2793" s="46"/>
    </row>
    <row r="2794" spans="1:19" ht="12" hidden="1" customHeight="1" x14ac:dyDescent="0.3">
      <c r="A2794" s="35" t="s">
        <v>908</v>
      </c>
      <c r="B2794" s="49" t="str">
        <f>B2790</f>
        <v>hide</v>
      </c>
      <c r="N2794"/>
      <c r="Q2794" s="33"/>
    </row>
    <row r="2795" spans="1:19" ht="13.8" hidden="1" thickBot="1" x14ac:dyDescent="0.3">
      <c r="A2795" t="s">
        <v>23</v>
      </c>
      <c r="B2795" s="49" t="str">
        <f t="shared" ref="B2795" si="2001">B2794</f>
        <v>hide</v>
      </c>
      <c r="D2795" s="58"/>
      <c r="E2795" s="58"/>
      <c r="F2795" s="52">
        <f>SUM(F2790:F2794)</f>
        <v>0</v>
      </c>
      <c r="G2795" s="52">
        <f>SUM(G2790:G2794)</f>
        <v>0</v>
      </c>
      <c r="H2795" s="52">
        <f>SUM(H2790:H2794)</f>
        <v>0</v>
      </c>
      <c r="I2795" s="52">
        <f>SUM(I2790:I2794)</f>
        <v>0</v>
      </c>
      <c r="J2795" s="52">
        <f>SUM(J2790:J2794)</f>
        <v>0</v>
      </c>
      <c r="K2795" s="52"/>
      <c r="L2795" s="51" t="s">
        <v>4</v>
      </c>
      <c r="M2795" s="58"/>
      <c r="N2795" s="58"/>
      <c r="O2795" s="58"/>
      <c r="P2795" s="58"/>
      <c r="Q2795" s="58"/>
      <c r="R2795" s="58"/>
      <c r="S2795" s="58"/>
    </row>
    <row r="2796" spans="1:19" s="59" customFormat="1" ht="18.75" hidden="1" customHeight="1" thickBot="1" x14ac:dyDescent="0.3">
      <c r="A2796" s="59" t="s">
        <v>23</v>
      </c>
      <c r="B2796" s="60" t="str">
        <f t="shared" ref="B2796:B2797" si="2002">IF(K2796=0,"hide","")</f>
        <v>hide</v>
      </c>
      <c r="D2796" s="61" t="str">
        <f>"37451"</f>
        <v>37451</v>
      </c>
      <c r="E2796" s="62" t="str">
        <f>"2"</f>
        <v>2</v>
      </c>
      <c r="F2796" s="63">
        <v>8.9166666666666679</v>
      </c>
      <c r="G2796" s="63">
        <v>0.83333333333333337</v>
      </c>
      <c r="H2796" s="63">
        <v>1.75</v>
      </c>
      <c r="I2796" s="63">
        <v>0</v>
      </c>
      <c r="J2796" s="63">
        <v>0</v>
      </c>
      <c r="K2796" s="63">
        <f>AVERAGE(I2796:J2796)</f>
        <v>0</v>
      </c>
      <c r="L2796" s="64" t="str">
        <f>"Banana Muffins"</f>
        <v>Banana Muffins</v>
      </c>
      <c r="M2796" s="65" t="str">
        <f>"24-4.5 oz. 6-4 pack"</f>
        <v>24-4.5 oz. 6-4 pack</v>
      </c>
      <c r="N2796" s="66">
        <v>24</v>
      </c>
      <c r="O2796" s="67" t="str">
        <f>""</f>
        <v/>
      </c>
      <c r="P2796" s="68" t="e">
        <f>1/O2796</f>
        <v>#VALUE!</v>
      </c>
      <c r="Q2796" s="53">
        <v>1</v>
      </c>
      <c r="R2796" s="69">
        <f t="shared" ref="R2796" si="2003">1/Q2796</f>
        <v>1</v>
      </c>
      <c r="S2796" s="70">
        <f t="shared" ref="S2796" si="2004">R2796*N2796</f>
        <v>24</v>
      </c>
    </row>
    <row r="2797" spans="1:19" ht="15.6" hidden="1" customHeight="1" thickBot="1" x14ac:dyDescent="0.3">
      <c r="A2797" t="s">
        <v>23</v>
      </c>
      <c r="B2797" s="60" t="str">
        <f t="shared" si="2002"/>
        <v>hide</v>
      </c>
      <c r="D2797" s="48" t="str">
        <f>D2796</f>
        <v>37451</v>
      </c>
      <c r="E2797" s="7"/>
      <c r="F2797" s="27">
        <v>0</v>
      </c>
      <c r="G2797" s="27">
        <v>0</v>
      </c>
      <c r="H2797" s="27">
        <v>0</v>
      </c>
      <c r="I2797" s="27">
        <v>0</v>
      </c>
      <c r="J2797" s="27">
        <v>0</v>
      </c>
      <c r="K2797" s="63">
        <f>AVERAGE(I2797:J2797)</f>
        <v>0</v>
      </c>
      <c r="L2797" s="56" t="str">
        <f>"EQP-LAWPACK1"</f>
        <v>EQP-LAWPACK1</v>
      </c>
      <c r="M2797" s="14"/>
      <c r="N2797" s="15"/>
      <c r="O2797" s="12"/>
      <c r="P2797" s="34"/>
      <c r="Q2797" s="37"/>
      <c r="R2797" s="47"/>
      <c r="S2797" s="46"/>
    </row>
    <row r="2798" spans="1:19" ht="15.6" hidden="1" customHeight="1" thickBot="1" x14ac:dyDescent="0.3">
      <c r="A2798" t="s">
        <v>23</v>
      </c>
      <c r="B2798" s="60" t="str">
        <f t="shared" ref="B2798:B2800" si="2005">IF(K2798=0,"hide","")</f>
        <v>hide</v>
      </c>
      <c r="D2798" s="48" t="str">
        <f>D2797</f>
        <v>37451</v>
      </c>
      <c r="E2798" s="7"/>
      <c r="F2798" s="27">
        <v>0</v>
      </c>
      <c r="G2798" s="27">
        <v>0</v>
      </c>
      <c r="H2798" s="27">
        <v>0</v>
      </c>
      <c r="I2798" s="27">
        <v>0</v>
      </c>
      <c r="J2798" s="27">
        <v>0</v>
      </c>
      <c r="K2798" s="63">
        <f>AVERAGE(I2798:J2798)</f>
        <v>0</v>
      </c>
      <c r="L2798" s="56" t="str">
        <f>"EQP-LAWPACK2"</f>
        <v>EQP-LAWPACK2</v>
      </c>
      <c r="M2798" s="14"/>
      <c r="N2798" s="15"/>
      <c r="O2798" s="12"/>
      <c r="P2798" s="34"/>
      <c r="Q2798" s="37"/>
      <c r="R2798" s="47"/>
      <c r="S2798" s="46"/>
    </row>
    <row r="2799" spans="1:19" ht="15.6" hidden="1" customHeight="1" thickBot="1" x14ac:dyDescent="0.3">
      <c r="A2799" t="s">
        <v>23</v>
      </c>
      <c r="B2799" s="60" t="str">
        <f t="shared" si="2005"/>
        <v>hide</v>
      </c>
      <c r="D2799" s="48" t="str">
        <f>D2798</f>
        <v>37451</v>
      </c>
      <c r="E2799" s="7"/>
      <c r="F2799" s="27">
        <v>0</v>
      </c>
      <c r="G2799" s="27">
        <v>0</v>
      </c>
      <c r="H2799" s="27">
        <v>0</v>
      </c>
      <c r="I2799" s="27">
        <v>0</v>
      </c>
      <c r="J2799" s="27">
        <v>0</v>
      </c>
      <c r="K2799" s="63">
        <f>AVERAGE(I2799:J2799)</f>
        <v>0</v>
      </c>
      <c r="L2799" s="56" t="str">
        <f>"SW-COMAS-PACKL"</f>
        <v>SW-COMAS-PACKL</v>
      </c>
      <c r="M2799" s="14"/>
      <c r="N2799" s="15"/>
      <c r="O2799" s="12"/>
      <c r="P2799" s="34"/>
      <c r="Q2799" s="37"/>
      <c r="R2799" s="47"/>
      <c r="S2799" s="46"/>
    </row>
    <row r="2800" spans="1:19" ht="15.6" hidden="1" customHeight="1" thickBot="1" x14ac:dyDescent="0.3">
      <c r="A2800" t="s">
        <v>23</v>
      </c>
      <c r="B2800" s="60" t="str">
        <f t="shared" si="2005"/>
        <v>hide</v>
      </c>
      <c r="D2800" s="48" t="str">
        <f>D2799</f>
        <v>37451</v>
      </c>
      <c r="E2800" s="7"/>
      <c r="F2800" s="27">
        <v>0</v>
      </c>
      <c r="G2800" s="27">
        <v>0</v>
      </c>
      <c r="H2800" s="27">
        <v>0</v>
      </c>
      <c r="I2800" s="27">
        <v>0</v>
      </c>
      <c r="J2800" s="27">
        <v>0</v>
      </c>
      <c r="K2800" s="63">
        <f>AVERAGE(I2800:J2800)</f>
        <v>0</v>
      </c>
      <c r="L2800" s="56" t="str">
        <f>"SW-RISER-PACK"</f>
        <v>SW-RISER-PACK</v>
      </c>
      <c r="M2800" s="14"/>
      <c r="N2800" s="15"/>
      <c r="O2800" s="12"/>
      <c r="P2800" s="34"/>
      <c r="Q2800" s="37"/>
      <c r="R2800" s="47"/>
      <c r="S2800" s="46"/>
    </row>
    <row r="2801" spans="1:19" ht="12" hidden="1" customHeight="1" x14ac:dyDescent="0.3">
      <c r="A2801" s="35" t="s">
        <v>908</v>
      </c>
      <c r="B2801" s="49" t="str">
        <f>B2797</f>
        <v>hide</v>
      </c>
      <c r="N2801"/>
      <c r="Q2801" s="33"/>
    </row>
    <row r="2802" spans="1:19" ht="13.8" hidden="1" thickBot="1" x14ac:dyDescent="0.3">
      <c r="A2802" t="s">
        <v>23</v>
      </c>
      <c r="B2802" s="49" t="str">
        <f t="shared" ref="B2802" si="2006">B2801</f>
        <v>hide</v>
      </c>
      <c r="D2802" s="58"/>
      <c r="E2802" s="58"/>
      <c r="F2802" s="52">
        <f>SUM(F2797:F2801)</f>
        <v>0</v>
      </c>
      <c r="G2802" s="52">
        <f>SUM(G2797:G2801)</f>
        <v>0</v>
      </c>
      <c r="H2802" s="52">
        <f>SUM(H2797:H2801)</f>
        <v>0</v>
      </c>
      <c r="I2802" s="52">
        <f>SUM(I2797:I2801)</f>
        <v>0</v>
      </c>
      <c r="J2802" s="52">
        <f>SUM(J2797:J2801)</f>
        <v>0</v>
      </c>
      <c r="K2802" s="52"/>
      <c r="L2802" s="51" t="s">
        <v>4</v>
      </c>
      <c r="M2802" s="58"/>
      <c r="N2802" s="58"/>
      <c r="O2802" s="58"/>
      <c r="P2802" s="58"/>
      <c r="Q2802" s="58"/>
      <c r="R2802" s="58"/>
      <c r="S2802" s="58"/>
    </row>
    <row r="2803" spans="1:19" s="59" customFormat="1" ht="18.75" hidden="1" customHeight="1" thickBot="1" x14ac:dyDescent="0.3">
      <c r="A2803" s="59" t="s">
        <v>23</v>
      </c>
      <c r="B2803" s="60" t="str">
        <f t="shared" ref="B2803:B2805" si="2007">IF(K2803=0,"hide","")</f>
        <v>hide</v>
      </c>
      <c r="D2803" s="61" t="str">
        <f>"37464"</f>
        <v>37464</v>
      </c>
      <c r="E2803" s="62" t="str">
        <f>"2"</f>
        <v>2</v>
      </c>
      <c r="F2803" s="63">
        <v>5.833333333333333</v>
      </c>
      <c r="G2803" s="63">
        <v>0</v>
      </c>
      <c r="H2803" s="63">
        <v>0</v>
      </c>
      <c r="I2803" s="63">
        <v>0</v>
      </c>
      <c r="J2803" s="63">
        <v>0</v>
      </c>
      <c r="K2803" s="63">
        <f t="shared" ref="K2803:K2808" si="2008">AVERAGE(I2803:J2803)</f>
        <v>0</v>
      </c>
      <c r="L2803" s="64" t="str">
        <f>"DOUBLE BERRY (LOW FAT) MUFFINS"</f>
        <v>DOUBLE BERRY (LOW FAT) MUFFINS</v>
      </c>
      <c r="M2803" s="65" t="str">
        <f>"24-4.5 oz. 6-4 pack"</f>
        <v>24-4.5 oz. 6-4 pack</v>
      </c>
      <c r="N2803" s="66">
        <v>24</v>
      </c>
      <c r="O2803" s="67" t="str">
        <f>""</f>
        <v/>
      </c>
      <c r="P2803" s="68" t="e">
        <f>1/O2803</f>
        <v>#VALUE!</v>
      </c>
      <c r="Q2803" s="53">
        <v>1</v>
      </c>
      <c r="R2803" s="69">
        <f t="shared" ref="R2803:R2804" si="2009">1/Q2803</f>
        <v>1</v>
      </c>
      <c r="S2803" s="70">
        <f t="shared" ref="S2803" si="2010">R2803*N2803</f>
        <v>24</v>
      </c>
    </row>
    <row r="2804" spans="1:19" s="59" customFormat="1" ht="18.75" hidden="1" customHeight="1" thickBot="1" x14ac:dyDescent="0.3">
      <c r="A2804" s="59" t="s">
        <v>23</v>
      </c>
      <c r="B2804" s="60" t="str">
        <f t="shared" ref="B2804" si="2011">IF(K2804=0,"hide","")</f>
        <v>hide</v>
      </c>
      <c r="D2804" s="61" t="str">
        <f>"37464"</f>
        <v>37464</v>
      </c>
      <c r="E2804" s="62" t="str">
        <f>"3"</f>
        <v>3</v>
      </c>
      <c r="F2804" s="63">
        <v>5.833333333333333</v>
      </c>
      <c r="G2804" s="63">
        <v>0</v>
      </c>
      <c r="H2804" s="63">
        <v>0</v>
      </c>
      <c r="I2804" s="63">
        <v>0</v>
      </c>
      <c r="J2804" s="63">
        <v>0</v>
      </c>
      <c r="K2804" s="63">
        <f t="shared" si="2008"/>
        <v>0</v>
      </c>
      <c r="L2804" s="64" t="str">
        <f>"DOUBLE BERRY (LOW FAT) MUFFINS"</f>
        <v>DOUBLE BERRY (LOW FAT) MUFFINS</v>
      </c>
      <c r="M2804" s="65" t="str">
        <f>"24-4.5 oz. 6-4 pack"</f>
        <v>24-4.5 oz. 6-4 pack</v>
      </c>
      <c r="N2804" s="66">
        <v>24</v>
      </c>
      <c r="O2804" s="67" t="str">
        <f>""</f>
        <v/>
      </c>
      <c r="P2804" s="68" t="e">
        <f>1/O2804</f>
        <v>#VALUE!</v>
      </c>
      <c r="Q2804" s="53">
        <v>1</v>
      </c>
      <c r="R2804" s="69">
        <f t="shared" si="2009"/>
        <v>1</v>
      </c>
      <c r="S2804" s="70">
        <f t="shared" ref="S2804" si="2012">R2804*N2804</f>
        <v>24</v>
      </c>
    </row>
    <row r="2805" spans="1:19" ht="15.6" hidden="1" customHeight="1" thickBot="1" x14ac:dyDescent="0.3">
      <c r="A2805" t="s">
        <v>23</v>
      </c>
      <c r="B2805" s="60" t="str">
        <f t="shared" si="2007"/>
        <v>hide</v>
      </c>
      <c r="D2805" s="48" t="str">
        <f>D2803</f>
        <v>37464</v>
      </c>
      <c r="E2805" s="7"/>
      <c r="F2805" s="27">
        <v>0</v>
      </c>
      <c r="G2805" s="27">
        <v>0</v>
      </c>
      <c r="H2805" s="27">
        <v>0</v>
      </c>
      <c r="I2805" s="27">
        <v>0</v>
      </c>
      <c r="J2805" s="27">
        <v>0</v>
      </c>
      <c r="K2805" s="63">
        <f t="shared" si="2008"/>
        <v>0</v>
      </c>
      <c r="L2805" s="56" t="str">
        <f>"EQP-LAWPACK1"</f>
        <v>EQP-LAWPACK1</v>
      </c>
      <c r="M2805" s="14"/>
      <c r="N2805" s="15"/>
      <c r="O2805" s="12"/>
      <c r="P2805" s="34"/>
      <c r="Q2805" s="37"/>
      <c r="R2805" s="47"/>
      <c r="S2805" s="46"/>
    </row>
    <row r="2806" spans="1:19" ht="15.6" hidden="1" customHeight="1" thickBot="1" x14ac:dyDescent="0.3">
      <c r="A2806" t="s">
        <v>23</v>
      </c>
      <c r="B2806" s="60" t="str">
        <f t="shared" ref="B2806:B2808" si="2013">IF(K2806=0,"hide","")</f>
        <v>hide</v>
      </c>
      <c r="D2806" s="48" t="str">
        <f>D2804</f>
        <v>37464</v>
      </c>
      <c r="E2806" s="7"/>
      <c r="F2806" s="27">
        <v>0</v>
      </c>
      <c r="G2806" s="27">
        <v>0</v>
      </c>
      <c r="H2806" s="27">
        <v>0</v>
      </c>
      <c r="I2806" s="27">
        <v>0</v>
      </c>
      <c r="J2806" s="27">
        <v>0</v>
      </c>
      <c r="K2806" s="63">
        <f t="shared" si="2008"/>
        <v>0</v>
      </c>
      <c r="L2806" s="56" t="str">
        <f>"EQP-LAWPACK2"</f>
        <v>EQP-LAWPACK2</v>
      </c>
      <c r="M2806" s="14"/>
      <c r="N2806" s="15"/>
      <c r="O2806" s="12"/>
      <c r="P2806" s="34"/>
      <c r="Q2806" s="37"/>
      <c r="R2806" s="47"/>
      <c r="S2806" s="46"/>
    </row>
    <row r="2807" spans="1:19" ht="15.6" hidden="1" customHeight="1" thickBot="1" x14ac:dyDescent="0.3">
      <c r="A2807" t="s">
        <v>23</v>
      </c>
      <c r="B2807" s="60" t="str">
        <f t="shared" si="2013"/>
        <v>hide</v>
      </c>
      <c r="D2807" s="48" t="str">
        <f>D2805</f>
        <v>37464</v>
      </c>
      <c r="E2807" s="7"/>
      <c r="F2807" s="27">
        <v>0</v>
      </c>
      <c r="G2807" s="27">
        <v>0</v>
      </c>
      <c r="H2807" s="27">
        <v>0</v>
      </c>
      <c r="I2807" s="27">
        <v>0</v>
      </c>
      <c r="J2807" s="27">
        <v>0</v>
      </c>
      <c r="K2807" s="63">
        <f t="shared" si="2008"/>
        <v>0</v>
      </c>
      <c r="L2807" s="56" t="str">
        <f>"SW-COMAS-PACKL"</f>
        <v>SW-COMAS-PACKL</v>
      </c>
      <c r="M2807" s="14"/>
      <c r="N2807" s="15"/>
      <c r="O2807" s="12"/>
      <c r="P2807" s="34"/>
      <c r="Q2807" s="37"/>
      <c r="R2807" s="47"/>
      <c r="S2807" s="46"/>
    </row>
    <row r="2808" spans="1:19" ht="15.6" hidden="1" customHeight="1" thickBot="1" x14ac:dyDescent="0.3">
      <c r="A2808" t="s">
        <v>23</v>
      </c>
      <c r="B2808" s="60" t="str">
        <f t="shared" si="2013"/>
        <v>hide</v>
      </c>
      <c r="D2808" s="48" t="str">
        <f>D2806</f>
        <v>37464</v>
      </c>
      <c r="E2808" s="7"/>
      <c r="F2808" s="27">
        <v>0</v>
      </c>
      <c r="G2808" s="27">
        <v>0</v>
      </c>
      <c r="H2808" s="27">
        <v>0</v>
      </c>
      <c r="I2808" s="27">
        <v>0</v>
      </c>
      <c r="J2808" s="27">
        <v>0</v>
      </c>
      <c r="K2808" s="63">
        <f t="shared" si="2008"/>
        <v>0</v>
      </c>
      <c r="L2808" s="56" t="str">
        <f>"SW-RISER-PACK"</f>
        <v>SW-RISER-PACK</v>
      </c>
      <c r="M2808" s="14"/>
      <c r="N2808" s="15"/>
      <c r="O2808" s="12"/>
      <c r="P2808" s="34"/>
      <c r="Q2808" s="37"/>
      <c r="R2808" s="47"/>
      <c r="S2808" s="46"/>
    </row>
    <row r="2809" spans="1:19" ht="12" hidden="1" customHeight="1" x14ac:dyDescent="0.3">
      <c r="A2809" s="35" t="s">
        <v>908</v>
      </c>
      <c r="B2809" s="49" t="str">
        <f>B2805</f>
        <v>hide</v>
      </c>
      <c r="N2809"/>
      <c r="Q2809" s="33"/>
    </row>
    <row r="2810" spans="1:19" ht="13.8" hidden="1" thickBot="1" x14ac:dyDescent="0.3">
      <c r="A2810" t="s">
        <v>23</v>
      </c>
      <c r="B2810" s="49" t="str">
        <f t="shared" ref="B2810" si="2014">B2809</f>
        <v>hide</v>
      </c>
      <c r="D2810" s="58"/>
      <c r="E2810" s="58"/>
      <c r="F2810" s="52">
        <f>SUM(F2805:F2809)</f>
        <v>0</v>
      </c>
      <c r="G2810" s="52">
        <f>SUM(G2805:G2809)</f>
        <v>0</v>
      </c>
      <c r="H2810" s="52">
        <f>SUM(H2805:H2809)</f>
        <v>0</v>
      </c>
      <c r="I2810" s="52">
        <f>SUM(I2805:I2809)</f>
        <v>0</v>
      </c>
      <c r="J2810" s="52">
        <f>SUM(J2805:J2809)</f>
        <v>0</v>
      </c>
      <c r="K2810" s="52"/>
      <c r="L2810" s="51" t="s">
        <v>4</v>
      </c>
      <c r="M2810" s="58"/>
      <c r="N2810" s="58"/>
      <c r="O2810" s="58"/>
      <c r="P2810" s="58"/>
      <c r="Q2810" s="58"/>
      <c r="R2810" s="58"/>
      <c r="S2810" s="58"/>
    </row>
    <row r="2811" spans="1:19" s="59" customFormat="1" ht="18.75" customHeight="1" thickBot="1" x14ac:dyDescent="0.3">
      <c r="A2811" s="59" t="s">
        <v>23</v>
      </c>
      <c r="B2811" s="60" t="str">
        <f t="shared" ref="B2811:B2812" si="2015">IF(K2811=0,"hide","")</f>
        <v/>
      </c>
      <c r="D2811" s="61" t="str">
        <f>"37536"</f>
        <v>37536</v>
      </c>
      <c r="E2811" s="62" t="str">
        <f>"3"</f>
        <v>3</v>
      </c>
      <c r="F2811" s="63">
        <v>140.33333333333334</v>
      </c>
      <c r="G2811" s="63">
        <v>227.83333333333334</v>
      </c>
      <c r="H2811" s="63">
        <v>193.5</v>
      </c>
      <c r="I2811" s="63">
        <v>199.41666666666666</v>
      </c>
      <c r="J2811" s="63">
        <v>94.378795180722889</v>
      </c>
      <c r="K2811" s="63">
        <f>AVERAGE(I2811:J2811)</f>
        <v>146.89773092369478</v>
      </c>
      <c r="L2811" s="64" t="str">
        <f>"COFFEE CAKE MUFFINS"</f>
        <v>COFFEE CAKE MUFFINS</v>
      </c>
      <c r="M2811" s="65" t="str">
        <f>"24-4.5 oz. 6-4 pack"</f>
        <v>24-4.5 oz. 6-4 pack</v>
      </c>
      <c r="N2811" s="66">
        <v>24</v>
      </c>
      <c r="O2811" s="67" t="str">
        <f>""</f>
        <v/>
      </c>
      <c r="P2811" s="68" t="e">
        <f>1/O2811</f>
        <v>#VALUE!</v>
      </c>
      <c r="Q2811" s="53">
        <v>1</v>
      </c>
      <c r="R2811" s="69">
        <f t="shared" ref="R2811" si="2016">1/Q2811</f>
        <v>1</v>
      </c>
      <c r="S2811" s="70">
        <f t="shared" ref="S2811" si="2017">R2811*N2811</f>
        <v>24</v>
      </c>
    </row>
    <row r="2812" spans="1:19" ht="15.6" hidden="1" customHeight="1" thickBot="1" x14ac:dyDescent="0.3">
      <c r="A2812" t="s">
        <v>23</v>
      </c>
      <c r="B2812" s="60" t="str">
        <f t="shared" si="2015"/>
        <v>hide</v>
      </c>
      <c r="D2812" s="48" t="str">
        <f>D2811</f>
        <v>37536</v>
      </c>
      <c r="E2812" s="7"/>
      <c r="F2812" s="27">
        <v>0</v>
      </c>
      <c r="G2812" s="27">
        <v>0</v>
      </c>
      <c r="H2812" s="27">
        <v>0</v>
      </c>
      <c r="I2812" s="27">
        <v>0</v>
      </c>
      <c r="J2812" s="27">
        <v>0</v>
      </c>
      <c r="K2812" s="63">
        <f>AVERAGE(I2812:J2812)</f>
        <v>0</v>
      </c>
      <c r="L2812" s="56" t="str">
        <f>"EQP-LAWPACK1"</f>
        <v>EQP-LAWPACK1</v>
      </c>
      <c r="M2812" s="14"/>
      <c r="N2812" s="15"/>
      <c r="O2812" s="12"/>
      <c r="P2812" s="34"/>
      <c r="Q2812" s="37"/>
      <c r="R2812" s="47"/>
      <c r="S2812" s="46"/>
    </row>
    <row r="2813" spans="1:19" ht="15.6" hidden="1" customHeight="1" thickBot="1" x14ac:dyDescent="0.3">
      <c r="A2813" t="s">
        <v>23</v>
      </c>
      <c r="B2813" s="60" t="str">
        <f t="shared" ref="B2813:B2815" si="2018">IF(K2813=0,"hide","")</f>
        <v>hide</v>
      </c>
      <c r="D2813" s="48" t="str">
        <f>D2812</f>
        <v>37536</v>
      </c>
      <c r="E2813" s="7"/>
      <c r="F2813" s="27">
        <v>0</v>
      </c>
      <c r="G2813" s="27">
        <v>0</v>
      </c>
      <c r="H2813" s="27">
        <v>0</v>
      </c>
      <c r="I2813" s="27">
        <v>0</v>
      </c>
      <c r="J2813" s="27">
        <v>0</v>
      </c>
      <c r="K2813" s="63">
        <f>AVERAGE(I2813:J2813)</f>
        <v>0</v>
      </c>
      <c r="L2813" s="56" t="str">
        <f>"EQP-LAWPACK2"</f>
        <v>EQP-LAWPACK2</v>
      </c>
      <c r="M2813" s="14"/>
      <c r="N2813" s="15"/>
      <c r="O2813" s="12"/>
      <c r="P2813" s="34"/>
      <c r="Q2813" s="37"/>
      <c r="R2813" s="47"/>
      <c r="S2813" s="46"/>
    </row>
    <row r="2814" spans="1:19" ht="15.6" hidden="1" customHeight="1" thickBot="1" x14ac:dyDescent="0.3">
      <c r="A2814" t="s">
        <v>23</v>
      </c>
      <c r="B2814" s="60" t="str">
        <f t="shared" si="2018"/>
        <v>hide</v>
      </c>
      <c r="D2814" s="48" t="str">
        <f>D2813</f>
        <v>37536</v>
      </c>
      <c r="E2814" s="7"/>
      <c r="F2814" s="27">
        <v>0</v>
      </c>
      <c r="G2814" s="27">
        <v>0</v>
      </c>
      <c r="H2814" s="27">
        <v>0</v>
      </c>
      <c r="I2814" s="27">
        <v>0</v>
      </c>
      <c r="J2814" s="27">
        <v>0</v>
      </c>
      <c r="K2814" s="63">
        <f>AVERAGE(I2814:J2814)</f>
        <v>0</v>
      </c>
      <c r="L2814" s="56" t="str">
        <f>"SW-COMAS-PACKL"</f>
        <v>SW-COMAS-PACKL</v>
      </c>
      <c r="M2814" s="14"/>
      <c r="N2814" s="15"/>
      <c r="O2814" s="12"/>
      <c r="P2814" s="34"/>
      <c r="Q2814" s="37"/>
      <c r="R2814" s="47"/>
      <c r="S2814" s="46"/>
    </row>
    <row r="2815" spans="1:19" ht="15.6" hidden="1" customHeight="1" thickBot="1" x14ac:dyDescent="0.3">
      <c r="A2815" t="s">
        <v>23</v>
      </c>
      <c r="B2815" s="60" t="str">
        <f t="shared" si="2018"/>
        <v>hide</v>
      </c>
      <c r="D2815" s="48" t="str">
        <f>D2814</f>
        <v>37536</v>
      </c>
      <c r="E2815" s="7"/>
      <c r="F2815" s="27">
        <v>0</v>
      </c>
      <c r="G2815" s="27">
        <v>0</v>
      </c>
      <c r="H2815" s="27">
        <v>0</v>
      </c>
      <c r="I2815" s="27">
        <v>0</v>
      </c>
      <c r="J2815" s="27">
        <v>0</v>
      </c>
      <c r="K2815" s="63">
        <f>AVERAGE(I2815:J2815)</f>
        <v>0</v>
      </c>
      <c r="L2815" s="56" t="str">
        <f>"SW-RISER-PACK"</f>
        <v>SW-RISER-PACK</v>
      </c>
      <c r="M2815" s="14"/>
      <c r="N2815" s="15"/>
      <c r="O2815" s="12"/>
      <c r="P2815" s="34"/>
      <c r="Q2815" s="37"/>
      <c r="R2815" s="47"/>
      <c r="S2815" s="46"/>
    </row>
    <row r="2816" spans="1:19" ht="12" hidden="1" customHeight="1" x14ac:dyDescent="0.3">
      <c r="A2816" s="35" t="s">
        <v>908</v>
      </c>
      <c r="B2816" s="49" t="str">
        <f>B2812</f>
        <v>hide</v>
      </c>
      <c r="N2816"/>
      <c r="Q2816" s="33"/>
    </row>
    <row r="2817" spans="1:19" ht="13.8" hidden="1" thickBot="1" x14ac:dyDescent="0.3">
      <c r="A2817" t="s">
        <v>23</v>
      </c>
      <c r="B2817" s="49" t="str">
        <f t="shared" ref="B2817" si="2019">B2816</f>
        <v>hide</v>
      </c>
      <c r="D2817" s="58"/>
      <c r="E2817" s="58"/>
      <c r="F2817" s="52">
        <f>SUM(F2812:F2816)</f>
        <v>0</v>
      </c>
      <c r="G2817" s="52">
        <f>SUM(G2812:G2816)</f>
        <v>0</v>
      </c>
      <c r="H2817" s="52">
        <f>SUM(H2812:H2816)</f>
        <v>0</v>
      </c>
      <c r="I2817" s="52">
        <f>SUM(I2812:I2816)</f>
        <v>0</v>
      </c>
      <c r="J2817" s="52">
        <f>SUM(J2812:J2816)</f>
        <v>0</v>
      </c>
      <c r="K2817" s="52"/>
      <c r="L2817" s="51" t="s">
        <v>4</v>
      </c>
      <c r="M2817" s="58"/>
      <c r="N2817" s="58"/>
      <c r="O2817" s="58"/>
      <c r="P2817" s="58"/>
      <c r="Q2817" s="58"/>
      <c r="R2817" s="58"/>
      <c r="S2817" s="58"/>
    </row>
    <row r="2818" spans="1:19" s="59" customFormat="1" ht="18.75" hidden="1" customHeight="1" thickBot="1" x14ac:dyDescent="0.3">
      <c r="A2818" s="59" t="s">
        <v>23</v>
      </c>
      <c r="B2818" s="60" t="str">
        <f t="shared" ref="B2818:B2819" si="2020">IF(K2818=0,"hide","")</f>
        <v>hide</v>
      </c>
      <c r="D2818" s="61" t="str">
        <f>"37701"</f>
        <v>37701</v>
      </c>
      <c r="E2818" s="62" t="str">
        <f>"3"</f>
        <v>3</v>
      </c>
      <c r="F2818" s="63">
        <v>0</v>
      </c>
      <c r="G2818" s="63">
        <v>0</v>
      </c>
      <c r="H2818" s="63">
        <v>0</v>
      </c>
      <c r="I2818" s="63">
        <v>0</v>
      </c>
      <c r="J2818" s="63">
        <v>0</v>
      </c>
      <c r="K2818" s="63">
        <f>AVERAGE(I2818:J2818)</f>
        <v>0</v>
      </c>
      <c r="L2818" s="64" t="str">
        <f>"ALL NATURAL WHWHT. BLUE MUFFIN"</f>
        <v>ALL NATURAL WHWHT. BLUE MUFFIN</v>
      </c>
      <c r="M2818" s="65" t="str">
        <f>"24-4.5 oz. 6-4 pack"</f>
        <v>24-4.5 oz. 6-4 pack</v>
      </c>
      <c r="N2818" s="66">
        <v>24</v>
      </c>
      <c r="O2818" s="67" t="str">
        <f>""</f>
        <v/>
      </c>
      <c r="P2818" s="68" t="e">
        <f>1/O2818</f>
        <v>#VALUE!</v>
      </c>
      <c r="Q2818" s="53">
        <v>1</v>
      </c>
      <c r="R2818" s="69">
        <f t="shared" ref="R2818" si="2021">1/Q2818</f>
        <v>1</v>
      </c>
      <c r="S2818" s="70">
        <f t="shared" ref="S2818" si="2022">R2818*N2818</f>
        <v>24</v>
      </c>
    </row>
    <row r="2819" spans="1:19" ht="15.6" hidden="1" customHeight="1" thickBot="1" x14ac:dyDescent="0.3">
      <c r="A2819" t="s">
        <v>23</v>
      </c>
      <c r="B2819" s="60" t="str">
        <f t="shared" si="2020"/>
        <v>hide</v>
      </c>
      <c r="D2819" s="48" t="str">
        <f>D2818</f>
        <v>37701</v>
      </c>
      <c r="E2819" s="7"/>
      <c r="F2819" s="27">
        <v>0</v>
      </c>
      <c r="G2819" s="27">
        <v>0</v>
      </c>
      <c r="H2819" s="27">
        <v>0</v>
      </c>
      <c r="I2819" s="27">
        <v>0</v>
      </c>
      <c r="J2819" s="27">
        <v>0</v>
      </c>
      <c r="K2819" s="63">
        <f>AVERAGE(I2819:J2819)</f>
        <v>0</v>
      </c>
      <c r="L2819" s="56" t="str">
        <f>"EQP-LAWPACK1"</f>
        <v>EQP-LAWPACK1</v>
      </c>
      <c r="M2819" s="14"/>
      <c r="N2819" s="15"/>
      <c r="O2819" s="12"/>
      <c r="P2819" s="34"/>
      <c r="Q2819" s="37"/>
      <c r="R2819" s="47"/>
      <c r="S2819" s="46"/>
    </row>
    <row r="2820" spans="1:19" ht="15.6" hidden="1" customHeight="1" thickBot="1" x14ac:dyDescent="0.3">
      <c r="A2820" t="s">
        <v>23</v>
      </c>
      <c r="B2820" s="60" t="str">
        <f t="shared" ref="B2820:B2822" si="2023">IF(K2820=0,"hide","")</f>
        <v>hide</v>
      </c>
      <c r="D2820" s="48" t="str">
        <f>D2819</f>
        <v>37701</v>
      </c>
      <c r="E2820" s="7"/>
      <c r="F2820" s="27">
        <v>0</v>
      </c>
      <c r="G2820" s="27">
        <v>0</v>
      </c>
      <c r="H2820" s="27">
        <v>0</v>
      </c>
      <c r="I2820" s="27">
        <v>0</v>
      </c>
      <c r="J2820" s="27">
        <v>0</v>
      </c>
      <c r="K2820" s="63">
        <f>AVERAGE(I2820:J2820)</f>
        <v>0</v>
      </c>
      <c r="L2820" s="56" t="str">
        <f>"EQP-LAWPACK2"</f>
        <v>EQP-LAWPACK2</v>
      </c>
      <c r="M2820" s="14"/>
      <c r="N2820" s="15"/>
      <c r="O2820" s="12"/>
      <c r="P2820" s="34"/>
      <c r="Q2820" s="37"/>
      <c r="R2820" s="47"/>
      <c r="S2820" s="46"/>
    </row>
    <row r="2821" spans="1:19" ht="15.6" hidden="1" customHeight="1" thickBot="1" x14ac:dyDescent="0.3">
      <c r="A2821" t="s">
        <v>23</v>
      </c>
      <c r="B2821" s="60" t="str">
        <f t="shared" si="2023"/>
        <v>hide</v>
      </c>
      <c r="D2821" s="48" t="str">
        <f>D2820</f>
        <v>37701</v>
      </c>
      <c r="E2821" s="7"/>
      <c r="F2821" s="27">
        <v>0</v>
      </c>
      <c r="G2821" s="27">
        <v>0</v>
      </c>
      <c r="H2821" s="27">
        <v>0</v>
      </c>
      <c r="I2821" s="27">
        <v>0</v>
      </c>
      <c r="J2821" s="27">
        <v>0</v>
      </c>
      <c r="K2821" s="63">
        <f>AVERAGE(I2821:J2821)</f>
        <v>0</v>
      </c>
      <c r="L2821" s="56" t="str">
        <f>"SW-COMAS-PACKL"</f>
        <v>SW-COMAS-PACKL</v>
      </c>
      <c r="M2821" s="14"/>
      <c r="N2821" s="15"/>
      <c r="O2821" s="12"/>
      <c r="P2821" s="34"/>
      <c r="Q2821" s="37"/>
      <c r="R2821" s="47"/>
      <c r="S2821" s="46"/>
    </row>
    <row r="2822" spans="1:19" ht="15.6" hidden="1" customHeight="1" thickBot="1" x14ac:dyDescent="0.3">
      <c r="A2822" t="s">
        <v>23</v>
      </c>
      <c r="B2822" s="60" t="str">
        <f t="shared" si="2023"/>
        <v>hide</v>
      </c>
      <c r="D2822" s="48" t="str">
        <f>D2821</f>
        <v>37701</v>
      </c>
      <c r="E2822" s="7"/>
      <c r="F2822" s="27">
        <v>0</v>
      </c>
      <c r="G2822" s="27">
        <v>0</v>
      </c>
      <c r="H2822" s="27">
        <v>0</v>
      </c>
      <c r="I2822" s="27">
        <v>0</v>
      </c>
      <c r="J2822" s="27">
        <v>0</v>
      </c>
      <c r="K2822" s="63">
        <f>AVERAGE(I2822:J2822)</f>
        <v>0</v>
      </c>
      <c r="L2822" s="56" t="str">
        <f>"SW-RISER-PACK"</f>
        <v>SW-RISER-PACK</v>
      </c>
      <c r="M2822" s="14"/>
      <c r="N2822" s="15"/>
      <c r="O2822" s="12"/>
      <c r="P2822" s="34"/>
      <c r="Q2822" s="37"/>
      <c r="R2822" s="47"/>
      <c r="S2822" s="46"/>
    </row>
    <row r="2823" spans="1:19" ht="12" hidden="1" customHeight="1" x14ac:dyDescent="0.3">
      <c r="A2823" s="35" t="s">
        <v>908</v>
      </c>
      <c r="B2823" s="49" t="str">
        <f>B2819</f>
        <v>hide</v>
      </c>
      <c r="N2823"/>
      <c r="Q2823" s="33"/>
    </row>
    <row r="2824" spans="1:19" ht="13.8" hidden="1" thickBot="1" x14ac:dyDescent="0.3">
      <c r="A2824" t="s">
        <v>23</v>
      </c>
      <c r="B2824" s="49" t="str">
        <f t="shared" ref="B2824" si="2024">B2823</f>
        <v>hide</v>
      </c>
      <c r="D2824" s="58"/>
      <c r="E2824" s="58"/>
      <c r="F2824" s="52">
        <f>SUM(F2819:F2823)</f>
        <v>0</v>
      </c>
      <c r="G2824" s="52">
        <f>SUM(G2819:G2823)</f>
        <v>0</v>
      </c>
      <c r="H2824" s="52">
        <f>SUM(H2819:H2823)</f>
        <v>0</v>
      </c>
      <c r="I2824" s="52">
        <f>SUM(I2819:I2823)</f>
        <v>0</v>
      </c>
      <c r="J2824" s="52">
        <f>SUM(J2819:J2823)</f>
        <v>0</v>
      </c>
      <c r="K2824" s="52"/>
      <c r="L2824" s="51" t="s">
        <v>4</v>
      </c>
      <c r="M2824" s="58"/>
      <c r="N2824" s="58"/>
      <c r="O2824" s="58"/>
      <c r="P2824" s="58"/>
      <c r="Q2824" s="58"/>
      <c r="R2824" s="58"/>
      <c r="S2824" s="58"/>
    </row>
    <row r="2825" spans="1:19" s="59" customFormat="1" ht="18.75" customHeight="1" thickBot="1" x14ac:dyDescent="0.3">
      <c r="A2825" s="59" t="s">
        <v>23</v>
      </c>
      <c r="B2825" s="60" t="str">
        <f t="shared" ref="B2825:B2826" si="2025">IF(K2825=0,"hide","")</f>
        <v/>
      </c>
      <c r="D2825" s="61" t="str">
        <f>"37801"</f>
        <v>37801</v>
      </c>
      <c r="E2825" s="62" t="str">
        <f>"2"</f>
        <v>2</v>
      </c>
      <c r="F2825" s="63">
        <v>0</v>
      </c>
      <c r="G2825" s="63">
        <v>0</v>
      </c>
      <c r="H2825" s="63">
        <v>574.58333333333326</v>
      </c>
      <c r="I2825" s="63">
        <v>185.41666666666666</v>
      </c>
      <c r="J2825" s="63">
        <v>0</v>
      </c>
      <c r="K2825" s="63">
        <f>AVERAGE(I2825:J2825)</f>
        <v>92.708333333333329</v>
      </c>
      <c r="L2825" s="64" t="str">
        <f>"BNJ Blueberry Muffin"</f>
        <v>BNJ Blueberry Muffin</v>
      </c>
      <c r="M2825" s="65" t="str">
        <f>"24-4oz. 6-4 pack"</f>
        <v>24-4oz. 6-4 pack</v>
      </c>
      <c r="N2825" s="66">
        <v>24</v>
      </c>
      <c r="O2825" s="67" t="str">
        <f>""</f>
        <v/>
      </c>
      <c r="P2825" s="68" t="e">
        <f>1/O2825</f>
        <v>#VALUE!</v>
      </c>
      <c r="Q2825" s="53">
        <v>1</v>
      </c>
      <c r="R2825" s="69">
        <f t="shared" ref="R2825" si="2026">1/Q2825</f>
        <v>1</v>
      </c>
      <c r="S2825" s="70">
        <f t="shared" ref="S2825" si="2027">R2825*N2825</f>
        <v>24</v>
      </c>
    </row>
    <row r="2826" spans="1:19" ht="15.6" hidden="1" customHeight="1" thickBot="1" x14ac:dyDescent="0.3">
      <c r="A2826" t="s">
        <v>23</v>
      </c>
      <c r="B2826" s="60" t="str">
        <f t="shared" si="2025"/>
        <v>hide</v>
      </c>
      <c r="D2826" s="48" t="str">
        <f>D2825</f>
        <v>37801</v>
      </c>
      <c r="E2826" s="7"/>
      <c r="F2826" s="27">
        <v>0</v>
      </c>
      <c r="G2826" s="27">
        <v>0</v>
      </c>
      <c r="H2826" s="27">
        <v>0</v>
      </c>
      <c r="I2826" s="27">
        <v>0</v>
      </c>
      <c r="J2826" s="27">
        <v>0</v>
      </c>
      <c r="K2826" s="63">
        <f>AVERAGE(I2826:J2826)</f>
        <v>0</v>
      </c>
      <c r="L2826" s="56" t="str">
        <f>"EQP-LAWPACK1"</f>
        <v>EQP-LAWPACK1</v>
      </c>
      <c r="M2826" s="14"/>
      <c r="N2826" s="15"/>
      <c r="O2826" s="12"/>
      <c r="P2826" s="34"/>
      <c r="Q2826" s="37"/>
      <c r="R2826" s="47"/>
      <c r="S2826" s="46"/>
    </row>
    <row r="2827" spans="1:19" ht="15.6" hidden="1" customHeight="1" thickBot="1" x14ac:dyDescent="0.3">
      <c r="A2827" t="s">
        <v>23</v>
      </c>
      <c r="B2827" s="60" t="str">
        <f t="shared" ref="B2827:B2829" si="2028">IF(K2827=0,"hide","")</f>
        <v>hide</v>
      </c>
      <c r="D2827" s="48" t="str">
        <f>D2826</f>
        <v>37801</v>
      </c>
      <c r="E2827" s="7"/>
      <c r="F2827" s="27">
        <v>0</v>
      </c>
      <c r="G2827" s="27">
        <v>0</v>
      </c>
      <c r="H2827" s="27">
        <v>0</v>
      </c>
      <c r="I2827" s="27">
        <v>0</v>
      </c>
      <c r="J2827" s="27">
        <v>0</v>
      </c>
      <c r="K2827" s="63">
        <f>AVERAGE(I2827:J2827)</f>
        <v>0</v>
      </c>
      <c r="L2827" s="56" t="str">
        <f>"EQP-LAWPACK2"</f>
        <v>EQP-LAWPACK2</v>
      </c>
      <c r="M2827" s="14"/>
      <c r="N2827" s="15"/>
      <c r="O2827" s="12"/>
      <c r="P2827" s="34"/>
      <c r="Q2827" s="37"/>
      <c r="R2827" s="47"/>
      <c r="S2827" s="46"/>
    </row>
    <row r="2828" spans="1:19" ht="15.6" hidden="1" customHeight="1" thickBot="1" x14ac:dyDescent="0.3">
      <c r="A2828" t="s">
        <v>23</v>
      </c>
      <c r="B2828" s="60" t="str">
        <f t="shared" si="2028"/>
        <v>hide</v>
      </c>
      <c r="D2828" s="48" t="str">
        <f>D2827</f>
        <v>37801</v>
      </c>
      <c r="E2828" s="7"/>
      <c r="F2828" s="27">
        <v>0</v>
      </c>
      <c r="G2828" s="27">
        <v>0</v>
      </c>
      <c r="H2828" s="27">
        <v>0</v>
      </c>
      <c r="I2828" s="27">
        <v>0</v>
      </c>
      <c r="J2828" s="27">
        <v>0</v>
      </c>
      <c r="K2828" s="63">
        <f>AVERAGE(I2828:J2828)</f>
        <v>0</v>
      </c>
      <c r="L2828" s="56" t="str">
        <f>"SW-COMAS-PACKL"</f>
        <v>SW-COMAS-PACKL</v>
      </c>
      <c r="M2828" s="14"/>
      <c r="N2828" s="15"/>
      <c r="O2828" s="12"/>
      <c r="P2828" s="34"/>
      <c r="Q2828" s="37"/>
      <c r="R2828" s="47"/>
      <c r="S2828" s="46"/>
    </row>
    <row r="2829" spans="1:19" ht="15.6" hidden="1" customHeight="1" thickBot="1" x14ac:dyDescent="0.3">
      <c r="A2829" t="s">
        <v>23</v>
      </c>
      <c r="B2829" s="60" t="str">
        <f t="shared" si="2028"/>
        <v>hide</v>
      </c>
      <c r="D2829" s="48" t="str">
        <f>D2828</f>
        <v>37801</v>
      </c>
      <c r="E2829" s="7"/>
      <c r="F2829" s="27">
        <v>0</v>
      </c>
      <c r="G2829" s="27">
        <v>0</v>
      </c>
      <c r="H2829" s="27">
        <v>0</v>
      </c>
      <c r="I2829" s="27">
        <v>0</v>
      </c>
      <c r="J2829" s="27">
        <v>0</v>
      </c>
      <c r="K2829" s="63">
        <f>AVERAGE(I2829:J2829)</f>
        <v>0</v>
      </c>
      <c r="L2829" s="56" t="str">
        <f>"SW-RISER-PACK"</f>
        <v>SW-RISER-PACK</v>
      </c>
      <c r="M2829" s="14"/>
      <c r="N2829" s="15"/>
      <c r="O2829" s="12"/>
      <c r="P2829" s="34"/>
      <c r="Q2829" s="37"/>
      <c r="R2829" s="47"/>
      <c r="S2829" s="46"/>
    </row>
    <row r="2830" spans="1:19" ht="12" hidden="1" customHeight="1" x14ac:dyDescent="0.3">
      <c r="A2830" s="35" t="s">
        <v>908</v>
      </c>
      <c r="B2830" s="49" t="str">
        <f>B2826</f>
        <v>hide</v>
      </c>
      <c r="N2830"/>
      <c r="Q2830" s="33"/>
    </row>
    <row r="2831" spans="1:19" ht="13.8" hidden="1" thickBot="1" x14ac:dyDescent="0.3">
      <c r="A2831" t="s">
        <v>23</v>
      </c>
      <c r="B2831" s="49" t="str">
        <f t="shared" ref="B2831" si="2029">B2830</f>
        <v>hide</v>
      </c>
      <c r="D2831" s="58"/>
      <c r="E2831" s="58"/>
      <c r="F2831" s="52">
        <f>SUM(F2826:F2830)</f>
        <v>0</v>
      </c>
      <c r="G2831" s="52">
        <f>SUM(G2826:G2830)</f>
        <v>0</v>
      </c>
      <c r="H2831" s="52">
        <f>SUM(H2826:H2830)</f>
        <v>0</v>
      </c>
      <c r="I2831" s="52">
        <f>SUM(I2826:I2830)</f>
        <v>0</v>
      </c>
      <c r="J2831" s="52">
        <f>SUM(J2826:J2830)</f>
        <v>0</v>
      </c>
      <c r="K2831" s="52"/>
      <c r="L2831" s="51" t="s">
        <v>4</v>
      </c>
      <c r="M2831" s="58"/>
      <c r="N2831" s="58"/>
      <c r="O2831" s="58"/>
      <c r="P2831" s="58"/>
      <c r="Q2831" s="58"/>
      <c r="R2831" s="58"/>
      <c r="S2831" s="58"/>
    </row>
    <row r="2832" spans="1:19" s="59" customFormat="1" ht="18.75" hidden="1" customHeight="1" thickBot="1" x14ac:dyDescent="0.3">
      <c r="A2832" s="59" t="s">
        <v>23</v>
      </c>
      <c r="B2832" s="60" t="str">
        <f t="shared" ref="B2832:B2833" si="2030">IF(K2832=0,"hide","")</f>
        <v>hide</v>
      </c>
      <c r="D2832" s="61" t="str">
        <f>"37810"</f>
        <v>37810</v>
      </c>
      <c r="E2832" s="62" t="str">
        <f>"1"</f>
        <v>1</v>
      </c>
      <c r="F2832" s="63">
        <v>0</v>
      </c>
      <c r="G2832" s="63">
        <v>0</v>
      </c>
      <c r="H2832" s="63">
        <v>384.08333333333331</v>
      </c>
      <c r="I2832" s="63">
        <v>0</v>
      </c>
      <c r="J2832" s="63">
        <v>0</v>
      </c>
      <c r="K2832" s="63">
        <f>AVERAGE(I2832:J2832)</f>
        <v>0</v>
      </c>
      <c r="L2832" s="64" t="str">
        <f>"BNJ Chocolate Chip Muffin"</f>
        <v>BNJ Chocolate Chip Muffin</v>
      </c>
      <c r="M2832" s="65" t="str">
        <f>"24- 4oz. 6-4 pack"</f>
        <v>24- 4oz. 6-4 pack</v>
      </c>
      <c r="N2832" s="66">
        <v>24</v>
      </c>
      <c r="O2832" s="67" t="str">
        <f>""</f>
        <v/>
      </c>
      <c r="P2832" s="68" t="e">
        <f>1/O2832</f>
        <v>#VALUE!</v>
      </c>
      <c r="Q2832" s="53">
        <v>1</v>
      </c>
      <c r="R2832" s="69">
        <f t="shared" ref="R2832" si="2031">1/Q2832</f>
        <v>1</v>
      </c>
      <c r="S2832" s="70">
        <f t="shared" ref="S2832" si="2032">R2832*N2832</f>
        <v>24</v>
      </c>
    </row>
    <row r="2833" spans="1:19" ht="15.6" hidden="1" customHeight="1" thickBot="1" x14ac:dyDescent="0.3">
      <c r="A2833" t="s">
        <v>23</v>
      </c>
      <c r="B2833" s="60" t="str">
        <f t="shared" si="2030"/>
        <v>hide</v>
      </c>
      <c r="D2833" s="48" t="str">
        <f>D2832</f>
        <v>37810</v>
      </c>
      <c r="E2833" s="7"/>
      <c r="F2833" s="27">
        <v>0</v>
      </c>
      <c r="G2833" s="27">
        <v>0</v>
      </c>
      <c r="H2833" s="27">
        <v>0</v>
      </c>
      <c r="I2833" s="27">
        <v>0</v>
      </c>
      <c r="J2833" s="27">
        <v>0</v>
      </c>
      <c r="K2833" s="63">
        <f>AVERAGE(I2833:J2833)</f>
        <v>0</v>
      </c>
      <c r="L2833" s="56" t="str">
        <f>"EQP-LAWPACK1"</f>
        <v>EQP-LAWPACK1</v>
      </c>
      <c r="M2833" s="14"/>
      <c r="N2833" s="15"/>
      <c r="O2833" s="12"/>
      <c r="P2833" s="34"/>
      <c r="Q2833" s="37"/>
      <c r="R2833" s="47"/>
      <c r="S2833" s="46"/>
    </row>
    <row r="2834" spans="1:19" ht="15.6" hidden="1" customHeight="1" thickBot="1" x14ac:dyDescent="0.3">
      <c r="A2834" t="s">
        <v>23</v>
      </c>
      <c r="B2834" s="60" t="str">
        <f t="shared" ref="B2834:B2836" si="2033">IF(K2834=0,"hide","")</f>
        <v>hide</v>
      </c>
      <c r="D2834" s="48" t="str">
        <f>D2833</f>
        <v>37810</v>
      </c>
      <c r="E2834" s="7"/>
      <c r="F2834" s="27">
        <v>0</v>
      </c>
      <c r="G2834" s="27">
        <v>0</v>
      </c>
      <c r="H2834" s="27">
        <v>0</v>
      </c>
      <c r="I2834" s="27">
        <v>0</v>
      </c>
      <c r="J2834" s="27">
        <v>0</v>
      </c>
      <c r="K2834" s="63">
        <f>AVERAGE(I2834:J2834)</f>
        <v>0</v>
      </c>
      <c r="L2834" s="56" t="str">
        <f>"EQP-LAWPACK2"</f>
        <v>EQP-LAWPACK2</v>
      </c>
      <c r="M2834" s="14"/>
      <c r="N2834" s="15"/>
      <c r="O2834" s="12"/>
      <c r="P2834" s="34"/>
      <c r="Q2834" s="37"/>
      <c r="R2834" s="47"/>
      <c r="S2834" s="46"/>
    </row>
    <row r="2835" spans="1:19" ht="15.6" hidden="1" customHeight="1" thickBot="1" x14ac:dyDescent="0.3">
      <c r="A2835" t="s">
        <v>23</v>
      </c>
      <c r="B2835" s="60" t="str">
        <f t="shared" si="2033"/>
        <v>hide</v>
      </c>
      <c r="D2835" s="48" t="str">
        <f>D2834</f>
        <v>37810</v>
      </c>
      <c r="E2835" s="7"/>
      <c r="F2835" s="27">
        <v>0</v>
      </c>
      <c r="G2835" s="27">
        <v>0</v>
      </c>
      <c r="H2835" s="27">
        <v>0</v>
      </c>
      <c r="I2835" s="27">
        <v>0</v>
      </c>
      <c r="J2835" s="27">
        <v>0</v>
      </c>
      <c r="K2835" s="63">
        <f>AVERAGE(I2835:J2835)</f>
        <v>0</v>
      </c>
      <c r="L2835" s="56" t="str">
        <f>"SW-COMAS-PACKL"</f>
        <v>SW-COMAS-PACKL</v>
      </c>
      <c r="M2835" s="14"/>
      <c r="N2835" s="15"/>
      <c r="O2835" s="12"/>
      <c r="P2835" s="34"/>
      <c r="Q2835" s="37"/>
      <c r="R2835" s="47"/>
      <c r="S2835" s="46"/>
    </row>
    <row r="2836" spans="1:19" ht="15.6" hidden="1" customHeight="1" thickBot="1" x14ac:dyDescent="0.3">
      <c r="A2836" t="s">
        <v>23</v>
      </c>
      <c r="B2836" s="60" t="str">
        <f t="shared" si="2033"/>
        <v>hide</v>
      </c>
      <c r="D2836" s="48" t="str">
        <f>D2835</f>
        <v>37810</v>
      </c>
      <c r="E2836" s="7"/>
      <c r="F2836" s="27">
        <v>0</v>
      </c>
      <c r="G2836" s="27">
        <v>0</v>
      </c>
      <c r="H2836" s="27">
        <v>0</v>
      </c>
      <c r="I2836" s="27">
        <v>0</v>
      </c>
      <c r="J2836" s="27">
        <v>0</v>
      </c>
      <c r="K2836" s="63">
        <f>AVERAGE(I2836:J2836)</f>
        <v>0</v>
      </c>
      <c r="L2836" s="56" t="str">
        <f>"SW-RISER-PACK"</f>
        <v>SW-RISER-PACK</v>
      </c>
      <c r="M2836" s="14"/>
      <c r="N2836" s="15"/>
      <c r="O2836" s="12"/>
      <c r="P2836" s="34"/>
      <c r="Q2836" s="37"/>
      <c r="R2836" s="47"/>
      <c r="S2836" s="46"/>
    </row>
    <row r="2837" spans="1:19" ht="12" hidden="1" customHeight="1" x14ac:dyDescent="0.3">
      <c r="A2837" s="35" t="s">
        <v>908</v>
      </c>
      <c r="B2837" s="49" t="str">
        <f>B2833</f>
        <v>hide</v>
      </c>
      <c r="N2837"/>
      <c r="Q2837" s="33"/>
    </row>
    <row r="2838" spans="1:19" ht="13.8" hidden="1" thickBot="1" x14ac:dyDescent="0.3">
      <c r="A2838" t="s">
        <v>23</v>
      </c>
      <c r="B2838" s="49" t="str">
        <f t="shared" ref="B2838" si="2034">B2837</f>
        <v>hide</v>
      </c>
      <c r="D2838" s="58"/>
      <c r="E2838" s="58"/>
      <c r="F2838" s="52">
        <f>SUM(F2833:F2837)</f>
        <v>0</v>
      </c>
      <c r="G2838" s="52">
        <f>SUM(G2833:G2837)</f>
        <v>0</v>
      </c>
      <c r="H2838" s="52">
        <f>SUM(H2833:H2837)</f>
        <v>0</v>
      </c>
      <c r="I2838" s="52">
        <f>SUM(I2833:I2837)</f>
        <v>0</v>
      </c>
      <c r="J2838" s="52">
        <f>SUM(J2833:J2837)</f>
        <v>0</v>
      </c>
      <c r="K2838" s="52"/>
      <c r="L2838" s="51" t="s">
        <v>4</v>
      </c>
      <c r="M2838" s="58"/>
      <c r="N2838" s="58"/>
      <c r="O2838" s="58"/>
      <c r="P2838" s="58"/>
      <c r="Q2838" s="58"/>
      <c r="R2838" s="58"/>
      <c r="S2838" s="58"/>
    </row>
    <row r="2839" spans="1:19" s="59" customFormat="1" ht="18.75" hidden="1" customHeight="1" thickBot="1" x14ac:dyDescent="0.3">
      <c r="A2839" s="59" t="s">
        <v>23</v>
      </c>
      <c r="B2839" s="60" t="str">
        <f t="shared" ref="B2839:B2840" si="2035">IF(K2839=0,"hide","")</f>
        <v>hide</v>
      </c>
      <c r="D2839" s="61" t="str">
        <f>"37830"</f>
        <v>37830</v>
      </c>
      <c r="E2839" s="62" t="str">
        <f>"1"</f>
        <v>1</v>
      </c>
      <c r="F2839" s="63">
        <v>0</v>
      </c>
      <c r="G2839" s="63">
        <v>0</v>
      </c>
      <c r="H2839" s="63">
        <v>0</v>
      </c>
      <c r="I2839" s="63">
        <v>0</v>
      </c>
      <c r="J2839" s="63">
        <v>0</v>
      </c>
      <c r="K2839" s="63">
        <f>AVERAGE(I2839:J2839)</f>
        <v>0</v>
      </c>
      <c r="L2839" s="64" t="str">
        <f>"DOUBLE CHOCOLATE MUFFIN"</f>
        <v>DOUBLE CHOCOLATE MUFFIN</v>
      </c>
      <c r="M2839" s="65" t="str">
        <f>"24-3.75 oz. 6-4 pack"</f>
        <v>24-3.75 oz. 6-4 pack</v>
      </c>
      <c r="N2839" s="66">
        <v>24</v>
      </c>
      <c r="O2839" s="67" t="str">
        <f>""</f>
        <v/>
      </c>
      <c r="P2839" s="68" t="e">
        <f>1/O2839</f>
        <v>#VALUE!</v>
      </c>
      <c r="Q2839" s="53">
        <v>1</v>
      </c>
      <c r="R2839" s="69">
        <f t="shared" ref="R2839" si="2036">1/Q2839</f>
        <v>1</v>
      </c>
      <c r="S2839" s="70">
        <f t="shared" ref="S2839" si="2037">R2839*N2839</f>
        <v>24</v>
      </c>
    </row>
    <row r="2840" spans="1:19" ht="15.6" hidden="1" customHeight="1" thickBot="1" x14ac:dyDescent="0.3">
      <c r="A2840" t="s">
        <v>23</v>
      </c>
      <c r="B2840" s="60" t="str">
        <f t="shared" si="2035"/>
        <v>hide</v>
      </c>
      <c r="D2840" s="48" t="str">
        <f>D2839</f>
        <v>37830</v>
      </c>
      <c r="E2840" s="7"/>
      <c r="F2840" s="27">
        <v>0</v>
      </c>
      <c r="G2840" s="27">
        <v>0</v>
      </c>
      <c r="H2840" s="27">
        <v>0</v>
      </c>
      <c r="I2840" s="27">
        <v>0</v>
      </c>
      <c r="J2840" s="27">
        <v>0</v>
      </c>
      <c r="K2840" s="63">
        <f>AVERAGE(I2840:J2840)</f>
        <v>0</v>
      </c>
      <c r="L2840" s="56" t="str">
        <f>"EQP-LAWPACK1"</f>
        <v>EQP-LAWPACK1</v>
      </c>
      <c r="M2840" s="14"/>
      <c r="N2840" s="15"/>
      <c r="O2840" s="12"/>
      <c r="P2840" s="34"/>
      <c r="Q2840" s="37"/>
      <c r="R2840" s="47"/>
      <c r="S2840" s="46"/>
    </row>
    <row r="2841" spans="1:19" ht="15.6" hidden="1" customHeight="1" thickBot="1" x14ac:dyDescent="0.3">
      <c r="A2841" t="s">
        <v>23</v>
      </c>
      <c r="B2841" s="60" t="str">
        <f t="shared" ref="B2841:B2843" si="2038">IF(K2841=0,"hide","")</f>
        <v>hide</v>
      </c>
      <c r="D2841" s="48" t="str">
        <f>D2840</f>
        <v>37830</v>
      </c>
      <c r="E2841" s="7"/>
      <c r="F2841" s="27">
        <v>0</v>
      </c>
      <c r="G2841" s="27">
        <v>0</v>
      </c>
      <c r="H2841" s="27">
        <v>0</v>
      </c>
      <c r="I2841" s="27">
        <v>0</v>
      </c>
      <c r="J2841" s="27">
        <v>0</v>
      </c>
      <c r="K2841" s="63">
        <f>AVERAGE(I2841:J2841)</f>
        <v>0</v>
      </c>
      <c r="L2841" s="56" t="str">
        <f>"EQP-LAWPACK2"</f>
        <v>EQP-LAWPACK2</v>
      </c>
      <c r="M2841" s="14"/>
      <c r="N2841" s="15"/>
      <c r="O2841" s="12"/>
      <c r="P2841" s="34"/>
      <c r="Q2841" s="37"/>
      <c r="R2841" s="47"/>
      <c r="S2841" s="46"/>
    </row>
    <row r="2842" spans="1:19" ht="15.6" hidden="1" customHeight="1" thickBot="1" x14ac:dyDescent="0.3">
      <c r="A2842" t="s">
        <v>23</v>
      </c>
      <c r="B2842" s="60" t="str">
        <f t="shared" si="2038"/>
        <v>hide</v>
      </c>
      <c r="D2842" s="48" t="str">
        <f>D2841</f>
        <v>37830</v>
      </c>
      <c r="E2842" s="7"/>
      <c r="F2842" s="27">
        <v>0</v>
      </c>
      <c r="G2842" s="27">
        <v>0</v>
      </c>
      <c r="H2842" s="27">
        <v>0</v>
      </c>
      <c r="I2842" s="27">
        <v>0</v>
      </c>
      <c r="J2842" s="27">
        <v>0</v>
      </c>
      <c r="K2842" s="63">
        <f>AVERAGE(I2842:J2842)</f>
        <v>0</v>
      </c>
      <c r="L2842" s="56" t="str">
        <f>"SW-COMAS-PACKL"</f>
        <v>SW-COMAS-PACKL</v>
      </c>
      <c r="M2842" s="14"/>
      <c r="N2842" s="15"/>
      <c r="O2842" s="12"/>
      <c r="P2842" s="34"/>
      <c r="Q2842" s="37"/>
      <c r="R2842" s="47"/>
      <c r="S2842" s="46"/>
    </row>
    <row r="2843" spans="1:19" ht="15.6" hidden="1" customHeight="1" thickBot="1" x14ac:dyDescent="0.3">
      <c r="A2843" t="s">
        <v>23</v>
      </c>
      <c r="B2843" s="60" t="str">
        <f t="shared" si="2038"/>
        <v>hide</v>
      </c>
      <c r="D2843" s="48" t="str">
        <f>D2842</f>
        <v>37830</v>
      </c>
      <c r="E2843" s="7"/>
      <c r="F2843" s="27">
        <v>0</v>
      </c>
      <c r="G2843" s="27">
        <v>0</v>
      </c>
      <c r="H2843" s="27">
        <v>0</v>
      </c>
      <c r="I2843" s="27">
        <v>0</v>
      </c>
      <c r="J2843" s="27">
        <v>0</v>
      </c>
      <c r="K2843" s="63">
        <f>AVERAGE(I2843:J2843)</f>
        <v>0</v>
      </c>
      <c r="L2843" s="56" t="str">
        <f>"SW-RISER-PACK"</f>
        <v>SW-RISER-PACK</v>
      </c>
      <c r="M2843" s="14"/>
      <c r="N2843" s="15"/>
      <c r="O2843" s="12"/>
      <c r="P2843" s="34"/>
      <c r="Q2843" s="37"/>
      <c r="R2843" s="47"/>
      <c r="S2843" s="46"/>
    </row>
    <row r="2844" spans="1:19" ht="12" hidden="1" customHeight="1" x14ac:dyDescent="0.3">
      <c r="A2844" s="35" t="s">
        <v>908</v>
      </c>
      <c r="B2844" s="49" t="str">
        <f>B2840</f>
        <v>hide</v>
      </c>
      <c r="N2844"/>
      <c r="Q2844" s="33"/>
    </row>
    <row r="2845" spans="1:19" ht="13.8" hidden="1" thickBot="1" x14ac:dyDescent="0.3">
      <c r="A2845" t="s">
        <v>23</v>
      </c>
      <c r="B2845" s="49" t="str">
        <f t="shared" ref="B2845" si="2039">B2844</f>
        <v>hide</v>
      </c>
      <c r="D2845" s="58"/>
      <c r="E2845" s="58"/>
      <c r="F2845" s="52">
        <f>SUM(F2840:F2844)</f>
        <v>0</v>
      </c>
      <c r="G2845" s="52">
        <f>SUM(G2840:G2844)</f>
        <v>0</v>
      </c>
      <c r="H2845" s="52">
        <f>SUM(H2840:H2844)</f>
        <v>0</v>
      </c>
      <c r="I2845" s="52">
        <f>SUM(I2840:I2844)</f>
        <v>0</v>
      </c>
      <c r="J2845" s="52">
        <f>SUM(J2840:J2844)</f>
        <v>0</v>
      </c>
      <c r="K2845" s="52"/>
      <c r="L2845" s="51" t="s">
        <v>4</v>
      </c>
      <c r="M2845" s="58"/>
      <c r="N2845" s="58"/>
      <c r="O2845" s="58"/>
      <c r="P2845" s="58"/>
      <c r="Q2845" s="58"/>
      <c r="R2845" s="58"/>
      <c r="S2845" s="58"/>
    </row>
    <row r="2846" spans="1:19" s="59" customFormat="1" ht="18.75" hidden="1" customHeight="1" thickBot="1" x14ac:dyDescent="0.3">
      <c r="A2846" s="59" t="s">
        <v>23</v>
      </c>
      <c r="B2846" s="60" t="str">
        <f t="shared" ref="B2846:B2847" si="2040">IF(K2846=0,"hide","")</f>
        <v>hide</v>
      </c>
      <c r="D2846" s="61" t="str">
        <f>"37851"</f>
        <v>37851</v>
      </c>
      <c r="E2846" s="62" t="str">
        <f>"1"</f>
        <v>1</v>
      </c>
      <c r="F2846" s="63">
        <v>0</v>
      </c>
      <c r="G2846" s="63">
        <v>0</v>
      </c>
      <c r="H2846" s="63">
        <v>0</v>
      </c>
      <c r="I2846" s="63">
        <v>0</v>
      </c>
      <c r="J2846" s="63">
        <v>0</v>
      </c>
      <c r="K2846" s="63">
        <f>AVERAGE(I2846:J2846)</f>
        <v>0</v>
      </c>
      <c r="L2846" s="64" t="str">
        <f>"Banana Muffin"</f>
        <v>Banana Muffin</v>
      </c>
      <c r="M2846" s="65" t="str">
        <f>"24-3.75 oz. 6-4 pack"</f>
        <v>24-3.75 oz. 6-4 pack</v>
      </c>
      <c r="N2846" s="66">
        <v>24</v>
      </c>
      <c r="O2846" s="67" t="str">
        <f>""</f>
        <v/>
      </c>
      <c r="P2846" s="68" t="e">
        <f>1/O2846</f>
        <v>#VALUE!</v>
      </c>
      <c r="Q2846" s="53">
        <v>1</v>
      </c>
      <c r="R2846" s="69">
        <f t="shared" ref="R2846" si="2041">1/Q2846</f>
        <v>1</v>
      </c>
      <c r="S2846" s="70">
        <f t="shared" ref="S2846" si="2042">R2846*N2846</f>
        <v>24</v>
      </c>
    </row>
    <row r="2847" spans="1:19" ht="15.6" hidden="1" customHeight="1" thickBot="1" x14ac:dyDescent="0.3">
      <c r="A2847" t="s">
        <v>23</v>
      </c>
      <c r="B2847" s="60" t="str">
        <f t="shared" si="2040"/>
        <v>hide</v>
      </c>
      <c r="D2847" s="48" t="str">
        <f>D2846</f>
        <v>37851</v>
      </c>
      <c r="E2847" s="7"/>
      <c r="F2847" s="27">
        <v>0</v>
      </c>
      <c r="G2847" s="27">
        <v>0</v>
      </c>
      <c r="H2847" s="27">
        <v>0</v>
      </c>
      <c r="I2847" s="27">
        <v>0</v>
      </c>
      <c r="J2847" s="27">
        <v>0</v>
      </c>
      <c r="K2847" s="63">
        <f>AVERAGE(I2847:J2847)</f>
        <v>0</v>
      </c>
      <c r="L2847" s="56" t="str">
        <f>"EQP-LAWPACK1"</f>
        <v>EQP-LAWPACK1</v>
      </c>
      <c r="M2847" s="14"/>
      <c r="N2847" s="15"/>
      <c r="O2847" s="12"/>
      <c r="P2847" s="34"/>
      <c r="Q2847" s="37"/>
      <c r="R2847" s="47"/>
      <c r="S2847" s="46"/>
    </row>
    <row r="2848" spans="1:19" ht="15.6" hidden="1" customHeight="1" thickBot="1" x14ac:dyDescent="0.3">
      <c r="A2848" t="s">
        <v>23</v>
      </c>
      <c r="B2848" s="60" t="str">
        <f t="shared" ref="B2848:B2850" si="2043">IF(K2848=0,"hide","")</f>
        <v>hide</v>
      </c>
      <c r="D2848" s="48" t="str">
        <f>D2847</f>
        <v>37851</v>
      </c>
      <c r="E2848" s="7"/>
      <c r="F2848" s="27">
        <v>0</v>
      </c>
      <c r="G2848" s="27">
        <v>0</v>
      </c>
      <c r="H2848" s="27">
        <v>0</v>
      </c>
      <c r="I2848" s="27">
        <v>0</v>
      </c>
      <c r="J2848" s="27">
        <v>0</v>
      </c>
      <c r="K2848" s="63">
        <f>AVERAGE(I2848:J2848)</f>
        <v>0</v>
      </c>
      <c r="L2848" s="56" t="str">
        <f>"EQP-LAWPACK2"</f>
        <v>EQP-LAWPACK2</v>
      </c>
      <c r="M2848" s="14"/>
      <c r="N2848" s="15"/>
      <c r="O2848" s="12"/>
      <c r="P2848" s="34"/>
      <c r="Q2848" s="37"/>
      <c r="R2848" s="47"/>
      <c r="S2848" s="46"/>
    </row>
    <row r="2849" spans="1:19" ht="15.6" hidden="1" customHeight="1" thickBot="1" x14ac:dyDescent="0.3">
      <c r="A2849" t="s">
        <v>23</v>
      </c>
      <c r="B2849" s="60" t="str">
        <f t="shared" si="2043"/>
        <v>hide</v>
      </c>
      <c r="D2849" s="48" t="str">
        <f>D2848</f>
        <v>37851</v>
      </c>
      <c r="E2849" s="7"/>
      <c r="F2849" s="27">
        <v>0</v>
      </c>
      <c r="G2849" s="27">
        <v>0</v>
      </c>
      <c r="H2849" s="27">
        <v>0</v>
      </c>
      <c r="I2849" s="27">
        <v>0</v>
      </c>
      <c r="J2849" s="27">
        <v>0</v>
      </c>
      <c r="K2849" s="63">
        <f>AVERAGE(I2849:J2849)</f>
        <v>0</v>
      </c>
      <c r="L2849" s="56" t="str">
        <f>"SW-COMAS-PACKL"</f>
        <v>SW-COMAS-PACKL</v>
      </c>
      <c r="M2849" s="14"/>
      <c r="N2849" s="15"/>
      <c r="O2849" s="12"/>
      <c r="P2849" s="34"/>
      <c r="Q2849" s="37"/>
      <c r="R2849" s="47"/>
      <c r="S2849" s="46"/>
    </row>
    <row r="2850" spans="1:19" ht="15.6" hidden="1" customHeight="1" thickBot="1" x14ac:dyDescent="0.3">
      <c r="A2850" t="s">
        <v>23</v>
      </c>
      <c r="B2850" s="60" t="str">
        <f t="shared" si="2043"/>
        <v>hide</v>
      </c>
      <c r="D2850" s="48" t="str">
        <f>D2849</f>
        <v>37851</v>
      </c>
      <c r="E2850" s="7"/>
      <c r="F2850" s="27">
        <v>0</v>
      </c>
      <c r="G2850" s="27">
        <v>0</v>
      </c>
      <c r="H2850" s="27">
        <v>0</v>
      </c>
      <c r="I2850" s="27">
        <v>0</v>
      </c>
      <c r="J2850" s="27">
        <v>0</v>
      </c>
      <c r="K2850" s="63">
        <f>AVERAGE(I2850:J2850)</f>
        <v>0</v>
      </c>
      <c r="L2850" s="56" t="str">
        <f>"SW-RISER-PACK"</f>
        <v>SW-RISER-PACK</v>
      </c>
      <c r="M2850" s="14"/>
      <c r="N2850" s="15"/>
      <c r="O2850" s="12"/>
      <c r="P2850" s="34"/>
      <c r="Q2850" s="37"/>
      <c r="R2850" s="47"/>
      <c r="S2850" s="46"/>
    </row>
    <row r="2851" spans="1:19" ht="12" hidden="1" customHeight="1" x14ac:dyDescent="0.3">
      <c r="A2851" s="35" t="s">
        <v>908</v>
      </c>
      <c r="B2851" s="49" t="str">
        <f>B2847</f>
        <v>hide</v>
      </c>
      <c r="N2851"/>
      <c r="Q2851" s="33"/>
    </row>
    <row r="2852" spans="1:19" ht="13.8" hidden="1" thickBot="1" x14ac:dyDescent="0.3">
      <c r="A2852" t="s">
        <v>23</v>
      </c>
      <c r="B2852" s="49" t="str">
        <f t="shared" ref="B2852" si="2044">B2851</f>
        <v>hide</v>
      </c>
      <c r="D2852" s="58"/>
      <c r="E2852" s="58"/>
      <c r="F2852" s="52">
        <f>SUM(F2847:F2851)</f>
        <v>0</v>
      </c>
      <c r="G2852" s="52">
        <f>SUM(G2847:G2851)</f>
        <v>0</v>
      </c>
      <c r="H2852" s="52">
        <f>SUM(H2847:H2851)</f>
        <v>0</v>
      </c>
      <c r="I2852" s="52">
        <f>SUM(I2847:I2851)</f>
        <v>0</v>
      </c>
      <c r="J2852" s="52">
        <f>SUM(J2847:J2851)</f>
        <v>0</v>
      </c>
      <c r="K2852" s="52"/>
      <c r="L2852" s="51" t="s">
        <v>4</v>
      </c>
      <c r="M2852" s="58"/>
      <c r="N2852" s="58"/>
      <c r="O2852" s="58"/>
      <c r="P2852" s="58"/>
      <c r="Q2852" s="58"/>
      <c r="R2852" s="58"/>
      <c r="S2852" s="58"/>
    </row>
    <row r="2853" spans="1:19" s="59" customFormat="1" ht="18.75" hidden="1" customHeight="1" thickBot="1" x14ac:dyDescent="0.3">
      <c r="A2853" s="59" t="s">
        <v>23</v>
      </c>
      <c r="B2853" s="60" t="str">
        <f t="shared" ref="B2853:B2854" si="2045">IF(K2853=0,"hide","")</f>
        <v>hide</v>
      </c>
      <c r="D2853" s="61" t="str">
        <f>"37891"</f>
        <v>37891</v>
      </c>
      <c r="E2853" s="62" t="str">
        <f>""</f>
        <v/>
      </c>
      <c r="F2853" s="63">
        <v>0</v>
      </c>
      <c r="G2853" s="63">
        <v>0</v>
      </c>
      <c r="H2853" s="63">
        <v>0</v>
      </c>
      <c r="I2853" s="63">
        <v>0</v>
      </c>
      <c r="J2853" s="63">
        <v>0</v>
      </c>
      <c r="K2853" s="63">
        <f>AVERAGE(I2853:J2853)</f>
        <v>0</v>
      </c>
      <c r="L2853" s="64" t="str">
        <f>"Blueberry Muffin"</f>
        <v>Blueberry Muffin</v>
      </c>
      <c r="M2853" s="65" t="str">
        <f>"24-3.75 oz. 6-4 pack"</f>
        <v>24-3.75 oz. 6-4 pack</v>
      </c>
      <c r="N2853" s="66">
        <v>24</v>
      </c>
      <c r="O2853" s="67" t="e">
        <v>#VALUE!</v>
      </c>
      <c r="P2853" s="68" t="e">
        <f>1/O2853</f>
        <v>#VALUE!</v>
      </c>
      <c r="Q2853" s="53" t="e">
        <v>#VALUE!</v>
      </c>
      <c r="R2853" s="69" t="e">
        <f t="shared" ref="R2853" si="2046">1/Q2853</f>
        <v>#VALUE!</v>
      </c>
      <c r="S2853" s="70" t="e">
        <f t="shared" ref="S2853" si="2047">R2853*N2853</f>
        <v>#VALUE!</v>
      </c>
    </row>
    <row r="2854" spans="1:19" ht="15.6" hidden="1" customHeight="1" thickBot="1" x14ac:dyDescent="0.3">
      <c r="A2854" t="s">
        <v>23</v>
      </c>
      <c r="B2854" s="60" t="str">
        <f t="shared" si="2045"/>
        <v>hide</v>
      </c>
      <c r="D2854" s="48" t="str">
        <f>D2853</f>
        <v>37891</v>
      </c>
      <c r="E2854" s="7"/>
      <c r="F2854" s="27">
        <v>0</v>
      </c>
      <c r="G2854" s="27">
        <v>0</v>
      </c>
      <c r="H2854" s="27">
        <v>0</v>
      </c>
      <c r="I2854" s="27">
        <v>0</v>
      </c>
      <c r="J2854" s="27">
        <v>0</v>
      </c>
      <c r="K2854" s="63">
        <f>AVERAGE(I2854:J2854)</f>
        <v>0</v>
      </c>
      <c r="L2854" s="56" t="str">
        <f>"EQP-LAWPACK1"</f>
        <v>EQP-LAWPACK1</v>
      </c>
      <c r="M2854" s="14"/>
      <c r="N2854" s="15"/>
      <c r="O2854" s="12"/>
      <c r="P2854" s="34"/>
      <c r="Q2854" s="37"/>
      <c r="R2854" s="47"/>
      <c r="S2854" s="46"/>
    </row>
    <row r="2855" spans="1:19" ht="15.6" hidden="1" customHeight="1" thickBot="1" x14ac:dyDescent="0.3">
      <c r="A2855" t="s">
        <v>23</v>
      </c>
      <c r="B2855" s="60" t="str">
        <f t="shared" ref="B2855:B2857" si="2048">IF(K2855=0,"hide","")</f>
        <v>hide</v>
      </c>
      <c r="D2855" s="48" t="str">
        <f>D2854</f>
        <v>37891</v>
      </c>
      <c r="E2855" s="7"/>
      <c r="F2855" s="27">
        <v>0</v>
      </c>
      <c r="G2855" s="27">
        <v>0</v>
      </c>
      <c r="H2855" s="27">
        <v>0</v>
      </c>
      <c r="I2855" s="27">
        <v>0</v>
      </c>
      <c r="J2855" s="27">
        <v>0</v>
      </c>
      <c r="K2855" s="63">
        <f>AVERAGE(I2855:J2855)</f>
        <v>0</v>
      </c>
      <c r="L2855" s="56" t="str">
        <f>"EQP-LAWPACK2"</f>
        <v>EQP-LAWPACK2</v>
      </c>
      <c r="M2855" s="14"/>
      <c r="N2855" s="15"/>
      <c r="O2855" s="12"/>
      <c r="P2855" s="34"/>
      <c r="Q2855" s="37"/>
      <c r="R2855" s="47"/>
      <c r="S2855" s="46"/>
    </row>
    <row r="2856" spans="1:19" ht="15.6" hidden="1" customHeight="1" thickBot="1" x14ac:dyDescent="0.3">
      <c r="A2856" t="s">
        <v>23</v>
      </c>
      <c r="B2856" s="60" t="str">
        <f t="shared" si="2048"/>
        <v>hide</v>
      </c>
      <c r="D2856" s="48" t="str">
        <f>D2855</f>
        <v>37891</v>
      </c>
      <c r="E2856" s="7"/>
      <c r="F2856" s="27">
        <v>0</v>
      </c>
      <c r="G2856" s="27">
        <v>0</v>
      </c>
      <c r="H2856" s="27">
        <v>0</v>
      </c>
      <c r="I2856" s="27">
        <v>0</v>
      </c>
      <c r="J2856" s="27">
        <v>0</v>
      </c>
      <c r="K2856" s="63">
        <f>AVERAGE(I2856:J2856)</f>
        <v>0</v>
      </c>
      <c r="L2856" s="56" t="str">
        <f>"SW-COMAS-PACKL"</f>
        <v>SW-COMAS-PACKL</v>
      </c>
      <c r="M2856" s="14"/>
      <c r="N2856" s="15"/>
      <c r="O2856" s="12"/>
      <c r="P2856" s="34"/>
      <c r="Q2856" s="37"/>
      <c r="R2856" s="47"/>
      <c r="S2856" s="46"/>
    </row>
    <row r="2857" spans="1:19" ht="15.6" hidden="1" customHeight="1" thickBot="1" x14ac:dyDescent="0.3">
      <c r="A2857" t="s">
        <v>23</v>
      </c>
      <c r="B2857" s="60" t="str">
        <f t="shared" si="2048"/>
        <v>hide</v>
      </c>
      <c r="D2857" s="48" t="str">
        <f>D2856</f>
        <v>37891</v>
      </c>
      <c r="E2857" s="7"/>
      <c r="F2857" s="27">
        <v>0</v>
      </c>
      <c r="G2857" s="27">
        <v>0</v>
      </c>
      <c r="H2857" s="27">
        <v>0</v>
      </c>
      <c r="I2857" s="27">
        <v>0</v>
      </c>
      <c r="J2857" s="27">
        <v>0</v>
      </c>
      <c r="K2857" s="63">
        <f>AVERAGE(I2857:J2857)</f>
        <v>0</v>
      </c>
      <c r="L2857" s="56" t="str">
        <f>"SW-RISER-PACK"</f>
        <v>SW-RISER-PACK</v>
      </c>
      <c r="M2857" s="14"/>
      <c r="N2857" s="15"/>
      <c r="O2857" s="12"/>
      <c r="P2857" s="34"/>
      <c r="Q2857" s="37"/>
      <c r="R2857" s="47"/>
      <c r="S2857" s="46"/>
    </row>
    <row r="2858" spans="1:19" ht="12" hidden="1" customHeight="1" x14ac:dyDescent="0.3">
      <c r="A2858" s="35" t="s">
        <v>908</v>
      </c>
      <c r="B2858" s="49" t="str">
        <f>B2854</f>
        <v>hide</v>
      </c>
      <c r="N2858"/>
      <c r="Q2858" s="33"/>
    </row>
    <row r="2859" spans="1:19" ht="13.8" hidden="1" thickBot="1" x14ac:dyDescent="0.3">
      <c r="A2859" t="s">
        <v>23</v>
      </c>
      <c r="B2859" s="49" t="str">
        <f t="shared" ref="B2859" si="2049">B2858</f>
        <v>hide</v>
      </c>
      <c r="D2859" s="58"/>
      <c r="E2859" s="58"/>
      <c r="F2859" s="52">
        <f>SUM(F2854:F2858)</f>
        <v>0</v>
      </c>
      <c r="G2859" s="52">
        <f>SUM(G2854:G2858)</f>
        <v>0</v>
      </c>
      <c r="H2859" s="52">
        <f>SUM(H2854:H2858)</f>
        <v>0</v>
      </c>
      <c r="I2859" s="52">
        <f>SUM(I2854:I2858)</f>
        <v>0</v>
      </c>
      <c r="J2859" s="52">
        <f>SUM(J2854:J2858)</f>
        <v>0</v>
      </c>
      <c r="K2859" s="52"/>
      <c r="L2859" s="51" t="s">
        <v>4</v>
      </c>
      <c r="M2859" s="58"/>
      <c r="N2859" s="58"/>
      <c r="O2859" s="58"/>
      <c r="P2859" s="58"/>
      <c r="Q2859" s="58"/>
      <c r="R2859" s="58"/>
      <c r="S2859" s="58"/>
    </row>
    <row r="2860" spans="1:19" s="59" customFormat="1" ht="18.75" hidden="1" customHeight="1" thickBot="1" x14ac:dyDescent="0.3">
      <c r="A2860" s="59" t="s">
        <v>23</v>
      </c>
      <c r="B2860" s="60" t="str">
        <f t="shared" ref="B2860:B2861" si="2050">IF(K2860=0,"hide","")</f>
        <v>hide</v>
      </c>
      <c r="D2860" s="61" t="str">
        <f>"38205"</f>
        <v>38205</v>
      </c>
      <c r="E2860" s="62" t="str">
        <f>"1"</f>
        <v>1</v>
      </c>
      <c r="F2860" s="63">
        <v>69.999999999999986</v>
      </c>
      <c r="G2860" s="63">
        <v>0</v>
      </c>
      <c r="H2860" s="63">
        <v>0</v>
      </c>
      <c r="I2860" s="63">
        <v>0</v>
      </c>
      <c r="J2860" s="63">
        <v>0</v>
      </c>
      <c r="K2860" s="63">
        <f>AVERAGE(I2860:J2860)</f>
        <v>0</v>
      </c>
      <c r="L2860" s="64" t="str">
        <f>"CORNBREAD BOWLS"</f>
        <v>CORNBREAD BOWLS</v>
      </c>
      <c r="M2860" s="65" t="str">
        <f>"60-2.5oz. 3 packs of 20"</f>
        <v>60-2.5oz. 3 packs of 20</v>
      </c>
      <c r="N2860" s="66">
        <v>60</v>
      </c>
      <c r="O2860" s="67" t="str">
        <f>""</f>
        <v/>
      </c>
      <c r="P2860" s="68" t="e">
        <f>1/O2860</f>
        <v>#VALUE!</v>
      </c>
      <c r="Q2860" s="53">
        <v>1</v>
      </c>
      <c r="R2860" s="69">
        <f t="shared" ref="R2860" si="2051">1/Q2860</f>
        <v>1</v>
      </c>
      <c r="S2860" s="70">
        <f t="shared" ref="S2860" si="2052">R2860*N2860</f>
        <v>60</v>
      </c>
    </row>
    <row r="2861" spans="1:19" ht="15.6" hidden="1" customHeight="1" thickBot="1" x14ac:dyDescent="0.3">
      <c r="A2861" t="s">
        <v>23</v>
      </c>
      <c r="B2861" s="60" t="str">
        <f t="shared" si="2050"/>
        <v>hide</v>
      </c>
      <c r="D2861" s="48" t="str">
        <f>D2860</f>
        <v>38205</v>
      </c>
      <c r="E2861" s="7"/>
      <c r="F2861" s="27">
        <v>0</v>
      </c>
      <c r="G2861" s="27">
        <v>0</v>
      </c>
      <c r="H2861" s="27">
        <v>0</v>
      </c>
      <c r="I2861" s="27">
        <v>0</v>
      </c>
      <c r="J2861" s="27">
        <v>0</v>
      </c>
      <c r="K2861" s="63">
        <f>AVERAGE(I2861:J2861)</f>
        <v>0</v>
      </c>
      <c r="L2861" s="56" t="str">
        <f>"EQP-LAWPACK1"</f>
        <v>EQP-LAWPACK1</v>
      </c>
      <c r="M2861" s="14"/>
      <c r="N2861" s="15"/>
      <c r="O2861" s="12"/>
      <c r="P2861" s="34"/>
      <c r="Q2861" s="37"/>
      <c r="R2861" s="47"/>
      <c r="S2861" s="46"/>
    </row>
    <row r="2862" spans="1:19" ht="15.6" hidden="1" customHeight="1" thickBot="1" x14ac:dyDescent="0.3">
      <c r="A2862" t="s">
        <v>23</v>
      </c>
      <c r="B2862" s="60" t="str">
        <f t="shared" ref="B2862:B2864" si="2053">IF(K2862=0,"hide","")</f>
        <v>hide</v>
      </c>
      <c r="D2862" s="48" t="str">
        <f>D2861</f>
        <v>38205</v>
      </c>
      <c r="E2862" s="7"/>
      <c r="F2862" s="27">
        <v>0</v>
      </c>
      <c r="G2862" s="27">
        <v>0</v>
      </c>
      <c r="H2862" s="27">
        <v>0</v>
      </c>
      <c r="I2862" s="27">
        <v>0</v>
      </c>
      <c r="J2862" s="27">
        <v>0</v>
      </c>
      <c r="K2862" s="63">
        <f>AVERAGE(I2862:J2862)</f>
        <v>0</v>
      </c>
      <c r="L2862" s="56" t="str">
        <f>"EQP-LAWPACK2"</f>
        <v>EQP-LAWPACK2</v>
      </c>
      <c r="M2862" s="14"/>
      <c r="N2862" s="15"/>
      <c r="O2862" s="12"/>
      <c r="P2862" s="34"/>
      <c r="Q2862" s="37"/>
      <c r="R2862" s="47"/>
      <c r="S2862" s="46"/>
    </row>
    <row r="2863" spans="1:19" ht="15.6" hidden="1" customHeight="1" thickBot="1" x14ac:dyDescent="0.3">
      <c r="A2863" t="s">
        <v>23</v>
      </c>
      <c r="B2863" s="60" t="str">
        <f t="shared" si="2053"/>
        <v>hide</v>
      </c>
      <c r="D2863" s="48" t="str">
        <f>D2862</f>
        <v>38205</v>
      </c>
      <c r="E2863" s="7"/>
      <c r="F2863" s="27">
        <v>0</v>
      </c>
      <c r="G2863" s="27">
        <v>0</v>
      </c>
      <c r="H2863" s="27">
        <v>0</v>
      </c>
      <c r="I2863" s="27">
        <v>0</v>
      </c>
      <c r="J2863" s="27">
        <v>0</v>
      </c>
      <c r="K2863" s="63">
        <f>AVERAGE(I2863:J2863)</f>
        <v>0</v>
      </c>
      <c r="L2863" s="56" t="str">
        <f>"SW-COMAS-PACKL"</f>
        <v>SW-COMAS-PACKL</v>
      </c>
      <c r="M2863" s="14"/>
      <c r="N2863" s="15"/>
      <c r="O2863" s="12"/>
      <c r="P2863" s="34"/>
      <c r="Q2863" s="37"/>
      <c r="R2863" s="47"/>
      <c r="S2863" s="46"/>
    </row>
    <row r="2864" spans="1:19" ht="15.6" hidden="1" customHeight="1" thickBot="1" x14ac:dyDescent="0.3">
      <c r="A2864" t="s">
        <v>23</v>
      </c>
      <c r="B2864" s="60" t="str">
        <f t="shared" si="2053"/>
        <v>hide</v>
      </c>
      <c r="D2864" s="48" t="str">
        <f>D2863</f>
        <v>38205</v>
      </c>
      <c r="E2864" s="7"/>
      <c r="F2864" s="27">
        <v>0</v>
      </c>
      <c r="G2864" s="27">
        <v>0</v>
      </c>
      <c r="H2864" s="27">
        <v>0</v>
      </c>
      <c r="I2864" s="27">
        <v>0</v>
      </c>
      <c r="J2864" s="27">
        <v>0</v>
      </c>
      <c r="K2864" s="63">
        <f>AVERAGE(I2864:J2864)</f>
        <v>0</v>
      </c>
      <c r="L2864" s="56" t="str">
        <f>"SW-RISER-PACK"</f>
        <v>SW-RISER-PACK</v>
      </c>
      <c r="M2864" s="14"/>
      <c r="N2864" s="15"/>
      <c r="O2864" s="12"/>
      <c r="P2864" s="34"/>
      <c r="Q2864" s="37"/>
      <c r="R2864" s="47"/>
      <c r="S2864" s="46"/>
    </row>
    <row r="2865" spans="1:19" ht="12" hidden="1" customHeight="1" x14ac:dyDescent="0.3">
      <c r="A2865" s="35" t="s">
        <v>908</v>
      </c>
      <c r="B2865" s="49" t="str">
        <f>B2861</f>
        <v>hide</v>
      </c>
      <c r="N2865"/>
      <c r="Q2865" s="33"/>
    </row>
    <row r="2866" spans="1:19" ht="13.8" hidden="1" thickBot="1" x14ac:dyDescent="0.3">
      <c r="A2866" t="s">
        <v>23</v>
      </c>
      <c r="B2866" s="49" t="str">
        <f t="shared" ref="B2866" si="2054">B2865</f>
        <v>hide</v>
      </c>
      <c r="D2866" s="58"/>
      <c r="E2866" s="58"/>
      <c r="F2866" s="52">
        <f>SUM(F2861:F2865)</f>
        <v>0</v>
      </c>
      <c r="G2866" s="52">
        <f>SUM(G2861:G2865)</f>
        <v>0</v>
      </c>
      <c r="H2866" s="52">
        <f>SUM(H2861:H2865)</f>
        <v>0</v>
      </c>
      <c r="I2866" s="52">
        <f>SUM(I2861:I2865)</f>
        <v>0</v>
      </c>
      <c r="J2866" s="52">
        <f>SUM(J2861:J2865)</f>
        <v>0</v>
      </c>
      <c r="K2866" s="52"/>
      <c r="L2866" s="51" t="s">
        <v>4</v>
      </c>
      <c r="M2866" s="58"/>
      <c r="N2866" s="58"/>
      <c r="O2866" s="58"/>
      <c r="P2866" s="58"/>
      <c r="Q2866" s="58"/>
      <c r="R2866" s="58"/>
      <c r="S2866" s="58"/>
    </row>
    <row r="2867" spans="1:19" s="59" customFormat="1" ht="18.75" hidden="1" customHeight="1" thickBot="1" x14ac:dyDescent="0.3">
      <c r="A2867" s="59" t="s">
        <v>23</v>
      </c>
      <c r="B2867" s="60" t="str">
        <f t="shared" ref="B2867:B2868" si="2055">IF(K2867=0,"hide","")</f>
        <v>hide</v>
      </c>
      <c r="D2867" s="61" t="str">
        <f>"38405"</f>
        <v>38405</v>
      </c>
      <c r="E2867" s="62" t="str">
        <f>"3"</f>
        <v>3</v>
      </c>
      <c r="F2867" s="63">
        <v>430.08333333333331</v>
      </c>
      <c r="G2867" s="63">
        <v>24.583333333333332</v>
      </c>
      <c r="H2867" s="63">
        <v>0</v>
      </c>
      <c r="I2867" s="63">
        <v>0</v>
      </c>
      <c r="J2867" s="63">
        <v>0</v>
      </c>
      <c r="K2867" s="63">
        <f>AVERAGE(I2867:J2867)</f>
        <v>0</v>
      </c>
      <c r="L2867" s="64" t="str">
        <f>"CORNBREAD BOWLS"</f>
        <v>CORNBREAD BOWLS</v>
      </c>
      <c r="M2867" s="65" t="str">
        <f>"60-2.5oz. 3 packs of 20"</f>
        <v>60-2.5oz. 3 packs of 20</v>
      </c>
      <c r="N2867" s="66">
        <v>60</v>
      </c>
      <c r="O2867" s="67" t="str">
        <f>""</f>
        <v/>
      </c>
      <c r="P2867" s="68" t="e">
        <f>1/O2867</f>
        <v>#VALUE!</v>
      </c>
      <c r="Q2867" s="53">
        <v>1</v>
      </c>
      <c r="R2867" s="69">
        <f t="shared" ref="R2867" si="2056">1/Q2867</f>
        <v>1</v>
      </c>
      <c r="S2867" s="70">
        <f t="shared" ref="S2867" si="2057">R2867*N2867</f>
        <v>60</v>
      </c>
    </row>
    <row r="2868" spans="1:19" ht="15.6" hidden="1" customHeight="1" thickBot="1" x14ac:dyDescent="0.3">
      <c r="A2868" t="s">
        <v>23</v>
      </c>
      <c r="B2868" s="60" t="str">
        <f t="shared" si="2055"/>
        <v>hide</v>
      </c>
      <c r="D2868" s="48" t="str">
        <f>D2867</f>
        <v>38405</v>
      </c>
      <c r="E2868" s="7"/>
      <c r="F2868" s="27">
        <v>0</v>
      </c>
      <c r="G2868" s="27">
        <v>0</v>
      </c>
      <c r="H2868" s="27">
        <v>0</v>
      </c>
      <c r="I2868" s="27">
        <v>0</v>
      </c>
      <c r="J2868" s="27">
        <v>0</v>
      </c>
      <c r="K2868" s="63">
        <f>AVERAGE(I2868:J2868)</f>
        <v>0</v>
      </c>
      <c r="L2868" s="56" t="str">
        <f>"EQP-LAWPACK1"</f>
        <v>EQP-LAWPACK1</v>
      </c>
      <c r="M2868" s="14"/>
      <c r="N2868" s="15"/>
      <c r="O2868" s="12"/>
      <c r="P2868" s="34"/>
      <c r="Q2868" s="37"/>
      <c r="R2868" s="47"/>
      <c r="S2868" s="46"/>
    </row>
    <row r="2869" spans="1:19" ht="15.6" hidden="1" customHeight="1" thickBot="1" x14ac:dyDescent="0.3">
      <c r="A2869" t="s">
        <v>23</v>
      </c>
      <c r="B2869" s="60" t="str">
        <f t="shared" ref="B2869:B2871" si="2058">IF(K2869=0,"hide","")</f>
        <v>hide</v>
      </c>
      <c r="D2869" s="48" t="str">
        <f>D2868</f>
        <v>38405</v>
      </c>
      <c r="E2869" s="7"/>
      <c r="F2869" s="27">
        <v>0</v>
      </c>
      <c r="G2869" s="27">
        <v>0</v>
      </c>
      <c r="H2869" s="27">
        <v>0</v>
      </c>
      <c r="I2869" s="27">
        <v>0</v>
      </c>
      <c r="J2869" s="27">
        <v>0</v>
      </c>
      <c r="K2869" s="63">
        <f>AVERAGE(I2869:J2869)</f>
        <v>0</v>
      </c>
      <c r="L2869" s="56" t="str">
        <f>"EQP-LAWPACK2"</f>
        <v>EQP-LAWPACK2</v>
      </c>
      <c r="M2869" s="14"/>
      <c r="N2869" s="15"/>
      <c r="O2869" s="12"/>
      <c r="P2869" s="34"/>
      <c r="Q2869" s="37"/>
      <c r="R2869" s="47"/>
      <c r="S2869" s="46"/>
    </row>
    <row r="2870" spans="1:19" ht="15.6" hidden="1" customHeight="1" thickBot="1" x14ac:dyDescent="0.3">
      <c r="A2870" t="s">
        <v>23</v>
      </c>
      <c r="B2870" s="60" t="str">
        <f t="shared" si="2058"/>
        <v>hide</v>
      </c>
      <c r="D2870" s="48" t="str">
        <f>D2869</f>
        <v>38405</v>
      </c>
      <c r="E2870" s="7"/>
      <c r="F2870" s="27">
        <v>0</v>
      </c>
      <c r="G2870" s="27">
        <v>0</v>
      </c>
      <c r="H2870" s="27">
        <v>0</v>
      </c>
      <c r="I2870" s="27">
        <v>0</v>
      </c>
      <c r="J2870" s="27">
        <v>0</v>
      </c>
      <c r="K2870" s="63">
        <f>AVERAGE(I2870:J2870)</f>
        <v>0</v>
      </c>
      <c r="L2870" s="56" t="str">
        <f>"SW-COMAS-PACKL"</f>
        <v>SW-COMAS-PACKL</v>
      </c>
      <c r="M2870" s="14"/>
      <c r="N2870" s="15"/>
      <c r="O2870" s="12"/>
      <c r="P2870" s="34"/>
      <c r="Q2870" s="37"/>
      <c r="R2870" s="47"/>
      <c r="S2870" s="46"/>
    </row>
    <row r="2871" spans="1:19" ht="15.6" hidden="1" customHeight="1" thickBot="1" x14ac:dyDescent="0.3">
      <c r="A2871" t="s">
        <v>23</v>
      </c>
      <c r="B2871" s="60" t="str">
        <f t="shared" si="2058"/>
        <v>hide</v>
      </c>
      <c r="D2871" s="48" t="str">
        <f>D2870</f>
        <v>38405</v>
      </c>
      <c r="E2871" s="7"/>
      <c r="F2871" s="27">
        <v>0</v>
      </c>
      <c r="G2871" s="27">
        <v>0</v>
      </c>
      <c r="H2871" s="27">
        <v>0</v>
      </c>
      <c r="I2871" s="27">
        <v>0</v>
      </c>
      <c r="J2871" s="27">
        <v>0</v>
      </c>
      <c r="K2871" s="63">
        <f>AVERAGE(I2871:J2871)</f>
        <v>0</v>
      </c>
      <c r="L2871" s="56" t="str">
        <f>"SW-RISER-PACK"</f>
        <v>SW-RISER-PACK</v>
      </c>
      <c r="M2871" s="14"/>
      <c r="N2871" s="15"/>
      <c r="O2871" s="12"/>
      <c r="P2871" s="34"/>
      <c r="Q2871" s="37"/>
      <c r="R2871" s="47"/>
      <c r="S2871" s="46"/>
    </row>
    <row r="2872" spans="1:19" ht="12" hidden="1" customHeight="1" x14ac:dyDescent="0.3">
      <c r="A2872" s="35" t="s">
        <v>908</v>
      </c>
      <c r="B2872" s="49" t="str">
        <f>B2868</f>
        <v>hide</v>
      </c>
      <c r="N2872"/>
      <c r="Q2872" s="33"/>
    </row>
    <row r="2873" spans="1:19" ht="13.8" hidden="1" thickBot="1" x14ac:dyDescent="0.3">
      <c r="A2873" t="s">
        <v>23</v>
      </c>
      <c r="B2873" s="49" t="str">
        <f t="shared" ref="B2873" si="2059">B2872</f>
        <v>hide</v>
      </c>
      <c r="D2873" s="58"/>
      <c r="E2873" s="58"/>
      <c r="F2873" s="52">
        <f>SUM(F2868:F2872)</f>
        <v>0</v>
      </c>
      <c r="G2873" s="52">
        <f>SUM(G2868:G2872)</f>
        <v>0</v>
      </c>
      <c r="H2873" s="52">
        <f>SUM(H2868:H2872)</f>
        <v>0</v>
      </c>
      <c r="I2873" s="52">
        <f>SUM(I2868:I2872)</f>
        <v>0</v>
      </c>
      <c r="J2873" s="52">
        <f>SUM(J2868:J2872)</f>
        <v>0</v>
      </c>
      <c r="K2873" s="52"/>
      <c r="L2873" s="51" t="s">
        <v>4</v>
      </c>
      <c r="M2873" s="58"/>
      <c r="N2873" s="58"/>
      <c r="O2873" s="58"/>
      <c r="P2873" s="58"/>
      <c r="Q2873" s="58"/>
      <c r="R2873" s="58"/>
      <c r="S2873" s="58"/>
    </row>
    <row r="2874" spans="1:19" s="59" customFormat="1" ht="18.75" customHeight="1" thickBot="1" x14ac:dyDescent="0.3">
      <c r="A2874" s="59" t="s">
        <v>23</v>
      </c>
      <c r="B2874" s="60" t="str">
        <f t="shared" ref="B2874:B2875" si="2060">IF(K2874=0,"hide","")</f>
        <v/>
      </c>
      <c r="D2874" s="61" t="str">
        <f>"38430"</f>
        <v>38430</v>
      </c>
      <c r="E2874" s="62" t="str">
        <f>"2"</f>
        <v>2</v>
      </c>
      <c r="F2874" s="63">
        <v>0</v>
      </c>
      <c r="G2874" s="63">
        <v>58</v>
      </c>
      <c r="H2874" s="63">
        <v>175.25</v>
      </c>
      <c r="I2874" s="63">
        <v>38.666666666666664</v>
      </c>
      <c r="J2874" s="63">
        <v>28.640963855421685</v>
      </c>
      <c r="K2874" s="63">
        <f>AVERAGE(I2874:J2874)</f>
        <v>33.653815261044173</v>
      </c>
      <c r="L2874" s="64" t="str">
        <f>"CHOCOLATE BOWL"</f>
        <v>CHOCOLATE BOWL</v>
      </c>
      <c r="M2874" s="65" t="str">
        <f>"60-3oz. 3 packs of 20"</f>
        <v>60-3oz. 3 packs of 20</v>
      </c>
      <c r="N2874" s="66">
        <v>60</v>
      </c>
      <c r="O2874" s="67" t="str">
        <f>""</f>
        <v/>
      </c>
      <c r="P2874" s="68" t="e">
        <f>1/O2874</f>
        <v>#VALUE!</v>
      </c>
      <c r="Q2874" s="53">
        <v>1</v>
      </c>
      <c r="R2874" s="69">
        <f t="shared" ref="R2874" si="2061">1/Q2874</f>
        <v>1</v>
      </c>
      <c r="S2874" s="70">
        <f t="shared" ref="S2874" si="2062">R2874*N2874</f>
        <v>60</v>
      </c>
    </row>
    <row r="2875" spans="1:19" ht="15.6" hidden="1" customHeight="1" thickBot="1" x14ac:dyDescent="0.3">
      <c r="A2875" t="s">
        <v>23</v>
      </c>
      <c r="B2875" s="60" t="str">
        <f t="shared" si="2060"/>
        <v>hide</v>
      </c>
      <c r="D2875" s="48" t="str">
        <f>D2874</f>
        <v>38430</v>
      </c>
      <c r="E2875" s="7"/>
      <c r="F2875" s="27">
        <v>0</v>
      </c>
      <c r="G2875" s="27">
        <v>0</v>
      </c>
      <c r="H2875" s="27">
        <v>0</v>
      </c>
      <c r="I2875" s="27">
        <v>0</v>
      </c>
      <c r="J2875" s="27">
        <v>0</v>
      </c>
      <c r="K2875" s="63">
        <f>AVERAGE(I2875:J2875)</f>
        <v>0</v>
      </c>
      <c r="L2875" s="56" t="str">
        <f>"EQP-LAWPACK1"</f>
        <v>EQP-LAWPACK1</v>
      </c>
      <c r="M2875" s="14"/>
      <c r="N2875" s="15"/>
      <c r="O2875" s="12"/>
      <c r="P2875" s="34"/>
      <c r="Q2875" s="37"/>
      <c r="R2875" s="47"/>
      <c r="S2875" s="46"/>
    </row>
    <row r="2876" spans="1:19" ht="15.6" hidden="1" customHeight="1" thickBot="1" x14ac:dyDescent="0.3">
      <c r="A2876" t="s">
        <v>23</v>
      </c>
      <c r="B2876" s="60" t="str">
        <f t="shared" ref="B2876:B2878" si="2063">IF(K2876=0,"hide","")</f>
        <v>hide</v>
      </c>
      <c r="D2876" s="48" t="str">
        <f>D2875</f>
        <v>38430</v>
      </c>
      <c r="E2876" s="7"/>
      <c r="F2876" s="27">
        <v>0</v>
      </c>
      <c r="G2876" s="27">
        <v>0</v>
      </c>
      <c r="H2876" s="27">
        <v>0</v>
      </c>
      <c r="I2876" s="27">
        <v>0</v>
      </c>
      <c r="J2876" s="27">
        <v>0</v>
      </c>
      <c r="K2876" s="63">
        <f>AVERAGE(I2876:J2876)</f>
        <v>0</v>
      </c>
      <c r="L2876" s="56" t="str">
        <f>"EQP-LAWPACK2"</f>
        <v>EQP-LAWPACK2</v>
      </c>
      <c r="M2876" s="14"/>
      <c r="N2876" s="15"/>
      <c r="O2876" s="12"/>
      <c r="P2876" s="34"/>
      <c r="Q2876" s="37"/>
      <c r="R2876" s="47"/>
      <c r="S2876" s="46"/>
    </row>
    <row r="2877" spans="1:19" ht="15.6" hidden="1" customHeight="1" thickBot="1" x14ac:dyDescent="0.3">
      <c r="A2877" t="s">
        <v>23</v>
      </c>
      <c r="B2877" s="60" t="str">
        <f t="shared" si="2063"/>
        <v>hide</v>
      </c>
      <c r="D2877" s="48" t="str">
        <f>D2876</f>
        <v>38430</v>
      </c>
      <c r="E2877" s="7"/>
      <c r="F2877" s="27">
        <v>0</v>
      </c>
      <c r="G2877" s="27">
        <v>0</v>
      </c>
      <c r="H2877" s="27">
        <v>0</v>
      </c>
      <c r="I2877" s="27">
        <v>0</v>
      </c>
      <c r="J2877" s="27">
        <v>0</v>
      </c>
      <c r="K2877" s="63">
        <f>AVERAGE(I2877:J2877)</f>
        <v>0</v>
      </c>
      <c r="L2877" s="56" t="str">
        <f>"SW-COMAS-PACKL"</f>
        <v>SW-COMAS-PACKL</v>
      </c>
      <c r="M2877" s="14"/>
      <c r="N2877" s="15"/>
      <c r="O2877" s="12"/>
      <c r="P2877" s="34"/>
      <c r="Q2877" s="37"/>
      <c r="R2877" s="47"/>
      <c r="S2877" s="46"/>
    </row>
    <row r="2878" spans="1:19" ht="15.6" hidden="1" customHeight="1" thickBot="1" x14ac:dyDescent="0.3">
      <c r="A2878" t="s">
        <v>23</v>
      </c>
      <c r="B2878" s="60" t="str">
        <f t="shared" si="2063"/>
        <v>hide</v>
      </c>
      <c r="D2878" s="48" t="str">
        <f>D2877</f>
        <v>38430</v>
      </c>
      <c r="E2878" s="7"/>
      <c r="F2878" s="27">
        <v>0</v>
      </c>
      <c r="G2878" s="27">
        <v>0</v>
      </c>
      <c r="H2878" s="27">
        <v>0</v>
      </c>
      <c r="I2878" s="27">
        <v>0</v>
      </c>
      <c r="J2878" s="27">
        <v>0</v>
      </c>
      <c r="K2878" s="63">
        <f>AVERAGE(I2878:J2878)</f>
        <v>0</v>
      </c>
      <c r="L2878" s="56" t="str">
        <f>"SW-RISER-PACK"</f>
        <v>SW-RISER-PACK</v>
      </c>
      <c r="M2878" s="14"/>
      <c r="N2878" s="15"/>
      <c r="O2878" s="12"/>
      <c r="P2878" s="34"/>
      <c r="Q2878" s="37"/>
      <c r="R2878" s="47"/>
      <c r="S2878" s="46"/>
    </row>
    <row r="2879" spans="1:19" ht="12" hidden="1" customHeight="1" x14ac:dyDescent="0.3">
      <c r="A2879" s="35" t="s">
        <v>908</v>
      </c>
      <c r="B2879" s="49" t="str">
        <f>B2875</f>
        <v>hide</v>
      </c>
      <c r="N2879"/>
      <c r="Q2879" s="33"/>
    </row>
    <row r="2880" spans="1:19" ht="13.8" hidden="1" thickBot="1" x14ac:dyDescent="0.3">
      <c r="A2880" t="s">
        <v>23</v>
      </c>
      <c r="B2880" s="49" t="str">
        <f t="shared" ref="B2880" si="2064">B2879</f>
        <v>hide</v>
      </c>
      <c r="D2880" s="58"/>
      <c r="E2880" s="58"/>
      <c r="F2880" s="52">
        <f>SUM(F2875:F2879)</f>
        <v>0</v>
      </c>
      <c r="G2880" s="52">
        <f>SUM(G2875:G2879)</f>
        <v>0</v>
      </c>
      <c r="H2880" s="52">
        <f>SUM(H2875:H2879)</f>
        <v>0</v>
      </c>
      <c r="I2880" s="52">
        <f>SUM(I2875:I2879)</f>
        <v>0</v>
      </c>
      <c r="J2880" s="52">
        <f>SUM(J2875:J2879)</f>
        <v>0</v>
      </c>
      <c r="K2880" s="52"/>
      <c r="L2880" s="51" t="s">
        <v>4</v>
      </c>
      <c r="M2880" s="58"/>
      <c r="N2880" s="58"/>
      <c r="O2880" s="58"/>
      <c r="P2880" s="58"/>
      <c r="Q2880" s="58"/>
      <c r="R2880" s="58"/>
      <c r="S2880" s="58"/>
    </row>
    <row r="2881" spans="1:19" s="59" customFormat="1" ht="18.75" customHeight="1" thickBot="1" x14ac:dyDescent="0.3">
      <c r="A2881" s="59" t="s">
        <v>23</v>
      </c>
      <c r="B2881" s="60" t="str">
        <f t="shared" ref="B2881:B2882" si="2065">IF(K2881=0,"hide","")</f>
        <v/>
      </c>
      <c r="D2881" s="61" t="str">
        <f>"38605"</f>
        <v>38605</v>
      </c>
      <c r="E2881" s="62" t="str">
        <f>"2"</f>
        <v>2</v>
      </c>
      <c r="F2881" s="63">
        <v>1346.25</v>
      </c>
      <c r="G2881" s="63">
        <v>553.58333333333337</v>
      </c>
      <c r="H2881" s="63">
        <v>1099.3333333333333</v>
      </c>
      <c r="I2881" s="63">
        <v>898.33333333333337</v>
      </c>
      <c r="J2881" s="63">
        <v>344.30530120481927</v>
      </c>
      <c r="K2881" s="63">
        <f>AVERAGE(I2881:J2881)</f>
        <v>621.31931726907635</v>
      </c>
      <c r="L2881" s="64" t="str">
        <f>"SMART CHOICE WG CORNBREAD BOWLS"</f>
        <v>SMART CHOICE WG CORNBREAD BOWLS</v>
      </c>
      <c r="M2881" s="65" t="str">
        <f>"60-2.5oz. 3 packs of 20"</f>
        <v>60-2.5oz. 3 packs of 20</v>
      </c>
      <c r="N2881" s="66">
        <v>60</v>
      </c>
      <c r="O2881" s="67" t="str">
        <f>""</f>
        <v/>
      </c>
      <c r="P2881" s="68" t="e">
        <f>1/O2881</f>
        <v>#VALUE!</v>
      </c>
      <c r="Q2881" s="53">
        <v>1</v>
      </c>
      <c r="R2881" s="69">
        <f t="shared" ref="R2881" si="2066">1/Q2881</f>
        <v>1</v>
      </c>
      <c r="S2881" s="70">
        <f t="shared" ref="S2881" si="2067">R2881*N2881</f>
        <v>60</v>
      </c>
    </row>
    <row r="2882" spans="1:19" ht="15.6" hidden="1" customHeight="1" thickBot="1" x14ac:dyDescent="0.3">
      <c r="A2882" t="s">
        <v>23</v>
      </c>
      <c r="B2882" s="60" t="str">
        <f t="shared" si="2065"/>
        <v>hide</v>
      </c>
      <c r="D2882" s="48" t="str">
        <f>D2881</f>
        <v>38605</v>
      </c>
      <c r="E2882" s="7"/>
      <c r="F2882" s="27">
        <v>0</v>
      </c>
      <c r="G2882" s="27">
        <v>0</v>
      </c>
      <c r="H2882" s="27">
        <v>0</v>
      </c>
      <c r="I2882" s="27">
        <v>0</v>
      </c>
      <c r="J2882" s="27">
        <v>0</v>
      </c>
      <c r="K2882" s="63">
        <f>AVERAGE(I2882:J2882)</f>
        <v>0</v>
      </c>
      <c r="L2882" s="56" t="str">
        <f>"EQP-LAWPACK1"</f>
        <v>EQP-LAWPACK1</v>
      </c>
      <c r="M2882" s="14"/>
      <c r="N2882" s="15"/>
      <c r="O2882" s="12"/>
      <c r="P2882" s="34"/>
      <c r="Q2882" s="37"/>
      <c r="R2882" s="47"/>
      <c r="S2882" s="46"/>
    </row>
    <row r="2883" spans="1:19" ht="15.6" hidden="1" customHeight="1" thickBot="1" x14ac:dyDescent="0.3">
      <c r="A2883" t="s">
        <v>23</v>
      </c>
      <c r="B2883" s="60" t="str">
        <f t="shared" ref="B2883:B2885" si="2068">IF(K2883=0,"hide","")</f>
        <v>hide</v>
      </c>
      <c r="D2883" s="48" t="str">
        <f>D2882</f>
        <v>38605</v>
      </c>
      <c r="E2883" s="7"/>
      <c r="F2883" s="27">
        <v>0</v>
      </c>
      <c r="G2883" s="27">
        <v>0</v>
      </c>
      <c r="H2883" s="27">
        <v>0</v>
      </c>
      <c r="I2883" s="27">
        <v>0</v>
      </c>
      <c r="J2883" s="27">
        <v>0</v>
      </c>
      <c r="K2883" s="63">
        <f>AVERAGE(I2883:J2883)</f>
        <v>0</v>
      </c>
      <c r="L2883" s="56" t="str">
        <f>"EQP-LAWPACK2"</f>
        <v>EQP-LAWPACK2</v>
      </c>
      <c r="M2883" s="14"/>
      <c r="N2883" s="15"/>
      <c r="O2883" s="12"/>
      <c r="P2883" s="34"/>
      <c r="Q2883" s="37"/>
      <c r="R2883" s="47"/>
      <c r="S2883" s="46"/>
    </row>
    <row r="2884" spans="1:19" ht="15.6" hidden="1" customHeight="1" thickBot="1" x14ac:dyDescent="0.3">
      <c r="A2884" t="s">
        <v>23</v>
      </c>
      <c r="B2884" s="60" t="str">
        <f t="shared" si="2068"/>
        <v>hide</v>
      </c>
      <c r="D2884" s="48" t="str">
        <f>D2883</f>
        <v>38605</v>
      </c>
      <c r="E2884" s="7"/>
      <c r="F2884" s="27">
        <v>0</v>
      </c>
      <c r="G2884" s="27">
        <v>0</v>
      </c>
      <c r="H2884" s="27">
        <v>0</v>
      </c>
      <c r="I2884" s="27">
        <v>0</v>
      </c>
      <c r="J2884" s="27">
        <v>0</v>
      </c>
      <c r="K2884" s="63">
        <f>AVERAGE(I2884:J2884)</f>
        <v>0</v>
      </c>
      <c r="L2884" s="56" t="str">
        <f>"SW-COMAS-PACKL"</f>
        <v>SW-COMAS-PACKL</v>
      </c>
      <c r="M2884" s="14"/>
      <c r="N2884" s="15"/>
      <c r="O2884" s="12"/>
      <c r="P2884" s="34"/>
      <c r="Q2884" s="37"/>
      <c r="R2884" s="47"/>
      <c r="S2884" s="46"/>
    </row>
    <row r="2885" spans="1:19" ht="15.6" hidden="1" customHeight="1" thickBot="1" x14ac:dyDescent="0.3">
      <c r="A2885" t="s">
        <v>23</v>
      </c>
      <c r="B2885" s="60" t="str">
        <f t="shared" si="2068"/>
        <v>hide</v>
      </c>
      <c r="D2885" s="48" t="str">
        <f>D2884</f>
        <v>38605</v>
      </c>
      <c r="E2885" s="7"/>
      <c r="F2885" s="27">
        <v>0</v>
      </c>
      <c r="G2885" s="27">
        <v>0</v>
      </c>
      <c r="H2885" s="27">
        <v>0</v>
      </c>
      <c r="I2885" s="27">
        <v>0</v>
      </c>
      <c r="J2885" s="27">
        <v>0</v>
      </c>
      <c r="K2885" s="63">
        <f>AVERAGE(I2885:J2885)</f>
        <v>0</v>
      </c>
      <c r="L2885" s="56" t="str">
        <f>"SW-RISER-PACK"</f>
        <v>SW-RISER-PACK</v>
      </c>
      <c r="M2885" s="14"/>
      <c r="N2885" s="15"/>
      <c r="O2885" s="12"/>
      <c r="P2885" s="34"/>
      <c r="Q2885" s="37"/>
      <c r="R2885" s="47"/>
      <c r="S2885" s="46"/>
    </row>
    <row r="2886" spans="1:19" ht="12" hidden="1" customHeight="1" x14ac:dyDescent="0.3">
      <c r="A2886" s="35" t="s">
        <v>908</v>
      </c>
      <c r="B2886" s="49" t="str">
        <f>B2882</f>
        <v>hide</v>
      </c>
      <c r="N2886"/>
      <c r="Q2886" s="33"/>
    </row>
    <row r="2887" spans="1:19" ht="13.8" hidden="1" thickBot="1" x14ac:dyDescent="0.3">
      <c r="A2887" t="s">
        <v>23</v>
      </c>
      <c r="B2887" s="49" t="str">
        <f t="shared" ref="B2887" si="2069">B2886</f>
        <v>hide</v>
      </c>
      <c r="D2887" s="58"/>
      <c r="E2887" s="58"/>
      <c r="F2887" s="52">
        <f>SUM(F2882:F2886)</f>
        <v>0</v>
      </c>
      <c r="G2887" s="52">
        <f>SUM(G2882:G2886)</f>
        <v>0</v>
      </c>
      <c r="H2887" s="52">
        <f>SUM(H2882:H2886)</f>
        <v>0</v>
      </c>
      <c r="I2887" s="52">
        <f>SUM(I2882:I2886)</f>
        <v>0</v>
      </c>
      <c r="J2887" s="52">
        <f>SUM(J2882:J2886)</f>
        <v>0</v>
      </c>
      <c r="K2887" s="52"/>
      <c r="L2887" s="51" t="s">
        <v>4</v>
      </c>
      <c r="M2887" s="58"/>
      <c r="N2887" s="58"/>
      <c r="O2887" s="58"/>
      <c r="P2887" s="58"/>
      <c r="Q2887" s="58"/>
      <c r="R2887" s="58"/>
      <c r="S2887" s="58"/>
    </row>
    <row r="2888" spans="1:19" s="59" customFormat="1" ht="18.75" hidden="1" customHeight="1" thickBot="1" x14ac:dyDescent="0.3">
      <c r="A2888" s="59" t="s">
        <v>23</v>
      </c>
      <c r="B2888" s="60" t="str">
        <f t="shared" ref="B2888:B2889" si="2070">IF(K2888=0,"hide","")</f>
        <v>hide</v>
      </c>
      <c r="D2888" s="61" t="str">
        <f>"38661"</f>
        <v>38661</v>
      </c>
      <c r="E2888" s="62" t="str">
        <f>""</f>
        <v/>
      </c>
      <c r="F2888" s="63">
        <v>0</v>
      </c>
      <c r="G2888" s="63">
        <v>0</v>
      </c>
      <c r="H2888" s="63">
        <v>0</v>
      </c>
      <c r="I2888" s="63">
        <v>0</v>
      </c>
      <c r="J2888" s="63">
        <v>0</v>
      </c>
      <c r="K2888" s="63">
        <f>AVERAGE(I2888:J2888)</f>
        <v>0</v>
      </c>
      <c r="L2888" s="64" t="str">
        <f>""</f>
        <v/>
      </c>
      <c r="M2888" s="65" t="str">
        <f>""</f>
        <v/>
      </c>
      <c r="N2888" s="66" t="str">
        <f>""</f>
        <v/>
      </c>
      <c r="O2888" s="67" t="e">
        <v>#VALUE!</v>
      </c>
      <c r="P2888" s="68" t="e">
        <f>1/O2888</f>
        <v>#VALUE!</v>
      </c>
      <c r="Q2888" s="53" t="e">
        <v>#VALUE!</v>
      </c>
      <c r="R2888" s="69" t="e">
        <f t="shared" ref="R2888" si="2071">1/Q2888</f>
        <v>#VALUE!</v>
      </c>
      <c r="S2888" s="70" t="e">
        <f t="shared" ref="S2888" si="2072">R2888*N2888</f>
        <v>#VALUE!</v>
      </c>
    </row>
    <row r="2889" spans="1:19" ht="15.6" hidden="1" customHeight="1" thickBot="1" x14ac:dyDescent="0.3">
      <c r="A2889" t="s">
        <v>23</v>
      </c>
      <c r="B2889" s="60" t="str">
        <f t="shared" si="2070"/>
        <v>hide</v>
      </c>
      <c r="D2889" s="48" t="str">
        <f>D2888</f>
        <v>38661</v>
      </c>
      <c r="E2889" s="7"/>
      <c r="F2889" s="27">
        <v>0</v>
      </c>
      <c r="G2889" s="27">
        <v>0</v>
      </c>
      <c r="H2889" s="27">
        <v>0</v>
      </c>
      <c r="I2889" s="27">
        <v>0</v>
      </c>
      <c r="J2889" s="27">
        <v>0</v>
      </c>
      <c r="K2889" s="63">
        <f>AVERAGE(I2889:J2889)</f>
        <v>0</v>
      </c>
      <c r="L2889" s="56" t="str">
        <f>"EQP-LAWPACK1"</f>
        <v>EQP-LAWPACK1</v>
      </c>
      <c r="M2889" s="14"/>
      <c r="N2889" s="15"/>
      <c r="O2889" s="12"/>
      <c r="P2889" s="34"/>
      <c r="Q2889" s="37"/>
      <c r="R2889" s="47"/>
      <c r="S2889" s="46"/>
    </row>
    <row r="2890" spans="1:19" ht="15.6" hidden="1" customHeight="1" thickBot="1" x14ac:dyDescent="0.3">
      <c r="A2890" t="s">
        <v>23</v>
      </c>
      <c r="B2890" s="60" t="str">
        <f t="shared" ref="B2890:B2892" si="2073">IF(K2890=0,"hide","")</f>
        <v>hide</v>
      </c>
      <c r="D2890" s="48" t="str">
        <f>D2889</f>
        <v>38661</v>
      </c>
      <c r="E2890" s="7"/>
      <c r="F2890" s="27">
        <v>0</v>
      </c>
      <c r="G2890" s="27">
        <v>0</v>
      </c>
      <c r="H2890" s="27">
        <v>0</v>
      </c>
      <c r="I2890" s="27">
        <v>0</v>
      </c>
      <c r="J2890" s="27">
        <v>0</v>
      </c>
      <c r="K2890" s="63">
        <f>AVERAGE(I2890:J2890)</f>
        <v>0</v>
      </c>
      <c r="L2890" s="56" t="str">
        <f>"EQP-LAWPACK2"</f>
        <v>EQP-LAWPACK2</v>
      </c>
      <c r="M2890" s="14"/>
      <c r="N2890" s="15"/>
      <c r="O2890" s="12"/>
      <c r="P2890" s="34"/>
      <c r="Q2890" s="37"/>
      <c r="R2890" s="47"/>
      <c r="S2890" s="46"/>
    </row>
    <row r="2891" spans="1:19" ht="15.6" hidden="1" customHeight="1" thickBot="1" x14ac:dyDescent="0.3">
      <c r="A2891" t="s">
        <v>23</v>
      </c>
      <c r="B2891" s="60" t="str">
        <f t="shared" si="2073"/>
        <v>hide</v>
      </c>
      <c r="D2891" s="48" t="str">
        <f>D2890</f>
        <v>38661</v>
      </c>
      <c r="E2891" s="7"/>
      <c r="F2891" s="27">
        <v>0</v>
      </c>
      <c r="G2891" s="27">
        <v>0</v>
      </c>
      <c r="H2891" s="27">
        <v>0</v>
      </c>
      <c r="I2891" s="27">
        <v>0</v>
      </c>
      <c r="J2891" s="27">
        <v>0</v>
      </c>
      <c r="K2891" s="63">
        <f>AVERAGE(I2891:J2891)</f>
        <v>0</v>
      </c>
      <c r="L2891" s="56" t="str">
        <f>"SW-COMAS-PACKL"</f>
        <v>SW-COMAS-PACKL</v>
      </c>
      <c r="M2891" s="14"/>
      <c r="N2891" s="15"/>
      <c r="O2891" s="12"/>
      <c r="P2891" s="34"/>
      <c r="Q2891" s="37"/>
      <c r="R2891" s="47"/>
      <c r="S2891" s="46"/>
    </row>
    <row r="2892" spans="1:19" ht="15.6" hidden="1" customHeight="1" thickBot="1" x14ac:dyDescent="0.3">
      <c r="A2892" t="s">
        <v>23</v>
      </c>
      <c r="B2892" s="60" t="str">
        <f t="shared" si="2073"/>
        <v>hide</v>
      </c>
      <c r="D2892" s="48" t="str">
        <f>D2891</f>
        <v>38661</v>
      </c>
      <c r="E2892" s="7"/>
      <c r="F2892" s="27">
        <v>0</v>
      </c>
      <c r="G2892" s="27">
        <v>0</v>
      </c>
      <c r="H2892" s="27">
        <v>0</v>
      </c>
      <c r="I2892" s="27">
        <v>0</v>
      </c>
      <c r="J2892" s="27">
        <v>0</v>
      </c>
      <c r="K2892" s="63">
        <f>AVERAGE(I2892:J2892)</f>
        <v>0</v>
      </c>
      <c r="L2892" s="56" t="str">
        <f>"SW-RISER-PACK"</f>
        <v>SW-RISER-PACK</v>
      </c>
      <c r="M2892" s="14"/>
      <c r="N2892" s="15"/>
      <c r="O2892" s="12"/>
      <c r="P2892" s="34"/>
      <c r="Q2892" s="37"/>
      <c r="R2892" s="47"/>
      <c r="S2892" s="46"/>
    </row>
    <row r="2893" spans="1:19" ht="12" hidden="1" customHeight="1" x14ac:dyDescent="0.3">
      <c r="A2893" s="35" t="s">
        <v>908</v>
      </c>
      <c r="B2893" s="49" t="str">
        <f>B2889</f>
        <v>hide</v>
      </c>
      <c r="N2893"/>
      <c r="Q2893" s="33"/>
    </row>
    <row r="2894" spans="1:19" ht="13.8" hidden="1" thickBot="1" x14ac:dyDescent="0.3">
      <c r="A2894" t="s">
        <v>23</v>
      </c>
      <c r="B2894" s="49" t="str">
        <f t="shared" ref="B2894" si="2074">B2893</f>
        <v>hide</v>
      </c>
      <c r="D2894" s="58"/>
      <c r="E2894" s="58"/>
      <c r="F2894" s="52">
        <f>SUM(F2889:F2893)</f>
        <v>0</v>
      </c>
      <c r="G2894" s="52">
        <f>SUM(G2889:G2893)</f>
        <v>0</v>
      </c>
      <c r="H2894" s="52">
        <f>SUM(H2889:H2893)</f>
        <v>0</v>
      </c>
      <c r="I2894" s="52">
        <f>SUM(I2889:I2893)</f>
        <v>0</v>
      </c>
      <c r="J2894" s="52">
        <f>SUM(J2889:J2893)</f>
        <v>0</v>
      </c>
      <c r="K2894" s="52"/>
      <c r="L2894" s="51" t="s">
        <v>4</v>
      </c>
      <c r="M2894" s="58"/>
      <c r="N2894" s="58"/>
      <c r="O2894" s="58"/>
      <c r="P2894" s="58"/>
      <c r="Q2894" s="58"/>
      <c r="R2894" s="58"/>
      <c r="S2894" s="58"/>
    </row>
    <row r="2895" spans="1:19" s="59" customFormat="1" ht="18.75" hidden="1" customHeight="1" thickBot="1" x14ac:dyDescent="0.3">
      <c r="A2895" s="59" t="s">
        <v>23</v>
      </c>
      <c r="B2895" s="60" t="str">
        <f t="shared" ref="B2895:B2896" si="2075">IF(K2895=0,"hide","")</f>
        <v>hide</v>
      </c>
      <c r="D2895" s="61" t="str">
        <f>"38666"</f>
        <v>38666</v>
      </c>
      <c r="E2895" s="62" t="str">
        <f>""</f>
        <v/>
      </c>
      <c r="F2895" s="63">
        <v>0</v>
      </c>
      <c r="G2895" s="63">
        <v>0</v>
      </c>
      <c r="H2895" s="63">
        <v>0</v>
      </c>
      <c r="I2895" s="63">
        <v>0</v>
      </c>
      <c r="J2895" s="63">
        <v>0</v>
      </c>
      <c r="K2895" s="63">
        <f>AVERAGE(I2895:J2895)</f>
        <v>0</v>
      </c>
      <c r="L2895" s="64" t="str">
        <f>""</f>
        <v/>
      </c>
      <c r="M2895" s="65" t="str">
        <f>""</f>
        <v/>
      </c>
      <c r="N2895" s="66" t="str">
        <f>""</f>
        <v/>
      </c>
      <c r="O2895" s="67" t="e">
        <v>#VALUE!</v>
      </c>
      <c r="P2895" s="68" t="e">
        <f>1/O2895</f>
        <v>#VALUE!</v>
      </c>
      <c r="Q2895" s="53" t="e">
        <v>#VALUE!</v>
      </c>
      <c r="R2895" s="69" t="e">
        <f t="shared" ref="R2895" si="2076">1/Q2895</f>
        <v>#VALUE!</v>
      </c>
      <c r="S2895" s="70" t="e">
        <f t="shared" ref="S2895" si="2077">R2895*N2895</f>
        <v>#VALUE!</v>
      </c>
    </row>
    <row r="2896" spans="1:19" ht="15.6" hidden="1" customHeight="1" thickBot="1" x14ac:dyDescent="0.3">
      <c r="A2896" t="s">
        <v>23</v>
      </c>
      <c r="B2896" s="60" t="str">
        <f t="shared" si="2075"/>
        <v>hide</v>
      </c>
      <c r="D2896" s="48" t="str">
        <f>D2895</f>
        <v>38666</v>
      </c>
      <c r="E2896" s="7"/>
      <c r="F2896" s="27">
        <v>0</v>
      </c>
      <c r="G2896" s="27">
        <v>0</v>
      </c>
      <c r="H2896" s="27">
        <v>0</v>
      </c>
      <c r="I2896" s="27">
        <v>0</v>
      </c>
      <c r="J2896" s="27">
        <v>0</v>
      </c>
      <c r="K2896" s="63">
        <f>AVERAGE(I2896:J2896)</f>
        <v>0</v>
      </c>
      <c r="L2896" s="56" t="str">
        <f>"EQP-LAWPACK1"</f>
        <v>EQP-LAWPACK1</v>
      </c>
      <c r="M2896" s="14"/>
      <c r="N2896" s="15"/>
      <c r="O2896" s="12"/>
      <c r="P2896" s="34"/>
      <c r="Q2896" s="37"/>
      <c r="R2896" s="47"/>
      <c r="S2896" s="46"/>
    </row>
    <row r="2897" spans="1:19" ht="15.6" hidden="1" customHeight="1" thickBot="1" x14ac:dyDescent="0.3">
      <c r="A2897" t="s">
        <v>23</v>
      </c>
      <c r="B2897" s="60" t="str">
        <f t="shared" ref="B2897:B2899" si="2078">IF(K2897=0,"hide","")</f>
        <v>hide</v>
      </c>
      <c r="D2897" s="48" t="str">
        <f>D2896</f>
        <v>38666</v>
      </c>
      <c r="E2897" s="7"/>
      <c r="F2897" s="27">
        <v>0</v>
      </c>
      <c r="G2897" s="27">
        <v>0</v>
      </c>
      <c r="H2897" s="27">
        <v>0</v>
      </c>
      <c r="I2897" s="27">
        <v>0</v>
      </c>
      <c r="J2897" s="27">
        <v>0</v>
      </c>
      <c r="K2897" s="63">
        <f>AVERAGE(I2897:J2897)</f>
        <v>0</v>
      </c>
      <c r="L2897" s="56" t="str">
        <f>"EQP-LAWPACK2"</f>
        <v>EQP-LAWPACK2</v>
      </c>
      <c r="M2897" s="14"/>
      <c r="N2897" s="15"/>
      <c r="O2897" s="12"/>
      <c r="P2897" s="34"/>
      <c r="Q2897" s="37"/>
      <c r="R2897" s="47"/>
      <c r="S2897" s="46"/>
    </row>
    <row r="2898" spans="1:19" ht="15.6" hidden="1" customHeight="1" thickBot="1" x14ac:dyDescent="0.3">
      <c r="A2898" t="s">
        <v>23</v>
      </c>
      <c r="B2898" s="60" t="str">
        <f t="shared" si="2078"/>
        <v>hide</v>
      </c>
      <c r="D2898" s="48" t="str">
        <f>D2897</f>
        <v>38666</v>
      </c>
      <c r="E2898" s="7"/>
      <c r="F2898" s="27">
        <v>0</v>
      </c>
      <c r="G2898" s="27">
        <v>0</v>
      </c>
      <c r="H2898" s="27">
        <v>0</v>
      </c>
      <c r="I2898" s="27">
        <v>0</v>
      </c>
      <c r="J2898" s="27">
        <v>0</v>
      </c>
      <c r="K2898" s="63">
        <f>AVERAGE(I2898:J2898)</f>
        <v>0</v>
      </c>
      <c r="L2898" s="56" t="str">
        <f>"SW-COMAS-PACKL"</f>
        <v>SW-COMAS-PACKL</v>
      </c>
      <c r="M2898" s="14"/>
      <c r="N2898" s="15"/>
      <c r="O2898" s="12"/>
      <c r="P2898" s="34"/>
      <c r="Q2898" s="37"/>
      <c r="R2898" s="47"/>
      <c r="S2898" s="46"/>
    </row>
    <row r="2899" spans="1:19" ht="15.6" hidden="1" customHeight="1" thickBot="1" x14ac:dyDescent="0.3">
      <c r="A2899" t="s">
        <v>23</v>
      </c>
      <c r="B2899" s="60" t="str">
        <f t="shared" si="2078"/>
        <v>hide</v>
      </c>
      <c r="D2899" s="48" t="str">
        <f>D2898</f>
        <v>38666</v>
      </c>
      <c r="E2899" s="7"/>
      <c r="F2899" s="27">
        <v>0</v>
      </c>
      <c r="G2899" s="27">
        <v>0</v>
      </c>
      <c r="H2899" s="27">
        <v>0</v>
      </c>
      <c r="I2899" s="27">
        <v>0</v>
      </c>
      <c r="J2899" s="27">
        <v>0</v>
      </c>
      <c r="K2899" s="63">
        <f>AVERAGE(I2899:J2899)</f>
        <v>0</v>
      </c>
      <c r="L2899" s="56" t="str">
        <f>"SW-RISER-PACK"</f>
        <v>SW-RISER-PACK</v>
      </c>
      <c r="M2899" s="14"/>
      <c r="N2899" s="15"/>
      <c r="O2899" s="12"/>
      <c r="P2899" s="34"/>
      <c r="Q2899" s="37"/>
      <c r="R2899" s="47"/>
      <c r="S2899" s="46"/>
    </row>
    <row r="2900" spans="1:19" ht="12" hidden="1" customHeight="1" x14ac:dyDescent="0.3">
      <c r="A2900" s="35" t="s">
        <v>908</v>
      </c>
      <c r="B2900" s="49" t="str">
        <f>B2896</f>
        <v>hide</v>
      </c>
      <c r="N2900"/>
      <c r="Q2900" s="33"/>
    </row>
    <row r="2901" spans="1:19" ht="13.8" hidden="1" thickBot="1" x14ac:dyDescent="0.3">
      <c r="A2901" t="s">
        <v>23</v>
      </c>
      <c r="B2901" s="49" t="str">
        <f t="shared" ref="B2901" si="2079">B2900</f>
        <v>hide</v>
      </c>
      <c r="D2901" s="58"/>
      <c r="E2901" s="58"/>
      <c r="F2901" s="52">
        <f>SUM(F2896:F2900)</f>
        <v>0</v>
      </c>
      <c r="G2901" s="52">
        <f>SUM(G2896:G2900)</f>
        <v>0</v>
      </c>
      <c r="H2901" s="52">
        <f>SUM(H2896:H2900)</f>
        <v>0</v>
      </c>
      <c r="I2901" s="52">
        <f>SUM(I2896:I2900)</f>
        <v>0</v>
      </c>
      <c r="J2901" s="52">
        <f>SUM(J2896:J2900)</f>
        <v>0</v>
      </c>
      <c r="K2901" s="52"/>
      <c r="L2901" s="51" t="s">
        <v>4</v>
      </c>
      <c r="M2901" s="58"/>
      <c r="N2901" s="58"/>
      <c r="O2901" s="58"/>
      <c r="P2901" s="58"/>
      <c r="Q2901" s="58"/>
      <c r="R2901" s="58"/>
      <c r="S2901" s="58"/>
    </row>
    <row r="2902" spans="1:19" s="59" customFormat="1" ht="18.75" hidden="1" customHeight="1" thickBot="1" x14ac:dyDescent="0.3">
      <c r="A2902" s="59" t="s">
        <v>23</v>
      </c>
      <c r="B2902" s="60" t="str">
        <f t="shared" ref="B2902:B2903" si="2080">IF(K2902=0,"hide","")</f>
        <v>hide</v>
      </c>
      <c r="D2902" s="61" t="str">
        <f>"38667"</f>
        <v>38667</v>
      </c>
      <c r="E2902" s="62" t="str">
        <f>""</f>
        <v/>
      </c>
      <c r="F2902" s="63">
        <v>0</v>
      </c>
      <c r="G2902" s="63">
        <v>0</v>
      </c>
      <c r="H2902" s="63">
        <v>0</v>
      </c>
      <c r="I2902" s="63">
        <v>0</v>
      </c>
      <c r="J2902" s="63">
        <v>0</v>
      </c>
      <c r="K2902" s="63">
        <f>AVERAGE(I2902:J2902)</f>
        <v>0</v>
      </c>
      <c r="L2902" s="64" t="str">
        <f>""</f>
        <v/>
      </c>
      <c r="M2902" s="65" t="str">
        <f>""</f>
        <v/>
      </c>
      <c r="N2902" s="66" t="str">
        <f>""</f>
        <v/>
      </c>
      <c r="O2902" s="67" t="e">
        <v>#VALUE!</v>
      </c>
      <c r="P2902" s="68" t="e">
        <f>1/O2902</f>
        <v>#VALUE!</v>
      </c>
      <c r="Q2902" s="53" t="e">
        <v>#VALUE!</v>
      </c>
      <c r="R2902" s="69" t="e">
        <f t="shared" ref="R2902" si="2081">1/Q2902</f>
        <v>#VALUE!</v>
      </c>
      <c r="S2902" s="70" t="e">
        <f t="shared" ref="S2902" si="2082">R2902*N2902</f>
        <v>#VALUE!</v>
      </c>
    </row>
    <row r="2903" spans="1:19" ht="15.6" hidden="1" customHeight="1" thickBot="1" x14ac:dyDescent="0.3">
      <c r="A2903" t="s">
        <v>23</v>
      </c>
      <c r="B2903" s="60" t="str">
        <f t="shared" si="2080"/>
        <v>hide</v>
      </c>
      <c r="D2903" s="48" t="str">
        <f>D2902</f>
        <v>38667</v>
      </c>
      <c r="E2903" s="7"/>
      <c r="F2903" s="27">
        <v>0</v>
      </c>
      <c r="G2903" s="27">
        <v>0</v>
      </c>
      <c r="H2903" s="27">
        <v>0</v>
      </c>
      <c r="I2903" s="27">
        <v>0</v>
      </c>
      <c r="J2903" s="27">
        <v>0</v>
      </c>
      <c r="K2903" s="63">
        <f>AVERAGE(I2903:J2903)</f>
        <v>0</v>
      </c>
      <c r="L2903" s="56" t="str">
        <f>"EQP-LAWPACK1"</f>
        <v>EQP-LAWPACK1</v>
      </c>
      <c r="M2903" s="14"/>
      <c r="N2903" s="15"/>
      <c r="O2903" s="12"/>
      <c r="P2903" s="34"/>
      <c r="Q2903" s="37"/>
      <c r="R2903" s="47"/>
      <c r="S2903" s="46"/>
    </row>
    <row r="2904" spans="1:19" ht="15.6" hidden="1" customHeight="1" thickBot="1" x14ac:dyDescent="0.3">
      <c r="A2904" t="s">
        <v>23</v>
      </c>
      <c r="B2904" s="60" t="str">
        <f t="shared" ref="B2904:B2906" si="2083">IF(K2904=0,"hide","")</f>
        <v>hide</v>
      </c>
      <c r="D2904" s="48" t="str">
        <f>D2903</f>
        <v>38667</v>
      </c>
      <c r="E2904" s="7"/>
      <c r="F2904" s="27">
        <v>0</v>
      </c>
      <c r="G2904" s="27">
        <v>0</v>
      </c>
      <c r="H2904" s="27">
        <v>0</v>
      </c>
      <c r="I2904" s="27">
        <v>0</v>
      </c>
      <c r="J2904" s="27">
        <v>0</v>
      </c>
      <c r="K2904" s="63">
        <f>AVERAGE(I2904:J2904)</f>
        <v>0</v>
      </c>
      <c r="L2904" s="56" t="str">
        <f>"EQP-LAWPACK2"</f>
        <v>EQP-LAWPACK2</v>
      </c>
      <c r="M2904" s="14"/>
      <c r="N2904" s="15"/>
      <c r="O2904" s="12"/>
      <c r="P2904" s="34"/>
      <c r="Q2904" s="37"/>
      <c r="R2904" s="47"/>
      <c r="S2904" s="46"/>
    </row>
    <row r="2905" spans="1:19" ht="15.6" hidden="1" customHeight="1" thickBot="1" x14ac:dyDescent="0.3">
      <c r="A2905" t="s">
        <v>23</v>
      </c>
      <c r="B2905" s="60" t="str">
        <f t="shared" si="2083"/>
        <v>hide</v>
      </c>
      <c r="D2905" s="48" t="str">
        <f>D2904</f>
        <v>38667</v>
      </c>
      <c r="E2905" s="7"/>
      <c r="F2905" s="27">
        <v>0</v>
      </c>
      <c r="G2905" s="27">
        <v>0</v>
      </c>
      <c r="H2905" s="27">
        <v>0</v>
      </c>
      <c r="I2905" s="27">
        <v>0</v>
      </c>
      <c r="J2905" s="27">
        <v>0</v>
      </c>
      <c r="K2905" s="63">
        <f>AVERAGE(I2905:J2905)</f>
        <v>0</v>
      </c>
      <c r="L2905" s="56" t="str">
        <f>"SW-COMAS-PACKL"</f>
        <v>SW-COMAS-PACKL</v>
      </c>
      <c r="M2905" s="14"/>
      <c r="N2905" s="15"/>
      <c r="O2905" s="12"/>
      <c r="P2905" s="34"/>
      <c r="Q2905" s="37"/>
      <c r="R2905" s="47"/>
      <c r="S2905" s="46"/>
    </row>
    <row r="2906" spans="1:19" ht="15.6" hidden="1" customHeight="1" thickBot="1" x14ac:dyDescent="0.3">
      <c r="A2906" t="s">
        <v>23</v>
      </c>
      <c r="B2906" s="60" t="str">
        <f t="shared" si="2083"/>
        <v>hide</v>
      </c>
      <c r="D2906" s="48" t="str">
        <f>D2905</f>
        <v>38667</v>
      </c>
      <c r="E2906" s="7"/>
      <c r="F2906" s="27">
        <v>0</v>
      </c>
      <c r="G2906" s="27">
        <v>0</v>
      </c>
      <c r="H2906" s="27">
        <v>0</v>
      </c>
      <c r="I2906" s="27">
        <v>0</v>
      </c>
      <c r="J2906" s="27">
        <v>0</v>
      </c>
      <c r="K2906" s="63">
        <f>AVERAGE(I2906:J2906)</f>
        <v>0</v>
      </c>
      <c r="L2906" s="56" t="str">
        <f>"SW-RISER-PACK"</f>
        <v>SW-RISER-PACK</v>
      </c>
      <c r="M2906" s="14"/>
      <c r="N2906" s="15"/>
      <c r="O2906" s="12"/>
      <c r="P2906" s="34"/>
      <c r="Q2906" s="37"/>
      <c r="R2906" s="47"/>
      <c r="S2906" s="46"/>
    </row>
    <row r="2907" spans="1:19" ht="12" hidden="1" customHeight="1" x14ac:dyDescent="0.3">
      <c r="A2907" s="35" t="s">
        <v>908</v>
      </c>
      <c r="B2907" s="49" t="str">
        <f>B2903</f>
        <v>hide</v>
      </c>
      <c r="N2907"/>
      <c r="Q2907" s="33"/>
    </row>
    <row r="2908" spans="1:19" ht="13.8" hidden="1" thickBot="1" x14ac:dyDescent="0.3">
      <c r="A2908" t="s">
        <v>23</v>
      </c>
      <c r="B2908" s="49" t="str">
        <f t="shared" ref="B2908" si="2084">B2907</f>
        <v>hide</v>
      </c>
      <c r="D2908" s="58"/>
      <c r="E2908" s="58"/>
      <c r="F2908" s="52">
        <f>SUM(F2903:F2907)</f>
        <v>0</v>
      </c>
      <c r="G2908" s="52">
        <f>SUM(G2903:G2907)</f>
        <v>0</v>
      </c>
      <c r="H2908" s="52">
        <f>SUM(H2903:H2907)</f>
        <v>0</v>
      </c>
      <c r="I2908" s="52">
        <f>SUM(I2903:I2907)</f>
        <v>0</v>
      </c>
      <c r="J2908" s="52">
        <f>SUM(J2903:J2907)</f>
        <v>0</v>
      </c>
      <c r="K2908" s="52"/>
      <c r="L2908" s="51" t="s">
        <v>4</v>
      </c>
      <c r="M2908" s="58"/>
      <c r="N2908" s="58"/>
      <c r="O2908" s="58"/>
      <c r="P2908" s="58"/>
      <c r="Q2908" s="58"/>
      <c r="R2908" s="58"/>
      <c r="S2908" s="58"/>
    </row>
    <row r="2909" spans="1:19" s="59" customFormat="1" ht="18.75" hidden="1" customHeight="1" thickBot="1" x14ac:dyDescent="0.3">
      <c r="A2909" s="59" t="s">
        <v>23</v>
      </c>
      <c r="B2909" s="60" t="str">
        <f t="shared" ref="B2909:B2910" si="2085">IF(K2909=0,"hide","")</f>
        <v>hide</v>
      </c>
      <c r="D2909" s="61" t="str">
        <f>"38670"</f>
        <v>38670</v>
      </c>
      <c r="E2909" s="62" t="str">
        <f>""</f>
        <v/>
      </c>
      <c r="F2909" s="63">
        <v>0</v>
      </c>
      <c r="G2909" s="63">
        <v>0</v>
      </c>
      <c r="H2909" s="63">
        <v>0</v>
      </c>
      <c r="I2909" s="63">
        <v>0</v>
      </c>
      <c r="J2909" s="63">
        <v>0</v>
      </c>
      <c r="K2909" s="63">
        <f>AVERAGE(I2909:J2909)</f>
        <v>0</v>
      </c>
      <c r="L2909" s="64" t="str">
        <f>""</f>
        <v/>
      </c>
      <c r="M2909" s="65" t="str">
        <f>""</f>
        <v/>
      </c>
      <c r="N2909" s="66" t="str">
        <f>""</f>
        <v/>
      </c>
      <c r="O2909" s="67" t="e">
        <v>#VALUE!</v>
      </c>
      <c r="P2909" s="68" t="e">
        <f>1/O2909</f>
        <v>#VALUE!</v>
      </c>
      <c r="Q2909" s="53" t="e">
        <v>#VALUE!</v>
      </c>
      <c r="R2909" s="69" t="e">
        <f t="shared" ref="R2909" si="2086">1/Q2909</f>
        <v>#VALUE!</v>
      </c>
      <c r="S2909" s="70" t="e">
        <f t="shared" ref="S2909" si="2087">R2909*N2909</f>
        <v>#VALUE!</v>
      </c>
    </row>
    <row r="2910" spans="1:19" ht="15.6" hidden="1" customHeight="1" thickBot="1" x14ac:dyDescent="0.3">
      <c r="A2910" t="s">
        <v>23</v>
      </c>
      <c r="B2910" s="60" t="str">
        <f t="shared" si="2085"/>
        <v>hide</v>
      </c>
      <c r="D2910" s="48" t="str">
        <f>D2909</f>
        <v>38670</v>
      </c>
      <c r="E2910" s="7"/>
      <c r="F2910" s="27">
        <v>0</v>
      </c>
      <c r="G2910" s="27">
        <v>0</v>
      </c>
      <c r="H2910" s="27">
        <v>0</v>
      </c>
      <c r="I2910" s="27">
        <v>0</v>
      </c>
      <c r="J2910" s="27">
        <v>0</v>
      </c>
      <c r="K2910" s="63">
        <f>AVERAGE(I2910:J2910)</f>
        <v>0</v>
      </c>
      <c r="L2910" s="56" t="str">
        <f>"EQP-LAWPACK1"</f>
        <v>EQP-LAWPACK1</v>
      </c>
      <c r="M2910" s="14"/>
      <c r="N2910" s="15"/>
      <c r="O2910" s="12"/>
      <c r="P2910" s="34"/>
      <c r="Q2910" s="37"/>
      <c r="R2910" s="47"/>
      <c r="S2910" s="46"/>
    </row>
    <row r="2911" spans="1:19" ht="15.6" hidden="1" customHeight="1" thickBot="1" x14ac:dyDescent="0.3">
      <c r="A2911" t="s">
        <v>23</v>
      </c>
      <c r="B2911" s="60" t="str">
        <f t="shared" ref="B2911:B2913" si="2088">IF(K2911=0,"hide","")</f>
        <v>hide</v>
      </c>
      <c r="D2911" s="48" t="str">
        <f>D2910</f>
        <v>38670</v>
      </c>
      <c r="E2911" s="7"/>
      <c r="F2911" s="27">
        <v>0</v>
      </c>
      <c r="G2911" s="27">
        <v>0</v>
      </c>
      <c r="H2911" s="27">
        <v>0</v>
      </c>
      <c r="I2911" s="27">
        <v>0</v>
      </c>
      <c r="J2911" s="27">
        <v>0</v>
      </c>
      <c r="K2911" s="63">
        <f>AVERAGE(I2911:J2911)</f>
        <v>0</v>
      </c>
      <c r="L2911" s="56" t="str">
        <f>"EQP-LAWPACK2"</f>
        <v>EQP-LAWPACK2</v>
      </c>
      <c r="M2911" s="14"/>
      <c r="N2911" s="15"/>
      <c r="O2911" s="12"/>
      <c r="P2911" s="34"/>
      <c r="Q2911" s="37"/>
      <c r="R2911" s="47"/>
      <c r="S2911" s="46"/>
    </row>
    <row r="2912" spans="1:19" ht="15.6" hidden="1" customHeight="1" thickBot="1" x14ac:dyDescent="0.3">
      <c r="A2912" t="s">
        <v>23</v>
      </c>
      <c r="B2912" s="60" t="str">
        <f t="shared" si="2088"/>
        <v>hide</v>
      </c>
      <c r="D2912" s="48" t="str">
        <f>D2911</f>
        <v>38670</v>
      </c>
      <c r="E2912" s="7"/>
      <c r="F2912" s="27">
        <v>0</v>
      </c>
      <c r="G2912" s="27">
        <v>0</v>
      </c>
      <c r="H2912" s="27">
        <v>0</v>
      </c>
      <c r="I2912" s="27">
        <v>0</v>
      </c>
      <c r="J2912" s="27">
        <v>0</v>
      </c>
      <c r="K2912" s="63">
        <f>AVERAGE(I2912:J2912)</f>
        <v>0</v>
      </c>
      <c r="L2912" s="56" t="str">
        <f>"SW-COMAS-PACKL"</f>
        <v>SW-COMAS-PACKL</v>
      </c>
      <c r="M2912" s="14"/>
      <c r="N2912" s="15"/>
      <c r="O2912" s="12"/>
      <c r="P2912" s="34"/>
      <c r="Q2912" s="37"/>
      <c r="R2912" s="47"/>
      <c r="S2912" s="46"/>
    </row>
    <row r="2913" spans="1:19" ht="15.6" hidden="1" customHeight="1" thickBot="1" x14ac:dyDescent="0.3">
      <c r="A2913" t="s">
        <v>23</v>
      </c>
      <c r="B2913" s="60" t="str">
        <f t="shared" si="2088"/>
        <v>hide</v>
      </c>
      <c r="D2913" s="48" t="str">
        <f>D2912</f>
        <v>38670</v>
      </c>
      <c r="E2913" s="7"/>
      <c r="F2913" s="27">
        <v>0</v>
      </c>
      <c r="G2913" s="27">
        <v>0</v>
      </c>
      <c r="H2913" s="27">
        <v>0</v>
      </c>
      <c r="I2913" s="27">
        <v>0</v>
      </c>
      <c r="J2913" s="27">
        <v>0</v>
      </c>
      <c r="K2913" s="63">
        <f>AVERAGE(I2913:J2913)</f>
        <v>0</v>
      </c>
      <c r="L2913" s="56" t="str">
        <f>"SW-RISER-PACK"</f>
        <v>SW-RISER-PACK</v>
      </c>
      <c r="M2913" s="14"/>
      <c r="N2913" s="15"/>
      <c r="O2913" s="12"/>
      <c r="P2913" s="34"/>
      <c r="Q2913" s="37"/>
      <c r="R2913" s="47"/>
      <c r="S2913" s="46"/>
    </row>
    <row r="2914" spans="1:19" ht="12" hidden="1" customHeight="1" x14ac:dyDescent="0.3">
      <c r="A2914" s="35" t="s">
        <v>908</v>
      </c>
      <c r="B2914" s="49" t="str">
        <f>B2910</f>
        <v>hide</v>
      </c>
      <c r="N2914"/>
      <c r="Q2914" s="33"/>
    </row>
    <row r="2915" spans="1:19" ht="13.8" hidden="1" thickBot="1" x14ac:dyDescent="0.3">
      <c r="A2915" t="s">
        <v>23</v>
      </c>
      <c r="B2915" s="49" t="str">
        <f t="shared" ref="B2915" si="2089">B2914</f>
        <v>hide</v>
      </c>
      <c r="D2915" s="58"/>
      <c r="E2915" s="58"/>
      <c r="F2915" s="52">
        <f>SUM(F2910:F2914)</f>
        <v>0</v>
      </c>
      <c r="G2915" s="52">
        <f>SUM(G2910:G2914)</f>
        <v>0</v>
      </c>
      <c r="H2915" s="52">
        <f>SUM(H2910:H2914)</f>
        <v>0</v>
      </c>
      <c r="I2915" s="52">
        <f>SUM(I2910:I2914)</f>
        <v>0</v>
      </c>
      <c r="J2915" s="52">
        <f>SUM(J2910:J2914)</f>
        <v>0</v>
      </c>
      <c r="K2915" s="52"/>
      <c r="L2915" s="51" t="s">
        <v>4</v>
      </c>
      <c r="M2915" s="58"/>
      <c r="N2915" s="58"/>
      <c r="O2915" s="58"/>
      <c r="P2915" s="58"/>
      <c r="Q2915" s="58"/>
      <c r="R2915" s="58"/>
      <c r="S2915" s="58"/>
    </row>
    <row r="2916" spans="1:19" s="59" customFormat="1" ht="18.75" hidden="1" customHeight="1" thickBot="1" x14ac:dyDescent="0.3">
      <c r="A2916" s="59" t="s">
        <v>23</v>
      </c>
      <c r="B2916" s="60" t="str">
        <f t="shared" ref="B2916:B2917" si="2090">IF(K2916=0,"hide","")</f>
        <v>hide</v>
      </c>
      <c r="D2916" s="61" t="str">
        <f>"38905"</f>
        <v>38905</v>
      </c>
      <c r="E2916" s="62" t="str">
        <f>"1"</f>
        <v>1</v>
      </c>
      <c r="F2916" s="63">
        <v>7.666666666666667</v>
      </c>
      <c r="G2916" s="63">
        <v>5.333333333333333</v>
      </c>
      <c r="H2916" s="63">
        <v>0</v>
      </c>
      <c r="I2916" s="63">
        <v>0</v>
      </c>
      <c r="J2916" s="63">
        <v>0</v>
      </c>
      <c r="K2916" s="63">
        <f>AVERAGE(I2916:J2916)</f>
        <v>0</v>
      </c>
      <c r="L2916" s="64" t="str">
        <f>"2177 CORNBREAD BOWLS"</f>
        <v>2177 CORNBREAD BOWLS</v>
      </c>
      <c r="M2916" s="65" t="str">
        <f>"60-2.5oz. 3 packs of 20"</f>
        <v>60-2.5oz. 3 packs of 20</v>
      </c>
      <c r="N2916" s="66">
        <v>60</v>
      </c>
      <c r="O2916" s="67" t="str">
        <f>""</f>
        <v/>
      </c>
      <c r="P2916" s="68" t="e">
        <f>1/O2916</f>
        <v>#VALUE!</v>
      </c>
      <c r="Q2916" s="53">
        <v>1</v>
      </c>
      <c r="R2916" s="69">
        <f t="shared" ref="R2916" si="2091">1/Q2916</f>
        <v>1</v>
      </c>
      <c r="S2916" s="70">
        <f t="shared" ref="S2916" si="2092">R2916*N2916</f>
        <v>60</v>
      </c>
    </row>
    <row r="2917" spans="1:19" ht="15.6" hidden="1" customHeight="1" thickBot="1" x14ac:dyDescent="0.3">
      <c r="A2917" t="s">
        <v>23</v>
      </c>
      <c r="B2917" s="60" t="str">
        <f t="shared" si="2090"/>
        <v>hide</v>
      </c>
      <c r="D2917" s="48" t="str">
        <f>D2916</f>
        <v>38905</v>
      </c>
      <c r="E2917" s="7"/>
      <c r="F2917" s="27">
        <v>0</v>
      </c>
      <c r="G2917" s="27">
        <v>0</v>
      </c>
      <c r="H2917" s="27">
        <v>0</v>
      </c>
      <c r="I2917" s="27">
        <v>0</v>
      </c>
      <c r="J2917" s="27">
        <v>0</v>
      </c>
      <c r="K2917" s="63">
        <f>AVERAGE(I2917:J2917)</f>
        <v>0</v>
      </c>
      <c r="L2917" s="56" t="str">
        <f>"EQP-LAWPACK1"</f>
        <v>EQP-LAWPACK1</v>
      </c>
      <c r="M2917" s="14"/>
      <c r="N2917" s="15"/>
      <c r="O2917" s="12"/>
      <c r="P2917" s="34"/>
      <c r="Q2917" s="37"/>
      <c r="R2917" s="47"/>
      <c r="S2917" s="46"/>
    </row>
    <row r="2918" spans="1:19" ht="15.6" hidden="1" customHeight="1" thickBot="1" x14ac:dyDescent="0.3">
      <c r="A2918" t="s">
        <v>23</v>
      </c>
      <c r="B2918" s="60" t="str">
        <f t="shared" ref="B2918:B2920" si="2093">IF(K2918=0,"hide","")</f>
        <v>hide</v>
      </c>
      <c r="D2918" s="48" t="str">
        <f>D2917</f>
        <v>38905</v>
      </c>
      <c r="E2918" s="7"/>
      <c r="F2918" s="27">
        <v>0</v>
      </c>
      <c r="G2918" s="27">
        <v>0</v>
      </c>
      <c r="H2918" s="27">
        <v>0</v>
      </c>
      <c r="I2918" s="27">
        <v>0</v>
      </c>
      <c r="J2918" s="27">
        <v>0</v>
      </c>
      <c r="K2918" s="63">
        <f>AVERAGE(I2918:J2918)</f>
        <v>0</v>
      </c>
      <c r="L2918" s="56" t="str">
        <f>"EQP-LAWPACK2"</f>
        <v>EQP-LAWPACK2</v>
      </c>
      <c r="M2918" s="14"/>
      <c r="N2918" s="15"/>
      <c r="O2918" s="12"/>
      <c r="P2918" s="34"/>
      <c r="Q2918" s="37"/>
      <c r="R2918" s="47"/>
      <c r="S2918" s="46"/>
    </row>
    <row r="2919" spans="1:19" ht="15.6" hidden="1" customHeight="1" thickBot="1" x14ac:dyDescent="0.3">
      <c r="A2919" t="s">
        <v>23</v>
      </c>
      <c r="B2919" s="60" t="str">
        <f t="shared" si="2093"/>
        <v>hide</v>
      </c>
      <c r="D2919" s="48" t="str">
        <f>D2918</f>
        <v>38905</v>
      </c>
      <c r="E2919" s="7"/>
      <c r="F2919" s="27">
        <v>0</v>
      </c>
      <c r="G2919" s="27">
        <v>0</v>
      </c>
      <c r="H2919" s="27">
        <v>0</v>
      </c>
      <c r="I2919" s="27">
        <v>0</v>
      </c>
      <c r="J2919" s="27">
        <v>0</v>
      </c>
      <c r="K2919" s="63">
        <f>AVERAGE(I2919:J2919)</f>
        <v>0</v>
      </c>
      <c r="L2919" s="56" t="str">
        <f>"SW-COMAS-PACKL"</f>
        <v>SW-COMAS-PACKL</v>
      </c>
      <c r="M2919" s="14"/>
      <c r="N2919" s="15"/>
      <c r="O2919" s="12"/>
      <c r="P2919" s="34"/>
      <c r="Q2919" s="37"/>
      <c r="R2919" s="47"/>
      <c r="S2919" s="46"/>
    </row>
    <row r="2920" spans="1:19" ht="15.6" hidden="1" customHeight="1" thickBot="1" x14ac:dyDescent="0.3">
      <c r="A2920" t="s">
        <v>23</v>
      </c>
      <c r="B2920" s="60" t="str">
        <f t="shared" si="2093"/>
        <v>hide</v>
      </c>
      <c r="D2920" s="48" t="str">
        <f>D2919</f>
        <v>38905</v>
      </c>
      <c r="E2920" s="7"/>
      <c r="F2920" s="27">
        <v>0</v>
      </c>
      <c r="G2920" s="27">
        <v>0</v>
      </c>
      <c r="H2920" s="27">
        <v>0</v>
      </c>
      <c r="I2920" s="27">
        <v>0</v>
      </c>
      <c r="J2920" s="27">
        <v>0</v>
      </c>
      <c r="K2920" s="63">
        <f>AVERAGE(I2920:J2920)</f>
        <v>0</v>
      </c>
      <c r="L2920" s="56" t="str">
        <f>"SW-RISER-PACK"</f>
        <v>SW-RISER-PACK</v>
      </c>
      <c r="M2920" s="14"/>
      <c r="N2920" s="15"/>
      <c r="O2920" s="12"/>
      <c r="P2920" s="34"/>
      <c r="Q2920" s="37"/>
      <c r="R2920" s="47"/>
      <c r="S2920" s="46"/>
    </row>
    <row r="2921" spans="1:19" ht="12" hidden="1" customHeight="1" x14ac:dyDescent="0.3">
      <c r="A2921" s="35" t="s">
        <v>908</v>
      </c>
      <c r="B2921" s="49" t="str">
        <f>B2917</f>
        <v>hide</v>
      </c>
      <c r="N2921"/>
      <c r="Q2921" s="33"/>
    </row>
    <row r="2922" spans="1:19" ht="13.8" hidden="1" thickBot="1" x14ac:dyDescent="0.3">
      <c r="A2922" t="s">
        <v>23</v>
      </c>
      <c r="B2922" s="49" t="str">
        <f t="shared" ref="B2922" si="2094">B2921</f>
        <v>hide</v>
      </c>
      <c r="D2922" s="58"/>
      <c r="E2922" s="58"/>
      <c r="F2922" s="52">
        <f>SUM(F2917:F2921)</f>
        <v>0</v>
      </c>
      <c r="G2922" s="52">
        <f>SUM(G2917:G2921)</f>
        <v>0</v>
      </c>
      <c r="H2922" s="52">
        <f>SUM(H2917:H2921)</f>
        <v>0</v>
      </c>
      <c r="I2922" s="52">
        <f>SUM(I2917:I2921)</f>
        <v>0</v>
      </c>
      <c r="J2922" s="52">
        <f>SUM(J2917:J2921)</f>
        <v>0</v>
      </c>
      <c r="K2922" s="52"/>
      <c r="L2922" s="51" t="s">
        <v>4</v>
      </c>
      <c r="M2922" s="58"/>
      <c r="N2922" s="58"/>
      <c r="O2922" s="58"/>
      <c r="P2922" s="58"/>
      <c r="Q2922" s="58"/>
      <c r="R2922" s="58"/>
      <c r="S2922" s="58"/>
    </row>
    <row r="2923" spans="1:19" s="59" customFormat="1" ht="18.75" customHeight="1" thickBot="1" x14ac:dyDescent="0.3">
      <c r="A2923" s="59" t="s">
        <v>23</v>
      </c>
      <c r="B2923" s="60" t="str">
        <f t="shared" ref="B2923:B2924" si="2095">IF(K2923=0,"hide","")</f>
        <v/>
      </c>
      <c r="D2923" s="61" t="str">
        <f>"38965"</f>
        <v>38965</v>
      </c>
      <c r="E2923" s="62" t="str">
        <f>"1"</f>
        <v>1</v>
      </c>
      <c r="F2923" s="63">
        <v>28</v>
      </c>
      <c r="G2923" s="63">
        <v>260</v>
      </c>
      <c r="H2923" s="63">
        <v>309.41666666666669</v>
      </c>
      <c r="I2923" s="63">
        <v>306.25</v>
      </c>
      <c r="J2923" s="63">
        <v>244.74385542168676</v>
      </c>
      <c r="K2923" s="63">
        <f>AVERAGE(I2923:J2923)</f>
        <v>275.49692771084335</v>
      </c>
      <c r="L2923" s="64" t="str">
        <f>"2178 WHOLE GRAIN CORNBREAD BOWLS"</f>
        <v>2178 WHOLE GRAIN CORNBREAD BOWLS</v>
      </c>
      <c r="M2923" s="65" t="str">
        <f>"60-2.5oz. 3 packs of 20"</f>
        <v>60-2.5oz. 3 packs of 20</v>
      </c>
      <c r="N2923" s="66">
        <v>60</v>
      </c>
      <c r="O2923" s="67" t="str">
        <f>""</f>
        <v/>
      </c>
      <c r="P2923" s="68" t="e">
        <f>1/O2923</f>
        <v>#VALUE!</v>
      </c>
      <c r="Q2923" s="53">
        <v>1</v>
      </c>
      <c r="R2923" s="69">
        <f t="shared" ref="R2923" si="2096">1/Q2923</f>
        <v>1</v>
      </c>
      <c r="S2923" s="70">
        <f t="shared" ref="S2923" si="2097">R2923*N2923</f>
        <v>60</v>
      </c>
    </row>
    <row r="2924" spans="1:19" ht="15.6" hidden="1" customHeight="1" thickBot="1" x14ac:dyDescent="0.3">
      <c r="A2924" t="s">
        <v>23</v>
      </c>
      <c r="B2924" s="60" t="str">
        <f t="shared" si="2095"/>
        <v>hide</v>
      </c>
      <c r="D2924" s="48" t="str">
        <f>D2923</f>
        <v>38965</v>
      </c>
      <c r="E2924" s="7"/>
      <c r="F2924" s="27">
        <v>0</v>
      </c>
      <c r="G2924" s="27">
        <v>0</v>
      </c>
      <c r="H2924" s="27">
        <v>0</v>
      </c>
      <c r="I2924" s="27">
        <v>0</v>
      </c>
      <c r="J2924" s="27">
        <v>0</v>
      </c>
      <c r="K2924" s="63">
        <f>AVERAGE(I2924:J2924)</f>
        <v>0</v>
      </c>
      <c r="L2924" s="56" t="str">
        <f>"EQP-LAWPACK1"</f>
        <v>EQP-LAWPACK1</v>
      </c>
      <c r="M2924" s="14"/>
      <c r="N2924" s="15"/>
      <c r="O2924" s="12"/>
      <c r="P2924" s="34"/>
      <c r="Q2924" s="37"/>
      <c r="R2924" s="47"/>
      <c r="S2924" s="46"/>
    </row>
    <row r="2925" spans="1:19" ht="15.6" hidden="1" customHeight="1" thickBot="1" x14ac:dyDescent="0.3">
      <c r="A2925" t="s">
        <v>23</v>
      </c>
      <c r="B2925" s="60" t="str">
        <f t="shared" ref="B2925:B2927" si="2098">IF(K2925=0,"hide","")</f>
        <v>hide</v>
      </c>
      <c r="D2925" s="48" t="str">
        <f>D2924</f>
        <v>38965</v>
      </c>
      <c r="E2925" s="7"/>
      <c r="F2925" s="27">
        <v>0</v>
      </c>
      <c r="G2925" s="27">
        <v>0</v>
      </c>
      <c r="H2925" s="27">
        <v>0</v>
      </c>
      <c r="I2925" s="27">
        <v>0</v>
      </c>
      <c r="J2925" s="27">
        <v>0</v>
      </c>
      <c r="K2925" s="63">
        <f>AVERAGE(I2925:J2925)</f>
        <v>0</v>
      </c>
      <c r="L2925" s="56" t="str">
        <f>"EQP-LAWPACK2"</f>
        <v>EQP-LAWPACK2</v>
      </c>
      <c r="M2925" s="14"/>
      <c r="N2925" s="15"/>
      <c r="O2925" s="12"/>
      <c r="P2925" s="34"/>
      <c r="Q2925" s="37"/>
      <c r="R2925" s="47"/>
      <c r="S2925" s="46"/>
    </row>
    <row r="2926" spans="1:19" ht="15.6" hidden="1" customHeight="1" thickBot="1" x14ac:dyDescent="0.3">
      <c r="A2926" t="s">
        <v>23</v>
      </c>
      <c r="B2926" s="60" t="str">
        <f t="shared" si="2098"/>
        <v>hide</v>
      </c>
      <c r="D2926" s="48" t="str">
        <f>D2925</f>
        <v>38965</v>
      </c>
      <c r="E2926" s="7"/>
      <c r="F2926" s="27">
        <v>0</v>
      </c>
      <c r="G2926" s="27">
        <v>0</v>
      </c>
      <c r="H2926" s="27">
        <v>0</v>
      </c>
      <c r="I2926" s="27">
        <v>0</v>
      </c>
      <c r="J2926" s="27">
        <v>0</v>
      </c>
      <c r="K2926" s="63">
        <f>AVERAGE(I2926:J2926)</f>
        <v>0</v>
      </c>
      <c r="L2926" s="56" t="str">
        <f>"SW-COMAS-PACKL"</f>
        <v>SW-COMAS-PACKL</v>
      </c>
      <c r="M2926" s="14"/>
      <c r="N2926" s="15"/>
      <c r="O2926" s="12"/>
      <c r="P2926" s="34"/>
      <c r="Q2926" s="37"/>
      <c r="R2926" s="47"/>
      <c r="S2926" s="46"/>
    </row>
    <row r="2927" spans="1:19" ht="15.6" hidden="1" customHeight="1" thickBot="1" x14ac:dyDescent="0.3">
      <c r="A2927" t="s">
        <v>23</v>
      </c>
      <c r="B2927" s="60" t="str">
        <f t="shared" si="2098"/>
        <v>hide</v>
      </c>
      <c r="D2927" s="48" t="str">
        <f>D2926</f>
        <v>38965</v>
      </c>
      <c r="E2927" s="7"/>
      <c r="F2927" s="27">
        <v>0</v>
      </c>
      <c r="G2927" s="27">
        <v>0</v>
      </c>
      <c r="H2927" s="27">
        <v>0</v>
      </c>
      <c r="I2927" s="27">
        <v>0</v>
      </c>
      <c r="J2927" s="27">
        <v>0</v>
      </c>
      <c r="K2927" s="63">
        <f>AVERAGE(I2927:J2927)</f>
        <v>0</v>
      </c>
      <c r="L2927" s="56" t="str">
        <f>"SW-RISER-PACK"</f>
        <v>SW-RISER-PACK</v>
      </c>
      <c r="M2927" s="14"/>
      <c r="N2927" s="15"/>
      <c r="O2927" s="12"/>
      <c r="P2927" s="34"/>
      <c r="Q2927" s="37"/>
      <c r="R2927" s="47"/>
      <c r="S2927" s="46"/>
    </row>
    <row r="2928" spans="1:19" ht="12" hidden="1" customHeight="1" x14ac:dyDescent="0.3">
      <c r="A2928" s="35" t="s">
        <v>908</v>
      </c>
      <c r="B2928" s="49" t="str">
        <f>B2924</f>
        <v>hide</v>
      </c>
      <c r="N2928"/>
      <c r="Q2928" s="33"/>
    </row>
    <row r="2929" spans="1:19" ht="13.8" hidden="1" thickBot="1" x14ac:dyDescent="0.3">
      <c r="A2929" t="s">
        <v>23</v>
      </c>
      <c r="B2929" s="49" t="str">
        <f t="shared" ref="B2929" si="2099">B2928</f>
        <v>hide</v>
      </c>
      <c r="D2929" s="58"/>
      <c r="E2929" s="58"/>
      <c r="F2929" s="52">
        <f>SUM(F2924:F2928)</f>
        <v>0</v>
      </c>
      <c r="G2929" s="52">
        <f>SUM(G2924:G2928)</f>
        <v>0</v>
      </c>
      <c r="H2929" s="52">
        <f>SUM(H2924:H2928)</f>
        <v>0</v>
      </c>
      <c r="I2929" s="52">
        <f>SUM(I2924:I2928)</f>
        <v>0</v>
      </c>
      <c r="J2929" s="52">
        <f>SUM(J2924:J2928)</f>
        <v>0</v>
      </c>
      <c r="K2929" s="52"/>
      <c r="L2929" s="51" t="s">
        <v>4</v>
      </c>
      <c r="M2929" s="58"/>
      <c r="N2929" s="58"/>
      <c r="O2929" s="58"/>
      <c r="P2929" s="58"/>
      <c r="Q2929" s="58"/>
      <c r="R2929" s="58"/>
      <c r="S2929" s="58"/>
    </row>
    <row r="2930" spans="1:19" s="59" customFormat="1" ht="18.75" hidden="1" customHeight="1" thickBot="1" x14ac:dyDescent="0.3">
      <c r="A2930" s="59" t="s">
        <v>23</v>
      </c>
      <c r="B2930" s="60" t="str">
        <f t="shared" ref="B2930:B2931" si="2100">IF(K2930=0,"hide","")</f>
        <v>hide</v>
      </c>
      <c r="D2930" s="61" t="str">
        <f>"39363"</f>
        <v>39363</v>
      </c>
      <c r="E2930" s="62" t="str">
        <f>"1"</f>
        <v>1</v>
      </c>
      <c r="F2930" s="63">
        <v>0</v>
      </c>
      <c r="G2930" s="63">
        <v>0</v>
      </c>
      <c r="H2930" s="63">
        <v>0</v>
      </c>
      <c r="I2930" s="63">
        <v>0</v>
      </c>
      <c r="J2930" s="63">
        <v>0</v>
      </c>
      <c r="K2930" s="63">
        <f>AVERAGE(I2930:J2930)</f>
        <v>0</v>
      </c>
      <c r="L2930" s="64" t="str">
        <f>""</f>
        <v/>
      </c>
      <c r="M2930" s="65" t="str">
        <f>""</f>
        <v/>
      </c>
      <c r="N2930" s="66" t="str">
        <f>""</f>
        <v/>
      </c>
      <c r="O2930" s="67" t="str">
        <f>""</f>
        <v/>
      </c>
      <c r="P2930" s="68" t="e">
        <f>1/O2930</f>
        <v>#VALUE!</v>
      </c>
      <c r="Q2930" s="53">
        <v>1</v>
      </c>
      <c r="R2930" s="69">
        <f t="shared" ref="R2930" si="2101">1/Q2930</f>
        <v>1</v>
      </c>
      <c r="S2930" s="70" t="e">
        <f t="shared" ref="S2930" si="2102">R2930*N2930</f>
        <v>#VALUE!</v>
      </c>
    </row>
    <row r="2931" spans="1:19" ht="15.6" hidden="1" customHeight="1" thickBot="1" x14ac:dyDescent="0.3">
      <c r="A2931" t="s">
        <v>23</v>
      </c>
      <c r="B2931" s="60" t="str">
        <f t="shared" si="2100"/>
        <v>hide</v>
      </c>
      <c r="D2931" s="48" t="str">
        <f>D2930</f>
        <v>39363</v>
      </c>
      <c r="E2931" s="7"/>
      <c r="F2931" s="27">
        <v>0</v>
      </c>
      <c r="G2931" s="27">
        <v>0</v>
      </c>
      <c r="H2931" s="27">
        <v>0</v>
      </c>
      <c r="I2931" s="27">
        <v>0</v>
      </c>
      <c r="J2931" s="27">
        <v>0</v>
      </c>
      <c r="K2931" s="63">
        <f>AVERAGE(I2931:J2931)</f>
        <v>0</v>
      </c>
      <c r="L2931" s="56" t="str">
        <f>"EQP-LAWPACK1"</f>
        <v>EQP-LAWPACK1</v>
      </c>
      <c r="M2931" s="14"/>
      <c r="N2931" s="15"/>
      <c r="O2931" s="12"/>
      <c r="P2931" s="34"/>
      <c r="Q2931" s="37"/>
      <c r="R2931" s="47"/>
      <c r="S2931" s="46"/>
    </row>
    <row r="2932" spans="1:19" ht="15.6" hidden="1" customHeight="1" thickBot="1" x14ac:dyDescent="0.3">
      <c r="A2932" t="s">
        <v>23</v>
      </c>
      <c r="B2932" s="60" t="str">
        <f t="shared" ref="B2932:B2934" si="2103">IF(K2932=0,"hide","")</f>
        <v>hide</v>
      </c>
      <c r="D2932" s="48" t="str">
        <f>D2931</f>
        <v>39363</v>
      </c>
      <c r="E2932" s="7"/>
      <c r="F2932" s="27">
        <v>0</v>
      </c>
      <c r="G2932" s="27">
        <v>0</v>
      </c>
      <c r="H2932" s="27">
        <v>0</v>
      </c>
      <c r="I2932" s="27">
        <v>0</v>
      </c>
      <c r="J2932" s="27">
        <v>0</v>
      </c>
      <c r="K2932" s="63">
        <f>AVERAGE(I2932:J2932)</f>
        <v>0</v>
      </c>
      <c r="L2932" s="56" t="str">
        <f>"EQP-LAWPACK2"</f>
        <v>EQP-LAWPACK2</v>
      </c>
      <c r="M2932" s="14"/>
      <c r="N2932" s="15"/>
      <c r="O2932" s="12"/>
      <c r="P2932" s="34"/>
      <c r="Q2932" s="37"/>
      <c r="R2932" s="47"/>
      <c r="S2932" s="46"/>
    </row>
    <row r="2933" spans="1:19" ht="15.6" hidden="1" customHeight="1" thickBot="1" x14ac:dyDescent="0.3">
      <c r="A2933" t="s">
        <v>23</v>
      </c>
      <c r="B2933" s="60" t="str">
        <f t="shared" si="2103"/>
        <v>hide</v>
      </c>
      <c r="D2933" s="48" t="str">
        <f>D2932</f>
        <v>39363</v>
      </c>
      <c r="E2933" s="7"/>
      <c r="F2933" s="27">
        <v>0</v>
      </c>
      <c r="G2933" s="27">
        <v>0</v>
      </c>
      <c r="H2933" s="27">
        <v>0</v>
      </c>
      <c r="I2933" s="27">
        <v>0</v>
      </c>
      <c r="J2933" s="27">
        <v>0</v>
      </c>
      <c r="K2933" s="63">
        <f>AVERAGE(I2933:J2933)</f>
        <v>0</v>
      </c>
      <c r="L2933" s="56" t="str">
        <f>"SW-COMAS-PACKL"</f>
        <v>SW-COMAS-PACKL</v>
      </c>
      <c r="M2933" s="14"/>
      <c r="N2933" s="15"/>
      <c r="O2933" s="12"/>
      <c r="P2933" s="34"/>
      <c r="Q2933" s="37"/>
      <c r="R2933" s="47"/>
      <c r="S2933" s="46"/>
    </row>
    <row r="2934" spans="1:19" ht="15.6" hidden="1" customHeight="1" thickBot="1" x14ac:dyDescent="0.3">
      <c r="A2934" t="s">
        <v>23</v>
      </c>
      <c r="B2934" s="60" t="str">
        <f t="shared" si="2103"/>
        <v>hide</v>
      </c>
      <c r="D2934" s="48" t="str">
        <f>D2933</f>
        <v>39363</v>
      </c>
      <c r="E2934" s="7"/>
      <c r="F2934" s="27">
        <v>0</v>
      </c>
      <c r="G2934" s="27">
        <v>0</v>
      </c>
      <c r="H2934" s="27">
        <v>0</v>
      </c>
      <c r="I2934" s="27">
        <v>0</v>
      </c>
      <c r="J2934" s="27">
        <v>0</v>
      </c>
      <c r="K2934" s="63">
        <f>AVERAGE(I2934:J2934)</f>
        <v>0</v>
      </c>
      <c r="L2934" s="56" t="str">
        <f>"SW-RISER-PACK"</f>
        <v>SW-RISER-PACK</v>
      </c>
      <c r="M2934" s="14"/>
      <c r="N2934" s="15"/>
      <c r="O2934" s="12"/>
      <c r="P2934" s="34"/>
      <c r="Q2934" s="37"/>
      <c r="R2934" s="47"/>
      <c r="S2934" s="46"/>
    </row>
    <row r="2935" spans="1:19" ht="12" hidden="1" customHeight="1" x14ac:dyDescent="0.3">
      <c r="A2935" s="35" t="s">
        <v>908</v>
      </c>
      <c r="B2935" s="49" t="str">
        <f>B2931</f>
        <v>hide</v>
      </c>
      <c r="N2935"/>
      <c r="Q2935" s="33"/>
    </row>
    <row r="2936" spans="1:19" ht="13.8" hidden="1" thickBot="1" x14ac:dyDescent="0.3">
      <c r="A2936" t="s">
        <v>23</v>
      </c>
      <c r="B2936" s="49" t="str">
        <f t="shared" ref="B2936" si="2104">B2935</f>
        <v>hide</v>
      </c>
      <c r="D2936" s="58"/>
      <c r="E2936" s="58"/>
      <c r="F2936" s="52">
        <f>SUM(F2931:F2935)</f>
        <v>0</v>
      </c>
      <c r="G2936" s="52">
        <f>SUM(G2931:G2935)</f>
        <v>0</v>
      </c>
      <c r="H2936" s="52">
        <f>SUM(H2931:H2935)</f>
        <v>0</v>
      </c>
      <c r="I2936" s="52">
        <f>SUM(I2931:I2935)</f>
        <v>0</v>
      </c>
      <c r="J2936" s="52">
        <f>SUM(J2931:J2935)</f>
        <v>0</v>
      </c>
      <c r="K2936" s="52"/>
      <c r="L2936" s="51" t="s">
        <v>4</v>
      </c>
      <c r="M2936" s="58"/>
      <c r="N2936" s="58"/>
      <c r="O2936" s="58"/>
      <c r="P2936" s="58"/>
      <c r="Q2936" s="58"/>
      <c r="R2936" s="58"/>
      <c r="S2936" s="58"/>
    </row>
    <row r="2937" spans="1:19" s="59" customFormat="1" ht="18.75" customHeight="1" thickBot="1" x14ac:dyDescent="0.3">
      <c r="A2937" s="59" t="s">
        <v>23</v>
      </c>
      <c r="B2937" s="60" t="str">
        <f t="shared" ref="B2937:B2938" si="2105">IF(K2937=0,"hide","")</f>
        <v/>
      </c>
      <c r="D2937" s="61" t="str">
        <f>"39601"</f>
        <v>39601</v>
      </c>
      <c r="E2937" s="62" t="str">
        <f>"7"</f>
        <v>7</v>
      </c>
      <c r="F2937" s="63">
        <v>1074</v>
      </c>
      <c r="G2937" s="63">
        <v>1152</v>
      </c>
      <c r="H2937" s="63">
        <v>1360.0833333333333</v>
      </c>
      <c r="I2937" s="63">
        <v>1345.6666666666667</v>
      </c>
      <c r="J2937" s="63">
        <v>952.51662650602429</v>
      </c>
      <c r="K2937" s="63">
        <f>AVERAGE(I2937:J2937)</f>
        <v>1149.0916465863456</v>
      </c>
      <c r="L2937" s="64" t="str">
        <f>"BLUEBERRY MUFFINS"</f>
        <v>BLUEBERRY MUFFINS</v>
      </c>
      <c r="M2937" s="65" t="str">
        <f>"64-5 oz. 16-4 pack"</f>
        <v>64-5 oz. 16-4 pack</v>
      </c>
      <c r="N2937" s="66">
        <v>64</v>
      </c>
      <c r="O2937" s="67" t="str">
        <f>""</f>
        <v/>
      </c>
      <c r="P2937" s="68" t="e">
        <f>1/O2937</f>
        <v>#VALUE!</v>
      </c>
      <c r="Q2937" s="53">
        <v>1</v>
      </c>
      <c r="R2937" s="69">
        <f t="shared" ref="R2937" si="2106">1/Q2937</f>
        <v>1</v>
      </c>
      <c r="S2937" s="70">
        <f t="shared" ref="S2937" si="2107">R2937*N2937</f>
        <v>64</v>
      </c>
    </row>
    <row r="2938" spans="1:19" ht="15.6" hidden="1" customHeight="1" thickBot="1" x14ac:dyDescent="0.3">
      <c r="A2938" t="s">
        <v>23</v>
      </c>
      <c r="B2938" s="60" t="str">
        <f t="shared" si="2105"/>
        <v>hide</v>
      </c>
      <c r="D2938" s="48" t="str">
        <f>D2937</f>
        <v>39601</v>
      </c>
      <c r="E2938" s="7"/>
      <c r="F2938" s="27">
        <v>0</v>
      </c>
      <c r="G2938" s="27">
        <v>0</v>
      </c>
      <c r="H2938" s="27">
        <v>0</v>
      </c>
      <c r="I2938" s="27">
        <v>0</v>
      </c>
      <c r="J2938" s="27">
        <v>0</v>
      </c>
      <c r="K2938" s="63">
        <f>AVERAGE(I2938:J2938)</f>
        <v>0</v>
      </c>
      <c r="L2938" s="56" t="str">
        <f>"EQP-LAWPACK1"</f>
        <v>EQP-LAWPACK1</v>
      </c>
      <c r="M2938" s="14"/>
      <c r="N2938" s="15"/>
      <c r="O2938" s="12"/>
      <c r="P2938" s="34"/>
      <c r="Q2938" s="37"/>
      <c r="R2938" s="47"/>
      <c r="S2938" s="46"/>
    </row>
    <row r="2939" spans="1:19" ht="15.6" hidden="1" customHeight="1" thickBot="1" x14ac:dyDescent="0.3">
      <c r="A2939" t="s">
        <v>23</v>
      </c>
      <c r="B2939" s="60" t="str">
        <f t="shared" ref="B2939:B2941" si="2108">IF(K2939=0,"hide","")</f>
        <v>hide</v>
      </c>
      <c r="D2939" s="48" t="str">
        <f>D2938</f>
        <v>39601</v>
      </c>
      <c r="E2939" s="7"/>
      <c r="F2939" s="27">
        <v>0</v>
      </c>
      <c r="G2939" s="27">
        <v>0</v>
      </c>
      <c r="H2939" s="27">
        <v>0</v>
      </c>
      <c r="I2939" s="27">
        <v>0</v>
      </c>
      <c r="J2939" s="27">
        <v>0</v>
      </c>
      <c r="K2939" s="63">
        <f>AVERAGE(I2939:J2939)</f>
        <v>0</v>
      </c>
      <c r="L2939" s="56" t="str">
        <f>"EQP-LAWPACK2"</f>
        <v>EQP-LAWPACK2</v>
      </c>
      <c r="M2939" s="14"/>
      <c r="N2939" s="15"/>
      <c r="O2939" s="12"/>
      <c r="P2939" s="34"/>
      <c r="Q2939" s="37"/>
      <c r="R2939" s="47"/>
      <c r="S2939" s="46"/>
    </row>
    <row r="2940" spans="1:19" ht="15.6" hidden="1" customHeight="1" thickBot="1" x14ac:dyDescent="0.3">
      <c r="A2940" t="s">
        <v>23</v>
      </c>
      <c r="B2940" s="60" t="str">
        <f t="shared" si="2108"/>
        <v>hide</v>
      </c>
      <c r="D2940" s="48" t="str">
        <f>D2939</f>
        <v>39601</v>
      </c>
      <c r="E2940" s="7"/>
      <c r="F2940" s="27">
        <v>0</v>
      </c>
      <c r="G2940" s="27">
        <v>0</v>
      </c>
      <c r="H2940" s="27">
        <v>0</v>
      </c>
      <c r="I2940" s="27">
        <v>0</v>
      </c>
      <c r="J2940" s="27">
        <v>0</v>
      </c>
      <c r="K2940" s="63">
        <f>AVERAGE(I2940:J2940)</f>
        <v>0</v>
      </c>
      <c r="L2940" s="56" t="str">
        <f>"SW-COMAS-PACKL"</f>
        <v>SW-COMAS-PACKL</v>
      </c>
      <c r="M2940" s="14"/>
      <c r="N2940" s="15"/>
      <c r="O2940" s="12"/>
      <c r="P2940" s="34"/>
      <c r="Q2940" s="37"/>
      <c r="R2940" s="47"/>
      <c r="S2940" s="46"/>
    </row>
    <row r="2941" spans="1:19" ht="15.6" hidden="1" customHeight="1" thickBot="1" x14ac:dyDescent="0.3">
      <c r="A2941" t="s">
        <v>23</v>
      </c>
      <c r="B2941" s="60" t="str">
        <f t="shared" si="2108"/>
        <v>hide</v>
      </c>
      <c r="D2941" s="48" t="str">
        <f>D2940</f>
        <v>39601</v>
      </c>
      <c r="E2941" s="7"/>
      <c r="F2941" s="27">
        <v>0</v>
      </c>
      <c r="G2941" s="27">
        <v>0</v>
      </c>
      <c r="H2941" s="27">
        <v>0</v>
      </c>
      <c r="I2941" s="27">
        <v>0</v>
      </c>
      <c r="J2941" s="27">
        <v>0</v>
      </c>
      <c r="K2941" s="63">
        <f>AVERAGE(I2941:J2941)</f>
        <v>0</v>
      </c>
      <c r="L2941" s="56" t="str">
        <f>"SW-RISER-PACK"</f>
        <v>SW-RISER-PACK</v>
      </c>
      <c r="M2941" s="14"/>
      <c r="N2941" s="15"/>
      <c r="O2941" s="12"/>
      <c r="P2941" s="34"/>
      <c r="Q2941" s="37"/>
      <c r="R2941" s="47"/>
      <c r="S2941" s="46"/>
    </row>
    <row r="2942" spans="1:19" ht="12" hidden="1" customHeight="1" x14ac:dyDescent="0.3">
      <c r="A2942" s="35" t="s">
        <v>908</v>
      </c>
      <c r="B2942" s="49" t="str">
        <f>B2938</f>
        <v>hide</v>
      </c>
      <c r="N2942"/>
      <c r="Q2942" s="33"/>
    </row>
    <row r="2943" spans="1:19" ht="13.8" hidden="1" thickBot="1" x14ac:dyDescent="0.3">
      <c r="A2943" t="s">
        <v>23</v>
      </c>
      <c r="B2943" s="49" t="str">
        <f t="shared" ref="B2943" si="2109">B2942</f>
        <v>hide</v>
      </c>
      <c r="D2943" s="58"/>
      <c r="E2943" s="58"/>
      <c r="F2943" s="52">
        <f>SUM(F2938:F2942)</f>
        <v>0</v>
      </c>
      <c r="G2943" s="52">
        <f>SUM(G2938:G2942)</f>
        <v>0</v>
      </c>
      <c r="H2943" s="52">
        <f>SUM(H2938:H2942)</f>
        <v>0</v>
      </c>
      <c r="I2943" s="52">
        <f>SUM(I2938:I2942)</f>
        <v>0</v>
      </c>
      <c r="J2943" s="52">
        <f>SUM(J2938:J2942)</f>
        <v>0</v>
      </c>
      <c r="K2943" s="52"/>
      <c r="L2943" s="51" t="s">
        <v>4</v>
      </c>
      <c r="M2943" s="58"/>
      <c r="N2943" s="58"/>
      <c r="O2943" s="58"/>
      <c r="P2943" s="58"/>
      <c r="Q2943" s="58"/>
      <c r="R2943" s="58"/>
      <c r="S2943" s="58"/>
    </row>
    <row r="2944" spans="1:19" s="59" customFormat="1" ht="18.75" customHeight="1" thickBot="1" x14ac:dyDescent="0.3">
      <c r="A2944" s="59" t="s">
        <v>23</v>
      </c>
      <c r="B2944" s="60" t="str">
        <f t="shared" ref="B2944:B2945" si="2110">IF(K2944=0,"hide","")</f>
        <v/>
      </c>
      <c r="D2944" s="61" t="str">
        <f>"39605"</f>
        <v>39605</v>
      </c>
      <c r="E2944" s="62" t="str">
        <f>"4"</f>
        <v>4</v>
      </c>
      <c r="F2944" s="63">
        <v>407.91666666666669</v>
      </c>
      <c r="G2944" s="63">
        <v>443.41666666666669</v>
      </c>
      <c r="H2944" s="63">
        <v>531</v>
      </c>
      <c r="I2944" s="63">
        <v>513.5</v>
      </c>
      <c r="J2944" s="63">
        <v>394.6997590361446</v>
      </c>
      <c r="K2944" s="63">
        <f>AVERAGE(I2944:J2944)</f>
        <v>454.09987951807227</v>
      </c>
      <c r="L2944" s="64" t="str">
        <f>"CORN MUFFINS"</f>
        <v>CORN MUFFINS</v>
      </c>
      <c r="M2944" s="65" t="str">
        <f>"64-5 oz. 16-4 pack"</f>
        <v>64-5 oz. 16-4 pack</v>
      </c>
      <c r="N2944" s="66">
        <v>64</v>
      </c>
      <c r="O2944" s="67" t="str">
        <f>""</f>
        <v/>
      </c>
      <c r="P2944" s="68" t="e">
        <f>1/O2944</f>
        <v>#VALUE!</v>
      </c>
      <c r="Q2944" s="53">
        <v>1</v>
      </c>
      <c r="R2944" s="69">
        <f t="shared" ref="R2944" si="2111">1/Q2944</f>
        <v>1</v>
      </c>
      <c r="S2944" s="70">
        <f t="shared" ref="S2944" si="2112">R2944*N2944</f>
        <v>64</v>
      </c>
    </row>
    <row r="2945" spans="1:19" ht="15.6" hidden="1" customHeight="1" thickBot="1" x14ac:dyDescent="0.3">
      <c r="A2945" t="s">
        <v>23</v>
      </c>
      <c r="B2945" s="60" t="str">
        <f t="shared" si="2110"/>
        <v>hide</v>
      </c>
      <c r="D2945" s="48" t="str">
        <f>D2944</f>
        <v>39605</v>
      </c>
      <c r="E2945" s="7"/>
      <c r="F2945" s="27">
        <v>0</v>
      </c>
      <c r="G2945" s="27">
        <v>0</v>
      </c>
      <c r="H2945" s="27">
        <v>0</v>
      </c>
      <c r="I2945" s="27">
        <v>0</v>
      </c>
      <c r="J2945" s="27">
        <v>0</v>
      </c>
      <c r="K2945" s="63">
        <f>AVERAGE(I2945:J2945)</f>
        <v>0</v>
      </c>
      <c r="L2945" s="56" t="str">
        <f>"EQP-LAWPACK1"</f>
        <v>EQP-LAWPACK1</v>
      </c>
      <c r="M2945" s="14"/>
      <c r="N2945" s="15"/>
      <c r="O2945" s="12"/>
      <c r="P2945" s="34"/>
      <c r="Q2945" s="37"/>
      <c r="R2945" s="47"/>
      <c r="S2945" s="46"/>
    </row>
    <row r="2946" spans="1:19" ht="15.6" hidden="1" customHeight="1" thickBot="1" x14ac:dyDescent="0.3">
      <c r="A2946" t="s">
        <v>23</v>
      </c>
      <c r="B2946" s="60" t="str">
        <f t="shared" ref="B2946:B2948" si="2113">IF(K2946=0,"hide","")</f>
        <v>hide</v>
      </c>
      <c r="D2946" s="48" t="str">
        <f>D2945</f>
        <v>39605</v>
      </c>
      <c r="E2946" s="7"/>
      <c r="F2946" s="27">
        <v>0</v>
      </c>
      <c r="G2946" s="27">
        <v>0</v>
      </c>
      <c r="H2946" s="27">
        <v>0</v>
      </c>
      <c r="I2946" s="27">
        <v>0</v>
      </c>
      <c r="J2946" s="27">
        <v>0</v>
      </c>
      <c r="K2946" s="63">
        <f>AVERAGE(I2946:J2946)</f>
        <v>0</v>
      </c>
      <c r="L2946" s="56" t="str">
        <f>"EQP-LAWPACK2"</f>
        <v>EQP-LAWPACK2</v>
      </c>
      <c r="M2946" s="14"/>
      <c r="N2946" s="15"/>
      <c r="O2946" s="12"/>
      <c r="P2946" s="34"/>
      <c r="Q2946" s="37"/>
      <c r="R2946" s="47"/>
      <c r="S2946" s="46"/>
    </row>
    <row r="2947" spans="1:19" ht="15.6" hidden="1" customHeight="1" thickBot="1" x14ac:dyDescent="0.3">
      <c r="A2947" t="s">
        <v>23</v>
      </c>
      <c r="B2947" s="60" t="str">
        <f t="shared" si="2113"/>
        <v>hide</v>
      </c>
      <c r="D2947" s="48" t="str">
        <f>D2946</f>
        <v>39605</v>
      </c>
      <c r="E2947" s="7"/>
      <c r="F2947" s="27">
        <v>0</v>
      </c>
      <c r="G2947" s="27">
        <v>0</v>
      </c>
      <c r="H2947" s="27">
        <v>0</v>
      </c>
      <c r="I2947" s="27">
        <v>0</v>
      </c>
      <c r="J2947" s="27">
        <v>0</v>
      </c>
      <c r="K2947" s="63">
        <f>AVERAGE(I2947:J2947)</f>
        <v>0</v>
      </c>
      <c r="L2947" s="56" t="str">
        <f>"SW-COMAS-PACKL"</f>
        <v>SW-COMAS-PACKL</v>
      </c>
      <c r="M2947" s="14"/>
      <c r="N2947" s="15"/>
      <c r="O2947" s="12"/>
      <c r="P2947" s="34"/>
      <c r="Q2947" s="37"/>
      <c r="R2947" s="47"/>
      <c r="S2947" s="46"/>
    </row>
    <row r="2948" spans="1:19" ht="15.6" hidden="1" customHeight="1" thickBot="1" x14ac:dyDescent="0.3">
      <c r="A2948" t="s">
        <v>23</v>
      </c>
      <c r="B2948" s="60" t="str">
        <f t="shared" si="2113"/>
        <v>hide</v>
      </c>
      <c r="D2948" s="48" t="str">
        <f>D2947</f>
        <v>39605</v>
      </c>
      <c r="E2948" s="7"/>
      <c r="F2948" s="27">
        <v>0</v>
      </c>
      <c r="G2948" s="27">
        <v>0</v>
      </c>
      <c r="H2948" s="27">
        <v>0</v>
      </c>
      <c r="I2948" s="27">
        <v>0</v>
      </c>
      <c r="J2948" s="27">
        <v>0</v>
      </c>
      <c r="K2948" s="63">
        <f>AVERAGE(I2948:J2948)</f>
        <v>0</v>
      </c>
      <c r="L2948" s="56" t="str">
        <f>"SW-RISER-PACK"</f>
        <v>SW-RISER-PACK</v>
      </c>
      <c r="M2948" s="14"/>
      <c r="N2948" s="15"/>
      <c r="O2948" s="12"/>
      <c r="P2948" s="34"/>
      <c r="Q2948" s="37"/>
      <c r="R2948" s="47"/>
      <c r="S2948" s="46"/>
    </row>
    <row r="2949" spans="1:19" ht="12" hidden="1" customHeight="1" x14ac:dyDescent="0.3">
      <c r="A2949" s="35" t="s">
        <v>908</v>
      </c>
      <c r="B2949" s="49" t="str">
        <f>B2945</f>
        <v>hide</v>
      </c>
      <c r="N2949"/>
      <c r="Q2949" s="33"/>
    </row>
    <row r="2950" spans="1:19" ht="13.8" hidden="1" thickBot="1" x14ac:dyDescent="0.3">
      <c r="A2950" t="s">
        <v>23</v>
      </c>
      <c r="B2950" s="49" t="str">
        <f t="shared" ref="B2950" si="2114">B2949</f>
        <v>hide</v>
      </c>
      <c r="D2950" s="58"/>
      <c r="E2950" s="58"/>
      <c r="F2950" s="52">
        <f>SUM(F2945:F2949)</f>
        <v>0</v>
      </c>
      <c r="G2950" s="52">
        <f>SUM(G2945:G2949)</f>
        <v>0</v>
      </c>
      <c r="H2950" s="52">
        <f>SUM(H2945:H2949)</f>
        <v>0</v>
      </c>
      <c r="I2950" s="52">
        <f>SUM(I2945:I2949)</f>
        <v>0</v>
      </c>
      <c r="J2950" s="52">
        <f>SUM(J2945:J2949)</f>
        <v>0</v>
      </c>
      <c r="K2950" s="52"/>
      <c r="L2950" s="51" t="s">
        <v>4</v>
      </c>
      <c r="M2950" s="58"/>
      <c r="N2950" s="58"/>
      <c r="O2950" s="58"/>
      <c r="P2950" s="58"/>
      <c r="Q2950" s="58"/>
      <c r="R2950" s="58"/>
      <c r="S2950" s="58"/>
    </row>
    <row r="2951" spans="1:19" s="59" customFormat="1" ht="18.75" customHeight="1" thickBot="1" x14ac:dyDescent="0.3">
      <c r="A2951" s="59" t="s">
        <v>23</v>
      </c>
      <c r="B2951" s="60" t="str">
        <f t="shared" ref="B2951:B2952" si="2115">IF(K2951=0,"hide","")</f>
        <v/>
      </c>
      <c r="D2951" s="61" t="str">
        <f>"39610"</f>
        <v>39610</v>
      </c>
      <c r="E2951" s="62" t="str">
        <f>"4"</f>
        <v>4</v>
      </c>
      <c r="F2951" s="63">
        <v>528.00000000000011</v>
      </c>
      <c r="G2951" s="63">
        <v>546</v>
      </c>
      <c r="H2951" s="63">
        <v>698.08333333333337</v>
      </c>
      <c r="I2951" s="63">
        <v>754.66666666666663</v>
      </c>
      <c r="J2951" s="63">
        <v>606.37012048192776</v>
      </c>
      <c r="K2951" s="63">
        <f>AVERAGE(I2951:J2951)</f>
        <v>680.51839357429719</v>
      </c>
      <c r="L2951" s="64" t="str">
        <f>"CHOCOLATE CHIP MUFFINS"</f>
        <v>CHOCOLATE CHIP MUFFINS</v>
      </c>
      <c r="M2951" s="65" t="str">
        <f>"64-5 oz. 16-4 pack"</f>
        <v>64-5 oz. 16-4 pack</v>
      </c>
      <c r="N2951" s="66">
        <v>64</v>
      </c>
      <c r="O2951" s="67">
        <v>4.1000000000000003E-3</v>
      </c>
      <c r="P2951" s="68">
        <f>1/O2951</f>
        <v>243.90243902439022</v>
      </c>
      <c r="Q2951" s="53">
        <v>1.17E-2</v>
      </c>
      <c r="R2951" s="69">
        <f t="shared" ref="R2951" si="2116">1/Q2951</f>
        <v>85.470085470085465</v>
      </c>
      <c r="S2951" s="70">
        <f t="shared" ref="S2951" si="2117">R2951*N2951</f>
        <v>5470.0854700854698</v>
      </c>
    </row>
    <row r="2952" spans="1:19" ht="15.6" hidden="1" customHeight="1" thickBot="1" x14ac:dyDescent="0.3">
      <c r="A2952" t="s">
        <v>23</v>
      </c>
      <c r="B2952" s="60" t="str">
        <f t="shared" si="2115"/>
        <v>hide</v>
      </c>
      <c r="D2952" s="48" t="str">
        <f>D2951</f>
        <v>39610</v>
      </c>
      <c r="E2952" s="7"/>
      <c r="F2952" s="27">
        <v>0</v>
      </c>
      <c r="G2952" s="27">
        <v>0</v>
      </c>
      <c r="H2952" s="27">
        <v>0</v>
      </c>
      <c r="I2952" s="27">
        <v>0</v>
      </c>
      <c r="J2952" s="27">
        <v>0</v>
      </c>
      <c r="K2952" s="63">
        <f>AVERAGE(I2952:J2952)</f>
        <v>0</v>
      </c>
      <c r="L2952" s="56" t="str">
        <f>"EQP-LAWPACK1"</f>
        <v>EQP-LAWPACK1</v>
      </c>
      <c r="M2952" s="14"/>
      <c r="N2952" s="15"/>
      <c r="O2952" s="12"/>
      <c r="P2952" s="34"/>
      <c r="Q2952" s="37"/>
      <c r="R2952" s="47"/>
      <c r="S2952" s="46"/>
    </row>
    <row r="2953" spans="1:19" ht="15.6" hidden="1" customHeight="1" thickBot="1" x14ac:dyDescent="0.3">
      <c r="A2953" t="s">
        <v>23</v>
      </c>
      <c r="B2953" s="60" t="str">
        <f t="shared" ref="B2953:B2955" si="2118">IF(K2953=0,"hide","")</f>
        <v>hide</v>
      </c>
      <c r="D2953" s="48" t="str">
        <f>D2952</f>
        <v>39610</v>
      </c>
      <c r="E2953" s="7"/>
      <c r="F2953" s="27">
        <v>0</v>
      </c>
      <c r="G2953" s="27">
        <v>0</v>
      </c>
      <c r="H2953" s="27">
        <v>0</v>
      </c>
      <c r="I2953" s="27">
        <v>0</v>
      </c>
      <c r="J2953" s="27">
        <v>0</v>
      </c>
      <c r="K2953" s="63">
        <f>AVERAGE(I2953:J2953)</f>
        <v>0</v>
      </c>
      <c r="L2953" s="56" t="str">
        <f>"EQP-LAWPACK2"</f>
        <v>EQP-LAWPACK2</v>
      </c>
      <c r="M2953" s="14"/>
      <c r="N2953" s="15"/>
      <c r="O2953" s="12"/>
      <c r="P2953" s="34"/>
      <c r="Q2953" s="37"/>
      <c r="R2953" s="47"/>
      <c r="S2953" s="46"/>
    </row>
    <row r="2954" spans="1:19" ht="15.6" hidden="1" customHeight="1" thickBot="1" x14ac:dyDescent="0.3">
      <c r="A2954" t="s">
        <v>23</v>
      </c>
      <c r="B2954" s="60" t="str">
        <f t="shared" si="2118"/>
        <v>hide</v>
      </c>
      <c r="D2954" s="48" t="str">
        <f>D2953</f>
        <v>39610</v>
      </c>
      <c r="E2954" s="7"/>
      <c r="F2954" s="27">
        <v>0</v>
      </c>
      <c r="G2954" s="27">
        <v>0</v>
      </c>
      <c r="H2954" s="27">
        <v>0</v>
      </c>
      <c r="I2954" s="27">
        <v>0</v>
      </c>
      <c r="J2954" s="27">
        <v>0</v>
      </c>
      <c r="K2954" s="63">
        <f>AVERAGE(I2954:J2954)</f>
        <v>0</v>
      </c>
      <c r="L2954" s="56" t="str">
        <f>"SW-COMAS-PACKL"</f>
        <v>SW-COMAS-PACKL</v>
      </c>
      <c r="M2954" s="14"/>
      <c r="N2954" s="15"/>
      <c r="O2954" s="12"/>
      <c r="P2954" s="34"/>
      <c r="Q2954" s="37"/>
      <c r="R2954" s="47"/>
      <c r="S2954" s="46"/>
    </row>
    <row r="2955" spans="1:19" ht="15.6" hidden="1" customHeight="1" thickBot="1" x14ac:dyDescent="0.3">
      <c r="A2955" t="s">
        <v>23</v>
      </c>
      <c r="B2955" s="60" t="str">
        <f t="shared" si="2118"/>
        <v>hide</v>
      </c>
      <c r="D2955" s="48" t="str">
        <f>D2954</f>
        <v>39610</v>
      </c>
      <c r="E2955" s="7"/>
      <c r="F2955" s="27">
        <v>0</v>
      </c>
      <c r="G2955" s="27">
        <v>0</v>
      </c>
      <c r="H2955" s="27">
        <v>0</v>
      </c>
      <c r="I2955" s="27">
        <v>0</v>
      </c>
      <c r="J2955" s="27">
        <v>0</v>
      </c>
      <c r="K2955" s="63">
        <f>AVERAGE(I2955:J2955)</f>
        <v>0</v>
      </c>
      <c r="L2955" s="56" t="str">
        <f>"SW-RISER-PACK"</f>
        <v>SW-RISER-PACK</v>
      </c>
      <c r="M2955" s="14"/>
      <c r="N2955" s="15"/>
      <c r="O2955" s="12"/>
      <c r="P2955" s="34"/>
      <c r="Q2955" s="37"/>
      <c r="R2955" s="47"/>
      <c r="S2955" s="46"/>
    </row>
    <row r="2956" spans="1:19" ht="12" hidden="1" customHeight="1" x14ac:dyDescent="0.3">
      <c r="A2956" s="35" t="s">
        <v>908</v>
      </c>
      <c r="B2956" s="49" t="str">
        <f>B2952</f>
        <v>hide</v>
      </c>
      <c r="N2956"/>
      <c r="Q2956" s="33"/>
    </row>
    <row r="2957" spans="1:19" ht="13.8" hidden="1" thickBot="1" x14ac:dyDescent="0.3">
      <c r="A2957" t="s">
        <v>23</v>
      </c>
      <c r="B2957" s="49" t="str">
        <f t="shared" ref="B2957" si="2119">B2956</f>
        <v>hide</v>
      </c>
      <c r="D2957" s="58"/>
      <c r="E2957" s="58"/>
      <c r="F2957" s="52">
        <f>SUM(F2952:F2956)</f>
        <v>0</v>
      </c>
      <c r="G2957" s="52">
        <f>SUM(G2952:G2956)</f>
        <v>0</v>
      </c>
      <c r="H2957" s="52">
        <f>SUM(H2952:H2956)</f>
        <v>0</v>
      </c>
      <c r="I2957" s="52">
        <f>SUM(I2952:I2956)</f>
        <v>0</v>
      </c>
      <c r="J2957" s="52">
        <f>SUM(J2952:J2956)</f>
        <v>0</v>
      </c>
      <c r="K2957" s="52"/>
      <c r="L2957" s="51" t="s">
        <v>4</v>
      </c>
      <c r="M2957" s="58"/>
      <c r="N2957" s="58"/>
      <c r="O2957" s="58"/>
      <c r="P2957" s="58"/>
      <c r="Q2957" s="58"/>
      <c r="R2957" s="58"/>
      <c r="S2957" s="58"/>
    </row>
    <row r="2958" spans="1:19" s="59" customFormat="1" ht="18.75" customHeight="1" thickBot="1" x14ac:dyDescent="0.3">
      <c r="A2958" s="59" t="s">
        <v>23</v>
      </c>
      <c r="B2958" s="60" t="str">
        <f t="shared" ref="B2958:B2959" si="2120">IF(K2958=0,"hide","")</f>
        <v/>
      </c>
      <c r="D2958" s="61" t="str">
        <f>"39636"</f>
        <v>39636</v>
      </c>
      <c r="E2958" s="62" t="str">
        <f>"4"</f>
        <v>4</v>
      </c>
      <c r="F2958" s="63">
        <v>656.66666666666674</v>
      </c>
      <c r="G2958" s="63">
        <v>627</v>
      </c>
      <c r="H2958" s="63">
        <v>767.25</v>
      </c>
      <c r="I2958" s="63">
        <v>741.16666666666663</v>
      </c>
      <c r="J2958" s="63">
        <v>551.40674698795181</v>
      </c>
      <c r="K2958" s="63">
        <f>AVERAGE(I2958:J2958)</f>
        <v>646.28670682730922</v>
      </c>
      <c r="L2958" s="64" t="str">
        <f>"COFFEE CAKE MUFFINS"</f>
        <v>COFFEE CAKE MUFFINS</v>
      </c>
      <c r="M2958" s="65" t="str">
        <f>"64-5 oz. 16-4 pack"</f>
        <v>64-5 oz. 16-4 pack</v>
      </c>
      <c r="N2958" s="66">
        <v>64</v>
      </c>
      <c r="O2958" s="67" t="str">
        <f>""</f>
        <v/>
      </c>
      <c r="P2958" s="68" t="e">
        <f>1/O2958</f>
        <v>#VALUE!</v>
      </c>
      <c r="Q2958" s="53">
        <v>1</v>
      </c>
      <c r="R2958" s="69">
        <f t="shared" ref="R2958" si="2121">1/Q2958</f>
        <v>1</v>
      </c>
      <c r="S2958" s="70">
        <f t="shared" ref="S2958" si="2122">R2958*N2958</f>
        <v>64</v>
      </c>
    </row>
    <row r="2959" spans="1:19" ht="15.6" hidden="1" customHeight="1" thickBot="1" x14ac:dyDescent="0.3">
      <c r="A2959" t="s">
        <v>23</v>
      </c>
      <c r="B2959" s="60" t="str">
        <f t="shared" si="2120"/>
        <v>hide</v>
      </c>
      <c r="D2959" s="48" t="str">
        <f>D2958</f>
        <v>39636</v>
      </c>
      <c r="E2959" s="7"/>
      <c r="F2959" s="27">
        <v>0</v>
      </c>
      <c r="G2959" s="27">
        <v>0</v>
      </c>
      <c r="H2959" s="27">
        <v>0</v>
      </c>
      <c r="I2959" s="27">
        <v>0</v>
      </c>
      <c r="J2959" s="27">
        <v>0</v>
      </c>
      <c r="K2959" s="63">
        <f>AVERAGE(I2959:J2959)</f>
        <v>0</v>
      </c>
      <c r="L2959" s="56" t="str">
        <f>"EQP-LAWPACK1"</f>
        <v>EQP-LAWPACK1</v>
      </c>
      <c r="M2959" s="14"/>
      <c r="N2959" s="15"/>
      <c r="O2959" s="12"/>
      <c r="P2959" s="34"/>
      <c r="Q2959" s="37"/>
      <c r="R2959" s="47"/>
      <c r="S2959" s="46"/>
    </row>
    <row r="2960" spans="1:19" ht="15.6" hidden="1" customHeight="1" thickBot="1" x14ac:dyDescent="0.3">
      <c r="A2960" t="s">
        <v>23</v>
      </c>
      <c r="B2960" s="60" t="str">
        <f t="shared" ref="B2960:B2962" si="2123">IF(K2960=0,"hide","")</f>
        <v>hide</v>
      </c>
      <c r="D2960" s="48" t="str">
        <f>D2959</f>
        <v>39636</v>
      </c>
      <c r="E2960" s="7"/>
      <c r="F2960" s="27">
        <v>0</v>
      </c>
      <c r="G2960" s="27">
        <v>0</v>
      </c>
      <c r="H2960" s="27">
        <v>0</v>
      </c>
      <c r="I2960" s="27">
        <v>0</v>
      </c>
      <c r="J2960" s="27">
        <v>0</v>
      </c>
      <c r="K2960" s="63">
        <f>AVERAGE(I2960:J2960)</f>
        <v>0</v>
      </c>
      <c r="L2960" s="56" t="str">
        <f>"EQP-LAWPACK2"</f>
        <v>EQP-LAWPACK2</v>
      </c>
      <c r="M2960" s="14"/>
      <c r="N2960" s="15"/>
      <c r="O2960" s="12"/>
      <c r="P2960" s="34"/>
      <c r="Q2960" s="37"/>
      <c r="R2960" s="47"/>
      <c r="S2960" s="46"/>
    </row>
    <row r="2961" spans="1:19" ht="15.6" hidden="1" customHeight="1" thickBot="1" x14ac:dyDescent="0.3">
      <c r="A2961" t="s">
        <v>23</v>
      </c>
      <c r="B2961" s="60" t="str">
        <f t="shared" si="2123"/>
        <v>hide</v>
      </c>
      <c r="D2961" s="48" t="str">
        <f>D2960</f>
        <v>39636</v>
      </c>
      <c r="E2961" s="7"/>
      <c r="F2961" s="27">
        <v>0</v>
      </c>
      <c r="G2961" s="27">
        <v>0</v>
      </c>
      <c r="H2961" s="27">
        <v>0</v>
      </c>
      <c r="I2961" s="27">
        <v>0</v>
      </c>
      <c r="J2961" s="27">
        <v>0</v>
      </c>
      <c r="K2961" s="63">
        <f>AVERAGE(I2961:J2961)</f>
        <v>0</v>
      </c>
      <c r="L2961" s="56" t="str">
        <f>"SW-COMAS-PACKL"</f>
        <v>SW-COMAS-PACKL</v>
      </c>
      <c r="M2961" s="14"/>
      <c r="N2961" s="15"/>
      <c r="O2961" s="12"/>
      <c r="P2961" s="34"/>
      <c r="Q2961" s="37"/>
      <c r="R2961" s="47"/>
      <c r="S2961" s="46"/>
    </row>
    <row r="2962" spans="1:19" ht="15.6" hidden="1" customHeight="1" thickBot="1" x14ac:dyDescent="0.3">
      <c r="A2962" t="s">
        <v>23</v>
      </c>
      <c r="B2962" s="60" t="str">
        <f t="shared" si="2123"/>
        <v>hide</v>
      </c>
      <c r="D2962" s="48" t="str">
        <f>D2961</f>
        <v>39636</v>
      </c>
      <c r="E2962" s="7"/>
      <c r="F2962" s="27">
        <v>0</v>
      </c>
      <c r="G2962" s="27">
        <v>0</v>
      </c>
      <c r="H2962" s="27">
        <v>0</v>
      </c>
      <c r="I2962" s="27">
        <v>0</v>
      </c>
      <c r="J2962" s="27">
        <v>0</v>
      </c>
      <c r="K2962" s="63">
        <f>AVERAGE(I2962:J2962)</f>
        <v>0</v>
      </c>
      <c r="L2962" s="56" t="str">
        <f>"SW-RISER-PACK"</f>
        <v>SW-RISER-PACK</v>
      </c>
      <c r="M2962" s="14"/>
      <c r="N2962" s="15"/>
      <c r="O2962" s="12"/>
      <c r="P2962" s="34"/>
      <c r="Q2962" s="37"/>
      <c r="R2962" s="47"/>
      <c r="S2962" s="46"/>
    </row>
    <row r="2963" spans="1:19" ht="12" hidden="1" customHeight="1" x14ac:dyDescent="0.3">
      <c r="A2963" s="35" t="s">
        <v>908</v>
      </c>
      <c r="B2963" s="49" t="str">
        <f>B2959</f>
        <v>hide</v>
      </c>
      <c r="N2963"/>
      <c r="Q2963" s="33"/>
    </row>
    <row r="2964" spans="1:19" ht="13.8" hidden="1" thickBot="1" x14ac:dyDescent="0.3">
      <c r="A2964" t="s">
        <v>23</v>
      </c>
      <c r="B2964" s="49" t="str">
        <f t="shared" ref="B2964" si="2124">B2963</f>
        <v>hide</v>
      </c>
      <c r="D2964" s="58"/>
      <c r="E2964" s="58"/>
      <c r="F2964" s="52">
        <f>SUM(F2959:F2963)</f>
        <v>0</v>
      </c>
      <c r="G2964" s="52">
        <f>SUM(G2959:G2963)</f>
        <v>0</v>
      </c>
      <c r="H2964" s="52">
        <f>SUM(H2959:H2963)</f>
        <v>0</v>
      </c>
      <c r="I2964" s="52">
        <f>SUM(I2959:I2963)</f>
        <v>0</v>
      </c>
      <c r="J2964" s="52">
        <f>SUM(J2959:J2963)</f>
        <v>0</v>
      </c>
      <c r="K2964" s="52"/>
      <c r="L2964" s="51" t="s">
        <v>4</v>
      </c>
      <c r="M2964" s="58"/>
      <c r="N2964" s="58"/>
      <c r="O2964" s="58"/>
      <c r="P2964" s="58"/>
      <c r="Q2964" s="58"/>
      <c r="R2964" s="58"/>
      <c r="S2964" s="58"/>
    </row>
    <row r="2965" spans="1:19" s="59" customFormat="1" ht="18.75" customHeight="1" thickBot="1" x14ac:dyDescent="0.3">
      <c r="A2965" s="59" t="s">
        <v>23</v>
      </c>
      <c r="B2965" s="60" t="str">
        <f t="shared" ref="B2965:B2966" si="2125">IF(K2965=0,"hide","")</f>
        <v/>
      </c>
      <c r="D2965" s="61" t="str">
        <f>"40129"</f>
        <v>40129</v>
      </c>
      <c r="E2965" s="62" t="str">
        <f>"2"</f>
        <v>2</v>
      </c>
      <c r="F2965" s="63">
        <v>40.833333333333336</v>
      </c>
      <c r="G2965" s="63">
        <v>401.91666666666669</v>
      </c>
      <c r="H2965" s="63">
        <v>516.83333333333337</v>
      </c>
      <c r="I2965" s="63">
        <v>332</v>
      </c>
      <c r="J2965" s="63">
        <v>0</v>
      </c>
      <c r="K2965" s="63">
        <f>AVERAGE(I2965:J2965)</f>
        <v>166</v>
      </c>
      <c r="L2965" s="64" t="str">
        <f>"Angel Food Cake Muffins"</f>
        <v>Angel Food Cake Muffins</v>
      </c>
      <c r="M2965" s="65" t="str">
        <f>"48-1.75 oz. I.W"</f>
        <v>48-1.75 oz. I.W</v>
      </c>
      <c r="N2965" s="66">
        <v>48</v>
      </c>
      <c r="O2965" s="67" t="str">
        <f>""</f>
        <v/>
      </c>
      <c r="P2965" s="68" t="e">
        <f>1/O2965</f>
        <v>#VALUE!</v>
      </c>
      <c r="Q2965" s="53">
        <v>1</v>
      </c>
      <c r="R2965" s="69">
        <f t="shared" ref="R2965" si="2126">1/Q2965</f>
        <v>1</v>
      </c>
      <c r="S2965" s="70">
        <f t="shared" ref="S2965" si="2127">R2965*N2965</f>
        <v>48</v>
      </c>
    </row>
    <row r="2966" spans="1:19" ht="15.6" hidden="1" customHeight="1" thickBot="1" x14ac:dyDescent="0.3">
      <c r="A2966" t="s">
        <v>23</v>
      </c>
      <c r="B2966" s="60" t="str">
        <f t="shared" si="2125"/>
        <v>hide</v>
      </c>
      <c r="D2966" s="48" t="str">
        <f>D2965</f>
        <v>40129</v>
      </c>
      <c r="E2966" s="7"/>
      <c r="F2966" s="27">
        <v>0</v>
      </c>
      <c r="G2966" s="27">
        <v>0</v>
      </c>
      <c r="H2966" s="27">
        <v>0</v>
      </c>
      <c r="I2966" s="27">
        <v>0</v>
      </c>
      <c r="J2966" s="27">
        <v>0</v>
      </c>
      <c r="K2966" s="63">
        <f>AVERAGE(I2966:J2966)</f>
        <v>0</v>
      </c>
      <c r="L2966" s="56" t="str">
        <f>"EQP-LAWPACK1"</f>
        <v>EQP-LAWPACK1</v>
      </c>
      <c r="M2966" s="14"/>
      <c r="N2966" s="15"/>
      <c r="O2966" s="12"/>
      <c r="P2966" s="34"/>
      <c r="Q2966" s="37"/>
      <c r="R2966" s="47"/>
      <c r="S2966" s="46"/>
    </row>
    <row r="2967" spans="1:19" ht="15.6" hidden="1" customHeight="1" thickBot="1" x14ac:dyDescent="0.3">
      <c r="A2967" t="s">
        <v>23</v>
      </c>
      <c r="B2967" s="60" t="str">
        <f t="shared" ref="B2967:B2969" si="2128">IF(K2967=0,"hide","")</f>
        <v>hide</v>
      </c>
      <c r="D2967" s="48" t="str">
        <f>D2966</f>
        <v>40129</v>
      </c>
      <c r="E2967" s="7"/>
      <c r="F2967" s="27">
        <v>0</v>
      </c>
      <c r="G2967" s="27">
        <v>0</v>
      </c>
      <c r="H2967" s="27">
        <v>0</v>
      </c>
      <c r="I2967" s="27">
        <v>0</v>
      </c>
      <c r="J2967" s="27">
        <v>0</v>
      </c>
      <c r="K2967" s="63">
        <f>AVERAGE(I2967:J2967)</f>
        <v>0</v>
      </c>
      <c r="L2967" s="56" t="str">
        <f>"EQP-LAWPACK2"</f>
        <v>EQP-LAWPACK2</v>
      </c>
      <c r="M2967" s="14"/>
      <c r="N2967" s="15"/>
      <c r="O2967" s="12"/>
      <c r="P2967" s="34"/>
      <c r="Q2967" s="37"/>
      <c r="R2967" s="47"/>
      <c r="S2967" s="46"/>
    </row>
    <row r="2968" spans="1:19" ht="15.6" hidden="1" customHeight="1" thickBot="1" x14ac:dyDescent="0.3">
      <c r="A2968" t="s">
        <v>23</v>
      </c>
      <c r="B2968" s="60" t="str">
        <f t="shared" si="2128"/>
        <v>hide</v>
      </c>
      <c r="D2968" s="48" t="str">
        <f>D2967</f>
        <v>40129</v>
      </c>
      <c r="E2968" s="7"/>
      <c r="F2968" s="27">
        <v>0</v>
      </c>
      <c r="G2968" s="27">
        <v>0</v>
      </c>
      <c r="H2968" s="27">
        <v>0</v>
      </c>
      <c r="I2968" s="27">
        <v>0</v>
      </c>
      <c r="J2968" s="27">
        <v>0</v>
      </c>
      <c r="K2968" s="63">
        <f>AVERAGE(I2968:J2968)</f>
        <v>0</v>
      </c>
      <c r="L2968" s="56" t="str">
        <f>"SW-COMAS-PACKL"</f>
        <v>SW-COMAS-PACKL</v>
      </c>
      <c r="M2968" s="14"/>
      <c r="N2968" s="15"/>
      <c r="O2968" s="12"/>
      <c r="P2968" s="34"/>
      <c r="Q2968" s="37"/>
      <c r="R2968" s="47"/>
      <c r="S2968" s="46"/>
    </row>
    <row r="2969" spans="1:19" ht="15.6" hidden="1" customHeight="1" thickBot="1" x14ac:dyDescent="0.3">
      <c r="A2969" t="s">
        <v>23</v>
      </c>
      <c r="B2969" s="60" t="str">
        <f t="shared" si="2128"/>
        <v>hide</v>
      </c>
      <c r="D2969" s="48" t="str">
        <f>D2968</f>
        <v>40129</v>
      </c>
      <c r="E2969" s="7"/>
      <c r="F2969" s="27">
        <v>0</v>
      </c>
      <c r="G2969" s="27">
        <v>0</v>
      </c>
      <c r="H2969" s="27">
        <v>0</v>
      </c>
      <c r="I2969" s="27">
        <v>0</v>
      </c>
      <c r="J2969" s="27">
        <v>0</v>
      </c>
      <c r="K2969" s="63">
        <f>AVERAGE(I2969:J2969)</f>
        <v>0</v>
      </c>
      <c r="L2969" s="56" t="str">
        <f>"SW-RISER-PACK"</f>
        <v>SW-RISER-PACK</v>
      </c>
      <c r="M2969" s="14"/>
      <c r="N2969" s="15"/>
      <c r="O2969" s="12"/>
      <c r="P2969" s="34"/>
      <c r="Q2969" s="37"/>
      <c r="R2969" s="47"/>
      <c r="S2969" s="46"/>
    </row>
    <row r="2970" spans="1:19" ht="12" hidden="1" customHeight="1" x14ac:dyDescent="0.3">
      <c r="A2970" s="35" t="s">
        <v>908</v>
      </c>
      <c r="B2970" s="49" t="str">
        <f>B2966</f>
        <v>hide</v>
      </c>
      <c r="N2970"/>
      <c r="Q2970" s="33"/>
    </row>
    <row r="2971" spans="1:19" ht="13.8" hidden="1" thickBot="1" x14ac:dyDescent="0.3">
      <c r="A2971" t="s">
        <v>23</v>
      </c>
      <c r="B2971" s="49" t="str">
        <f t="shared" ref="B2971" si="2129">B2970</f>
        <v>hide</v>
      </c>
      <c r="D2971" s="58"/>
      <c r="E2971" s="58"/>
      <c r="F2971" s="52">
        <f>SUM(F2966:F2970)</f>
        <v>0</v>
      </c>
      <c r="G2971" s="52">
        <f>SUM(G2966:G2970)</f>
        <v>0</v>
      </c>
      <c r="H2971" s="52">
        <f>SUM(H2966:H2970)</f>
        <v>0</v>
      </c>
      <c r="I2971" s="52">
        <f>SUM(I2966:I2970)</f>
        <v>0</v>
      </c>
      <c r="J2971" s="52">
        <f>SUM(J2966:J2970)</f>
        <v>0</v>
      </c>
      <c r="K2971" s="52"/>
      <c r="L2971" s="51" t="s">
        <v>4</v>
      </c>
      <c r="M2971" s="58"/>
      <c r="N2971" s="58"/>
      <c r="O2971" s="58"/>
      <c r="P2971" s="58"/>
      <c r="Q2971" s="58"/>
      <c r="R2971" s="58"/>
      <c r="S2971" s="58"/>
    </row>
    <row r="2972" spans="1:19" s="59" customFormat="1" ht="18.75" hidden="1" customHeight="1" thickBot="1" x14ac:dyDescent="0.3">
      <c r="A2972" s="59" t="s">
        <v>23</v>
      </c>
      <c r="B2972" s="60" t="str">
        <f t="shared" ref="B2972:B2973" si="2130">IF(K2972=0,"hide","")</f>
        <v>hide</v>
      </c>
      <c r="D2972" s="61" t="str">
        <f>"40966"</f>
        <v>40966</v>
      </c>
      <c r="E2972" s="62" t="str">
        <f>"4"</f>
        <v>4</v>
      </c>
      <c r="F2972" s="63">
        <v>0</v>
      </c>
      <c r="G2972" s="63">
        <v>0</v>
      </c>
      <c r="H2972" s="63">
        <v>0</v>
      </c>
      <c r="I2972" s="63">
        <v>0</v>
      </c>
      <c r="J2972" s="63">
        <v>0</v>
      </c>
      <c r="K2972" s="63">
        <f>AVERAGE(I2972:J2972)</f>
        <v>0</v>
      </c>
      <c r="L2972" s="64" t="str">
        <f>"314 Muffin, Apple Spice, IW"</f>
        <v>314 Muffin, Apple Spice, IW</v>
      </c>
      <c r="M2972" s="65" t="str">
        <f>"84/2.5 oz"</f>
        <v>84/2.5 oz</v>
      </c>
      <c r="N2972" s="66">
        <v>84</v>
      </c>
      <c r="O2972" s="67" t="str">
        <f>""</f>
        <v/>
      </c>
      <c r="P2972" s="68" t="e">
        <f>1/O2972</f>
        <v>#VALUE!</v>
      </c>
      <c r="Q2972" s="53">
        <v>1</v>
      </c>
      <c r="R2972" s="69">
        <f t="shared" ref="R2972" si="2131">1/Q2972</f>
        <v>1</v>
      </c>
      <c r="S2972" s="70">
        <f t="shared" ref="S2972" si="2132">R2972*N2972</f>
        <v>84</v>
      </c>
    </row>
    <row r="2973" spans="1:19" ht="15.6" hidden="1" customHeight="1" thickBot="1" x14ac:dyDescent="0.3">
      <c r="A2973" t="s">
        <v>23</v>
      </c>
      <c r="B2973" s="60" t="str">
        <f t="shared" si="2130"/>
        <v>hide</v>
      </c>
      <c r="D2973" s="48" t="str">
        <f>D2972</f>
        <v>40966</v>
      </c>
      <c r="E2973" s="7"/>
      <c r="F2973" s="27">
        <v>0</v>
      </c>
      <c r="G2973" s="27">
        <v>0</v>
      </c>
      <c r="H2973" s="27">
        <v>0</v>
      </c>
      <c r="I2973" s="27">
        <v>0</v>
      </c>
      <c r="J2973" s="27">
        <v>0</v>
      </c>
      <c r="K2973" s="63">
        <f>AVERAGE(I2973:J2973)</f>
        <v>0</v>
      </c>
      <c r="L2973" s="56" t="str">
        <f>"EQP-LAWPACK1"</f>
        <v>EQP-LAWPACK1</v>
      </c>
      <c r="M2973" s="14"/>
      <c r="N2973" s="15"/>
      <c r="O2973" s="12"/>
      <c r="P2973" s="34"/>
      <c r="Q2973" s="37"/>
      <c r="R2973" s="47"/>
      <c r="S2973" s="46"/>
    </row>
    <row r="2974" spans="1:19" ht="15.6" hidden="1" customHeight="1" thickBot="1" x14ac:dyDescent="0.3">
      <c r="A2974" t="s">
        <v>23</v>
      </c>
      <c r="B2974" s="60" t="str">
        <f t="shared" ref="B2974:B2976" si="2133">IF(K2974=0,"hide","")</f>
        <v>hide</v>
      </c>
      <c r="D2974" s="48" t="str">
        <f>D2973</f>
        <v>40966</v>
      </c>
      <c r="E2974" s="7"/>
      <c r="F2974" s="27">
        <v>0</v>
      </c>
      <c r="G2974" s="27">
        <v>0</v>
      </c>
      <c r="H2974" s="27">
        <v>0</v>
      </c>
      <c r="I2974" s="27">
        <v>0</v>
      </c>
      <c r="J2974" s="27">
        <v>0</v>
      </c>
      <c r="K2974" s="63">
        <f>AVERAGE(I2974:J2974)</f>
        <v>0</v>
      </c>
      <c r="L2974" s="56" t="str">
        <f>"EQP-LAWPACK2"</f>
        <v>EQP-LAWPACK2</v>
      </c>
      <c r="M2974" s="14"/>
      <c r="N2974" s="15"/>
      <c r="O2974" s="12"/>
      <c r="P2974" s="34"/>
      <c r="Q2974" s="37"/>
      <c r="R2974" s="47"/>
      <c r="S2974" s="46"/>
    </row>
    <row r="2975" spans="1:19" ht="15.6" hidden="1" customHeight="1" thickBot="1" x14ac:dyDescent="0.3">
      <c r="A2975" t="s">
        <v>23</v>
      </c>
      <c r="B2975" s="60" t="str">
        <f t="shared" si="2133"/>
        <v>hide</v>
      </c>
      <c r="D2975" s="48" t="str">
        <f>D2974</f>
        <v>40966</v>
      </c>
      <c r="E2975" s="7"/>
      <c r="F2975" s="27">
        <v>0</v>
      </c>
      <c r="G2975" s="27">
        <v>0</v>
      </c>
      <c r="H2975" s="27">
        <v>0</v>
      </c>
      <c r="I2975" s="27">
        <v>0</v>
      </c>
      <c r="J2975" s="27">
        <v>0</v>
      </c>
      <c r="K2975" s="63">
        <f>AVERAGE(I2975:J2975)</f>
        <v>0</v>
      </c>
      <c r="L2975" s="56" t="str">
        <f>"SW-COMAS-PACKL"</f>
        <v>SW-COMAS-PACKL</v>
      </c>
      <c r="M2975" s="14"/>
      <c r="N2975" s="15"/>
      <c r="O2975" s="12"/>
      <c r="P2975" s="34"/>
      <c r="Q2975" s="37"/>
      <c r="R2975" s="47"/>
      <c r="S2975" s="46"/>
    </row>
    <row r="2976" spans="1:19" ht="15.6" hidden="1" customHeight="1" thickBot="1" x14ac:dyDescent="0.3">
      <c r="A2976" t="s">
        <v>23</v>
      </c>
      <c r="B2976" s="60" t="str">
        <f t="shared" si="2133"/>
        <v>hide</v>
      </c>
      <c r="D2976" s="48" t="str">
        <f>D2975</f>
        <v>40966</v>
      </c>
      <c r="E2976" s="7"/>
      <c r="F2976" s="27">
        <v>0</v>
      </c>
      <c r="G2976" s="27">
        <v>0</v>
      </c>
      <c r="H2976" s="27">
        <v>0</v>
      </c>
      <c r="I2976" s="27">
        <v>0</v>
      </c>
      <c r="J2976" s="27">
        <v>0</v>
      </c>
      <c r="K2976" s="63">
        <f>AVERAGE(I2976:J2976)</f>
        <v>0</v>
      </c>
      <c r="L2976" s="56" t="str">
        <f>"SW-RISER-PACK"</f>
        <v>SW-RISER-PACK</v>
      </c>
      <c r="M2976" s="14"/>
      <c r="N2976" s="15"/>
      <c r="O2976" s="12"/>
      <c r="P2976" s="34"/>
      <c r="Q2976" s="37"/>
      <c r="R2976" s="47"/>
      <c r="S2976" s="46"/>
    </row>
    <row r="2977" spans="1:19" ht="12" hidden="1" customHeight="1" x14ac:dyDescent="0.3">
      <c r="A2977" s="35" t="s">
        <v>908</v>
      </c>
      <c r="B2977" s="49" t="str">
        <f>B2973</f>
        <v>hide</v>
      </c>
      <c r="N2977"/>
      <c r="Q2977" s="33"/>
    </row>
    <row r="2978" spans="1:19" ht="13.8" hidden="1" thickBot="1" x14ac:dyDescent="0.3">
      <c r="A2978" t="s">
        <v>23</v>
      </c>
      <c r="B2978" s="49" t="str">
        <f t="shared" ref="B2978" si="2134">B2977</f>
        <v>hide</v>
      </c>
      <c r="D2978" s="58"/>
      <c r="E2978" s="58"/>
      <c r="F2978" s="52">
        <f>SUM(F2973:F2977)</f>
        <v>0</v>
      </c>
      <c r="G2978" s="52">
        <f>SUM(G2973:G2977)</f>
        <v>0</v>
      </c>
      <c r="H2978" s="52">
        <f>SUM(H2973:H2977)</f>
        <v>0</v>
      </c>
      <c r="I2978" s="52">
        <f>SUM(I2973:I2977)</f>
        <v>0</v>
      </c>
      <c r="J2978" s="52">
        <f>SUM(J2973:J2977)</f>
        <v>0</v>
      </c>
      <c r="K2978" s="52"/>
      <c r="L2978" s="51" t="s">
        <v>4</v>
      </c>
      <c r="M2978" s="58"/>
      <c r="N2978" s="58"/>
      <c r="O2978" s="58"/>
      <c r="P2978" s="58"/>
      <c r="Q2978" s="58"/>
      <c r="R2978" s="58"/>
      <c r="S2978" s="58"/>
    </row>
    <row r="2979" spans="1:19" s="59" customFormat="1" ht="18.75" customHeight="1" thickBot="1" x14ac:dyDescent="0.3">
      <c r="A2979" s="59" t="s">
        <v>23</v>
      </c>
      <c r="B2979" s="60" t="str">
        <f t="shared" ref="B2979:B2980" si="2135">IF(K2979=0,"hide","")</f>
        <v/>
      </c>
      <c r="D2979" s="61" t="str">
        <f>"41401"</f>
        <v>41401</v>
      </c>
      <c r="E2979" s="62" t="str">
        <f>"4"</f>
        <v>4</v>
      </c>
      <c r="F2979" s="63">
        <v>331.91666666666663</v>
      </c>
      <c r="G2979" s="63">
        <v>335.16666666666663</v>
      </c>
      <c r="H2979" s="63">
        <v>591.16666666666663</v>
      </c>
      <c r="I2979" s="63">
        <v>859.25</v>
      </c>
      <c r="J2979" s="63">
        <v>319.82409638554219</v>
      </c>
      <c r="K2979" s="63">
        <f>AVERAGE(I2979:J2979)</f>
        <v>589.53704819277107</v>
      </c>
      <c r="L2979" s="64" t="str">
        <f>"Blueberry Mufifn TOPS"</f>
        <v>Blueberry Mufifn TOPS</v>
      </c>
      <c r="M2979" s="65" t="str">
        <f>"96-2 oz. 12pks of 8 w/labels"</f>
        <v>96-2 oz. 12pks of 8 w/labels</v>
      </c>
      <c r="N2979" s="66">
        <v>96</v>
      </c>
      <c r="O2979" s="67">
        <v>0</v>
      </c>
      <c r="P2979" s="68" t="e">
        <f>1/O2979</f>
        <v>#DIV/0!</v>
      </c>
      <c r="Q2979" s="53">
        <v>0</v>
      </c>
      <c r="R2979" s="69" t="e">
        <f t="shared" ref="R2979" si="2136">1/Q2979</f>
        <v>#DIV/0!</v>
      </c>
      <c r="S2979" s="70" t="e">
        <f t="shared" ref="S2979" si="2137">R2979*N2979</f>
        <v>#DIV/0!</v>
      </c>
    </row>
    <row r="2980" spans="1:19" ht="15.6" hidden="1" customHeight="1" thickBot="1" x14ac:dyDescent="0.3">
      <c r="A2980" t="s">
        <v>23</v>
      </c>
      <c r="B2980" s="60" t="str">
        <f t="shared" si="2135"/>
        <v>hide</v>
      </c>
      <c r="D2980" s="48" t="str">
        <f>D2979</f>
        <v>41401</v>
      </c>
      <c r="E2980" s="7"/>
      <c r="F2980" s="27">
        <v>-107.34583333333332</v>
      </c>
      <c r="G2980" s="27">
        <v>0</v>
      </c>
      <c r="H2980" s="27">
        <v>0</v>
      </c>
      <c r="I2980" s="27">
        <v>0</v>
      </c>
      <c r="J2980" s="27">
        <v>0</v>
      </c>
      <c r="K2980" s="63">
        <f>AVERAGE(I2980:J2980)</f>
        <v>0</v>
      </c>
      <c r="L2980" s="56" t="str">
        <f>"EQP-LAWPACK1"</f>
        <v>EQP-LAWPACK1</v>
      </c>
      <c r="M2980" s="14"/>
      <c r="N2980" s="15"/>
      <c r="O2980" s="12"/>
      <c r="P2980" s="34"/>
      <c r="Q2980" s="37"/>
      <c r="R2980" s="47"/>
      <c r="S2980" s="46"/>
    </row>
    <row r="2981" spans="1:19" ht="15.6" hidden="1" customHeight="1" thickBot="1" x14ac:dyDescent="0.3">
      <c r="A2981" t="s">
        <v>23</v>
      </c>
      <c r="B2981" s="60" t="str">
        <f t="shared" ref="B2981:B2983" si="2138">IF(K2981=0,"hide","")</f>
        <v>hide</v>
      </c>
      <c r="D2981" s="48" t="str">
        <f>D2980</f>
        <v>41401</v>
      </c>
      <c r="E2981" s="7"/>
      <c r="F2981" s="27">
        <v>0</v>
      </c>
      <c r="G2981" s="27">
        <v>0</v>
      </c>
      <c r="H2981" s="27">
        <v>0</v>
      </c>
      <c r="I2981" s="27">
        <v>0</v>
      </c>
      <c r="J2981" s="27">
        <v>0</v>
      </c>
      <c r="K2981" s="63">
        <f>AVERAGE(I2981:J2981)</f>
        <v>0</v>
      </c>
      <c r="L2981" s="56" t="str">
        <f>"EQP-LAWPACK2"</f>
        <v>EQP-LAWPACK2</v>
      </c>
      <c r="M2981" s="14"/>
      <c r="N2981" s="15"/>
      <c r="O2981" s="12"/>
      <c r="P2981" s="34"/>
      <c r="Q2981" s="37"/>
      <c r="R2981" s="47"/>
      <c r="S2981" s="46"/>
    </row>
    <row r="2982" spans="1:19" ht="15.6" hidden="1" customHeight="1" thickBot="1" x14ac:dyDescent="0.3">
      <c r="A2982" t="s">
        <v>23</v>
      </c>
      <c r="B2982" s="60" t="str">
        <f t="shared" si="2138"/>
        <v>hide</v>
      </c>
      <c r="D2982" s="48" t="str">
        <f>D2981</f>
        <v>41401</v>
      </c>
      <c r="E2982" s="7"/>
      <c r="F2982" s="27">
        <v>0</v>
      </c>
      <c r="G2982" s="27">
        <v>0</v>
      </c>
      <c r="H2982" s="27">
        <v>0</v>
      </c>
      <c r="I2982" s="27">
        <v>0</v>
      </c>
      <c r="J2982" s="27">
        <v>0</v>
      </c>
      <c r="K2982" s="63">
        <f>AVERAGE(I2982:J2982)</f>
        <v>0</v>
      </c>
      <c r="L2982" s="56" t="str">
        <f>"SW-COMAS-PACKL"</f>
        <v>SW-COMAS-PACKL</v>
      </c>
      <c r="M2982" s="14"/>
      <c r="N2982" s="15"/>
      <c r="O2982" s="12"/>
      <c r="P2982" s="34"/>
      <c r="Q2982" s="37"/>
      <c r="R2982" s="47"/>
      <c r="S2982" s="46"/>
    </row>
    <row r="2983" spans="1:19" ht="15.6" hidden="1" customHeight="1" thickBot="1" x14ac:dyDescent="0.3">
      <c r="A2983" t="s">
        <v>23</v>
      </c>
      <c r="B2983" s="60" t="str">
        <f t="shared" si="2138"/>
        <v>hide</v>
      </c>
      <c r="D2983" s="48" t="str">
        <f>D2982</f>
        <v>41401</v>
      </c>
      <c r="E2983" s="7"/>
      <c r="F2983" s="27">
        <v>0</v>
      </c>
      <c r="G2983" s="27">
        <v>0</v>
      </c>
      <c r="H2983" s="27">
        <v>0</v>
      </c>
      <c r="I2983" s="27">
        <v>0</v>
      </c>
      <c r="J2983" s="27">
        <v>0</v>
      </c>
      <c r="K2983" s="63">
        <f>AVERAGE(I2983:J2983)</f>
        <v>0</v>
      </c>
      <c r="L2983" s="56" t="str">
        <f>"SW-RISER-PACK"</f>
        <v>SW-RISER-PACK</v>
      </c>
      <c r="M2983" s="14"/>
      <c r="N2983" s="15"/>
      <c r="O2983" s="12"/>
      <c r="P2983" s="34"/>
      <c r="Q2983" s="37"/>
      <c r="R2983" s="47"/>
      <c r="S2983" s="46"/>
    </row>
    <row r="2984" spans="1:19" ht="12" hidden="1" customHeight="1" x14ac:dyDescent="0.3">
      <c r="A2984" s="35" t="s">
        <v>908</v>
      </c>
      <c r="B2984" s="49" t="str">
        <f>B2980</f>
        <v>hide</v>
      </c>
      <c r="N2984"/>
      <c r="Q2984" s="33"/>
    </row>
    <row r="2985" spans="1:19" ht="13.8" hidden="1" thickBot="1" x14ac:dyDescent="0.3">
      <c r="A2985" t="s">
        <v>23</v>
      </c>
      <c r="B2985" s="49" t="str">
        <f t="shared" ref="B2985" si="2139">B2984</f>
        <v>hide</v>
      </c>
      <c r="D2985" s="58"/>
      <c r="E2985" s="58"/>
      <c r="F2985" s="52">
        <f>SUM(F2980:F2984)</f>
        <v>-107.34583333333332</v>
      </c>
      <c r="G2985" s="52">
        <f>SUM(G2980:G2984)</f>
        <v>0</v>
      </c>
      <c r="H2985" s="52">
        <f>SUM(H2980:H2984)</f>
        <v>0</v>
      </c>
      <c r="I2985" s="52">
        <f>SUM(I2980:I2984)</f>
        <v>0</v>
      </c>
      <c r="J2985" s="52">
        <f>SUM(J2980:J2984)</f>
        <v>0</v>
      </c>
      <c r="K2985" s="52"/>
      <c r="L2985" s="51" t="s">
        <v>4</v>
      </c>
      <c r="M2985" s="58"/>
      <c r="N2985" s="58"/>
      <c r="O2985" s="58"/>
      <c r="P2985" s="58"/>
      <c r="Q2985" s="58"/>
      <c r="R2985" s="58"/>
      <c r="S2985" s="58"/>
    </row>
    <row r="2986" spans="1:19" s="59" customFormat="1" ht="18.75" customHeight="1" thickBot="1" x14ac:dyDescent="0.3">
      <c r="A2986" s="59" t="s">
        <v>23</v>
      </c>
      <c r="B2986" s="60" t="str">
        <f t="shared" ref="B2986:B2987" si="2140">IF(K2986=0,"hide","")</f>
        <v/>
      </c>
      <c r="D2986" s="61" t="str">
        <f>"41405"</f>
        <v>41405</v>
      </c>
      <c r="E2986" s="62" t="str">
        <f>"4"</f>
        <v>4</v>
      </c>
      <c r="F2986" s="63">
        <v>190.41666666666666</v>
      </c>
      <c r="G2986" s="63">
        <v>227.08333333333334</v>
      </c>
      <c r="H2986" s="63">
        <v>548.41666666666663</v>
      </c>
      <c r="I2986" s="63">
        <v>1015.4999999999999</v>
      </c>
      <c r="J2986" s="63">
        <v>450.0722891566266</v>
      </c>
      <c r="K2986" s="63">
        <f>AVERAGE(I2986:J2986)</f>
        <v>732.78614457831327</v>
      </c>
      <c r="L2986" s="64" t="str">
        <f>"Corn Muffin TOPS"</f>
        <v>Corn Muffin TOPS</v>
      </c>
      <c r="M2986" s="65" t="str">
        <f>"96-2 oz. 12pks of 8 w/labels"</f>
        <v>96-2 oz. 12pks of 8 w/labels</v>
      </c>
      <c r="N2986" s="66">
        <v>96</v>
      </c>
      <c r="O2986" s="67" t="str">
        <f>""</f>
        <v/>
      </c>
      <c r="P2986" s="68" t="e">
        <f>1/O2986</f>
        <v>#VALUE!</v>
      </c>
      <c r="Q2986" s="53">
        <v>1</v>
      </c>
      <c r="R2986" s="69">
        <f t="shared" ref="R2986" si="2141">1/Q2986</f>
        <v>1</v>
      </c>
      <c r="S2986" s="70">
        <f t="shared" ref="S2986" si="2142">R2986*N2986</f>
        <v>96</v>
      </c>
    </row>
    <row r="2987" spans="1:19" ht="15.6" hidden="1" customHeight="1" thickBot="1" x14ac:dyDescent="0.3">
      <c r="A2987" t="s">
        <v>23</v>
      </c>
      <c r="B2987" s="60" t="str">
        <f t="shared" si="2140"/>
        <v>hide</v>
      </c>
      <c r="D2987" s="48" t="str">
        <f>D2986</f>
        <v>41405</v>
      </c>
      <c r="E2987" s="7"/>
      <c r="F2987" s="27">
        <v>-60.164999999999999</v>
      </c>
      <c r="G2987" s="27">
        <v>0</v>
      </c>
      <c r="H2987" s="27">
        <v>0</v>
      </c>
      <c r="I2987" s="27">
        <v>0</v>
      </c>
      <c r="J2987" s="27">
        <v>0</v>
      </c>
      <c r="K2987" s="63">
        <f>AVERAGE(I2987:J2987)</f>
        <v>0</v>
      </c>
      <c r="L2987" s="56" t="str">
        <f>"EQP-LAWPACK1"</f>
        <v>EQP-LAWPACK1</v>
      </c>
      <c r="M2987" s="14"/>
      <c r="N2987" s="15"/>
      <c r="O2987" s="12"/>
      <c r="P2987" s="34"/>
      <c r="Q2987" s="37"/>
      <c r="R2987" s="47"/>
      <c r="S2987" s="46"/>
    </row>
    <row r="2988" spans="1:19" ht="15.6" hidden="1" customHeight="1" thickBot="1" x14ac:dyDescent="0.3">
      <c r="A2988" t="s">
        <v>23</v>
      </c>
      <c r="B2988" s="60" t="str">
        <f t="shared" ref="B2988:B2990" si="2143">IF(K2988=0,"hide","")</f>
        <v>hide</v>
      </c>
      <c r="D2988" s="48" t="str">
        <f>D2987</f>
        <v>41405</v>
      </c>
      <c r="E2988" s="7"/>
      <c r="F2988" s="27">
        <v>0</v>
      </c>
      <c r="G2988" s="27">
        <v>0</v>
      </c>
      <c r="H2988" s="27">
        <v>0</v>
      </c>
      <c r="I2988" s="27">
        <v>0</v>
      </c>
      <c r="J2988" s="27">
        <v>0</v>
      </c>
      <c r="K2988" s="63">
        <f>AVERAGE(I2988:J2988)</f>
        <v>0</v>
      </c>
      <c r="L2988" s="56" t="str">
        <f>"EQP-LAWPACK2"</f>
        <v>EQP-LAWPACK2</v>
      </c>
      <c r="M2988" s="14"/>
      <c r="N2988" s="15"/>
      <c r="O2988" s="12"/>
      <c r="P2988" s="34"/>
      <c r="Q2988" s="37"/>
      <c r="R2988" s="47"/>
      <c r="S2988" s="46"/>
    </row>
    <row r="2989" spans="1:19" ht="15.6" hidden="1" customHeight="1" thickBot="1" x14ac:dyDescent="0.3">
      <c r="A2989" t="s">
        <v>23</v>
      </c>
      <c r="B2989" s="60" t="str">
        <f t="shared" si="2143"/>
        <v>hide</v>
      </c>
      <c r="D2989" s="48" t="str">
        <f>D2988</f>
        <v>41405</v>
      </c>
      <c r="E2989" s="7"/>
      <c r="F2989" s="27">
        <v>0</v>
      </c>
      <c r="G2989" s="27">
        <v>0</v>
      </c>
      <c r="H2989" s="27">
        <v>0</v>
      </c>
      <c r="I2989" s="27">
        <v>0</v>
      </c>
      <c r="J2989" s="27">
        <v>0</v>
      </c>
      <c r="K2989" s="63">
        <f>AVERAGE(I2989:J2989)</f>
        <v>0</v>
      </c>
      <c r="L2989" s="56" t="str">
        <f>"SW-COMAS-PACKL"</f>
        <v>SW-COMAS-PACKL</v>
      </c>
      <c r="M2989" s="14"/>
      <c r="N2989" s="15"/>
      <c r="O2989" s="12"/>
      <c r="P2989" s="34"/>
      <c r="Q2989" s="37"/>
      <c r="R2989" s="47"/>
      <c r="S2989" s="46"/>
    </row>
    <row r="2990" spans="1:19" ht="15.6" hidden="1" customHeight="1" thickBot="1" x14ac:dyDescent="0.3">
      <c r="A2990" t="s">
        <v>23</v>
      </c>
      <c r="B2990" s="60" t="str">
        <f t="shared" si="2143"/>
        <v>hide</v>
      </c>
      <c r="D2990" s="48" t="str">
        <f>D2989</f>
        <v>41405</v>
      </c>
      <c r="E2990" s="7"/>
      <c r="F2990" s="27">
        <v>0</v>
      </c>
      <c r="G2990" s="27">
        <v>0</v>
      </c>
      <c r="H2990" s="27">
        <v>0</v>
      </c>
      <c r="I2990" s="27">
        <v>0</v>
      </c>
      <c r="J2990" s="27">
        <v>0</v>
      </c>
      <c r="K2990" s="63">
        <f>AVERAGE(I2990:J2990)</f>
        <v>0</v>
      </c>
      <c r="L2990" s="56" t="str">
        <f>"SW-RISER-PACK"</f>
        <v>SW-RISER-PACK</v>
      </c>
      <c r="M2990" s="14"/>
      <c r="N2990" s="15"/>
      <c r="O2990" s="12"/>
      <c r="P2990" s="34"/>
      <c r="Q2990" s="37"/>
      <c r="R2990" s="47"/>
      <c r="S2990" s="46"/>
    </row>
    <row r="2991" spans="1:19" ht="12" hidden="1" customHeight="1" x14ac:dyDescent="0.3">
      <c r="A2991" s="35" t="s">
        <v>908</v>
      </c>
      <c r="B2991" s="49" t="str">
        <f>B2987</f>
        <v>hide</v>
      </c>
      <c r="N2991"/>
      <c r="Q2991" s="33"/>
    </row>
    <row r="2992" spans="1:19" ht="13.8" hidden="1" thickBot="1" x14ac:dyDescent="0.3">
      <c r="A2992" t="s">
        <v>23</v>
      </c>
      <c r="B2992" s="49" t="str">
        <f t="shared" ref="B2992" si="2144">B2991</f>
        <v>hide</v>
      </c>
      <c r="D2992" s="58"/>
      <c r="E2992" s="58"/>
      <c r="F2992" s="52">
        <f>SUM(F2987:F2991)</f>
        <v>-60.164999999999999</v>
      </c>
      <c r="G2992" s="52">
        <f>SUM(G2987:G2991)</f>
        <v>0</v>
      </c>
      <c r="H2992" s="52">
        <f>SUM(H2987:H2991)</f>
        <v>0</v>
      </c>
      <c r="I2992" s="52">
        <f>SUM(I2987:I2991)</f>
        <v>0</v>
      </c>
      <c r="J2992" s="52">
        <f>SUM(J2987:J2991)</f>
        <v>0</v>
      </c>
      <c r="K2992" s="52"/>
      <c r="L2992" s="51" t="s">
        <v>4</v>
      </c>
      <c r="M2992" s="58"/>
      <c r="N2992" s="58"/>
      <c r="O2992" s="58"/>
      <c r="P2992" s="58"/>
      <c r="Q2992" s="58"/>
      <c r="R2992" s="58"/>
      <c r="S2992" s="58"/>
    </row>
    <row r="2993" spans="1:19" s="59" customFormat="1" ht="18.75" customHeight="1" thickBot="1" x14ac:dyDescent="0.3">
      <c r="A2993" s="59" t="s">
        <v>23</v>
      </c>
      <c r="B2993" s="60" t="str">
        <f t="shared" ref="B2993:B2994" si="2145">IF(K2993=0,"hide","")</f>
        <v/>
      </c>
      <c r="D2993" s="61" t="str">
        <f>"41410"</f>
        <v>41410</v>
      </c>
      <c r="E2993" s="62" t="str">
        <f>"4"</f>
        <v>4</v>
      </c>
      <c r="F2993" s="63">
        <v>292.41666666666669</v>
      </c>
      <c r="G2993" s="63">
        <v>201.25</v>
      </c>
      <c r="H2993" s="63">
        <v>395.75</v>
      </c>
      <c r="I2993" s="63">
        <v>751.41666666666663</v>
      </c>
      <c r="J2993" s="63">
        <v>255.17734939759038</v>
      </c>
      <c r="K2993" s="63">
        <f>AVERAGE(I2993:J2993)</f>
        <v>503.29700803212847</v>
      </c>
      <c r="L2993" s="64" t="str">
        <f>"Chocolate Chip Muffin TOPS"</f>
        <v>Chocolate Chip Muffin TOPS</v>
      </c>
      <c r="M2993" s="65" t="str">
        <f>"96-2 oz. 12pks of 8 w/labels"</f>
        <v>96-2 oz. 12pks of 8 w/labels</v>
      </c>
      <c r="N2993" s="66">
        <v>96</v>
      </c>
      <c r="O2993" s="67" t="str">
        <f>""</f>
        <v/>
      </c>
      <c r="P2993" s="68" t="e">
        <f>1/O2993</f>
        <v>#VALUE!</v>
      </c>
      <c r="Q2993" s="53">
        <v>1</v>
      </c>
      <c r="R2993" s="69">
        <f t="shared" ref="R2993" si="2146">1/Q2993</f>
        <v>1</v>
      </c>
      <c r="S2993" s="70">
        <f t="shared" ref="S2993" si="2147">R2993*N2993</f>
        <v>96</v>
      </c>
    </row>
    <row r="2994" spans="1:19" ht="15.6" hidden="1" customHeight="1" thickBot="1" x14ac:dyDescent="0.3">
      <c r="A2994" t="s">
        <v>23</v>
      </c>
      <c r="B2994" s="60" t="str">
        <f t="shared" si="2145"/>
        <v>hide</v>
      </c>
      <c r="D2994" s="48" t="str">
        <f>D2993</f>
        <v>41410</v>
      </c>
      <c r="E2994" s="7"/>
      <c r="F2994" s="27">
        <v>-120.24166666666666</v>
      </c>
      <c r="G2994" s="27">
        <v>0</v>
      </c>
      <c r="H2994" s="27">
        <v>0</v>
      </c>
      <c r="I2994" s="27">
        <v>0</v>
      </c>
      <c r="J2994" s="27">
        <v>0</v>
      </c>
      <c r="K2994" s="63">
        <f>AVERAGE(I2994:J2994)</f>
        <v>0</v>
      </c>
      <c r="L2994" s="56" t="str">
        <f>"EQP-LAWPACK1"</f>
        <v>EQP-LAWPACK1</v>
      </c>
      <c r="M2994" s="14"/>
      <c r="N2994" s="15"/>
      <c r="O2994" s="12"/>
      <c r="P2994" s="34"/>
      <c r="Q2994" s="37"/>
      <c r="R2994" s="47"/>
      <c r="S2994" s="46"/>
    </row>
    <row r="2995" spans="1:19" ht="15.6" hidden="1" customHeight="1" thickBot="1" x14ac:dyDescent="0.3">
      <c r="A2995" t="s">
        <v>23</v>
      </c>
      <c r="B2995" s="60" t="str">
        <f t="shared" ref="B2995:B2997" si="2148">IF(K2995=0,"hide","")</f>
        <v>hide</v>
      </c>
      <c r="D2995" s="48" t="str">
        <f>D2994</f>
        <v>41410</v>
      </c>
      <c r="E2995" s="7"/>
      <c r="F2995" s="27">
        <v>0</v>
      </c>
      <c r="G2995" s="27">
        <v>0</v>
      </c>
      <c r="H2995" s="27">
        <v>0</v>
      </c>
      <c r="I2995" s="27">
        <v>0</v>
      </c>
      <c r="J2995" s="27">
        <v>0</v>
      </c>
      <c r="K2995" s="63">
        <f>AVERAGE(I2995:J2995)</f>
        <v>0</v>
      </c>
      <c r="L2995" s="56" t="str">
        <f>"EQP-LAWPACK2"</f>
        <v>EQP-LAWPACK2</v>
      </c>
      <c r="M2995" s="14"/>
      <c r="N2995" s="15"/>
      <c r="O2995" s="12"/>
      <c r="P2995" s="34"/>
      <c r="Q2995" s="37"/>
      <c r="R2995" s="47"/>
      <c r="S2995" s="46"/>
    </row>
    <row r="2996" spans="1:19" ht="15.6" hidden="1" customHeight="1" thickBot="1" x14ac:dyDescent="0.3">
      <c r="A2996" t="s">
        <v>23</v>
      </c>
      <c r="B2996" s="60" t="str">
        <f t="shared" si="2148"/>
        <v>hide</v>
      </c>
      <c r="D2996" s="48" t="str">
        <f>D2995</f>
        <v>41410</v>
      </c>
      <c r="E2996" s="7"/>
      <c r="F2996" s="27">
        <v>0</v>
      </c>
      <c r="G2996" s="27">
        <v>0</v>
      </c>
      <c r="H2996" s="27">
        <v>0</v>
      </c>
      <c r="I2996" s="27">
        <v>0</v>
      </c>
      <c r="J2996" s="27">
        <v>0</v>
      </c>
      <c r="K2996" s="63">
        <f>AVERAGE(I2996:J2996)</f>
        <v>0</v>
      </c>
      <c r="L2996" s="56" t="str">
        <f>"SW-COMAS-PACKL"</f>
        <v>SW-COMAS-PACKL</v>
      </c>
      <c r="M2996" s="14"/>
      <c r="N2996" s="15"/>
      <c r="O2996" s="12"/>
      <c r="P2996" s="34"/>
      <c r="Q2996" s="37"/>
      <c r="R2996" s="47"/>
      <c r="S2996" s="46"/>
    </row>
    <row r="2997" spans="1:19" ht="15.6" hidden="1" customHeight="1" thickBot="1" x14ac:dyDescent="0.3">
      <c r="A2997" t="s">
        <v>23</v>
      </c>
      <c r="B2997" s="60" t="str">
        <f t="shared" si="2148"/>
        <v>hide</v>
      </c>
      <c r="D2997" s="48" t="str">
        <f>D2996</f>
        <v>41410</v>
      </c>
      <c r="E2997" s="7"/>
      <c r="F2997" s="27">
        <v>0</v>
      </c>
      <c r="G2997" s="27">
        <v>0</v>
      </c>
      <c r="H2997" s="27">
        <v>0</v>
      </c>
      <c r="I2997" s="27">
        <v>0</v>
      </c>
      <c r="J2997" s="27">
        <v>0</v>
      </c>
      <c r="K2997" s="63">
        <f>AVERAGE(I2997:J2997)</f>
        <v>0</v>
      </c>
      <c r="L2997" s="56" t="str">
        <f>"SW-RISER-PACK"</f>
        <v>SW-RISER-PACK</v>
      </c>
      <c r="M2997" s="14"/>
      <c r="N2997" s="15"/>
      <c r="O2997" s="12"/>
      <c r="P2997" s="34"/>
      <c r="Q2997" s="37"/>
      <c r="R2997" s="47"/>
      <c r="S2997" s="46"/>
    </row>
    <row r="2998" spans="1:19" ht="12" hidden="1" customHeight="1" x14ac:dyDescent="0.3">
      <c r="A2998" s="35" t="s">
        <v>908</v>
      </c>
      <c r="B2998" s="49" t="str">
        <f>B2994</f>
        <v>hide</v>
      </c>
      <c r="N2998"/>
      <c r="Q2998" s="33"/>
    </row>
    <row r="2999" spans="1:19" ht="13.8" hidden="1" thickBot="1" x14ac:dyDescent="0.3">
      <c r="A2999" t="s">
        <v>23</v>
      </c>
      <c r="B2999" s="49" t="str">
        <f t="shared" ref="B2999" si="2149">B2998</f>
        <v>hide</v>
      </c>
      <c r="D2999" s="58"/>
      <c r="E2999" s="58"/>
      <c r="F2999" s="52">
        <f>SUM(F2994:F2998)</f>
        <v>-120.24166666666666</v>
      </c>
      <c r="G2999" s="52">
        <f>SUM(G2994:G2998)</f>
        <v>0</v>
      </c>
      <c r="H2999" s="52">
        <f>SUM(H2994:H2998)</f>
        <v>0</v>
      </c>
      <c r="I2999" s="52">
        <f>SUM(I2994:I2998)</f>
        <v>0</v>
      </c>
      <c r="J2999" s="52">
        <f>SUM(J2994:J2998)</f>
        <v>0</v>
      </c>
      <c r="K2999" s="52"/>
      <c r="L2999" s="51" t="s">
        <v>4</v>
      </c>
      <c r="M2999" s="58"/>
      <c r="N2999" s="58"/>
      <c r="O2999" s="58"/>
      <c r="P2999" s="58"/>
      <c r="Q2999" s="58"/>
      <c r="R2999" s="58"/>
      <c r="S2999" s="58"/>
    </row>
    <row r="3000" spans="1:19" s="59" customFormat="1" ht="18.75" customHeight="1" thickBot="1" x14ac:dyDescent="0.3">
      <c r="A3000" s="59" t="s">
        <v>23</v>
      </c>
      <c r="B3000" s="60" t="str">
        <f t="shared" ref="B3000:B3001" si="2150">IF(K3000=0,"hide","")</f>
        <v/>
      </c>
      <c r="D3000" s="61" t="str">
        <f>"41501"</f>
        <v>41501</v>
      </c>
      <c r="E3000" s="62" t="str">
        <f>"3"</f>
        <v>3</v>
      </c>
      <c r="F3000" s="63">
        <v>128.58333333333334</v>
      </c>
      <c r="G3000" s="63">
        <v>149.24999999999997</v>
      </c>
      <c r="H3000" s="63">
        <v>152.83333333333334</v>
      </c>
      <c r="I3000" s="63">
        <v>157.5</v>
      </c>
      <c r="J3000" s="63">
        <v>98.811325301204818</v>
      </c>
      <c r="K3000" s="63">
        <f>AVERAGE(I3000:J3000)</f>
        <v>128.15566265060241</v>
      </c>
      <c r="L3000" s="64" t="str">
        <f>"Blueberry Muffin TOPS"</f>
        <v>Blueberry Muffin TOPS</v>
      </c>
      <c r="M3000" s="65" t="str">
        <f>"96-2 oz. 12 packages of 8"</f>
        <v>96-2 oz. 12 packages of 8</v>
      </c>
      <c r="N3000" s="66">
        <v>96</v>
      </c>
      <c r="O3000" s="67" t="str">
        <f>""</f>
        <v/>
      </c>
      <c r="P3000" s="68" t="e">
        <f>1/O3000</f>
        <v>#VALUE!</v>
      </c>
      <c r="Q3000" s="53">
        <v>1</v>
      </c>
      <c r="R3000" s="69">
        <f t="shared" ref="R3000" si="2151">1/Q3000</f>
        <v>1</v>
      </c>
      <c r="S3000" s="70">
        <f t="shared" ref="S3000" si="2152">R3000*N3000</f>
        <v>96</v>
      </c>
    </row>
    <row r="3001" spans="1:19" ht="15.6" hidden="1" customHeight="1" thickBot="1" x14ac:dyDescent="0.3">
      <c r="A3001" t="s">
        <v>23</v>
      </c>
      <c r="B3001" s="60" t="str">
        <f t="shared" si="2150"/>
        <v>hide</v>
      </c>
      <c r="D3001" s="48" t="str">
        <f>D3000</f>
        <v>41501</v>
      </c>
      <c r="E3001" s="7"/>
      <c r="F3001" s="27">
        <v>0</v>
      </c>
      <c r="G3001" s="27">
        <v>0</v>
      </c>
      <c r="H3001" s="27">
        <v>0</v>
      </c>
      <c r="I3001" s="27">
        <v>0</v>
      </c>
      <c r="J3001" s="27">
        <v>0</v>
      </c>
      <c r="K3001" s="63">
        <f>AVERAGE(I3001:J3001)</f>
        <v>0</v>
      </c>
      <c r="L3001" s="56" t="str">
        <f>"EQP-LAWPACK1"</f>
        <v>EQP-LAWPACK1</v>
      </c>
      <c r="M3001" s="14"/>
      <c r="N3001" s="15"/>
      <c r="O3001" s="12"/>
      <c r="P3001" s="34"/>
      <c r="Q3001" s="37"/>
      <c r="R3001" s="47"/>
      <c r="S3001" s="46"/>
    </row>
    <row r="3002" spans="1:19" ht="15.6" hidden="1" customHeight="1" thickBot="1" x14ac:dyDescent="0.3">
      <c r="A3002" t="s">
        <v>23</v>
      </c>
      <c r="B3002" s="60" t="str">
        <f t="shared" ref="B3002:B3004" si="2153">IF(K3002=0,"hide","")</f>
        <v>hide</v>
      </c>
      <c r="D3002" s="48" t="str">
        <f>D3001</f>
        <v>41501</v>
      </c>
      <c r="E3002" s="7"/>
      <c r="F3002" s="27">
        <v>0</v>
      </c>
      <c r="G3002" s="27">
        <v>0</v>
      </c>
      <c r="H3002" s="27">
        <v>0</v>
      </c>
      <c r="I3002" s="27">
        <v>0</v>
      </c>
      <c r="J3002" s="27">
        <v>0</v>
      </c>
      <c r="K3002" s="63">
        <f>AVERAGE(I3002:J3002)</f>
        <v>0</v>
      </c>
      <c r="L3002" s="56" t="str">
        <f>"EQP-LAWPACK2"</f>
        <v>EQP-LAWPACK2</v>
      </c>
      <c r="M3002" s="14"/>
      <c r="N3002" s="15"/>
      <c r="O3002" s="12"/>
      <c r="P3002" s="34"/>
      <c r="Q3002" s="37"/>
      <c r="R3002" s="47"/>
      <c r="S3002" s="46"/>
    </row>
    <row r="3003" spans="1:19" ht="15.6" hidden="1" customHeight="1" thickBot="1" x14ac:dyDescent="0.3">
      <c r="A3003" t="s">
        <v>23</v>
      </c>
      <c r="B3003" s="60" t="str">
        <f t="shared" si="2153"/>
        <v>hide</v>
      </c>
      <c r="D3003" s="48" t="str">
        <f>D3002</f>
        <v>41501</v>
      </c>
      <c r="E3003" s="7"/>
      <c r="F3003" s="27">
        <v>0</v>
      </c>
      <c r="G3003" s="27">
        <v>0</v>
      </c>
      <c r="H3003" s="27">
        <v>0</v>
      </c>
      <c r="I3003" s="27">
        <v>0</v>
      </c>
      <c r="J3003" s="27">
        <v>0</v>
      </c>
      <c r="K3003" s="63">
        <f>AVERAGE(I3003:J3003)</f>
        <v>0</v>
      </c>
      <c r="L3003" s="56" t="str">
        <f>"SW-COMAS-PACKL"</f>
        <v>SW-COMAS-PACKL</v>
      </c>
      <c r="M3003" s="14"/>
      <c r="N3003" s="15"/>
      <c r="O3003" s="12"/>
      <c r="P3003" s="34"/>
      <c r="Q3003" s="37"/>
      <c r="R3003" s="47"/>
      <c r="S3003" s="46"/>
    </row>
    <row r="3004" spans="1:19" ht="15.6" hidden="1" customHeight="1" thickBot="1" x14ac:dyDescent="0.3">
      <c r="A3004" t="s">
        <v>23</v>
      </c>
      <c r="B3004" s="60" t="str">
        <f t="shared" si="2153"/>
        <v>hide</v>
      </c>
      <c r="D3004" s="48" t="str">
        <f>D3003</f>
        <v>41501</v>
      </c>
      <c r="E3004" s="7"/>
      <c r="F3004" s="27">
        <v>0</v>
      </c>
      <c r="G3004" s="27">
        <v>0</v>
      </c>
      <c r="H3004" s="27">
        <v>0</v>
      </c>
      <c r="I3004" s="27">
        <v>0</v>
      </c>
      <c r="J3004" s="27">
        <v>0</v>
      </c>
      <c r="K3004" s="63">
        <f>AVERAGE(I3004:J3004)</f>
        <v>0</v>
      </c>
      <c r="L3004" s="56" t="str">
        <f>"SW-RISER-PACK"</f>
        <v>SW-RISER-PACK</v>
      </c>
      <c r="M3004" s="14"/>
      <c r="N3004" s="15"/>
      <c r="O3004" s="12"/>
      <c r="P3004" s="34"/>
      <c r="Q3004" s="37"/>
      <c r="R3004" s="47"/>
      <c r="S3004" s="46"/>
    </row>
    <row r="3005" spans="1:19" ht="12" hidden="1" customHeight="1" x14ac:dyDescent="0.3">
      <c r="A3005" s="35" t="s">
        <v>908</v>
      </c>
      <c r="B3005" s="49" t="str">
        <f>B3001</f>
        <v>hide</v>
      </c>
      <c r="N3005"/>
      <c r="Q3005" s="33"/>
    </row>
    <row r="3006" spans="1:19" ht="13.8" hidden="1" thickBot="1" x14ac:dyDescent="0.3">
      <c r="A3006" t="s">
        <v>23</v>
      </c>
      <c r="B3006" s="49" t="str">
        <f t="shared" ref="B3006" si="2154">B3005</f>
        <v>hide</v>
      </c>
      <c r="D3006" s="58"/>
      <c r="E3006" s="58"/>
      <c r="F3006" s="52">
        <f>SUM(F3001:F3005)</f>
        <v>0</v>
      </c>
      <c r="G3006" s="52">
        <f>SUM(G3001:G3005)</f>
        <v>0</v>
      </c>
      <c r="H3006" s="52">
        <f>SUM(H3001:H3005)</f>
        <v>0</v>
      </c>
      <c r="I3006" s="52">
        <f>SUM(I3001:I3005)</f>
        <v>0</v>
      </c>
      <c r="J3006" s="52">
        <f>SUM(J3001:J3005)</f>
        <v>0</v>
      </c>
      <c r="K3006" s="52"/>
      <c r="L3006" s="51" t="s">
        <v>4</v>
      </c>
      <c r="M3006" s="58"/>
      <c r="N3006" s="58"/>
      <c r="O3006" s="58"/>
      <c r="P3006" s="58"/>
      <c r="Q3006" s="58"/>
      <c r="R3006" s="58"/>
      <c r="S3006" s="58"/>
    </row>
    <row r="3007" spans="1:19" s="59" customFormat="1" ht="18.75" customHeight="1" thickBot="1" x14ac:dyDescent="0.3">
      <c r="A3007" s="59" t="s">
        <v>23</v>
      </c>
      <c r="B3007" s="60" t="str">
        <f t="shared" ref="B3007:B3008" si="2155">IF(K3007=0,"hide","")</f>
        <v/>
      </c>
      <c r="D3007" s="61" t="str">
        <f>"41505"</f>
        <v>41505</v>
      </c>
      <c r="E3007" s="62" t="str">
        <f>"3"</f>
        <v>3</v>
      </c>
      <c r="F3007" s="63">
        <v>199.41666666666666</v>
      </c>
      <c r="G3007" s="63">
        <v>239.25</v>
      </c>
      <c r="H3007" s="63">
        <v>233.66666666666666</v>
      </c>
      <c r="I3007" s="63">
        <v>210</v>
      </c>
      <c r="J3007" s="63">
        <v>163.25349397590361</v>
      </c>
      <c r="K3007" s="63">
        <f>AVERAGE(I3007:J3007)</f>
        <v>186.6267469879518</v>
      </c>
      <c r="L3007" s="64" t="str">
        <f>"Corn Muffin TOPS"</f>
        <v>Corn Muffin TOPS</v>
      </c>
      <c r="M3007" s="65" t="str">
        <f>"96-2 oz. 12 packages of 8"</f>
        <v>96-2 oz. 12 packages of 8</v>
      </c>
      <c r="N3007" s="66">
        <v>96</v>
      </c>
      <c r="O3007" s="67" t="str">
        <f>""</f>
        <v/>
      </c>
      <c r="P3007" s="68" t="e">
        <f>1/O3007</f>
        <v>#VALUE!</v>
      </c>
      <c r="Q3007" s="53">
        <v>1</v>
      </c>
      <c r="R3007" s="69">
        <f t="shared" ref="R3007" si="2156">1/Q3007</f>
        <v>1</v>
      </c>
      <c r="S3007" s="70">
        <f t="shared" ref="S3007" si="2157">R3007*N3007</f>
        <v>96</v>
      </c>
    </row>
    <row r="3008" spans="1:19" ht="15.6" hidden="1" customHeight="1" thickBot="1" x14ac:dyDescent="0.3">
      <c r="A3008" t="s">
        <v>23</v>
      </c>
      <c r="B3008" s="60" t="str">
        <f t="shared" si="2155"/>
        <v>hide</v>
      </c>
      <c r="D3008" s="48" t="str">
        <f>D3007</f>
        <v>41505</v>
      </c>
      <c r="E3008" s="7"/>
      <c r="F3008" s="27">
        <v>0</v>
      </c>
      <c r="G3008" s="27">
        <v>0</v>
      </c>
      <c r="H3008" s="27">
        <v>0</v>
      </c>
      <c r="I3008" s="27">
        <v>0</v>
      </c>
      <c r="J3008" s="27">
        <v>0</v>
      </c>
      <c r="K3008" s="63">
        <f>AVERAGE(I3008:J3008)</f>
        <v>0</v>
      </c>
      <c r="L3008" s="56" t="str">
        <f>"EQP-LAWPACK1"</f>
        <v>EQP-LAWPACK1</v>
      </c>
      <c r="M3008" s="14"/>
      <c r="N3008" s="15"/>
      <c r="O3008" s="12"/>
      <c r="P3008" s="34"/>
      <c r="Q3008" s="37"/>
      <c r="R3008" s="47"/>
      <c r="S3008" s="46"/>
    </row>
    <row r="3009" spans="1:19" ht="15.6" hidden="1" customHeight="1" thickBot="1" x14ac:dyDescent="0.3">
      <c r="A3009" t="s">
        <v>23</v>
      </c>
      <c r="B3009" s="60" t="str">
        <f t="shared" ref="B3009:B3011" si="2158">IF(K3009=0,"hide","")</f>
        <v>hide</v>
      </c>
      <c r="D3009" s="48" t="str">
        <f>D3008</f>
        <v>41505</v>
      </c>
      <c r="E3009" s="7"/>
      <c r="F3009" s="27">
        <v>0</v>
      </c>
      <c r="G3009" s="27">
        <v>0</v>
      </c>
      <c r="H3009" s="27">
        <v>0</v>
      </c>
      <c r="I3009" s="27">
        <v>0</v>
      </c>
      <c r="J3009" s="27">
        <v>0</v>
      </c>
      <c r="K3009" s="63">
        <f>AVERAGE(I3009:J3009)</f>
        <v>0</v>
      </c>
      <c r="L3009" s="56" t="str">
        <f>"EQP-LAWPACK2"</f>
        <v>EQP-LAWPACK2</v>
      </c>
      <c r="M3009" s="14"/>
      <c r="N3009" s="15"/>
      <c r="O3009" s="12"/>
      <c r="P3009" s="34"/>
      <c r="Q3009" s="37"/>
      <c r="R3009" s="47"/>
      <c r="S3009" s="46"/>
    </row>
    <row r="3010" spans="1:19" ht="15.6" hidden="1" customHeight="1" thickBot="1" x14ac:dyDescent="0.3">
      <c r="A3010" t="s">
        <v>23</v>
      </c>
      <c r="B3010" s="60" t="str">
        <f t="shared" si="2158"/>
        <v>hide</v>
      </c>
      <c r="D3010" s="48" t="str">
        <f>D3009</f>
        <v>41505</v>
      </c>
      <c r="E3010" s="7"/>
      <c r="F3010" s="27">
        <v>0</v>
      </c>
      <c r="G3010" s="27">
        <v>0</v>
      </c>
      <c r="H3010" s="27">
        <v>0</v>
      </c>
      <c r="I3010" s="27">
        <v>0</v>
      </c>
      <c r="J3010" s="27">
        <v>0</v>
      </c>
      <c r="K3010" s="63">
        <f>AVERAGE(I3010:J3010)</f>
        <v>0</v>
      </c>
      <c r="L3010" s="56" t="str">
        <f>"SW-COMAS-PACKL"</f>
        <v>SW-COMAS-PACKL</v>
      </c>
      <c r="M3010" s="14"/>
      <c r="N3010" s="15"/>
      <c r="O3010" s="12"/>
      <c r="P3010" s="34"/>
      <c r="Q3010" s="37"/>
      <c r="R3010" s="47"/>
      <c r="S3010" s="46"/>
    </row>
    <row r="3011" spans="1:19" ht="15.6" hidden="1" customHeight="1" thickBot="1" x14ac:dyDescent="0.3">
      <c r="A3011" t="s">
        <v>23</v>
      </c>
      <c r="B3011" s="60" t="str">
        <f t="shared" si="2158"/>
        <v>hide</v>
      </c>
      <c r="D3011" s="48" t="str">
        <f>D3010</f>
        <v>41505</v>
      </c>
      <c r="E3011" s="7"/>
      <c r="F3011" s="27">
        <v>0</v>
      </c>
      <c r="G3011" s="27">
        <v>0</v>
      </c>
      <c r="H3011" s="27">
        <v>0</v>
      </c>
      <c r="I3011" s="27">
        <v>0</v>
      </c>
      <c r="J3011" s="27">
        <v>0</v>
      </c>
      <c r="K3011" s="63">
        <f>AVERAGE(I3011:J3011)</f>
        <v>0</v>
      </c>
      <c r="L3011" s="56" t="str">
        <f>"SW-RISER-PACK"</f>
        <v>SW-RISER-PACK</v>
      </c>
      <c r="M3011" s="14"/>
      <c r="N3011" s="15"/>
      <c r="O3011" s="12"/>
      <c r="P3011" s="34"/>
      <c r="Q3011" s="37"/>
      <c r="R3011" s="47"/>
      <c r="S3011" s="46"/>
    </row>
    <row r="3012" spans="1:19" ht="12" hidden="1" customHeight="1" x14ac:dyDescent="0.3">
      <c r="A3012" s="35" t="s">
        <v>908</v>
      </c>
      <c r="B3012" s="49" t="str">
        <f>B3008</f>
        <v>hide</v>
      </c>
      <c r="N3012"/>
      <c r="Q3012" s="33"/>
    </row>
    <row r="3013" spans="1:19" ht="13.8" hidden="1" thickBot="1" x14ac:dyDescent="0.3">
      <c r="A3013" t="s">
        <v>23</v>
      </c>
      <c r="B3013" s="49" t="str">
        <f t="shared" ref="B3013" si="2159">B3012</f>
        <v>hide</v>
      </c>
      <c r="D3013" s="58"/>
      <c r="E3013" s="58"/>
      <c r="F3013" s="52">
        <f>SUM(F3008:F3012)</f>
        <v>0</v>
      </c>
      <c r="G3013" s="52">
        <f>SUM(G3008:G3012)</f>
        <v>0</v>
      </c>
      <c r="H3013" s="52">
        <f>SUM(H3008:H3012)</f>
        <v>0</v>
      </c>
      <c r="I3013" s="52">
        <f>SUM(I3008:I3012)</f>
        <v>0</v>
      </c>
      <c r="J3013" s="52">
        <f>SUM(J3008:J3012)</f>
        <v>0</v>
      </c>
      <c r="K3013" s="52"/>
      <c r="L3013" s="51" t="s">
        <v>4</v>
      </c>
      <c r="M3013" s="58"/>
      <c r="N3013" s="58"/>
      <c r="O3013" s="58"/>
      <c r="P3013" s="58"/>
      <c r="Q3013" s="58"/>
      <c r="R3013" s="58"/>
      <c r="S3013" s="58"/>
    </row>
    <row r="3014" spans="1:19" s="59" customFormat="1" ht="18.75" customHeight="1" thickBot="1" x14ac:dyDescent="0.3">
      <c r="A3014" s="59" t="s">
        <v>23</v>
      </c>
      <c r="B3014" s="60" t="str">
        <f t="shared" ref="B3014:B3015" si="2160">IF(K3014=0,"hide","")</f>
        <v/>
      </c>
      <c r="D3014" s="61" t="str">
        <f>"41510"</f>
        <v>41510</v>
      </c>
      <c r="E3014" s="62" t="str">
        <f>"3"</f>
        <v>3</v>
      </c>
      <c r="F3014" s="63">
        <v>124.08333333333333</v>
      </c>
      <c r="G3014" s="63">
        <v>141.75000000000003</v>
      </c>
      <c r="H3014" s="63">
        <v>148.33333333333334</v>
      </c>
      <c r="I3014" s="63">
        <v>152.08333333333334</v>
      </c>
      <c r="J3014" s="63">
        <v>93.35590361445783</v>
      </c>
      <c r="K3014" s="63">
        <f>AVERAGE(I3014:J3014)</f>
        <v>122.71961847389559</v>
      </c>
      <c r="L3014" s="64" t="str">
        <f>"Chocolate Chip Muffin TOPS"</f>
        <v>Chocolate Chip Muffin TOPS</v>
      </c>
      <c r="M3014" s="65" t="str">
        <f>"96-2 oz. 12 packages of 8"</f>
        <v>96-2 oz. 12 packages of 8</v>
      </c>
      <c r="N3014" s="66">
        <v>96</v>
      </c>
      <c r="O3014" s="67" t="str">
        <f>""</f>
        <v/>
      </c>
      <c r="P3014" s="68" t="e">
        <f>1/O3014</f>
        <v>#VALUE!</v>
      </c>
      <c r="Q3014" s="53">
        <v>1</v>
      </c>
      <c r="R3014" s="69">
        <f t="shared" ref="R3014" si="2161">1/Q3014</f>
        <v>1</v>
      </c>
      <c r="S3014" s="70">
        <f t="shared" ref="S3014" si="2162">R3014*N3014</f>
        <v>96</v>
      </c>
    </row>
    <row r="3015" spans="1:19" ht="15.6" hidden="1" customHeight="1" thickBot="1" x14ac:dyDescent="0.3">
      <c r="A3015" t="s">
        <v>23</v>
      </c>
      <c r="B3015" s="60" t="str">
        <f t="shared" si="2160"/>
        <v>hide</v>
      </c>
      <c r="D3015" s="48" t="str">
        <f>D3014</f>
        <v>41510</v>
      </c>
      <c r="E3015" s="7"/>
      <c r="F3015" s="27">
        <v>0</v>
      </c>
      <c r="G3015" s="27">
        <v>0</v>
      </c>
      <c r="H3015" s="27">
        <v>0</v>
      </c>
      <c r="I3015" s="27">
        <v>0</v>
      </c>
      <c r="J3015" s="27">
        <v>0</v>
      </c>
      <c r="K3015" s="63">
        <f>AVERAGE(I3015:J3015)</f>
        <v>0</v>
      </c>
      <c r="L3015" s="56" t="str">
        <f>"EQP-LAWPACK1"</f>
        <v>EQP-LAWPACK1</v>
      </c>
      <c r="M3015" s="14"/>
      <c r="N3015" s="15"/>
      <c r="O3015" s="12"/>
      <c r="P3015" s="34"/>
      <c r="Q3015" s="37"/>
      <c r="R3015" s="47"/>
      <c r="S3015" s="46"/>
    </row>
    <row r="3016" spans="1:19" ht="15.6" hidden="1" customHeight="1" thickBot="1" x14ac:dyDescent="0.3">
      <c r="A3016" t="s">
        <v>23</v>
      </c>
      <c r="B3016" s="60" t="str">
        <f t="shared" ref="B3016:B3018" si="2163">IF(K3016=0,"hide","")</f>
        <v>hide</v>
      </c>
      <c r="D3016" s="48" t="str">
        <f>D3015</f>
        <v>41510</v>
      </c>
      <c r="E3016" s="7"/>
      <c r="F3016" s="27">
        <v>0</v>
      </c>
      <c r="G3016" s="27">
        <v>0</v>
      </c>
      <c r="H3016" s="27">
        <v>0</v>
      </c>
      <c r="I3016" s="27">
        <v>0</v>
      </c>
      <c r="J3016" s="27">
        <v>0</v>
      </c>
      <c r="K3016" s="63">
        <f>AVERAGE(I3016:J3016)</f>
        <v>0</v>
      </c>
      <c r="L3016" s="56" t="str">
        <f>"EQP-LAWPACK2"</f>
        <v>EQP-LAWPACK2</v>
      </c>
      <c r="M3016" s="14"/>
      <c r="N3016" s="15"/>
      <c r="O3016" s="12"/>
      <c r="P3016" s="34"/>
      <c r="Q3016" s="37"/>
      <c r="R3016" s="47"/>
      <c r="S3016" s="46"/>
    </row>
    <row r="3017" spans="1:19" ht="15.6" hidden="1" customHeight="1" thickBot="1" x14ac:dyDescent="0.3">
      <c r="A3017" t="s">
        <v>23</v>
      </c>
      <c r="B3017" s="60" t="str">
        <f t="shared" si="2163"/>
        <v>hide</v>
      </c>
      <c r="D3017" s="48" t="str">
        <f>D3016</f>
        <v>41510</v>
      </c>
      <c r="E3017" s="7"/>
      <c r="F3017" s="27">
        <v>0</v>
      </c>
      <c r="G3017" s="27">
        <v>0</v>
      </c>
      <c r="H3017" s="27">
        <v>0</v>
      </c>
      <c r="I3017" s="27">
        <v>0</v>
      </c>
      <c r="J3017" s="27">
        <v>0</v>
      </c>
      <c r="K3017" s="63">
        <f>AVERAGE(I3017:J3017)</f>
        <v>0</v>
      </c>
      <c r="L3017" s="56" t="str">
        <f>"SW-COMAS-PACKL"</f>
        <v>SW-COMAS-PACKL</v>
      </c>
      <c r="M3017" s="14"/>
      <c r="N3017" s="15"/>
      <c r="O3017" s="12"/>
      <c r="P3017" s="34"/>
      <c r="Q3017" s="37"/>
      <c r="R3017" s="47"/>
      <c r="S3017" s="46"/>
    </row>
    <row r="3018" spans="1:19" ht="15.6" hidden="1" customHeight="1" thickBot="1" x14ac:dyDescent="0.3">
      <c r="A3018" t="s">
        <v>23</v>
      </c>
      <c r="B3018" s="60" t="str">
        <f t="shared" si="2163"/>
        <v>hide</v>
      </c>
      <c r="D3018" s="48" t="str">
        <f>D3017</f>
        <v>41510</v>
      </c>
      <c r="E3018" s="7"/>
      <c r="F3018" s="27">
        <v>0</v>
      </c>
      <c r="G3018" s="27">
        <v>0</v>
      </c>
      <c r="H3018" s="27">
        <v>0</v>
      </c>
      <c r="I3018" s="27">
        <v>0</v>
      </c>
      <c r="J3018" s="27">
        <v>0</v>
      </c>
      <c r="K3018" s="63">
        <f>AVERAGE(I3018:J3018)</f>
        <v>0</v>
      </c>
      <c r="L3018" s="56" t="str">
        <f>"SW-RISER-PACK"</f>
        <v>SW-RISER-PACK</v>
      </c>
      <c r="M3018" s="14"/>
      <c r="N3018" s="15"/>
      <c r="O3018" s="12"/>
      <c r="P3018" s="34"/>
      <c r="Q3018" s="37"/>
      <c r="R3018" s="47"/>
      <c r="S3018" s="46"/>
    </row>
    <row r="3019" spans="1:19" ht="12" hidden="1" customHeight="1" x14ac:dyDescent="0.3">
      <c r="A3019" s="35" t="s">
        <v>908</v>
      </c>
      <c r="B3019" s="49" t="str">
        <f>B3015</f>
        <v>hide</v>
      </c>
      <c r="N3019"/>
      <c r="Q3019" s="33"/>
    </row>
    <row r="3020" spans="1:19" ht="13.8" hidden="1" thickBot="1" x14ac:dyDescent="0.3">
      <c r="A3020" t="s">
        <v>23</v>
      </c>
      <c r="B3020" s="49" t="str">
        <f t="shared" ref="B3020" si="2164">B3019</f>
        <v>hide</v>
      </c>
      <c r="D3020" s="58"/>
      <c r="E3020" s="58"/>
      <c r="F3020" s="52">
        <f>SUM(F3015:F3019)</f>
        <v>0</v>
      </c>
      <c r="G3020" s="52">
        <f>SUM(G3015:G3019)</f>
        <v>0</v>
      </c>
      <c r="H3020" s="52">
        <f>SUM(H3015:H3019)</f>
        <v>0</v>
      </c>
      <c r="I3020" s="52">
        <f>SUM(I3015:I3019)</f>
        <v>0</v>
      </c>
      <c r="J3020" s="52">
        <f>SUM(J3015:J3019)</f>
        <v>0</v>
      </c>
      <c r="K3020" s="52"/>
      <c r="L3020" s="51" t="s">
        <v>4</v>
      </c>
      <c r="M3020" s="58"/>
      <c r="N3020" s="58"/>
      <c r="O3020" s="58"/>
      <c r="P3020" s="58"/>
      <c r="Q3020" s="58"/>
      <c r="R3020" s="58"/>
      <c r="S3020" s="58"/>
    </row>
    <row r="3021" spans="1:19" s="59" customFormat="1" ht="18.75" hidden="1" customHeight="1" thickBot="1" x14ac:dyDescent="0.3">
      <c r="A3021" s="59" t="s">
        <v>23</v>
      </c>
      <c r="B3021" s="60" t="str">
        <f t="shared" ref="B3021:B3022" si="2165">IF(K3021=0,"hide","")</f>
        <v>hide</v>
      </c>
      <c r="D3021" s="61" t="str">
        <f>"41521"</f>
        <v>41521</v>
      </c>
      <c r="E3021" s="62" t="str">
        <f>"1"</f>
        <v>1</v>
      </c>
      <c r="F3021" s="63">
        <v>0</v>
      </c>
      <c r="G3021" s="63">
        <v>0</v>
      </c>
      <c r="H3021" s="63">
        <v>0</v>
      </c>
      <c r="I3021" s="63">
        <v>0</v>
      </c>
      <c r="J3021" s="63">
        <v>0</v>
      </c>
      <c r="K3021" s="63">
        <f>AVERAGE(I3021:J3021)</f>
        <v>0</v>
      </c>
      <c r="L3021" s="64" t="str">
        <f>"Carrot Raisin Muffin Top"</f>
        <v>Carrot Raisin Muffin Top</v>
      </c>
      <c r="M3021" s="65" t="str">
        <f>"96-2 oz. 12 packages of 8"</f>
        <v>96-2 oz. 12 packages of 8</v>
      </c>
      <c r="N3021" s="66">
        <v>96</v>
      </c>
      <c r="O3021" s="67" t="str">
        <f>""</f>
        <v/>
      </c>
      <c r="P3021" s="68" t="e">
        <f>1/O3021</f>
        <v>#VALUE!</v>
      </c>
      <c r="Q3021" s="53">
        <v>1</v>
      </c>
      <c r="R3021" s="69">
        <f t="shared" ref="R3021" si="2166">1/Q3021</f>
        <v>1</v>
      </c>
      <c r="S3021" s="70">
        <f t="shared" ref="S3021" si="2167">R3021*N3021</f>
        <v>96</v>
      </c>
    </row>
    <row r="3022" spans="1:19" ht="15.6" hidden="1" customHeight="1" thickBot="1" x14ac:dyDescent="0.3">
      <c r="A3022" t="s">
        <v>23</v>
      </c>
      <c r="B3022" s="60" t="str">
        <f t="shared" si="2165"/>
        <v>hide</v>
      </c>
      <c r="D3022" s="48" t="str">
        <f>D3021</f>
        <v>41521</v>
      </c>
      <c r="E3022" s="7"/>
      <c r="F3022" s="27">
        <v>0</v>
      </c>
      <c r="G3022" s="27">
        <v>0</v>
      </c>
      <c r="H3022" s="27">
        <v>0</v>
      </c>
      <c r="I3022" s="27">
        <v>0</v>
      </c>
      <c r="J3022" s="27">
        <v>0</v>
      </c>
      <c r="K3022" s="63">
        <f>AVERAGE(I3022:J3022)</f>
        <v>0</v>
      </c>
      <c r="L3022" s="56" t="str">
        <f>"EQP-LAWPACK1"</f>
        <v>EQP-LAWPACK1</v>
      </c>
      <c r="M3022" s="14"/>
      <c r="N3022" s="15"/>
      <c r="O3022" s="12"/>
      <c r="P3022" s="34"/>
      <c r="Q3022" s="37"/>
      <c r="R3022" s="47"/>
      <c r="S3022" s="46"/>
    </row>
    <row r="3023" spans="1:19" ht="15.6" hidden="1" customHeight="1" thickBot="1" x14ac:dyDescent="0.3">
      <c r="A3023" t="s">
        <v>23</v>
      </c>
      <c r="B3023" s="60" t="str">
        <f t="shared" ref="B3023:B3025" si="2168">IF(K3023=0,"hide","")</f>
        <v>hide</v>
      </c>
      <c r="D3023" s="48" t="str">
        <f>D3022</f>
        <v>41521</v>
      </c>
      <c r="E3023" s="7"/>
      <c r="F3023" s="27">
        <v>0</v>
      </c>
      <c r="G3023" s="27">
        <v>0</v>
      </c>
      <c r="H3023" s="27">
        <v>0</v>
      </c>
      <c r="I3023" s="27">
        <v>0</v>
      </c>
      <c r="J3023" s="27">
        <v>0</v>
      </c>
      <c r="K3023" s="63">
        <f>AVERAGE(I3023:J3023)</f>
        <v>0</v>
      </c>
      <c r="L3023" s="56" t="str">
        <f>"EQP-LAWPACK2"</f>
        <v>EQP-LAWPACK2</v>
      </c>
      <c r="M3023" s="14"/>
      <c r="N3023" s="15"/>
      <c r="O3023" s="12"/>
      <c r="P3023" s="34"/>
      <c r="Q3023" s="37"/>
      <c r="R3023" s="47"/>
      <c r="S3023" s="46"/>
    </row>
    <row r="3024" spans="1:19" ht="15.6" hidden="1" customHeight="1" thickBot="1" x14ac:dyDescent="0.3">
      <c r="A3024" t="s">
        <v>23</v>
      </c>
      <c r="B3024" s="60" t="str">
        <f t="shared" si="2168"/>
        <v>hide</v>
      </c>
      <c r="D3024" s="48" t="str">
        <f>D3023</f>
        <v>41521</v>
      </c>
      <c r="E3024" s="7"/>
      <c r="F3024" s="27">
        <v>0</v>
      </c>
      <c r="G3024" s="27">
        <v>0</v>
      </c>
      <c r="H3024" s="27">
        <v>0</v>
      </c>
      <c r="I3024" s="27">
        <v>0</v>
      </c>
      <c r="J3024" s="27">
        <v>0</v>
      </c>
      <c r="K3024" s="63">
        <f>AVERAGE(I3024:J3024)</f>
        <v>0</v>
      </c>
      <c r="L3024" s="56" t="str">
        <f>"SW-COMAS-PACKL"</f>
        <v>SW-COMAS-PACKL</v>
      </c>
      <c r="M3024" s="14"/>
      <c r="N3024" s="15"/>
      <c r="O3024" s="12"/>
      <c r="P3024" s="34"/>
      <c r="Q3024" s="37"/>
      <c r="R3024" s="47"/>
      <c r="S3024" s="46"/>
    </row>
    <row r="3025" spans="1:19" ht="15.6" hidden="1" customHeight="1" thickBot="1" x14ac:dyDescent="0.3">
      <c r="A3025" t="s">
        <v>23</v>
      </c>
      <c r="B3025" s="60" t="str">
        <f t="shared" si="2168"/>
        <v>hide</v>
      </c>
      <c r="D3025" s="48" t="str">
        <f>D3024</f>
        <v>41521</v>
      </c>
      <c r="E3025" s="7"/>
      <c r="F3025" s="27">
        <v>0</v>
      </c>
      <c r="G3025" s="27">
        <v>0</v>
      </c>
      <c r="H3025" s="27">
        <v>0</v>
      </c>
      <c r="I3025" s="27">
        <v>0</v>
      </c>
      <c r="J3025" s="27">
        <v>0</v>
      </c>
      <c r="K3025" s="63">
        <f>AVERAGE(I3025:J3025)</f>
        <v>0</v>
      </c>
      <c r="L3025" s="56" t="str">
        <f>"SW-RISER-PACK"</f>
        <v>SW-RISER-PACK</v>
      </c>
      <c r="M3025" s="14"/>
      <c r="N3025" s="15"/>
      <c r="O3025" s="12"/>
      <c r="P3025" s="34"/>
      <c r="Q3025" s="37"/>
      <c r="R3025" s="47"/>
      <c r="S3025" s="46"/>
    </row>
    <row r="3026" spans="1:19" ht="12" hidden="1" customHeight="1" x14ac:dyDescent="0.3">
      <c r="A3026" s="35" t="s">
        <v>908</v>
      </c>
      <c r="B3026" s="49" t="str">
        <f>B3022</f>
        <v>hide</v>
      </c>
      <c r="N3026"/>
      <c r="Q3026" s="33"/>
    </row>
    <row r="3027" spans="1:19" ht="13.8" hidden="1" thickBot="1" x14ac:dyDescent="0.3">
      <c r="A3027" t="s">
        <v>23</v>
      </c>
      <c r="B3027" s="49" t="str">
        <f t="shared" ref="B3027" si="2169">B3026</f>
        <v>hide</v>
      </c>
      <c r="D3027" s="58"/>
      <c r="E3027" s="58"/>
      <c r="F3027" s="52">
        <f>SUM(F3022:F3026)</f>
        <v>0</v>
      </c>
      <c r="G3027" s="52">
        <f>SUM(G3022:G3026)</f>
        <v>0</v>
      </c>
      <c r="H3027" s="52">
        <f>SUM(H3022:H3026)</f>
        <v>0</v>
      </c>
      <c r="I3027" s="52">
        <f>SUM(I3022:I3026)</f>
        <v>0</v>
      </c>
      <c r="J3027" s="52">
        <f>SUM(J3022:J3026)</f>
        <v>0</v>
      </c>
      <c r="K3027" s="52"/>
      <c r="L3027" s="51" t="s">
        <v>4</v>
      </c>
      <c r="M3027" s="58"/>
      <c r="N3027" s="58"/>
      <c r="O3027" s="58"/>
      <c r="P3027" s="58"/>
      <c r="Q3027" s="58"/>
      <c r="R3027" s="58"/>
      <c r="S3027" s="58"/>
    </row>
    <row r="3028" spans="1:19" s="59" customFormat="1" ht="18.75" hidden="1" customHeight="1" thickBot="1" x14ac:dyDescent="0.3">
      <c r="A3028" s="59" t="s">
        <v>23</v>
      </c>
      <c r="B3028" s="60" t="str">
        <f t="shared" ref="B3028:B3029" si="2170">IF(K3028=0,"hide","")</f>
        <v>hide</v>
      </c>
      <c r="D3028" s="61" t="str">
        <f>"41522"</f>
        <v>41522</v>
      </c>
      <c r="E3028" s="62" t="str">
        <f>"1"</f>
        <v>1</v>
      </c>
      <c r="F3028" s="63">
        <v>0</v>
      </c>
      <c r="G3028" s="63">
        <v>0</v>
      </c>
      <c r="H3028" s="63">
        <v>0</v>
      </c>
      <c r="I3028" s="63">
        <v>0</v>
      </c>
      <c r="J3028" s="63">
        <v>0</v>
      </c>
      <c r="K3028" s="63">
        <f>AVERAGE(I3028:J3028)</f>
        <v>0</v>
      </c>
      <c r="L3028" s="64" t="str">
        <f>"Lemon Poppy Muffin Tops"</f>
        <v>Lemon Poppy Muffin Tops</v>
      </c>
      <c r="M3028" s="65" t="str">
        <f>"96-2 oz. 12 packages of 8"</f>
        <v>96-2 oz. 12 packages of 8</v>
      </c>
      <c r="N3028" s="66">
        <v>96</v>
      </c>
      <c r="O3028" s="67" t="str">
        <f>""</f>
        <v/>
      </c>
      <c r="P3028" s="68" t="e">
        <f>1/O3028</f>
        <v>#VALUE!</v>
      </c>
      <c r="Q3028" s="53">
        <v>1</v>
      </c>
      <c r="R3028" s="69">
        <f t="shared" ref="R3028" si="2171">1/Q3028</f>
        <v>1</v>
      </c>
      <c r="S3028" s="70">
        <f t="shared" ref="S3028" si="2172">R3028*N3028</f>
        <v>96</v>
      </c>
    </row>
    <row r="3029" spans="1:19" ht="15.6" hidden="1" customHeight="1" thickBot="1" x14ac:dyDescent="0.3">
      <c r="A3029" t="s">
        <v>23</v>
      </c>
      <c r="B3029" s="60" t="str">
        <f t="shared" si="2170"/>
        <v>hide</v>
      </c>
      <c r="D3029" s="48" t="str">
        <f>D3028</f>
        <v>41522</v>
      </c>
      <c r="E3029" s="7"/>
      <c r="F3029" s="27">
        <v>0</v>
      </c>
      <c r="G3029" s="27">
        <v>0</v>
      </c>
      <c r="H3029" s="27">
        <v>0</v>
      </c>
      <c r="I3029" s="27">
        <v>0</v>
      </c>
      <c r="J3029" s="27">
        <v>0</v>
      </c>
      <c r="K3029" s="63">
        <f>AVERAGE(I3029:J3029)</f>
        <v>0</v>
      </c>
      <c r="L3029" s="56" t="str">
        <f>"EQP-LAWPACK1"</f>
        <v>EQP-LAWPACK1</v>
      </c>
      <c r="M3029" s="14"/>
      <c r="N3029" s="15"/>
      <c r="O3029" s="12"/>
      <c r="P3029" s="34"/>
      <c r="Q3029" s="37"/>
      <c r="R3029" s="47"/>
      <c r="S3029" s="46"/>
    </row>
    <row r="3030" spans="1:19" ht="15.6" hidden="1" customHeight="1" thickBot="1" x14ac:dyDescent="0.3">
      <c r="A3030" t="s">
        <v>23</v>
      </c>
      <c r="B3030" s="60" t="str">
        <f t="shared" ref="B3030:B3032" si="2173">IF(K3030=0,"hide","")</f>
        <v>hide</v>
      </c>
      <c r="D3030" s="48" t="str">
        <f>D3029</f>
        <v>41522</v>
      </c>
      <c r="E3030" s="7"/>
      <c r="F3030" s="27">
        <v>0</v>
      </c>
      <c r="G3030" s="27">
        <v>0</v>
      </c>
      <c r="H3030" s="27">
        <v>0</v>
      </c>
      <c r="I3030" s="27">
        <v>0</v>
      </c>
      <c r="J3030" s="27">
        <v>0</v>
      </c>
      <c r="K3030" s="63">
        <f>AVERAGE(I3030:J3030)</f>
        <v>0</v>
      </c>
      <c r="L3030" s="56" t="str">
        <f>"EQP-LAWPACK2"</f>
        <v>EQP-LAWPACK2</v>
      </c>
      <c r="M3030" s="14"/>
      <c r="N3030" s="15"/>
      <c r="O3030" s="12"/>
      <c r="P3030" s="34"/>
      <c r="Q3030" s="37"/>
      <c r="R3030" s="47"/>
      <c r="S3030" s="46"/>
    </row>
    <row r="3031" spans="1:19" ht="15.6" hidden="1" customHeight="1" thickBot="1" x14ac:dyDescent="0.3">
      <c r="A3031" t="s">
        <v>23</v>
      </c>
      <c r="B3031" s="60" t="str">
        <f t="shared" si="2173"/>
        <v>hide</v>
      </c>
      <c r="D3031" s="48" t="str">
        <f>D3030</f>
        <v>41522</v>
      </c>
      <c r="E3031" s="7"/>
      <c r="F3031" s="27">
        <v>0</v>
      </c>
      <c r="G3031" s="27">
        <v>0</v>
      </c>
      <c r="H3031" s="27">
        <v>0</v>
      </c>
      <c r="I3031" s="27">
        <v>0</v>
      </c>
      <c r="J3031" s="27">
        <v>0</v>
      </c>
      <c r="K3031" s="63">
        <f>AVERAGE(I3031:J3031)</f>
        <v>0</v>
      </c>
      <c r="L3031" s="56" t="str">
        <f>"SW-COMAS-PACKL"</f>
        <v>SW-COMAS-PACKL</v>
      </c>
      <c r="M3031" s="14"/>
      <c r="N3031" s="15"/>
      <c r="O3031" s="12"/>
      <c r="P3031" s="34"/>
      <c r="Q3031" s="37"/>
      <c r="R3031" s="47"/>
      <c r="S3031" s="46"/>
    </row>
    <row r="3032" spans="1:19" ht="15.6" hidden="1" customHeight="1" thickBot="1" x14ac:dyDescent="0.3">
      <c r="A3032" t="s">
        <v>23</v>
      </c>
      <c r="B3032" s="60" t="str">
        <f t="shared" si="2173"/>
        <v>hide</v>
      </c>
      <c r="D3032" s="48" t="str">
        <f>D3031</f>
        <v>41522</v>
      </c>
      <c r="E3032" s="7"/>
      <c r="F3032" s="27">
        <v>0</v>
      </c>
      <c r="G3032" s="27">
        <v>0</v>
      </c>
      <c r="H3032" s="27">
        <v>0</v>
      </c>
      <c r="I3032" s="27">
        <v>0</v>
      </c>
      <c r="J3032" s="27">
        <v>0</v>
      </c>
      <c r="K3032" s="63">
        <f>AVERAGE(I3032:J3032)</f>
        <v>0</v>
      </c>
      <c r="L3032" s="56" t="str">
        <f>"SW-RISER-PACK"</f>
        <v>SW-RISER-PACK</v>
      </c>
      <c r="M3032" s="14"/>
      <c r="N3032" s="15"/>
      <c r="O3032" s="12"/>
      <c r="P3032" s="34"/>
      <c r="Q3032" s="37"/>
      <c r="R3032" s="47"/>
      <c r="S3032" s="46"/>
    </row>
    <row r="3033" spans="1:19" ht="12" hidden="1" customHeight="1" x14ac:dyDescent="0.3">
      <c r="A3033" s="35" t="s">
        <v>908</v>
      </c>
      <c r="B3033" s="49" t="str">
        <f>B3029</f>
        <v>hide</v>
      </c>
      <c r="N3033"/>
      <c r="Q3033" s="33"/>
    </row>
    <row r="3034" spans="1:19" ht="13.8" hidden="1" thickBot="1" x14ac:dyDescent="0.3">
      <c r="A3034" t="s">
        <v>23</v>
      </c>
      <c r="B3034" s="49" t="str">
        <f t="shared" ref="B3034" si="2174">B3033</f>
        <v>hide</v>
      </c>
      <c r="D3034" s="58"/>
      <c r="E3034" s="58"/>
      <c r="F3034" s="52">
        <f>SUM(F3029:F3033)</f>
        <v>0</v>
      </c>
      <c r="G3034" s="52">
        <f>SUM(G3029:G3033)</f>
        <v>0</v>
      </c>
      <c r="H3034" s="52">
        <f>SUM(H3029:H3033)</f>
        <v>0</v>
      </c>
      <c r="I3034" s="52">
        <f>SUM(I3029:I3033)</f>
        <v>0</v>
      </c>
      <c r="J3034" s="52">
        <f>SUM(J3029:J3033)</f>
        <v>0</v>
      </c>
      <c r="K3034" s="52"/>
      <c r="L3034" s="51" t="s">
        <v>4</v>
      </c>
      <c r="M3034" s="58"/>
      <c r="N3034" s="58"/>
      <c r="O3034" s="58"/>
      <c r="P3034" s="58"/>
      <c r="Q3034" s="58"/>
      <c r="R3034" s="58"/>
      <c r="S3034" s="58"/>
    </row>
    <row r="3035" spans="1:19" s="59" customFormat="1" ht="18.75" hidden="1" customHeight="1" thickBot="1" x14ac:dyDescent="0.3">
      <c r="A3035" s="59" t="s">
        <v>23</v>
      </c>
      <c r="B3035" s="60" t="str">
        <f t="shared" ref="B3035:B3036" si="2175">IF(K3035=0,"hide","")</f>
        <v>hide</v>
      </c>
      <c r="D3035" s="61" t="str">
        <f>"41548"</f>
        <v>41548</v>
      </c>
      <c r="E3035" s="62" t="str">
        <f>"1"</f>
        <v>1</v>
      </c>
      <c r="F3035" s="63">
        <v>0</v>
      </c>
      <c r="G3035" s="63">
        <v>0</v>
      </c>
      <c r="H3035" s="63">
        <v>5.25</v>
      </c>
      <c r="I3035" s="63">
        <v>0</v>
      </c>
      <c r="J3035" s="63">
        <v>0</v>
      </c>
      <c r="K3035" s="63">
        <f>AVERAGE(I3035:J3035)</f>
        <v>0</v>
      </c>
      <c r="L3035" s="64" t="str">
        <f>"Pumpkin Muffin Tops"</f>
        <v>Pumpkin Muffin Tops</v>
      </c>
      <c r="M3035" s="65" t="str">
        <f>"96-2 oz. 12pks of 8 "</f>
        <v xml:space="preserve">96-2 oz. 12pks of 8 </v>
      </c>
      <c r="N3035" s="66">
        <v>96</v>
      </c>
      <c r="O3035" s="67" t="str">
        <f>""</f>
        <v/>
      </c>
      <c r="P3035" s="68" t="e">
        <f>1/O3035</f>
        <v>#VALUE!</v>
      </c>
      <c r="Q3035" s="53">
        <v>1</v>
      </c>
      <c r="R3035" s="69">
        <f t="shared" ref="R3035" si="2176">1/Q3035</f>
        <v>1</v>
      </c>
      <c r="S3035" s="70">
        <f t="shared" ref="S3035" si="2177">R3035*N3035</f>
        <v>96</v>
      </c>
    </row>
    <row r="3036" spans="1:19" ht="15.6" hidden="1" customHeight="1" thickBot="1" x14ac:dyDescent="0.3">
      <c r="A3036" t="s">
        <v>23</v>
      </c>
      <c r="B3036" s="60" t="str">
        <f t="shared" si="2175"/>
        <v>hide</v>
      </c>
      <c r="D3036" s="48" t="str">
        <f>D3035</f>
        <v>41548</v>
      </c>
      <c r="E3036" s="7"/>
      <c r="F3036" s="27">
        <v>0</v>
      </c>
      <c r="G3036" s="27">
        <v>0</v>
      </c>
      <c r="H3036" s="27">
        <v>0</v>
      </c>
      <c r="I3036" s="27">
        <v>0</v>
      </c>
      <c r="J3036" s="27">
        <v>0</v>
      </c>
      <c r="K3036" s="63">
        <f>AVERAGE(I3036:J3036)</f>
        <v>0</v>
      </c>
      <c r="L3036" s="56" t="str">
        <f>"EQP-LAWPACK1"</f>
        <v>EQP-LAWPACK1</v>
      </c>
      <c r="M3036" s="14"/>
      <c r="N3036" s="15"/>
      <c r="O3036" s="12"/>
      <c r="P3036" s="34"/>
      <c r="Q3036" s="37"/>
      <c r="R3036" s="47"/>
      <c r="S3036" s="46"/>
    </row>
    <row r="3037" spans="1:19" ht="15.6" hidden="1" customHeight="1" thickBot="1" x14ac:dyDescent="0.3">
      <c r="A3037" t="s">
        <v>23</v>
      </c>
      <c r="B3037" s="60" t="str">
        <f t="shared" ref="B3037:B3039" si="2178">IF(K3037=0,"hide","")</f>
        <v>hide</v>
      </c>
      <c r="D3037" s="48" t="str">
        <f>D3036</f>
        <v>41548</v>
      </c>
      <c r="E3037" s="7"/>
      <c r="F3037" s="27">
        <v>0</v>
      </c>
      <c r="G3037" s="27">
        <v>0</v>
      </c>
      <c r="H3037" s="27">
        <v>0</v>
      </c>
      <c r="I3037" s="27">
        <v>0</v>
      </c>
      <c r="J3037" s="27">
        <v>0</v>
      </c>
      <c r="K3037" s="63">
        <f>AVERAGE(I3037:J3037)</f>
        <v>0</v>
      </c>
      <c r="L3037" s="56" t="str">
        <f>"EQP-LAWPACK2"</f>
        <v>EQP-LAWPACK2</v>
      </c>
      <c r="M3037" s="14"/>
      <c r="N3037" s="15"/>
      <c r="O3037" s="12"/>
      <c r="P3037" s="34"/>
      <c r="Q3037" s="37"/>
      <c r="R3037" s="47"/>
      <c r="S3037" s="46"/>
    </row>
    <row r="3038" spans="1:19" ht="15.6" hidden="1" customHeight="1" thickBot="1" x14ac:dyDescent="0.3">
      <c r="A3038" t="s">
        <v>23</v>
      </c>
      <c r="B3038" s="60" t="str">
        <f t="shared" si="2178"/>
        <v>hide</v>
      </c>
      <c r="D3038" s="48" t="str">
        <f>D3037</f>
        <v>41548</v>
      </c>
      <c r="E3038" s="7"/>
      <c r="F3038" s="27">
        <v>0</v>
      </c>
      <c r="G3038" s="27">
        <v>0</v>
      </c>
      <c r="H3038" s="27">
        <v>0</v>
      </c>
      <c r="I3038" s="27">
        <v>0</v>
      </c>
      <c r="J3038" s="27">
        <v>0</v>
      </c>
      <c r="K3038" s="63">
        <f>AVERAGE(I3038:J3038)</f>
        <v>0</v>
      </c>
      <c r="L3038" s="56" t="str">
        <f>"SW-COMAS-PACKL"</f>
        <v>SW-COMAS-PACKL</v>
      </c>
      <c r="M3038" s="14"/>
      <c r="N3038" s="15"/>
      <c r="O3038" s="12"/>
      <c r="P3038" s="34"/>
      <c r="Q3038" s="37"/>
      <c r="R3038" s="47"/>
      <c r="S3038" s="46"/>
    </row>
    <row r="3039" spans="1:19" ht="15.6" hidden="1" customHeight="1" thickBot="1" x14ac:dyDescent="0.3">
      <c r="A3039" t="s">
        <v>23</v>
      </c>
      <c r="B3039" s="60" t="str">
        <f t="shared" si="2178"/>
        <v>hide</v>
      </c>
      <c r="D3039" s="48" t="str">
        <f>D3038</f>
        <v>41548</v>
      </c>
      <c r="E3039" s="7"/>
      <c r="F3039" s="27">
        <v>0</v>
      </c>
      <c r="G3039" s="27">
        <v>0</v>
      </c>
      <c r="H3039" s="27">
        <v>0</v>
      </c>
      <c r="I3039" s="27">
        <v>0</v>
      </c>
      <c r="J3039" s="27">
        <v>0</v>
      </c>
      <c r="K3039" s="63">
        <f>AVERAGE(I3039:J3039)</f>
        <v>0</v>
      </c>
      <c r="L3039" s="56" t="str">
        <f>"SW-RISER-PACK"</f>
        <v>SW-RISER-PACK</v>
      </c>
      <c r="M3039" s="14"/>
      <c r="N3039" s="15"/>
      <c r="O3039" s="12"/>
      <c r="P3039" s="34"/>
      <c r="Q3039" s="37"/>
      <c r="R3039" s="47"/>
      <c r="S3039" s="46"/>
    </row>
    <row r="3040" spans="1:19" ht="12" hidden="1" customHeight="1" x14ac:dyDescent="0.3">
      <c r="A3040" s="35" t="s">
        <v>908</v>
      </c>
      <c r="B3040" s="49" t="str">
        <f>B3036</f>
        <v>hide</v>
      </c>
      <c r="N3040"/>
      <c r="Q3040" s="33"/>
    </row>
    <row r="3041" spans="1:19" ht="13.8" hidden="1" thickBot="1" x14ac:dyDescent="0.3">
      <c r="A3041" t="s">
        <v>23</v>
      </c>
      <c r="B3041" s="49" t="str">
        <f t="shared" ref="B3041" si="2179">B3040</f>
        <v>hide</v>
      </c>
      <c r="D3041" s="58"/>
      <c r="E3041" s="58"/>
      <c r="F3041" s="52">
        <f>SUM(F3036:F3040)</f>
        <v>0</v>
      </c>
      <c r="G3041" s="52">
        <f>SUM(G3036:G3040)</f>
        <v>0</v>
      </c>
      <c r="H3041" s="52">
        <f>SUM(H3036:H3040)</f>
        <v>0</v>
      </c>
      <c r="I3041" s="52">
        <f>SUM(I3036:I3040)</f>
        <v>0</v>
      </c>
      <c r="J3041" s="52">
        <f>SUM(J3036:J3040)</f>
        <v>0</v>
      </c>
      <c r="K3041" s="52"/>
      <c r="L3041" s="51" t="s">
        <v>4</v>
      </c>
      <c r="M3041" s="58"/>
      <c r="N3041" s="58"/>
      <c r="O3041" s="58"/>
      <c r="P3041" s="58"/>
      <c r="Q3041" s="58"/>
      <c r="R3041" s="58"/>
      <c r="S3041" s="58"/>
    </row>
    <row r="3042" spans="1:19" s="59" customFormat="1" ht="18.75" hidden="1" customHeight="1" thickBot="1" x14ac:dyDescent="0.3">
      <c r="A3042" s="59" t="s">
        <v>23</v>
      </c>
      <c r="B3042" s="60" t="str">
        <f t="shared" ref="B3042:B3043" si="2180">IF(K3042=0,"hide","")</f>
        <v>hide</v>
      </c>
      <c r="D3042" s="61" t="str">
        <f>"41667"</f>
        <v>41667</v>
      </c>
      <c r="E3042" s="62" t="str">
        <f>"1"</f>
        <v>1</v>
      </c>
      <c r="F3042" s="63">
        <v>0</v>
      </c>
      <c r="G3042" s="63">
        <v>0</v>
      </c>
      <c r="H3042" s="63">
        <v>0</v>
      </c>
      <c r="I3042" s="63">
        <v>0</v>
      </c>
      <c r="J3042" s="63">
        <v>0</v>
      </c>
      <c r="K3042" s="63">
        <f>AVERAGE(I3042:J3042)</f>
        <v>0</v>
      </c>
      <c r="L3042" s="64" t="str">
        <f>""</f>
        <v/>
      </c>
      <c r="M3042" s="65" t="str">
        <f>""</f>
        <v/>
      </c>
      <c r="N3042" s="66" t="str">
        <f>""</f>
        <v/>
      </c>
      <c r="O3042" s="67" t="str">
        <f>""</f>
        <v/>
      </c>
      <c r="P3042" s="68" t="e">
        <f>1/O3042</f>
        <v>#VALUE!</v>
      </c>
      <c r="Q3042" s="53">
        <v>1</v>
      </c>
      <c r="R3042" s="69">
        <f t="shared" ref="R3042" si="2181">1/Q3042</f>
        <v>1</v>
      </c>
      <c r="S3042" s="70" t="e">
        <f t="shared" ref="S3042" si="2182">R3042*N3042</f>
        <v>#VALUE!</v>
      </c>
    </row>
    <row r="3043" spans="1:19" ht="15.6" hidden="1" customHeight="1" thickBot="1" x14ac:dyDescent="0.3">
      <c r="A3043" t="s">
        <v>23</v>
      </c>
      <c r="B3043" s="60" t="str">
        <f t="shared" si="2180"/>
        <v>hide</v>
      </c>
      <c r="D3043" s="48" t="str">
        <f>D3042</f>
        <v>41667</v>
      </c>
      <c r="E3043" s="7"/>
      <c r="F3043" s="27">
        <v>0</v>
      </c>
      <c r="G3043" s="27">
        <v>0</v>
      </c>
      <c r="H3043" s="27">
        <v>0</v>
      </c>
      <c r="I3043" s="27">
        <v>0</v>
      </c>
      <c r="J3043" s="27">
        <v>0</v>
      </c>
      <c r="K3043" s="63">
        <f>AVERAGE(I3043:J3043)</f>
        <v>0</v>
      </c>
      <c r="L3043" s="56" t="str">
        <f>"EQP-LAWPACK1"</f>
        <v>EQP-LAWPACK1</v>
      </c>
      <c r="M3043" s="14"/>
      <c r="N3043" s="15"/>
      <c r="O3043" s="12"/>
      <c r="P3043" s="34"/>
      <c r="Q3043" s="37"/>
      <c r="R3043" s="47"/>
      <c r="S3043" s="46"/>
    </row>
    <row r="3044" spans="1:19" ht="15.6" hidden="1" customHeight="1" thickBot="1" x14ac:dyDescent="0.3">
      <c r="A3044" t="s">
        <v>23</v>
      </c>
      <c r="B3044" s="60" t="str">
        <f t="shared" ref="B3044:B3046" si="2183">IF(K3044=0,"hide","")</f>
        <v>hide</v>
      </c>
      <c r="D3044" s="48" t="str">
        <f>D3043</f>
        <v>41667</v>
      </c>
      <c r="E3044" s="7"/>
      <c r="F3044" s="27">
        <v>0</v>
      </c>
      <c r="G3044" s="27">
        <v>0</v>
      </c>
      <c r="H3044" s="27">
        <v>0</v>
      </c>
      <c r="I3044" s="27">
        <v>0</v>
      </c>
      <c r="J3044" s="27">
        <v>0</v>
      </c>
      <c r="K3044" s="63">
        <f>AVERAGE(I3044:J3044)</f>
        <v>0</v>
      </c>
      <c r="L3044" s="56" t="str">
        <f>"EQP-LAWPACK2"</f>
        <v>EQP-LAWPACK2</v>
      </c>
      <c r="M3044" s="14"/>
      <c r="N3044" s="15"/>
      <c r="O3044" s="12"/>
      <c r="P3044" s="34"/>
      <c r="Q3044" s="37"/>
      <c r="R3044" s="47"/>
      <c r="S3044" s="46"/>
    </row>
    <row r="3045" spans="1:19" ht="15.6" hidden="1" customHeight="1" thickBot="1" x14ac:dyDescent="0.3">
      <c r="A3045" t="s">
        <v>23</v>
      </c>
      <c r="B3045" s="60" t="str">
        <f t="shared" si="2183"/>
        <v>hide</v>
      </c>
      <c r="D3045" s="48" t="str">
        <f>D3044</f>
        <v>41667</v>
      </c>
      <c r="E3045" s="7"/>
      <c r="F3045" s="27">
        <v>0</v>
      </c>
      <c r="G3045" s="27">
        <v>0</v>
      </c>
      <c r="H3045" s="27">
        <v>0</v>
      </c>
      <c r="I3045" s="27">
        <v>0</v>
      </c>
      <c r="J3045" s="27">
        <v>0</v>
      </c>
      <c r="K3045" s="63">
        <f>AVERAGE(I3045:J3045)</f>
        <v>0</v>
      </c>
      <c r="L3045" s="56" t="str">
        <f>"SW-COMAS-PACKL"</f>
        <v>SW-COMAS-PACKL</v>
      </c>
      <c r="M3045" s="14"/>
      <c r="N3045" s="15"/>
      <c r="O3045" s="12"/>
      <c r="P3045" s="34"/>
      <c r="Q3045" s="37"/>
      <c r="R3045" s="47"/>
      <c r="S3045" s="46"/>
    </row>
    <row r="3046" spans="1:19" ht="15.6" hidden="1" customHeight="1" thickBot="1" x14ac:dyDescent="0.3">
      <c r="A3046" t="s">
        <v>23</v>
      </c>
      <c r="B3046" s="60" t="str">
        <f t="shared" si="2183"/>
        <v>hide</v>
      </c>
      <c r="D3046" s="48" t="str">
        <f>D3045</f>
        <v>41667</v>
      </c>
      <c r="E3046" s="7"/>
      <c r="F3046" s="27">
        <v>0</v>
      </c>
      <c r="G3046" s="27">
        <v>0</v>
      </c>
      <c r="H3046" s="27">
        <v>0</v>
      </c>
      <c r="I3046" s="27">
        <v>0</v>
      </c>
      <c r="J3046" s="27">
        <v>0</v>
      </c>
      <c r="K3046" s="63">
        <f>AVERAGE(I3046:J3046)</f>
        <v>0</v>
      </c>
      <c r="L3046" s="56" t="str">
        <f>"SW-RISER-PACK"</f>
        <v>SW-RISER-PACK</v>
      </c>
      <c r="M3046" s="14"/>
      <c r="N3046" s="15"/>
      <c r="O3046" s="12"/>
      <c r="P3046" s="34"/>
      <c r="Q3046" s="37"/>
      <c r="R3046" s="47"/>
      <c r="S3046" s="46"/>
    </row>
    <row r="3047" spans="1:19" ht="12" hidden="1" customHeight="1" x14ac:dyDescent="0.3">
      <c r="A3047" s="35" t="s">
        <v>908</v>
      </c>
      <c r="B3047" s="49" t="str">
        <f>B3043</f>
        <v>hide</v>
      </c>
      <c r="N3047"/>
      <c r="Q3047" s="33"/>
    </row>
    <row r="3048" spans="1:19" ht="13.8" hidden="1" thickBot="1" x14ac:dyDescent="0.3">
      <c r="A3048" t="s">
        <v>23</v>
      </c>
      <c r="B3048" s="49" t="str">
        <f t="shared" ref="B3048" si="2184">B3047</f>
        <v>hide</v>
      </c>
      <c r="D3048" s="58"/>
      <c r="E3048" s="58"/>
      <c r="F3048" s="52">
        <f>SUM(F3043:F3047)</f>
        <v>0</v>
      </c>
      <c r="G3048" s="52">
        <f>SUM(G3043:G3047)</f>
        <v>0</v>
      </c>
      <c r="H3048" s="52">
        <f>SUM(H3043:H3047)</f>
        <v>0</v>
      </c>
      <c r="I3048" s="52">
        <f>SUM(I3043:I3047)</f>
        <v>0</v>
      </c>
      <c r="J3048" s="52">
        <f>SUM(J3043:J3047)</f>
        <v>0</v>
      </c>
      <c r="K3048" s="52"/>
      <c r="L3048" s="51" t="s">
        <v>4</v>
      </c>
      <c r="M3048" s="58"/>
      <c r="N3048" s="58"/>
      <c r="O3048" s="58"/>
      <c r="P3048" s="58"/>
      <c r="Q3048" s="58"/>
      <c r="R3048" s="58"/>
      <c r="S3048" s="58"/>
    </row>
    <row r="3049" spans="1:19" s="59" customFormat="1" ht="18.75" hidden="1" customHeight="1" thickBot="1" x14ac:dyDescent="0.3">
      <c r="A3049" s="59" t="s">
        <v>23</v>
      </c>
      <c r="B3049" s="60" t="str">
        <f t="shared" ref="B3049:B3050" si="2185">IF(K3049=0,"hide","")</f>
        <v>hide</v>
      </c>
      <c r="D3049" s="61" t="str">
        <f>"41673"</f>
        <v>41673</v>
      </c>
      <c r="E3049" s="62" t="str">
        <f>"1"</f>
        <v>1</v>
      </c>
      <c r="F3049" s="63">
        <v>0</v>
      </c>
      <c r="G3049" s="63">
        <v>0</v>
      </c>
      <c r="H3049" s="63">
        <v>0</v>
      </c>
      <c r="I3049" s="63">
        <v>0</v>
      </c>
      <c r="J3049" s="63">
        <v>0</v>
      </c>
      <c r="K3049" s="63">
        <f>AVERAGE(I3049:J3049)</f>
        <v>0</v>
      </c>
      <c r="L3049" s="64" t="str">
        <f>""</f>
        <v/>
      </c>
      <c r="M3049" s="65" t="str">
        <f>""</f>
        <v/>
      </c>
      <c r="N3049" s="66" t="str">
        <f>""</f>
        <v/>
      </c>
      <c r="O3049" s="67" t="str">
        <f>""</f>
        <v/>
      </c>
      <c r="P3049" s="68" t="e">
        <f>1/O3049</f>
        <v>#VALUE!</v>
      </c>
      <c r="Q3049" s="53">
        <v>1</v>
      </c>
      <c r="R3049" s="69">
        <f t="shared" ref="R3049" si="2186">1/Q3049</f>
        <v>1</v>
      </c>
      <c r="S3049" s="70" t="e">
        <f t="shared" ref="S3049" si="2187">R3049*N3049</f>
        <v>#VALUE!</v>
      </c>
    </row>
    <row r="3050" spans="1:19" ht="15.6" hidden="1" customHeight="1" thickBot="1" x14ac:dyDescent="0.3">
      <c r="A3050" t="s">
        <v>23</v>
      </c>
      <c r="B3050" s="60" t="str">
        <f t="shared" si="2185"/>
        <v>hide</v>
      </c>
      <c r="D3050" s="48" t="str">
        <f>D3049</f>
        <v>41673</v>
      </c>
      <c r="E3050" s="7"/>
      <c r="F3050" s="27">
        <v>0</v>
      </c>
      <c r="G3050" s="27">
        <v>0</v>
      </c>
      <c r="H3050" s="27">
        <v>0</v>
      </c>
      <c r="I3050" s="27">
        <v>0</v>
      </c>
      <c r="J3050" s="27">
        <v>0</v>
      </c>
      <c r="K3050" s="63">
        <f>AVERAGE(I3050:J3050)</f>
        <v>0</v>
      </c>
      <c r="L3050" s="56" t="str">
        <f>"EQP-LAWPACK1"</f>
        <v>EQP-LAWPACK1</v>
      </c>
      <c r="M3050" s="14"/>
      <c r="N3050" s="15"/>
      <c r="O3050" s="12"/>
      <c r="P3050" s="34"/>
      <c r="Q3050" s="37"/>
      <c r="R3050" s="47"/>
      <c r="S3050" s="46"/>
    </row>
    <row r="3051" spans="1:19" ht="15.6" hidden="1" customHeight="1" thickBot="1" x14ac:dyDescent="0.3">
      <c r="A3051" t="s">
        <v>23</v>
      </c>
      <c r="B3051" s="60" t="str">
        <f t="shared" ref="B3051:B3053" si="2188">IF(K3051=0,"hide","")</f>
        <v>hide</v>
      </c>
      <c r="D3051" s="48" t="str">
        <f>D3050</f>
        <v>41673</v>
      </c>
      <c r="E3051" s="7"/>
      <c r="F3051" s="27">
        <v>0</v>
      </c>
      <c r="G3051" s="27">
        <v>0</v>
      </c>
      <c r="H3051" s="27">
        <v>0</v>
      </c>
      <c r="I3051" s="27">
        <v>0</v>
      </c>
      <c r="J3051" s="27">
        <v>0</v>
      </c>
      <c r="K3051" s="63">
        <f>AVERAGE(I3051:J3051)</f>
        <v>0</v>
      </c>
      <c r="L3051" s="56" t="str">
        <f>"EQP-LAWPACK2"</f>
        <v>EQP-LAWPACK2</v>
      </c>
      <c r="M3051" s="14"/>
      <c r="N3051" s="15"/>
      <c r="O3051" s="12"/>
      <c r="P3051" s="34"/>
      <c r="Q3051" s="37"/>
      <c r="R3051" s="47"/>
      <c r="S3051" s="46"/>
    </row>
    <row r="3052" spans="1:19" ht="15.6" hidden="1" customHeight="1" thickBot="1" x14ac:dyDescent="0.3">
      <c r="A3052" t="s">
        <v>23</v>
      </c>
      <c r="B3052" s="60" t="str">
        <f t="shared" si="2188"/>
        <v>hide</v>
      </c>
      <c r="D3052" s="48" t="str">
        <f>D3051</f>
        <v>41673</v>
      </c>
      <c r="E3052" s="7"/>
      <c r="F3052" s="27">
        <v>0</v>
      </c>
      <c r="G3052" s="27">
        <v>0</v>
      </c>
      <c r="H3052" s="27">
        <v>0</v>
      </c>
      <c r="I3052" s="27">
        <v>0</v>
      </c>
      <c r="J3052" s="27">
        <v>0</v>
      </c>
      <c r="K3052" s="63">
        <f>AVERAGE(I3052:J3052)</f>
        <v>0</v>
      </c>
      <c r="L3052" s="56" t="str">
        <f>"SW-COMAS-PACKL"</f>
        <v>SW-COMAS-PACKL</v>
      </c>
      <c r="M3052" s="14"/>
      <c r="N3052" s="15"/>
      <c r="O3052" s="12"/>
      <c r="P3052" s="34"/>
      <c r="Q3052" s="37"/>
      <c r="R3052" s="47"/>
      <c r="S3052" s="46"/>
    </row>
    <row r="3053" spans="1:19" ht="15.6" hidden="1" customHeight="1" thickBot="1" x14ac:dyDescent="0.3">
      <c r="A3053" t="s">
        <v>23</v>
      </c>
      <c r="B3053" s="60" t="str">
        <f t="shared" si="2188"/>
        <v>hide</v>
      </c>
      <c r="D3053" s="48" t="str">
        <f>D3052</f>
        <v>41673</v>
      </c>
      <c r="E3053" s="7"/>
      <c r="F3053" s="27">
        <v>0</v>
      </c>
      <c r="G3053" s="27">
        <v>0</v>
      </c>
      <c r="H3053" s="27">
        <v>0</v>
      </c>
      <c r="I3053" s="27">
        <v>0</v>
      </c>
      <c r="J3053" s="27">
        <v>0</v>
      </c>
      <c r="K3053" s="63">
        <f>AVERAGE(I3053:J3053)</f>
        <v>0</v>
      </c>
      <c r="L3053" s="56" t="str">
        <f>"SW-RISER-PACK"</f>
        <v>SW-RISER-PACK</v>
      </c>
      <c r="M3053" s="14"/>
      <c r="N3053" s="15"/>
      <c r="O3053" s="12"/>
      <c r="P3053" s="34"/>
      <c r="Q3053" s="37"/>
      <c r="R3053" s="47"/>
      <c r="S3053" s="46"/>
    </row>
    <row r="3054" spans="1:19" ht="12" hidden="1" customHeight="1" x14ac:dyDescent="0.3">
      <c r="A3054" s="35" t="s">
        <v>908</v>
      </c>
      <c r="B3054" s="49" t="str">
        <f>B3050</f>
        <v>hide</v>
      </c>
      <c r="N3054"/>
      <c r="Q3054" s="33"/>
    </row>
    <row r="3055" spans="1:19" ht="13.8" hidden="1" thickBot="1" x14ac:dyDescent="0.3">
      <c r="A3055" t="s">
        <v>23</v>
      </c>
      <c r="B3055" s="49" t="str">
        <f t="shared" ref="B3055" si="2189">B3054</f>
        <v>hide</v>
      </c>
      <c r="D3055" s="58"/>
      <c r="E3055" s="58"/>
      <c r="F3055" s="52">
        <f>SUM(F3050:F3054)</f>
        <v>0</v>
      </c>
      <c r="G3055" s="52">
        <f>SUM(G3050:G3054)</f>
        <v>0</v>
      </c>
      <c r="H3055" s="52">
        <f>SUM(H3050:H3054)</f>
        <v>0</v>
      </c>
      <c r="I3055" s="52">
        <f>SUM(I3050:I3054)</f>
        <v>0</v>
      </c>
      <c r="J3055" s="52">
        <f>SUM(J3050:J3054)</f>
        <v>0</v>
      </c>
      <c r="K3055" s="52"/>
      <c r="L3055" s="51" t="s">
        <v>4</v>
      </c>
      <c r="M3055" s="58"/>
      <c r="N3055" s="58"/>
      <c r="O3055" s="58"/>
      <c r="P3055" s="58"/>
      <c r="Q3055" s="58"/>
      <c r="R3055" s="58"/>
      <c r="S3055" s="58"/>
    </row>
    <row r="3056" spans="1:19" s="59" customFormat="1" ht="18.75" customHeight="1" thickBot="1" x14ac:dyDescent="0.3">
      <c r="A3056" s="59" t="s">
        <v>23</v>
      </c>
      <c r="B3056" s="60" t="str">
        <f t="shared" ref="B3056:B3057" si="2190">IF(K3056=0,"hide","")</f>
        <v/>
      </c>
      <c r="D3056" s="61" t="str">
        <f>"41701"</f>
        <v>41701</v>
      </c>
      <c r="E3056" s="62" t="str">
        <f>"1"</f>
        <v>1</v>
      </c>
      <c r="F3056" s="63">
        <v>0</v>
      </c>
      <c r="G3056" s="63">
        <v>0</v>
      </c>
      <c r="H3056" s="63">
        <v>0</v>
      </c>
      <c r="I3056" s="63">
        <v>0</v>
      </c>
      <c r="J3056" s="63">
        <v>12.88843373493976</v>
      </c>
      <c r="K3056" s="63">
        <f>AVERAGE(I3056:J3056)</f>
        <v>6.4442168674698799</v>
      </c>
      <c r="L3056" s="64" t="str">
        <f>"Blueberry TOPS -Sabrinas"</f>
        <v>Blueberry TOPS -Sabrinas</v>
      </c>
      <c r="M3056" s="65" t="str">
        <f>"96-2 oz. 12 packages of 8"</f>
        <v>96-2 oz. 12 packages of 8</v>
      </c>
      <c r="N3056" s="66">
        <v>96</v>
      </c>
      <c r="O3056" s="67">
        <v>8.0000000000000002E-3</v>
      </c>
      <c r="P3056" s="68">
        <f>1/O3056</f>
        <v>125</v>
      </c>
      <c r="Q3056" s="53">
        <v>8.0000000000000002E-3</v>
      </c>
      <c r="R3056" s="69">
        <f t="shared" ref="R3056" si="2191">1/Q3056</f>
        <v>125</v>
      </c>
      <c r="S3056" s="70">
        <f t="shared" ref="S3056" si="2192">R3056*N3056</f>
        <v>12000</v>
      </c>
    </row>
    <row r="3057" spans="1:19" ht="15.6" hidden="1" customHeight="1" thickBot="1" x14ac:dyDescent="0.3">
      <c r="A3057" t="s">
        <v>23</v>
      </c>
      <c r="B3057" s="60" t="str">
        <f t="shared" si="2190"/>
        <v>hide</v>
      </c>
      <c r="D3057" s="48" t="str">
        <f>D3056</f>
        <v>41701</v>
      </c>
      <c r="E3057" s="7"/>
      <c r="F3057" s="27">
        <v>0</v>
      </c>
      <c r="G3057" s="27">
        <v>0</v>
      </c>
      <c r="H3057" s="27">
        <v>0</v>
      </c>
      <c r="I3057" s="27">
        <v>0</v>
      </c>
      <c r="J3057" s="27">
        <v>0</v>
      </c>
      <c r="K3057" s="63">
        <f>AVERAGE(I3057:J3057)</f>
        <v>0</v>
      </c>
      <c r="L3057" s="56" t="str">
        <f>"EQP-LAWPACK1"</f>
        <v>EQP-LAWPACK1</v>
      </c>
      <c r="M3057" s="14"/>
      <c r="N3057" s="15"/>
      <c r="O3057" s="12"/>
      <c r="P3057" s="34"/>
      <c r="Q3057" s="37"/>
      <c r="R3057" s="47"/>
      <c r="S3057" s="46"/>
    </row>
    <row r="3058" spans="1:19" ht="15.6" hidden="1" customHeight="1" thickBot="1" x14ac:dyDescent="0.3">
      <c r="A3058" t="s">
        <v>23</v>
      </c>
      <c r="B3058" s="60" t="str">
        <f t="shared" ref="B3058:B3060" si="2193">IF(K3058=0,"hide","")</f>
        <v>hide</v>
      </c>
      <c r="D3058" s="48" t="str">
        <f>D3057</f>
        <v>41701</v>
      </c>
      <c r="E3058" s="7"/>
      <c r="F3058" s="27">
        <v>0</v>
      </c>
      <c r="G3058" s="27">
        <v>0</v>
      </c>
      <c r="H3058" s="27">
        <v>0</v>
      </c>
      <c r="I3058" s="27">
        <v>0</v>
      </c>
      <c r="J3058" s="27">
        <v>0</v>
      </c>
      <c r="K3058" s="63">
        <f>AVERAGE(I3058:J3058)</f>
        <v>0</v>
      </c>
      <c r="L3058" s="56" t="str">
        <f>"EQP-LAWPACK2"</f>
        <v>EQP-LAWPACK2</v>
      </c>
      <c r="M3058" s="14"/>
      <c r="N3058" s="15"/>
      <c r="O3058" s="12"/>
      <c r="P3058" s="34"/>
      <c r="Q3058" s="37"/>
      <c r="R3058" s="47"/>
      <c r="S3058" s="46"/>
    </row>
    <row r="3059" spans="1:19" ht="15.6" hidden="1" customHeight="1" thickBot="1" x14ac:dyDescent="0.3">
      <c r="A3059" t="s">
        <v>23</v>
      </c>
      <c r="B3059" s="60" t="str">
        <f t="shared" si="2193"/>
        <v>hide</v>
      </c>
      <c r="D3059" s="48" t="str">
        <f>D3058</f>
        <v>41701</v>
      </c>
      <c r="E3059" s="7"/>
      <c r="F3059" s="27">
        <v>0</v>
      </c>
      <c r="G3059" s="27">
        <v>0</v>
      </c>
      <c r="H3059" s="27">
        <v>0</v>
      </c>
      <c r="I3059" s="27">
        <v>0</v>
      </c>
      <c r="J3059" s="27">
        <v>0</v>
      </c>
      <c r="K3059" s="63">
        <f>AVERAGE(I3059:J3059)</f>
        <v>0</v>
      </c>
      <c r="L3059" s="56" t="str">
        <f>"SW-COMAS-PACKL"</f>
        <v>SW-COMAS-PACKL</v>
      </c>
      <c r="M3059" s="14"/>
      <c r="N3059" s="15"/>
      <c r="O3059" s="12"/>
      <c r="P3059" s="34"/>
      <c r="Q3059" s="37"/>
      <c r="R3059" s="47"/>
      <c r="S3059" s="46"/>
    </row>
    <row r="3060" spans="1:19" ht="15.6" hidden="1" customHeight="1" thickBot="1" x14ac:dyDescent="0.3">
      <c r="A3060" t="s">
        <v>23</v>
      </c>
      <c r="B3060" s="60" t="str">
        <f t="shared" si="2193"/>
        <v>hide</v>
      </c>
      <c r="D3060" s="48" t="str">
        <f>D3059</f>
        <v>41701</v>
      </c>
      <c r="E3060" s="7"/>
      <c r="F3060" s="27">
        <v>0</v>
      </c>
      <c r="G3060" s="27">
        <v>0</v>
      </c>
      <c r="H3060" s="27">
        <v>0</v>
      </c>
      <c r="I3060" s="27">
        <v>0</v>
      </c>
      <c r="J3060" s="27">
        <v>0</v>
      </c>
      <c r="K3060" s="63">
        <f>AVERAGE(I3060:J3060)</f>
        <v>0</v>
      </c>
      <c r="L3060" s="56" t="str">
        <f>"SW-RISER-PACK"</f>
        <v>SW-RISER-PACK</v>
      </c>
      <c r="M3060" s="14"/>
      <c r="N3060" s="15"/>
      <c r="O3060" s="12"/>
      <c r="P3060" s="34"/>
      <c r="Q3060" s="37"/>
      <c r="R3060" s="47"/>
      <c r="S3060" s="46"/>
    </row>
    <row r="3061" spans="1:19" ht="12" hidden="1" customHeight="1" x14ac:dyDescent="0.3">
      <c r="A3061" s="35" t="s">
        <v>908</v>
      </c>
      <c r="B3061" s="49" t="str">
        <f>B3057</f>
        <v>hide</v>
      </c>
      <c r="N3061"/>
      <c r="Q3061" s="33"/>
    </row>
    <row r="3062" spans="1:19" ht="13.8" hidden="1" thickBot="1" x14ac:dyDescent="0.3">
      <c r="A3062" t="s">
        <v>23</v>
      </c>
      <c r="B3062" s="49" t="str">
        <f t="shared" ref="B3062" si="2194">B3061</f>
        <v>hide</v>
      </c>
      <c r="D3062" s="58"/>
      <c r="E3062" s="58"/>
      <c r="F3062" s="52">
        <f>SUM(F3057:F3061)</f>
        <v>0</v>
      </c>
      <c r="G3062" s="52">
        <f>SUM(G3057:G3061)</f>
        <v>0</v>
      </c>
      <c r="H3062" s="52">
        <f>SUM(H3057:H3061)</f>
        <v>0</v>
      </c>
      <c r="I3062" s="52">
        <f>SUM(I3057:I3061)</f>
        <v>0</v>
      </c>
      <c r="J3062" s="52">
        <f>SUM(J3057:J3061)</f>
        <v>0</v>
      </c>
      <c r="K3062" s="52"/>
      <c r="L3062" s="51" t="s">
        <v>4</v>
      </c>
      <c r="M3062" s="58"/>
      <c r="N3062" s="58"/>
      <c r="O3062" s="58"/>
      <c r="P3062" s="58"/>
      <c r="Q3062" s="58"/>
      <c r="R3062" s="58"/>
      <c r="S3062" s="58"/>
    </row>
    <row r="3063" spans="1:19" s="59" customFormat="1" ht="18.75" customHeight="1" thickBot="1" x14ac:dyDescent="0.3">
      <c r="A3063" s="59" t="s">
        <v>23</v>
      </c>
      <c r="B3063" s="60" t="str">
        <f t="shared" ref="B3063:B3064" si="2195">IF(K3063=0,"hide","")</f>
        <v/>
      </c>
      <c r="D3063" s="61" t="str">
        <f>"41705"</f>
        <v>41705</v>
      </c>
      <c r="E3063" s="62" t="str">
        <f>"1"</f>
        <v>1</v>
      </c>
      <c r="F3063" s="63">
        <v>0</v>
      </c>
      <c r="G3063" s="63">
        <v>0</v>
      </c>
      <c r="H3063" s="63">
        <v>0</v>
      </c>
      <c r="I3063" s="63">
        <v>0</v>
      </c>
      <c r="J3063" s="63">
        <v>12.88843373493976</v>
      </c>
      <c r="K3063" s="63">
        <f>AVERAGE(I3063:J3063)</f>
        <v>6.4442168674698799</v>
      </c>
      <c r="L3063" s="64" t="str">
        <f>"Corn TOPS -Sabrinas"</f>
        <v>Corn TOPS -Sabrinas</v>
      </c>
      <c r="M3063" s="65" t="str">
        <f>"96-2 oz. 12 packages of 8"</f>
        <v>96-2 oz. 12 packages of 8</v>
      </c>
      <c r="N3063" s="66">
        <v>96</v>
      </c>
      <c r="O3063" s="67">
        <v>8.0000000000000002E-3</v>
      </c>
      <c r="P3063" s="68">
        <f>1/O3063</f>
        <v>125</v>
      </c>
      <c r="Q3063" s="53">
        <v>8.0000000000000002E-3</v>
      </c>
      <c r="R3063" s="69">
        <f t="shared" ref="R3063" si="2196">1/Q3063</f>
        <v>125</v>
      </c>
      <c r="S3063" s="70">
        <f t="shared" ref="S3063" si="2197">R3063*N3063</f>
        <v>12000</v>
      </c>
    </row>
    <row r="3064" spans="1:19" ht="15.6" hidden="1" customHeight="1" thickBot="1" x14ac:dyDescent="0.3">
      <c r="A3064" t="s">
        <v>23</v>
      </c>
      <c r="B3064" s="60" t="str">
        <f t="shared" si="2195"/>
        <v>hide</v>
      </c>
      <c r="D3064" s="48" t="str">
        <f>D3063</f>
        <v>41705</v>
      </c>
      <c r="E3064" s="7"/>
      <c r="F3064" s="27">
        <v>0</v>
      </c>
      <c r="G3064" s="27">
        <v>0</v>
      </c>
      <c r="H3064" s="27">
        <v>0</v>
      </c>
      <c r="I3064" s="27">
        <v>0</v>
      </c>
      <c r="J3064" s="27">
        <v>0</v>
      </c>
      <c r="K3064" s="63">
        <f>AVERAGE(I3064:J3064)</f>
        <v>0</v>
      </c>
      <c r="L3064" s="56" t="str">
        <f>"EQP-LAWPACK1"</f>
        <v>EQP-LAWPACK1</v>
      </c>
      <c r="M3064" s="14"/>
      <c r="N3064" s="15"/>
      <c r="O3064" s="12"/>
      <c r="P3064" s="34"/>
      <c r="Q3064" s="37"/>
      <c r="R3064" s="47"/>
      <c r="S3064" s="46"/>
    </row>
    <row r="3065" spans="1:19" ht="15.6" hidden="1" customHeight="1" thickBot="1" x14ac:dyDescent="0.3">
      <c r="A3065" t="s">
        <v>23</v>
      </c>
      <c r="B3065" s="60" t="str">
        <f t="shared" ref="B3065:B3067" si="2198">IF(K3065=0,"hide","")</f>
        <v>hide</v>
      </c>
      <c r="D3065" s="48" t="str">
        <f>D3064</f>
        <v>41705</v>
      </c>
      <c r="E3065" s="7"/>
      <c r="F3065" s="27">
        <v>0</v>
      </c>
      <c r="G3065" s="27">
        <v>0</v>
      </c>
      <c r="H3065" s="27">
        <v>0</v>
      </c>
      <c r="I3065" s="27">
        <v>0</v>
      </c>
      <c r="J3065" s="27">
        <v>0</v>
      </c>
      <c r="K3065" s="63">
        <f>AVERAGE(I3065:J3065)</f>
        <v>0</v>
      </c>
      <c r="L3065" s="56" t="str">
        <f>"EQP-LAWPACK2"</f>
        <v>EQP-LAWPACK2</v>
      </c>
      <c r="M3065" s="14"/>
      <c r="N3065" s="15"/>
      <c r="O3065" s="12"/>
      <c r="P3065" s="34"/>
      <c r="Q3065" s="37"/>
      <c r="R3065" s="47"/>
      <c r="S3065" s="46"/>
    </row>
    <row r="3066" spans="1:19" ht="15.6" hidden="1" customHeight="1" thickBot="1" x14ac:dyDescent="0.3">
      <c r="A3066" t="s">
        <v>23</v>
      </c>
      <c r="B3066" s="60" t="str">
        <f t="shared" si="2198"/>
        <v>hide</v>
      </c>
      <c r="D3066" s="48" t="str">
        <f>D3065</f>
        <v>41705</v>
      </c>
      <c r="E3066" s="7"/>
      <c r="F3066" s="27">
        <v>0</v>
      </c>
      <c r="G3066" s="27">
        <v>0</v>
      </c>
      <c r="H3066" s="27">
        <v>0</v>
      </c>
      <c r="I3066" s="27">
        <v>0</v>
      </c>
      <c r="J3066" s="27">
        <v>0</v>
      </c>
      <c r="K3066" s="63">
        <f>AVERAGE(I3066:J3066)</f>
        <v>0</v>
      </c>
      <c r="L3066" s="56" t="str">
        <f>"SW-COMAS-PACKL"</f>
        <v>SW-COMAS-PACKL</v>
      </c>
      <c r="M3066" s="14"/>
      <c r="N3066" s="15"/>
      <c r="O3066" s="12"/>
      <c r="P3066" s="34"/>
      <c r="Q3066" s="37"/>
      <c r="R3066" s="47"/>
      <c r="S3066" s="46"/>
    </row>
    <row r="3067" spans="1:19" ht="15.6" hidden="1" customHeight="1" thickBot="1" x14ac:dyDescent="0.3">
      <c r="A3067" t="s">
        <v>23</v>
      </c>
      <c r="B3067" s="60" t="str">
        <f t="shared" si="2198"/>
        <v>hide</v>
      </c>
      <c r="D3067" s="48" t="str">
        <f>D3066</f>
        <v>41705</v>
      </c>
      <c r="E3067" s="7"/>
      <c r="F3067" s="27">
        <v>0</v>
      </c>
      <c r="G3067" s="27">
        <v>0</v>
      </c>
      <c r="H3067" s="27">
        <v>0</v>
      </c>
      <c r="I3067" s="27">
        <v>0</v>
      </c>
      <c r="J3067" s="27">
        <v>0</v>
      </c>
      <c r="K3067" s="63">
        <f>AVERAGE(I3067:J3067)</f>
        <v>0</v>
      </c>
      <c r="L3067" s="56" t="str">
        <f>"SW-RISER-PACK"</f>
        <v>SW-RISER-PACK</v>
      </c>
      <c r="M3067" s="14"/>
      <c r="N3067" s="15"/>
      <c r="O3067" s="12"/>
      <c r="P3067" s="34"/>
      <c r="Q3067" s="37"/>
      <c r="R3067" s="47"/>
      <c r="S3067" s="46"/>
    </row>
    <row r="3068" spans="1:19" ht="12" hidden="1" customHeight="1" x14ac:dyDescent="0.3">
      <c r="A3068" s="35" t="s">
        <v>908</v>
      </c>
      <c r="B3068" s="49" t="str">
        <f>B3064</f>
        <v>hide</v>
      </c>
      <c r="N3068"/>
      <c r="Q3068" s="33"/>
    </row>
    <row r="3069" spans="1:19" ht="13.8" hidden="1" thickBot="1" x14ac:dyDescent="0.3">
      <c r="A3069" t="s">
        <v>23</v>
      </c>
      <c r="B3069" s="49" t="str">
        <f t="shared" ref="B3069" si="2199">B3068</f>
        <v>hide</v>
      </c>
      <c r="D3069" s="58"/>
      <c r="E3069" s="58"/>
      <c r="F3069" s="52">
        <f>SUM(F3064:F3068)</f>
        <v>0</v>
      </c>
      <c r="G3069" s="52">
        <f>SUM(G3064:G3068)</f>
        <v>0</v>
      </c>
      <c r="H3069" s="52">
        <f>SUM(H3064:H3068)</f>
        <v>0</v>
      </c>
      <c r="I3069" s="52">
        <f>SUM(I3064:I3068)</f>
        <v>0</v>
      </c>
      <c r="J3069" s="52">
        <f>SUM(J3064:J3068)</f>
        <v>0</v>
      </c>
      <c r="K3069" s="52"/>
      <c r="L3069" s="51" t="s">
        <v>4</v>
      </c>
      <c r="M3069" s="58"/>
      <c r="N3069" s="58"/>
      <c r="O3069" s="58"/>
      <c r="P3069" s="58"/>
      <c r="Q3069" s="58"/>
      <c r="R3069" s="58"/>
      <c r="S3069" s="58"/>
    </row>
    <row r="3070" spans="1:19" s="59" customFormat="1" ht="18.75" customHeight="1" thickBot="1" x14ac:dyDescent="0.3">
      <c r="A3070" s="59" t="s">
        <v>23</v>
      </c>
      <c r="B3070" s="60" t="str">
        <f t="shared" ref="B3070:B3071" si="2200">IF(K3070=0,"hide","")</f>
        <v/>
      </c>
      <c r="D3070" s="61" t="str">
        <f>"42101"</f>
        <v>42101</v>
      </c>
      <c r="E3070" s="62" t="str">
        <f>"3"</f>
        <v>3</v>
      </c>
      <c r="F3070" s="63">
        <v>868.25</v>
      </c>
      <c r="G3070" s="63">
        <v>0</v>
      </c>
      <c r="H3070" s="63">
        <v>362.08333333333331</v>
      </c>
      <c r="I3070" s="63">
        <v>1524.4166666666667</v>
      </c>
      <c r="J3070" s="63">
        <v>1161.1865060240964</v>
      </c>
      <c r="K3070" s="63">
        <f>AVERAGE(I3070:J3070)</f>
        <v>1342.8015863453816</v>
      </c>
      <c r="L3070" s="64" t="str">
        <f>"BLUEBERRY MUFFINS"</f>
        <v>BLUEBERRY MUFFINS</v>
      </c>
      <c r="M3070" s="65" t="str">
        <f>"72-1.8 oz. I.W."</f>
        <v>72-1.8 oz. I.W.</v>
      </c>
      <c r="N3070" s="66">
        <v>72</v>
      </c>
      <c r="O3070" s="67" t="str">
        <f>""</f>
        <v/>
      </c>
      <c r="P3070" s="68" t="e">
        <f>1/O3070</f>
        <v>#VALUE!</v>
      </c>
      <c r="Q3070" s="53">
        <v>1</v>
      </c>
      <c r="R3070" s="69">
        <f t="shared" ref="R3070" si="2201">1/Q3070</f>
        <v>1</v>
      </c>
      <c r="S3070" s="70">
        <f t="shared" ref="S3070" si="2202">R3070*N3070</f>
        <v>72</v>
      </c>
    </row>
    <row r="3071" spans="1:19" ht="15.6" hidden="1" customHeight="1" thickBot="1" x14ac:dyDescent="0.3">
      <c r="A3071" t="s">
        <v>23</v>
      </c>
      <c r="B3071" s="60" t="str">
        <f t="shared" si="2200"/>
        <v>hide</v>
      </c>
      <c r="D3071" s="48" t="str">
        <f>D3070</f>
        <v>42101</v>
      </c>
      <c r="E3071" s="7"/>
      <c r="F3071" s="27">
        <v>0</v>
      </c>
      <c r="G3071" s="27">
        <v>0</v>
      </c>
      <c r="H3071" s="27">
        <v>0</v>
      </c>
      <c r="I3071" s="27">
        <v>0</v>
      </c>
      <c r="J3071" s="27">
        <v>0</v>
      </c>
      <c r="K3071" s="63">
        <f>AVERAGE(I3071:J3071)</f>
        <v>0</v>
      </c>
      <c r="L3071" s="56" t="str">
        <f>"EQP-LAWPACK1"</f>
        <v>EQP-LAWPACK1</v>
      </c>
      <c r="M3071" s="14"/>
      <c r="N3071" s="15"/>
      <c r="O3071" s="12"/>
      <c r="P3071" s="34"/>
      <c r="Q3071" s="37"/>
      <c r="R3071" s="47"/>
      <c r="S3071" s="46"/>
    </row>
    <row r="3072" spans="1:19" ht="15.6" hidden="1" customHeight="1" thickBot="1" x14ac:dyDescent="0.3">
      <c r="A3072" t="s">
        <v>23</v>
      </c>
      <c r="B3072" s="60" t="str">
        <f t="shared" ref="B3072:B3074" si="2203">IF(K3072=0,"hide","")</f>
        <v>hide</v>
      </c>
      <c r="D3072" s="48" t="str">
        <f>D3071</f>
        <v>42101</v>
      </c>
      <c r="E3072" s="7"/>
      <c r="F3072" s="27">
        <v>0</v>
      </c>
      <c r="G3072" s="27">
        <v>0</v>
      </c>
      <c r="H3072" s="27">
        <v>0</v>
      </c>
      <c r="I3072" s="27">
        <v>0</v>
      </c>
      <c r="J3072" s="27">
        <v>0</v>
      </c>
      <c r="K3072" s="63">
        <f>AVERAGE(I3072:J3072)</f>
        <v>0</v>
      </c>
      <c r="L3072" s="56" t="str">
        <f>"EQP-LAWPACK2"</f>
        <v>EQP-LAWPACK2</v>
      </c>
      <c r="M3072" s="14"/>
      <c r="N3072" s="15"/>
      <c r="O3072" s="12"/>
      <c r="P3072" s="34"/>
      <c r="Q3072" s="37"/>
      <c r="R3072" s="47"/>
      <c r="S3072" s="46"/>
    </row>
    <row r="3073" spans="1:19" ht="15.6" hidden="1" customHeight="1" thickBot="1" x14ac:dyDescent="0.3">
      <c r="A3073" t="s">
        <v>23</v>
      </c>
      <c r="B3073" s="60" t="str">
        <f t="shared" si="2203"/>
        <v>hide</v>
      </c>
      <c r="D3073" s="48" t="str">
        <f>D3072</f>
        <v>42101</v>
      </c>
      <c r="E3073" s="7"/>
      <c r="F3073" s="27">
        <v>0</v>
      </c>
      <c r="G3073" s="27">
        <v>0</v>
      </c>
      <c r="H3073" s="27">
        <v>0</v>
      </c>
      <c r="I3073" s="27">
        <v>0</v>
      </c>
      <c r="J3073" s="27">
        <v>0</v>
      </c>
      <c r="K3073" s="63">
        <f>AVERAGE(I3073:J3073)</f>
        <v>0</v>
      </c>
      <c r="L3073" s="56" t="str">
        <f>"SW-COMAS-PACKL"</f>
        <v>SW-COMAS-PACKL</v>
      </c>
      <c r="M3073" s="14"/>
      <c r="N3073" s="15"/>
      <c r="O3073" s="12"/>
      <c r="P3073" s="34"/>
      <c r="Q3073" s="37"/>
      <c r="R3073" s="47"/>
      <c r="S3073" s="46"/>
    </row>
    <row r="3074" spans="1:19" ht="15.6" hidden="1" customHeight="1" thickBot="1" x14ac:dyDescent="0.3">
      <c r="A3074" t="s">
        <v>23</v>
      </c>
      <c r="B3074" s="60" t="str">
        <f t="shared" si="2203"/>
        <v>hide</v>
      </c>
      <c r="D3074" s="48" t="str">
        <f>D3073</f>
        <v>42101</v>
      </c>
      <c r="E3074" s="7"/>
      <c r="F3074" s="27">
        <v>0</v>
      </c>
      <c r="G3074" s="27">
        <v>0</v>
      </c>
      <c r="H3074" s="27">
        <v>0</v>
      </c>
      <c r="I3074" s="27">
        <v>0</v>
      </c>
      <c r="J3074" s="27">
        <v>0</v>
      </c>
      <c r="K3074" s="63">
        <f>AVERAGE(I3074:J3074)</f>
        <v>0</v>
      </c>
      <c r="L3074" s="56" t="str">
        <f>"SW-RISER-PACK"</f>
        <v>SW-RISER-PACK</v>
      </c>
      <c r="M3074" s="14"/>
      <c r="N3074" s="15"/>
      <c r="O3074" s="12"/>
      <c r="P3074" s="34"/>
      <c r="Q3074" s="37"/>
      <c r="R3074" s="47"/>
      <c r="S3074" s="46"/>
    </row>
    <row r="3075" spans="1:19" ht="12" hidden="1" customHeight="1" x14ac:dyDescent="0.3">
      <c r="A3075" s="35" t="s">
        <v>908</v>
      </c>
      <c r="B3075" s="49" t="str">
        <f>B3071</f>
        <v>hide</v>
      </c>
      <c r="N3075"/>
      <c r="Q3075" s="33"/>
    </row>
    <row r="3076" spans="1:19" ht="13.8" hidden="1" thickBot="1" x14ac:dyDescent="0.3">
      <c r="A3076" t="s">
        <v>23</v>
      </c>
      <c r="B3076" s="49" t="str">
        <f t="shared" ref="B3076" si="2204">B3075</f>
        <v>hide</v>
      </c>
      <c r="D3076" s="58"/>
      <c r="E3076" s="58"/>
      <c r="F3076" s="52">
        <f>SUM(F3071:F3075)</f>
        <v>0</v>
      </c>
      <c r="G3076" s="52">
        <f>SUM(G3071:G3075)</f>
        <v>0</v>
      </c>
      <c r="H3076" s="52">
        <f>SUM(H3071:H3075)</f>
        <v>0</v>
      </c>
      <c r="I3076" s="52">
        <f>SUM(I3071:I3075)</f>
        <v>0</v>
      </c>
      <c r="J3076" s="52">
        <f>SUM(J3071:J3075)</f>
        <v>0</v>
      </c>
      <c r="K3076" s="52"/>
      <c r="L3076" s="51" t="s">
        <v>4</v>
      </c>
      <c r="M3076" s="58"/>
      <c r="N3076" s="58"/>
      <c r="O3076" s="58"/>
      <c r="P3076" s="58"/>
      <c r="Q3076" s="58"/>
      <c r="R3076" s="58"/>
      <c r="S3076" s="58"/>
    </row>
    <row r="3077" spans="1:19" s="59" customFormat="1" ht="18.75" customHeight="1" thickBot="1" x14ac:dyDescent="0.3">
      <c r="A3077" s="59" t="s">
        <v>23</v>
      </c>
      <c r="B3077" s="60" t="str">
        <f t="shared" ref="B3077:B3078" si="2205">IF(K3077=0,"hide","")</f>
        <v/>
      </c>
      <c r="D3077" s="61" t="str">
        <f>"42201"</f>
        <v>42201</v>
      </c>
      <c r="E3077" s="62" t="str">
        <f>"3"</f>
        <v>3</v>
      </c>
      <c r="F3077" s="63">
        <v>347</v>
      </c>
      <c r="G3077" s="63">
        <v>286.25</v>
      </c>
      <c r="H3077" s="63">
        <v>347.83333333333331</v>
      </c>
      <c r="I3077" s="63">
        <v>398.5</v>
      </c>
      <c r="J3077" s="63">
        <v>219.37614457831327</v>
      </c>
      <c r="K3077" s="63">
        <f>AVERAGE(I3077:J3077)</f>
        <v>308.93807228915665</v>
      </c>
      <c r="L3077" s="64" t="str">
        <f>"BLUEBERRY MUFFINS"</f>
        <v>BLUEBERRY MUFFINS</v>
      </c>
      <c r="M3077" s="65" t="str">
        <f>"72-1.8 oz. I.W."</f>
        <v>72-1.8 oz. I.W.</v>
      </c>
      <c r="N3077" s="66">
        <v>72</v>
      </c>
      <c r="O3077" s="67" t="str">
        <f>""</f>
        <v/>
      </c>
      <c r="P3077" s="68" t="e">
        <f>1/O3077</f>
        <v>#VALUE!</v>
      </c>
      <c r="Q3077" s="53">
        <v>1</v>
      </c>
      <c r="R3077" s="69">
        <f t="shared" ref="R3077" si="2206">1/Q3077</f>
        <v>1</v>
      </c>
      <c r="S3077" s="70">
        <f t="shared" ref="S3077" si="2207">R3077*N3077</f>
        <v>72</v>
      </c>
    </row>
    <row r="3078" spans="1:19" ht="15.6" hidden="1" customHeight="1" thickBot="1" x14ac:dyDescent="0.3">
      <c r="A3078" t="s">
        <v>23</v>
      </c>
      <c r="B3078" s="60" t="str">
        <f t="shared" si="2205"/>
        <v>hide</v>
      </c>
      <c r="D3078" s="48" t="str">
        <f>D3077</f>
        <v>42201</v>
      </c>
      <c r="E3078" s="7"/>
      <c r="F3078" s="27">
        <v>0</v>
      </c>
      <c r="G3078" s="27">
        <v>0</v>
      </c>
      <c r="H3078" s="27">
        <v>0</v>
      </c>
      <c r="I3078" s="27">
        <v>0</v>
      </c>
      <c r="J3078" s="27">
        <v>0</v>
      </c>
      <c r="K3078" s="63">
        <f>AVERAGE(I3078:J3078)</f>
        <v>0</v>
      </c>
      <c r="L3078" s="56" t="str">
        <f>"EQP-LAWPACK1"</f>
        <v>EQP-LAWPACK1</v>
      </c>
      <c r="M3078" s="14"/>
      <c r="N3078" s="15"/>
      <c r="O3078" s="12"/>
      <c r="P3078" s="34"/>
      <c r="Q3078" s="37"/>
      <c r="R3078" s="47"/>
      <c r="S3078" s="46"/>
    </row>
    <row r="3079" spans="1:19" ht="15.6" customHeight="1" thickBot="1" x14ac:dyDescent="0.3">
      <c r="A3079" t="s">
        <v>23</v>
      </c>
      <c r="B3079" s="60" t="str">
        <f t="shared" ref="B3079:B3081" si="2208">IF(K3079=0,"hide","")</f>
        <v/>
      </c>
      <c r="D3079" s="48" t="str">
        <f>D3078</f>
        <v>42201</v>
      </c>
      <c r="E3079" s="7"/>
      <c r="F3079" s="27">
        <v>0</v>
      </c>
      <c r="G3079" s="27">
        <v>0</v>
      </c>
      <c r="H3079" s="27">
        <v>0</v>
      </c>
      <c r="I3079" s="27">
        <v>0</v>
      </c>
      <c r="J3079" s="27">
        <v>-29.86843373493976</v>
      </c>
      <c r="K3079" s="63">
        <f>AVERAGE(I3079:J3079)</f>
        <v>-14.93421686746988</v>
      </c>
      <c r="L3079" s="56" t="str">
        <f>"EQP-LAWPACK2"</f>
        <v>EQP-LAWPACK2</v>
      </c>
      <c r="M3079" s="14"/>
      <c r="N3079" s="15"/>
      <c r="O3079" s="12"/>
      <c r="P3079" s="34"/>
      <c r="Q3079" s="37"/>
      <c r="R3079" s="47"/>
      <c r="S3079" s="46"/>
    </row>
    <row r="3080" spans="1:19" ht="15.6" hidden="1" customHeight="1" thickBot="1" x14ac:dyDescent="0.3">
      <c r="A3080" t="s">
        <v>23</v>
      </c>
      <c r="B3080" s="60" t="str">
        <f t="shared" si="2208"/>
        <v>hide</v>
      </c>
      <c r="D3080" s="48" t="str">
        <f>D3079</f>
        <v>42201</v>
      </c>
      <c r="E3080" s="7"/>
      <c r="F3080" s="27">
        <v>0</v>
      </c>
      <c r="G3080" s="27">
        <v>0</v>
      </c>
      <c r="H3080" s="27">
        <v>0</v>
      </c>
      <c r="I3080" s="27">
        <v>0</v>
      </c>
      <c r="J3080" s="27">
        <v>0</v>
      </c>
      <c r="K3080" s="63">
        <f>AVERAGE(I3080:J3080)</f>
        <v>0</v>
      </c>
      <c r="L3080" s="56" t="str">
        <f>"SW-COMAS-PACKL"</f>
        <v>SW-COMAS-PACKL</v>
      </c>
      <c r="M3080" s="14"/>
      <c r="N3080" s="15"/>
      <c r="O3080" s="12"/>
      <c r="P3080" s="34"/>
      <c r="Q3080" s="37"/>
      <c r="R3080" s="47"/>
      <c r="S3080" s="46"/>
    </row>
    <row r="3081" spans="1:19" ht="15.6" hidden="1" customHeight="1" thickBot="1" x14ac:dyDescent="0.3">
      <c r="A3081" t="s">
        <v>23</v>
      </c>
      <c r="B3081" s="60" t="str">
        <f t="shared" si="2208"/>
        <v>hide</v>
      </c>
      <c r="D3081" s="48" t="str">
        <f>D3080</f>
        <v>42201</v>
      </c>
      <c r="E3081" s="7"/>
      <c r="F3081" s="27">
        <v>0</v>
      </c>
      <c r="G3081" s="27">
        <v>0</v>
      </c>
      <c r="H3081" s="27">
        <v>0</v>
      </c>
      <c r="I3081" s="27">
        <v>0</v>
      </c>
      <c r="J3081" s="27">
        <v>0</v>
      </c>
      <c r="K3081" s="63">
        <f>AVERAGE(I3081:J3081)</f>
        <v>0</v>
      </c>
      <c r="L3081" s="56" t="str">
        <f>"SW-RISER-PACK"</f>
        <v>SW-RISER-PACK</v>
      </c>
      <c r="M3081" s="14"/>
      <c r="N3081" s="15"/>
      <c r="O3081" s="12"/>
      <c r="P3081" s="34"/>
      <c r="Q3081" s="37"/>
      <c r="R3081" s="47"/>
      <c r="S3081" s="46"/>
    </row>
    <row r="3082" spans="1:19" ht="12" hidden="1" customHeight="1" x14ac:dyDescent="0.3">
      <c r="A3082" s="35" t="s">
        <v>908</v>
      </c>
      <c r="B3082" s="49" t="str">
        <f>B3078</f>
        <v>hide</v>
      </c>
      <c r="N3082"/>
      <c r="Q3082" s="33"/>
    </row>
    <row r="3083" spans="1:19" ht="13.8" hidden="1" thickBot="1" x14ac:dyDescent="0.3">
      <c r="A3083" t="s">
        <v>23</v>
      </c>
      <c r="B3083" s="49" t="str">
        <f t="shared" ref="B3083" si="2209">B3082</f>
        <v>hide</v>
      </c>
      <c r="D3083" s="58"/>
      <c r="E3083" s="58"/>
      <c r="F3083" s="52">
        <f>SUM(F3078:F3082)</f>
        <v>0</v>
      </c>
      <c r="G3083" s="52">
        <f>SUM(G3078:G3082)</f>
        <v>0</v>
      </c>
      <c r="H3083" s="52">
        <f>SUM(H3078:H3082)</f>
        <v>0</v>
      </c>
      <c r="I3083" s="52">
        <f>SUM(I3078:I3082)</f>
        <v>0</v>
      </c>
      <c r="J3083" s="52">
        <f>SUM(J3078:J3082)</f>
        <v>-29.86843373493976</v>
      </c>
      <c r="K3083" s="52"/>
      <c r="L3083" s="51" t="s">
        <v>4</v>
      </c>
      <c r="M3083" s="58"/>
      <c r="N3083" s="58"/>
      <c r="O3083" s="58"/>
      <c r="P3083" s="58"/>
      <c r="Q3083" s="58"/>
      <c r="R3083" s="58"/>
      <c r="S3083" s="58"/>
    </row>
    <row r="3084" spans="1:19" s="59" customFormat="1" ht="18.75" customHeight="1" thickBot="1" x14ac:dyDescent="0.3">
      <c r="A3084" s="59" t="s">
        <v>23</v>
      </c>
      <c r="B3084" s="60" t="str">
        <f t="shared" ref="B3084:B3085" si="2210">IF(K3084=0,"hide","")</f>
        <v/>
      </c>
      <c r="D3084" s="61" t="str">
        <f>"42205"</f>
        <v>42205</v>
      </c>
      <c r="E3084" s="62" t="str">
        <f>"3"</f>
        <v>3</v>
      </c>
      <c r="F3084" s="63">
        <v>227.75</v>
      </c>
      <c r="G3084" s="63">
        <v>265.41666666666669</v>
      </c>
      <c r="H3084" s="63">
        <v>198</v>
      </c>
      <c r="I3084" s="63">
        <v>199.5</v>
      </c>
      <c r="J3084" s="63">
        <v>170.07277108433735</v>
      </c>
      <c r="K3084" s="63">
        <f>AVERAGE(I3084:J3084)</f>
        <v>184.78638554216866</v>
      </c>
      <c r="L3084" s="64" t="str">
        <f>"CORN MUFFINS"</f>
        <v>CORN MUFFINS</v>
      </c>
      <c r="M3084" s="65" t="str">
        <f>"72-1.8 oz. I.W."</f>
        <v>72-1.8 oz. I.W.</v>
      </c>
      <c r="N3084" s="66">
        <v>72</v>
      </c>
      <c r="O3084" s="67" t="str">
        <f>""</f>
        <v/>
      </c>
      <c r="P3084" s="68" t="e">
        <f>1/O3084</f>
        <v>#VALUE!</v>
      </c>
      <c r="Q3084" s="53">
        <v>1</v>
      </c>
      <c r="R3084" s="69">
        <f t="shared" ref="R3084" si="2211">1/Q3084</f>
        <v>1</v>
      </c>
      <c r="S3084" s="70">
        <f t="shared" ref="S3084" si="2212">R3084*N3084</f>
        <v>72</v>
      </c>
    </row>
    <row r="3085" spans="1:19" ht="15.6" hidden="1" customHeight="1" thickBot="1" x14ac:dyDescent="0.3">
      <c r="A3085" t="s">
        <v>23</v>
      </c>
      <c r="B3085" s="60" t="str">
        <f t="shared" si="2210"/>
        <v>hide</v>
      </c>
      <c r="D3085" s="48" t="str">
        <f>D3084</f>
        <v>42205</v>
      </c>
      <c r="E3085" s="7"/>
      <c r="F3085" s="27">
        <v>0</v>
      </c>
      <c r="G3085" s="27">
        <v>0</v>
      </c>
      <c r="H3085" s="27">
        <v>0</v>
      </c>
      <c r="I3085" s="27">
        <v>0</v>
      </c>
      <c r="J3085" s="27">
        <v>0</v>
      </c>
      <c r="K3085" s="63">
        <f>AVERAGE(I3085:J3085)</f>
        <v>0</v>
      </c>
      <c r="L3085" s="56" t="str">
        <f>"EQP-LAWPACK1"</f>
        <v>EQP-LAWPACK1</v>
      </c>
      <c r="M3085" s="14"/>
      <c r="N3085" s="15"/>
      <c r="O3085" s="12"/>
      <c r="P3085" s="34"/>
      <c r="Q3085" s="37"/>
      <c r="R3085" s="47"/>
      <c r="S3085" s="46"/>
    </row>
    <row r="3086" spans="1:19" ht="15.6" hidden="1" customHeight="1" thickBot="1" x14ac:dyDescent="0.3">
      <c r="A3086" t="s">
        <v>23</v>
      </c>
      <c r="B3086" s="60" t="str">
        <f t="shared" ref="B3086:B3088" si="2213">IF(K3086=0,"hide","")</f>
        <v>hide</v>
      </c>
      <c r="D3086" s="48" t="str">
        <f>D3085</f>
        <v>42205</v>
      </c>
      <c r="E3086" s="7"/>
      <c r="F3086" s="27">
        <v>0</v>
      </c>
      <c r="G3086" s="27">
        <v>0</v>
      </c>
      <c r="H3086" s="27">
        <v>0</v>
      </c>
      <c r="I3086" s="27">
        <v>0</v>
      </c>
      <c r="J3086" s="27">
        <v>0</v>
      </c>
      <c r="K3086" s="63">
        <f>AVERAGE(I3086:J3086)</f>
        <v>0</v>
      </c>
      <c r="L3086" s="56" t="str">
        <f>"EQP-LAWPACK2"</f>
        <v>EQP-LAWPACK2</v>
      </c>
      <c r="M3086" s="14"/>
      <c r="N3086" s="15"/>
      <c r="O3086" s="12"/>
      <c r="P3086" s="34"/>
      <c r="Q3086" s="37"/>
      <c r="R3086" s="47"/>
      <c r="S3086" s="46"/>
    </row>
    <row r="3087" spans="1:19" ht="15.6" hidden="1" customHeight="1" thickBot="1" x14ac:dyDescent="0.3">
      <c r="A3087" t="s">
        <v>23</v>
      </c>
      <c r="B3087" s="60" t="str">
        <f t="shared" si="2213"/>
        <v>hide</v>
      </c>
      <c r="D3087" s="48" t="str">
        <f>D3086</f>
        <v>42205</v>
      </c>
      <c r="E3087" s="7"/>
      <c r="F3087" s="27">
        <v>0</v>
      </c>
      <c r="G3087" s="27">
        <v>0</v>
      </c>
      <c r="H3087" s="27">
        <v>0</v>
      </c>
      <c r="I3087" s="27">
        <v>0</v>
      </c>
      <c r="J3087" s="27">
        <v>0</v>
      </c>
      <c r="K3087" s="63">
        <f>AVERAGE(I3087:J3087)</f>
        <v>0</v>
      </c>
      <c r="L3087" s="56" t="str">
        <f>"SW-COMAS-PACKL"</f>
        <v>SW-COMAS-PACKL</v>
      </c>
      <c r="M3087" s="14"/>
      <c r="N3087" s="15"/>
      <c r="O3087" s="12"/>
      <c r="P3087" s="34"/>
      <c r="Q3087" s="37"/>
      <c r="R3087" s="47"/>
      <c r="S3087" s="46"/>
    </row>
    <row r="3088" spans="1:19" ht="15.6" hidden="1" customHeight="1" thickBot="1" x14ac:dyDescent="0.3">
      <c r="A3088" t="s">
        <v>23</v>
      </c>
      <c r="B3088" s="60" t="str">
        <f t="shared" si="2213"/>
        <v>hide</v>
      </c>
      <c r="D3088" s="48" t="str">
        <f>D3087</f>
        <v>42205</v>
      </c>
      <c r="E3088" s="7"/>
      <c r="F3088" s="27">
        <v>0</v>
      </c>
      <c r="G3088" s="27">
        <v>0</v>
      </c>
      <c r="H3088" s="27">
        <v>0</v>
      </c>
      <c r="I3088" s="27">
        <v>0</v>
      </c>
      <c r="J3088" s="27">
        <v>0</v>
      </c>
      <c r="K3088" s="63">
        <f>AVERAGE(I3088:J3088)</f>
        <v>0</v>
      </c>
      <c r="L3088" s="56" t="str">
        <f>"SW-RISER-PACK"</f>
        <v>SW-RISER-PACK</v>
      </c>
      <c r="M3088" s="14"/>
      <c r="N3088" s="15"/>
      <c r="O3088" s="12"/>
      <c r="P3088" s="34"/>
      <c r="Q3088" s="37"/>
      <c r="R3088" s="47"/>
      <c r="S3088" s="46"/>
    </row>
    <row r="3089" spans="1:19" ht="12" hidden="1" customHeight="1" x14ac:dyDescent="0.3">
      <c r="A3089" s="35" t="s">
        <v>908</v>
      </c>
      <c r="B3089" s="49" t="str">
        <f>B3085</f>
        <v>hide</v>
      </c>
      <c r="N3089"/>
      <c r="Q3089" s="33"/>
    </row>
    <row r="3090" spans="1:19" ht="13.8" hidden="1" thickBot="1" x14ac:dyDescent="0.3">
      <c r="A3090" t="s">
        <v>23</v>
      </c>
      <c r="B3090" s="49" t="str">
        <f t="shared" ref="B3090" si="2214">B3089</f>
        <v>hide</v>
      </c>
      <c r="D3090" s="58"/>
      <c r="E3090" s="58"/>
      <c r="F3090" s="52">
        <f>SUM(F3085:F3089)</f>
        <v>0</v>
      </c>
      <c r="G3090" s="52">
        <f>SUM(G3085:G3089)</f>
        <v>0</v>
      </c>
      <c r="H3090" s="52">
        <f>SUM(H3085:H3089)</f>
        <v>0</v>
      </c>
      <c r="I3090" s="52">
        <f>SUM(I3085:I3089)</f>
        <v>0</v>
      </c>
      <c r="J3090" s="52">
        <f>SUM(J3085:J3089)</f>
        <v>0</v>
      </c>
      <c r="K3090" s="52"/>
      <c r="L3090" s="51" t="s">
        <v>4</v>
      </c>
      <c r="M3090" s="58"/>
      <c r="N3090" s="58"/>
      <c r="O3090" s="58"/>
      <c r="P3090" s="58"/>
      <c r="Q3090" s="58"/>
      <c r="R3090" s="58"/>
      <c r="S3090" s="58"/>
    </row>
    <row r="3091" spans="1:19" s="59" customFormat="1" ht="18.75" customHeight="1" thickBot="1" x14ac:dyDescent="0.3">
      <c r="A3091" s="59" t="s">
        <v>23</v>
      </c>
      <c r="B3091" s="60" t="str">
        <f t="shared" ref="B3091:B3092" si="2215">IF(K3091=0,"hide","")</f>
        <v/>
      </c>
      <c r="D3091" s="61" t="str">
        <f>"42206"</f>
        <v>42206</v>
      </c>
      <c r="E3091" s="62" t="str">
        <f>"3"</f>
        <v>3</v>
      </c>
      <c r="F3091" s="63">
        <v>77.333333333333329</v>
      </c>
      <c r="G3091" s="63">
        <v>67.249999999999986</v>
      </c>
      <c r="H3091" s="63">
        <v>134.33333333333331</v>
      </c>
      <c r="I3091" s="63">
        <v>113.75</v>
      </c>
      <c r="J3091" s="63">
        <v>44.188915662650601</v>
      </c>
      <c r="K3091" s="63">
        <f>AVERAGE(I3091:J3091)</f>
        <v>78.9694578313253</v>
      </c>
      <c r="L3091" s="64" t="str">
        <f>"APPLE CINNAMON MUFFINS"</f>
        <v>APPLE CINNAMON MUFFINS</v>
      </c>
      <c r="M3091" s="65" t="str">
        <f>"72-1.8 oz. I.W."</f>
        <v>72-1.8 oz. I.W.</v>
      </c>
      <c r="N3091" s="66">
        <v>72</v>
      </c>
      <c r="O3091" s="67" t="str">
        <f>""</f>
        <v/>
      </c>
      <c r="P3091" s="68" t="e">
        <f>1/O3091</f>
        <v>#VALUE!</v>
      </c>
      <c r="Q3091" s="53">
        <v>1</v>
      </c>
      <c r="R3091" s="69">
        <f t="shared" ref="R3091" si="2216">1/Q3091</f>
        <v>1</v>
      </c>
      <c r="S3091" s="70">
        <f t="shared" ref="S3091" si="2217">R3091*N3091</f>
        <v>72</v>
      </c>
    </row>
    <row r="3092" spans="1:19" ht="15.6" hidden="1" customHeight="1" thickBot="1" x14ac:dyDescent="0.3">
      <c r="A3092" t="s">
        <v>23</v>
      </c>
      <c r="B3092" s="60" t="str">
        <f t="shared" si="2215"/>
        <v>hide</v>
      </c>
      <c r="D3092" s="48" t="str">
        <f>D3091</f>
        <v>42206</v>
      </c>
      <c r="E3092" s="7"/>
      <c r="F3092" s="27">
        <v>0</v>
      </c>
      <c r="G3092" s="27">
        <v>0</v>
      </c>
      <c r="H3092" s="27">
        <v>0</v>
      </c>
      <c r="I3092" s="27">
        <v>0</v>
      </c>
      <c r="J3092" s="27">
        <v>0</v>
      </c>
      <c r="K3092" s="63">
        <f>AVERAGE(I3092:J3092)</f>
        <v>0</v>
      </c>
      <c r="L3092" s="56" t="str">
        <f>"EQP-LAWPACK1"</f>
        <v>EQP-LAWPACK1</v>
      </c>
      <c r="M3092" s="14"/>
      <c r="N3092" s="15"/>
      <c r="O3092" s="12"/>
      <c r="P3092" s="34"/>
      <c r="Q3092" s="37"/>
      <c r="R3092" s="47"/>
      <c r="S3092" s="46"/>
    </row>
    <row r="3093" spans="1:19" ht="15.6" hidden="1" customHeight="1" thickBot="1" x14ac:dyDescent="0.3">
      <c r="A3093" t="s">
        <v>23</v>
      </c>
      <c r="B3093" s="60" t="str">
        <f t="shared" ref="B3093:B3095" si="2218">IF(K3093=0,"hide","")</f>
        <v>hide</v>
      </c>
      <c r="D3093" s="48" t="str">
        <f>D3092</f>
        <v>42206</v>
      </c>
      <c r="E3093" s="7"/>
      <c r="F3093" s="27">
        <v>0</v>
      </c>
      <c r="G3093" s="27">
        <v>0</v>
      </c>
      <c r="H3093" s="27">
        <v>0</v>
      </c>
      <c r="I3093" s="27">
        <v>0</v>
      </c>
      <c r="J3093" s="27">
        <v>0</v>
      </c>
      <c r="K3093" s="63">
        <f>AVERAGE(I3093:J3093)</f>
        <v>0</v>
      </c>
      <c r="L3093" s="56" t="str">
        <f>"EQP-LAWPACK2"</f>
        <v>EQP-LAWPACK2</v>
      </c>
      <c r="M3093" s="14"/>
      <c r="N3093" s="15"/>
      <c r="O3093" s="12"/>
      <c r="P3093" s="34"/>
      <c r="Q3093" s="37"/>
      <c r="R3093" s="47"/>
      <c r="S3093" s="46"/>
    </row>
    <row r="3094" spans="1:19" ht="15.6" hidden="1" customHeight="1" thickBot="1" x14ac:dyDescent="0.3">
      <c r="A3094" t="s">
        <v>23</v>
      </c>
      <c r="B3094" s="60" t="str">
        <f t="shared" si="2218"/>
        <v>hide</v>
      </c>
      <c r="D3094" s="48" t="str">
        <f>D3093</f>
        <v>42206</v>
      </c>
      <c r="E3094" s="7"/>
      <c r="F3094" s="27">
        <v>0</v>
      </c>
      <c r="G3094" s="27">
        <v>0</v>
      </c>
      <c r="H3094" s="27">
        <v>0</v>
      </c>
      <c r="I3094" s="27">
        <v>0</v>
      </c>
      <c r="J3094" s="27">
        <v>0</v>
      </c>
      <c r="K3094" s="63">
        <f>AVERAGE(I3094:J3094)</f>
        <v>0</v>
      </c>
      <c r="L3094" s="56" t="str">
        <f>"SW-COMAS-PACKL"</f>
        <v>SW-COMAS-PACKL</v>
      </c>
      <c r="M3094" s="14"/>
      <c r="N3094" s="15"/>
      <c r="O3094" s="12"/>
      <c r="P3094" s="34"/>
      <c r="Q3094" s="37"/>
      <c r="R3094" s="47"/>
      <c r="S3094" s="46"/>
    </row>
    <row r="3095" spans="1:19" ht="15.6" hidden="1" customHeight="1" thickBot="1" x14ac:dyDescent="0.3">
      <c r="A3095" t="s">
        <v>23</v>
      </c>
      <c r="B3095" s="60" t="str">
        <f t="shared" si="2218"/>
        <v>hide</v>
      </c>
      <c r="D3095" s="48" t="str">
        <f>D3094</f>
        <v>42206</v>
      </c>
      <c r="E3095" s="7"/>
      <c r="F3095" s="27">
        <v>0</v>
      </c>
      <c r="G3095" s="27">
        <v>0</v>
      </c>
      <c r="H3095" s="27">
        <v>0</v>
      </c>
      <c r="I3095" s="27">
        <v>0</v>
      </c>
      <c r="J3095" s="27">
        <v>0</v>
      </c>
      <c r="K3095" s="63">
        <f>AVERAGE(I3095:J3095)</f>
        <v>0</v>
      </c>
      <c r="L3095" s="56" t="str">
        <f>"SW-RISER-PACK"</f>
        <v>SW-RISER-PACK</v>
      </c>
      <c r="M3095" s="14"/>
      <c r="N3095" s="15"/>
      <c r="O3095" s="12"/>
      <c r="P3095" s="34"/>
      <c r="Q3095" s="37"/>
      <c r="R3095" s="47"/>
      <c r="S3095" s="46"/>
    </row>
    <row r="3096" spans="1:19" ht="12" hidden="1" customHeight="1" x14ac:dyDescent="0.3">
      <c r="A3096" s="35" t="s">
        <v>908</v>
      </c>
      <c r="B3096" s="49" t="str">
        <f>B3092</f>
        <v>hide</v>
      </c>
      <c r="N3096"/>
      <c r="Q3096" s="33"/>
    </row>
    <row r="3097" spans="1:19" ht="13.8" hidden="1" thickBot="1" x14ac:dyDescent="0.3">
      <c r="A3097" t="s">
        <v>23</v>
      </c>
      <c r="B3097" s="49" t="str">
        <f t="shared" ref="B3097" si="2219">B3096</f>
        <v>hide</v>
      </c>
      <c r="D3097" s="58"/>
      <c r="E3097" s="58"/>
      <c r="F3097" s="52">
        <f>SUM(F3092:F3096)</f>
        <v>0</v>
      </c>
      <c r="G3097" s="52">
        <f>SUM(G3092:G3096)</f>
        <v>0</v>
      </c>
      <c r="H3097" s="52">
        <f>SUM(H3092:H3096)</f>
        <v>0</v>
      </c>
      <c r="I3097" s="52">
        <f>SUM(I3092:I3096)</f>
        <v>0</v>
      </c>
      <c r="J3097" s="52">
        <f>SUM(J3092:J3096)</f>
        <v>0</v>
      </c>
      <c r="K3097" s="52"/>
      <c r="L3097" s="51" t="s">
        <v>4</v>
      </c>
      <c r="M3097" s="58"/>
      <c r="N3097" s="58"/>
      <c r="O3097" s="58"/>
      <c r="P3097" s="58"/>
      <c r="Q3097" s="58"/>
      <c r="R3097" s="58"/>
      <c r="S3097" s="58"/>
    </row>
    <row r="3098" spans="1:19" s="59" customFormat="1" ht="18.75" hidden="1" customHeight="1" thickBot="1" x14ac:dyDescent="0.3">
      <c r="A3098" s="59" t="s">
        <v>23</v>
      </c>
      <c r="B3098" s="60" t="str">
        <f t="shared" ref="B3098:B3099" si="2220">IF(K3098=0,"hide","")</f>
        <v>hide</v>
      </c>
      <c r="D3098" s="61" t="str">
        <f>"42207"</f>
        <v>42207</v>
      </c>
      <c r="E3098" s="62" t="str">
        <f>"2"</f>
        <v>2</v>
      </c>
      <c r="F3098" s="63">
        <v>0</v>
      </c>
      <c r="G3098" s="63">
        <v>0</v>
      </c>
      <c r="H3098" s="63">
        <v>0</v>
      </c>
      <c r="I3098" s="63">
        <v>0</v>
      </c>
      <c r="J3098" s="63">
        <v>0</v>
      </c>
      <c r="K3098" s="63">
        <f>AVERAGE(I3098:J3098)</f>
        <v>0</v>
      </c>
      <c r="L3098" s="64" t="str">
        <f>"BANANA NUT MUFFINS"</f>
        <v>BANANA NUT MUFFINS</v>
      </c>
      <c r="M3098" s="65" t="str">
        <f>"72-1.8 oz. I.W."</f>
        <v>72-1.8 oz. I.W.</v>
      </c>
      <c r="N3098" s="66">
        <v>72</v>
      </c>
      <c r="O3098" s="67" t="str">
        <f>""</f>
        <v/>
      </c>
      <c r="P3098" s="68" t="e">
        <f>1/O3098</f>
        <v>#VALUE!</v>
      </c>
      <c r="Q3098" s="53">
        <v>1</v>
      </c>
      <c r="R3098" s="69">
        <f t="shared" ref="R3098" si="2221">1/Q3098</f>
        <v>1</v>
      </c>
      <c r="S3098" s="70">
        <f t="shared" ref="S3098" si="2222">R3098*N3098</f>
        <v>72</v>
      </c>
    </row>
    <row r="3099" spans="1:19" ht="15.6" hidden="1" customHeight="1" thickBot="1" x14ac:dyDescent="0.3">
      <c r="A3099" t="s">
        <v>23</v>
      </c>
      <c r="B3099" s="60" t="str">
        <f t="shared" si="2220"/>
        <v>hide</v>
      </c>
      <c r="D3099" s="48" t="str">
        <f>D3098</f>
        <v>42207</v>
      </c>
      <c r="E3099" s="7"/>
      <c r="F3099" s="27">
        <v>0</v>
      </c>
      <c r="G3099" s="27">
        <v>0</v>
      </c>
      <c r="H3099" s="27">
        <v>0</v>
      </c>
      <c r="I3099" s="27">
        <v>0</v>
      </c>
      <c r="J3099" s="27">
        <v>0</v>
      </c>
      <c r="K3099" s="63">
        <f>AVERAGE(I3099:J3099)</f>
        <v>0</v>
      </c>
      <c r="L3099" s="56" t="str">
        <f>"EQP-LAWPACK1"</f>
        <v>EQP-LAWPACK1</v>
      </c>
      <c r="M3099" s="14"/>
      <c r="N3099" s="15"/>
      <c r="O3099" s="12"/>
      <c r="P3099" s="34"/>
      <c r="Q3099" s="37"/>
      <c r="R3099" s="47"/>
      <c r="S3099" s="46"/>
    </row>
    <row r="3100" spans="1:19" ht="15.6" hidden="1" customHeight="1" thickBot="1" x14ac:dyDescent="0.3">
      <c r="A3100" t="s">
        <v>23</v>
      </c>
      <c r="B3100" s="60" t="str">
        <f t="shared" ref="B3100:B3102" si="2223">IF(K3100=0,"hide","")</f>
        <v>hide</v>
      </c>
      <c r="D3100" s="48" t="str">
        <f>D3099</f>
        <v>42207</v>
      </c>
      <c r="E3100" s="7"/>
      <c r="F3100" s="27">
        <v>0</v>
      </c>
      <c r="G3100" s="27">
        <v>0</v>
      </c>
      <c r="H3100" s="27">
        <v>0</v>
      </c>
      <c r="I3100" s="27">
        <v>0</v>
      </c>
      <c r="J3100" s="27">
        <v>0</v>
      </c>
      <c r="K3100" s="63">
        <f>AVERAGE(I3100:J3100)</f>
        <v>0</v>
      </c>
      <c r="L3100" s="56" t="str">
        <f>"EQP-LAWPACK2"</f>
        <v>EQP-LAWPACK2</v>
      </c>
      <c r="M3100" s="14"/>
      <c r="N3100" s="15"/>
      <c r="O3100" s="12"/>
      <c r="P3100" s="34"/>
      <c r="Q3100" s="37"/>
      <c r="R3100" s="47"/>
      <c r="S3100" s="46"/>
    </row>
    <row r="3101" spans="1:19" ht="15.6" hidden="1" customHeight="1" thickBot="1" x14ac:dyDescent="0.3">
      <c r="A3101" t="s">
        <v>23</v>
      </c>
      <c r="B3101" s="60" t="str">
        <f t="shared" si="2223"/>
        <v>hide</v>
      </c>
      <c r="D3101" s="48" t="str">
        <f>D3100</f>
        <v>42207</v>
      </c>
      <c r="E3101" s="7"/>
      <c r="F3101" s="27">
        <v>0</v>
      </c>
      <c r="G3101" s="27">
        <v>0</v>
      </c>
      <c r="H3101" s="27">
        <v>0</v>
      </c>
      <c r="I3101" s="27">
        <v>0</v>
      </c>
      <c r="J3101" s="27">
        <v>0</v>
      </c>
      <c r="K3101" s="63">
        <f>AVERAGE(I3101:J3101)</f>
        <v>0</v>
      </c>
      <c r="L3101" s="56" t="str">
        <f>"SW-COMAS-PACKL"</f>
        <v>SW-COMAS-PACKL</v>
      </c>
      <c r="M3101" s="14"/>
      <c r="N3101" s="15"/>
      <c r="O3101" s="12"/>
      <c r="P3101" s="34"/>
      <c r="Q3101" s="37"/>
      <c r="R3101" s="47"/>
      <c r="S3101" s="46"/>
    </row>
    <row r="3102" spans="1:19" ht="15.6" hidden="1" customHeight="1" thickBot="1" x14ac:dyDescent="0.3">
      <c r="A3102" t="s">
        <v>23</v>
      </c>
      <c r="B3102" s="60" t="str">
        <f t="shared" si="2223"/>
        <v>hide</v>
      </c>
      <c r="D3102" s="48" t="str">
        <f>D3101</f>
        <v>42207</v>
      </c>
      <c r="E3102" s="7"/>
      <c r="F3102" s="27">
        <v>0</v>
      </c>
      <c r="G3102" s="27">
        <v>0</v>
      </c>
      <c r="H3102" s="27">
        <v>0</v>
      </c>
      <c r="I3102" s="27">
        <v>0</v>
      </c>
      <c r="J3102" s="27">
        <v>0</v>
      </c>
      <c r="K3102" s="63">
        <f>AVERAGE(I3102:J3102)</f>
        <v>0</v>
      </c>
      <c r="L3102" s="56" t="str">
        <f>"SW-RISER-PACK"</f>
        <v>SW-RISER-PACK</v>
      </c>
      <c r="M3102" s="14"/>
      <c r="N3102" s="15"/>
      <c r="O3102" s="12"/>
      <c r="P3102" s="34"/>
      <c r="Q3102" s="37"/>
      <c r="R3102" s="47"/>
      <c r="S3102" s="46"/>
    </row>
    <row r="3103" spans="1:19" ht="12" hidden="1" customHeight="1" x14ac:dyDescent="0.3">
      <c r="A3103" s="35" t="s">
        <v>908</v>
      </c>
      <c r="B3103" s="49" t="str">
        <f>B3099</f>
        <v>hide</v>
      </c>
      <c r="N3103"/>
      <c r="Q3103" s="33"/>
    </row>
    <row r="3104" spans="1:19" ht="13.8" hidden="1" thickBot="1" x14ac:dyDescent="0.3">
      <c r="A3104" t="s">
        <v>23</v>
      </c>
      <c r="B3104" s="49" t="str">
        <f t="shared" ref="B3104" si="2224">B3103</f>
        <v>hide</v>
      </c>
      <c r="D3104" s="58"/>
      <c r="E3104" s="58"/>
      <c r="F3104" s="52">
        <f>SUM(F3099:F3103)</f>
        <v>0</v>
      </c>
      <c r="G3104" s="52">
        <f>SUM(G3099:G3103)</f>
        <v>0</v>
      </c>
      <c r="H3104" s="52">
        <f>SUM(H3099:H3103)</f>
        <v>0</v>
      </c>
      <c r="I3104" s="52">
        <f>SUM(I3099:I3103)</f>
        <v>0</v>
      </c>
      <c r="J3104" s="52">
        <f>SUM(J3099:J3103)</f>
        <v>0</v>
      </c>
      <c r="K3104" s="52"/>
      <c r="L3104" s="51" t="s">
        <v>4</v>
      </c>
      <c r="M3104" s="58"/>
      <c r="N3104" s="58"/>
      <c r="O3104" s="58"/>
      <c r="P3104" s="58"/>
      <c r="Q3104" s="58"/>
      <c r="R3104" s="58"/>
      <c r="S3104" s="58"/>
    </row>
    <row r="3105" spans="1:19" s="59" customFormat="1" ht="18.75" hidden="1" customHeight="1" thickBot="1" x14ac:dyDescent="0.3">
      <c r="A3105" s="59" t="s">
        <v>23</v>
      </c>
      <c r="B3105" s="60" t="str">
        <f t="shared" ref="B3105:B3106" si="2225">IF(K3105=0,"hide","")</f>
        <v>hide</v>
      </c>
      <c r="D3105" s="61" t="str">
        <f>"42209"</f>
        <v>42209</v>
      </c>
      <c r="E3105" s="62" t="str">
        <f>"3"</f>
        <v>3</v>
      </c>
      <c r="F3105" s="63">
        <v>4.166666666666667</v>
      </c>
      <c r="G3105" s="63">
        <v>0</v>
      </c>
      <c r="H3105" s="63">
        <v>0</v>
      </c>
      <c r="I3105" s="63">
        <v>0</v>
      </c>
      <c r="J3105" s="63">
        <v>0</v>
      </c>
      <c r="K3105" s="63">
        <f>AVERAGE(I3105:J3105)</f>
        <v>0</v>
      </c>
      <c r="L3105" s="64" t="str">
        <f>"RAISIN BRAN MUFFINS"</f>
        <v>RAISIN BRAN MUFFINS</v>
      </c>
      <c r="M3105" s="65" t="str">
        <f>"72-1.8 oz. I.W."</f>
        <v>72-1.8 oz. I.W.</v>
      </c>
      <c r="N3105" s="66">
        <v>72</v>
      </c>
      <c r="O3105" s="67" t="str">
        <f>""</f>
        <v/>
      </c>
      <c r="P3105" s="68" t="e">
        <f>1/O3105</f>
        <v>#VALUE!</v>
      </c>
      <c r="Q3105" s="53">
        <v>1</v>
      </c>
      <c r="R3105" s="69">
        <f t="shared" ref="R3105" si="2226">1/Q3105</f>
        <v>1</v>
      </c>
      <c r="S3105" s="70">
        <f t="shared" ref="S3105" si="2227">R3105*N3105</f>
        <v>72</v>
      </c>
    </row>
    <row r="3106" spans="1:19" ht="15.6" hidden="1" customHeight="1" thickBot="1" x14ac:dyDescent="0.3">
      <c r="A3106" t="s">
        <v>23</v>
      </c>
      <c r="B3106" s="60" t="str">
        <f t="shared" si="2225"/>
        <v>hide</v>
      </c>
      <c r="D3106" s="48" t="str">
        <f>D3105</f>
        <v>42209</v>
      </c>
      <c r="E3106" s="7"/>
      <c r="F3106" s="27">
        <v>0</v>
      </c>
      <c r="G3106" s="27">
        <v>0</v>
      </c>
      <c r="H3106" s="27">
        <v>0</v>
      </c>
      <c r="I3106" s="27">
        <v>0</v>
      </c>
      <c r="J3106" s="27">
        <v>0</v>
      </c>
      <c r="K3106" s="63">
        <f>AVERAGE(I3106:J3106)</f>
        <v>0</v>
      </c>
      <c r="L3106" s="56" t="str">
        <f>"EQP-LAWPACK1"</f>
        <v>EQP-LAWPACK1</v>
      </c>
      <c r="M3106" s="14"/>
      <c r="N3106" s="15"/>
      <c r="O3106" s="12"/>
      <c r="P3106" s="34"/>
      <c r="Q3106" s="37"/>
      <c r="R3106" s="47"/>
      <c r="S3106" s="46"/>
    </row>
    <row r="3107" spans="1:19" ht="15.6" hidden="1" customHeight="1" thickBot="1" x14ac:dyDescent="0.3">
      <c r="A3107" t="s">
        <v>23</v>
      </c>
      <c r="B3107" s="60" t="str">
        <f t="shared" ref="B3107:B3109" si="2228">IF(K3107=0,"hide","")</f>
        <v>hide</v>
      </c>
      <c r="D3107" s="48" t="str">
        <f>D3106</f>
        <v>42209</v>
      </c>
      <c r="E3107" s="7"/>
      <c r="F3107" s="27">
        <v>0</v>
      </c>
      <c r="G3107" s="27">
        <v>0</v>
      </c>
      <c r="H3107" s="27">
        <v>0</v>
      </c>
      <c r="I3107" s="27">
        <v>0</v>
      </c>
      <c r="J3107" s="27">
        <v>0</v>
      </c>
      <c r="K3107" s="63">
        <f>AVERAGE(I3107:J3107)</f>
        <v>0</v>
      </c>
      <c r="L3107" s="56" t="str">
        <f>"EQP-LAWPACK2"</f>
        <v>EQP-LAWPACK2</v>
      </c>
      <c r="M3107" s="14"/>
      <c r="N3107" s="15"/>
      <c r="O3107" s="12"/>
      <c r="P3107" s="34"/>
      <c r="Q3107" s="37"/>
      <c r="R3107" s="47"/>
      <c r="S3107" s="46"/>
    </row>
    <row r="3108" spans="1:19" ht="15.6" hidden="1" customHeight="1" thickBot="1" x14ac:dyDescent="0.3">
      <c r="A3108" t="s">
        <v>23</v>
      </c>
      <c r="B3108" s="60" t="str">
        <f t="shared" si="2228"/>
        <v>hide</v>
      </c>
      <c r="D3108" s="48" t="str">
        <f>D3107</f>
        <v>42209</v>
      </c>
      <c r="E3108" s="7"/>
      <c r="F3108" s="27">
        <v>0</v>
      </c>
      <c r="G3108" s="27">
        <v>0</v>
      </c>
      <c r="H3108" s="27">
        <v>0</v>
      </c>
      <c r="I3108" s="27">
        <v>0</v>
      </c>
      <c r="J3108" s="27">
        <v>0</v>
      </c>
      <c r="K3108" s="63">
        <f>AVERAGE(I3108:J3108)</f>
        <v>0</v>
      </c>
      <c r="L3108" s="56" t="str">
        <f>"SW-COMAS-PACKL"</f>
        <v>SW-COMAS-PACKL</v>
      </c>
      <c r="M3108" s="14"/>
      <c r="N3108" s="15"/>
      <c r="O3108" s="12"/>
      <c r="P3108" s="34"/>
      <c r="Q3108" s="37"/>
      <c r="R3108" s="47"/>
      <c r="S3108" s="46"/>
    </row>
    <row r="3109" spans="1:19" ht="15.6" hidden="1" customHeight="1" thickBot="1" x14ac:dyDescent="0.3">
      <c r="A3109" t="s">
        <v>23</v>
      </c>
      <c r="B3109" s="60" t="str">
        <f t="shared" si="2228"/>
        <v>hide</v>
      </c>
      <c r="D3109" s="48" t="str">
        <f>D3108</f>
        <v>42209</v>
      </c>
      <c r="E3109" s="7"/>
      <c r="F3109" s="27">
        <v>0</v>
      </c>
      <c r="G3109" s="27">
        <v>0</v>
      </c>
      <c r="H3109" s="27">
        <v>0</v>
      </c>
      <c r="I3109" s="27">
        <v>0</v>
      </c>
      <c r="J3109" s="27">
        <v>0</v>
      </c>
      <c r="K3109" s="63">
        <f>AVERAGE(I3109:J3109)</f>
        <v>0</v>
      </c>
      <c r="L3109" s="56" t="str">
        <f>"SW-RISER-PACK"</f>
        <v>SW-RISER-PACK</v>
      </c>
      <c r="M3109" s="14"/>
      <c r="N3109" s="15"/>
      <c r="O3109" s="12"/>
      <c r="P3109" s="34"/>
      <c r="Q3109" s="37"/>
      <c r="R3109" s="47"/>
      <c r="S3109" s="46"/>
    </row>
    <row r="3110" spans="1:19" ht="12" hidden="1" customHeight="1" x14ac:dyDescent="0.3">
      <c r="A3110" s="35" t="s">
        <v>908</v>
      </c>
      <c r="B3110" s="49" t="str">
        <f>B3106</f>
        <v>hide</v>
      </c>
      <c r="N3110"/>
      <c r="Q3110" s="33"/>
    </row>
    <row r="3111" spans="1:19" ht="13.8" hidden="1" thickBot="1" x14ac:dyDescent="0.3">
      <c r="A3111" t="s">
        <v>23</v>
      </c>
      <c r="B3111" s="49" t="str">
        <f t="shared" ref="B3111" si="2229">B3110</f>
        <v>hide</v>
      </c>
      <c r="D3111" s="58"/>
      <c r="E3111" s="58"/>
      <c r="F3111" s="52">
        <f>SUM(F3106:F3110)</f>
        <v>0</v>
      </c>
      <c r="G3111" s="52">
        <f>SUM(G3106:G3110)</f>
        <v>0</v>
      </c>
      <c r="H3111" s="52">
        <f>SUM(H3106:H3110)</f>
        <v>0</v>
      </c>
      <c r="I3111" s="52">
        <f>SUM(I3106:I3110)</f>
        <v>0</v>
      </c>
      <c r="J3111" s="52">
        <f>SUM(J3106:J3110)</f>
        <v>0</v>
      </c>
      <c r="K3111" s="52"/>
      <c r="L3111" s="51" t="s">
        <v>4</v>
      </c>
      <c r="M3111" s="58"/>
      <c r="N3111" s="58"/>
      <c r="O3111" s="58"/>
      <c r="P3111" s="58"/>
      <c r="Q3111" s="58"/>
      <c r="R3111" s="58"/>
      <c r="S3111" s="58"/>
    </row>
    <row r="3112" spans="1:19" s="59" customFormat="1" ht="18.75" hidden="1" customHeight="1" thickBot="1" x14ac:dyDescent="0.3">
      <c r="A3112" s="59" t="s">
        <v>23</v>
      </c>
      <c r="B3112" s="60" t="str">
        <f t="shared" ref="B3112:B3113" si="2230">IF(K3112=0,"hide","")</f>
        <v>hide</v>
      </c>
      <c r="D3112" s="61" t="str">
        <f>"42210"</f>
        <v>42210</v>
      </c>
      <c r="E3112" s="62" t="str">
        <f>"3"</f>
        <v>3</v>
      </c>
      <c r="F3112" s="63">
        <v>9.2500000000000018</v>
      </c>
      <c r="G3112" s="63">
        <v>0</v>
      </c>
      <c r="H3112" s="63">
        <v>0</v>
      </c>
      <c r="I3112" s="63">
        <v>0</v>
      </c>
      <c r="J3112" s="63">
        <v>0</v>
      </c>
      <c r="K3112" s="63">
        <f>AVERAGE(I3112:J3112)</f>
        <v>0</v>
      </c>
      <c r="L3112" s="64" t="str">
        <f>"CHOCOLATE CHIP MUFFINS"</f>
        <v>CHOCOLATE CHIP MUFFINS</v>
      </c>
      <c r="M3112" s="65" t="str">
        <f>"72-1.8 oz. I.W."</f>
        <v>72-1.8 oz. I.W.</v>
      </c>
      <c r="N3112" s="66">
        <v>72</v>
      </c>
      <c r="O3112" s="67" t="str">
        <f>""</f>
        <v/>
      </c>
      <c r="P3112" s="68" t="e">
        <f>1/O3112</f>
        <v>#VALUE!</v>
      </c>
      <c r="Q3112" s="53">
        <v>1</v>
      </c>
      <c r="R3112" s="69">
        <f t="shared" ref="R3112" si="2231">1/Q3112</f>
        <v>1</v>
      </c>
      <c r="S3112" s="70">
        <f t="shared" ref="S3112" si="2232">R3112*N3112</f>
        <v>72</v>
      </c>
    </row>
    <row r="3113" spans="1:19" ht="15.6" hidden="1" customHeight="1" thickBot="1" x14ac:dyDescent="0.3">
      <c r="A3113" t="s">
        <v>23</v>
      </c>
      <c r="B3113" s="60" t="str">
        <f t="shared" si="2230"/>
        <v>hide</v>
      </c>
      <c r="D3113" s="48" t="str">
        <f>D3112</f>
        <v>42210</v>
      </c>
      <c r="E3113" s="7"/>
      <c r="F3113" s="27">
        <v>0</v>
      </c>
      <c r="G3113" s="27">
        <v>0</v>
      </c>
      <c r="H3113" s="27">
        <v>0</v>
      </c>
      <c r="I3113" s="27">
        <v>0</v>
      </c>
      <c r="J3113" s="27">
        <v>0</v>
      </c>
      <c r="K3113" s="63">
        <f>AVERAGE(I3113:J3113)</f>
        <v>0</v>
      </c>
      <c r="L3113" s="56" t="str">
        <f>"EQP-LAWPACK1"</f>
        <v>EQP-LAWPACK1</v>
      </c>
      <c r="M3113" s="14"/>
      <c r="N3113" s="15"/>
      <c r="O3113" s="12"/>
      <c r="P3113" s="34"/>
      <c r="Q3113" s="37"/>
      <c r="R3113" s="47"/>
      <c r="S3113" s="46"/>
    </row>
    <row r="3114" spans="1:19" ht="15.6" hidden="1" customHeight="1" thickBot="1" x14ac:dyDescent="0.3">
      <c r="A3114" t="s">
        <v>23</v>
      </c>
      <c r="B3114" s="60" t="str">
        <f t="shared" ref="B3114:B3116" si="2233">IF(K3114=0,"hide","")</f>
        <v>hide</v>
      </c>
      <c r="D3114" s="48" t="str">
        <f>D3113</f>
        <v>42210</v>
      </c>
      <c r="E3114" s="7"/>
      <c r="F3114" s="27">
        <v>0</v>
      </c>
      <c r="G3114" s="27">
        <v>0</v>
      </c>
      <c r="H3114" s="27">
        <v>0</v>
      </c>
      <c r="I3114" s="27">
        <v>0</v>
      </c>
      <c r="J3114" s="27">
        <v>0</v>
      </c>
      <c r="K3114" s="63">
        <f>AVERAGE(I3114:J3114)</f>
        <v>0</v>
      </c>
      <c r="L3114" s="56" t="str">
        <f>"EQP-LAWPACK2"</f>
        <v>EQP-LAWPACK2</v>
      </c>
      <c r="M3114" s="14"/>
      <c r="N3114" s="15"/>
      <c r="O3114" s="12"/>
      <c r="P3114" s="34"/>
      <c r="Q3114" s="37"/>
      <c r="R3114" s="47"/>
      <c r="S3114" s="46"/>
    </row>
    <row r="3115" spans="1:19" ht="15.6" hidden="1" customHeight="1" thickBot="1" x14ac:dyDescent="0.3">
      <c r="A3115" t="s">
        <v>23</v>
      </c>
      <c r="B3115" s="60" t="str">
        <f t="shared" si="2233"/>
        <v>hide</v>
      </c>
      <c r="D3115" s="48" t="str">
        <f>D3114</f>
        <v>42210</v>
      </c>
      <c r="E3115" s="7"/>
      <c r="F3115" s="27">
        <v>0</v>
      </c>
      <c r="G3115" s="27">
        <v>0</v>
      </c>
      <c r="H3115" s="27">
        <v>0</v>
      </c>
      <c r="I3115" s="27">
        <v>0</v>
      </c>
      <c r="J3115" s="27">
        <v>0</v>
      </c>
      <c r="K3115" s="63">
        <f>AVERAGE(I3115:J3115)</f>
        <v>0</v>
      </c>
      <c r="L3115" s="56" t="str">
        <f>"SW-COMAS-PACKL"</f>
        <v>SW-COMAS-PACKL</v>
      </c>
      <c r="M3115" s="14"/>
      <c r="N3115" s="15"/>
      <c r="O3115" s="12"/>
      <c r="P3115" s="34"/>
      <c r="Q3115" s="37"/>
      <c r="R3115" s="47"/>
      <c r="S3115" s="46"/>
    </row>
    <row r="3116" spans="1:19" ht="15.6" hidden="1" customHeight="1" thickBot="1" x14ac:dyDescent="0.3">
      <c r="A3116" t="s">
        <v>23</v>
      </c>
      <c r="B3116" s="60" t="str">
        <f t="shared" si="2233"/>
        <v>hide</v>
      </c>
      <c r="D3116" s="48" t="str">
        <f>D3115</f>
        <v>42210</v>
      </c>
      <c r="E3116" s="7"/>
      <c r="F3116" s="27">
        <v>0</v>
      </c>
      <c r="G3116" s="27">
        <v>0</v>
      </c>
      <c r="H3116" s="27">
        <v>0</v>
      </c>
      <c r="I3116" s="27">
        <v>0</v>
      </c>
      <c r="J3116" s="27">
        <v>0</v>
      </c>
      <c r="K3116" s="63">
        <f>AVERAGE(I3116:J3116)</f>
        <v>0</v>
      </c>
      <c r="L3116" s="56" t="str">
        <f>"SW-RISER-PACK"</f>
        <v>SW-RISER-PACK</v>
      </c>
      <c r="M3116" s="14"/>
      <c r="N3116" s="15"/>
      <c r="O3116" s="12"/>
      <c r="P3116" s="34"/>
      <c r="Q3116" s="37"/>
      <c r="R3116" s="47"/>
      <c r="S3116" s="46"/>
    </row>
    <row r="3117" spans="1:19" ht="12" hidden="1" customHeight="1" x14ac:dyDescent="0.3">
      <c r="A3117" s="35" t="s">
        <v>908</v>
      </c>
      <c r="B3117" s="49" t="str">
        <f>B3113</f>
        <v>hide</v>
      </c>
      <c r="N3117"/>
      <c r="Q3117" s="33"/>
    </row>
    <row r="3118" spans="1:19" ht="13.8" hidden="1" thickBot="1" x14ac:dyDescent="0.3">
      <c r="A3118" t="s">
        <v>23</v>
      </c>
      <c r="B3118" s="49" t="str">
        <f t="shared" ref="B3118" si="2234">B3117</f>
        <v>hide</v>
      </c>
      <c r="D3118" s="58"/>
      <c r="E3118" s="58"/>
      <c r="F3118" s="52">
        <f>SUM(F3113:F3117)</f>
        <v>0</v>
      </c>
      <c r="G3118" s="52">
        <f>SUM(G3113:G3117)</f>
        <v>0</v>
      </c>
      <c r="H3118" s="52">
        <f>SUM(H3113:H3117)</f>
        <v>0</v>
      </c>
      <c r="I3118" s="52">
        <f>SUM(I3113:I3117)</f>
        <v>0</v>
      </c>
      <c r="J3118" s="52">
        <f>SUM(J3113:J3117)</f>
        <v>0</v>
      </c>
      <c r="K3118" s="52"/>
      <c r="L3118" s="51" t="s">
        <v>4</v>
      </c>
      <c r="M3118" s="58"/>
      <c r="N3118" s="58"/>
      <c r="O3118" s="58"/>
      <c r="P3118" s="58"/>
      <c r="Q3118" s="58"/>
      <c r="R3118" s="58"/>
      <c r="S3118" s="58"/>
    </row>
    <row r="3119" spans="1:19" s="59" customFormat="1" ht="18.75" hidden="1" customHeight="1" thickBot="1" x14ac:dyDescent="0.3">
      <c r="A3119" s="59" t="s">
        <v>23</v>
      </c>
      <c r="B3119" s="60" t="str">
        <f t="shared" ref="B3119:B3120" si="2235">IF(K3119=0,"hide","")</f>
        <v>hide</v>
      </c>
      <c r="D3119" s="61" t="str">
        <f>"42251"</f>
        <v>42251</v>
      </c>
      <c r="E3119" s="62" t="str">
        <f>"3"</f>
        <v>3</v>
      </c>
      <c r="F3119" s="63">
        <v>15.5</v>
      </c>
      <c r="G3119" s="63">
        <v>3.9166666666666665</v>
      </c>
      <c r="H3119" s="63">
        <v>0</v>
      </c>
      <c r="I3119" s="63">
        <v>0</v>
      </c>
      <c r="J3119" s="63">
        <v>0</v>
      </c>
      <c r="K3119" s="63">
        <f>AVERAGE(I3119:J3119)</f>
        <v>0</v>
      </c>
      <c r="L3119" s="64" t="str">
        <f>"BANANA MUFFINS"</f>
        <v>BANANA MUFFINS</v>
      </c>
      <c r="M3119" s="65" t="str">
        <f>"72-1.8 oz. I.W."</f>
        <v>72-1.8 oz. I.W.</v>
      </c>
      <c r="N3119" s="66">
        <v>72</v>
      </c>
      <c r="O3119" s="67" t="str">
        <f>""</f>
        <v/>
      </c>
      <c r="P3119" s="68" t="e">
        <f>1/O3119</f>
        <v>#VALUE!</v>
      </c>
      <c r="Q3119" s="53">
        <v>1</v>
      </c>
      <c r="R3119" s="69">
        <f t="shared" ref="R3119" si="2236">1/Q3119</f>
        <v>1</v>
      </c>
      <c r="S3119" s="70">
        <f t="shared" ref="S3119" si="2237">R3119*N3119</f>
        <v>72</v>
      </c>
    </row>
    <row r="3120" spans="1:19" ht="15.6" hidden="1" customHeight="1" thickBot="1" x14ac:dyDescent="0.3">
      <c r="A3120" t="s">
        <v>23</v>
      </c>
      <c r="B3120" s="60" t="str">
        <f t="shared" si="2235"/>
        <v>hide</v>
      </c>
      <c r="D3120" s="48" t="str">
        <f>D3119</f>
        <v>42251</v>
      </c>
      <c r="E3120" s="7"/>
      <c r="F3120" s="27">
        <v>0</v>
      </c>
      <c r="G3120" s="27">
        <v>0</v>
      </c>
      <c r="H3120" s="27">
        <v>0</v>
      </c>
      <c r="I3120" s="27">
        <v>0</v>
      </c>
      <c r="J3120" s="27">
        <v>0</v>
      </c>
      <c r="K3120" s="63">
        <f>AVERAGE(I3120:J3120)</f>
        <v>0</v>
      </c>
      <c r="L3120" s="56" t="str">
        <f>"EQP-LAWPACK1"</f>
        <v>EQP-LAWPACK1</v>
      </c>
      <c r="M3120" s="14"/>
      <c r="N3120" s="15"/>
      <c r="O3120" s="12"/>
      <c r="P3120" s="34"/>
      <c r="Q3120" s="37"/>
      <c r="R3120" s="47"/>
      <c r="S3120" s="46"/>
    </row>
    <row r="3121" spans="1:19" ht="15.6" hidden="1" customHeight="1" thickBot="1" x14ac:dyDescent="0.3">
      <c r="A3121" t="s">
        <v>23</v>
      </c>
      <c r="B3121" s="60" t="str">
        <f t="shared" ref="B3121:B3123" si="2238">IF(K3121=0,"hide","")</f>
        <v>hide</v>
      </c>
      <c r="D3121" s="48" t="str">
        <f>D3120</f>
        <v>42251</v>
      </c>
      <c r="E3121" s="7"/>
      <c r="F3121" s="27">
        <v>0</v>
      </c>
      <c r="G3121" s="27">
        <v>0</v>
      </c>
      <c r="H3121" s="27">
        <v>0</v>
      </c>
      <c r="I3121" s="27">
        <v>0</v>
      </c>
      <c r="J3121" s="27">
        <v>0</v>
      </c>
      <c r="K3121" s="63">
        <f>AVERAGE(I3121:J3121)</f>
        <v>0</v>
      </c>
      <c r="L3121" s="56" t="str">
        <f>"EQP-LAWPACK2"</f>
        <v>EQP-LAWPACK2</v>
      </c>
      <c r="M3121" s="14"/>
      <c r="N3121" s="15"/>
      <c r="O3121" s="12"/>
      <c r="P3121" s="34"/>
      <c r="Q3121" s="37"/>
      <c r="R3121" s="47"/>
      <c r="S3121" s="46"/>
    </row>
    <row r="3122" spans="1:19" ht="15.6" hidden="1" customHeight="1" thickBot="1" x14ac:dyDescent="0.3">
      <c r="A3122" t="s">
        <v>23</v>
      </c>
      <c r="B3122" s="60" t="str">
        <f t="shared" si="2238"/>
        <v>hide</v>
      </c>
      <c r="D3122" s="48" t="str">
        <f>D3121</f>
        <v>42251</v>
      </c>
      <c r="E3122" s="7"/>
      <c r="F3122" s="27">
        <v>0</v>
      </c>
      <c r="G3122" s="27">
        <v>0</v>
      </c>
      <c r="H3122" s="27">
        <v>0</v>
      </c>
      <c r="I3122" s="27">
        <v>0</v>
      </c>
      <c r="J3122" s="27">
        <v>0</v>
      </c>
      <c r="K3122" s="63">
        <f>AVERAGE(I3122:J3122)</f>
        <v>0</v>
      </c>
      <c r="L3122" s="56" t="str">
        <f>"SW-COMAS-PACKL"</f>
        <v>SW-COMAS-PACKL</v>
      </c>
      <c r="M3122" s="14"/>
      <c r="N3122" s="15"/>
      <c r="O3122" s="12"/>
      <c r="P3122" s="34"/>
      <c r="Q3122" s="37"/>
      <c r="R3122" s="47"/>
      <c r="S3122" s="46"/>
    </row>
    <row r="3123" spans="1:19" ht="15.6" hidden="1" customHeight="1" thickBot="1" x14ac:dyDescent="0.3">
      <c r="A3123" t="s">
        <v>23</v>
      </c>
      <c r="B3123" s="60" t="str">
        <f t="shared" si="2238"/>
        <v>hide</v>
      </c>
      <c r="D3123" s="48" t="str">
        <f>D3122</f>
        <v>42251</v>
      </c>
      <c r="E3123" s="7"/>
      <c r="F3123" s="27">
        <v>0</v>
      </c>
      <c r="G3123" s="27">
        <v>0</v>
      </c>
      <c r="H3123" s="27">
        <v>0</v>
      </c>
      <c r="I3123" s="27">
        <v>0</v>
      </c>
      <c r="J3123" s="27">
        <v>0</v>
      </c>
      <c r="K3123" s="63">
        <f>AVERAGE(I3123:J3123)</f>
        <v>0</v>
      </c>
      <c r="L3123" s="56" t="str">
        <f>"SW-RISER-PACK"</f>
        <v>SW-RISER-PACK</v>
      </c>
      <c r="M3123" s="14"/>
      <c r="N3123" s="15"/>
      <c r="O3123" s="12"/>
      <c r="P3123" s="34"/>
      <c r="Q3123" s="37"/>
      <c r="R3123" s="47"/>
      <c r="S3123" s="46"/>
    </row>
    <row r="3124" spans="1:19" ht="12" hidden="1" customHeight="1" x14ac:dyDescent="0.3">
      <c r="A3124" s="35" t="s">
        <v>908</v>
      </c>
      <c r="B3124" s="49" t="str">
        <f>B3120</f>
        <v>hide</v>
      </c>
      <c r="N3124"/>
      <c r="Q3124" s="33"/>
    </row>
    <row r="3125" spans="1:19" ht="13.8" hidden="1" thickBot="1" x14ac:dyDescent="0.3">
      <c r="A3125" t="s">
        <v>23</v>
      </c>
      <c r="B3125" s="49" t="str">
        <f t="shared" ref="B3125" si="2239">B3124</f>
        <v>hide</v>
      </c>
      <c r="D3125" s="58"/>
      <c r="E3125" s="58"/>
      <c r="F3125" s="52">
        <f>SUM(F3120:F3124)</f>
        <v>0</v>
      </c>
      <c r="G3125" s="52">
        <f>SUM(G3120:G3124)</f>
        <v>0</v>
      </c>
      <c r="H3125" s="52">
        <f>SUM(H3120:H3124)</f>
        <v>0</v>
      </c>
      <c r="I3125" s="52">
        <f>SUM(I3120:I3124)</f>
        <v>0</v>
      </c>
      <c r="J3125" s="52">
        <f>SUM(J3120:J3124)</f>
        <v>0</v>
      </c>
      <c r="K3125" s="52"/>
      <c r="L3125" s="51" t="s">
        <v>4</v>
      </c>
      <c r="M3125" s="58"/>
      <c r="N3125" s="58"/>
      <c r="O3125" s="58"/>
      <c r="P3125" s="58"/>
      <c r="Q3125" s="58"/>
      <c r="R3125" s="58"/>
      <c r="S3125" s="58"/>
    </row>
    <row r="3126" spans="1:19" s="59" customFormat="1" ht="18.75" hidden="1" customHeight="1" thickBot="1" x14ac:dyDescent="0.3">
      <c r="A3126" s="59" t="s">
        <v>23</v>
      </c>
      <c r="B3126" s="60" t="str">
        <f t="shared" ref="B3126:B3127" si="2240">IF(K3126=0,"hide","")</f>
        <v>hide</v>
      </c>
      <c r="D3126" s="61" t="str">
        <f>"42261"</f>
        <v>42261</v>
      </c>
      <c r="E3126" s="62" t="str">
        <f>"3"</f>
        <v>3</v>
      </c>
      <c r="F3126" s="63">
        <v>0</v>
      </c>
      <c r="G3126" s="63">
        <v>0</v>
      </c>
      <c r="H3126" s="63">
        <v>0</v>
      </c>
      <c r="I3126" s="63">
        <v>0</v>
      </c>
      <c r="J3126" s="63">
        <v>0</v>
      </c>
      <c r="K3126" s="63">
        <f>AVERAGE(I3126:J3126)</f>
        <v>0</v>
      </c>
      <c r="L3126" s="64" t="str">
        <f>"BLUEBERRY (LOW FAT) MUFFINS"</f>
        <v>BLUEBERRY (LOW FAT) MUFFINS</v>
      </c>
      <c r="M3126" s="65" t="str">
        <f>"72-1.8 oz. I.W."</f>
        <v>72-1.8 oz. I.W.</v>
      </c>
      <c r="N3126" s="66">
        <v>72</v>
      </c>
      <c r="O3126" s="67" t="str">
        <f>""</f>
        <v/>
      </c>
      <c r="P3126" s="68" t="e">
        <f>1/O3126</f>
        <v>#VALUE!</v>
      </c>
      <c r="Q3126" s="53">
        <v>1</v>
      </c>
      <c r="R3126" s="69">
        <f t="shared" ref="R3126" si="2241">1/Q3126</f>
        <v>1</v>
      </c>
      <c r="S3126" s="70">
        <f t="shared" ref="S3126" si="2242">R3126*N3126</f>
        <v>72</v>
      </c>
    </row>
    <row r="3127" spans="1:19" ht="15.6" hidden="1" customHeight="1" thickBot="1" x14ac:dyDescent="0.3">
      <c r="A3127" t="s">
        <v>23</v>
      </c>
      <c r="B3127" s="60" t="str">
        <f t="shared" si="2240"/>
        <v>hide</v>
      </c>
      <c r="D3127" s="48" t="str">
        <f>D3126</f>
        <v>42261</v>
      </c>
      <c r="E3127" s="7"/>
      <c r="F3127" s="27">
        <v>0</v>
      </c>
      <c r="G3127" s="27">
        <v>0</v>
      </c>
      <c r="H3127" s="27">
        <v>0</v>
      </c>
      <c r="I3127" s="27">
        <v>0</v>
      </c>
      <c r="J3127" s="27">
        <v>0</v>
      </c>
      <c r="K3127" s="63">
        <f>AVERAGE(I3127:J3127)</f>
        <v>0</v>
      </c>
      <c r="L3127" s="56" t="str">
        <f>"EQP-LAWPACK1"</f>
        <v>EQP-LAWPACK1</v>
      </c>
      <c r="M3127" s="14"/>
      <c r="N3127" s="15"/>
      <c r="O3127" s="12"/>
      <c r="P3127" s="34"/>
      <c r="Q3127" s="37"/>
      <c r="R3127" s="47"/>
      <c r="S3127" s="46"/>
    </row>
    <row r="3128" spans="1:19" ht="15.6" hidden="1" customHeight="1" thickBot="1" x14ac:dyDescent="0.3">
      <c r="A3128" t="s">
        <v>23</v>
      </c>
      <c r="B3128" s="60" t="str">
        <f t="shared" ref="B3128:B3130" si="2243">IF(K3128=0,"hide","")</f>
        <v>hide</v>
      </c>
      <c r="D3128" s="48" t="str">
        <f>D3127</f>
        <v>42261</v>
      </c>
      <c r="E3128" s="7"/>
      <c r="F3128" s="27">
        <v>0</v>
      </c>
      <c r="G3128" s="27">
        <v>0</v>
      </c>
      <c r="H3128" s="27">
        <v>0</v>
      </c>
      <c r="I3128" s="27">
        <v>0</v>
      </c>
      <c r="J3128" s="27">
        <v>0</v>
      </c>
      <c r="K3128" s="63">
        <f>AVERAGE(I3128:J3128)</f>
        <v>0</v>
      </c>
      <c r="L3128" s="56" t="str">
        <f>"EQP-LAWPACK2"</f>
        <v>EQP-LAWPACK2</v>
      </c>
      <c r="M3128" s="14"/>
      <c r="N3128" s="15"/>
      <c r="O3128" s="12"/>
      <c r="P3128" s="34"/>
      <c r="Q3128" s="37"/>
      <c r="R3128" s="47"/>
      <c r="S3128" s="46"/>
    </row>
    <row r="3129" spans="1:19" ht="15.6" hidden="1" customHeight="1" thickBot="1" x14ac:dyDescent="0.3">
      <c r="A3129" t="s">
        <v>23</v>
      </c>
      <c r="B3129" s="60" t="str">
        <f t="shared" si="2243"/>
        <v>hide</v>
      </c>
      <c r="D3129" s="48" t="str">
        <f>D3128</f>
        <v>42261</v>
      </c>
      <c r="E3129" s="7"/>
      <c r="F3129" s="27">
        <v>0</v>
      </c>
      <c r="G3129" s="27">
        <v>0</v>
      </c>
      <c r="H3129" s="27">
        <v>0</v>
      </c>
      <c r="I3129" s="27">
        <v>0</v>
      </c>
      <c r="J3129" s="27">
        <v>0</v>
      </c>
      <c r="K3129" s="63">
        <f>AVERAGE(I3129:J3129)</f>
        <v>0</v>
      </c>
      <c r="L3129" s="56" t="str">
        <f>"SW-COMAS-PACKL"</f>
        <v>SW-COMAS-PACKL</v>
      </c>
      <c r="M3129" s="14"/>
      <c r="N3129" s="15"/>
      <c r="O3129" s="12"/>
      <c r="P3129" s="34"/>
      <c r="Q3129" s="37"/>
      <c r="R3129" s="47"/>
      <c r="S3129" s="46"/>
    </row>
    <row r="3130" spans="1:19" ht="15.6" hidden="1" customHeight="1" thickBot="1" x14ac:dyDescent="0.3">
      <c r="A3130" t="s">
        <v>23</v>
      </c>
      <c r="B3130" s="60" t="str">
        <f t="shared" si="2243"/>
        <v>hide</v>
      </c>
      <c r="D3130" s="48" t="str">
        <f>D3129</f>
        <v>42261</v>
      </c>
      <c r="E3130" s="7"/>
      <c r="F3130" s="27">
        <v>0</v>
      </c>
      <c r="G3130" s="27">
        <v>0</v>
      </c>
      <c r="H3130" s="27">
        <v>0</v>
      </c>
      <c r="I3130" s="27">
        <v>0</v>
      </c>
      <c r="J3130" s="27">
        <v>0</v>
      </c>
      <c r="K3130" s="63">
        <f>AVERAGE(I3130:J3130)</f>
        <v>0</v>
      </c>
      <c r="L3130" s="56" t="str">
        <f>"SW-RISER-PACK"</f>
        <v>SW-RISER-PACK</v>
      </c>
      <c r="M3130" s="14"/>
      <c r="N3130" s="15"/>
      <c r="O3130" s="12"/>
      <c r="P3130" s="34"/>
      <c r="Q3130" s="37"/>
      <c r="R3130" s="47"/>
      <c r="S3130" s="46"/>
    </row>
    <row r="3131" spans="1:19" ht="12" hidden="1" customHeight="1" x14ac:dyDescent="0.3">
      <c r="A3131" s="35" t="s">
        <v>908</v>
      </c>
      <c r="B3131" s="49" t="str">
        <f>B3127</f>
        <v>hide</v>
      </c>
      <c r="N3131"/>
      <c r="Q3131" s="33"/>
    </row>
    <row r="3132" spans="1:19" ht="13.8" hidden="1" thickBot="1" x14ac:dyDescent="0.3">
      <c r="A3132" t="s">
        <v>23</v>
      </c>
      <c r="B3132" s="49" t="str">
        <f t="shared" ref="B3132" si="2244">B3131</f>
        <v>hide</v>
      </c>
      <c r="D3132" s="58"/>
      <c r="E3132" s="58"/>
      <c r="F3132" s="52">
        <f>SUM(F3127:F3131)</f>
        <v>0</v>
      </c>
      <c r="G3132" s="52">
        <f>SUM(G3127:G3131)</f>
        <v>0</v>
      </c>
      <c r="H3132" s="52">
        <f>SUM(H3127:H3131)</f>
        <v>0</v>
      </c>
      <c r="I3132" s="52">
        <f>SUM(I3127:I3131)</f>
        <v>0</v>
      </c>
      <c r="J3132" s="52">
        <f>SUM(J3127:J3131)</f>
        <v>0</v>
      </c>
      <c r="K3132" s="52"/>
      <c r="L3132" s="51" t="s">
        <v>4</v>
      </c>
      <c r="M3132" s="58"/>
      <c r="N3132" s="58"/>
      <c r="O3132" s="58"/>
      <c r="P3132" s="58"/>
      <c r="Q3132" s="58"/>
      <c r="R3132" s="58"/>
      <c r="S3132" s="58"/>
    </row>
    <row r="3133" spans="1:19" s="59" customFormat="1" ht="18.75" hidden="1" customHeight="1" thickBot="1" x14ac:dyDescent="0.3">
      <c r="A3133" s="59" t="s">
        <v>23</v>
      </c>
      <c r="B3133" s="60" t="str">
        <f t="shared" ref="B3133:B3134" si="2245">IF(K3133=0,"hide","")</f>
        <v>hide</v>
      </c>
      <c r="D3133" s="61" t="str">
        <f>"42275"</f>
        <v>42275</v>
      </c>
      <c r="E3133" s="62" t="str">
        <f>"3"</f>
        <v>3</v>
      </c>
      <c r="F3133" s="63">
        <v>0</v>
      </c>
      <c r="G3133" s="63">
        <v>0</v>
      </c>
      <c r="H3133" s="63">
        <v>0</v>
      </c>
      <c r="I3133" s="63">
        <v>0</v>
      </c>
      <c r="J3133" s="63">
        <v>0</v>
      </c>
      <c r="K3133" s="63">
        <f>AVERAGE(I3133:J3133)</f>
        <v>0</v>
      </c>
      <c r="L3133" s="64" t="str">
        <f>"LOW FAT BANANA MUFFINS"</f>
        <v>LOW FAT BANANA MUFFINS</v>
      </c>
      <c r="M3133" s="65" t="str">
        <f>"72-1.8 oz. I.W."</f>
        <v>72-1.8 oz. I.W.</v>
      </c>
      <c r="N3133" s="66">
        <v>72</v>
      </c>
      <c r="O3133" s="67" t="str">
        <f>""</f>
        <v/>
      </c>
      <c r="P3133" s="68" t="e">
        <f>1/O3133</f>
        <v>#VALUE!</v>
      </c>
      <c r="Q3133" s="53">
        <v>1</v>
      </c>
      <c r="R3133" s="69">
        <f t="shared" ref="R3133" si="2246">1/Q3133</f>
        <v>1</v>
      </c>
      <c r="S3133" s="70">
        <f t="shared" ref="S3133" si="2247">R3133*N3133</f>
        <v>72</v>
      </c>
    </row>
    <row r="3134" spans="1:19" ht="15.6" hidden="1" customHeight="1" thickBot="1" x14ac:dyDescent="0.3">
      <c r="A3134" t="s">
        <v>23</v>
      </c>
      <c r="B3134" s="60" t="str">
        <f t="shared" si="2245"/>
        <v>hide</v>
      </c>
      <c r="D3134" s="48" t="str">
        <f>D3133</f>
        <v>42275</v>
      </c>
      <c r="E3134" s="7"/>
      <c r="F3134" s="27">
        <v>0</v>
      </c>
      <c r="G3134" s="27">
        <v>0</v>
      </c>
      <c r="H3134" s="27">
        <v>0</v>
      </c>
      <c r="I3134" s="27">
        <v>0</v>
      </c>
      <c r="J3134" s="27">
        <v>0</v>
      </c>
      <c r="K3134" s="63">
        <f>AVERAGE(I3134:J3134)</f>
        <v>0</v>
      </c>
      <c r="L3134" s="56" t="str">
        <f>"EQP-LAWPACK1"</f>
        <v>EQP-LAWPACK1</v>
      </c>
      <c r="M3134" s="14"/>
      <c r="N3134" s="15"/>
      <c r="O3134" s="12"/>
      <c r="P3134" s="34"/>
      <c r="Q3134" s="37"/>
      <c r="R3134" s="47"/>
      <c r="S3134" s="46"/>
    </row>
    <row r="3135" spans="1:19" ht="15.6" hidden="1" customHeight="1" thickBot="1" x14ac:dyDescent="0.3">
      <c r="A3135" t="s">
        <v>23</v>
      </c>
      <c r="B3135" s="60" t="str">
        <f t="shared" ref="B3135:B3137" si="2248">IF(K3135=0,"hide","")</f>
        <v>hide</v>
      </c>
      <c r="D3135" s="48" t="str">
        <f>D3134</f>
        <v>42275</v>
      </c>
      <c r="E3135" s="7"/>
      <c r="F3135" s="27">
        <v>0</v>
      </c>
      <c r="G3135" s="27">
        <v>0</v>
      </c>
      <c r="H3135" s="27">
        <v>0</v>
      </c>
      <c r="I3135" s="27">
        <v>0</v>
      </c>
      <c r="J3135" s="27">
        <v>0</v>
      </c>
      <c r="K3135" s="63">
        <f>AVERAGE(I3135:J3135)</f>
        <v>0</v>
      </c>
      <c r="L3135" s="56" t="str">
        <f>"EQP-LAWPACK2"</f>
        <v>EQP-LAWPACK2</v>
      </c>
      <c r="M3135" s="14"/>
      <c r="N3135" s="15"/>
      <c r="O3135" s="12"/>
      <c r="P3135" s="34"/>
      <c r="Q3135" s="37"/>
      <c r="R3135" s="47"/>
      <c r="S3135" s="46"/>
    </row>
    <row r="3136" spans="1:19" ht="15.6" hidden="1" customHeight="1" thickBot="1" x14ac:dyDescent="0.3">
      <c r="A3136" t="s">
        <v>23</v>
      </c>
      <c r="B3136" s="60" t="str">
        <f t="shared" si="2248"/>
        <v>hide</v>
      </c>
      <c r="D3136" s="48" t="str">
        <f>D3135</f>
        <v>42275</v>
      </c>
      <c r="E3136" s="7"/>
      <c r="F3136" s="27">
        <v>0</v>
      </c>
      <c r="G3136" s="27">
        <v>0</v>
      </c>
      <c r="H3136" s="27">
        <v>0</v>
      </c>
      <c r="I3136" s="27">
        <v>0</v>
      </c>
      <c r="J3136" s="27">
        <v>0</v>
      </c>
      <c r="K3136" s="63">
        <f>AVERAGE(I3136:J3136)</f>
        <v>0</v>
      </c>
      <c r="L3136" s="56" t="str">
        <f>"SW-COMAS-PACKL"</f>
        <v>SW-COMAS-PACKL</v>
      </c>
      <c r="M3136" s="14"/>
      <c r="N3136" s="15"/>
      <c r="O3136" s="12"/>
      <c r="P3136" s="34"/>
      <c r="Q3136" s="37"/>
      <c r="R3136" s="47"/>
      <c r="S3136" s="46"/>
    </row>
    <row r="3137" spans="1:19" ht="15.6" hidden="1" customHeight="1" thickBot="1" x14ac:dyDescent="0.3">
      <c r="A3137" t="s">
        <v>23</v>
      </c>
      <c r="B3137" s="60" t="str">
        <f t="shared" si="2248"/>
        <v>hide</v>
      </c>
      <c r="D3137" s="48" t="str">
        <f>D3136</f>
        <v>42275</v>
      </c>
      <c r="E3137" s="7"/>
      <c r="F3137" s="27">
        <v>0</v>
      </c>
      <c r="G3137" s="27">
        <v>0</v>
      </c>
      <c r="H3137" s="27">
        <v>0</v>
      </c>
      <c r="I3137" s="27">
        <v>0</v>
      </c>
      <c r="J3137" s="27">
        <v>0</v>
      </c>
      <c r="K3137" s="63">
        <f>AVERAGE(I3137:J3137)</f>
        <v>0</v>
      </c>
      <c r="L3137" s="56" t="str">
        <f>"SW-RISER-PACK"</f>
        <v>SW-RISER-PACK</v>
      </c>
      <c r="M3137" s="14"/>
      <c r="N3137" s="15"/>
      <c r="O3137" s="12"/>
      <c r="P3137" s="34"/>
      <c r="Q3137" s="37"/>
      <c r="R3137" s="47"/>
      <c r="S3137" s="46"/>
    </row>
    <row r="3138" spans="1:19" ht="12" hidden="1" customHeight="1" x14ac:dyDescent="0.3">
      <c r="A3138" s="35" t="s">
        <v>908</v>
      </c>
      <c r="B3138" s="49" t="str">
        <f>B3134</f>
        <v>hide</v>
      </c>
      <c r="N3138"/>
      <c r="Q3138" s="33"/>
    </row>
    <row r="3139" spans="1:19" ht="13.8" hidden="1" thickBot="1" x14ac:dyDescent="0.3">
      <c r="A3139" t="s">
        <v>23</v>
      </c>
      <c r="B3139" s="49" t="str">
        <f t="shared" ref="B3139" si="2249">B3138</f>
        <v>hide</v>
      </c>
      <c r="D3139" s="58"/>
      <c r="E3139" s="58"/>
      <c r="F3139" s="52">
        <f>SUM(F3134:F3138)</f>
        <v>0</v>
      </c>
      <c r="G3139" s="52">
        <f>SUM(G3134:G3138)</f>
        <v>0</v>
      </c>
      <c r="H3139" s="52">
        <f>SUM(H3134:H3138)</f>
        <v>0</v>
      </c>
      <c r="I3139" s="52">
        <f>SUM(I3134:I3138)</f>
        <v>0</v>
      </c>
      <c r="J3139" s="52">
        <f>SUM(J3134:J3138)</f>
        <v>0</v>
      </c>
      <c r="K3139" s="52"/>
      <c r="L3139" s="51" t="s">
        <v>4</v>
      </c>
      <c r="M3139" s="58"/>
      <c r="N3139" s="58"/>
      <c r="O3139" s="58"/>
      <c r="P3139" s="58"/>
      <c r="Q3139" s="58"/>
      <c r="R3139" s="58"/>
      <c r="S3139" s="58"/>
    </row>
    <row r="3140" spans="1:19" s="59" customFormat="1" ht="18.75" hidden="1" customHeight="1" thickBot="1" x14ac:dyDescent="0.3">
      <c r="A3140" s="59" t="s">
        <v>23</v>
      </c>
      <c r="B3140" s="60" t="str">
        <f t="shared" ref="B3140:B3141" si="2250">IF(K3140=0,"hide","")</f>
        <v>hide</v>
      </c>
      <c r="D3140" s="61" t="str">
        <f>"42501"</f>
        <v>42501</v>
      </c>
      <c r="E3140" s="62" t="str">
        <f>"6"</f>
        <v>6</v>
      </c>
      <c r="F3140" s="63">
        <v>0</v>
      </c>
      <c r="G3140" s="63">
        <v>0</v>
      </c>
      <c r="H3140" s="63">
        <v>0</v>
      </c>
      <c r="I3140" s="63">
        <v>0</v>
      </c>
      <c r="J3140" s="63">
        <v>0</v>
      </c>
      <c r="K3140" s="63">
        <f>AVERAGE(I3140:J3140)</f>
        <v>0</v>
      </c>
      <c r="L3140" s="64" t="str">
        <f>"BLUEBERRY MUFFINS"</f>
        <v>BLUEBERRY MUFFINS</v>
      </c>
      <c r="M3140" s="65" t="str">
        <f>"72-1.8 oz. I.W."</f>
        <v>72-1.8 oz. I.W.</v>
      </c>
      <c r="N3140" s="66">
        <v>72</v>
      </c>
      <c r="O3140" s="67" t="str">
        <f>""</f>
        <v/>
      </c>
      <c r="P3140" s="68" t="e">
        <f>1/O3140</f>
        <v>#VALUE!</v>
      </c>
      <c r="Q3140" s="53">
        <v>1</v>
      </c>
      <c r="R3140" s="69">
        <f t="shared" ref="R3140" si="2251">1/Q3140</f>
        <v>1</v>
      </c>
      <c r="S3140" s="70">
        <f t="shared" ref="S3140" si="2252">R3140*N3140</f>
        <v>72</v>
      </c>
    </row>
    <row r="3141" spans="1:19" ht="15.6" hidden="1" customHeight="1" thickBot="1" x14ac:dyDescent="0.3">
      <c r="A3141" t="s">
        <v>23</v>
      </c>
      <c r="B3141" s="60" t="str">
        <f t="shared" si="2250"/>
        <v>hide</v>
      </c>
      <c r="D3141" s="48" t="str">
        <f>D3140</f>
        <v>42501</v>
      </c>
      <c r="E3141" s="7"/>
      <c r="F3141" s="27">
        <v>0</v>
      </c>
      <c r="G3141" s="27">
        <v>0</v>
      </c>
      <c r="H3141" s="27">
        <v>0</v>
      </c>
      <c r="I3141" s="27">
        <v>0</v>
      </c>
      <c r="J3141" s="27">
        <v>0</v>
      </c>
      <c r="K3141" s="63">
        <f>AVERAGE(I3141:J3141)</f>
        <v>0</v>
      </c>
      <c r="L3141" s="56" t="str">
        <f>"EQP-LAWPACK1"</f>
        <v>EQP-LAWPACK1</v>
      </c>
      <c r="M3141" s="14"/>
      <c r="N3141" s="15"/>
      <c r="O3141" s="12"/>
      <c r="P3141" s="34"/>
      <c r="Q3141" s="37"/>
      <c r="R3141" s="47"/>
      <c r="S3141" s="46"/>
    </row>
    <row r="3142" spans="1:19" ht="15.6" hidden="1" customHeight="1" thickBot="1" x14ac:dyDescent="0.3">
      <c r="A3142" t="s">
        <v>23</v>
      </c>
      <c r="B3142" s="60" t="str">
        <f t="shared" ref="B3142:B3144" si="2253">IF(K3142=0,"hide","")</f>
        <v>hide</v>
      </c>
      <c r="D3142" s="48" t="str">
        <f>D3141</f>
        <v>42501</v>
      </c>
      <c r="E3142" s="7"/>
      <c r="F3142" s="27">
        <v>0</v>
      </c>
      <c r="G3142" s="27">
        <v>0</v>
      </c>
      <c r="H3142" s="27">
        <v>0</v>
      </c>
      <c r="I3142" s="27">
        <v>0</v>
      </c>
      <c r="J3142" s="27">
        <v>0</v>
      </c>
      <c r="K3142" s="63">
        <f>AVERAGE(I3142:J3142)</f>
        <v>0</v>
      </c>
      <c r="L3142" s="56" t="str">
        <f>"EQP-LAWPACK2"</f>
        <v>EQP-LAWPACK2</v>
      </c>
      <c r="M3142" s="14"/>
      <c r="N3142" s="15"/>
      <c r="O3142" s="12"/>
      <c r="P3142" s="34"/>
      <c r="Q3142" s="37"/>
      <c r="R3142" s="47"/>
      <c r="S3142" s="46"/>
    </row>
    <row r="3143" spans="1:19" ht="15.6" hidden="1" customHeight="1" thickBot="1" x14ac:dyDescent="0.3">
      <c r="A3143" t="s">
        <v>23</v>
      </c>
      <c r="B3143" s="60" t="str">
        <f t="shared" si="2253"/>
        <v>hide</v>
      </c>
      <c r="D3143" s="48" t="str">
        <f>D3142</f>
        <v>42501</v>
      </c>
      <c r="E3143" s="7"/>
      <c r="F3143" s="27">
        <v>0</v>
      </c>
      <c r="G3143" s="27">
        <v>0</v>
      </c>
      <c r="H3143" s="27">
        <v>0</v>
      </c>
      <c r="I3143" s="27">
        <v>0</v>
      </c>
      <c r="J3143" s="27">
        <v>0</v>
      </c>
      <c r="K3143" s="63">
        <f>AVERAGE(I3143:J3143)</f>
        <v>0</v>
      </c>
      <c r="L3143" s="56" t="str">
        <f>"SW-COMAS-PACKL"</f>
        <v>SW-COMAS-PACKL</v>
      </c>
      <c r="M3143" s="14"/>
      <c r="N3143" s="15"/>
      <c r="O3143" s="12"/>
      <c r="P3143" s="34"/>
      <c r="Q3143" s="37"/>
      <c r="R3143" s="47"/>
      <c r="S3143" s="46"/>
    </row>
    <row r="3144" spans="1:19" ht="15.6" hidden="1" customHeight="1" thickBot="1" x14ac:dyDescent="0.3">
      <c r="A3144" t="s">
        <v>23</v>
      </c>
      <c r="B3144" s="60" t="str">
        <f t="shared" si="2253"/>
        <v>hide</v>
      </c>
      <c r="D3144" s="48" t="str">
        <f>D3143</f>
        <v>42501</v>
      </c>
      <c r="E3144" s="7"/>
      <c r="F3144" s="27">
        <v>0</v>
      </c>
      <c r="G3144" s="27">
        <v>0</v>
      </c>
      <c r="H3144" s="27">
        <v>0</v>
      </c>
      <c r="I3144" s="27">
        <v>0</v>
      </c>
      <c r="J3144" s="27">
        <v>0</v>
      </c>
      <c r="K3144" s="63">
        <f>AVERAGE(I3144:J3144)</f>
        <v>0</v>
      </c>
      <c r="L3144" s="56" t="str">
        <f>"SW-RISER-PACK"</f>
        <v>SW-RISER-PACK</v>
      </c>
      <c r="M3144" s="14"/>
      <c r="N3144" s="15"/>
      <c r="O3144" s="12"/>
      <c r="P3144" s="34"/>
      <c r="Q3144" s="37"/>
      <c r="R3144" s="47"/>
      <c r="S3144" s="46"/>
    </row>
    <row r="3145" spans="1:19" ht="12" hidden="1" customHeight="1" x14ac:dyDescent="0.3">
      <c r="A3145" s="35" t="s">
        <v>908</v>
      </c>
      <c r="B3145" s="49" t="str">
        <f>B3141</f>
        <v>hide</v>
      </c>
      <c r="N3145"/>
      <c r="Q3145" s="33"/>
    </row>
    <row r="3146" spans="1:19" ht="13.8" hidden="1" thickBot="1" x14ac:dyDescent="0.3">
      <c r="A3146" t="s">
        <v>23</v>
      </c>
      <c r="B3146" s="49" t="str">
        <f t="shared" ref="B3146" si="2254">B3145</f>
        <v>hide</v>
      </c>
      <c r="D3146" s="58"/>
      <c r="E3146" s="58"/>
      <c r="F3146" s="52">
        <f>SUM(F3141:F3145)</f>
        <v>0</v>
      </c>
      <c r="G3146" s="52">
        <f>SUM(G3141:G3145)</f>
        <v>0</v>
      </c>
      <c r="H3146" s="52">
        <f>SUM(H3141:H3145)</f>
        <v>0</v>
      </c>
      <c r="I3146" s="52">
        <f>SUM(I3141:I3145)</f>
        <v>0</v>
      </c>
      <c r="J3146" s="52">
        <f>SUM(J3141:J3145)</f>
        <v>0</v>
      </c>
      <c r="K3146" s="52"/>
      <c r="L3146" s="51" t="s">
        <v>4</v>
      </c>
      <c r="M3146" s="58"/>
      <c r="N3146" s="58"/>
      <c r="O3146" s="58"/>
      <c r="P3146" s="58"/>
      <c r="Q3146" s="58"/>
      <c r="R3146" s="58"/>
      <c r="S3146" s="58"/>
    </row>
    <row r="3147" spans="1:19" s="59" customFormat="1" ht="18.75" hidden="1" customHeight="1" thickBot="1" x14ac:dyDescent="0.3">
      <c r="A3147" s="59" t="s">
        <v>23</v>
      </c>
      <c r="B3147" s="60" t="str">
        <f t="shared" ref="B3147:B3148" si="2255">IF(K3147=0,"hide","")</f>
        <v>hide</v>
      </c>
      <c r="D3147" s="61" t="str">
        <f>"42538"</f>
        <v>42538</v>
      </c>
      <c r="E3147" s="62" t="str">
        <f>"7"</f>
        <v>7</v>
      </c>
      <c r="F3147" s="63">
        <v>2850.0833333333335</v>
      </c>
      <c r="G3147" s="63">
        <v>0</v>
      </c>
      <c r="H3147" s="63">
        <v>0</v>
      </c>
      <c r="I3147" s="63">
        <v>0</v>
      </c>
      <c r="J3147" s="63">
        <v>0</v>
      </c>
      <c r="K3147" s="63">
        <f>AVERAGE(I3147:J3147)</f>
        <v>0</v>
      </c>
      <c r="L3147" s="64" t="str">
        <f>"Peach Streusel Muffin"</f>
        <v>Peach Streusel Muffin</v>
      </c>
      <c r="M3147" s="65" t="str">
        <f>"120-1.8 oz. IW TulipLiner"</f>
        <v>120-1.8 oz. IW TulipLiner</v>
      </c>
      <c r="N3147" s="66">
        <v>120</v>
      </c>
      <c r="O3147" s="67" t="str">
        <f>""</f>
        <v/>
      </c>
      <c r="P3147" s="68" t="e">
        <f>1/O3147</f>
        <v>#VALUE!</v>
      </c>
      <c r="Q3147" s="53">
        <v>1</v>
      </c>
      <c r="R3147" s="69">
        <f t="shared" ref="R3147" si="2256">1/Q3147</f>
        <v>1</v>
      </c>
      <c r="S3147" s="70">
        <f t="shared" ref="S3147" si="2257">R3147*N3147</f>
        <v>120</v>
      </c>
    </row>
    <row r="3148" spans="1:19" ht="15.6" hidden="1" customHeight="1" thickBot="1" x14ac:dyDescent="0.3">
      <c r="A3148" t="s">
        <v>23</v>
      </c>
      <c r="B3148" s="60" t="str">
        <f t="shared" si="2255"/>
        <v>hide</v>
      </c>
      <c r="D3148" s="48" t="str">
        <f>D3147</f>
        <v>42538</v>
      </c>
      <c r="E3148" s="7"/>
      <c r="F3148" s="27">
        <v>0</v>
      </c>
      <c r="G3148" s="27">
        <v>0</v>
      </c>
      <c r="H3148" s="27">
        <v>0</v>
      </c>
      <c r="I3148" s="27">
        <v>0</v>
      </c>
      <c r="J3148" s="27">
        <v>0</v>
      </c>
      <c r="K3148" s="63">
        <f>AVERAGE(I3148:J3148)</f>
        <v>0</v>
      </c>
      <c r="L3148" s="56" t="str">
        <f>"EQP-LAWPACK1"</f>
        <v>EQP-LAWPACK1</v>
      </c>
      <c r="M3148" s="14"/>
      <c r="N3148" s="15"/>
      <c r="O3148" s="12"/>
      <c r="P3148" s="34"/>
      <c r="Q3148" s="37"/>
      <c r="R3148" s="47"/>
      <c r="S3148" s="46"/>
    </row>
    <row r="3149" spans="1:19" ht="15.6" hidden="1" customHeight="1" thickBot="1" x14ac:dyDescent="0.3">
      <c r="A3149" t="s">
        <v>23</v>
      </c>
      <c r="B3149" s="60" t="str">
        <f t="shared" ref="B3149:B3151" si="2258">IF(K3149=0,"hide","")</f>
        <v>hide</v>
      </c>
      <c r="D3149" s="48" t="str">
        <f>D3148</f>
        <v>42538</v>
      </c>
      <c r="E3149" s="7"/>
      <c r="F3149" s="27">
        <v>0</v>
      </c>
      <c r="G3149" s="27">
        <v>0</v>
      </c>
      <c r="H3149" s="27">
        <v>0</v>
      </c>
      <c r="I3149" s="27">
        <v>0</v>
      </c>
      <c r="J3149" s="27">
        <v>0</v>
      </c>
      <c r="K3149" s="63">
        <f>AVERAGE(I3149:J3149)</f>
        <v>0</v>
      </c>
      <c r="L3149" s="56" t="str">
        <f>"EQP-LAWPACK2"</f>
        <v>EQP-LAWPACK2</v>
      </c>
      <c r="M3149" s="14"/>
      <c r="N3149" s="15"/>
      <c r="O3149" s="12"/>
      <c r="P3149" s="34"/>
      <c r="Q3149" s="37"/>
      <c r="R3149" s="47"/>
      <c r="S3149" s="46"/>
    </row>
    <row r="3150" spans="1:19" ht="15.6" hidden="1" customHeight="1" thickBot="1" x14ac:dyDescent="0.3">
      <c r="A3150" t="s">
        <v>23</v>
      </c>
      <c r="B3150" s="60" t="str">
        <f t="shared" si="2258"/>
        <v>hide</v>
      </c>
      <c r="D3150" s="48" t="str">
        <f>D3149</f>
        <v>42538</v>
      </c>
      <c r="E3150" s="7"/>
      <c r="F3150" s="27">
        <v>0</v>
      </c>
      <c r="G3150" s="27">
        <v>0</v>
      </c>
      <c r="H3150" s="27">
        <v>0</v>
      </c>
      <c r="I3150" s="27">
        <v>0</v>
      </c>
      <c r="J3150" s="27">
        <v>0</v>
      </c>
      <c r="K3150" s="63">
        <f>AVERAGE(I3150:J3150)</f>
        <v>0</v>
      </c>
      <c r="L3150" s="56" t="str">
        <f>"SW-COMAS-PACKL"</f>
        <v>SW-COMAS-PACKL</v>
      </c>
      <c r="M3150" s="14"/>
      <c r="N3150" s="15"/>
      <c r="O3150" s="12"/>
      <c r="P3150" s="34"/>
      <c r="Q3150" s="37"/>
      <c r="R3150" s="47"/>
      <c r="S3150" s="46"/>
    </row>
    <row r="3151" spans="1:19" ht="15.6" hidden="1" customHeight="1" thickBot="1" x14ac:dyDescent="0.3">
      <c r="A3151" t="s">
        <v>23</v>
      </c>
      <c r="B3151" s="60" t="str">
        <f t="shared" si="2258"/>
        <v>hide</v>
      </c>
      <c r="D3151" s="48" t="str">
        <f>D3150</f>
        <v>42538</v>
      </c>
      <c r="E3151" s="7"/>
      <c r="F3151" s="27">
        <v>0</v>
      </c>
      <c r="G3151" s="27">
        <v>0</v>
      </c>
      <c r="H3151" s="27">
        <v>0</v>
      </c>
      <c r="I3151" s="27">
        <v>0</v>
      </c>
      <c r="J3151" s="27">
        <v>0</v>
      </c>
      <c r="K3151" s="63">
        <f>AVERAGE(I3151:J3151)</f>
        <v>0</v>
      </c>
      <c r="L3151" s="56" t="str">
        <f>"SW-RISER-PACK"</f>
        <v>SW-RISER-PACK</v>
      </c>
      <c r="M3151" s="14"/>
      <c r="N3151" s="15"/>
      <c r="O3151" s="12"/>
      <c r="P3151" s="34"/>
      <c r="Q3151" s="37"/>
      <c r="R3151" s="47"/>
      <c r="S3151" s="46"/>
    </row>
    <row r="3152" spans="1:19" ht="12" hidden="1" customHeight="1" x14ac:dyDescent="0.3">
      <c r="A3152" s="35" t="s">
        <v>908</v>
      </c>
      <c r="B3152" s="49" t="str">
        <f>B3148</f>
        <v>hide</v>
      </c>
      <c r="N3152"/>
      <c r="Q3152" s="33"/>
    </row>
    <row r="3153" spans="1:19" ht="13.8" hidden="1" thickBot="1" x14ac:dyDescent="0.3">
      <c r="A3153" t="s">
        <v>23</v>
      </c>
      <c r="B3153" s="49" t="str">
        <f t="shared" ref="B3153" si="2259">B3152</f>
        <v>hide</v>
      </c>
      <c r="D3153" s="58"/>
      <c r="E3153" s="58"/>
      <c r="F3153" s="52">
        <f>SUM(F3148:F3152)</f>
        <v>0</v>
      </c>
      <c r="G3153" s="52">
        <f>SUM(G3148:G3152)</f>
        <v>0</v>
      </c>
      <c r="H3153" s="52">
        <f>SUM(H3148:H3152)</f>
        <v>0</v>
      </c>
      <c r="I3153" s="52">
        <f>SUM(I3148:I3152)</f>
        <v>0</v>
      </c>
      <c r="J3153" s="52">
        <f>SUM(J3148:J3152)</f>
        <v>0</v>
      </c>
      <c r="K3153" s="52"/>
      <c r="L3153" s="51" t="s">
        <v>4</v>
      </c>
      <c r="M3153" s="58"/>
      <c r="N3153" s="58"/>
      <c r="O3153" s="58"/>
      <c r="P3153" s="58"/>
      <c r="Q3153" s="58"/>
      <c r="R3153" s="58"/>
      <c r="S3153" s="58"/>
    </row>
    <row r="3154" spans="1:19" s="59" customFormat="1" ht="18.75" hidden="1" customHeight="1" thickBot="1" x14ac:dyDescent="0.3">
      <c r="A3154" s="59" t="s">
        <v>23</v>
      </c>
      <c r="B3154" s="60" t="str">
        <f t="shared" ref="B3154:B3155" si="2260">IF(K3154=0,"hide","")</f>
        <v>hide</v>
      </c>
      <c r="D3154" s="61" t="str">
        <f>"42618"</f>
        <v>42618</v>
      </c>
      <c r="E3154" s="62" t="str">
        <f>"5"</f>
        <v>5</v>
      </c>
      <c r="F3154" s="63">
        <v>0</v>
      </c>
      <c r="G3154" s="63">
        <v>0</v>
      </c>
      <c r="H3154" s="63">
        <v>0</v>
      </c>
      <c r="I3154" s="63">
        <v>0</v>
      </c>
      <c r="J3154" s="63">
        <v>0</v>
      </c>
      <c r="K3154" s="63">
        <f>AVERAGE(I3154:J3154)</f>
        <v>0</v>
      </c>
      <c r="L3154" s="64" t="str">
        <f>"Smart Choice Sweet Potato"</f>
        <v>Smart Choice Sweet Potato</v>
      </c>
      <c r="M3154" s="65" t="str">
        <f>"72-1.8 oz. I.W."</f>
        <v>72-1.8 oz. I.W.</v>
      </c>
      <c r="N3154" s="66">
        <v>72</v>
      </c>
      <c r="O3154" s="67" t="str">
        <f>""</f>
        <v/>
      </c>
      <c r="P3154" s="68" t="e">
        <f>1/O3154</f>
        <v>#VALUE!</v>
      </c>
      <c r="Q3154" s="53">
        <v>1</v>
      </c>
      <c r="R3154" s="69">
        <f t="shared" ref="R3154" si="2261">1/Q3154</f>
        <v>1</v>
      </c>
      <c r="S3154" s="70">
        <f t="shared" ref="S3154" si="2262">R3154*N3154</f>
        <v>72</v>
      </c>
    </row>
    <row r="3155" spans="1:19" ht="15.6" hidden="1" customHeight="1" thickBot="1" x14ac:dyDescent="0.3">
      <c r="A3155" t="s">
        <v>23</v>
      </c>
      <c r="B3155" s="60" t="str">
        <f t="shared" si="2260"/>
        <v>hide</v>
      </c>
      <c r="D3155" s="48" t="str">
        <f>D3154</f>
        <v>42618</v>
      </c>
      <c r="E3155" s="7"/>
      <c r="F3155" s="27">
        <v>0</v>
      </c>
      <c r="G3155" s="27">
        <v>0</v>
      </c>
      <c r="H3155" s="27">
        <v>0</v>
      </c>
      <c r="I3155" s="27">
        <v>0</v>
      </c>
      <c r="J3155" s="27">
        <v>0</v>
      </c>
      <c r="K3155" s="63">
        <f>AVERAGE(I3155:J3155)</f>
        <v>0</v>
      </c>
      <c r="L3155" s="56" t="str">
        <f>"EQP-LAWPACK1"</f>
        <v>EQP-LAWPACK1</v>
      </c>
      <c r="M3155" s="14"/>
      <c r="N3155" s="15"/>
      <c r="O3155" s="12"/>
      <c r="P3155" s="34"/>
      <c r="Q3155" s="37"/>
      <c r="R3155" s="47"/>
      <c r="S3155" s="46"/>
    </row>
    <row r="3156" spans="1:19" ht="15.6" hidden="1" customHeight="1" thickBot="1" x14ac:dyDescent="0.3">
      <c r="A3156" t="s">
        <v>23</v>
      </c>
      <c r="B3156" s="60" t="str">
        <f t="shared" ref="B3156:B3158" si="2263">IF(K3156=0,"hide","")</f>
        <v>hide</v>
      </c>
      <c r="D3156" s="48" t="str">
        <f>D3155</f>
        <v>42618</v>
      </c>
      <c r="E3156" s="7"/>
      <c r="F3156" s="27">
        <v>0</v>
      </c>
      <c r="G3156" s="27">
        <v>0</v>
      </c>
      <c r="H3156" s="27">
        <v>0</v>
      </c>
      <c r="I3156" s="27">
        <v>0</v>
      </c>
      <c r="J3156" s="27">
        <v>0</v>
      </c>
      <c r="K3156" s="63">
        <f>AVERAGE(I3156:J3156)</f>
        <v>0</v>
      </c>
      <c r="L3156" s="56" t="str">
        <f>"EQP-LAWPACK2"</f>
        <v>EQP-LAWPACK2</v>
      </c>
      <c r="M3156" s="14"/>
      <c r="N3156" s="15"/>
      <c r="O3156" s="12"/>
      <c r="P3156" s="34"/>
      <c r="Q3156" s="37"/>
      <c r="R3156" s="47"/>
      <c r="S3156" s="46"/>
    </row>
    <row r="3157" spans="1:19" ht="15.6" hidden="1" customHeight="1" thickBot="1" x14ac:dyDescent="0.3">
      <c r="A3157" t="s">
        <v>23</v>
      </c>
      <c r="B3157" s="60" t="str">
        <f t="shared" si="2263"/>
        <v>hide</v>
      </c>
      <c r="D3157" s="48" t="str">
        <f>D3156</f>
        <v>42618</v>
      </c>
      <c r="E3157" s="7"/>
      <c r="F3157" s="27">
        <v>0</v>
      </c>
      <c r="G3157" s="27">
        <v>0</v>
      </c>
      <c r="H3157" s="27">
        <v>0</v>
      </c>
      <c r="I3157" s="27">
        <v>0</v>
      </c>
      <c r="J3157" s="27">
        <v>0</v>
      </c>
      <c r="K3157" s="63">
        <f>AVERAGE(I3157:J3157)</f>
        <v>0</v>
      </c>
      <c r="L3157" s="56" t="str">
        <f>"SW-COMAS-PACKL"</f>
        <v>SW-COMAS-PACKL</v>
      </c>
      <c r="M3157" s="14"/>
      <c r="N3157" s="15"/>
      <c r="O3157" s="12"/>
      <c r="P3157" s="34"/>
      <c r="Q3157" s="37"/>
      <c r="R3157" s="47"/>
      <c r="S3157" s="46"/>
    </row>
    <row r="3158" spans="1:19" ht="15.6" hidden="1" customHeight="1" thickBot="1" x14ac:dyDescent="0.3">
      <c r="A3158" t="s">
        <v>23</v>
      </c>
      <c r="B3158" s="60" t="str">
        <f t="shared" si="2263"/>
        <v>hide</v>
      </c>
      <c r="D3158" s="48" t="str">
        <f>D3157</f>
        <v>42618</v>
      </c>
      <c r="E3158" s="7"/>
      <c r="F3158" s="27">
        <v>0</v>
      </c>
      <c r="G3158" s="27">
        <v>0</v>
      </c>
      <c r="H3158" s="27">
        <v>0</v>
      </c>
      <c r="I3158" s="27">
        <v>0</v>
      </c>
      <c r="J3158" s="27">
        <v>0</v>
      </c>
      <c r="K3158" s="63">
        <f>AVERAGE(I3158:J3158)</f>
        <v>0</v>
      </c>
      <c r="L3158" s="56" t="str">
        <f>"SW-RISER-PACK"</f>
        <v>SW-RISER-PACK</v>
      </c>
      <c r="M3158" s="14"/>
      <c r="N3158" s="15"/>
      <c r="O3158" s="12"/>
      <c r="P3158" s="34"/>
      <c r="Q3158" s="37"/>
      <c r="R3158" s="47"/>
      <c r="S3158" s="46"/>
    </row>
    <row r="3159" spans="1:19" ht="12" hidden="1" customHeight="1" x14ac:dyDescent="0.3">
      <c r="A3159" s="35" t="s">
        <v>908</v>
      </c>
      <c r="B3159" s="49" t="str">
        <f>B3155</f>
        <v>hide</v>
      </c>
      <c r="N3159"/>
      <c r="Q3159" s="33"/>
    </row>
    <row r="3160" spans="1:19" ht="13.8" hidden="1" thickBot="1" x14ac:dyDescent="0.3">
      <c r="A3160" t="s">
        <v>23</v>
      </c>
      <c r="B3160" s="49" t="str">
        <f t="shared" ref="B3160" si="2264">B3159</f>
        <v>hide</v>
      </c>
      <c r="D3160" s="58"/>
      <c r="E3160" s="58"/>
      <c r="F3160" s="52">
        <f>SUM(F3155:F3159)</f>
        <v>0</v>
      </c>
      <c r="G3160" s="52">
        <f>SUM(G3155:G3159)</f>
        <v>0</v>
      </c>
      <c r="H3160" s="52">
        <f>SUM(H3155:H3159)</f>
        <v>0</v>
      </c>
      <c r="I3160" s="52">
        <f>SUM(I3155:I3159)</f>
        <v>0</v>
      </c>
      <c r="J3160" s="52">
        <f>SUM(J3155:J3159)</f>
        <v>0</v>
      </c>
      <c r="K3160" s="52"/>
      <c r="L3160" s="51" t="s">
        <v>4</v>
      </c>
      <c r="M3160" s="58"/>
      <c r="N3160" s="58"/>
      <c r="O3160" s="58"/>
      <c r="P3160" s="58"/>
      <c r="Q3160" s="58"/>
      <c r="R3160" s="58"/>
      <c r="S3160" s="58"/>
    </row>
    <row r="3161" spans="1:19" s="59" customFormat="1" ht="18.75" customHeight="1" thickBot="1" x14ac:dyDescent="0.3">
      <c r="A3161" s="59" t="s">
        <v>23</v>
      </c>
      <c r="B3161" s="60" t="str">
        <f t="shared" ref="B3161:B3162" si="2265">IF(K3161=0,"hide","")</f>
        <v/>
      </c>
      <c r="D3161" s="61" t="str">
        <f>"42633"</f>
        <v>42633</v>
      </c>
      <c r="E3161" s="62" t="str">
        <f>"5"</f>
        <v>5</v>
      </c>
      <c r="F3161" s="63">
        <v>0</v>
      </c>
      <c r="G3161" s="63">
        <v>0</v>
      </c>
      <c r="H3161" s="63">
        <v>69.333333333333329</v>
      </c>
      <c r="I3161" s="63">
        <v>143.58333333333331</v>
      </c>
      <c r="J3161" s="63">
        <v>83.740722891566264</v>
      </c>
      <c r="K3161" s="63">
        <f>AVERAGE(I3161:J3161)</f>
        <v>113.66202811244979</v>
      </c>
      <c r="L3161" s="64" t="str">
        <f>"Sm. Ch. CHOC CHOC.CHIP MUFFIN"</f>
        <v>Sm. Ch. CHOC CHOC.CHIP MUFFIN</v>
      </c>
      <c r="M3161" s="65" t="str">
        <f>"72-1.8 oz. I.W."</f>
        <v>72-1.8 oz. I.W.</v>
      </c>
      <c r="N3161" s="66">
        <v>72</v>
      </c>
      <c r="O3161" s="67" t="str">
        <f>""</f>
        <v/>
      </c>
      <c r="P3161" s="68" t="e">
        <f>1/O3161</f>
        <v>#VALUE!</v>
      </c>
      <c r="Q3161" s="53">
        <v>1</v>
      </c>
      <c r="R3161" s="69">
        <f t="shared" ref="R3161" si="2266">1/Q3161</f>
        <v>1</v>
      </c>
      <c r="S3161" s="70">
        <f t="shared" ref="S3161" si="2267">R3161*N3161</f>
        <v>72</v>
      </c>
    </row>
    <row r="3162" spans="1:19" ht="15.6" hidden="1" customHeight="1" thickBot="1" x14ac:dyDescent="0.3">
      <c r="A3162" t="s">
        <v>23</v>
      </c>
      <c r="B3162" s="60" t="str">
        <f t="shared" si="2265"/>
        <v>hide</v>
      </c>
      <c r="D3162" s="48" t="str">
        <f>D3161</f>
        <v>42633</v>
      </c>
      <c r="E3162" s="7"/>
      <c r="F3162" s="27">
        <v>0</v>
      </c>
      <c r="G3162" s="27">
        <v>0</v>
      </c>
      <c r="H3162" s="27">
        <v>0</v>
      </c>
      <c r="I3162" s="27">
        <v>0</v>
      </c>
      <c r="J3162" s="27">
        <v>0</v>
      </c>
      <c r="K3162" s="63">
        <f>AVERAGE(I3162:J3162)</f>
        <v>0</v>
      </c>
      <c r="L3162" s="56" t="str">
        <f>"EQP-LAWPACK1"</f>
        <v>EQP-LAWPACK1</v>
      </c>
      <c r="M3162" s="14"/>
      <c r="N3162" s="15"/>
      <c r="O3162" s="12"/>
      <c r="P3162" s="34"/>
      <c r="Q3162" s="37"/>
      <c r="R3162" s="47"/>
      <c r="S3162" s="46"/>
    </row>
    <row r="3163" spans="1:19" ht="15.6" hidden="1" customHeight="1" thickBot="1" x14ac:dyDescent="0.3">
      <c r="A3163" t="s">
        <v>23</v>
      </c>
      <c r="B3163" s="60" t="str">
        <f t="shared" ref="B3163:B3165" si="2268">IF(K3163=0,"hide","")</f>
        <v>hide</v>
      </c>
      <c r="D3163" s="48" t="str">
        <f>D3162</f>
        <v>42633</v>
      </c>
      <c r="E3163" s="7"/>
      <c r="F3163" s="27">
        <v>0</v>
      </c>
      <c r="G3163" s="27">
        <v>0</v>
      </c>
      <c r="H3163" s="27">
        <v>0</v>
      </c>
      <c r="I3163" s="27">
        <v>0</v>
      </c>
      <c r="J3163" s="27">
        <v>0</v>
      </c>
      <c r="K3163" s="63">
        <f>AVERAGE(I3163:J3163)</f>
        <v>0</v>
      </c>
      <c r="L3163" s="56" t="str">
        <f>"EQP-LAWPACK2"</f>
        <v>EQP-LAWPACK2</v>
      </c>
      <c r="M3163" s="14"/>
      <c r="N3163" s="15"/>
      <c r="O3163" s="12"/>
      <c r="P3163" s="34"/>
      <c r="Q3163" s="37"/>
      <c r="R3163" s="47"/>
      <c r="S3163" s="46"/>
    </row>
    <row r="3164" spans="1:19" ht="15.6" hidden="1" customHeight="1" thickBot="1" x14ac:dyDescent="0.3">
      <c r="A3164" t="s">
        <v>23</v>
      </c>
      <c r="B3164" s="60" t="str">
        <f t="shared" si="2268"/>
        <v>hide</v>
      </c>
      <c r="D3164" s="48" t="str">
        <f>D3163</f>
        <v>42633</v>
      </c>
      <c r="E3164" s="7"/>
      <c r="F3164" s="27">
        <v>0</v>
      </c>
      <c r="G3164" s="27">
        <v>0</v>
      </c>
      <c r="H3164" s="27">
        <v>0</v>
      </c>
      <c r="I3164" s="27">
        <v>0</v>
      </c>
      <c r="J3164" s="27">
        <v>0</v>
      </c>
      <c r="K3164" s="63">
        <f>AVERAGE(I3164:J3164)</f>
        <v>0</v>
      </c>
      <c r="L3164" s="56" t="str">
        <f>"SW-COMAS-PACKL"</f>
        <v>SW-COMAS-PACKL</v>
      </c>
      <c r="M3164" s="14"/>
      <c r="N3164" s="15"/>
      <c r="O3164" s="12"/>
      <c r="P3164" s="34"/>
      <c r="Q3164" s="37"/>
      <c r="R3164" s="47"/>
      <c r="S3164" s="46"/>
    </row>
    <row r="3165" spans="1:19" ht="15.6" hidden="1" customHeight="1" thickBot="1" x14ac:dyDescent="0.3">
      <c r="A3165" t="s">
        <v>23</v>
      </c>
      <c r="B3165" s="60" t="str">
        <f t="shared" si="2268"/>
        <v>hide</v>
      </c>
      <c r="D3165" s="48" t="str">
        <f>D3164</f>
        <v>42633</v>
      </c>
      <c r="E3165" s="7"/>
      <c r="F3165" s="27">
        <v>0</v>
      </c>
      <c r="G3165" s="27">
        <v>0</v>
      </c>
      <c r="H3165" s="27">
        <v>0</v>
      </c>
      <c r="I3165" s="27">
        <v>0</v>
      </c>
      <c r="J3165" s="27">
        <v>0</v>
      </c>
      <c r="K3165" s="63">
        <f>AVERAGE(I3165:J3165)</f>
        <v>0</v>
      </c>
      <c r="L3165" s="56" t="str">
        <f>"SW-RISER-PACK"</f>
        <v>SW-RISER-PACK</v>
      </c>
      <c r="M3165" s="14"/>
      <c r="N3165" s="15"/>
      <c r="O3165" s="12"/>
      <c r="P3165" s="34"/>
      <c r="Q3165" s="37"/>
      <c r="R3165" s="47"/>
      <c r="S3165" s="46"/>
    </row>
    <row r="3166" spans="1:19" ht="12" hidden="1" customHeight="1" x14ac:dyDescent="0.3">
      <c r="A3166" s="35" t="s">
        <v>908</v>
      </c>
      <c r="B3166" s="49" t="str">
        <f>B3162</f>
        <v>hide</v>
      </c>
      <c r="N3166"/>
      <c r="Q3166" s="33"/>
    </row>
    <row r="3167" spans="1:19" ht="13.8" hidden="1" thickBot="1" x14ac:dyDescent="0.3">
      <c r="A3167" t="s">
        <v>23</v>
      </c>
      <c r="B3167" s="49" t="str">
        <f t="shared" ref="B3167" si="2269">B3166</f>
        <v>hide</v>
      </c>
      <c r="D3167" s="58"/>
      <c r="E3167" s="58"/>
      <c r="F3167" s="52">
        <f>SUM(F3162:F3166)</f>
        <v>0</v>
      </c>
      <c r="G3167" s="52">
        <f>SUM(G3162:G3166)</f>
        <v>0</v>
      </c>
      <c r="H3167" s="52">
        <f>SUM(H3162:H3166)</f>
        <v>0</v>
      </c>
      <c r="I3167" s="52">
        <f>SUM(I3162:I3166)</f>
        <v>0</v>
      </c>
      <c r="J3167" s="52">
        <f>SUM(J3162:J3166)</f>
        <v>0</v>
      </c>
      <c r="K3167" s="52"/>
      <c r="L3167" s="51" t="s">
        <v>4</v>
      </c>
      <c r="M3167" s="58"/>
      <c r="N3167" s="58"/>
      <c r="O3167" s="58"/>
      <c r="P3167" s="58"/>
      <c r="Q3167" s="58"/>
      <c r="R3167" s="58"/>
      <c r="S3167" s="58"/>
    </row>
    <row r="3168" spans="1:19" s="59" customFormat="1" ht="18.75" customHeight="1" thickBot="1" x14ac:dyDescent="0.3">
      <c r="A3168" s="59" t="s">
        <v>23</v>
      </c>
      <c r="B3168" s="60" t="str">
        <f t="shared" ref="B3168:B3169" si="2270">IF(K3168=0,"hide","")</f>
        <v/>
      </c>
      <c r="D3168" s="61" t="str">
        <f>"42661"</f>
        <v>42661</v>
      </c>
      <c r="E3168" s="62" t="str">
        <f>"10"</f>
        <v>10</v>
      </c>
      <c r="F3168" s="63">
        <v>807</v>
      </c>
      <c r="G3168" s="63">
        <v>1446.3333333333333</v>
      </c>
      <c r="H3168" s="63">
        <v>2216.5833333333335</v>
      </c>
      <c r="I3168" s="63">
        <v>2661.4166666666665</v>
      </c>
      <c r="J3168" s="63">
        <v>2164.9840963855422</v>
      </c>
      <c r="K3168" s="63">
        <f>AVERAGE(I3168:J3168)</f>
        <v>2413.2003815261041</v>
      </c>
      <c r="L3168" s="64" t="str">
        <f>"Smart Choice BLUEBERRY MUFFINS"</f>
        <v>Smart Choice BLUEBERRY MUFFINS</v>
      </c>
      <c r="M3168" s="65" t="str">
        <f>"72-1.8 oz. I.W."</f>
        <v>72-1.8 oz. I.W.</v>
      </c>
      <c r="N3168" s="66">
        <v>72</v>
      </c>
      <c r="O3168" s="67" t="str">
        <f>""</f>
        <v/>
      </c>
      <c r="P3168" s="68" t="e">
        <f>1/O3168</f>
        <v>#VALUE!</v>
      </c>
      <c r="Q3168" s="53">
        <v>1</v>
      </c>
      <c r="R3168" s="69">
        <f t="shared" ref="R3168" si="2271">1/Q3168</f>
        <v>1</v>
      </c>
      <c r="S3168" s="70">
        <f t="shared" ref="S3168" si="2272">R3168*N3168</f>
        <v>72</v>
      </c>
    </row>
    <row r="3169" spans="1:19" ht="15.6" hidden="1" customHeight="1" thickBot="1" x14ac:dyDescent="0.3">
      <c r="A3169" t="s">
        <v>23</v>
      </c>
      <c r="B3169" s="60" t="str">
        <f t="shared" si="2270"/>
        <v>hide</v>
      </c>
      <c r="D3169" s="48" t="str">
        <f>D3168</f>
        <v>42661</v>
      </c>
      <c r="E3169" s="7"/>
      <c r="F3169" s="27">
        <v>0</v>
      </c>
      <c r="G3169" s="27">
        <v>0</v>
      </c>
      <c r="H3169" s="27">
        <v>0</v>
      </c>
      <c r="I3169" s="27">
        <v>0</v>
      </c>
      <c r="J3169" s="27">
        <v>0</v>
      </c>
      <c r="K3169" s="63">
        <f>AVERAGE(I3169:J3169)</f>
        <v>0</v>
      </c>
      <c r="L3169" s="56" t="str">
        <f>"EQP-LAWPACK1"</f>
        <v>EQP-LAWPACK1</v>
      </c>
      <c r="M3169" s="14"/>
      <c r="N3169" s="15"/>
      <c r="O3169" s="12"/>
      <c r="P3169" s="34"/>
      <c r="Q3169" s="37"/>
      <c r="R3169" s="47"/>
      <c r="S3169" s="46"/>
    </row>
    <row r="3170" spans="1:19" ht="15.6" customHeight="1" thickBot="1" x14ac:dyDescent="0.3">
      <c r="A3170" t="s">
        <v>23</v>
      </c>
      <c r="B3170" s="60" t="str">
        <f t="shared" ref="B3170:B3172" si="2273">IF(K3170=0,"hide","")</f>
        <v/>
      </c>
      <c r="D3170" s="48" t="str">
        <f>D3169</f>
        <v>42661</v>
      </c>
      <c r="E3170" s="7"/>
      <c r="F3170" s="27">
        <v>0</v>
      </c>
      <c r="G3170" s="27">
        <v>0</v>
      </c>
      <c r="H3170" s="27">
        <v>0</v>
      </c>
      <c r="I3170" s="27">
        <v>0</v>
      </c>
      <c r="J3170" s="27">
        <v>-29.32289156626506</v>
      </c>
      <c r="K3170" s="63">
        <f>AVERAGE(I3170:J3170)</f>
        <v>-14.66144578313253</v>
      </c>
      <c r="L3170" s="56" t="str">
        <f>"EQP-LAWPACK2"</f>
        <v>EQP-LAWPACK2</v>
      </c>
      <c r="M3170" s="14"/>
      <c r="N3170" s="15"/>
      <c r="O3170" s="12"/>
      <c r="P3170" s="34"/>
      <c r="Q3170" s="37"/>
      <c r="R3170" s="47"/>
      <c r="S3170" s="46"/>
    </row>
    <row r="3171" spans="1:19" ht="15.6" hidden="1" customHeight="1" thickBot="1" x14ac:dyDescent="0.3">
      <c r="A3171" t="s">
        <v>23</v>
      </c>
      <c r="B3171" s="60" t="str">
        <f t="shared" si="2273"/>
        <v>hide</v>
      </c>
      <c r="D3171" s="48" t="str">
        <f>D3170</f>
        <v>42661</v>
      </c>
      <c r="E3171" s="7"/>
      <c r="F3171" s="27">
        <v>0</v>
      </c>
      <c r="G3171" s="27">
        <v>0</v>
      </c>
      <c r="H3171" s="27">
        <v>0</v>
      </c>
      <c r="I3171" s="27">
        <v>0</v>
      </c>
      <c r="J3171" s="27">
        <v>0</v>
      </c>
      <c r="K3171" s="63">
        <f>AVERAGE(I3171:J3171)</f>
        <v>0</v>
      </c>
      <c r="L3171" s="56" t="str">
        <f>"SW-COMAS-PACKL"</f>
        <v>SW-COMAS-PACKL</v>
      </c>
      <c r="M3171" s="14"/>
      <c r="N3171" s="15"/>
      <c r="O3171" s="12"/>
      <c r="P3171" s="34"/>
      <c r="Q3171" s="37"/>
      <c r="R3171" s="47"/>
      <c r="S3171" s="46"/>
    </row>
    <row r="3172" spans="1:19" ht="15.6" hidden="1" customHeight="1" thickBot="1" x14ac:dyDescent="0.3">
      <c r="A3172" t="s">
        <v>23</v>
      </c>
      <c r="B3172" s="60" t="str">
        <f t="shared" si="2273"/>
        <v>hide</v>
      </c>
      <c r="D3172" s="48" t="str">
        <f>D3171</f>
        <v>42661</v>
      </c>
      <c r="E3172" s="7"/>
      <c r="F3172" s="27">
        <v>0</v>
      </c>
      <c r="G3172" s="27">
        <v>0</v>
      </c>
      <c r="H3172" s="27">
        <v>0</v>
      </c>
      <c r="I3172" s="27">
        <v>0</v>
      </c>
      <c r="J3172" s="27">
        <v>0</v>
      </c>
      <c r="K3172" s="63">
        <f>AVERAGE(I3172:J3172)</f>
        <v>0</v>
      </c>
      <c r="L3172" s="56" t="str">
        <f>"SW-RISER-PACK"</f>
        <v>SW-RISER-PACK</v>
      </c>
      <c r="M3172" s="14"/>
      <c r="N3172" s="15"/>
      <c r="O3172" s="12"/>
      <c r="P3172" s="34"/>
      <c r="Q3172" s="37"/>
      <c r="R3172" s="47"/>
      <c r="S3172" s="46"/>
    </row>
    <row r="3173" spans="1:19" ht="12" hidden="1" customHeight="1" x14ac:dyDescent="0.3">
      <c r="A3173" s="35" t="s">
        <v>908</v>
      </c>
      <c r="B3173" s="49" t="str">
        <f>B3169</f>
        <v>hide</v>
      </c>
      <c r="N3173"/>
      <c r="Q3173" s="33"/>
    </row>
    <row r="3174" spans="1:19" ht="13.8" hidden="1" thickBot="1" x14ac:dyDescent="0.3">
      <c r="A3174" t="s">
        <v>23</v>
      </c>
      <c r="B3174" s="49" t="str">
        <f t="shared" ref="B3174" si="2274">B3173</f>
        <v>hide</v>
      </c>
      <c r="D3174" s="58"/>
      <c r="E3174" s="58"/>
      <c r="F3174" s="52">
        <f>SUM(F3169:F3173)</f>
        <v>0</v>
      </c>
      <c r="G3174" s="52">
        <f>SUM(G3169:G3173)</f>
        <v>0</v>
      </c>
      <c r="H3174" s="52">
        <f>SUM(H3169:H3173)</f>
        <v>0</v>
      </c>
      <c r="I3174" s="52">
        <f>SUM(I3169:I3173)</f>
        <v>0</v>
      </c>
      <c r="J3174" s="52">
        <f>SUM(J3169:J3173)</f>
        <v>-29.32289156626506</v>
      </c>
      <c r="K3174" s="52"/>
      <c r="L3174" s="51" t="s">
        <v>4</v>
      </c>
      <c r="M3174" s="58"/>
      <c r="N3174" s="58"/>
      <c r="O3174" s="58"/>
      <c r="P3174" s="58"/>
      <c r="Q3174" s="58"/>
      <c r="R3174" s="58"/>
      <c r="S3174" s="58"/>
    </row>
    <row r="3175" spans="1:19" s="59" customFormat="1" ht="18.75" customHeight="1" thickBot="1" x14ac:dyDescent="0.3">
      <c r="A3175" s="59" t="s">
        <v>23</v>
      </c>
      <c r="B3175" s="60" t="str">
        <f t="shared" ref="B3175:B3176" si="2275">IF(K3175=0,"hide","")</f>
        <v/>
      </c>
      <c r="D3175" s="61" t="str">
        <f>"42665"</f>
        <v>42665</v>
      </c>
      <c r="E3175" s="62" t="str">
        <f>"7"</f>
        <v>7</v>
      </c>
      <c r="F3175" s="63">
        <v>238.41666666666666</v>
      </c>
      <c r="G3175" s="63">
        <v>327.33333333333331</v>
      </c>
      <c r="H3175" s="63">
        <v>399.16666666666669</v>
      </c>
      <c r="I3175" s="63">
        <v>499.41666666666669</v>
      </c>
      <c r="J3175" s="63">
        <v>393.81325301204822</v>
      </c>
      <c r="K3175" s="63">
        <f>AVERAGE(I3175:J3175)</f>
        <v>446.61495983935743</v>
      </c>
      <c r="L3175" s="64" t="str">
        <f>"Smart Choice Corn Muffins"</f>
        <v>Smart Choice Corn Muffins</v>
      </c>
      <c r="M3175" s="65" t="str">
        <f>"72-1.8 oz. I.W."</f>
        <v>72-1.8 oz. I.W.</v>
      </c>
      <c r="N3175" s="66">
        <v>72</v>
      </c>
      <c r="O3175" s="67" t="str">
        <f>""</f>
        <v/>
      </c>
      <c r="P3175" s="68" t="e">
        <f>1/O3175</f>
        <v>#VALUE!</v>
      </c>
      <c r="Q3175" s="53">
        <v>1</v>
      </c>
      <c r="R3175" s="69">
        <f t="shared" ref="R3175" si="2276">1/Q3175</f>
        <v>1</v>
      </c>
      <c r="S3175" s="70">
        <f t="shared" ref="S3175" si="2277">R3175*N3175</f>
        <v>72</v>
      </c>
    </row>
    <row r="3176" spans="1:19" ht="15.6" hidden="1" customHeight="1" thickBot="1" x14ac:dyDescent="0.3">
      <c r="A3176" t="s">
        <v>23</v>
      </c>
      <c r="B3176" s="60" t="str">
        <f t="shared" si="2275"/>
        <v>hide</v>
      </c>
      <c r="D3176" s="48" t="str">
        <f>D3175</f>
        <v>42665</v>
      </c>
      <c r="E3176" s="7"/>
      <c r="F3176" s="27">
        <v>0</v>
      </c>
      <c r="G3176" s="27">
        <v>0</v>
      </c>
      <c r="H3176" s="27">
        <v>0</v>
      </c>
      <c r="I3176" s="27">
        <v>0</v>
      </c>
      <c r="J3176" s="27">
        <v>0</v>
      </c>
      <c r="K3176" s="63">
        <f>AVERAGE(I3176:J3176)</f>
        <v>0</v>
      </c>
      <c r="L3176" s="56" t="str">
        <f>"EQP-LAWPACK1"</f>
        <v>EQP-LAWPACK1</v>
      </c>
      <c r="M3176" s="14"/>
      <c r="N3176" s="15"/>
      <c r="O3176" s="12"/>
      <c r="P3176" s="34"/>
      <c r="Q3176" s="37"/>
      <c r="R3176" s="47"/>
      <c r="S3176" s="46"/>
    </row>
    <row r="3177" spans="1:19" ht="15.6" hidden="1" customHeight="1" thickBot="1" x14ac:dyDescent="0.3">
      <c r="A3177" t="s">
        <v>23</v>
      </c>
      <c r="B3177" s="60" t="str">
        <f t="shared" ref="B3177:B3179" si="2278">IF(K3177=0,"hide","")</f>
        <v>hide</v>
      </c>
      <c r="D3177" s="48" t="str">
        <f>D3176</f>
        <v>42665</v>
      </c>
      <c r="E3177" s="7"/>
      <c r="F3177" s="27">
        <v>0</v>
      </c>
      <c r="G3177" s="27">
        <v>0</v>
      </c>
      <c r="H3177" s="27">
        <v>0</v>
      </c>
      <c r="I3177" s="27">
        <v>0</v>
      </c>
      <c r="J3177" s="27">
        <v>0</v>
      </c>
      <c r="K3177" s="63">
        <f>AVERAGE(I3177:J3177)</f>
        <v>0</v>
      </c>
      <c r="L3177" s="56" t="str">
        <f>"EQP-LAWPACK2"</f>
        <v>EQP-LAWPACK2</v>
      </c>
      <c r="M3177" s="14"/>
      <c r="N3177" s="15"/>
      <c r="O3177" s="12"/>
      <c r="P3177" s="34"/>
      <c r="Q3177" s="37"/>
      <c r="R3177" s="47"/>
      <c r="S3177" s="46"/>
    </row>
    <row r="3178" spans="1:19" ht="15.6" hidden="1" customHeight="1" thickBot="1" x14ac:dyDescent="0.3">
      <c r="A3178" t="s">
        <v>23</v>
      </c>
      <c r="B3178" s="60" t="str">
        <f t="shared" si="2278"/>
        <v>hide</v>
      </c>
      <c r="D3178" s="48" t="str">
        <f>D3177</f>
        <v>42665</v>
      </c>
      <c r="E3178" s="7"/>
      <c r="F3178" s="27">
        <v>0</v>
      </c>
      <c r="G3178" s="27">
        <v>0</v>
      </c>
      <c r="H3178" s="27">
        <v>0</v>
      </c>
      <c r="I3178" s="27">
        <v>0</v>
      </c>
      <c r="J3178" s="27">
        <v>0</v>
      </c>
      <c r="K3178" s="63">
        <f>AVERAGE(I3178:J3178)</f>
        <v>0</v>
      </c>
      <c r="L3178" s="56" t="str">
        <f>"SW-COMAS-PACKL"</f>
        <v>SW-COMAS-PACKL</v>
      </c>
      <c r="M3178" s="14"/>
      <c r="N3178" s="15"/>
      <c r="O3178" s="12"/>
      <c r="P3178" s="34"/>
      <c r="Q3178" s="37"/>
      <c r="R3178" s="47"/>
      <c r="S3178" s="46"/>
    </row>
    <row r="3179" spans="1:19" ht="15.6" hidden="1" customHeight="1" thickBot="1" x14ac:dyDescent="0.3">
      <c r="A3179" t="s">
        <v>23</v>
      </c>
      <c r="B3179" s="60" t="str">
        <f t="shared" si="2278"/>
        <v>hide</v>
      </c>
      <c r="D3179" s="48" t="str">
        <f>D3178</f>
        <v>42665</v>
      </c>
      <c r="E3179" s="7"/>
      <c r="F3179" s="27">
        <v>0</v>
      </c>
      <c r="G3179" s="27">
        <v>0</v>
      </c>
      <c r="H3179" s="27">
        <v>0</v>
      </c>
      <c r="I3179" s="27">
        <v>0</v>
      </c>
      <c r="J3179" s="27">
        <v>0</v>
      </c>
      <c r="K3179" s="63">
        <f>AVERAGE(I3179:J3179)</f>
        <v>0</v>
      </c>
      <c r="L3179" s="56" t="str">
        <f>"SW-RISER-PACK"</f>
        <v>SW-RISER-PACK</v>
      </c>
      <c r="M3179" s="14"/>
      <c r="N3179" s="15"/>
      <c r="O3179" s="12"/>
      <c r="P3179" s="34"/>
      <c r="Q3179" s="37"/>
      <c r="R3179" s="47"/>
      <c r="S3179" s="46"/>
    </row>
    <row r="3180" spans="1:19" ht="12" hidden="1" customHeight="1" x14ac:dyDescent="0.3">
      <c r="A3180" s="35" t="s">
        <v>908</v>
      </c>
      <c r="B3180" s="49" t="str">
        <f>B3176</f>
        <v>hide</v>
      </c>
      <c r="N3180"/>
      <c r="Q3180" s="33"/>
    </row>
    <row r="3181" spans="1:19" ht="13.8" hidden="1" thickBot="1" x14ac:dyDescent="0.3">
      <c r="A3181" t="s">
        <v>23</v>
      </c>
      <c r="B3181" s="49" t="str">
        <f t="shared" ref="B3181" si="2279">B3180</f>
        <v>hide</v>
      </c>
      <c r="D3181" s="58"/>
      <c r="E3181" s="58"/>
      <c r="F3181" s="52">
        <f>SUM(F3176:F3180)</f>
        <v>0</v>
      </c>
      <c r="G3181" s="52">
        <f>SUM(G3176:G3180)</f>
        <v>0</v>
      </c>
      <c r="H3181" s="52">
        <f>SUM(H3176:H3180)</f>
        <v>0</v>
      </c>
      <c r="I3181" s="52">
        <f>SUM(I3176:I3180)</f>
        <v>0</v>
      </c>
      <c r="J3181" s="52">
        <f>SUM(J3176:J3180)</f>
        <v>0</v>
      </c>
      <c r="K3181" s="52"/>
      <c r="L3181" s="51" t="s">
        <v>4</v>
      </c>
      <c r="M3181" s="58"/>
      <c r="N3181" s="58"/>
      <c r="O3181" s="58"/>
      <c r="P3181" s="58"/>
      <c r="Q3181" s="58"/>
      <c r="R3181" s="58"/>
      <c r="S3181" s="58"/>
    </row>
    <row r="3182" spans="1:19" s="59" customFormat="1" ht="18.75" customHeight="1" thickBot="1" x14ac:dyDescent="0.3">
      <c r="A3182" s="59" t="s">
        <v>23</v>
      </c>
      <c r="B3182" s="60" t="str">
        <f t="shared" ref="B3182:B3183" si="2280">IF(K3182=0,"hide","")</f>
        <v/>
      </c>
      <c r="D3182" s="61" t="str">
        <f>"42666"</f>
        <v>42666</v>
      </c>
      <c r="E3182" s="62" t="str">
        <f>"7"</f>
        <v>7</v>
      </c>
      <c r="F3182" s="63">
        <v>400.58333333333331</v>
      </c>
      <c r="G3182" s="63">
        <v>451.58333333333331</v>
      </c>
      <c r="H3182" s="63">
        <v>593.58333333333337</v>
      </c>
      <c r="I3182" s="63">
        <v>799.41666666666663</v>
      </c>
      <c r="J3182" s="63">
        <v>687.99686746987959</v>
      </c>
      <c r="K3182" s="63">
        <f>AVERAGE(I3182:J3182)</f>
        <v>743.70676706827317</v>
      </c>
      <c r="L3182" s="64" t="str">
        <f>"Smart Choice APPLE CIN. MUFFIN"</f>
        <v>Smart Choice APPLE CIN. MUFFIN</v>
      </c>
      <c r="M3182" s="65" t="str">
        <f>"72-1.8 oz. I.W."</f>
        <v>72-1.8 oz. I.W.</v>
      </c>
      <c r="N3182" s="66">
        <v>72</v>
      </c>
      <c r="O3182" s="67" t="str">
        <f>""</f>
        <v/>
      </c>
      <c r="P3182" s="68" t="e">
        <f>1/O3182</f>
        <v>#VALUE!</v>
      </c>
      <c r="Q3182" s="53">
        <v>1</v>
      </c>
      <c r="R3182" s="69">
        <f t="shared" ref="R3182" si="2281">1/Q3182</f>
        <v>1</v>
      </c>
      <c r="S3182" s="70">
        <f t="shared" ref="S3182" si="2282">R3182*N3182</f>
        <v>72</v>
      </c>
    </row>
    <row r="3183" spans="1:19" ht="15.6" hidden="1" customHeight="1" thickBot="1" x14ac:dyDescent="0.3">
      <c r="A3183" t="s">
        <v>23</v>
      </c>
      <c r="B3183" s="60" t="str">
        <f t="shared" si="2280"/>
        <v>hide</v>
      </c>
      <c r="D3183" s="48" t="str">
        <f>D3182</f>
        <v>42666</v>
      </c>
      <c r="E3183" s="7"/>
      <c r="F3183" s="27">
        <v>0</v>
      </c>
      <c r="G3183" s="27">
        <v>0</v>
      </c>
      <c r="H3183" s="27">
        <v>0</v>
      </c>
      <c r="I3183" s="27">
        <v>0</v>
      </c>
      <c r="J3183" s="27">
        <v>0</v>
      </c>
      <c r="K3183" s="63">
        <f>AVERAGE(I3183:J3183)</f>
        <v>0</v>
      </c>
      <c r="L3183" s="56" t="str">
        <f>"EQP-LAWPACK1"</f>
        <v>EQP-LAWPACK1</v>
      </c>
      <c r="M3183" s="14"/>
      <c r="N3183" s="15"/>
      <c r="O3183" s="12"/>
      <c r="P3183" s="34"/>
      <c r="Q3183" s="37"/>
      <c r="R3183" s="47"/>
      <c r="S3183" s="46"/>
    </row>
    <row r="3184" spans="1:19" ht="15.6" hidden="1" customHeight="1" thickBot="1" x14ac:dyDescent="0.3">
      <c r="A3184" t="s">
        <v>23</v>
      </c>
      <c r="B3184" s="60" t="str">
        <f t="shared" ref="B3184:B3186" si="2283">IF(K3184=0,"hide","")</f>
        <v>hide</v>
      </c>
      <c r="D3184" s="48" t="str">
        <f>D3183</f>
        <v>42666</v>
      </c>
      <c r="E3184" s="7"/>
      <c r="F3184" s="27">
        <v>0</v>
      </c>
      <c r="G3184" s="27">
        <v>0</v>
      </c>
      <c r="H3184" s="27">
        <v>0</v>
      </c>
      <c r="I3184" s="27">
        <v>0</v>
      </c>
      <c r="J3184" s="27">
        <v>0</v>
      </c>
      <c r="K3184" s="63">
        <f>AVERAGE(I3184:J3184)</f>
        <v>0</v>
      </c>
      <c r="L3184" s="56" t="str">
        <f>"EQP-LAWPACK2"</f>
        <v>EQP-LAWPACK2</v>
      </c>
      <c r="M3184" s="14"/>
      <c r="N3184" s="15"/>
      <c r="O3184" s="12"/>
      <c r="P3184" s="34"/>
      <c r="Q3184" s="37"/>
      <c r="R3184" s="47"/>
      <c r="S3184" s="46"/>
    </row>
    <row r="3185" spans="1:19" ht="15.6" hidden="1" customHeight="1" thickBot="1" x14ac:dyDescent="0.3">
      <c r="A3185" t="s">
        <v>23</v>
      </c>
      <c r="B3185" s="60" t="str">
        <f t="shared" si="2283"/>
        <v>hide</v>
      </c>
      <c r="D3185" s="48" t="str">
        <f>D3184</f>
        <v>42666</v>
      </c>
      <c r="E3185" s="7"/>
      <c r="F3185" s="27">
        <v>0</v>
      </c>
      <c r="G3185" s="27">
        <v>0</v>
      </c>
      <c r="H3185" s="27">
        <v>0</v>
      </c>
      <c r="I3185" s="27">
        <v>0</v>
      </c>
      <c r="J3185" s="27">
        <v>0</v>
      </c>
      <c r="K3185" s="63">
        <f>AVERAGE(I3185:J3185)</f>
        <v>0</v>
      </c>
      <c r="L3185" s="56" t="str">
        <f>"SW-COMAS-PACKL"</f>
        <v>SW-COMAS-PACKL</v>
      </c>
      <c r="M3185" s="14"/>
      <c r="N3185" s="15"/>
      <c r="O3185" s="12"/>
      <c r="P3185" s="34"/>
      <c r="Q3185" s="37"/>
      <c r="R3185" s="47"/>
      <c r="S3185" s="46"/>
    </row>
    <row r="3186" spans="1:19" ht="15.6" hidden="1" customHeight="1" thickBot="1" x14ac:dyDescent="0.3">
      <c r="A3186" t="s">
        <v>23</v>
      </c>
      <c r="B3186" s="60" t="str">
        <f t="shared" si="2283"/>
        <v>hide</v>
      </c>
      <c r="D3186" s="48" t="str">
        <f>D3185</f>
        <v>42666</v>
      </c>
      <c r="E3186" s="7"/>
      <c r="F3186" s="27">
        <v>0</v>
      </c>
      <c r="G3186" s="27">
        <v>0</v>
      </c>
      <c r="H3186" s="27">
        <v>0</v>
      </c>
      <c r="I3186" s="27">
        <v>0</v>
      </c>
      <c r="J3186" s="27">
        <v>0</v>
      </c>
      <c r="K3186" s="63">
        <f>AVERAGE(I3186:J3186)</f>
        <v>0</v>
      </c>
      <c r="L3186" s="56" t="str">
        <f>"SW-RISER-PACK"</f>
        <v>SW-RISER-PACK</v>
      </c>
      <c r="M3186" s="14"/>
      <c r="N3186" s="15"/>
      <c r="O3186" s="12"/>
      <c r="P3186" s="34"/>
      <c r="Q3186" s="37"/>
      <c r="R3186" s="47"/>
      <c r="S3186" s="46"/>
    </row>
    <row r="3187" spans="1:19" ht="12" hidden="1" customHeight="1" x14ac:dyDescent="0.3">
      <c r="A3187" s="35" t="s">
        <v>908</v>
      </c>
      <c r="B3187" s="49" t="str">
        <f>B3183</f>
        <v>hide</v>
      </c>
      <c r="N3187"/>
      <c r="Q3187" s="33"/>
    </row>
    <row r="3188" spans="1:19" ht="13.8" hidden="1" thickBot="1" x14ac:dyDescent="0.3">
      <c r="A3188" t="s">
        <v>23</v>
      </c>
      <c r="B3188" s="49" t="str">
        <f t="shared" ref="B3188" si="2284">B3187</f>
        <v>hide</v>
      </c>
      <c r="D3188" s="58"/>
      <c r="E3188" s="58"/>
      <c r="F3188" s="52">
        <f>SUM(F3183:F3187)</f>
        <v>0</v>
      </c>
      <c r="G3188" s="52">
        <f>SUM(G3183:G3187)</f>
        <v>0</v>
      </c>
      <c r="H3188" s="52">
        <f>SUM(H3183:H3187)</f>
        <v>0</v>
      </c>
      <c r="I3188" s="52">
        <f>SUM(I3183:I3187)</f>
        <v>0</v>
      </c>
      <c r="J3188" s="52">
        <f>SUM(J3183:J3187)</f>
        <v>0</v>
      </c>
      <c r="K3188" s="52"/>
      <c r="L3188" s="51" t="s">
        <v>4</v>
      </c>
      <c r="M3188" s="58"/>
      <c r="N3188" s="58"/>
      <c r="O3188" s="58"/>
      <c r="P3188" s="58"/>
      <c r="Q3188" s="58"/>
      <c r="R3188" s="58"/>
      <c r="S3188" s="58"/>
    </row>
    <row r="3189" spans="1:19" s="59" customFormat="1" ht="18.75" customHeight="1" thickBot="1" x14ac:dyDescent="0.3">
      <c r="A3189" s="59" t="s">
        <v>23</v>
      </c>
      <c r="B3189" s="60" t="str">
        <f t="shared" ref="B3189:B3190" si="2285">IF(K3189=0,"hide","")</f>
        <v/>
      </c>
      <c r="D3189" s="61" t="str">
        <f>"42670"</f>
        <v>42670</v>
      </c>
      <c r="E3189" s="62" t="str">
        <f>"7"</f>
        <v>7</v>
      </c>
      <c r="F3189" s="63">
        <v>319.83333333333331</v>
      </c>
      <c r="G3189" s="63">
        <v>633.16666666666674</v>
      </c>
      <c r="H3189" s="63">
        <v>1637.4166666666667</v>
      </c>
      <c r="I3189" s="63">
        <v>1279.25</v>
      </c>
      <c r="J3189" s="63">
        <v>1263.2028915662652</v>
      </c>
      <c r="K3189" s="63">
        <f>AVERAGE(I3189:J3189)</f>
        <v>1271.2264457831325</v>
      </c>
      <c r="L3189" s="64" t="str">
        <f>"Smart Choice CHOC.CHIP MUFFINS"</f>
        <v>Smart Choice CHOC.CHIP MUFFINS</v>
      </c>
      <c r="M3189" s="65" t="str">
        <f>"72-1.8 oz. I.W."</f>
        <v>72-1.8 oz. I.W.</v>
      </c>
      <c r="N3189" s="66">
        <v>72</v>
      </c>
      <c r="O3189" s="67" t="str">
        <f>""</f>
        <v/>
      </c>
      <c r="P3189" s="68" t="e">
        <f>1/O3189</f>
        <v>#VALUE!</v>
      </c>
      <c r="Q3189" s="53">
        <v>1</v>
      </c>
      <c r="R3189" s="69">
        <f t="shared" ref="R3189" si="2286">1/Q3189</f>
        <v>1</v>
      </c>
      <c r="S3189" s="70">
        <f t="shared" ref="S3189" si="2287">R3189*N3189</f>
        <v>72</v>
      </c>
    </row>
    <row r="3190" spans="1:19" ht="15.6" hidden="1" customHeight="1" thickBot="1" x14ac:dyDescent="0.3">
      <c r="A3190" t="s">
        <v>23</v>
      </c>
      <c r="B3190" s="60" t="str">
        <f t="shared" si="2285"/>
        <v>hide</v>
      </c>
      <c r="D3190" s="48" t="str">
        <f>D3189</f>
        <v>42670</v>
      </c>
      <c r="E3190" s="7"/>
      <c r="F3190" s="27">
        <v>0</v>
      </c>
      <c r="G3190" s="27">
        <v>0</v>
      </c>
      <c r="H3190" s="27">
        <v>0</v>
      </c>
      <c r="I3190" s="27">
        <v>0</v>
      </c>
      <c r="J3190" s="27">
        <v>0</v>
      </c>
      <c r="K3190" s="63">
        <f>AVERAGE(I3190:J3190)</f>
        <v>0</v>
      </c>
      <c r="L3190" s="56" t="str">
        <f>"EQP-LAWPACK1"</f>
        <v>EQP-LAWPACK1</v>
      </c>
      <c r="M3190" s="14"/>
      <c r="N3190" s="15"/>
      <c r="O3190" s="12"/>
      <c r="P3190" s="34"/>
      <c r="Q3190" s="37"/>
      <c r="R3190" s="47"/>
      <c r="S3190" s="46"/>
    </row>
    <row r="3191" spans="1:19" ht="15.6" hidden="1" customHeight="1" thickBot="1" x14ac:dyDescent="0.3">
      <c r="A3191" t="s">
        <v>23</v>
      </c>
      <c r="B3191" s="60" t="str">
        <f t="shared" ref="B3191:B3193" si="2288">IF(K3191=0,"hide","")</f>
        <v>hide</v>
      </c>
      <c r="D3191" s="48" t="str">
        <f>D3190</f>
        <v>42670</v>
      </c>
      <c r="E3191" s="7"/>
      <c r="F3191" s="27">
        <v>0</v>
      </c>
      <c r="G3191" s="27">
        <v>0</v>
      </c>
      <c r="H3191" s="27">
        <v>0</v>
      </c>
      <c r="I3191" s="27">
        <v>0</v>
      </c>
      <c r="J3191" s="27">
        <v>0</v>
      </c>
      <c r="K3191" s="63">
        <f>AVERAGE(I3191:J3191)</f>
        <v>0</v>
      </c>
      <c r="L3191" s="56" t="str">
        <f>"EQP-LAWPACK2"</f>
        <v>EQP-LAWPACK2</v>
      </c>
      <c r="M3191" s="14"/>
      <c r="N3191" s="15"/>
      <c r="O3191" s="12"/>
      <c r="P3191" s="34"/>
      <c r="Q3191" s="37"/>
      <c r="R3191" s="47"/>
      <c r="S3191" s="46"/>
    </row>
    <row r="3192" spans="1:19" ht="15.6" hidden="1" customHeight="1" thickBot="1" x14ac:dyDescent="0.3">
      <c r="A3192" t="s">
        <v>23</v>
      </c>
      <c r="B3192" s="60" t="str">
        <f t="shared" si="2288"/>
        <v>hide</v>
      </c>
      <c r="D3192" s="48" t="str">
        <f>D3191</f>
        <v>42670</v>
      </c>
      <c r="E3192" s="7"/>
      <c r="F3192" s="27">
        <v>0</v>
      </c>
      <c r="G3192" s="27">
        <v>0</v>
      </c>
      <c r="H3192" s="27">
        <v>0</v>
      </c>
      <c r="I3192" s="27">
        <v>0</v>
      </c>
      <c r="J3192" s="27">
        <v>0</v>
      </c>
      <c r="K3192" s="63">
        <f>AVERAGE(I3192:J3192)</f>
        <v>0</v>
      </c>
      <c r="L3192" s="56" t="str">
        <f>"SW-COMAS-PACKL"</f>
        <v>SW-COMAS-PACKL</v>
      </c>
      <c r="M3192" s="14"/>
      <c r="N3192" s="15"/>
      <c r="O3192" s="12"/>
      <c r="P3192" s="34"/>
      <c r="Q3192" s="37"/>
      <c r="R3192" s="47"/>
      <c r="S3192" s="46"/>
    </row>
    <row r="3193" spans="1:19" ht="15.6" hidden="1" customHeight="1" thickBot="1" x14ac:dyDescent="0.3">
      <c r="A3193" t="s">
        <v>23</v>
      </c>
      <c r="B3193" s="60" t="str">
        <f t="shared" si="2288"/>
        <v>hide</v>
      </c>
      <c r="D3193" s="48" t="str">
        <f>D3192</f>
        <v>42670</v>
      </c>
      <c r="E3193" s="7"/>
      <c r="F3193" s="27">
        <v>0</v>
      </c>
      <c r="G3193" s="27">
        <v>0</v>
      </c>
      <c r="H3193" s="27">
        <v>0</v>
      </c>
      <c r="I3193" s="27">
        <v>0</v>
      </c>
      <c r="J3193" s="27">
        <v>0</v>
      </c>
      <c r="K3193" s="63">
        <f>AVERAGE(I3193:J3193)</f>
        <v>0</v>
      </c>
      <c r="L3193" s="56" t="str">
        <f>"SW-RISER-PACK"</f>
        <v>SW-RISER-PACK</v>
      </c>
      <c r="M3193" s="14"/>
      <c r="N3193" s="15"/>
      <c r="O3193" s="12"/>
      <c r="P3193" s="34"/>
      <c r="Q3193" s="37"/>
      <c r="R3193" s="47"/>
      <c r="S3193" s="46"/>
    </row>
    <row r="3194" spans="1:19" ht="12" hidden="1" customHeight="1" x14ac:dyDescent="0.3">
      <c r="A3194" s="35" t="s">
        <v>908</v>
      </c>
      <c r="B3194" s="49" t="str">
        <f>B3190</f>
        <v>hide</v>
      </c>
      <c r="N3194"/>
      <c r="Q3194" s="33"/>
    </row>
    <row r="3195" spans="1:19" ht="13.8" hidden="1" thickBot="1" x14ac:dyDescent="0.3">
      <c r="A3195" t="s">
        <v>23</v>
      </c>
      <c r="B3195" s="49" t="str">
        <f t="shared" ref="B3195" si="2289">B3194</f>
        <v>hide</v>
      </c>
      <c r="D3195" s="58"/>
      <c r="E3195" s="58"/>
      <c r="F3195" s="52">
        <f>SUM(F3190:F3194)</f>
        <v>0</v>
      </c>
      <c r="G3195" s="52">
        <f>SUM(G3190:G3194)</f>
        <v>0</v>
      </c>
      <c r="H3195" s="52">
        <f>SUM(H3190:H3194)</f>
        <v>0</v>
      </c>
      <c r="I3195" s="52">
        <f>SUM(I3190:I3194)</f>
        <v>0</v>
      </c>
      <c r="J3195" s="52">
        <f>SUM(J3190:J3194)</f>
        <v>0</v>
      </c>
      <c r="K3195" s="52"/>
      <c r="L3195" s="51" t="s">
        <v>4</v>
      </c>
      <c r="M3195" s="58"/>
      <c r="N3195" s="58"/>
      <c r="O3195" s="58"/>
      <c r="P3195" s="58"/>
      <c r="Q3195" s="58"/>
      <c r="R3195" s="58"/>
      <c r="S3195" s="58"/>
    </row>
    <row r="3196" spans="1:19" s="59" customFormat="1" ht="18.75" customHeight="1" thickBot="1" x14ac:dyDescent="0.3">
      <c r="A3196" s="59" t="s">
        <v>23</v>
      </c>
      <c r="B3196" s="60" t="str">
        <f t="shared" ref="B3196:B3197" si="2290">IF(K3196=0,"hide","")</f>
        <v/>
      </c>
      <c r="D3196" s="61" t="str">
        <f>"42675"</f>
        <v>42675</v>
      </c>
      <c r="E3196" s="62" t="str">
        <f>"6"</f>
        <v>6</v>
      </c>
      <c r="F3196" s="63">
        <v>631.83333333333326</v>
      </c>
      <c r="G3196" s="63">
        <v>831.08333333333337</v>
      </c>
      <c r="H3196" s="63">
        <v>1176.3333333333333</v>
      </c>
      <c r="I3196" s="63">
        <v>1601.25</v>
      </c>
      <c r="J3196" s="63">
        <v>1383.8359036144579</v>
      </c>
      <c r="K3196" s="63">
        <f>AVERAGE(I3196:J3196)</f>
        <v>1492.542951807229</v>
      </c>
      <c r="L3196" s="64" t="str">
        <f>"Smart Choice BANANA MUFFINS"</f>
        <v>Smart Choice BANANA MUFFINS</v>
      </c>
      <c r="M3196" s="65" t="str">
        <f>"72-1.8 oz. I.W."</f>
        <v>72-1.8 oz. I.W.</v>
      </c>
      <c r="N3196" s="66">
        <v>72</v>
      </c>
      <c r="O3196" s="67" t="str">
        <f>""</f>
        <v/>
      </c>
      <c r="P3196" s="68" t="e">
        <f>1/O3196</f>
        <v>#VALUE!</v>
      </c>
      <c r="Q3196" s="53">
        <v>1</v>
      </c>
      <c r="R3196" s="69">
        <f t="shared" ref="R3196" si="2291">1/Q3196</f>
        <v>1</v>
      </c>
      <c r="S3196" s="70">
        <f t="shared" ref="S3196" si="2292">R3196*N3196</f>
        <v>72</v>
      </c>
    </row>
    <row r="3197" spans="1:19" ht="15.6" hidden="1" customHeight="1" thickBot="1" x14ac:dyDescent="0.3">
      <c r="A3197" t="s">
        <v>23</v>
      </c>
      <c r="B3197" s="60" t="str">
        <f t="shared" si="2290"/>
        <v>hide</v>
      </c>
      <c r="D3197" s="48" t="str">
        <f>D3196</f>
        <v>42675</v>
      </c>
      <c r="E3197" s="7"/>
      <c r="F3197" s="27">
        <v>0</v>
      </c>
      <c r="G3197" s="27">
        <v>0</v>
      </c>
      <c r="H3197" s="27">
        <v>0</v>
      </c>
      <c r="I3197" s="27">
        <v>0</v>
      </c>
      <c r="J3197" s="27">
        <v>0</v>
      </c>
      <c r="K3197" s="63">
        <f>AVERAGE(I3197:J3197)</f>
        <v>0</v>
      </c>
      <c r="L3197" s="56" t="str">
        <f>"EQP-LAWPACK1"</f>
        <v>EQP-LAWPACK1</v>
      </c>
      <c r="M3197" s="14"/>
      <c r="N3197" s="15"/>
      <c r="O3197" s="12"/>
      <c r="P3197" s="34"/>
      <c r="Q3197" s="37"/>
      <c r="R3197" s="47"/>
      <c r="S3197" s="46"/>
    </row>
    <row r="3198" spans="1:19" ht="15.6" hidden="1" customHeight="1" thickBot="1" x14ac:dyDescent="0.3">
      <c r="A3198" t="s">
        <v>23</v>
      </c>
      <c r="B3198" s="60" t="str">
        <f t="shared" ref="B3198:B3200" si="2293">IF(K3198=0,"hide","")</f>
        <v>hide</v>
      </c>
      <c r="D3198" s="48" t="str">
        <f>D3197</f>
        <v>42675</v>
      </c>
      <c r="E3198" s="7"/>
      <c r="F3198" s="27">
        <v>0</v>
      </c>
      <c r="G3198" s="27">
        <v>0</v>
      </c>
      <c r="H3198" s="27">
        <v>0</v>
      </c>
      <c r="I3198" s="27">
        <v>0</v>
      </c>
      <c r="J3198" s="27">
        <v>0</v>
      </c>
      <c r="K3198" s="63">
        <f>AVERAGE(I3198:J3198)</f>
        <v>0</v>
      </c>
      <c r="L3198" s="56" t="str">
        <f>"EQP-LAWPACK2"</f>
        <v>EQP-LAWPACK2</v>
      </c>
      <c r="M3198" s="14"/>
      <c r="N3198" s="15"/>
      <c r="O3198" s="12"/>
      <c r="P3198" s="34"/>
      <c r="Q3198" s="37"/>
      <c r="R3198" s="47"/>
      <c r="S3198" s="46"/>
    </row>
    <row r="3199" spans="1:19" ht="15.6" hidden="1" customHeight="1" thickBot="1" x14ac:dyDescent="0.3">
      <c r="A3199" t="s">
        <v>23</v>
      </c>
      <c r="B3199" s="60" t="str">
        <f t="shared" si="2293"/>
        <v>hide</v>
      </c>
      <c r="D3199" s="48" t="str">
        <f>D3198</f>
        <v>42675</v>
      </c>
      <c r="E3199" s="7"/>
      <c r="F3199" s="27">
        <v>0</v>
      </c>
      <c r="G3199" s="27">
        <v>0</v>
      </c>
      <c r="H3199" s="27">
        <v>0</v>
      </c>
      <c r="I3199" s="27">
        <v>0</v>
      </c>
      <c r="J3199" s="27">
        <v>0</v>
      </c>
      <c r="K3199" s="63">
        <f>AVERAGE(I3199:J3199)</f>
        <v>0</v>
      </c>
      <c r="L3199" s="56" t="str">
        <f>"SW-COMAS-PACKL"</f>
        <v>SW-COMAS-PACKL</v>
      </c>
      <c r="M3199" s="14"/>
      <c r="N3199" s="15"/>
      <c r="O3199" s="12"/>
      <c r="P3199" s="34"/>
      <c r="Q3199" s="37"/>
      <c r="R3199" s="47"/>
      <c r="S3199" s="46"/>
    </row>
    <row r="3200" spans="1:19" ht="15.6" hidden="1" customHeight="1" thickBot="1" x14ac:dyDescent="0.3">
      <c r="A3200" t="s">
        <v>23</v>
      </c>
      <c r="B3200" s="60" t="str">
        <f t="shared" si="2293"/>
        <v>hide</v>
      </c>
      <c r="D3200" s="48" t="str">
        <f>D3199</f>
        <v>42675</v>
      </c>
      <c r="E3200" s="7"/>
      <c r="F3200" s="27">
        <v>0</v>
      </c>
      <c r="G3200" s="27">
        <v>0</v>
      </c>
      <c r="H3200" s="27">
        <v>0</v>
      </c>
      <c r="I3200" s="27">
        <v>0</v>
      </c>
      <c r="J3200" s="27">
        <v>0</v>
      </c>
      <c r="K3200" s="63">
        <f>AVERAGE(I3200:J3200)</f>
        <v>0</v>
      </c>
      <c r="L3200" s="56" t="str">
        <f>"SW-RISER-PACK"</f>
        <v>SW-RISER-PACK</v>
      </c>
      <c r="M3200" s="14"/>
      <c r="N3200" s="15"/>
      <c r="O3200" s="12"/>
      <c r="P3200" s="34"/>
      <c r="Q3200" s="37"/>
      <c r="R3200" s="47"/>
      <c r="S3200" s="46"/>
    </row>
    <row r="3201" spans="1:19" ht="12" hidden="1" customHeight="1" x14ac:dyDescent="0.3">
      <c r="A3201" s="35" t="s">
        <v>908</v>
      </c>
      <c r="B3201" s="49" t="str">
        <f>B3197</f>
        <v>hide</v>
      </c>
      <c r="N3201"/>
      <c r="Q3201" s="33"/>
    </row>
    <row r="3202" spans="1:19" ht="13.8" hidden="1" thickBot="1" x14ac:dyDescent="0.3">
      <c r="A3202" t="s">
        <v>23</v>
      </c>
      <c r="B3202" s="49" t="str">
        <f t="shared" ref="B3202" si="2294">B3201</f>
        <v>hide</v>
      </c>
      <c r="D3202" s="58"/>
      <c r="E3202" s="58"/>
      <c r="F3202" s="52">
        <f>SUM(F3197:F3201)</f>
        <v>0</v>
      </c>
      <c r="G3202" s="52">
        <f>SUM(G3197:G3201)</f>
        <v>0</v>
      </c>
      <c r="H3202" s="52">
        <f>SUM(H3197:H3201)</f>
        <v>0</v>
      </c>
      <c r="I3202" s="52">
        <f>SUM(I3197:I3201)</f>
        <v>0</v>
      </c>
      <c r="J3202" s="52">
        <f>SUM(J3197:J3201)</f>
        <v>0</v>
      </c>
      <c r="K3202" s="52"/>
      <c r="L3202" s="51" t="s">
        <v>4</v>
      </c>
      <c r="M3202" s="58"/>
      <c r="N3202" s="58"/>
      <c r="O3202" s="58"/>
      <c r="P3202" s="58"/>
      <c r="Q3202" s="58"/>
      <c r="R3202" s="58"/>
      <c r="S3202" s="58"/>
    </row>
    <row r="3203" spans="1:19" s="59" customFormat="1" ht="18.75" customHeight="1" thickBot="1" x14ac:dyDescent="0.3">
      <c r="A3203" s="59" t="s">
        <v>23</v>
      </c>
      <c r="B3203" s="60" t="str">
        <f t="shared" ref="B3203:B3204" si="2295">IF(K3203=0,"hide","")</f>
        <v/>
      </c>
      <c r="D3203" s="61" t="str">
        <f>"42961"</f>
        <v>42961</v>
      </c>
      <c r="E3203" s="62" t="str">
        <f>"4"</f>
        <v>4</v>
      </c>
      <c r="F3203" s="63">
        <v>188</v>
      </c>
      <c r="G3203" s="63">
        <v>1275.8333333333333</v>
      </c>
      <c r="H3203" s="63">
        <v>1396.6666666666667</v>
      </c>
      <c r="I3203" s="63">
        <v>1525.75</v>
      </c>
      <c r="J3203" s="63">
        <v>1385.9498795180723</v>
      </c>
      <c r="K3203" s="63">
        <f>AVERAGE(I3203:J3203)</f>
        <v>1455.8499397590363</v>
      </c>
      <c r="L3203" s="64" t="str">
        <f>"1225 Muffins, WG, Blueberry, IW"</f>
        <v>1225 Muffins, WG, Blueberry, IW</v>
      </c>
      <c r="M3203" s="65" t="str">
        <f>"72/1.8 oz"</f>
        <v>72/1.8 oz</v>
      </c>
      <c r="N3203" s="66">
        <v>72</v>
      </c>
      <c r="O3203" s="67" t="str">
        <f>""</f>
        <v/>
      </c>
      <c r="P3203" s="68" t="e">
        <f>1/O3203</f>
        <v>#VALUE!</v>
      </c>
      <c r="Q3203" s="53">
        <v>1</v>
      </c>
      <c r="R3203" s="69">
        <f t="shared" ref="R3203" si="2296">1/Q3203</f>
        <v>1</v>
      </c>
      <c r="S3203" s="70">
        <f t="shared" ref="S3203" si="2297">R3203*N3203</f>
        <v>72</v>
      </c>
    </row>
    <row r="3204" spans="1:19" ht="15.6" hidden="1" customHeight="1" thickBot="1" x14ac:dyDescent="0.3">
      <c r="A3204" t="s">
        <v>23</v>
      </c>
      <c r="B3204" s="60" t="str">
        <f t="shared" si="2295"/>
        <v>hide</v>
      </c>
      <c r="D3204" s="48" t="str">
        <f>D3203</f>
        <v>42961</v>
      </c>
      <c r="E3204" s="7"/>
      <c r="F3204" s="27">
        <v>0</v>
      </c>
      <c r="G3204" s="27">
        <v>0</v>
      </c>
      <c r="H3204" s="27">
        <v>0</v>
      </c>
      <c r="I3204" s="27">
        <v>0</v>
      </c>
      <c r="J3204" s="27">
        <v>0</v>
      </c>
      <c r="K3204" s="63">
        <f>AVERAGE(I3204:J3204)</f>
        <v>0</v>
      </c>
      <c r="L3204" s="56" t="str">
        <f>"EQP-LAWPACK1"</f>
        <v>EQP-LAWPACK1</v>
      </c>
      <c r="M3204" s="14"/>
      <c r="N3204" s="15"/>
      <c r="O3204" s="12"/>
      <c r="P3204" s="34"/>
      <c r="Q3204" s="37"/>
      <c r="R3204" s="47"/>
      <c r="S3204" s="46"/>
    </row>
    <row r="3205" spans="1:19" ht="15.6" hidden="1" customHeight="1" thickBot="1" x14ac:dyDescent="0.3">
      <c r="A3205" t="s">
        <v>23</v>
      </c>
      <c r="B3205" s="60" t="str">
        <f t="shared" ref="B3205:B3207" si="2298">IF(K3205=0,"hide","")</f>
        <v>hide</v>
      </c>
      <c r="D3205" s="48" t="str">
        <f>D3204</f>
        <v>42961</v>
      </c>
      <c r="E3205" s="7"/>
      <c r="F3205" s="27">
        <v>0</v>
      </c>
      <c r="G3205" s="27">
        <v>0</v>
      </c>
      <c r="H3205" s="27">
        <v>0</v>
      </c>
      <c r="I3205" s="27">
        <v>0</v>
      </c>
      <c r="J3205" s="27">
        <v>0</v>
      </c>
      <c r="K3205" s="63">
        <f>AVERAGE(I3205:J3205)</f>
        <v>0</v>
      </c>
      <c r="L3205" s="56" t="str">
        <f>"EQP-LAWPACK2"</f>
        <v>EQP-LAWPACK2</v>
      </c>
      <c r="M3205" s="14"/>
      <c r="N3205" s="15"/>
      <c r="O3205" s="12"/>
      <c r="P3205" s="34"/>
      <c r="Q3205" s="37"/>
      <c r="R3205" s="47"/>
      <c r="S3205" s="46"/>
    </row>
    <row r="3206" spans="1:19" ht="15.6" hidden="1" customHeight="1" thickBot="1" x14ac:dyDescent="0.3">
      <c r="A3206" t="s">
        <v>23</v>
      </c>
      <c r="B3206" s="60" t="str">
        <f t="shared" si="2298"/>
        <v>hide</v>
      </c>
      <c r="D3206" s="48" t="str">
        <f>D3205</f>
        <v>42961</v>
      </c>
      <c r="E3206" s="7"/>
      <c r="F3206" s="27">
        <v>0</v>
      </c>
      <c r="G3206" s="27">
        <v>0</v>
      </c>
      <c r="H3206" s="27">
        <v>0</v>
      </c>
      <c r="I3206" s="27">
        <v>0</v>
      </c>
      <c r="J3206" s="27">
        <v>0</v>
      </c>
      <c r="K3206" s="63">
        <f>AVERAGE(I3206:J3206)</f>
        <v>0</v>
      </c>
      <c r="L3206" s="56" t="str">
        <f>"SW-COMAS-PACKL"</f>
        <v>SW-COMAS-PACKL</v>
      </c>
      <c r="M3206" s="14"/>
      <c r="N3206" s="15"/>
      <c r="O3206" s="12"/>
      <c r="P3206" s="34"/>
      <c r="Q3206" s="37"/>
      <c r="R3206" s="47"/>
      <c r="S3206" s="46"/>
    </row>
    <row r="3207" spans="1:19" ht="15.6" hidden="1" customHeight="1" thickBot="1" x14ac:dyDescent="0.3">
      <c r="A3207" t="s">
        <v>23</v>
      </c>
      <c r="B3207" s="60" t="str">
        <f t="shared" si="2298"/>
        <v>hide</v>
      </c>
      <c r="D3207" s="48" t="str">
        <f>D3206</f>
        <v>42961</v>
      </c>
      <c r="E3207" s="7"/>
      <c r="F3207" s="27">
        <v>0</v>
      </c>
      <c r="G3207" s="27">
        <v>0</v>
      </c>
      <c r="H3207" s="27">
        <v>0</v>
      </c>
      <c r="I3207" s="27">
        <v>0</v>
      </c>
      <c r="J3207" s="27">
        <v>0</v>
      </c>
      <c r="K3207" s="63">
        <f>AVERAGE(I3207:J3207)</f>
        <v>0</v>
      </c>
      <c r="L3207" s="56" t="str">
        <f>"SW-RISER-PACK"</f>
        <v>SW-RISER-PACK</v>
      </c>
      <c r="M3207" s="14"/>
      <c r="N3207" s="15"/>
      <c r="O3207" s="12"/>
      <c r="P3207" s="34"/>
      <c r="Q3207" s="37"/>
      <c r="R3207" s="47"/>
      <c r="S3207" s="46"/>
    </row>
    <row r="3208" spans="1:19" ht="12" hidden="1" customHeight="1" x14ac:dyDescent="0.3">
      <c r="A3208" s="35" t="s">
        <v>908</v>
      </c>
      <c r="B3208" s="49" t="str">
        <f>B3204</f>
        <v>hide</v>
      </c>
      <c r="N3208"/>
      <c r="Q3208" s="33"/>
    </row>
    <row r="3209" spans="1:19" ht="13.8" hidden="1" thickBot="1" x14ac:dyDescent="0.3">
      <c r="A3209" t="s">
        <v>23</v>
      </c>
      <c r="B3209" s="49" t="str">
        <f t="shared" ref="B3209" si="2299">B3208</f>
        <v>hide</v>
      </c>
      <c r="D3209" s="58"/>
      <c r="E3209" s="58"/>
      <c r="F3209" s="52">
        <f>SUM(F3204:F3208)</f>
        <v>0</v>
      </c>
      <c r="G3209" s="52">
        <f>SUM(G3204:G3208)</f>
        <v>0</v>
      </c>
      <c r="H3209" s="52">
        <f>SUM(H3204:H3208)</f>
        <v>0</v>
      </c>
      <c r="I3209" s="52">
        <f>SUM(I3204:I3208)</f>
        <v>0</v>
      </c>
      <c r="J3209" s="52">
        <f>SUM(J3204:J3208)</f>
        <v>0</v>
      </c>
      <c r="K3209" s="52"/>
      <c r="L3209" s="51" t="s">
        <v>4</v>
      </c>
      <c r="M3209" s="58"/>
      <c r="N3209" s="58"/>
      <c r="O3209" s="58"/>
      <c r="P3209" s="58"/>
      <c r="Q3209" s="58"/>
      <c r="R3209" s="58"/>
      <c r="S3209" s="58"/>
    </row>
    <row r="3210" spans="1:19" s="59" customFormat="1" ht="18.75" customHeight="1" thickBot="1" x14ac:dyDescent="0.3">
      <c r="A3210" s="59" t="s">
        <v>23</v>
      </c>
      <c r="B3210" s="60" t="str">
        <f t="shared" ref="B3210:B3211" si="2300">IF(K3210=0,"hide","")</f>
        <v/>
      </c>
      <c r="D3210" s="61" t="str">
        <f>"42965"</f>
        <v>42965</v>
      </c>
      <c r="E3210" s="62" t="str">
        <f>"5"</f>
        <v>5</v>
      </c>
      <c r="F3210" s="63">
        <v>2135.9166666666665</v>
      </c>
      <c r="G3210" s="63">
        <v>1331.5833333333333</v>
      </c>
      <c r="H3210" s="63">
        <v>1779.4166666666667</v>
      </c>
      <c r="I3210" s="63">
        <v>2513</v>
      </c>
      <c r="J3210" s="63">
        <v>1833.9081927710845</v>
      </c>
      <c r="K3210" s="63">
        <f>AVERAGE(I3210:J3210)</f>
        <v>2173.4540963855425</v>
      </c>
      <c r="L3210" s="64" t="str">
        <f>"1278 Muffins, WG, Cornbread, IW"</f>
        <v>1278 Muffins, WG, Cornbread, IW</v>
      </c>
      <c r="M3210" s="65" t="str">
        <f>"72/1.8 oz"</f>
        <v>72/1.8 oz</v>
      </c>
      <c r="N3210" s="66">
        <v>72</v>
      </c>
      <c r="O3210" s="67" t="str">
        <f>""</f>
        <v/>
      </c>
      <c r="P3210" s="68" t="e">
        <f>1/O3210</f>
        <v>#VALUE!</v>
      </c>
      <c r="Q3210" s="53">
        <v>1</v>
      </c>
      <c r="R3210" s="69">
        <f t="shared" ref="R3210" si="2301">1/Q3210</f>
        <v>1</v>
      </c>
      <c r="S3210" s="70">
        <f t="shared" ref="S3210" si="2302">R3210*N3210</f>
        <v>72</v>
      </c>
    </row>
    <row r="3211" spans="1:19" ht="15.6" hidden="1" customHeight="1" thickBot="1" x14ac:dyDescent="0.3">
      <c r="A3211" t="s">
        <v>23</v>
      </c>
      <c r="B3211" s="60" t="str">
        <f t="shared" si="2300"/>
        <v>hide</v>
      </c>
      <c r="D3211" s="48" t="str">
        <f>D3210</f>
        <v>42965</v>
      </c>
      <c r="E3211" s="7"/>
      <c r="F3211" s="27">
        <v>0</v>
      </c>
      <c r="G3211" s="27">
        <v>0</v>
      </c>
      <c r="H3211" s="27">
        <v>0</v>
      </c>
      <c r="I3211" s="27">
        <v>0</v>
      </c>
      <c r="J3211" s="27">
        <v>0</v>
      </c>
      <c r="K3211" s="63">
        <f>AVERAGE(I3211:J3211)</f>
        <v>0</v>
      </c>
      <c r="L3211" s="56" t="str">
        <f>"EQP-LAWPACK1"</f>
        <v>EQP-LAWPACK1</v>
      </c>
      <c r="M3211" s="14"/>
      <c r="N3211" s="15"/>
      <c r="O3211" s="12"/>
      <c r="P3211" s="34"/>
      <c r="Q3211" s="37"/>
      <c r="R3211" s="47"/>
      <c r="S3211" s="46"/>
    </row>
    <row r="3212" spans="1:19" ht="15.6" hidden="1" customHeight="1" thickBot="1" x14ac:dyDescent="0.3">
      <c r="A3212" t="s">
        <v>23</v>
      </c>
      <c r="B3212" s="60" t="str">
        <f t="shared" ref="B3212:B3214" si="2303">IF(K3212=0,"hide","")</f>
        <v>hide</v>
      </c>
      <c r="D3212" s="48" t="str">
        <f>D3211</f>
        <v>42965</v>
      </c>
      <c r="E3212" s="7"/>
      <c r="F3212" s="27">
        <v>0</v>
      </c>
      <c r="G3212" s="27">
        <v>0</v>
      </c>
      <c r="H3212" s="27">
        <v>0</v>
      </c>
      <c r="I3212" s="27">
        <v>0</v>
      </c>
      <c r="J3212" s="27">
        <v>0</v>
      </c>
      <c r="K3212" s="63">
        <f>AVERAGE(I3212:J3212)</f>
        <v>0</v>
      </c>
      <c r="L3212" s="56" t="str">
        <f>"EQP-LAWPACK2"</f>
        <v>EQP-LAWPACK2</v>
      </c>
      <c r="M3212" s="14"/>
      <c r="N3212" s="15"/>
      <c r="O3212" s="12"/>
      <c r="P3212" s="34"/>
      <c r="Q3212" s="37"/>
      <c r="R3212" s="47"/>
      <c r="S3212" s="46"/>
    </row>
    <row r="3213" spans="1:19" ht="15.6" hidden="1" customHeight="1" thickBot="1" x14ac:dyDescent="0.3">
      <c r="A3213" t="s">
        <v>23</v>
      </c>
      <c r="B3213" s="60" t="str">
        <f t="shared" si="2303"/>
        <v>hide</v>
      </c>
      <c r="D3213" s="48" t="str">
        <f>D3212</f>
        <v>42965</v>
      </c>
      <c r="E3213" s="7"/>
      <c r="F3213" s="27">
        <v>0</v>
      </c>
      <c r="G3213" s="27">
        <v>0</v>
      </c>
      <c r="H3213" s="27">
        <v>0</v>
      </c>
      <c r="I3213" s="27">
        <v>0</v>
      </c>
      <c r="J3213" s="27">
        <v>0</v>
      </c>
      <c r="K3213" s="63">
        <f>AVERAGE(I3213:J3213)</f>
        <v>0</v>
      </c>
      <c r="L3213" s="56" t="str">
        <f>"SW-COMAS-PACKL"</f>
        <v>SW-COMAS-PACKL</v>
      </c>
      <c r="M3213" s="14"/>
      <c r="N3213" s="15"/>
      <c r="O3213" s="12"/>
      <c r="P3213" s="34"/>
      <c r="Q3213" s="37"/>
      <c r="R3213" s="47"/>
      <c r="S3213" s="46"/>
    </row>
    <row r="3214" spans="1:19" ht="15.6" hidden="1" customHeight="1" thickBot="1" x14ac:dyDescent="0.3">
      <c r="A3214" t="s">
        <v>23</v>
      </c>
      <c r="B3214" s="60" t="str">
        <f t="shared" si="2303"/>
        <v>hide</v>
      </c>
      <c r="D3214" s="48" t="str">
        <f>D3213</f>
        <v>42965</v>
      </c>
      <c r="E3214" s="7"/>
      <c r="F3214" s="27">
        <v>0</v>
      </c>
      <c r="G3214" s="27">
        <v>0</v>
      </c>
      <c r="H3214" s="27">
        <v>0</v>
      </c>
      <c r="I3214" s="27">
        <v>0</v>
      </c>
      <c r="J3214" s="27">
        <v>0</v>
      </c>
      <c r="K3214" s="63">
        <f>AVERAGE(I3214:J3214)</f>
        <v>0</v>
      </c>
      <c r="L3214" s="56" t="str">
        <f>"SW-RISER-PACK"</f>
        <v>SW-RISER-PACK</v>
      </c>
      <c r="M3214" s="14"/>
      <c r="N3214" s="15"/>
      <c r="O3214" s="12"/>
      <c r="P3214" s="34"/>
      <c r="Q3214" s="37"/>
      <c r="R3214" s="47"/>
      <c r="S3214" s="46"/>
    </row>
    <row r="3215" spans="1:19" ht="12" hidden="1" customHeight="1" x14ac:dyDescent="0.3">
      <c r="A3215" s="35" t="s">
        <v>908</v>
      </c>
      <c r="B3215" s="49" t="str">
        <f>B3211</f>
        <v>hide</v>
      </c>
      <c r="N3215"/>
      <c r="Q3215" s="33"/>
    </row>
    <row r="3216" spans="1:19" ht="13.8" hidden="1" thickBot="1" x14ac:dyDescent="0.3">
      <c r="A3216" t="s">
        <v>23</v>
      </c>
      <c r="B3216" s="49" t="str">
        <f t="shared" ref="B3216" si="2304">B3215</f>
        <v>hide</v>
      </c>
      <c r="D3216" s="58"/>
      <c r="E3216" s="58"/>
      <c r="F3216" s="52">
        <f>SUM(F3211:F3215)</f>
        <v>0</v>
      </c>
      <c r="G3216" s="52">
        <f>SUM(G3211:G3215)</f>
        <v>0</v>
      </c>
      <c r="H3216" s="52">
        <f>SUM(H3211:H3215)</f>
        <v>0</v>
      </c>
      <c r="I3216" s="52">
        <f>SUM(I3211:I3215)</f>
        <v>0</v>
      </c>
      <c r="J3216" s="52">
        <f>SUM(J3211:J3215)</f>
        <v>0</v>
      </c>
      <c r="K3216" s="52"/>
      <c r="L3216" s="51" t="s">
        <v>4</v>
      </c>
      <c r="M3216" s="58"/>
      <c r="N3216" s="58"/>
      <c r="O3216" s="58"/>
      <c r="P3216" s="58"/>
      <c r="Q3216" s="58"/>
      <c r="R3216" s="58"/>
      <c r="S3216" s="58"/>
    </row>
    <row r="3217" spans="1:19" s="59" customFormat="1" ht="18.75" customHeight="1" thickBot="1" x14ac:dyDescent="0.3">
      <c r="A3217" s="59" t="s">
        <v>23</v>
      </c>
      <c r="B3217" s="60" t="str">
        <f t="shared" ref="B3217:B3218" si="2305">IF(K3217=0,"hide","")</f>
        <v/>
      </c>
      <c r="D3217" s="61" t="str">
        <f>"42966"</f>
        <v>42966</v>
      </c>
      <c r="E3217" s="62" t="str">
        <f>"2"</f>
        <v>2</v>
      </c>
      <c r="F3217" s="63">
        <v>10.250000000000002</v>
      </c>
      <c r="G3217" s="63">
        <v>541.24999999999989</v>
      </c>
      <c r="H3217" s="63">
        <v>408.58333333333331</v>
      </c>
      <c r="I3217" s="63">
        <v>1038.0833333333333</v>
      </c>
      <c r="J3217" s="63">
        <v>1285.433734939759</v>
      </c>
      <c r="K3217" s="63">
        <f>AVERAGE(I3217:J3217)</f>
        <v>1161.7585341365461</v>
      </c>
      <c r="L3217" s="64" t="str">
        <f>"1224 Muffins, WG, Apple Cinn, IW"</f>
        <v>1224 Muffins, WG, Apple Cinn, IW</v>
      </c>
      <c r="M3217" s="65" t="str">
        <f>"72/1.8 oz"</f>
        <v>72/1.8 oz</v>
      </c>
      <c r="N3217" s="66">
        <v>72</v>
      </c>
      <c r="O3217" s="67" t="str">
        <f>""</f>
        <v/>
      </c>
      <c r="P3217" s="68" t="e">
        <f>1/O3217</f>
        <v>#VALUE!</v>
      </c>
      <c r="Q3217" s="53">
        <v>1</v>
      </c>
      <c r="R3217" s="69">
        <f t="shared" ref="R3217" si="2306">1/Q3217</f>
        <v>1</v>
      </c>
      <c r="S3217" s="70">
        <f t="shared" ref="S3217" si="2307">R3217*N3217</f>
        <v>72</v>
      </c>
    </row>
    <row r="3218" spans="1:19" ht="15.6" hidden="1" customHeight="1" thickBot="1" x14ac:dyDescent="0.3">
      <c r="A3218" t="s">
        <v>23</v>
      </c>
      <c r="B3218" s="60" t="str">
        <f t="shared" si="2305"/>
        <v>hide</v>
      </c>
      <c r="D3218" s="48" t="str">
        <f>D3217</f>
        <v>42966</v>
      </c>
      <c r="E3218" s="7"/>
      <c r="F3218" s="27">
        <v>0</v>
      </c>
      <c r="G3218" s="27">
        <v>0</v>
      </c>
      <c r="H3218" s="27">
        <v>0</v>
      </c>
      <c r="I3218" s="27">
        <v>0</v>
      </c>
      <c r="J3218" s="27">
        <v>0</v>
      </c>
      <c r="K3218" s="63">
        <f>AVERAGE(I3218:J3218)</f>
        <v>0</v>
      </c>
      <c r="L3218" s="56" t="str">
        <f>"EQP-LAWPACK1"</f>
        <v>EQP-LAWPACK1</v>
      </c>
      <c r="M3218" s="14"/>
      <c r="N3218" s="15"/>
      <c r="O3218" s="12"/>
      <c r="P3218" s="34"/>
      <c r="Q3218" s="37"/>
      <c r="R3218" s="47"/>
      <c r="S3218" s="46"/>
    </row>
    <row r="3219" spans="1:19" ht="15.6" hidden="1" customHeight="1" thickBot="1" x14ac:dyDescent="0.3">
      <c r="A3219" t="s">
        <v>23</v>
      </c>
      <c r="B3219" s="60" t="str">
        <f t="shared" ref="B3219:B3221" si="2308">IF(K3219=0,"hide","")</f>
        <v>hide</v>
      </c>
      <c r="D3219" s="48" t="str">
        <f>D3218</f>
        <v>42966</v>
      </c>
      <c r="E3219" s="7"/>
      <c r="F3219" s="27">
        <v>0</v>
      </c>
      <c r="G3219" s="27">
        <v>0</v>
      </c>
      <c r="H3219" s="27">
        <v>0</v>
      </c>
      <c r="I3219" s="27">
        <v>0</v>
      </c>
      <c r="J3219" s="27">
        <v>0</v>
      </c>
      <c r="K3219" s="63">
        <f>AVERAGE(I3219:J3219)</f>
        <v>0</v>
      </c>
      <c r="L3219" s="56" t="str">
        <f>"EQP-LAWPACK2"</f>
        <v>EQP-LAWPACK2</v>
      </c>
      <c r="M3219" s="14"/>
      <c r="N3219" s="15"/>
      <c r="O3219" s="12"/>
      <c r="P3219" s="34"/>
      <c r="Q3219" s="37"/>
      <c r="R3219" s="47"/>
      <c r="S3219" s="46"/>
    </row>
    <row r="3220" spans="1:19" ht="15.6" hidden="1" customHeight="1" thickBot="1" x14ac:dyDescent="0.3">
      <c r="A3220" t="s">
        <v>23</v>
      </c>
      <c r="B3220" s="60" t="str">
        <f t="shared" si="2308"/>
        <v>hide</v>
      </c>
      <c r="D3220" s="48" t="str">
        <f>D3219</f>
        <v>42966</v>
      </c>
      <c r="E3220" s="7"/>
      <c r="F3220" s="27">
        <v>0</v>
      </c>
      <c r="G3220" s="27">
        <v>0</v>
      </c>
      <c r="H3220" s="27">
        <v>0</v>
      </c>
      <c r="I3220" s="27">
        <v>0</v>
      </c>
      <c r="J3220" s="27">
        <v>0</v>
      </c>
      <c r="K3220" s="63">
        <f>AVERAGE(I3220:J3220)</f>
        <v>0</v>
      </c>
      <c r="L3220" s="56" t="str">
        <f>"SW-COMAS-PACKL"</f>
        <v>SW-COMAS-PACKL</v>
      </c>
      <c r="M3220" s="14"/>
      <c r="N3220" s="15"/>
      <c r="O3220" s="12"/>
      <c r="P3220" s="34"/>
      <c r="Q3220" s="37"/>
      <c r="R3220" s="47"/>
      <c r="S3220" s="46"/>
    </row>
    <row r="3221" spans="1:19" ht="15.6" hidden="1" customHeight="1" thickBot="1" x14ac:dyDescent="0.3">
      <c r="A3221" t="s">
        <v>23</v>
      </c>
      <c r="B3221" s="60" t="str">
        <f t="shared" si="2308"/>
        <v>hide</v>
      </c>
      <c r="D3221" s="48" t="str">
        <f>D3220</f>
        <v>42966</v>
      </c>
      <c r="E3221" s="7"/>
      <c r="F3221" s="27">
        <v>0</v>
      </c>
      <c r="G3221" s="27">
        <v>0</v>
      </c>
      <c r="H3221" s="27">
        <v>0</v>
      </c>
      <c r="I3221" s="27">
        <v>0</v>
      </c>
      <c r="J3221" s="27">
        <v>0</v>
      </c>
      <c r="K3221" s="63">
        <f>AVERAGE(I3221:J3221)</f>
        <v>0</v>
      </c>
      <c r="L3221" s="56" t="str">
        <f>"SW-RISER-PACK"</f>
        <v>SW-RISER-PACK</v>
      </c>
      <c r="M3221" s="14"/>
      <c r="N3221" s="15"/>
      <c r="O3221" s="12"/>
      <c r="P3221" s="34"/>
      <c r="Q3221" s="37"/>
      <c r="R3221" s="47"/>
      <c r="S3221" s="46"/>
    </row>
    <row r="3222" spans="1:19" ht="12" hidden="1" customHeight="1" x14ac:dyDescent="0.3">
      <c r="A3222" s="35" t="s">
        <v>908</v>
      </c>
      <c r="B3222" s="49" t="str">
        <f>B3218</f>
        <v>hide</v>
      </c>
      <c r="N3222"/>
      <c r="Q3222" s="33"/>
    </row>
    <row r="3223" spans="1:19" ht="13.8" hidden="1" thickBot="1" x14ac:dyDescent="0.3">
      <c r="A3223" t="s">
        <v>23</v>
      </c>
      <c r="B3223" s="49" t="str">
        <f t="shared" ref="B3223" si="2309">B3222</f>
        <v>hide</v>
      </c>
      <c r="D3223" s="58"/>
      <c r="E3223" s="58"/>
      <c r="F3223" s="52">
        <f>SUM(F3218:F3222)</f>
        <v>0</v>
      </c>
      <c r="G3223" s="52">
        <f>SUM(G3218:G3222)</f>
        <v>0</v>
      </c>
      <c r="H3223" s="52">
        <f>SUM(H3218:H3222)</f>
        <v>0</v>
      </c>
      <c r="I3223" s="52">
        <f>SUM(I3218:I3222)</f>
        <v>0</v>
      </c>
      <c r="J3223" s="52">
        <f>SUM(J3218:J3222)</f>
        <v>0</v>
      </c>
      <c r="K3223" s="52"/>
      <c r="L3223" s="51" t="s">
        <v>4</v>
      </c>
      <c r="M3223" s="58"/>
      <c r="N3223" s="58"/>
      <c r="O3223" s="58"/>
      <c r="P3223" s="58"/>
      <c r="Q3223" s="58"/>
      <c r="R3223" s="58"/>
      <c r="S3223" s="58"/>
    </row>
    <row r="3224" spans="1:19" s="59" customFormat="1" ht="18.75" customHeight="1" thickBot="1" x14ac:dyDescent="0.3">
      <c r="A3224" s="59" t="s">
        <v>23</v>
      </c>
      <c r="B3224" s="60" t="str">
        <f t="shared" ref="B3224:B3225" si="2310">IF(K3224=0,"hide","")</f>
        <v/>
      </c>
      <c r="D3224" s="61" t="str">
        <f>"42970"</f>
        <v>42970</v>
      </c>
      <c r="E3224" s="62" t="str">
        <f>"3"</f>
        <v>3</v>
      </c>
      <c r="F3224" s="63">
        <v>346.5</v>
      </c>
      <c r="G3224" s="63">
        <v>699.5</v>
      </c>
      <c r="H3224" s="63">
        <v>648.33333333333337</v>
      </c>
      <c r="I3224" s="63">
        <v>108.41666666666667</v>
      </c>
      <c r="J3224" s="63">
        <v>0</v>
      </c>
      <c r="K3224" s="63">
        <f>AVERAGE(I3224:J3224)</f>
        <v>54.208333333333336</v>
      </c>
      <c r="L3224" s="64" t="str">
        <f>"1223 Muffins, WG, Choc Chip, IW"</f>
        <v>1223 Muffins, WG, Choc Chip, IW</v>
      </c>
      <c r="M3224" s="65" t="str">
        <f>"72/1.8 oz"</f>
        <v>72/1.8 oz</v>
      </c>
      <c r="N3224" s="66">
        <v>72</v>
      </c>
      <c r="O3224" s="67" t="str">
        <f>""</f>
        <v/>
      </c>
      <c r="P3224" s="68" t="e">
        <f>1/O3224</f>
        <v>#VALUE!</v>
      </c>
      <c r="Q3224" s="53">
        <v>1</v>
      </c>
      <c r="R3224" s="69">
        <f t="shared" ref="R3224" si="2311">1/Q3224</f>
        <v>1</v>
      </c>
      <c r="S3224" s="70">
        <f t="shared" ref="S3224" si="2312">R3224*N3224</f>
        <v>72</v>
      </c>
    </row>
    <row r="3225" spans="1:19" ht="15.6" hidden="1" customHeight="1" thickBot="1" x14ac:dyDescent="0.3">
      <c r="A3225" t="s">
        <v>23</v>
      </c>
      <c r="B3225" s="60" t="str">
        <f t="shared" si="2310"/>
        <v>hide</v>
      </c>
      <c r="D3225" s="48" t="str">
        <f>D3224</f>
        <v>42970</v>
      </c>
      <c r="E3225" s="7"/>
      <c r="F3225" s="27">
        <v>0</v>
      </c>
      <c r="G3225" s="27">
        <v>0</v>
      </c>
      <c r="H3225" s="27">
        <v>0</v>
      </c>
      <c r="I3225" s="27">
        <v>0</v>
      </c>
      <c r="J3225" s="27">
        <v>0</v>
      </c>
      <c r="K3225" s="63">
        <f>AVERAGE(I3225:J3225)</f>
        <v>0</v>
      </c>
      <c r="L3225" s="56" t="str">
        <f>"EQP-LAWPACK1"</f>
        <v>EQP-LAWPACK1</v>
      </c>
      <c r="M3225" s="14"/>
      <c r="N3225" s="15"/>
      <c r="O3225" s="12"/>
      <c r="P3225" s="34"/>
      <c r="Q3225" s="37"/>
      <c r="R3225" s="47"/>
      <c r="S3225" s="46"/>
    </row>
    <row r="3226" spans="1:19" ht="15.6" hidden="1" customHeight="1" thickBot="1" x14ac:dyDescent="0.3">
      <c r="A3226" t="s">
        <v>23</v>
      </c>
      <c r="B3226" s="60" t="str">
        <f t="shared" ref="B3226:B3228" si="2313">IF(K3226=0,"hide","")</f>
        <v>hide</v>
      </c>
      <c r="D3226" s="48" t="str">
        <f>D3225</f>
        <v>42970</v>
      </c>
      <c r="E3226" s="7"/>
      <c r="F3226" s="27">
        <v>0</v>
      </c>
      <c r="G3226" s="27">
        <v>0</v>
      </c>
      <c r="H3226" s="27">
        <v>0</v>
      </c>
      <c r="I3226" s="27">
        <v>0</v>
      </c>
      <c r="J3226" s="27">
        <v>0</v>
      </c>
      <c r="K3226" s="63">
        <f>AVERAGE(I3226:J3226)</f>
        <v>0</v>
      </c>
      <c r="L3226" s="56" t="str">
        <f>"EQP-LAWPACK2"</f>
        <v>EQP-LAWPACK2</v>
      </c>
      <c r="M3226" s="14"/>
      <c r="N3226" s="15"/>
      <c r="O3226" s="12"/>
      <c r="P3226" s="34"/>
      <c r="Q3226" s="37"/>
      <c r="R3226" s="47"/>
      <c r="S3226" s="46"/>
    </row>
    <row r="3227" spans="1:19" ht="15.6" hidden="1" customHeight="1" thickBot="1" x14ac:dyDescent="0.3">
      <c r="A3227" t="s">
        <v>23</v>
      </c>
      <c r="B3227" s="60" t="str">
        <f t="shared" si="2313"/>
        <v>hide</v>
      </c>
      <c r="D3227" s="48" t="str">
        <f>D3226</f>
        <v>42970</v>
      </c>
      <c r="E3227" s="7"/>
      <c r="F3227" s="27">
        <v>0</v>
      </c>
      <c r="G3227" s="27">
        <v>0</v>
      </c>
      <c r="H3227" s="27">
        <v>0</v>
      </c>
      <c r="I3227" s="27">
        <v>0</v>
      </c>
      <c r="J3227" s="27">
        <v>0</v>
      </c>
      <c r="K3227" s="63">
        <f>AVERAGE(I3227:J3227)</f>
        <v>0</v>
      </c>
      <c r="L3227" s="56" t="str">
        <f>"SW-COMAS-PACKL"</f>
        <v>SW-COMAS-PACKL</v>
      </c>
      <c r="M3227" s="14"/>
      <c r="N3227" s="15"/>
      <c r="O3227" s="12"/>
      <c r="P3227" s="34"/>
      <c r="Q3227" s="37"/>
      <c r="R3227" s="47"/>
      <c r="S3227" s="46"/>
    </row>
    <row r="3228" spans="1:19" ht="15.6" hidden="1" customHeight="1" thickBot="1" x14ac:dyDescent="0.3">
      <c r="A3228" t="s">
        <v>23</v>
      </c>
      <c r="B3228" s="60" t="str">
        <f t="shared" si="2313"/>
        <v>hide</v>
      </c>
      <c r="D3228" s="48" t="str">
        <f>D3227</f>
        <v>42970</v>
      </c>
      <c r="E3228" s="7"/>
      <c r="F3228" s="27">
        <v>0</v>
      </c>
      <c r="G3228" s="27">
        <v>0</v>
      </c>
      <c r="H3228" s="27">
        <v>0</v>
      </c>
      <c r="I3228" s="27">
        <v>0</v>
      </c>
      <c r="J3228" s="27">
        <v>0</v>
      </c>
      <c r="K3228" s="63">
        <f>AVERAGE(I3228:J3228)</f>
        <v>0</v>
      </c>
      <c r="L3228" s="56" t="str">
        <f>"SW-RISER-PACK"</f>
        <v>SW-RISER-PACK</v>
      </c>
      <c r="M3228" s="14"/>
      <c r="N3228" s="15"/>
      <c r="O3228" s="12"/>
      <c r="P3228" s="34"/>
      <c r="Q3228" s="37"/>
      <c r="R3228" s="47"/>
      <c r="S3228" s="46"/>
    </row>
    <row r="3229" spans="1:19" ht="12" hidden="1" customHeight="1" x14ac:dyDescent="0.3">
      <c r="A3229" s="35" t="s">
        <v>908</v>
      </c>
      <c r="B3229" s="49" t="str">
        <f>B3225</f>
        <v>hide</v>
      </c>
      <c r="N3229"/>
      <c r="Q3229" s="33"/>
    </row>
    <row r="3230" spans="1:19" ht="13.8" hidden="1" thickBot="1" x14ac:dyDescent="0.3">
      <c r="A3230" t="s">
        <v>23</v>
      </c>
      <c r="B3230" s="49" t="str">
        <f t="shared" ref="B3230" si="2314">B3229</f>
        <v>hide</v>
      </c>
      <c r="D3230" s="58"/>
      <c r="E3230" s="58"/>
      <c r="F3230" s="52">
        <f>SUM(F3225:F3229)</f>
        <v>0</v>
      </c>
      <c r="G3230" s="52">
        <f>SUM(G3225:G3229)</f>
        <v>0</v>
      </c>
      <c r="H3230" s="52">
        <f>SUM(H3225:H3229)</f>
        <v>0</v>
      </c>
      <c r="I3230" s="52">
        <f>SUM(I3225:I3229)</f>
        <v>0</v>
      </c>
      <c r="J3230" s="52">
        <f>SUM(J3225:J3229)</f>
        <v>0</v>
      </c>
      <c r="K3230" s="52"/>
      <c r="L3230" s="51" t="s">
        <v>4</v>
      </c>
      <c r="M3230" s="58"/>
      <c r="N3230" s="58"/>
      <c r="O3230" s="58"/>
      <c r="P3230" s="58"/>
      <c r="Q3230" s="58"/>
      <c r="R3230" s="58"/>
      <c r="S3230" s="58"/>
    </row>
    <row r="3231" spans="1:19" s="59" customFormat="1" ht="18.75" customHeight="1" thickBot="1" x14ac:dyDescent="0.3">
      <c r="A3231" s="59" t="s">
        <v>23</v>
      </c>
      <c r="B3231" s="60" t="str">
        <f t="shared" ref="B3231:B3232" si="2315">IF(K3231=0,"hide","")</f>
        <v/>
      </c>
      <c r="D3231" s="61" t="str">
        <f>"42975"</f>
        <v>42975</v>
      </c>
      <c r="E3231" s="62" t="str">
        <f>"2"</f>
        <v>2</v>
      </c>
      <c r="F3231" s="63">
        <v>120.33333333333333</v>
      </c>
      <c r="G3231" s="63">
        <v>313.91666666666669</v>
      </c>
      <c r="H3231" s="63">
        <v>274.08333333333331</v>
      </c>
      <c r="I3231" s="63">
        <v>114.75</v>
      </c>
      <c r="J3231" s="63">
        <v>238.19734939759036</v>
      </c>
      <c r="K3231" s="63">
        <f>AVERAGE(I3231:J3231)</f>
        <v>176.47367469879518</v>
      </c>
      <c r="L3231" s="64" t="str">
        <f>"1222 Muffins, WG, Banana, IW"</f>
        <v>1222 Muffins, WG, Banana, IW</v>
      </c>
      <c r="M3231" s="65" t="str">
        <f>"72/1.8 oz"</f>
        <v>72/1.8 oz</v>
      </c>
      <c r="N3231" s="66">
        <v>72</v>
      </c>
      <c r="O3231" s="67" t="str">
        <f>""</f>
        <v/>
      </c>
      <c r="P3231" s="68" t="e">
        <f>1/O3231</f>
        <v>#VALUE!</v>
      </c>
      <c r="Q3231" s="53">
        <v>1</v>
      </c>
      <c r="R3231" s="69">
        <f t="shared" ref="R3231" si="2316">1/Q3231</f>
        <v>1</v>
      </c>
      <c r="S3231" s="70">
        <f t="shared" ref="S3231" si="2317">R3231*N3231</f>
        <v>72</v>
      </c>
    </row>
    <row r="3232" spans="1:19" ht="15.6" hidden="1" customHeight="1" thickBot="1" x14ac:dyDescent="0.3">
      <c r="A3232" t="s">
        <v>23</v>
      </c>
      <c r="B3232" s="60" t="str">
        <f t="shared" si="2315"/>
        <v>hide</v>
      </c>
      <c r="D3232" s="48" t="str">
        <f>D3231</f>
        <v>42975</v>
      </c>
      <c r="E3232" s="7"/>
      <c r="F3232" s="27">
        <v>0</v>
      </c>
      <c r="G3232" s="27">
        <v>0</v>
      </c>
      <c r="H3232" s="27">
        <v>0</v>
      </c>
      <c r="I3232" s="27">
        <v>0</v>
      </c>
      <c r="J3232" s="27">
        <v>0</v>
      </c>
      <c r="K3232" s="63">
        <f>AVERAGE(I3232:J3232)</f>
        <v>0</v>
      </c>
      <c r="L3232" s="56" t="str">
        <f>"EQP-LAWPACK1"</f>
        <v>EQP-LAWPACK1</v>
      </c>
      <c r="M3232" s="14"/>
      <c r="N3232" s="15"/>
      <c r="O3232" s="12"/>
      <c r="P3232" s="34"/>
      <c r="Q3232" s="37"/>
      <c r="R3232" s="47"/>
      <c r="S3232" s="46"/>
    </row>
    <row r="3233" spans="1:19" ht="15.6" hidden="1" customHeight="1" thickBot="1" x14ac:dyDescent="0.3">
      <c r="A3233" t="s">
        <v>23</v>
      </c>
      <c r="B3233" s="60" t="str">
        <f t="shared" ref="B3233:B3235" si="2318">IF(K3233=0,"hide","")</f>
        <v>hide</v>
      </c>
      <c r="D3233" s="48" t="str">
        <f>D3232</f>
        <v>42975</v>
      </c>
      <c r="E3233" s="7"/>
      <c r="F3233" s="27">
        <v>0</v>
      </c>
      <c r="G3233" s="27">
        <v>0</v>
      </c>
      <c r="H3233" s="27">
        <v>0</v>
      </c>
      <c r="I3233" s="27">
        <v>0</v>
      </c>
      <c r="J3233" s="27">
        <v>0</v>
      </c>
      <c r="K3233" s="63">
        <f>AVERAGE(I3233:J3233)</f>
        <v>0</v>
      </c>
      <c r="L3233" s="56" t="str">
        <f>"EQP-LAWPACK2"</f>
        <v>EQP-LAWPACK2</v>
      </c>
      <c r="M3233" s="14"/>
      <c r="N3233" s="15"/>
      <c r="O3233" s="12"/>
      <c r="P3233" s="34"/>
      <c r="Q3233" s="37"/>
      <c r="R3233" s="47"/>
      <c r="S3233" s="46"/>
    </row>
    <row r="3234" spans="1:19" ht="15.6" hidden="1" customHeight="1" thickBot="1" x14ac:dyDescent="0.3">
      <c r="A3234" t="s">
        <v>23</v>
      </c>
      <c r="B3234" s="60" t="str">
        <f t="shared" si="2318"/>
        <v>hide</v>
      </c>
      <c r="D3234" s="48" t="str">
        <f>D3233</f>
        <v>42975</v>
      </c>
      <c r="E3234" s="7"/>
      <c r="F3234" s="27">
        <v>0</v>
      </c>
      <c r="G3234" s="27">
        <v>0</v>
      </c>
      <c r="H3234" s="27">
        <v>0</v>
      </c>
      <c r="I3234" s="27">
        <v>0</v>
      </c>
      <c r="J3234" s="27">
        <v>0</v>
      </c>
      <c r="K3234" s="63">
        <f>AVERAGE(I3234:J3234)</f>
        <v>0</v>
      </c>
      <c r="L3234" s="56" t="str">
        <f>"SW-COMAS-PACKL"</f>
        <v>SW-COMAS-PACKL</v>
      </c>
      <c r="M3234" s="14"/>
      <c r="N3234" s="15"/>
      <c r="O3234" s="12"/>
      <c r="P3234" s="34"/>
      <c r="Q3234" s="37"/>
      <c r="R3234" s="47"/>
      <c r="S3234" s="46"/>
    </row>
    <row r="3235" spans="1:19" ht="15.6" hidden="1" customHeight="1" thickBot="1" x14ac:dyDescent="0.3">
      <c r="A3235" t="s">
        <v>23</v>
      </c>
      <c r="B3235" s="60" t="str">
        <f t="shared" si="2318"/>
        <v>hide</v>
      </c>
      <c r="D3235" s="48" t="str">
        <f>D3234</f>
        <v>42975</v>
      </c>
      <c r="E3235" s="7"/>
      <c r="F3235" s="27">
        <v>0</v>
      </c>
      <c r="G3235" s="27">
        <v>0</v>
      </c>
      <c r="H3235" s="27">
        <v>0</v>
      </c>
      <c r="I3235" s="27">
        <v>0</v>
      </c>
      <c r="J3235" s="27">
        <v>0</v>
      </c>
      <c r="K3235" s="63">
        <f>AVERAGE(I3235:J3235)</f>
        <v>0</v>
      </c>
      <c r="L3235" s="56" t="str">
        <f>"SW-RISER-PACK"</f>
        <v>SW-RISER-PACK</v>
      </c>
      <c r="M3235" s="14"/>
      <c r="N3235" s="15"/>
      <c r="O3235" s="12"/>
      <c r="P3235" s="34"/>
      <c r="Q3235" s="37"/>
      <c r="R3235" s="47"/>
      <c r="S3235" s="46"/>
    </row>
    <row r="3236" spans="1:19" ht="12" hidden="1" customHeight="1" x14ac:dyDescent="0.3">
      <c r="A3236" s="35" t="s">
        <v>908</v>
      </c>
      <c r="B3236" s="49" t="str">
        <f>B3232</f>
        <v>hide</v>
      </c>
      <c r="N3236"/>
      <c r="Q3236" s="33"/>
    </row>
    <row r="3237" spans="1:19" ht="13.8" hidden="1" thickBot="1" x14ac:dyDescent="0.3">
      <c r="A3237" t="s">
        <v>23</v>
      </c>
      <c r="B3237" s="49" t="str">
        <f t="shared" ref="B3237" si="2319">B3236</f>
        <v>hide</v>
      </c>
      <c r="D3237" s="58"/>
      <c r="E3237" s="58"/>
      <c r="F3237" s="52">
        <f>SUM(F3232:F3236)</f>
        <v>0</v>
      </c>
      <c r="G3237" s="52">
        <f>SUM(G3232:G3236)</f>
        <v>0</v>
      </c>
      <c r="H3237" s="52">
        <f>SUM(H3232:H3236)</f>
        <v>0</v>
      </c>
      <c r="I3237" s="52">
        <f>SUM(I3232:I3236)</f>
        <v>0</v>
      </c>
      <c r="J3237" s="52">
        <f>SUM(J3232:J3236)</f>
        <v>0</v>
      </c>
      <c r="K3237" s="52"/>
      <c r="L3237" s="51" t="s">
        <v>4</v>
      </c>
      <c r="M3237" s="58"/>
      <c r="N3237" s="58"/>
      <c r="O3237" s="58"/>
      <c r="P3237" s="58"/>
      <c r="Q3237" s="58"/>
      <c r="R3237" s="58"/>
      <c r="S3237" s="58"/>
    </row>
    <row r="3238" spans="1:19" s="59" customFormat="1" ht="18.75" hidden="1" customHeight="1" thickBot="1" x14ac:dyDescent="0.3">
      <c r="A3238" s="59" t="s">
        <v>23</v>
      </c>
      <c r="B3238" s="60" t="str">
        <f t="shared" ref="B3238:B3239" si="2320">IF(K3238=0,"hide","")</f>
        <v>hide</v>
      </c>
      <c r="D3238" s="61" t="str">
        <f>"42985"</f>
        <v>42985</v>
      </c>
      <c r="E3238" s="62" t="str">
        <f>"4"</f>
        <v>4</v>
      </c>
      <c r="F3238" s="63">
        <v>35.666666666666671</v>
      </c>
      <c r="G3238" s="63">
        <v>93.166666666666671</v>
      </c>
      <c r="H3238" s="63">
        <v>0</v>
      </c>
      <c r="I3238" s="63">
        <v>0</v>
      </c>
      <c r="J3238" s="63">
        <v>0</v>
      </c>
      <c r="K3238" s="63">
        <f>AVERAGE(I3238:J3238)</f>
        <v>0</v>
      </c>
      <c r="L3238" s="64" t="str">
        <f>"1279 Muffin, WG, Crnbrd, SW, IW"</f>
        <v>1279 Muffin, WG, Crnbrd, SW, IW</v>
      </c>
      <c r="M3238" s="65" t="str">
        <f>"72/1.8 oz"</f>
        <v>72/1.8 oz</v>
      </c>
      <c r="N3238" s="66">
        <v>72</v>
      </c>
      <c r="O3238" s="67" t="str">
        <f>""</f>
        <v/>
      </c>
      <c r="P3238" s="68" t="e">
        <f>1/O3238</f>
        <v>#VALUE!</v>
      </c>
      <c r="Q3238" s="53">
        <v>1</v>
      </c>
      <c r="R3238" s="69">
        <f t="shared" ref="R3238" si="2321">1/Q3238</f>
        <v>1</v>
      </c>
      <c r="S3238" s="70">
        <f t="shared" ref="S3238" si="2322">R3238*N3238</f>
        <v>72</v>
      </c>
    </row>
    <row r="3239" spans="1:19" ht="15.6" hidden="1" customHeight="1" thickBot="1" x14ac:dyDescent="0.3">
      <c r="A3239" t="s">
        <v>23</v>
      </c>
      <c r="B3239" s="60" t="str">
        <f t="shared" si="2320"/>
        <v>hide</v>
      </c>
      <c r="D3239" s="48" t="str">
        <f>D3238</f>
        <v>42985</v>
      </c>
      <c r="E3239" s="7"/>
      <c r="F3239" s="27">
        <v>0</v>
      </c>
      <c r="G3239" s="27">
        <v>0</v>
      </c>
      <c r="H3239" s="27">
        <v>0</v>
      </c>
      <c r="I3239" s="27">
        <v>0</v>
      </c>
      <c r="J3239" s="27">
        <v>0</v>
      </c>
      <c r="K3239" s="63">
        <f>AVERAGE(I3239:J3239)</f>
        <v>0</v>
      </c>
      <c r="L3239" s="56" t="str">
        <f>"EQP-LAWPACK1"</f>
        <v>EQP-LAWPACK1</v>
      </c>
      <c r="M3239" s="14"/>
      <c r="N3239" s="15"/>
      <c r="O3239" s="12"/>
      <c r="P3239" s="34"/>
      <c r="Q3239" s="37"/>
      <c r="R3239" s="47"/>
      <c r="S3239" s="46"/>
    </row>
    <row r="3240" spans="1:19" ht="15.6" hidden="1" customHeight="1" thickBot="1" x14ac:dyDescent="0.3">
      <c r="A3240" t="s">
        <v>23</v>
      </c>
      <c r="B3240" s="60" t="str">
        <f t="shared" ref="B3240:B3242" si="2323">IF(K3240=0,"hide","")</f>
        <v>hide</v>
      </c>
      <c r="D3240" s="48" t="str">
        <f>D3239</f>
        <v>42985</v>
      </c>
      <c r="E3240" s="7"/>
      <c r="F3240" s="27">
        <v>0</v>
      </c>
      <c r="G3240" s="27">
        <v>0</v>
      </c>
      <c r="H3240" s="27">
        <v>0</v>
      </c>
      <c r="I3240" s="27">
        <v>0</v>
      </c>
      <c r="J3240" s="27">
        <v>0</v>
      </c>
      <c r="K3240" s="63">
        <f>AVERAGE(I3240:J3240)</f>
        <v>0</v>
      </c>
      <c r="L3240" s="56" t="str">
        <f>"EQP-LAWPACK2"</f>
        <v>EQP-LAWPACK2</v>
      </c>
      <c r="M3240" s="14"/>
      <c r="N3240" s="15"/>
      <c r="O3240" s="12"/>
      <c r="P3240" s="34"/>
      <c r="Q3240" s="37"/>
      <c r="R3240" s="47"/>
      <c r="S3240" s="46"/>
    </row>
    <row r="3241" spans="1:19" ht="15.6" hidden="1" customHeight="1" thickBot="1" x14ac:dyDescent="0.3">
      <c r="A3241" t="s">
        <v>23</v>
      </c>
      <c r="B3241" s="60" t="str">
        <f t="shared" si="2323"/>
        <v>hide</v>
      </c>
      <c r="D3241" s="48" t="str">
        <f>D3240</f>
        <v>42985</v>
      </c>
      <c r="E3241" s="7"/>
      <c r="F3241" s="27">
        <v>0</v>
      </c>
      <c r="G3241" s="27">
        <v>0</v>
      </c>
      <c r="H3241" s="27">
        <v>0</v>
      </c>
      <c r="I3241" s="27">
        <v>0</v>
      </c>
      <c r="J3241" s="27">
        <v>0</v>
      </c>
      <c r="K3241" s="63">
        <f>AVERAGE(I3241:J3241)</f>
        <v>0</v>
      </c>
      <c r="L3241" s="56" t="str">
        <f>"SW-COMAS-PACKL"</f>
        <v>SW-COMAS-PACKL</v>
      </c>
      <c r="M3241" s="14"/>
      <c r="N3241" s="15"/>
      <c r="O3241" s="12"/>
      <c r="P3241" s="34"/>
      <c r="Q3241" s="37"/>
      <c r="R3241" s="47"/>
      <c r="S3241" s="46"/>
    </row>
    <row r="3242" spans="1:19" ht="15.6" hidden="1" customHeight="1" thickBot="1" x14ac:dyDescent="0.3">
      <c r="A3242" t="s">
        <v>23</v>
      </c>
      <c r="B3242" s="60" t="str">
        <f t="shared" si="2323"/>
        <v>hide</v>
      </c>
      <c r="D3242" s="48" t="str">
        <f>D3241</f>
        <v>42985</v>
      </c>
      <c r="E3242" s="7"/>
      <c r="F3242" s="27">
        <v>0</v>
      </c>
      <c r="G3242" s="27">
        <v>0</v>
      </c>
      <c r="H3242" s="27">
        <v>0</v>
      </c>
      <c r="I3242" s="27">
        <v>0</v>
      </c>
      <c r="J3242" s="27">
        <v>0</v>
      </c>
      <c r="K3242" s="63">
        <f>AVERAGE(I3242:J3242)</f>
        <v>0</v>
      </c>
      <c r="L3242" s="56" t="str">
        <f>"SW-RISER-PACK"</f>
        <v>SW-RISER-PACK</v>
      </c>
      <c r="M3242" s="14"/>
      <c r="N3242" s="15"/>
      <c r="O3242" s="12"/>
      <c r="P3242" s="34"/>
      <c r="Q3242" s="37"/>
      <c r="R3242" s="47"/>
      <c r="S3242" s="46"/>
    </row>
    <row r="3243" spans="1:19" ht="12" hidden="1" customHeight="1" x14ac:dyDescent="0.3">
      <c r="A3243" s="35" t="s">
        <v>908</v>
      </c>
      <c r="B3243" s="49" t="str">
        <f>B3239</f>
        <v>hide</v>
      </c>
      <c r="N3243"/>
      <c r="Q3243" s="33"/>
    </row>
    <row r="3244" spans="1:19" ht="13.8" hidden="1" thickBot="1" x14ac:dyDescent="0.3">
      <c r="A3244" t="s">
        <v>23</v>
      </c>
      <c r="B3244" s="49" t="str">
        <f t="shared" ref="B3244" si="2324">B3243</f>
        <v>hide</v>
      </c>
      <c r="D3244" s="58"/>
      <c r="E3244" s="58"/>
      <c r="F3244" s="52">
        <f>SUM(F3239:F3243)</f>
        <v>0</v>
      </c>
      <c r="G3244" s="52">
        <f>SUM(G3239:G3243)</f>
        <v>0</v>
      </c>
      <c r="H3244" s="52">
        <f>SUM(H3239:H3243)</f>
        <v>0</v>
      </c>
      <c r="I3244" s="52">
        <f>SUM(I3239:I3243)</f>
        <v>0</v>
      </c>
      <c r="J3244" s="52">
        <f>SUM(J3239:J3243)</f>
        <v>0</v>
      </c>
      <c r="K3244" s="52"/>
      <c r="L3244" s="51" t="s">
        <v>4</v>
      </c>
      <c r="M3244" s="58"/>
      <c r="N3244" s="58"/>
      <c r="O3244" s="58"/>
      <c r="P3244" s="58"/>
      <c r="Q3244" s="58"/>
      <c r="R3244" s="58"/>
      <c r="S3244" s="58"/>
    </row>
    <row r="3245" spans="1:19" s="59" customFormat="1" ht="18.75" hidden="1" customHeight="1" thickBot="1" x14ac:dyDescent="0.3">
      <c r="A3245" s="59" t="s">
        <v>23</v>
      </c>
      <c r="B3245" s="60" t="str">
        <f t="shared" ref="B3245:B3246" si="2325">IF(K3245=0,"hide","")</f>
        <v>hide</v>
      </c>
      <c r="D3245" s="61" t="str">
        <f>"43005"</f>
        <v>43005</v>
      </c>
      <c r="E3245" s="62" t="str">
        <f>"4"</f>
        <v>4</v>
      </c>
      <c r="F3245" s="63">
        <v>50</v>
      </c>
      <c r="G3245" s="63">
        <v>0</v>
      </c>
      <c r="H3245" s="63">
        <v>0</v>
      </c>
      <c r="I3245" s="63">
        <v>0</v>
      </c>
      <c r="J3245" s="63">
        <v>0</v>
      </c>
      <c r="K3245" s="63">
        <f>AVERAGE(I3245:J3245)</f>
        <v>0</v>
      </c>
      <c r="L3245" s="64" t="str">
        <f>"CORNBREAD LOAVES #534"</f>
        <v>CORNBREAD LOAVES #534</v>
      </c>
      <c r="M3245" s="65" t="str">
        <f>"48-2oz. 12-8oz. packs of 4"</f>
        <v>48-2oz. 12-8oz. packs of 4</v>
      </c>
      <c r="N3245" s="66">
        <v>48</v>
      </c>
      <c r="O3245" s="67" t="str">
        <f>""</f>
        <v/>
      </c>
      <c r="P3245" s="68" t="e">
        <f>1/O3245</f>
        <v>#VALUE!</v>
      </c>
      <c r="Q3245" s="53">
        <v>1</v>
      </c>
      <c r="R3245" s="69">
        <f t="shared" ref="R3245" si="2326">1/Q3245</f>
        <v>1</v>
      </c>
      <c r="S3245" s="70">
        <f t="shared" ref="S3245" si="2327">R3245*N3245</f>
        <v>48</v>
      </c>
    </row>
    <row r="3246" spans="1:19" ht="15.6" hidden="1" customHeight="1" thickBot="1" x14ac:dyDescent="0.3">
      <c r="A3246" t="s">
        <v>23</v>
      </c>
      <c r="B3246" s="60" t="str">
        <f t="shared" si="2325"/>
        <v>hide</v>
      </c>
      <c r="D3246" s="48" t="str">
        <f>D3245</f>
        <v>43005</v>
      </c>
      <c r="E3246" s="7"/>
      <c r="F3246" s="27">
        <v>0</v>
      </c>
      <c r="G3246" s="27">
        <v>0</v>
      </c>
      <c r="H3246" s="27">
        <v>0</v>
      </c>
      <c r="I3246" s="27">
        <v>0</v>
      </c>
      <c r="J3246" s="27">
        <v>0</v>
      </c>
      <c r="K3246" s="63">
        <f>AVERAGE(I3246:J3246)</f>
        <v>0</v>
      </c>
      <c r="L3246" s="56" t="str">
        <f>"EQP-LAWPACK1"</f>
        <v>EQP-LAWPACK1</v>
      </c>
      <c r="M3246" s="14"/>
      <c r="N3246" s="15"/>
      <c r="O3246" s="12"/>
      <c r="P3246" s="34"/>
      <c r="Q3246" s="37"/>
      <c r="R3246" s="47"/>
      <c r="S3246" s="46"/>
    </row>
    <row r="3247" spans="1:19" ht="15.6" hidden="1" customHeight="1" thickBot="1" x14ac:dyDescent="0.3">
      <c r="A3247" t="s">
        <v>23</v>
      </c>
      <c r="B3247" s="60" t="str">
        <f t="shared" ref="B3247:B3249" si="2328">IF(K3247=0,"hide","")</f>
        <v>hide</v>
      </c>
      <c r="D3247" s="48" t="str">
        <f>D3246</f>
        <v>43005</v>
      </c>
      <c r="E3247" s="7"/>
      <c r="F3247" s="27">
        <v>0</v>
      </c>
      <c r="G3247" s="27">
        <v>0</v>
      </c>
      <c r="H3247" s="27">
        <v>0</v>
      </c>
      <c r="I3247" s="27">
        <v>0</v>
      </c>
      <c r="J3247" s="27">
        <v>0</v>
      </c>
      <c r="K3247" s="63">
        <f>AVERAGE(I3247:J3247)</f>
        <v>0</v>
      </c>
      <c r="L3247" s="56" t="str">
        <f>"EQP-LAWPACK2"</f>
        <v>EQP-LAWPACK2</v>
      </c>
      <c r="M3247" s="14"/>
      <c r="N3247" s="15"/>
      <c r="O3247" s="12"/>
      <c r="P3247" s="34"/>
      <c r="Q3247" s="37"/>
      <c r="R3247" s="47"/>
      <c r="S3247" s="46"/>
    </row>
    <row r="3248" spans="1:19" ht="15.6" hidden="1" customHeight="1" thickBot="1" x14ac:dyDescent="0.3">
      <c r="A3248" t="s">
        <v>23</v>
      </c>
      <c r="B3248" s="60" t="str">
        <f t="shared" si="2328"/>
        <v>hide</v>
      </c>
      <c r="D3248" s="48" t="str">
        <f>D3247</f>
        <v>43005</v>
      </c>
      <c r="E3248" s="7"/>
      <c r="F3248" s="27">
        <v>0</v>
      </c>
      <c r="G3248" s="27">
        <v>0</v>
      </c>
      <c r="H3248" s="27">
        <v>0</v>
      </c>
      <c r="I3248" s="27">
        <v>0</v>
      </c>
      <c r="J3248" s="27">
        <v>0</v>
      </c>
      <c r="K3248" s="63">
        <f>AVERAGE(I3248:J3248)</f>
        <v>0</v>
      </c>
      <c r="L3248" s="56" t="str">
        <f>"SW-COMAS-PACKL"</f>
        <v>SW-COMAS-PACKL</v>
      </c>
      <c r="M3248" s="14"/>
      <c r="N3248" s="15"/>
      <c r="O3248" s="12"/>
      <c r="P3248" s="34"/>
      <c r="Q3248" s="37"/>
      <c r="R3248" s="47"/>
      <c r="S3248" s="46"/>
    </row>
    <row r="3249" spans="1:19" ht="15.6" hidden="1" customHeight="1" thickBot="1" x14ac:dyDescent="0.3">
      <c r="A3249" t="s">
        <v>23</v>
      </c>
      <c r="B3249" s="60" t="str">
        <f t="shared" si="2328"/>
        <v>hide</v>
      </c>
      <c r="D3249" s="48" t="str">
        <f>D3248</f>
        <v>43005</v>
      </c>
      <c r="E3249" s="7"/>
      <c r="F3249" s="27">
        <v>0</v>
      </c>
      <c r="G3249" s="27">
        <v>0</v>
      </c>
      <c r="H3249" s="27">
        <v>0</v>
      </c>
      <c r="I3249" s="27">
        <v>0</v>
      </c>
      <c r="J3249" s="27">
        <v>0</v>
      </c>
      <c r="K3249" s="63">
        <f>AVERAGE(I3249:J3249)</f>
        <v>0</v>
      </c>
      <c r="L3249" s="56" t="str">
        <f>"SW-RISER-PACK"</f>
        <v>SW-RISER-PACK</v>
      </c>
      <c r="M3249" s="14"/>
      <c r="N3249" s="15"/>
      <c r="O3249" s="12"/>
      <c r="P3249" s="34"/>
      <c r="Q3249" s="37"/>
      <c r="R3249" s="47"/>
      <c r="S3249" s="46"/>
    </row>
    <row r="3250" spans="1:19" ht="12" hidden="1" customHeight="1" x14ac:dyDescent="0.3">
      <c r="A3250" s="35" t="s">
        <v>908</v>
      </c>
      <c r="B3250" s="49" t="str">
        <f>B3246</f>
        <v>hide</v>
      </c>
      <c r="N3250"/>
      <c r="Q3250" s="33"/>
    </row>
    <row r="3251" spans="1:19" ht="13.8" hidden="1" thickBot="1" x14ac:dyDescent="0.3">
      <c r="A3251" t="s">
        <v>23</v>
      </c>
      <c r="B3251" s="49" t="str">
        <f t="shared" ref="B3251" si="2329">B3250</f>
        <v>hide</v>
      </c>
      <c r="D3251" s="58"/>
      <c r="E3251" s="58"/>
      <c r="F3251" s="52">
        <f>SUM(F3246:F3250)</f>
        <v>0</v>
      </c>
      <c r="G3251" s="52">
        <f>SUM(G3246:G3250)</f>
        <v>0</v>
      </c>
      <c r="H3251" s="52">
        <f>SUM(H3246:H3250)</f>
        <v>0</v>
      </c>
      <c r="I3251" s="52">
        <f>SUM(I3246:I3250)</f>
        <v>0</v>
      </c>
      <c r="J3251" s="52">
        <f>SUM(J3246:J3250)</f>
        <v>0</v>
      </c>
      <c r="K3251" s="52"/>
      <c r="L3251" s="51" t="s">
        <v>4</v>
      </c>
      <c r="M3251" s="58"/>
      <c r="N3251" s="58"/>
      <c r="O3251" s="58"/>
      <c r="P3251" s="58"/>
      <c r="Q3251" s="58"/>
      <c r="R3251" s="58"/>
      <c r="S3251" s="58"/>
    </row>
    <row r="3252" spans="1:19" s="59" customFormat="1" ht="18.75" customHeight="1" thickBot="1" x14ac:dyDescent="0.3">
      <c r="A3252" s="59" t="s">
        <v>23</v>
      </c>
      <c r="B3252" s="60" t="str">
        <f t="shared" ref="B3252:B3253" si="2330">IF(K3252=0,"hide","")</f>
        <v/>
      </c>
      <c r="D3252" s="61" t="str">
        <f>"43160"</f>
        <v>43160</v>
      </c>
      <c r="E3252" s="62" t="str">
        <f>"1"</f>
        <v>1</v>
      </c>
      <c r="F3252" s="63">
        <v>916.66666666666663</v>
      </c>
      <c r="G3252" s="63">
        <v>787.83333333333337</v>
      </c>
      <c r="H3252" s="63">
        <v>817.91666666666663</v>
      </c>
      <c r="I3252" s="63">
        <v>1488.5833333333333</v>
      </c>
      <c r="J3252" s="63">
        <v>666.17518072289158</v>
      </c>
      <c r="K3252" s="63">
        <f>AVERAGE(I3252:J3252)</f>
        <v>1077.3792570281125</v>
      </c>
      <c r="L3252" s="64" t="str">
        <f>"WG BANANA ELFIN LOAVES"</f>
        <v>WG BANANA ELFIN LOAVES</v>
      </c>
      <c r="M3252" s="65" t="str">
        <f>"72/2 oz. I.W. #431609"</f>
        <v>72/2 oz. I.W. #431609</v>
      </c>
      <c r="N3252" s="66">
        <v>72</v>
      </c>
      <c r="O3252" s="67">
        <v>1E-3</v>
      </c>
      <c r="P3252" s="68">
        <f>1/O3252</f>
        <v>1000</v>
      </c>
      <c r="Q3252" s="53">
        <v>2.2699999999999999E-3</v>
      </c>
      <c r="R3252" s="69">
        <f t="shared" ref="R3252" si="2331">1/Q3252</f>
        <v>440.52863436123351</v>
      </c>
      <c r="S3252" s="70">
        <f t="shared" ref="S3252" si="2332">R3252*N3252</f>
        <v>31718.061674008812</v>
      </c>
    </row>
    <row r="3253" spans="1:19" ht="15.6" hidden="1" customHeight="1" thickBot="1" x14ac:dyDescent="0.3">
      <c r="A3253" t="s">
        <v>23</v>
      </c>
      <c r="B3253" s="60" t="str">
        <f t="shared" si="2330"/>
        <v>hide</v>
      </c>
      <c r="D3253" s="48" t="str">
        <f>D3252</f>
        <v>43160</v>
      </c>
      <c r="E3253" s="7"/>
      <c r="F3253" s="27">
        <v>0</v>
      </c>
      <c r="G3253" s="27">
        <v>0</v>
      </c>
      <c r="H3253" s="27">
        <v>0</v>
      </c>
      <c r="I3253" s="27">
        <v>0</v>
      </c>
      <c r="J3253" s="27">
        <v>0</v>
      </c>
      <c r="K3253" s="63">
        <f>AVERAGE(I3253:J3253)</f>
        <v>0</v>
      </c>
      <c r="L3253" s="56" t="str">
        <f>"EQP-LAWPACK1"</f>
        <v>EQP-LAWPACK1</v>
      </c>
      <c r="M3253" s="14"/>
      <c r="N3253" s="15"/>
      <c r="O3253" s="12"/>
      <c r="P3253" s="34"/>
      <c r="Q3253" s="37"/>
      <c r="R3253" s="47"/>
      <c r="S3253" s="46"/>
    </row>
    <row r="3254" spans="1:19" ht="15.6" hidden="1" customHeight="1" thickBot="1" x14ac:dyDescent="0.3">
      <c r="A3254" t="s">
        <v>23</v>
      </c>
      <c r="B3254" s="60" t="str">
        <f t="shared" ref="B3254:B3256" si="2333">IF(K3254=0,"hide","")</f>
        <v>hide</v>
      </c>
      <c r="D3254" s="48" t="str">
        <f>D3253</f>
        <v>43160</v>
      </c>
      <c r="E3254" s="7"/>
      <c r="F3254" s="27">
        <v>0</v>
      </c>
      <c r="G3254" s="27">
        <v>0</v>
      </c>
      <c r="H3254" s="27">
        <v>0</v>
      </c>
      <c r="I3254" s="27">
        <v>0</v>
      </c>
      <c r="J3254" s="27">
        <v>0</v>
      </c>
      <c r="K3254" s="63">
        <f>AVERAGE(I3254:J3254)</f>
        <v>0</v>
      </c>
      <c r="L3254" s="56" t="str">
        <f>"EQP-LAWPACK2"</f>
        <v>EQP-LAWPACK2</v>
      </c>
      <c r="M3254" s="14"/>
      <c r="N3254" s="15"/>
      <c r="O3254" s="12"/>
      <c r="P3254" s="34"/>
      <c r="Q3254" s="37"/>
      <c r="R3254" s="47"/>
      <c r="S3254" s="46"/>
    </row>
    <row r="3255" spans="1:19" ht="15.6" hidden="1" customHeight="1" thickBot="1" x14ac:dyDescent="0.3">
      <c r="A3255" t="s">
        <v>23</v>
      </c>
      <c r="B3255" s="60" t="str">
        <f t="shared" si="2333"/>
        <v>hide</v>
      </c>
      <c r="D3255" s="48" t="str">
        <f>D3254</f>
        <v>43160</v>
      </c>
      <c r="E3255" s="7"/>
      <c r="F3255" s="27">
        <v>0</v>
      </c>
      <c r="G3255" s="27">
        <v>0</v>
      </c>
      <c r="H3255" s="27">
        <v>0</v>
      </c>
      <c r="I3255" s="27">
        <v>0</v>
      </c>
      <c r="J3255" s="27">
        <v>0</v>
      </c>
      <c r="K3255" s="63">
        <f>AVERAGE(I3255:J3255)</f>
        <v>0</v>
      </c>
      <c r="L3255" s="56" t="str">
        <f>"SW-COMAS-PACKL"</f>
        <v>SW-COMAS-PACKL</v>
      </c>
      <c r="M3255" s="14"/>
      <c r="N3255" s="15"/>
      <c r="O3255" s="12"/>
      <c r="P3255" s="34"/>
      <c r="Q3255" s="37"/>
      <c r="R3255" s="47"/>
      <c r="S3255" s="46"/>
    </row>
    <row r="3256" spans="1:19" ht="15.6" hidden="1" customHeight="1" thickBot="1" x14ac:dyDescent="0.3">
      <c r="A3256" t="s">
        <v>23</v>
      </c>
      <c r="B3256" s="60" t="str">
        <f t="shared" si="2333"/>
        <v>hide</v>
      </c>
      <c r="D3256" s="48" t="str">
        <f>D3255</f>
        <v>43160</v>
      </c>
      <c r="E3256" s="7"/>
      <c r="F3256" s="27">
        <v>0</v>
      </c>
      <c r="G3256" s="27">
        <v>0</v>
      </c>
      <c r="H3256" s="27">
        <v>0</v>
      </c>
      <c r="I3256" s="27">
        <v>0</v>
      </c>
      <c r="J3256" s="27">
        <v>0</v>
      </c>
      <c r="K3256" s="63">
        <f>AVERAGE(I3256:J3256)</f>
        <v>0</v>
      </c>
      <c r="L3256" s="56" t="str">
        <f>"SW-RISER-PACK"</f>
        <v>SW-RISER-PACK</v>
      </c>
      <c r="M3256" s="14"/>
      <c r="N3256" s="15"/>
      <c r="O3256" s="12"/>
      <c r="P3256" s="34"/>
      <c r="Q3256" s="37"/>
      <c r="R3256" s="47"/>
      <c r="S3256" s="46"/>
    </row>
    <row r="3257" spans="1:19" ht="12" hidden="1" customHeight="1" x14ac:dyDescent="0.3">
      <c r="A3257" s="35" t="s">
        <v>908</v>
      </c>
      <c r="B3257" s="49" t="str">
        <f>B3253</f>
        <v>hide</v>
      </c>
      <c r="N3257"/>
      <c r="Q3257" s="33"/>
    </row>
    <row r="3258" spans="1:19" ht="13.8" hidden="1" thickBot="1" x14ac:dyDescent="0.3">
      <c r="A3258" t="s">
        <v>23</v>
      </c>
      <c r="B3258" s="49" t="str">
        <f t="shared" ref="B3258" si="2334">B3257</f>
        <v>hide</v>
      </c>
      <c r="D3258" s="58"/>
      <c r="E3258" s="58"/>
      <c r="F3258" s="52">
        <f>SUM(F3253:F3257)</f>
        <v>0</v>
      </c>
      <c r="G3258" s="52">
        <f>SUM(G3253:G3257)</f>
        <v>0</v>
      </c>
      <c r="H3258" s="52">
        <f>SUM(H3253:H3257)</f>
        <v>0</v>
      </c>
      <c r="I3258" s="52">
        <f>SUM(I3253:I3257)</f>
        <v>0</v>
      </c>
      <c r="J3258" s="52">
        <f>SUM(J3253:J3257)</f>
        <v>0</v>
      </c>
      <c r="K3258" s="52"/>
      <c r="L3258" s="51" t="s">
        <v>4</v>
      </c>
      <c r="M3258" s="58"/>
      <c r="N3258" s="58"/>
      <c r="O3258" s="58"/>
      <c r="P3258" s="58"/>
      <c r="Q3258" s="58"/>
      <c r="R3258" s="58"/>
      <c r="S3258" s="58"/>
    </row>
    <row r="3259" spans="1:19" s="59" customFormat="1" ht="18.75" customHeight="1" thickBot="1" x14ac:dyDescent="0.3">
      <c r="A3259" s="59" t="s">
        <v>23</v>
      </c>
      <c r="B3259" s="60" t="str">
        <f t="shared" ref="B3259:B3260" si="2335">IF(K3259=0,"hide","")</f>
        <v/>
      </c>
      <c r="D3259" s="61" t="str">
        <f>"43163"</f>
        <v>43163</v>
      </c>
      <c r="E3259" s="62" t="str">
        <f>"1"</f>
        <v>1</v>
      </c>
      <c r="F3259" s="63">
        <v>504.16666666666669</v>
      </c>
      <c r="G3259" s="63">
        <v>596.75</v>
      </c>
      <c r="H3259" s="63">
        <v>453.33333333333331</v>
      </c>
      <c r="I3259" s="63">
        <v>1257</v>
      </c>
      <c r="J3259" s="63">
        <v>285.04578313253012</v>
      </c>
      <c r="K3259" s="63">
        <f>AVERAGE(I3259:J3259)</f>
        <v>771.02289156626512</v>
      </c>
      <c r="L3259" s="64" t="str">
        <f>"WG BLUEBERRY ELFIN LOAVES"</f>
        <v>WG BLUEBERRY ELFIN LOAVES</v>
      </c>
      <c r="M3259" s="65" t="str">
        <f>"72/2 oz. I.W. #431633"</f>
        <v>72/2 oz. I.W. #431633</v>
      </c>
      <c r="N3259" s="66">
        <v>72</v>
      </c>
      <c r="O3259" s="67">
        <v>1E-3</v>
      </c>
      <c r="P3259" s="68">
        <f>1/O3259</f>
        <v>1000</v>
      </c>
      <c r="Q3259" s="53">
        <v>2.2699999999999999E-3</v>
      </c>
      <c r="R3259" s="69">
        <f t="shared" ref="R3259" si="2336">1/Q3259</f>
        <v>440.52863436123351</v>
      </c>
      <c r="S3259" s="70">
        <f t="shared" ref="S3259" si="2337">R3259*N3259</f>
        <v>31718.061674008812</v>
      </c>
    </row>
    <row r="3260" spans="1:19" ht="15.6" hidden="1" customHeight="1" thickBot="1" x14ac:dyDescent="0.3">
      <c r="A3260" t="s">
        <v>23</v>
      </c>
      <c r="B3260" s="60" t="str">
        <f t="shared" si="2335"/>
        <v>hide</v>
      </c>
      <c r="D3260" s="48" t="str">
        <f>D3259</f>
        <v>43163</v>
      </c>
      <c r="E3260" s="7"/>
      <c r="F3260" s="27">
        <v>0</v>
      </c>
      <c r="G3260" s="27">
        <v>0</v>
      </c>
      <c r="H3260" s="27">
        <v>0</v>
      </c>
      <c r="I3260" s="27">
        <v>0</v>
      </c>
      <c r="J3260" s="27">
        <v>0</v>
      </c>
      <c r="K3260" s="63">
        <f>AVERAGE(I3260:J3260)</f>
        <v>0</v>
      </c>
      <c r="L3260" s="56" t="str">
        <f>"EQP-LAWPACK1"</f>
        <v>EQP-LAWPACK1</v>
      </c>
      <c r="M3260" s="14"/>
      <c r="N3260" s="15"/>
      <c r="O3260" s="12"/>
      <c r="P3260" s="34"/>
      <c r="Q3260" s="37"/>
      <c r="R3260" s="47"/>
      <c r="S3260" s="46"/>
    </row>
    <row r="3261" spans="1:19" ht="15.6" hidden="1" customHeight="1" thickBot="1" x14ac:dyDescent="0.3">
      <c r="A3261" t="s">
        <v>23</v>
      </c>
      <c r="B3261" s="60" t="str">
        <f t="shared" ref="B3261:B3263" si="2338">IF(K3261=0,"hide","")</f>
        <v>hide</v>
      </c>
      <c r="D3261" s="48" t="str">
        <f>D3260</f>
        <v>43163</v>
      </c>
      <c r="E3261" s="7"/>
      <c r="F3261" s="27">
        <v>0</v>
      </c>
      <c r="G3261" s="27">
        <v>0</v>
      </c>
      <c r="H3261" s="27">
        <v>0</v>
      </c>
      <c r="I3261" s="27">
        <v>0</v>
      </c>
      <c r="J3261" s="27">
        <v>0</v>
      </c>
      <c r="K3261" s="63">
        <f>AVERAGE(I3261:J3261)</f>
        <v>0</v>
      </c>
      <c r="L3261" s="56" t="str">
        <f>"EQP-LAWPACK2"</f>
        <v>EQP-LAWPACK2</v>
      </c>
      <c r="M3261" s="14"/>
      <c r="N3261" s="15"/>
      <c r="O3261" s="12"/>
      <c r="P3261" s="34"/>
      <c r="Q3261" s="37"/>
      <c r="R3261" s="47"/>
      <c r="S3261" s="46"/>
    </row>
    <row r="3262" spans="1:19" ht="15.6" hidden="1" customHeight="1" thickBot="1" x14ac:dyDescent="0.3">
      <c r="A3262" t="s">
        <v>23</v>
      </c>
      <c r="B3262" s="60" t="str">
        <f t="shared" si="2338"/>
        <v>hide</v>
      </c>
      <c r="D3262" s="48" t="str">
        <f>D3261</f>
        <v>43163</v>
      </c>
      <c r="E3262" s="7"/>
      <c r="F3262" s="27">
        <v>0</v>
      </c>
      <c r="G3262" s="27">
        <v>0</v>
      </c>
      <c r="H3262" s="27">
        <v>0</v>
      </c>
      <c r="I3262" s="27">
        <v>0</v>
      </c>
      <c r="J3262" s="27">
        <v>0</v>
      </c>
      <c r="K3262" s="63">
        <f>AVERAGE(I3262:J3262)</f>
        <v>0</v>
      </c>
      <c r="L3262" s="56" t="str">
        <f>"SW-COMAS-PACKL"</f>
        <v>SW-COMAS-PACKL</v>
      </c>
      <c r="M3262" s="14"/>
      <c r="N3262" s="15"/>
      <c r="O3262" s="12"/>
      <c r="P3262" s="34"/>
      <c r="Q3262" s="37"/>
      <c r="R3262" s="47"/>
      <c r="S3262" s="46"/>
    </row>
    <row r="3263" spans="1:19" ht="15.6" hidden="1" customHeight="1" thickBot="1" x14ac:dyDescent="0.3">
      <c r="A3263" t="s">
        <v>23</v>
      </c>
      <c r="B3263" s="60" t="str">
        <f t="shared" si="2338"/>
        <v>hide</v>
      </c>
      <c r="D3263" s="48" t="str">
        <f>D3262</f>
        <v>43163</v>
      </c>
      <c r="E3263" s="7"/>
      <c r="F3263" s="27">
        <v>0</v>
      </c>
      <c r="G3263" s="27">
        <v>0</v>
      </c>
      <c r="H3263" s="27">
        <v>0</v>
      </c>
      <c r="I3263" s="27">
        <v>0</v>
      </c>
      <c r="J3263" s="27">
        <v>0</v>
      </c>
      <c r="K3263" s="63">
        <f>AVERAGE(I3263:J3263)</f>
        <v>0</v>
      </c>
      <c r="L3263" s="56" t="str">
        <f>"SW-RISER-PACK"</f>
        <v>SW-RISER-PACK</v>
      </c>
      <c r="M3263" s="14"/>
      <c r="N3263" s="15"/>
      <c r="O3263" s="12"/>
      <c r="P3263" s="34"/>
      <c r="Q3263" s="37"/>
      <c r="R3263" s="47"/>
      <c r="S3263" s="46"/>
    </row>
    <row r="3264" spans="1:19" ht="12" hidden="1" customHeight="1" x14ac:dyDescent="0.3">
      <c r="A3264" s="35" t="s">
        <v>908</v>
      </c>
      <c r="B3264" s="49" t="str">
        <f>B3260</f>
        <v>hide</v>
      </c>
      <c r="N3264"/>
      <c r="Q3264" s="33"/>
    </row>
    <row r="3265" spans="1:19" ht="13.8" hidden="1" thickBot="1" x14ac:dyDescent="0.3">
      <c r="A3265" t="s">
        <v>23</v>
      </c>
      <c r="B3265" s="49" t="str">
        <f t="shared" ref="B3265" si="2339">B3264</f>
        <v>hide</v>
      </c>
      <c r="D3265" s="58"/>
      <c r="E3265" s="58"/>
      <c r="F3265" s="52">
        <f>SUM(F3260:F3264)</f>
        <v>0</v>
      </c>
      <c r="G3265" s="52">
        <f>SUM(G3260:G3264)</f>
        <v>0</v>
      </c>
      <c r="H3265" s="52">
        <f>SUM(H3260:H3264)</f>
        <v>0</v>
      </c>
      <c r="I3265" s="52">
        <f>SUM(I3260:I3264)</f>
        <v>0</v>
      </c>
      <c r="J3265" s="52">
        <f>SUM(J3260:J3264)</f>
        <v>0</v>
      </c>
      <c r="K3265" s="52"/>
      <c r="L3265" s="51" t="s">
        <v>4</v>
      </c>
      <c r="M3265" s="58"/>
      <c r="N3265" s="58"/>
      <c r="O3265" s="58"/>
      <c r="P3265" s="58"/>
      <c r="Q3265" s="58"/>
      <c r="R3265" s="58"/>
      <c r="S3265" s="58"/>
    </row>
    <row r="3266" spans="1:19" s="59" customFormat="1" ht="18.75" customHeight="1" thickBot="1" x14ac:dyDescent="0.3">
      <c r="A3266" s="59" t="s">
        <v>23</v>
      </c>
      <c r="B3266" s="60" t="str">
        <f t="shared" ref="B3266:B3267" si="2340">IF(K3266=0,"hide","")</f>
        <v/>
      </c>
      <c r="D3266" s="61" t="str">
        <f>"43205"</f>
        <v>43205</v>
      </c>
      <c r="E3266" s="62" t="str">
        <f>"5"</f>
        <v>5</v>
      </c>
      <c r="F3266" s="63">
        <v>1416.4166666666667</v>
      </c>
      <c r="G3266" s="63">
        <v>1575</v>
      </c>
      <c r="H3266" s="63">
        <v>1750</v>
      </c>
      <c r="I3266" s="63">
        <v>1833.3333333333333</v>
      </c>
      <c r="J3266" s="63">
        <v>1227.4698795180723</v>
      </c>
      <c r="K3266" s="63">
        <f>AVERAGE(I3266:J3266)</f>
        <v>1530.4016064257028</v>
      </c>
      <c r="L3266" s="64" t="str">
        <f>"CORNBREAD LOAVES #00539"</f>
        <v>CORNBREAD LOAVES #00539</v>
      </c>
      <c r="M3266" s="65" t="str">
        <f>"48-2oz. 12-8oz. packs of 4"</f>
        <v>48-2oz. 12-8oz. packs of 4</v>
      </c>
      <c r="N3266" s="66">
        <v>48</v>
      </c>
      <c r="O3266" s="67" t="str">
        <f>""</f>
        <v/>
      </c>
      <c r="P3266" s="68" t="e">
        <f>1/O3266</f>
        <v>#VALUE!</v>
      </c>
      <c r="Q3266" s="53">
        <v>1</v>
      </c>
      <c r="R3266" s="69">
        <f t="shared" ref="R3266" si="2341">1/Q3266</f>
        <v>1</v>
      </c>
      <c r="S3266" s="70">
        <f t="shared" ref="S3266" si="2342">R3266*N3266</f>
        <v>48</v>
      </c>
    </row>
    <row r="3267" spans="1:19" ht="15.6" hidden="1" customHeight="1" thickBot="1" x14ac:dyDescent="0.3">
      <c r="A3267" t="s">
        <v>23</v>
      </c>
      <c r="B3267" s="60" t="str">
        <f t="shared" si="2340"/>
        <v>hide</v>
      </c>
      <c r="D3267" s="48" t="str">
        <f>D3266</f>
        <v>43205</v>
      </c>
      <c r="E3267" s="7"/>
      <c r="F3267" s="27">
        <v>0</v>
      </c>
      <c r="G3267" s="27">
        <v>0</v>
      </c>
      <c r="H3267" s="27">
        <v>0</v>
      </c>
      <c r="I3267" s="27">
        <v>0</v>
      </c>
      <c r="J3267" s="27">
        <v>0</v>
      </c>
      <c r="K3267" s="63">
        <f>AVERAGE(I3267:J3267)</f>
        <v>0</v>
      </c>
      <c r="L3267" s="56" t="str">
        <f>"EQP-LAWPACK1"</f>
        <v>EQP-LAWPACK1</v>
      </c>
      <c r="M3267" s="14"/>
      <c r="N3267" s="15"/>
      <c r="O3267" s="12"/>
      <c r="P3267" s="34"/>
      <c r="Q3267" s="37"/>
      <c r="R3267" s="47"/>
      <c r="S3267" s="46"/>
    </row>
    <row r="3268" spans="1:19" ht="15.6" hidden="1" customHeight="1" thickBot="1" x14ac:dyDescent="0.3">
      <c r="A3268" t="s">
        <v>23</v>
      </c>
      <c r="B3268" s="60" t="str">
        <f t="shared" ref="B3268:B3270" si="2343">IF(K3268=0,"hide","")</f>
        <v>hide</v>
      </c>
      <c r="D3268" s="48" t="str">
        <f>D3267</f>
        <v>43205</v>
      </c>
      <c r="E3268" s="7"/>
      <c r="F3268" s="27">
        <v>0</v>
      </c>
      <c r="G3268" s="27">
        <v>0</v>
      </c>
      <c r="H3268" s="27">
        <v>0</v>
      </c>
      <c r="I3268" s="27">
        <v>0</v>
      </c>
      <c r="J3268" s="27">
        <v>0</v>
      </c>
      <c r="K3268" s="63">
        <f>AVERAGE(I3268:J3268)</f>
        <v>0</v>
      </c>
      <c r="L3268" s="56" t="str">
        <f>"EQP-LAWPACK2"</f>
        <v>EQP-LAWPACK2</v>
      </c>
      <c r="M3268" s="14"/>
      <c r="N3268" s="15"/>
      <c r="O3268" s="12"/>
      <c r="P3268" s="34"/>
      <c r="Q3268" s="37"/>
      <c r="R3268" s="47"/>
      <c r="S3268" s="46"/>
    </row>
    <row r="3269" spans="1:19" ht="15.6" hidden="1" customHeight="1" thickBot="1" x14ac:dyDescent="0.3">
      <c r="A3269" t="s">
        <v>23</v>
      </c>
      <c r="B3269" s="60" t="str">
        <f t="shared" si="2343"/>
        <v>hide</v>
      </c>
      <c r="D3269" s="48" t="str">
        <f>D3268</f>
        <v>43205</v>
      </c>
      <c r="E3269" s="7"/>
      <c r="F3269" s="27">
        <v>0</v>
      </c>
      <c r="G3269" s="27">
        <v>0</v>
      </c>
      <c r="H3269" s="27">
        <v>0</v>
      </c>
      <c r="I3269" s="27">
        <v>0</v>
      </c>
      <c r="J3269" s="27">
        <v>0</v>
      </c>
      <c r="K3269" s="63">
        <f>AVERAGE(I3269:J3269)</f>
        <v>0</v>
      </c>
      <c r="L3269" s="56" t="str">
        <f>"SW-COMAS-PACKL"</f>
        <v>SW-COMAS-PACKL</v>
      </c>
      <c r="M3269" s="14"/>
      <c r="N3269" s="15"/>
      <c r="O3269" s="12"/>
      <c r="P3269" s="34"/>
      <c r="Q3269" s="37"/>
      <c r="R3269" s="47"/>
      <c r="S3269" s="46"/>
    </row>
    <row r="3270" spans="1:19" ht="15.6" hidden="1" customHeight="1" thickBot="1" x14ac:dyDescent="0.3">
      <c r="A3270" t="s">
        <v>23</v>
      </c>
      <c r="B3270" s="60" t="str">
        <f t="shared" si="2343"/>
        <v>hide</v>
      </c>
      <c r="D3270" s="48" t="str">
        <f>D3269</f>
        <v>43205</v>
      </c>
      <c r="E3270" s="7"/>
      <c r="F3270" s="27">
        <v>0</v>
      </c>
      <c r="G3270" s="27">
        <v>0</v>
      </c>
      <c r="H3270" s="27">
        <v>0</v>
      </c>
      <c r="I3270" s="27">
        <v>0</v>
      </c>
      <c r="J3270" s="27">
        <v>0</v>
      </c>
      <c r="K3270" s="63">
        <f>AVERAGE(I3270:J3270)</f>
        <v>0</v>
      </c>
      <c r="L3270" s="56" t="str">
        <f>"SW-RISER-PACK"</f>
        <v>SW-RISER-PACK</v>
      </c>
      <c r="M3270" s="14"/>
      <c r="N3270" s="15"/>
      <c r="O3270" s="12"/>
      <c r="P3270" s="34"/>
      <c r="Q3270" s="37"/>
      <c r="R3270" s="47"/>
      <c r="S3270" s="46"/>
    </row>
    <row r="3271" spans="1:19" ht="12" hidden="1" customHeight="1" x14ac:dyDescent="0.3">
      <c r="A3271" s="35" t="s">
        <v>908</v>
      </c>
      <c r="B3271" s="49" t="str">
        <f>B3267</f>
        <v>hide</v>
      </c>
      <c r="N3271"/>
      <c r="Q3271" s="33"/>
    </row>
    <row r="3272" spans="1:19" ht="13.8" hidden="1" thickBot="1" x14ac:dyDescent="0.3">
      <c r="A3272" t="s">
        <v>23</v>
      </c>
      <c r="B3272" s="49" t="str">
        <f t="shared" ref="B3272" si="2344">B3271</f>
        <v>hide</v>
      </c>
      <c r="D3272" s="58"/>
      <c r="E3272" s="58"/>
      <c r="F3272" s="52">
        <f>SUM(F3267:F3271)</f>
        <v>0</v>
      </c>
      <c r="G3272" s="52">
        <f>SUM(G3267:G3271)</f>
        <v>0</v>
      </c>
      <c r="H3272" s="52">
        <f>SUM(H3267:H3271)</f>
        <v>0</v>
      </c>
      <c r="I3272" s="52">
        <f>SUM(I3267:I3271)</f>
        <v>0</v>
      </c>
      <c r="J3272" s="52">
        <f>SUM(J3267:J3271)</f>
        <v>0</v>
      </c>
      <c r="K3272" s="52"/>
      <c r="L3272" s="51" t="s">
        <v>4</v>
      </c>
      <c r="M3272" s="58"/>
      <c r="N3272" s="58"/>
      <c r="O3272" s="58"/>
      <c r="P3272" s="58"/>
      <c r="Q3272" s="58"/>
      <c r="R3272" s="58"/>
      <c r="S3272" s="58"/>
    </row>
    <row r="3273" spans="1:19" s="59" customFormat="1" ht="18.75" hidden="1" customHeight="1" thickBot="1" x14ac:dyDescent="0.3">
      <c r="A3273" s="59" t="s">
        <v>23</v>
      </c>
      <c r="B3273" s="60" t="str">
        <f t="shared" ref="B3273:B3274" si="2345">IF(K3273=0,"hide","")</f>
        <v>hide</v>
      </c>
      <c r="D3273" s="61" t="str">
        <f>"43403"</f>
        <v>43403</v>
      </c>
      <c r="E3273" s="62" t="str">
        <f>"4"</f>
        <v>4</v>
      </c>
      <c r="F3273" s="63">
        <v>0</v>
      </c>
      <c r="G3273" s="63">
        <v>0</v>
      </c>
      <c r="H3273" s="63">
        <v>0</v>
      </c>
      <c r="I3273" s="63">
        <v>0</v>
      </c>
      <c r="J3273" s="63">
        <v>0</v>
      </c>
      <c r="K3273" s="63">
        <f>AVERAGE(I3273:J3273)</f>
        <v>0</v>
      </c>
      <c r="L3273" s="64" t="str">
        <f>"BFG Cran. Org. Mini Loaf w/sug"</f>
        <v>BFG Cran. Org. Mini Loaf w/sug</v>
      </c>
      <c r="M3273" s="65" t="str">
        <f>"48-2oz. 8oz. packs of 4 #533"</f>
        <v>48-2oz. 8oz. packs of 4 #533</v>
      </c>
      <c r="N3273" s="66">
        <v>48</v>
      </c>
      <c r="O3273" s="67" t="str">
        <f>""</f>
        <v/>
      </c>
      <c r="P3273" s="68" t="e">
        <f>1/O3273</f>
        <v>#VALUE!</v>
      </c>
      <c r="Q3273" s="53">
        <v>1</v>
      </c>
      <c r="R3273" s="69">
        <f t="shared" ref="R3273" si="2346">1/Q3273</f>
        <v>1</v>
      </c>
      <c r="S3273" s="70">
        <f t="shared" ref="S3273" si="2347">R3273*N3273</f>
        <v>48</v>
      </c>
    </row>
    <row r="3274" spans="1:19" ht="15.6" hidden="1" customHeight="1" thickBot="1" x14ac:dyDescent="0.3">
      <c r="A3274" t="s">
        <v>23</v>
      </c>
      <c r="B3274" s="60" t="str">
        <f t="shared" si="2345"/>
        <v>hide</v>
      </c>
      <c r="D3274" s="48" t="str">
        <f>D3273</f>
        <v>43403</v>
      </c>
      <c r="E3274" s="7"/>
      <c r="F3274" s="27">
        <v>0</v>
      </c>
      <c r="G3274" s="27">
        <v>0</v>
      </c>
      <c r="H3274" s="27">
        <v>0</v>
      </c>
      <c r="I3274" s="27">
        <v>0</v>
      </c>
      <c r="J3274" s="27">
        <v>0</v>
      </c>
      <c r="K3274" s="63">
        <f>AVERAGE(I3274:J3274)</f>
        <v>0</v>
      </c>
      <c r="L3274" s="56" t="str">
        <f>"EQP-LAWPACK1"</f>
        <v>EQP-LAWPACK1</v>
      </c>
      <c r="M3274" s="14"/>
      <c r="N3274" s="15"/>
      <c r="O3274" s="12"/>
      <c r="P3274" s="34"/>
      <c r="Q3274" s="37"/>
      <c r="R3274" s="47"/>
      <c r="S3274" s="46"/>
    </row>
    <row r="3275" spans="1:19" ht="15.6" hidden="1" customHeight="1" thickBot="1" x14ac:dyDescent="0.3">
      <c r="A3275" t="s">
        <v>23</v>
      </c>
      <c r="B3275" s="60" t="str">
        <f t="shared" ref="B3275:B3277" si="2348">IF(K3275=0,"hide","")</f>
        <v>hide</v>
      </c>
      <c r="D3275" s="48" t="str">
        <f>D3274</f>
        <v>43403</v>
      </c>
      <c r="E3275" s="7"/>
      <c r="F3275" s="27">
        <v>0</v>
      </c>
      <c r="G3275" s="27">
        <v>0</v>
      </c>
      <c r="H3275" s="27">
        <v>0</v>
      </c>
      <c r="I3275" s="27">
        <v>0</v>
      </c>
      <c r="J3275" s="27">
        <v>0</v>
      </c>
      <c r="K3275" s="63">
        <f>AVERAGE(I3275:J3275)</f>
        <v>0</v>
      </c>
      <c r="L3275" s="56" t="str">
        <f>"EQP-LAWPACK2"</f>
        <v>EQP-LAWPACK2</v>
      </c>
      <c r="M3275" s="14"/>
      <c r="N3275" s="15"/>
      <c r="O3275" s="12"/>
      <c r="P3275" s="34"/>
      <c r="Q3275" s="37"/>
      <c r="R3275" s="47"/>
      <c r="S3275" s="46"/>
    </row>
    <row r="3276" spans="1:19" ht="15.6" hidden="1" customHeight="1" thickBot="1" x14ac:dyDescent="0.3">
      <c r="A3276" t="s">
        <v>23</v>
      </c>
      <c r="B3276" s="60" t="str">
        <f t="shared" si="2348"/>
        <v>hide</v>
      </c>
      <c r="D3276" s="48" t="str">
        <f>D3275</f>
        <v>43403</v>
      </c>
      <c r="E3276" s="7"/>
      <c r="F3276" s="27">
        <v>0</v>
      </c>
      <c r="G3276" s="27">
        <v>0</v>
      </c>
      <c r="H3276" s="27">
        <v>0</v>
      </c>
      <c r="I3276" s="27">
        <v>0</v>
      </c>
      <c r="J3276" s="27">
        <v>0</v>
      </c>
      <c r="K3276" s="63">
        <f>AVERAGE(I3276:J3276)</f>
        <v>0</v>
      </c>
      <c r="L3276" s="56" t="str">
        <f>"SW-COMAS-PACKL"</f>
        <v>SW-COMAS-PACKL</v>
      </c>
      <c r="M3276" s="14"/>
      <c r="N3276" s="15"/>
      <c r="O3276" s="12"/>
      <c r="P3276" s="34"/>
      <c r="Q3276" s="37"/>
      <c r="R3276" s="47"/>
      <c r="S3276" s="46"/>
    </row>
    <row r="3277" spans="1:19" ht="15.6" hidden="1" customHeight="1" thickBot="1" x14ac:dyDescent="0.3">
      <c r="A3277" t="s">
        <v>23</v>
      </c>
      <c r="B3277" s="60" t="str">
        <f t="shared" si="2348"/>
        <v>hide</v>
      </c>
      <c r="D3277" s="48" t="str">
        <f>D3276</f>
        <v>43403</v>
      </c>
      <c r="E3277" s="7"/>
      <c r="F3277" s="27">
        <v>0</v>
      </c>
      <c r="G3277" s="27">
        <v>0</v>
      </c>
      <c r="H3277" s="27">
        <v>0</v>
      </c>
      <c r="I3277" s="27">
        <v>0</v>
      </c>
      <c r="J3277" s="27">
        <v>0</v>
      </c>
      <c r="K3277" s="63">
        <f>AVERAGE(I3277:J3277)</f>
        <v>0</v>
      </c>
      <c r="L3277" s="56" t="str">
        <f>"SW-RISER-PACK"</f>
        <v>SW-RISER-PACK</v>
      </c>
      <c r="M3277" s="14"/>
      <c r="N3277" s="15"/>
      <c r="O3277" s="12"/>
      <c r="P3277" s="34"/>
      <c r="Q3277" s="37"/>
      <c r="R3277" s="47"/>
      <c r="S3277" s="46"/>
    </row>
    <row r="3278" spans="1:19" ht="12" hidden="1" customHeight="1" x14ac:dyDescent="0.3">
      <c r="A3278" s="35" t="s">
        <v>908</v>
      </c>
      <c r="B3278" s="49" t="str">
        <f>B3274</f>
        <v>hide</v>
      </c>
      <c r="N3278"/>
      <c r="Q3278" s="33"/>
    </row>
    <row r="3279" spans="1:19" ht="13.8" hidden="1" thickBot="1" x14ac:dyDescent="0.3">
      <c r="A3279" t="s">
        <v>23</v>
      </c>
      <c r="B3279" s="49" t="str">
        <f t="shared" ref="B3279" si="2349">B3278</f>
        <v>hide</v>
      </c>
      <c r="D3279" s="58"/>
      <c r="E3279" s="58"/>
      <c r="F3279" s="52">
        <f>SUM(F3274:F3278)</f>
        <v>0</v>
      </c>
      <c r="G3279" s="52">
        <f>SUM(G3274:G3278)</f>
        <v>0</v>
      </c>
      <c r="H3279" s="52">
        <f>SUM(H3274:H3278)</f>
        <v>0</v>
      </c>
      <c r="I3279" s="52">
        <f>SUM(I3274:I3278)</f>
        <v>0</v>
      </c>
      <c r="J3279" s="52">
        <f>SUM(J3274:J3278)</f>
        <v>0</v>
      </c>
      <c r="K3279" s="52"/>
      <c r="L3279" s="51" t="s">
        <v>4</v>
      </c>
      <c r="M3279" s="58"/>
      <c r="N3279" s="58"/>
      <c r="O3279" s="58"/>
      <c r="P3279" s="58"/>
      <c r="Q3279" s="58"/>
      <c r="R3279" s="58"/>
      <c r="S3279" s="58"/>
    </row>
    <row r="3280" spans="1:19" s="59" customFormat="1" ht="18.75" customHeight="1" thickBot="1" x14ac:dyDescent="0.3">
      <c r="A3280" s="59" t="s">
        <v>23</v>
      </c>
      <c r="B3280" s="60" t="str">
        <f t="shared" ref="B3280:B3281" si="2350">IF(K3280=0,"hide","")</f>
        <v/>
      </c>
      <c r="D3280" s="61" t="str">
        <f>"43405"</f>
        <v>43405</v>
      </c>
      <c r="E3280" s="62" t="str">
        <f>"8"</f>
        <v>8</v>
      </c>
      <c r="F3280" s="63">
        <v>263</v>
      </c>
      <c r="G3280" s="63">
        <v>282.49999999999994</v>
      </c>
      <c r="H3280" s="63">
        <v>235.66666666666666</v>
      </c>
      <c r="I3280" s="63">
        <v>286.58333333333331</v>
      </c>
      <c r="J3280" s="63">
        <v>156.84337349397592</v>
      </c>
      <c r="K3280" s="63">
        <f>AVERAGE(I3280:J3280)</f>
        <v>221.7133534136546</v>
      </c>
      <c r="L3280" s="64" t="str">
        <f>"CORNBREAD LOAVES"</f>
        <v>CORNBREAD LOAVES</v>
      </c>
      <c r="M3280" s="65" t="str">
        <f>"48-2oz. 12-8oz. packs of 4"</f>
        <v>48-2oz. 12-8oz. packs of 4</v>
      </c>
      <c r="N3280" s="66">
        <v>48</v>
      </c>
      <c r="O3280" s="67" t="str">
        <f>""</f>
        <v/>
      </c>
      <c r="P3280" s="68" t="e">
        <f>1/O3280</f>
        <v>#VALUE!</v>
      </c>
      <c r="Q3280" s="53">
        <v>1</v>
      </c>
      <c r="R3280" s="69">
        <f t="shared" ref="R3280" si="2351">1/Q3280</f>
        <v>1</v>
      </c>
      <c r="S3280" s="70">
        <f t="shared" ref="S3280" si="2352">R3280*N3280</f>
        <v>48</v>
      </c>
    </row>
    <row r="3281" spans="1:19" ht="15.6" hidden="1" customHeight="1" thickBot="1" x14ac:dyDescent="0.3">
      <c r="A3281" t="s">
        <v>23</v>
      </c>
      <c r="B3281" s="60" t="str">
        <f t="shared" si="2350"/>
        <v>hide</v>
      </c>
      <c r="D3281" s="48" t="str">
        <f>D3280</f>
        <v>43405</v>
      </c>
      <c r="E3281" s="7"/>
      <c r="F3281" s="27">
        <v>0</v>
      </c>
      <c r="G3281" s="27">
        <v>0</v>
      </c>
      <c r="H3281" s="27">
        <v>0</v>
      </c>
      <c r="I3281" s="27">
        <v>0</v>
      </c>
      <c r="J3281" s="27">
        <v>0</v>
      </c>
      <c r="K3281" s="63">
        <f>AVERAGE(I3281:J3281)</f>
        <v>0</v>
      </c>
      <c r="L3281" s="56" t="str">
        <f>"EQP-LAWPACK1"</f>
        <v>EQP-LAWPACK1</v>
      </c>
      <c r="M3281" s="14"/>
      <c r="N3281" s="15"/>
      <c r="O3281" s="12"/>
      <c r="P3281" s="34"/>
      <c r="Q3281" s="37"/>
      <c r="R3281" s="47"/>
      <c r="S3281" s="46"/>
    </row>
    <row r="3282" spans="1:19" ht="15.6" hidden="1" customHeight="1" thickBot="1" x14ac:dyDescent="0.3">
      <c r="A3282" t="s">
        <v>23</v>
      </c>
      <c r="B3282" s="60" t="str">
        <f t="shared" ref="B3282:B3284" si="2353">IF(K3282=0,"hide","")</f>
        <v>hide</v>
      </c>
      <c r="D3282" s="48" t="str">
        <f>D3281</f>
        <v>43405</v>
      </c>
      <c r="E3282" s="7"/>
      <c r="F3282" s="27">
        <v>0</v>
      </c>
      <c r="G3282" s="27">
        <v>0</v>
      </c>
      <c r="H3282" s="27">
        <v>0</v>
      </c>
      <c r="I3282" s="27">
        <v>0</v>
      </c>
      <c r="J3282" s="27">
        <v>0</v>
      </c>
      <c r="K3282" s="63">
        <f>AVERAGE(I3282:J3282)</f>
        <v>0</v>
      </c>
      <c r="L3282" s="56" t="str">
        <f>"EQP-LAWPACK2"</f>
        <v>EQP-LAWPACK2</v>
      </c>
      <c r="M3282" s="14"/>
      <c r="N3282" s="15"/>
      <c r="O3282" s="12"/>
      <c r="P3282" s="34"/>
      <c r="Q3282" s="37"/>
      <c r="R3282" s="47"/>
      <c r="S3282" s="46"/>
    </row>
    <row r="3283" spans="1:19" ht="15.6" hidden="1" customHeight="1" thickBot="1" x14ac:dyDescent="0.3">
      <c r="A3283" t="s">
        <v>23</v>
      </c>
      <c r="B3283" s="60" t="str">
        <f t="shared" si="2353"/>
        <v>hide</v>
      </c>
      <c r="D3283" s="48" t="str">
        <f>D3282</f>
        <v>43405</v>
      </c>
      <c r="E3283" s="7"/>
      <c r="F3283" s="27">
        <v>0</v>
      </c>
      <c r="G3283" s="27">
        <v>0</v>
      </c>
      <c r="H3283" s="27">
        <v>0</v>
      </c>
      <c r="I3283" s="27">
        <v>0</v>
      </c>
      <c r="J3283" s="27">
        <v>0</v>
      </c>
      <c r="K3283" s="63">
        <f>AVERAGE(I3283:J3283)</f>
        <v>0</v>
      </c>
      <c r="L3283" s="56" t="str">
        <f>"SW-COMAS-PACKL"</f>
        <v>SW-COMAS-PACKL</v>
      </c>
      <c r="M3283" s="14"/>
      <c r="N3283" s="15"/>
      <c r="O3283" s="12"/>
      <c r="P3283" s="34"/>
      <c r="Q3283" s="37"/>
      <c r="R3283" s="47"/>
      <c r="S3283" s="46"/>
    </row>
    <row r="3284" spans="1:19" ht="15.6" hidden="1" customHeight="1" thickBot="1" x14ac:dyDescent="0.3">
      <c r="A3284" t="s">
        <v>23</v>
      </c>
      <c r="B3284" s="60" t="str">
        <f t="shared" si="2353"/>
        <v>hide</v>
      </c>
      <c r="D3284" s="48" t="str">
        <f>D3283</f>
        <v>43405</v>
      </c>
      <c r="E3284" s="7"/>
      <c r="F3284" s="27">
        <v>0</v>
      </c>
      <c r="G3284" s="27">
        <v>0</v>
      </c>
      <c r="H3284" s="27">
        <v>0</v>
      </c>
      <c r="I3284" s="27">
        <v>0</v>
      </c>
      <c r="J3284" s="27">
        <v>0</v>
      </c>
      <c r="K3284" s="63">
        <f>AVERAGE(I3284:J3284)</f>
        <v>0</v>
      </c>
      <c r="L3284" s="56" t="str">
        <f>"SW-RISER-PACK"</f>
        <v>SW-RISER-PACK</v>
      </c>
      <c r="M3284" s="14"/>
      <c r="N3284" s="15"/>
      <c r="O3284" s="12"/>
      <c r="P3284" s="34"/>
      <c r="Q3284" s="37"/>
      <c r="R3284" s="47"/>
      <c r="S3284" s="46"/>
    </row>
    <row r="3285" spans="1:19" ht="12" hidden="1" customHeight="1" x14ac:dyDescent="0.3">
      <c r="A3285" s="35" t="s">
        <v>908</v>
      </c>
      <c r="B3285" s="49" t="str">
        <f>B3281</f>
        <v>hide</v>
      </c>
      <c r="N3285"/>
      <c r="Q3285" s="33"/>
    </row>
    <row r="3286" spans="1:19" ht="13.8" hidden="1" thickBot="1" x14ac:dyDescent="0.3">
      <c r="A3286" t="s">
        <v>23</v>
      </c>
      <c r="B3286" s="49" t="str">
        <f t="shared" ref="B3286" si="2354">B3285</f>
        <v>hide</v>
      </c>
      <c r="D3286" s="58"/>
      <c r="E3286" s="58"/>
      <c r="F3286" s="52">
        <f>SUM(F3281:F3285)</f>
        <v>0</v>
      </c>
      <c r="G3286" s="52">
        <f>SUM(G3281:G3285)</f>
        <v>0</v>
      </c>
      <c r="H3286" s="52">
        <f>SUM(H3281:H3285)</f>
        <v>0</v>
      </c>
      <c r="I3286" s="52">
        <f>SUM(I3281:I3285)</f>
        <v>0</v>
      </c>
      <c r="J3286" s="52">
        <f>SUM(J3281:J3285)</f>
        <v>0</v>
      </c>
      <c r="K3286" s="52"/>
      <c r="L3286" s="51" t="s">
        <v>4</v>
      </c>
      <c r="M3286" s="58"/>
      <c r="N3286" s="58"/>
      <c r="O3286" s="58"/>
      <c r="P3286" s="58"/>
      <c r="Q3286" s="58"/>
      <c r="R3286" s="58"/>
      <c r="S3286" s="58"/>
    </row>
    <row r="3287" spans="1:19" s="59" customFormat="1" ht="18.75" hidden="1" customHeight="1" thickBot="1" x14ac:dyDescent="0.3">
      <c r="A3287" s="59" t="s">
        <v>23</v>
      </c>
      <c r="B3287" s="60" t="str">
        <f t="shared" ref="B3287:B3288" si="2355">IF(K3287=0,"hide","")</f>
        <v>hide</v>
      </c>
      <c r="D3287" s="61" t="str">
        <f>"43422"</f>
        <v>43422</v>
      </c>
      <c r="E3287" s="62" t="str">
        <f>"7"</f>
        <v>7</v>
      </c>
      <c r="F3287" s="63">
        <v>0</v>
      </c>
      <c r="G3287" s="63">
        <v>0</v>
      </c>
      <c r="H3287" s="63">
        <v>0</v>
      </c>
      <c r="I3287" s="63">
        <v>0</v>
      </c>
      <c r="J3287" s="63">
        <v>0</v>
      </c>
      <c r="K3287" s="63">
        <f>AVERAGE(I3287:J3287)</f>
        <v>0</v>
      </c>
      <c r="L3287" s="64" t="str">
        <f>"BFG Lemon Crumb Mini Loaf"</f>
        <v>BFG Lemon Crumb Mini Loaf</v>
      </c>
      <c r="M3287" s="65" t="str">
        <f>"48-2oz. 8oz. packs of 4 #536"</f>
        <v>48-2oz. 8oz. packs of 4 #536</v>
      </c>
      <c r="N3287" s="66">
        <v>48</v>
      </c>
      <c r="O3287" s="67" t="str">
        <f>""</f>
        <v/>
      </c>
      <c r="P3287" s="68" t="e">
        <f>1/O3287</f>
        <v>#VALUE!</v>
      </c>
      <c r="Q3287" s="53">
        <v>1</v>
      </c>
      <c r="R3287" s="69">
        <f t="shared" ref="R3287" si="2356">1/Q3287</f>
        <v>1</v>
      </c>
      <c r="S3287" s="70">
        <f t="shared" ref="S3287" si="2357">R3287*N3287</f>
        <v>48</v>
      </c>
    </row>
    <row r="3288" spans="1:19" ht="15.6" hidden="1" customHeight="1" thickBot="1" x14ac:dyDescent="0.3">
      <c r="A3288" t="s">
        <v>23</v>
      </c>
      <c r="B3288" s="60" t="str">
        <f t="shared" si="2355"/>
        <v>hide</v>
      </c>
      <c r="D3288" s="48" t="str">
        <f>D3287</f>
        <v>43422</v>
      </c>
      <c r="E3288" s="7"/>
      <c r="F3288" s="27">
        <v>0</v>
      </c>
      <c r="G3288" s="27">
        <v>0</v>
      </c>
      <c r="H3288" s="27">
        <v>0</v>
      </c>
      <c r="I3288" s="27">
        <v>0</v>
      </c>
      <c r="J3288" s="27">
        <v>0</v>
      </c>
      <c r="K3288" s="63">
        <f>AVERAGE(I3288:J3288)</f>
        <v>0</v>
      </c>
      <c r="L3288" s="56" t="str">
        <f>"EQP-LAWPACK1"</f>
        <v>EQP-LAWPACK1</v>
      </c>
      <c r="M3288" s="14"/>
      <c r="N3288" s="15"/>
      <c r="O3288" s="12"/>
      <c r="P3288" s="34"/>
      <c r="Q3288" s="37"/>
      <c r="R3288" s="47"/>
      <c r="S3288" s="46"/>
    </row>
    <row r="3289" spans="1:19" ht="15.6" hidden="1" customHeight="1" thickBot="1" x14ac:dyDescent="0.3">
      <c r="A3289" t="s">
        <v>23</v>
      </c>
      <c r="B3289" s="60" t="str">
        <f t="shared" ref="B3289:B3291" si="2358">IF(K3289=0,"hide","")</f>
        <v>hide</v>
      </c>
      <c r="D3289" s="48" t="str">
        <f>D3288</f>
        <v>43422</v>
      </c>
      <c r="E3289" s="7"/>
      <c r="F3289" s="27">
        <v>0</v>
      </c>
      <c r="G3289" s="27">
        <v>0</v>
      </c>
      <c r="H3289" s="27">
        <v>0</v>
      </c>
      <c r="I3289" s="27">
        <v>0</v>
      </c>
      <c r="J3289" s="27">
        <v>0</v>
      </c>
      <c r="K3289" s="63">
        <f>AVERAGE(I3289:J3289)</f>
        <v>0</v>
      </c>
      <c r="L3289" s="56" t="str">
        <f>"EQP-LAWPACK2"</f>
        <v>EQP-LAWPACK2</v>
      </c>
      <c r="M3289" s="14"/>
      <c r="N3289" s="15"/>
      <c r="O3289" s="12"/>
      <c r="P3289" s="34"/>
      <c r="Q3289" s="37"/>
      <c r="R3289" s="47"/>
      <c r="S3289" s="46"/>
    </row>
    <row r="3290" spans="1:19" ht="15.6" hidden="1" customHeight="1" thickBot="1" x14ac:dyDescent="0.3">
      <c r="A3290" t="s">
        <v>23</v>
      </c>
      <c r="B3290" s="60" t="str">
        <f t="shared" si="2358"/>
        <v>hide</v>
      </c>
      <c r="D3290" s="48" t="str">
        <f>D3289</f>
        <v>43422</v>
      </c>
      <c r="E3290" s="7"/>
      <c r="F3290" s="27">
        <v>0</v>
      </c>
      <c r="G3290" s="27">
        <v>0</v>
      </c>
      <c r="H3290" s="27">
        <v>0</v>
      </c>
      <c r="I3290" s="27">
        <v>0</v>
      </c>
      <c r="J3290" s="27">
        <v>0</v>
      </c>
      <c r="K3290" s="63">
        <f>AVERAGE(I3290:J3290)</f>
        <v>0</v>
      </c>
      <c r="L3290" s="56" t="str">
        <f>"SW-COMAS-PACKL"</f>
        <v>SW-COMAS-PACKL</v>
      </c>
      <c r="M3290" s="14"/>
      <c r="N3290" s="15"/>
      <c r="O3290" s="12"/>
      <c r="P3290" s="34"/>
      <c r="Q3290" s="37"/>
      <c r="R3290" s="47"/>
      <c r="S3290" s="46"/>
    </row>
    <row r="3291" spans="1:19" ht="15.6" hidden="1" customHeight="1" thickBot="1" x14ac:dyDescent="0.3">
      <c r="A3291" t="s">
        <v>23</v>
      </c>
      <c r="B3291" s="60" t="str">
        <f t="shared" si="2358"/>
        <v>hide</v>
      </c>
      <c r="D3291" s="48" t="str">
        <f>D3290</f>
        <v>43422</v>
      </c>
      <c r="E3291" s="7"/>
      <c r="F3291" s="27">
        <v>0</v>
      </c>
      <c r="G3291" s="27">
        <v>0</v>
      </c>
      <c r="H3291" s="27">
        <v>0</v>
      </c>
      <c r="I3291" s="27">
        <v>0</v>
      </c>
      <c r="J3291" s="27">
        <v>0</v>
      </c>
      <c r="K3291" s="63">
        <f>AVERAGE(I3291:J3291)</f>
        <v>0</v>
      </c>
      <c r="L3291" s="56" t="str">
        <f>"SW-RISER-PACK"</f>
        <v>SW-RISER-PACK</v>
      </c>
      <c r="M3291" s="14"/>
      <c r="N3291" s="15"/>
      <c r="O3291" s="12"/>
      <c r="P3291" s="34"/>
      <c r="Q3291" s="37"/>
      <c r="R3291" s="47"/>
      <c r="S3291" s="46"/>
    </row>
    <row r="3292" spans="1:19" ht="12" hidden="1" customHeight="1" x14ac:dyDescent="0.3">
      <c r="A3292" s="35" t="s">
        <v>908</v>
      </c>
      <c r="B3292" s="49" t="str">
        <f>B3288</f>
        <v>hide</v>
      </c>
      <c r="N3292"/>
      <c r="Q3292" s="33"/>
    </row>
    <row r="3293" spans="1:19" ht="13.8" hidden="1" thickBot="1" x14ac:dyDescent="0.3">
      <c r="A3293" t="s">
        <v>23</v>
      </c>
      <c r="B3293" s="49" t="str">
        <f t="shared" ref="B3293" si="2359">B3292</f>
        <v>hide</v>
      </c>
      <c r="D3293" s="58"/>
      <c r="E3293" s="58"/>
      <c r="F3293" s="52">
        <f>SUM(F3288:F3292)</f>
        <v>0</v>
      </c>
      <c r="G3293" s="52">
        <f>SUM(G3288:G3292)</f>
        <v>0</v>
      </c>
      <c r="H3293" s="52">
        <f>SUM(H3288:H3292)</f>
        <v>0</v>
      </c>
      <c r="I3293" s="52">
        <f>SUM(I3288:I3292)</f>
        <v>0</v>
      </c>
      <c r="J3293" s="52">
        <f>SUM(J3288:J3292)</f>
        <v>0</v>
      </c>
      <c r="K3293" s="52"/>
      <c r="L3293" s="51" t="s">
        <v>4</v>
      </c>
      <c r="M3293" s="58"/>
      <c r="N3293" s="58"/>
      <c r="O3293" s="58"/>
      <c r="P3293" s="58"/>
      <c r="Q3293" s="58"/>
      <c r="R3293" s="58"/>
      <c r="S3293" s="58"/>
    </row>
    <row r="3294" spans="1:19" s="59" customFormat="1" ht="18.75" customHeight="1" thickBot="1" x14ac:dyDescent="0.3">
      <c r="A3294" s="59" t="s">
        <v>23</v>
      </c>
      <c r="B3294" s="60" t="str">
        <f t="shared" ref="B3294:B3295" si="2360">IF(K3294=0,"hide","")</f>
        <v/>
      </c>
      <c r="D3294" s="61" t="str">
        <f>"43425"</f>
        <v>43425</v>
      </c>
      <c r="E3294" s="62" t="str">
        <f>"2"</f>
        <v>2</v>
      </c>
      <c r="F3294" s="63">
        <v>41.666666666666664</v>
      </c>
      <c r="G3294" s="63">
        <v>39.166666666666664</v>
      </c>
      <c r="H3294" s="63">
        <v>15.666666666666666</v>
      </c>
      <c r="I3294" s="63">
        <v>26.166666666666668</v>
      </c>
      <c r="J3294" s="63">
        <v>13.638554216867471</v>
      </c>
      <c r="K3294" s="63">
        <f>AVERAGE(I3294:J3294)</f>
        <v>19.90261044176707</v>
      </c>
      <c r="L3294" s="64" t="str">
        <f>"JALAPENO CORNBREAD LOAVES"</f>
        <v>JALAPENO CORNBREAD LOAVES</v>
      </c>
      <c r="M3294" s="65" t="str">
        <f>"48-2oz. 8oz. packs of 4"</f>
        <v>48-2oz. 8oz. packs of 4</v>
      </c>
      <c r="N3294" s="66">
        <v>48</v>
      </c>
      <c r="O3294" s="67" t="str">
        <f>""</f>
        <v/>
      </c>
      <c r="P3294" s="68" t="e">
        <f>1/O3294</f>
        <v>#VALUE!</v>
      </c>
      <c r="Q3294" s="53">
        <v>1</v>
      </c>
      <c r="R3294" s="69">
        <f t="shared" ref="R3294" si="2361">1/Q3294</f>
        <v>1</v>
      </c>
      <c r="S3294" s="70">
        <f t="shared" ref="S3294" si="2362">R3294*N3294</f>
        <v>48</v>
      </c>
    </row>
    <row r="3295" spans="1:19" ht="15.6" hidden="1" customHeight="1" thickBot="1" x14ac:dyDescent="0.3">
      <c r="A3295" t="s">
        <v>23</v>
      </c>
      <c r="B3295" s="60" t="str">
        <f t="shared" si="2360"/>
        <v>hide</v>
      </c>
      <c r="D3295" s="48" t="str">
        <f>D3294</f>
        <v>43425</v>
      </c>
      <c r="E3295" s="7"/>
      <c r="F3295" s="27">
        <v>0</v>
      </c>
      <c r="G3295" s="27">
        <v>0</v>
      </c>
      <c r="H3295" s="27">
        <v>0</v>
      </c>
      <c r="I3295" s="27">
        <v>0</v>
      </c>
      <c r="J3295" s="27">
        <v>0</v>
      </c>
      <c r="K3295" s="63">
        <f>AVERAGE(I3295:J3295)</f>
        <v>0</v>
      </c>
      <c r="L3295" s="56" t="str">
        <f>"EQP-LAWPACK1"</f>
        <v>EQP-LAWPACK1</v>
      </c>
      <c r="M3295" s="14"/>
      <c r="N3295" s="15"/>
      <c r="O3295" s="12"/>
      <c r="P3295" s="34"/>
      <c r="Q3295" s="37"/>
      <c r="R3295" s="47"/>
      <c r="S3295" s="46"/>
    </row>
    <row r="3296" spans="1:19" ht="15.6" hidden="1" customHeight="1" thickBot="1" x14ac:dyDescent="0.3">
      <c r="A3296" t="s">
        <v>23</v>
      </c>
      <c r="B3296" s="60" t="str">
        <f t="shared" ref="B3296:B3298" si="2363">IF(K3296=0,"hide","")</f>
        <v>hide</v>
      </c>
      <c r="D3296" s="48" t="str">
        <f>D3295</f>
        <v>43425</v>
      </c>
      <c r="E3296" s="7"/>
      <c r="F3296" s="27">
        <v>0</v>
      </c>
      <c r="G3296" s="27">
        <v>0</v>
      </c>
      <c r="H3296" s="27">
        <v>0</v>
      </c>
      <c r="I3296" s="27">
        <v>0</v>
      </c>
      <c r="J3296" s="27">
        <v>0</v>
      </c>
      <c r="K3296" s="63">
        <f>AVERAGE(I3296:J3296)</f>
        <v>0</v>
      </c>
      <c r="L3296" s="56" t="str">
        <f>"EQP-LAWPACK2"</f>
        <v>EQP-LAWPACK2</v>
      </c>
      <c r="M3296" s="14"/>
      <c r="N3296" s="15"/>
      <c r="O3296" s="12"/>
      <c r="P3296" s="34"/>
      <c r="Q3296" s="37"/>
      <c r="R3296" s="47"/>
      <c r="S3296" s="46"/>
    </row>
    <row r="3297" spans="1:19" ht="15.6" hidden="1" customHeight="1" thickBot="1" x14ac:dyDescent="0.3">
      <c r="A3297" t="s">
        <v>23</v>
      </c>
      <c r="B3297" s="60" t="str">
        <f t="shared" si="2363"/>
        <v>hide</v>
      </c>
      <c r="D3297" s="48" t="str">
        <f>D3296</f>
        <v>43425</v>
      </c>
      <c r="E3297" s="7"/>
      <c r="F3297" s="27">
        <v>0</v>
      </c>
      <c r="G3297" s="27">
        <v>0</v>
      </c>
      <c r="H3297" s="27">
        <v>0</v>
      </c>
      <c r="I3297" s="27">
        <v>0</v>
      </c>
      <c r="J3297" s="27">
        <v>0</v>
      </c>
      <c r="K3297" s="63">
        <f>AVERAGE(I3297:J3297)</f>
        <v>0</v>
      </c>
      <c r="L3297" s="56" t="str">
        <f>"SW-COMAS-PACKL"</f>
        <v>SW-COMAS-PACKL</v>
      </c>
      <c r="M3297" s="14"/>
      <c r="N3297" s="15"/>
      <c r="O3297" s="12"/>
      <c r="P3297" s="34"/>
      <c r="Q3297" s="37"/>
      <c r="R3297" s="47"/>
      <c r="S3297" s="46"/>
    </row>
    <row r="3298" spans="1:19" ht="15.6" hidden="1" customHeight="1" thickBot="1" x14ac:dyDescent="0.3">
      <c r="A3298" t="s">
        <v>23</v>
      </c>
      <c r="B3298" s="60" t="str">
        <f t="shared" si="2363"/>
        <v>hide</v>
      </c>
      <c r="D3298" s="48" t="str">
        <f>D3297</f>
        <v>43425</v>
      </c>
      <c r="E3298" s="7"/>
      <c r="F3298" s="27">
        <v>0</v>
      </c>
      <c r="G3298" s="27">
        <v>0</v>
      </c>
      <c r="H3298" s="27">
        <v>0</v>
      </c>
      <c r="I3298" s="27">
        <v>0</v>
      </c>
      <c r="J3298" s="27">
        <v>0</v>
      </c>
      <c r="K3298" s="63">
        <f>AVERAGE(I3298:J3298)</f>
        <v>0</v>
      </c>
      <c r="L3298" s="56" t="str">
        <f>"SW-RISER-PACK"</f>
        <v>SW-RISER-PACK</v>
      </c>
      <c r="M3298" s="14"/>
      <c r="N3298" s="15"/>
      <c r="O3298" s="12"/>
      <c r="P3298" s="34"/>
      <c r="Q3298" s="37"/>
      <c r="R3298" s="47"/>
      <c r="S3298" s="46"/>
    </row>
    <row r="3299" spans="1:19" ht="12" hidden="1" customHeight="1" x14ac:dyDescent="0.3">
      <c r="A3299" s="35" t="s">
        <v>908</v>
      </c>
      <c r="B3299" s="49" t="str">
        <f>B3295</f>
        <v>hide</v>
      </c>
      <c r="N3299"/>
      <c r="Q3299" s="33"/>
    </row>
    <row r="3300" spans="1:19" ht="13.8" hidden="1" thickBot="1" x14ac:dyDescent="0.3">
      <c r="A3300" t="s">
        <v>23</v>
      </c>
      <c r="B3300" s="49" t="str">
        <f t="shared" ref="B3300" si="2364">B3299</f>
        <v>hide</v>
      </c>
      <c r="D3300" s="58"/>
      <c r="E3300" s="58"/>
      <c r="F3300" s="52">
        <f>SUM(F3295:F3299)</f>
        <v>0</v>
      </c>
      <c r="G3300" s="52">
        <f>SUM(G3295:G3299)</f>
        <v>0</v>
      </c>
      <c r="H3300" s="52">
        <f>SUM(H3295:H3299)</f>
        <v>0</v>
      </c>
      <c r="I3300" s="52">
        <f>SUM(I3295:I3299)</f>
        <v>0</v>
      </c>
      <c r="J3300" s="52">
        <f>SUM(J3295:J3299)</f>
        <v>0</v>
      </c>
      <c r="K3300" s="52"/>
      <c r="L3300" s="51" t="s">
        <v>4</v>
      </c>
      <c r="M3300" s="58"/>
      <c r="N3300" s="58"/>
      <c r="O3300" s="58"/>
      <c r="P3300" s="58"/>
      <c r="Q3300" s="58"/>
      <c r="R3300" s="58"/>
      <c r="S3300" s="58"/>
    </row>
    <row r="3301" spans="1:19" s="59" customFormat="1" ht="18.75" customHeight="1" thickBot="1" x14ac:dyDescent="0.3">
      <c r="A3301" s="59" t="s">
        <v>23</v>
      </c>
      <c r="B3301" s="60" t="str">
        <f t="shared" ref="B3301:B3302" si="2365">IF(K3301=0,"hide","")</f>
        <v/>
      </c>
      <c r="D3301" s="61" t="str">
        <f>"43705"</f>
        <v>43705</v>
      </c>
      <c r="E3301" s="62" t="str">
        <f>"3"</f>
        <v>3</v>
      </c>
      <c r="F3301" s="63">
        <v>75</v>
      </c>
      <c r="G3301" s="63">
        <v>337.5</v>
      </c>
      <c r="H3301" s="63">
        <v>499.5</v>
      </c>
      <c r="I3301" s="63">
        <v>816.66666666666663</v>
      </c>
      <c r="J3301" s="63">
        <v>586.45783132530119</v>
      </c>
      <c r="K3301" s="63">
        <f>AVERAGE(I3301:J3301)</f>
        <v>701.56224899598396</v>
      </c>
      <c r="L3301" s="64" t="str">
        <f>"CORNBREAD LOAVES"</f>
        <v>CORNBREAD LOAVES</v>
      </c>
      <c r="M3301" s="65" t="str">
        <f>"48-2oz. 12-8oz. packs of 4"</f>
        <v>48-2oz. 12-8oz. packs of 4</v>
      </c>
      <c r="N3301" s="66">
        <v>48</v>
      </c>
      <c r="O3301" s="67" t="str">
        <f>""</f>
        <v/>
      </c>
      <c r="P3301" s="68" t="e">
        <f>1/O3301</f>
        <v>#VALUE!</v>
      </c>
      <c r="Q3301" s="53">
        <v>1</v>
      </c>
      <c r="R3301" s="69">
        <f t="shared" ref="R3301" si="2366">1/Q3301</f>
        <v>1</v>
      </c>
      <c r="S3301" s="70">
        <f t="shared" ref="S3301" si="2367">R3301*N3301</f>
        <v>48</v>
      </c>
    </row>
    <row r="3302" spans="1:19" ht="15.6" hidden="1" customHeight="1" thickBot="1" x14ac:dyDescent="0.3">
      <c r="A3302" t="s">
        <v>23</v>
      </c>
      <c r="B3302" s="60" t="str">
        <f t="shared" si="2365"/>
        <v>hide</v>
      </c>
      <c r="D3302" s="48" t="str">
        <f>D3301</f>
        <v>43705</v>
      </c>
      <c r="E3302" s="7"/>
      <c r="F3302" s="27">
        <v>0</v>
      </c>
      <c r="G3302" s="27">
        <v>0</v>
      </c>
      <c r="H3302" s="27">
        <v>0</v>
      </c>
      <c r="I3302" s="27">
        <v>0</v>
      </c>
      <c r="J3302" s="27">
        <v>0</v>
      </c>
      <c r="K3302" s="63">
        <f>AVERAGE(I3302:J3302)</f>
        <v>0</v>
      </c>
      <c r="L3302" s="56" t="str">
        <f>"EQP-LAWPACK1"</f>
        <v>EQP-LAWPACK1</v>
      </c>
      <c r="M3302" s="14"/>
      <c r="N3302" s="15"/>
      <c r="O3302" s="12"/>
      <c r="P3302" s="34"/>
      <c r="Q3302" s="37"/>
      <c r="R3302" s="47"/>
      <c r="S3302" s="46"/>
    </row>
    <row r="3303" spans="1:19" ht="15.6" hidden="1" customHeight="1" thickBot="1" x14ac:dyDescent="0.3">
      <c r="A3303" t="s">
        <v>23</v>
      </c>
      <c r="B3303" s="60" t="str">
        <f t="shared" ref="B3303:B3305" si="2368">IF(K3303=0,"hide","")</f>
        <v>hide</v>
      </c>
      <c r="D3303" s="48" t="str">
        <f>D3302</f>
        <v>43705</v>
      </c>
      <c r="E3303" s="7"/>
      <c r="F3303" s="27">
        <v>0</v>
      </c>
      <c r="G3303" s="27">
        <v>0</v>
      </c>
      <c r="H3303" s="27">
        <v>0</v>
      </c>
      <c r="I3303" s="27">
        <v>0</v>
      </c>
      <c r="J3303" s="27">
        <v>0</v>
      </c>
      <c r="K3303" s="63">
        <f>AVERAGE(I3303:J3303)</f>
        <v>0</v>
      </c>
      <c r="L3303" s="56" t="str">
        <f>"EQP-LAWPACK2"</f>
        <v>EQP-LAWPACK2</v>
      </c>
      <c r="M3303" s="14"/>
      <c r="N3303" s="15"/>
      <c r="O3303" s="12"/>
      <c r="P3303" s="34"/>
      <c r="Q3303" s="37"/>
      <c r="R3303" s="47"/>
      <c r="S3303" s="46"/>
    </row>
    <row r="3304" spans="1:19" ht="15.6" hidden="1" customHeight="1" thickBot="1" x14ac:dyDescent="0.3">
      <c r="A3304" t="s">
        <v>23</v>
      </c>
      <c r="B3304" s="60" t="str">
        <f t="shared" si="2368"/>
        <v>hide</v>
      </c>
      <c r="D3304" s="48" t="str">
        <f>D3303</f>
        <v>43705</v>
      </c>
      <c r="E3304" s="7"/>
      <c r="F3304" s="27">
        <v>0</v>
      </c>
      <c r="G3304" s="27">
        <v>0</v>
      </c>
      <c r="H3304" s="27">
        <v>0</v>
      </c>
      <c r="I3304" s="27">
        <v>0</v>
      </c>
      <c r="J3304" s="27">
        <v>0</v>
      </c>
      <c r="K3304" s="63">
        <f>AVERAGE(I3304:J3304)</f>
        <v>0</v>
      </c>
      <c r="L3304" s="56" t="str">
        <f>"SW-COMAS-PACKL"</f>
        <v>SW-COMAS-PACKL</v>
      </c>
      <c r="M3304" s="14"/>
      <c r="N3304" s="15"/>
      <c r="O3304" s="12"/>
      <c r="P3304" s="34"/>
      <c r="Q3304" s="37"/>
      <c r="R3304" s="47"/>
      <c r="S3304" s="46"/>
    </row>
    <row r="3305" spans="1:19" ht="15.6" hidden="1" customHeight="1" thickBot="1" x14ac:dyDescent="0.3">
      <c r="A3305" t="s">
        <v>23</v>
      </c>
      <c r="B3305" s="60" t="str">
        <f t="shared" si="2368"/>
        <v>hide</v>
      </c>
      <c r="D3305" s="48" t="str">
        <f>D3304</f>
        <v>43705</v>
      </c>
      <c r="E3305" s="7"/>
      <c r="F3305" s="27">
        <v>0</v>
      </c>
      <c r="G3305" s="27">
        <v>0</v>
      </c>
      <c r="H3305" s="27">
        <v>0</v>
      </c>
      <c r="I3305" s="27">
        <v>0</v>
      </c>
      <c r="J3305" s="27">
        <v>0</v>
      </c>
      <c r="K3305" s="63">
        <f>AVERAGE(I3305:J3305)</f>
        <v>0</v>
      </c>
      <c r="L3305" s="56" t="str">
        <f>"SW-RISER-PACK"</f>
        <v>SW-RISER-PACK</v>
      </c>
      <c r="M3305" s="14"/>
      <c r="N3305" s="15"/>
      <c r="O3305" s="12"/>
      <c r="P3305" s="34"/>
      <c r="Q3305" s="37"/>
      <c r="R3305" s="47"/>
      <c r="S3305" s="46"/>
    </row>
    <row r="3306" spans="1:19" ht="12" hidden="1" customHeight="1" x14ac:dyDescent="0.3">
      <c r="A3306" s="35" t="s">
        <v>908</v>
      </c>
      <c r="B3306" s="49" t="str">
        <f>B3302</f>
        <v>hide</v>
      </c>
      <c r="N3306"/>
      <c r="Q3306" s="33"/>
    </row>
    <row r="3307" spans="1:19" ht="13.8" hidden="1" thickBot="1" x14ac:dyDescent="0.3">
      <c r="A3307" t="s">
        <v>23</v>
      </c>
      <c r="B3307" s="49" t="str">
        <f t="shared" ref="B3307" si="2369">B3306</f>
        <v>hide</v>
      </c>
      <c r="D3307" s="58"/>
      <c r="E3307" s="58"/>
      <c r="F3307" s="52">
        <f>SUM(F3302:F3306)</f>
        <v>0</v>
      </c>
      <c r="G3307" s="52">
        <f>SUM(G3302:G3306)</f>
        <v>0</v>
      </c>
      <c r="H3307" s="52">
        <f>SUM(H3302:H3306)</f>
        <v>0</v>
      </c>
      <c r="I3307" s="52">
        <f>SUM(I3302:I3306)</f>
        <v>0</v>
      </c>
      <c r="J3307" s="52">
        <f>SUM(J3302:J3306)</f>
        <v>0</v>
      </c>
      <c r="K3307" s="52"/>
      <c r="L3307" s="51" t="s">
        <v>4</v>
      </c>
      <c r="M3307" s="58"/>
      <c r="N3307" s="58"/>
      <c r="O3307" s="58"/>
      <c r="P3307" s="58"/>
      <c r="Q3307" s="58"/>
      <c r="R3307" s="58"/>
      <c r="S3307" s="58"/>
    </row>
    <row r="3308" spans="1:19" s="59" customFormat="1" ht="18.75" customHeight="1" thickBot="1" x14ac:dyDescent="0.3">
      <c r="A3308" s="59" t="s">
        <v>23</v>
      </c>
      <c r="B3308" s="60" t="str">
        <f t="shared" ref="B3308:B3309" si="2370">IF(K3308=0,"hide","")</f>
        <v/>
      </c>
      <c r="D3308" s="61" t="str">
        <f>"45301"</f>
        <v>45301</v>
      </c>
      <c r="E3308" s="62" t="str">
        <f>"3"</f>
        <v>3</v>
      </c>
      <c r="F3308" s="63">
        <v>100</v>
      </c>
      <c r="G3308" s="63">
        <v>75</v>
      </c>
      <c r="H3308" s="63">
        <v>60.583333333333336</v>
      </c>
      <c r="I3308" s="63">
        <v>58.416666666666664</v>
      </c>
      <c r="J3308" s="63">
        <v>13.638554216867471</v>
      </c>
      <c r="K3308" s="63">
        <f>AVERAGE(I3308:J3308)</f>
        <v>36.027610441767067</v>
      </c>
      <c r="L3308" s="64" t="str">
        <f>"BLUEBERRY MUFFINS"</f>
        <v>BLUEBERRY MUFFINS</v>
      </c>
      <c r="M3308" s="65" t="str">
        <f>"192-1 oz. 24-8 pack"</f>
        <v>192-1 oz. 24-8 pack</v>
      </c>
      <c r="N3308" s="66">
        <v>192</v>
      </c>
      <c r="O3308" s="67" t="str">
        <f>""</f>
        <v/>
      </c>
      <c r="P3308" s="68" t="e">
        <f>1/O3308</f>
        <v>#VALUE!</v>
      </c>
      <c r="Q3308" s="53">
        <v>1</v>
      </c>
      <c r="R3308" s="69">
        <f t="shared" ref="R3308" si="2371">1/Q3308</f>
        <v>1</v>
      </c>
      <c r="S3308" s="70">
        <f t="shared" ref="S3308" si="2372">R3308*N3308</f>
        <v>192</v>
      </c>
    </row>
    <row r="3309" spans="1:19" ht="15.6" hidden="1" customHeight="1" thickBot="1" x14ac:dyDescent="0.3">
      <c r="A3309" t="s">
        <v>23</v>
      </c>
      <c r="B3309" s="60" t="str">
        <f t="shared" si="2370"/>
        <v>hide</v>
      </c>
      <c r="D3309" s="48" t="str">
        <f>D3308</f>
        <v>45301</v>
      </c>
      <c r="E3309" s="7"/>
      <c r="F3309" s="27">
        <v>0</v>
      </c>
      <c r="G3309" s="27">
        <v>0</v>
      </c>
      <c r="H3309" s="27">
        <v>0</v>
      </c>
      <c r="I3309" s="27">
        <v>0</v>
      </c>
      <c r="J3309" s="27">
        <v>0</v>
      </c>
      <c r="K3309" s="63">
        <f>AVERAGE(I3309:J3309)</f>
        <v>0</v>
      </c>
      <c r="L3309" s="56" t="str">
        <f>"EQP-LAWPACK1"</f>
        <v>EQP-LAWPACK1</v>
      </c>
      <c r="M3309" s="14"/>
      <c r="N3309" s="15"/>
      <c r="O3309" s="12"/>
      <c r="P3309" s="34"/>
      <c r="Q3309" s="37"/>
      <c r="R3309" s="47"/>
      <c r="S3309" s="46"/>
    </row>
    <row r="3310" spans="1:19" ht="15.6" hidden="1" customHeight="1" thickBot="1" x14ac:dyDescent="0.3">
      <c r="A3310" t="s">
        <v>23</v>
      </c>
      <c r="B3310" s="60" t="str">
        <f t="shared" ref="B3310:B3312" si="2373">IF(K3310=0,"hide","")</f>
        <v>hide</v>
      </c>
      <c r="D3310" s="48" t="str">
        <f>D3309</f>
        <v>45301</v>
      </c>
      <c r="E3310" s="7"/>
      <c r="F3310" s="27">
        <v>0</v>
      </c>
      <c r="G3310" s="27">
        <v>0</v>
      </c>
      <c r="H3310" s="27">
        <v>0</v>
      </c>
      <c r="I3310" s="27">
        <v>0</v>
      </c>
      <c r="J3310" s="27">
        <v>0</v>
      </c>
      <c r="K3310" s="63">
        <f>AVERAGE(I3310:J3310)</f>
        <v>0</v>
      </c>
      <c r="L3310" s="56" t="str">
        <f>"EQP-LAWPACK2"</f>
        <v>EQP-LAWPACK2</v>
      </c>
      <c r="M3310" s="14"/>
      <c r="N3310" s="15"/>
      <c r="O3310" s="12"/>
      <c r="P3310" s="34"/>
      <c r="Q3310" s="37"/>
      <c r="R3310" s="47"/>
      <c r="S3310" s="46"/>
    </row>
    <row r="3311" spans="1:19" ht="15.6" hidden="1" customHeight="1" thickBot="1" x14ac:dyDescent="0.3">
      <c r="A3311" t="s">
        <v>23</v>
      </c>
      <c r="B3311" s="60" t="str">
        <f t="shared" si="2373"/>
        <v>hide</v>
      </c>
      <c r="D3311" s="48" t="str">
        <f>D3310</f>
        <v>45301</v>
      </c>
      <c r="E3311" s="7"/>
      <c r="F3311" s="27">
        <v>0</v>
      </c>
      <c r="G3311" s="27">
        <v>0</v>
      </c>
      <c r="H3311" s="27">
        <v>0</v>
      </c>
      <c r="I3311" s="27">
        <v>0</v>
      </c>
      <c r="J3311" s="27">
        <v>0</v>
      </c>
      <c r="K3311" s="63">
        <f>AVERAGE(I3311:J3311)</f>
        <v>0</v>
      </c>
      <c r="L3311" s="56" t="str">
        <f>"SW-COMAS-PACKL"</f>
        <v>SW-COMAS-PACKL</v>
      </c>
      <c r="M3311" s="14"/>
      <c r="N3311" s="15"/>
      <c r="O3311" s="12"/>
      <c r="P3311" s="34"/>
      <c r="Q3311" s="37"/>
      <c r="R3311" s="47"/>
      <c r="S3311" s="46"/>
    </row>
    <row r="3312" spans="1:19" ht="15.6" hidden="1" customHeight="1" thickBot="1" x14ac:dyDescent="0.3">
      <c r="A3312" t="s">
        <v>23</v>
      </c>
      <c r="B3312" s="60" t="str">
        <f t="shared" si="2373"/>
        <v>hide</v>
      </c>
      <c r="D3312" s="48" t="str">
        <f>D3311</f>
        <v>45301</v>
      </c>
      <c r="E3312" s="7"/>
      <c r="F3312" s="27">
        <v>0</v>
      </c>
      <c r="G3312" s="27">
        <v>0</v>
      </c>
      <c r="H3312" s="27">
        <v>0</v>
      </c>
      <c r="I3312" s="27">
        <v>0</v>
      </c>
      <c r="J3312" s="27">
        <v>0</v>
      </c>
      <c r="K3312" s="63">
        <f>AVERAGE(I3312:J3312)</f>
        <v>0</v>
      </c>
      <c r="L3312" s="56" t="str">
        <f>"SW-RISER-PACK"</f>
        <v>SW-RISER-PACK</v>
      </c>
      <c r="M3312" s="14"/>
      <c r="N3312" s="15"/>
      <c r="O3312" s="12"/>
      <c r="P3312" s="34"/>
      <c r="Q3312" s="37"/>
      <c r="R3312" s="47"/>
      <c r="S3312" s="46"/>
    </row>
    <row r="3313" spans="1:19" ht="12" hidden="1" customHeight="1" x14ac:dyDescent="0.3">
      <c r="A3313" s="35" t="s">
        <v>908</v>
      </c>
      <c r="B3313" s="49" t="str">
        <f>B3309</f>
        <v>hide</v>
      </c>
      <c r="N3313"/>
      <c r="Q3313" s="33"/>
    </row>
    <row r="3314" spans="1:19" ht="13.8" hidden="1" thickBot="1" x14ac:dyDescent="0.3">
      <c r="A3314" t="s">
        <v>23</v>
      </c>
      <c r="B3314" s="49" t="str">
        <f t="shared" ref="B3314" si="2374">B3313</f>
        <v>hide</v>
      </c>
      <c r="D3314" s="58"/>
      <c r="E3314" s="58"/>
      <c r="F3314" s="52">
        <f>SUM(F3309:F3313)</f>
        <v>0</v>
      </c>
      <c r="G3314" s="52">
        <f>SUM(G3309:G3313)</f>
        <v>0</v>
      </c>
      <c r="H3314" s="52">
        <f>SUM(H3309:H3313)</f>
        <v>0</v>
      </c>
      <c r="I3314" s="52">
        <f>SUM(I3309:I3313)</f>
        <v>0</v>
      </c>
      <c r="J3314" s="52">
        <f>SUM(J3309:J3313)</f>
        <v>0</v>
      </c>
      <c r="K3314" s="52"/>
      <c r="L3314" s="51" t="s">
        <v>4</v>
      </c>
      <c r="M3314" s="58"/>
      <c r="N3314" s="58"/>
      <c r="O3314" s="58"/>
      <c r="P3314" s="58"/>
      <c r="Q3314" s="58"/>
      <c r="R3314" s="58"/>
      <c r="S3314" s="58"/>
    </row>
    <row r="3315" spans="1:19" s="59" customFormat="1" ht="18.75" customHeight="1" thickBot="1" x14ac:dyDescent="0.3">
      <c r="A3315" s="59" t="s">
        <v>23</v>
      </c>
      <c r="B3315" s="60" t="str">
        <f t="shared" ref="B3315:B3316" si="2375">IF(K3315=0,"hide","")</f>
        <v/>
      </c>
      <c r="D3315" s="61" t="str">
        <f>"45305"</f>
        <v>45305</v>
      </c>
      <c r="E3315" s="62" t="str">
        <f>"2"</f>
        <v>2</v>
      </c>
      <c r="F3315" s="63">
        <v>70.833333333333329</v>
      </c>
      <c r="G3315" s="63">
        <v>66.666666666666671</v>
      </c>
      <c r="H3315" s="63">
        <v>50</v>
      </c>
      <c r="I3315" s="63">
        <v>39.333333333333336</v>
      </c>
      <c r="J3315" s="63">
        <v>10.228915662650603</v>
      </c>
      <c r="K3315" s="63">
        <f>AVERAGE(I3315:J3315)</f>
        <v>24.781124497991968</v>
      </c>
      <c r="L3315" s="64" t="str">
        <f>"CORN MUFFINS"</f>
        <v>CORN MUFFINS</v>
      </c>
      <c r="M3315" s="65" t="str">
        <f>"192-1 oz. 24-8 pack"</f>
        <v>192-1 oz. 24-8 pack</v>
      </c>
      <c r="N3315" s="66">
        <v>192</v>
      </c>
      <c r="O3315" s="67" t="str">
        <f>""</f>
        <v/>
      </c>
      <c r="P3315" s="68" t="e">
        <f>1/O3315</f>
        <v>#VALUE!</v>
      </c>
      <c r="Q3315" s="53">
        <v>1</v>
      </c>
      <c r="R3315" s="69">
        <f t="shared" ref="R3315" si="2376">1/Q3315</f>
        <v>1</v>
      </c>
      <c r="S3315" s="70">
        <f t="shared" ref="S3315" si="2377">R3315*N3315</f>
        <v>192</v>
      </c>
    </row>
    <row r="3316" spans="1:19" ht="15.6" hidden="1" customHeight="1" thickBot="1" x14ac:dyDescent="0.3">
      <c r="A3316" t="s">
        <v>23</v>
      </c>
      <c r="B3316" s="60" t="str">
        <f t="shared" si="2375"/>
        <v>hide</v>
      </c>
      <c r="D3316" s="48" t="str">
        <f>D3315</f>
        <v>45305</v>
      </c>
      <c r="E3316" s="7"/>
      <c r="F3316" s="27">
        <v>0</v>
      </c>
      <c r="G3316" s="27">
        <v>0</v>
      </c>
      <c r="H3316" s="27">
        <v>0</v>
      </c>
      <c r="I3316" s="27">
        <v>0</v>
      </c>
      <c r="J3316" s="27">
        <v>0</v>
      </c>
      <c r="K3316" s="63">
        <f>AVERAGE(I3316:J3316)</f>
        <v>0</v>
      </c>
      <c r="L3316" s="56" t="str">
        <f>"EQP-LAWPACK1"</f>
        <v>EQP-LAWPACK1</v>
      </c>
      <c r="M3316" s="14"/>
      <c r="N3316" s="15"/>
      <c r="O3316" s="12"/>
      <c r="P3316" s="34"/>
      <c r="Q3316" s="37"/>
      <c r="R3316" s="47"/>
      <c r="S3316" s="46"/>
    </row>
    <row r="3317" spans="1:19" ht="15.6" hidden="1" customHeight="1" thickBot="1" x14ac:dyDescent="0.3">
      <c r="A3317" t="s">
        <v>23</v>
      </c>
      <c r="B3317" s="60" t="str">
        <f t="shared" ref="B3317:B3319" si="2378">IF(K3317=0,"hide","")</f>
        <v>hide</v>
      </c>
      <c r="D3317" s="48" t="str">
        <f>D3316</f>
        <v>45305</v>
      </c>
      <c r="E3317" s="7"/>
      <c r="F3317" s="27">
        <v>0</v>
      </c>
      <c r="G3317" s="27">
        <v>0</v>
      </c>
      <c r="H3317" s="27">
        <v>0</v>
      </c>
      <c r="I3317" s="27">
        <v>0</v>
      </c>
      <c r="J3317" s="27">
        <v>0</v>
      </c>
      <c r="K3317" s="63">
        <f>AVERAGE(I3317:J3317)</f>
        <v>0</v>
      </c>
      <c r="L3317" s="56" t="str">
        <f>"EQP-LAWPACK2"</f>
        <v>EQP-LAWPACK2</v>
      </c>
      <c r="M3317" s="14"/>
      <c r="N3317" s="15"/>
      <c r="O3317" s="12"/>
      <c r="P3317" s="34"/>
      <c r="Q3317" s="37"/>
      <c r="R3317" s="47"/>
      <c r="S3317" s="46"/>
    </row>
    <row r="3318" spans="1:19" ht="15.6" hidden="1" customHeight="1" thickBot="1" x14ac:dyDescent="0.3">
      <c r="A3318" t="s">
        <v>23</v>
      </c>
      <c r="B3318" s="60" t="str">
        <f t="shared" si="2378"/>
        <v>hide</v>
      </c>
      <c r="D3318" s="48" t="str">
        <f>D3317</f>
        <v>45305</v>
      </c>
      <c r="E3318" s="7"/>
      <c r="F3318" s="27">
        <v>0</v>
      </c>
      <c r="G3318" s="27">
        <v>0</v>
      </c>
      <c r="H3318" s="27">
        <v>0</v>
      </c>
      <c r="I3318" s="27">
        <v>0</v>
      </c>
      <c r="J3318" s="27">
        <v>0</v>
      </c>
      <c r="K3318" s="63">
        <f>AVERAGE(I3318:J3318)</f>
        <v>0</v>
      </c>
      <c r="L3318" s="56" t="str">
        <f>"SW-COMAS-PACKL"</f>
        <v>SW-COMAS-PACKL</v>
      </c>
      <c r="M3318" s="14"/>
      <c r="N3318" s="15"/>
      <c r="O3318" s="12"/>
      <c r="P3318" s="34"/>
      <c r="Q3318" s="37"/>
      <c r="R3318" s="47"/>
      <c r="S3318" s="46"/>
    </row>
    <row r="3319" spans="1:19" ht="15.6" hidden="1" customHeight="1" thickBot="1" x14ac:dyDescent="0.3">
      <c r="A3319" t="s">
        <v>23</v>
      </c>
      <c r="B3319" s="60" t="str">
        <f t="shared" si="2378"/>
        <v>hide</v>
      </c>
      <c r="D3319" s="48" t="str">
        <f>D3318</f>
        <v>45305</v>
      </c>
      <c r="E3319" s="7"/>
      <c r="F3319" s="27">
        <v>0</v>
      </c>
      <c r="G3319" s="27">
        <v>0</v>
      </c>
      <c r="H3319" s="27">
        <v>0</v>
      </c>
      <c r="I3319" s="27">
        <v>0</v>
      </c>
      <c r="J3319" s="27">
        <v>0</v>
      </c>
      <c r="K3319" s="63">
        <f>AVERAGE(I3319:J3319)</f>
        <v>0</v>
      </c>
      <c r="L3319" s="56" t="str">
        <f>"SW-RISER-PACK"</f>
        <v>SW-RISER-PACK</v>
      </c>
      <c r="M3319" s="14"/>
      <c r="N3319" s="15"/>
      <c r="O3319" s="12"/>
      <c r="P3319" s="34"/>
      <c r="Q3319" s="37"/>
      <c r="R3319" s="47"/>
      <c r="S3319" s="46"/>
    </row>
    <row r="3320" spans="1:19" ht="12" hidden="1" customHeight="1" x14ac:dyDescent="0.3">
      <c r="A3320" s="35" t="s">
        <v>908</v>
      </c>
      <c r="B3320" s="49" t="str">
        <f>B3316</f>
        <v>hide</v>
      </c>
      <c r="N3320"/>
      <c r="Q3320" s="33"/>
    </row>
    <row r="3321" spans="1:19" ht="13.8" hidden="1" thickBot="1" x14ac:dyDescent="0.3">
      <c r="A3321" t="s">
        <v>23</v>
      </c>
      <c r="B3321" s="49" t="str">
        <f t="shared" ref="B3321" si="2379">B3320</f>
        <v>hide</v>
      </c>
      <c r="D3321" s="58"/>
      <c r="E3321" s="58"/>
      <c r="F3321" s="52">
        <f>SUM(F3316:F3320)</f>
        <v>0</v>
      </c>
      <c r="G3321" s="52">
        <f>SUM(G3316:G3320)</f>
        <v>0</v>
      </c>
      <c r="H3321" s="52">
        <f>SUM(H3316:H3320)</f>
        <v>0</v>
      </c>
      <c r="I3321" s="52">
        <f>SUM(I3316:I3320)</f>
        <v>0</v>
      </c>
      <c r="J3321" s="52">
        <f>SUM(J3316:J3320)</f>
        <v>0</v>
      </c>
      <c r="K3321" s="52"/>
      <c r="L3321" s="51" t="s">
        <v>4</v>
      </c>
      <c r="M3321" s="58"/>
      <c r="N3321" s="58"/>
      <c r="O3321" s="58"/>
      <c r="P3321" s="58"/>
      <c r="Q3321" s="58"/>
      <c r="R3321" s="58"/>
      <c r="S3321" s="58"/>
    </row>
    <row r="3322" spans="1:19" s="59" customFormat="1" ht="18.75" hidden="1" customHeight="1" thickBot="1" x14ac:dyDescent="0.3">
      <c r="A3322" s="59" t="s">
        <v>23</v>
      </c>
      <c r="B3322" s="60" t="str">
        <f t="shared" ref="B3322:B3323" si="2380">IF(K3322=0,"hide","")</f>
        <v>hide</v>
      </c>
      <c r="D3322" s="61" t="str">
        <f>"45306"</f>
        <v>45306</v>
      </c>
      <c r="E3322" s="62" t="str">
        <f>"2"</f>
        <v>2</v>
      </c>
      <c r="F3322" s="63">
        <v>2.5</v>
      </c>
      <c r="G3322" s="63">
        <v>0</v>
      </c>
      <c r="H3322" s="63">
        <v>0</v>
      </c>
      <c r="I3322" s="63">
        <v>0</v>
      </c>
      <c r="J3322" s="63">
        <v>0</v>
      </c>
      <c r="K3322" s="63">
        <f>AVERAGE(I3322:J3322)</f>
        <v>0</v>
      </c>
      <c r="L3322" s="64" t="str">
        <f>"APPLE CINNAMON MUFFINS"</f>
        <v>APPLE CINNAMON MUFFINS</v>
      </c>
      <c r="M3322" s="65" t="str">
        <f>"192-1 oz. 24-8 pack"</f>
        <v>192-1 oz. 24-8 pack</v>
      </c>
      <c r="N3322" s="66">
        <v>192</v>
      </c>
      <c r="O3322" s="67" t="str">
        <f>""</f>
        <v/>
      </c>
      <c r="P3322" s="68" t="e">
        <f>1/O3322</f>
        <v>#VALUE!</v>
      </c>
      <c r="Q3322" s="53">
        <v>1</v>
      </c>
      <c r="R3322" s="69">
        <f t="shared" ref="R3322" si="2381">1/Q3322</f>
        <v>1</v>
      </c>
      <c r="S3322" s="70">
        <f t="shared" ref="S3322" si="2382">R3322*N3322</f>
        <v>192</v>
      </c>
    </row>
    <row r="3323" spans="1:19" ht="15.6" hidden="1" customHeight="1" thickBot="1" x14ac:dyDescent="0.3">
      <c r="A3323" t="s">
        <v>23</v>
      </c>
      <c r="B3323" s="60" t="str">
        <f t="shared" si="2380"/>
        <v>hide</v>
      </c>
      <c r="D3323" s="48" t="str">
        <f>D3322</f>
        <v>45306</v>
      </c>
      <c r="E3323" s="7"/>
      <c r="F3323" s="27">
        <v>0</v>
      </c>
      <c r="G3323" s="27">
        <v>0</v>
      </c>
      <c r="H3323" s="27">
        <v>0</v>
      </c>
      <c r="I3323" s="27">
        <v>0</v>
      </c>
      <c r="J3323" s="27">
        <v>0</v>
      </c>
      <c r="K3323" s="63">
        <f>AVERAGE(I3323:J3323)</f>
        <v>0</v>
      </c>
      <c r="L3323" s="56" t="str">
        <f>"EQP-LAWPACK1"</f>
        <v>EQP-LAWPACK1</v>
      </c>
      <c r="M3323" s="14"/>
      <c r="N3323" s="15"/>
      <c r="O3323" s="12"/>
      <c r="P3323" s="34"/>
      <c r="Q3323" s="37"/>
      <c r="R3323" s="47"/>
      <c r="S3323" s="46"/>
    </row>
    <row r="3324" spans="1:19" ht="15.6" hidden="1" customHeight="1" thickBot="1" x14ac:dyDescent="0.3">
      <c r="A3324" t="s">
        <v>23</v>
      </c>
      <c r="B3324" s="60" t="str">
        <f t="shared" ref="B3324:B3326" si="2383">IF(K3324=0,"hide","")</f>
        <v>hide</v>
      </c>
      <c r="D3324" s="48" t="str">
        <f>D3323</f>
        <v>45306</v>
      </c>
      <c r="E3324" s="7"/>
      <c r="F3324" s="27">
        <v>0</v>
      </c>
      <c r="G3324" s="27">
        <v>0</v>
      </c>
      <c r="H3324" s="27">
        <v>0</v>
      </c>
      <c r="I3324" s="27">
        <v>0</v>
      </c>
      <c r="J3324" s="27">
        <v>0</v>
      </c>
      <c r="K3324" s="63">
        <f>AVERAGE(I3324:J3324)</f>
        <v>0</v>
      </c>
      <c r="L3324" s="56" t="str">
        <f>"EQP-LAWPACK2"</f>
        <v>EQP-LAWPACK2</v>
      </c>
      <c r="M3324" s="14"/>
      <c r="N3324" s="15"/>
      <c r="O3324" s="12"/>
      <c r="P3324" s="34"/>
      <c r="Q3324" s="37"/>
      <c r="R3324" s="47"/>
      <c r="S3324" s="46"/>
    </row>
    <row r="3325" spans="1:19" ht="15.6" hidden="1" customHeight="1" thickBot="1" x14ac:dyDescent="0.3">
      <c r="A3325" t="s">
        <v>23</v>
      </c>
      <c r="B3325" s="60" t="str">
        <f t="shared" si="2383"/>
        <v>hide</v>
      </c>
      <c r="D3325" s="48" t="str">
        <f>D3324</f>
        <v>45306</v>
      </c>
      <c r="E3325" s="7"/>
      <c r="F3325" s="27">
        <v>0</v>
      </c>
      <c r="G3325" s="27">
        <v>0</v>
      </c>
      <c r="H3325" s="27">
        <v>0</v>
      </c>
      <c r="I3325" s="27">
        <v>0</v>
      </c>
      <c r="J3325" s="27">
        <v>0</v>
      </c>
      <c r="K3325" s="63">
        <f>AVERAGE(I3325:J3325)</f>
        <v>0</v>
      </c>
      <c r="L3325" s="56" t="str">
        <f>"SW-COMAS-PACKL"</f>
        <v>SW-COMAS-PACKL</v>
      </c>
      <c r="M3325" s="14"/>
      <c r="N3325" s="15"/>
      <c r="O3325" s="12"/>
      <c r="P3325" s="34"/>
      <c r="Q3325" s="37"/>
      <c r="R3325" s="47"/>
      <c r="S3325" s="46"/>
    </row>
    <row r="3326" spans="1:19" ht="15.6" hidden="1" customHeight="1" thickBot="1" x14ac:dyDescent="0.3">
      <c r="A3326" t="s">
        <v>23</v>
      </c>
      <c r="B3326" s="60" t="str">
        <f t="shared" si="2383"/>
        <v>hide</v>
      </c>
      <c r="D3326" s="48" t="str">
        <f>D3325</f>
        <v>45306</v>
      </c>
      <c r="E3326" s="7"/>
      <c r="F3326" s="27">
        <v>0</v>
      </c>
      <c r="G3326" s="27">
        <v>0</v>
      </c>
      <c r="H3326" s="27">
        <v>0</v>
      </c>
      <c r="I3326" s="27">
        <v>0</v>
      </c>
      <c r="J3326" s="27">
        <v>0</v>
      </c>
      <c r="K3326" s="63">
        <f>AVERAGE(I3326:J3326)</f>
        <v>0</v>
      </c>
      <c r="L3326" s="56" t="str">
        <f>"SW-RISER-PACK"</f>
        <v>SW-RISER-PACK</v>
      </c>
      <c r="M3326" s="14"/>
      <c r="N3326" s="15"/>
      <c r="O3326" s="12"/>
      <c r="P3326" s="34"/>
      <c r="Q3326" s="37"/>
      <c r="R3326" s="47"/>
      <c r="S3326" s="46"/>
    </row>
    <row r="3327" spans="1:19" ht="12" hidden="1" customHeight="1" x14ac:dyDescent="0.3">
      <c r="A3327" s="35" t="s">
        <v>908</v>
      </c>
      <c r="B3327" s="49" t="str">
        <f>B3323</f>
        <v>hide</v>
      </c>
      <c r="N3327"/>
      <c r="Q3327" s="33"/>
    </row>
    <row r="3328" spans="1:19" ht="13.8" hidden="1" thickBot="1" x14ac:dyDescent="0.3">
      <c r="A3328" t="s">
        <v>23</v>
      </c>
      <c r="B3328" s="49" t="str">
        <f t="shared" ref="B3328" si="2384">B3327</f>
        <v>hide</v>
      </c>
      <c r="D3328" s="58"/>
      <c r="E3328" s="58"/>
      <c r="F3328" s="52">
        <f>SUM(F3323:F3327)</f>
        <v>0</v>
      </c>
      <c r="G3328" s="52">
        <f>SUM(G3323:G3327)</f>
        <v>0</v>
      </c>
      <c r="H3328" s="52">
        <f>SUM(H3323:H3327)</f>
        <v>0</v>
      </c>
      <c r="I3328" s="52">
        <f>SUM(I3323:I3327)</f>
        <v>0</v>
      </c>
      <c r="J3328" s="52">
        <f>SUM(J3323:J3327)</f>
        <v>0</v>
      </c>
      <c r="K3328" s="52"/>
      <c r="L3328" s="51" t="s">
        <v>4</v>
      </c>
      <c r="M3328" s="58"/>
      <c r="N3328" s="58"/>
      <c r="O3328" s="58"/>
      <c r="P3328" s="58"/>
      <c r="Q3328" s="58"/>
      <c r="R3328" s="58"/>
      <c r="S3328" s="58"/>
    </row>
    <row r="3329" spans="1:19" s="59" customFormat="1" ht="18.75" customHeight="1" thickBot="1" x14ac:dyDescent="0.3">
      <c r="A3329" s="59" t="s">
        <v>23</v>
      </c>
      <c r="B3329" s="60" t="str">
        <f t="shared" ref="B3329:B3330" si="2385">IF(K3329=0,"hide","")</f>
        <v/>
      </c>
      <c r="D3329" s="61" t="str">
        <f>"45310"</f>
        <v>45310</v>
      </c>
      <c r="E3329" s="62" t="str">
        <f>"2"</f>
        <v>2</v>
      </c>
      <c r="F3329" s="63">
        <v>95.583333333333329</v>
      </c>
      <c r="G3329" s="63">
        <v>70.833333333333329</v>
      </c>
      <c r="H3329" s="63">
        <v>58.333333333333336</v>
      </c>
      <c r="I3329" s="63">
        <v>58.333333333333336</v>
      </c>
      <c r="J3329" s="63">
        <v>3.4096385542168677</v>
      </c>
      <c r="K3329" s="63">
        <f>AVERAGE(I3329:J3329)</f>
        <v>30.871485943775102</v>
      </c>
      <c r="L3329" s="64" t="str">
        <f>"CHOCOLATE CHIP MUFFINS"</f>
        <v>CHOCOLATE CHIP MUFFINS</v>
      </c>
      <c r="M3329" s="65" t="str">
        <f>"192-1 oz. 24-8 pack"</f>
        <v>192-1 oz. 24-8 pack</v>
      </c>
      <c r="N3329" s="66">
        <v>192</v>
      </c>
      <c r="O3329" s="67" t="str">
        <f>""</f>
        <v/>
      </c>
      <c r="P3329" s="68" t="e">
        <f>1/O3329</f>
        <v>#VALUE!</v>
      </c>
      <c r="Q3329" s="53">
        <v>1</v>
      </c>
      <c r="R3329" s="69">
        <f t="shared" ref="R3329" si="2386">1/Q3329</f>
        <v>1</v>
      </c>
      <c r="S3329" s="70">
        <f t="shared" ref="S3329" si="2387">R3329*N3329</f>
        <v>192</v>
      </c>
    </row>
    <row r="3330" spans="1:19" ht="15.6" hidden="1" customHeight="1" thickBot="1" x14ac:dyDescent="0.3">
      <c r="A3330" t="s">
        <v>23</v>
      </c>
      <c r="B3330" s="60" t="str">
        <f t="shared" si="2385"/>
        <v>hide</v>
      </c>
      <c r="D3330" s="48" t="str">
        <f>D3329</f>
        <v>45310</v>
      </c>
      <c r="E3330" s="7"/>
      <c r="F3330" s="27">
        <v>0</v>
      </c>
      <c r="G3330" s="27">
        <v>0</v>
      </c>
      <c r="H3330" s="27">
        <v>0</v>
      </c>
      <c r="I3330" s="27">
        <v>0</v>
      </c>
      <c r="J3330" s="27">
        <v>0</v>
      </c>
      <c r="K3330" s="63">
        <f>AVERAGE(I3330:J3330)</f>
        <v>0</v>
      </c>
      <c r="L3330" s="56" t="str">
        <f>"EQP-LAWPACK1"</f>
        <v>EQP-LAWPACK1</v>
      </c>
      <c r="M3330" s="14"/>
      <c r="N3330" s="15"/>
      <c r="O3330" s="12"/>
      <c r="P3330" s="34"/>
      <c r="Q3330" s="37"/>
      <c r="R3330" s="47"/>
      <c r="S3330" s="46"/>
    </row>
    <row r="3331" spans="1:19" ht="15.6" hidden="1" customHeight="1" thickBot="1" x14ac:dyDescent="0.3">
      <c r="A3331" t="s">
        <v>23</v>
      </c>
      <c r="B3331" s="60" t="str">
        <f t="shared" ref="B3331:B3333" si="2388">IF(K3331=0,"hide","")</f>
        <v>hide</v>
      </c>
      <c r="D3331" s="48" t="str">
        <f>D3330</f>
        <v>45310</v>
      </c>
      <c r="E3331" s="7"/>
      <c r="F3331" s="27">
        <v>0</v>
      </c>
      <c r="G3331" s="27">
        <v>0</v>
      </c>
      <c r="H3331" s="27">
        <v>0</v>
      </c>
      <c r="I3331" s="27">
        <v>0</v>
      </c>
      <c r="J3331" s="27">
        <v>0</v>
      </c>
      <c r="K3331" s="63">
        <f>AVERAGE(I3331:J3331)</f>
        <v>0</v>
      </c>
      <c r="L3331" s="56" t="str">
        <f>"EQP-LAWPACK2"</f>
        <v>EQP-LAWPACK2</v>
      </c>
      <c r="M3331" s="14"/>
      <c r="N3331" s="15"/>
      <c r="O3331" s="12"/>
      <c r="P3331" s="34"/>
      <c r="Q3331" s="37"/>
      <c r="R3331" s="47"/>
      <c r="S3331" s="46"/>
    </row>
    <row r="3332" spans="1:19" ht="15.6" hidden="1" customHeight="1" thickBot="1" x14ac:dyDescent="0.3">
      <c r="A3332" t="s">
        <v>23</v>
      </c>
      <c r="B3332" s="60" t="str">
        <f t="shared" si="2388"/>
        <v>hide</v>
      </c>
      <c r="D3332" s="48" t="str">
        <f>D3331</f>
        <v>45310</v>
      </c>
      <c r="E3332" s="7"/>
      <c r="F3332" s="27">
        <v>0</v>
      </c>
      <c r="G3332" s="27">
        <v>0</v>
      </c>
      <c r="H3332" s="27">
        <v>0</v>
      </c>
      <c r="I3332" s="27">
        <v>0</v>
      </c>
      <c r="J3332" s="27">
        <v>0</v>
      </c>
      <c r="K3332" s="63">
        <f>AVERAGE(I3332:J3332)</f>
        <v>0</v>
      </c>
      <c r="L3332" s="56" t="str">
        <f>"SW-COMAS-PACKL"</f>
        <v>SW-COMAS-PACKL</v>
      </c>
      <c r="M3332" s="14"/>
      <c r="N3332" s="15"/>
      <c r="O3332" s="12"/>
      <c r="P3332" s="34"/>
      <c r="Q3332" s="37"/>
      <c r="R3332" s="47"/>
      <c r="S3332" s="46"/>
    </row>
    <row r="3333" spans="1:19" ht="15.6" hidden="1" customHeight="1" thickBot="1" x14ac:dyDescent="0.3">
      <c r="A3333" t="s">
        <v>23</v>
      </c>
      <c r="B3333" s="60" t="str">
        <f t="shared" si="2388"/>
        <v>hide</v>
      </c>
      <c r="D3333" s="48" t="str">
        <f>D3332</f>
        <v>45310</v>
      </c>
      <c r="E3333" s="7"/>
      <c r="F3333" s="27">
        <v>0</v>
      </c>
      <c r="G3333" s="27">
        <v>0</v>
      </c>
      <c r="H3333" s="27">
        <v>0</v>
      </c>
      <c r="I3333" s="27">
        <v>0</v>
      </c>
      <c r="J3333" s="27">
        <v>0</v>
      </c>
      <c r="K3333" s="63">
        <f>AVERAGE(I3333:J3333)</f>
        <v>0</v>
      </c>
      <c r="L3333" s="56" t="str">
        <f>"SW-RISER-PACK"</f>
        <v>SW-RISER-PACK</v>
      </c>
      <c r="M3333" s="14"/>
      <c r="N3333" s="15"/>
      <c r="O3333" s="12"/>
      <c r="P3333" s="34"/>
      <c r="Q3333" s="37"/>
      <c r="R3333" s="47"/>
      <c r="S3333" s="46"/>
    </row>
    <row r="3334" spans="1:19" ht="12" hidden="1" customHeight="1" x14ac:dyDescent="0.3">
      <c r="A3334" s="35" t="s">
        <v>908</v>
      </c>
      <c r="B3334" s="49" t="str">
        <f>B3330</f>
        <v>hide</v>
      </c>
      <c r="N3334"/>
      <c r="Q3334" s="33"/>
    </row>
    <row r="3335" spans="1:19" ht="13.8" hidden="1" thickBot="1" x14ac:dyDescent="0.3">
      <c r="A3335" t="s">
        <v>23</v>
      </c>
      <c r="B3335" s="49" t="str">
        <f t="shared" ref="B3335" si="2389">B3334</f>
        <v>hide</v>
      </c>
      <c r="D3335" s="58"/>
      <c r="E3335" s="58"/>
      <c r="F3335" s="52">
        <f>SUM(F3330:F3334)</f>
        <v>0</v>
      </c>
      <c r="G3335" s="52">
        <f>SUM(G3330:G3334)</f>
        <v>0</v>
      </c>
      <c r="H3335" s="52">
        <f>SUM(H3330:H3334)</f>
        <v>0</v>
      </c>
      <c r="I3335" s="52">
        <f>SUM(I3330:I3334)</f>
        <v>0</v>
      </c>
      <c r="J3335" s="52">
        <f>SUM(J3330:J3334)</f>
        <v>0</v>
      </c>
      <c r="K3335" s="52"/>
      <c r="L3335" s="51" t="s">
        <v>4</v>
      </c>
      <c r="M3335" s="58"/>
      <c r="N3335" s="58"/>
      <c r="O3335" s="58"/>
      <c r="P3335" s="58"/>
      <c r="Q3335" s="58"/>
      <c r="R3335" s="58"/>
      <c r="S3335" s="58"/>
    </row>
    <row r="3336" spans="1:19" s="59" customFormat="1" ht="18.75" customHeight="1" thickBot="1" x14ac:dyDescent="0.3">
      <c r="A3336" s="59" t="s">
        <v>23</v>
      </c>
      <c r="B3336" s="60" t="str">
        <f t="shared" ref="B3336:B3337" si="2390">IF(K3336=0,"hide","")</f>
        <v/>
      </c>
      <c r="D3336" s="61" t="str">
        <f>"45322"</f>
        <v>45322</v>
      </c>
      <c r="E3336" s="62" t="str">
        <f>"2"</f>
        <v>2</v>
      </c>
      <c r="F3336" s="63">
        <v>45.833333333333336</v>
      </c>
      <c r="G3336" s="63">
        <v>33.083333333333336</v>
      </c>
      <c r="H3336" s="63">
        <v>29.166666666666668</v>
      </c>
      <c r="I3336" s="63">
        <v>25</v>
      </c>
      <c r="J3336" s="63">
        <v>3.4096385542168677</v>
      </c>
      <c r="K3336" s="63">
        <f>AVERAGE(I3336:J3336)</f>
        <v>14.204819277108435</v>
      </c>
      <c r="L3336" s="64" t="str">
        <f>"LEMON POPPY MUFFINS"</f>
        <v>LEMON POPPY MUFFINS</v>
      </c>
      <c r="M3336" s="65" t="str">
        <f>"192-1 oz. 24-8 pack"</f>
        <v>192-1 oz. 24-8 pack</v>
      </c>
      <c r="N3336" s="66">
        <v>192</v>
      </c>
      <c r="O3336" s="67" t="str">
        <f>""</f>
        <v/>
      </c>
      <c r="P3336" s="68" t="e">
        <f>1/O3336</f>
        <v>#VALUE!</v>
      </c>
      <c r="Q3336" s="53">
        <v>1</v>
      </c>
      <c r="R3336" s="69">
        <f t="shared" ref="R3336" si="2391">1/Q3336</f>
        <v>1</v>
      </c>
      <c r="S3336" s="70">
        <f t="shared" ref="S3336" si="2392">R3336*N3336</f>
        <v>192</v>
      </c>
    </row>
    <row r="3337" spans="1:19" ht="15.6" hidden="1" customHeight="1" thickBot="1" x14ac:dyDescent="0.3">
      <c r="A3337" t="s">
        <v>23</v>
      </c>
      <c r="B3337" s="60" t="str">
        <f t="shared" si="2390"/>
        <v>hide</v>
      </c>
      <c r="D3337" s="48" t="str">
        <f>D3336</f>
        <v>45322</v>
      </c>
      <c r="E3337" s="7"/>
      <c r="F3337" s="27">
        <v>0</v>
      </c>
      <c r="G3337" s="27">
        <v>0</v>
      </c>
      <c r="H3337" s="27">
        <v>0</v>
      </c>
      <c r="I3337" s="27">
        <v>0</v>
      </c>
      <c r="J3337" s="27">
        <v>0</v>
      </c>
      <c r="K3337" s="63">
        <f>AVERAGE(I3337:J3337)</f>
        <v>0</v>
      </c>
      <c r="L3337" s="56" t="str">
        <f>"EQP-LAWPACK1"</f>
        <v>EQP-LAWPACK1</v>
      </c>
      <c r="M3337" s="14"/>
      <c r="N3337" s="15"/>
      <c r="O3337" s="12"/>
      <c r="P3337" s="34"/>
      <c r="Q3337" s="37"/>
      <c r="R3337" s="47"/>
      <c r="S3337" s="46"/>
    </row>
    <row r="3338" spans="1:19" ht="15.6" hidden="1" customHeight="1" thickBot="1" x14ac:dyDescent="0.3">
      <c r="A3338" t="s">
        <v>23</v>
      </c>
      <c r="B3338" s="60" t="str">
        <f t="shared" ref="B3338:B3340" si="2393">IF(K3338=0,"hide","")</f>
        <v>hide</v>
      </c>
      <c r="D3338" s="48" t="str">
        <f>D3337</f>
        <v>45322</v>
      </c>
      <c r="E3338" s="7"/>
      <c r="F3338" s="27">
        <v>0</v>
      </c>
      <c r="G3338" s="27">
        <v>0</v>
      </c>
      <c r="H3338" s="27">
        <v>0</v>
      </c>
      <c r="I3338" s="27">
        <v>0</v>
      </c>
      <c r="J3338" s="27">
        <v>0</v>
      </c>
      <c r="K3338" s="63">
        <f>AVERAGE(I3338:J3338)</f>
        <v>0</v>
      </c>
      <c r="L3338" s="56" t="str">
        <f>"EQP-LAWPACK2"</f>
        <v>EQP-LAWPACK2</v>
      </c>
      <c r="M3338" s="14"/>
      <c r="N3338" s="15"/>
      <c r="O3338" s="12"/>
      <c r="P3338" s="34"/>
      <c r="Q3338" s="37"/>
      <c r="R3338" s="47"/>
      <c r="S3338" s="46"/>
    </row>
    <row r="3339" spans="1:19" ht="15.6" hidden="1" customHeight="1" thickBot="1" x14ac:dyDescent="0.3">
      <c r="A3339" t="s">
        <v>23</v>
      </c>
      <c r="B3339" s="60" t="str">
        <f t="shared" si="2393"/>
        <v>hide</v>
      </c>
      <c r="D3339" s="48" t="str">
        <f>D3338</f>
        <v>45322</v>
      </c>
      <c r="E3339" s="7"/>
      <c r="F3339" s="27">
        <v>0</v>
      </c>
      <c r="G3339" s="27">
        <v>0</v>
      </c>
      <c r="H3339" s="27">
        <v>0</v>
      </c>
      <c r="I3339" s="27">
        <v>0</v>
      </c>
      <c r="J3339" s="27">
        <v>0</v>
      </c>
      <c r="K3339" s="63">
        <f>AVERAGE(I3339:J3339)</f>
        <v>0</v>
      </c>
      <c r="L3339" s="56" t="str">
        <f>"SW-COMAS-PACKL"</f>
        <v>SW-COMAS-PACKL</v>
      </c>
      <c r="M3339" s="14"/>
      <c r="N3339" s="15"/>
      <c r="O3339" s="12"/>
      <c r="P3339" s="34"/>
      <c r="Q3339" s="37"/>
      <c r="R3339" s="47"/>
      <c r="S3339" s="46"/>
    </row>
    <row r="3340" spans="1:19" ht="15.6" hidden="1" customHeight="1" thickBot="1" x14ac:dyDescent="0.3">
      <c r="A3340" t="s">
        <v>23</v>
      </c>
      <c r="B3340" s="60" t="str">
        <f t="shared" si="2393"/>
        <v>hide</v>
      </c>
      <c r="D3340" s="48" t="str">
        <f>D3339</f>
        <v>45322</v>
      </c>
      <c r="E3340" s="7"/>
      <c r="F3340" s="27">
        <v>0</v>
      </c>
      <c r="G3340" s="27">
        <v>0</v>
      </c>
      <c r="H3340" s="27">
        <v>0</v>
      </c>
      <c r="I3340" s="27">
        <v>0</v>
      </c>
      <c r="J3340" s="27">
        <v>0</v>
      </c>
      <c r="K3340" s="63">
        <f>AVERAGE(I3340:J3340)</f>
        <v>0</v>
      </c>
      <c r="L3340" s="56" t="str">
        <f>"SW-RISER-PACK"</f>
        <v>SW-RISER-PACK</v>
      </c>
      <c r="M3340" s="14"/>
      <c r="N3340" s="15"/>
      <c r="O3340" s="12"/>
      <c r="P3340" s="34"/>
      <c r="Q3340" s="37"/>
      <c r="R3340" s="47"/>
      <c r="S3340" s="46"/>
    </row>
    <row r="3341" spans="1:19" ht="12" hidden="1" customHeight="1" x14ac:dyDescent="0.3">
      <c r="A3341" s="35" t="s">
        <v>908</v>
      </c>
      <c r="B3341" s="49" t="str">
        <f>B3337</f>
        <v>hide</v>
      </c>
      <c r="N3341"/>
      <c r="Q3341" s="33"/>
    </row>
    <row r="3342" spans="1:19" ht="13.8" hidden="1" thickBot="1" x14ac:dyDescent="0.3">
      <c r="A3342" t="s">
        <v>23</v>
      </c>
      <c r="B3342" s="49" t="str">
        <f t="shared" ref="B3342" si="2394">B3341</f>
        <v>hide</v>
      </c>
      <c r="D3342" s="58"/>
      <c r="E3342" s="58"/>
      <c r="F3342" s="52">
        <f>SUM(F3337:F3341)</f>
        <v>0</v>
      </c>
      <c r="G3342" s="52">
        <f>SUM(G3337:G3341)</f>
        <v>0</v>
      </c>
      <c r="H3342" s="52">
        <f>SUM(H3337:H3341)</f>
        <v>0</v>
      </c>
      <c r="I3342" s="52">
        <f>SUM(I3337:I3341)</f>
        <v>0</v>
      </c>
      <c r="J3342" s="52">
        <f>SUM(J3337:J3341)</f>
        <v>0</v>
      </c>
      <c r="K3342" s="52"/>
      <c r="L3342" s="51" t="s">
        <v>4</v>
      </c>
      <c r="M3342" s="58"/>
      <c r="N3342" s="58"/>
      <c r="O3342" s="58"/>
      <c r="P3342" s="58"/>
      <c r="Q3342" s="58"/>
      <c r="R3342" s="58"/>
      <c r="S3342" s="58"/>
    </row>
    <row r="3343" spans="1:19" s="59" customFormat="1" ht="18.75" hidden="1" customHeight="1" thickBot="1" x14ac:dyDescent="0.3">
      <c r="A3343" s="59" t="s">
        <v>23</v>
      </c>
      <c r="B3343" s="60" t="str">
        <f t="shared" ref="B3343:B3344" si="2395">IF(K3343=0,"hide","")</f>
        <v>hide</v>
      </c>
      <c r="D3343" s="61" t="str">
        <f>"45348"</f>
        <v>45348</v>
      </c>
      <c r="E3343" s="62" t="str">
        <f>"2"</f>
        <v>2</v>
      </c>
      <c r="F3343" s="63">
        <v>0</v>
      </c>
      <c r="G3343" s="63">
        <v>0</v>
      </c>
      <c r="H3343" s="63">
        <v>0</v>
      </c>
      <c r="I3343" s="63">
        <v>0</v>
      </c>
      <c r="J3343" s="63">
        <v>0</v>
      </c>
      <c r="K3343" s="63">
        <f>AVERAGE(I3343:J3343)</f>
        <v>0</v>
      </c>
      <c r="L3343" s="64" t="str">
        <f>"PUMPKIN MUFFINS"</f>
        <v>PUMPKIN MUFFINS</v>
      </c>
      <c r="M3343" s="65" t="str">
        <f>"192-1 oz. 24-8 pack"</f>
        <v>192-1 oz. 24-8 pack</v>
      </c>
      <c r="N3343" s="66">
        <v>192</v>
      </c>
      <c r="O3343" s="67" t="str">
        <f>""</f>
        <v/>
      </c>
      <c r="P3343" s="68" t="e">
        <f>1/O3343</f>
        <v>#VALUE!</v>
      </c>
      <c r="Q3343" s="53">
        <v>1</v>
      </c>
      <c r="R3343" s="69">
        <f t="shared" ref="R3343" si="2396">1/Q3343</f>
        <v>1</v>
      </c>
      <c r="S3343" s="70">
        <f t="shared" ref="S3343" si="2397">R3343*N3343</f>
        <v>192</v>
      </c>
    </row>
    <row r="3344" spans="1:19" ht="15.6" hidden="1" customHeight="1" thickBot="1" x14ac:dyDescent="0.3">
      <c r="A3344" t="s">
        <v>23</v>
      </c>
      <c r="B3344" s="60" t="str">
        <f t="shared" si="2395"/>
        <v>hide</v>
      </c>
      <c r="D3344" s="48" t="str">
        <f>D3343</f>
        <v>45348</v>
      </c>
      <c r="E3344" s="7"/>
      <c r="F3344" s="27">
        <v>0</v>
      </c>
      <c r="G3344" s="27">
        <v>0</v>
      </c>
      <c r="H3344" s="27">
        <v>0</v>
      </c>
      <c r="I3344" s="27">
        <v>0</v>
      </c>
      <c r="J3344" s="27">
        <v>0</v>
      </c>
      <c r="K3344" s="63">
        <f>AVERAGE(I3344:J3344)</f>
        <v>0</v>
      </c>
      <c r="L3344" s="56" t="str">
        <f>"EQP-LAWPACK1"</f>
        <v>EQP-LAWPACK1</v>
      </c>
      <c r="M3344" s="14"/>
      <c r="N3344" s="15"/>
      <c r="O3344" s="12"/>
      <c r="P3344" s="34"/>
      <c r="Q3344" s="37"/>
      <c r="R3344" s="47"/>
      <c r="S3344" s="46"/>
    </row>
    <row r="3345" spans="1:19" ht="15.6" hidden="1" customHeight="1" thickBot="1" x14ac:dyDescent="0.3">
      <c r="A3345" t="s">
        <v>23</v>
      </c>
      <c r="B3345" s="60" t="str">
        <f t="shared" ref="B3345:B3347" si="2398">IF(K3345=0,"hide","")</f>
        <v>hide</v>
      </c>
      <c r="D3345" s="48" t="str">
        <f>D3344</f>
        <v>45348</v>
      </c>
      <c r="E3345" s="7"/>
      <c r="F3345" s="27">
        <v>0</v>
      </c>
      <c r="G3345" s="27">
        <v>0</v>
      </c>
      <c r="H3345" s="27">
        <v>0</v>
      </c>
      <c r="I3345" s="27">
        <v>0</v>
      </c>
      <c r="J3345" s="27">
        <v>0</v>
      </c>
      <c r="K3345" s="63">
        <f>AVERAGE(I3345:J3345)</f>
        <v>0</v>
      </c>
      <c r="L3345" s="56" t="str">
        <f>"EQP-LAWPACK2"</f>
        <v>EQP-LAWPACK2</v>
      </c>
      <c r="M3345" s="14"/>
      <c r="N3345" s="15"/>
      <c r="O3345" s="12"/>
      <c r="P3345" s="34"/>
      <c r="Q3345" s="37"/>
      <c r="R3345" s="47"/>
      <c r="S3345" s="46"/>
    </row>
    <row r="3346" spans="1:19" ht="15.6" hidden="1" customHeight="1" thickBot="1" x14ac:dyDescent="0.3">
      <c r="A3346" t="s">
        <v>23</v>
      </c>
      <c r="B3346" s="60" t="str">
        <f t="shared" si="2398"/>
        <v>hide</v>
      </c>
      <c r="D3346" s="48" t="str">
        <f>D3345</f>
        <v>45348</v>
      </c>
      <c r="E3346" s="7"/>
      <c r="F3346" s="27">
        <v>0</v>
      </c>
      <c r="G3346" s="27">
        <v>0</v>
      </c>
      <c r="H3346" s="27">
        <v>0</v>
      </c>
      <c r="I3346" s="27">
        <v>0</v>
      </c>
      <c r="J3346" s="27">
        <v>0</v>
      </c>
      <c r="K3346" s="63">
        <f>AVERAGE(I3346:J3346)</f>
        <v>0</v>
      </c>
      <c r="L3346" s="56" t="str">
        <f>"SW-COMAS-PACKL"</f>
        <v>SW-COMAS-PACKL</v>
      </c>
      <c r="M3346" s="14"/>
      <c r="N3346" s="15"/>
      <c r="O3346" s="12"/>
      <c r="P3346" s="34"/>
      <c r="Q3346" s="37"/>
      <c r="R3346" s="47"/>
      <c r="S3346" s="46"/>
    </row>
    <row r="3347" spans="1:19" ht="15.6" hidden="1" customHeight="1" thickBot="1" x14ac:dyDescent="0.3">
      <c r="A3347" t="s">
        <v>23</v>
      </c>
      <c r="B3347" s="60" t="str">
        <f t="shared" si="2398"/>
        <v>hide</v>
      </c>
      <c r="D3347" s="48" t="str">
        <f>D3346</f>
        <v>45348</v>
      </c>
      <c r="E3347" s="7"/>
      <c r="F3347" s="27">
        <v>0</v>
      </c>
      <c r="G3347" s="27">
        <v>0</v>
      </c>
      <c r="H3347" s="27">
        <v>0</v>
      </c>
      <c r="I3347" s="27">
        <v>0</v>
      </c>
      <c r="J3347" s="27">
        <v>0</v>
      </c>
      <c r="K3347" s="63">
        <f>AVERAGE(I3347:J3347)</f>
        <v>0</v>
      </c>
      <c r="L3347" s="56" t="str">
        <f>"SW-RISER-PACK"</f>
        <v>SW-RISER-PACK</v>
      </c>
      <c r="M3347" s="14"/>
      <c r="N3347" s="15"/>
      <c r="O3347" s="12"/>
      <c r="P3347" s="34"/>
      <c r="Q3347" s="37"/>
      <c r="R3347" s="47"/>
      <c r="S3347" s="46"/>
    </row>
    <row r="3348" spans="1:19" ht="12" hidden="1" customHeight="1" x14ac:dyDescent="0.3">
      <c r="A3348" s="35" t="s">
        <v>908</v>
      </c>
      <c r="B3348" s="49" t="str">
        <f>B3344</f>
        <v>hide</v>
      </c>
      <c r="N3348"/>
      <c r="Q3348" s="33"/>
    </row>
    <row r="3349" spans="1:19" ht="13.8" hidden="1" thickBot="1" x14ac:dyDescent="0.3">
      <c r="A3349" t="s">
        <v>23</v>
      </c>
      <c r="B3349" s="49" t="str">
        <f t="shared" ref="B3349" si="2399">B3348</f>
        <v>hide</v>
      </c>
      <c r="D3349" s="58"/>
      <c r="E3349" s="58"/>
      <c r="F3349" s="52">
        <f>SUM(F3344:F3348)</f>
        <v>0</v>
      </c>
      <c r="G3349" s="52">
        <f>SUM(G3344:G3348)</f>
        <v>0</v>
      </c>
      <c r="H3349" s="52">
        <f>SUM(H3344:H3348)</f>
        <v>0</v>
      </c>
      <c r="I3349" s="52">
        <f>SUM(I3344:I3348)</f>
        <v>0</v>
      </c>
      <c r="J3349" s="52">
        <f>SUM(J3344:J3348)</f>
        <v>0</v>
      </c>
      <c r="K3349" s="52"/>
      <c r="L3349" s="51" t="s">
        <v>4</v>
      </c>
      <c r="M3349" s="58"/>
      <c r="N3349" s="58"/>
      <c r="O3349" s="58"/>
      <c r="P3349" s="58"/>
      <c r="Q3349" s="58"/>
      <c r="R3349" s="58"/>
      <c r="S3349" s="58"/>
    </row>
    <row r="3350" spans="1:19" s="59" customFormat="1" ht="18.75" hidden="1" customHeight="1" thickBot="1" x14ac:dyDescent="0.3">
      <c r="A3350" s="59" t="s">
        <v>23</v>
      </c>
      <c r="B3350" s="60" t="str">
        <f t="shared" ref="B3350:B3351" si="2400">IF(K3350=0,"hide","")</f>
        <v>hide</v>
      </c>
      <c r="D3350" s="61" t="str">
        <f>"46001"</f>
        <v>46001</v>
      </c>
      <c r="E3350" s="62" t="str">
        <f>"8"</f>
        <v>8</v>
      </c>
      <c r="F3350" s="63">
        <v>85.5</v>
      </c>
      <c r="G3350" s="63">
        <v>27</v>
      </c>
      <c r="H3350" s="63">
        <v>0</v>
      </c>
      <c r="I3350" s="63">
        <v>0</v>
      </c>
      <c r="J3350" s="63">
        <v>0</v>
      </c>
      <c r="K3350" s="63">
        <f>AVERAGE(I3350:J3350)</f>
        <v>0</v>
      </c>
      <c r="L3350" s="64" t="str">
        <f>"BLUEBERRY MUFFINS"</f>
        <v>BLUEBERRY MUFFINS</v>
      </c>
      <c r="M3350" s="65" t="str">
        <f>"216-1 oz. 18-12 pack #521"</f>
        <v>216-1 oz. 18-12 pack #521</v>
      </c>
      <c r="N3350" s="66">
        <v>216</v>
      </c>
      <c r="O3350" s="67" t="str">
        <f>""</f>
        <v/>
      </c>
      <c r="P3350" s="68" t="e">
        <f>1/O3350</f>
        <v>#VALUE!</v>
      </c>
      <c r="Q3350" s="53">
        <v>1</v>
      </c>
      <c r="R3350" s="69">
        <f t="shared" ref="R3350" si="2401">1/Q3350</f>
        <v>1</v>
      </c>
      <c r="S3350" s="70">
        <f t="shared" ref="S3350" si="2402">R3350*N3350</f>
        <v>216</v>
      </c>
    </row>
    <row r="3351" spans="1:19" ht="15.6" hidden="1" customHeight="1" thickBot="1" x14ac:dyDescent="0.3">
      <c r="A3351" t="s">
        <v>23</v>
      </c>
      <c r="B3351" s="60" t="str">
        <f t="shared" si="2400"/>
        <v>hide</v>
      </c>
      <c r="D3351" s="48" t="str">
        <f>D3350</f>
        <v>46001</v>
      </c>
      <c r="E3351" s="7"/>
      <c r="F3351" s="27">
        <v>0</v>
      </c>
      <c r="G3351" s="27">
        <v>0</v>
      </c>
      <c r="H3351" s="27">
        <v>0</v>
      </c>
      <c r="I3351" s="27">
        <v>0</v>
      </c>
      <c r="J3351" s="27">
        <v>0</v>
      </c>
      <c r="K3351" s="63">
        <f>AVERAGE(I3351:J3351)</f>
        <v>0</v>
      </c>
      <c r="L3351" s="56" t="str">
        <f>"EQP-LAWPACK1"</f>
        <v>EQP-LAWPACK1</v>
      </c>
      <c r="M3351" s="14"/>
      <c r="N3351" s="15"/>
      <c r="O3351" s="12"/>
      <c r="P3351" s="34"/>
      <c r="Q3351" s="37"/>
      <c r="R3351" s="47"/>
      <c r="S3351" s="46"/>
    </row>
    <row r="3352" spans="1:19" ht="15.6" hidden="1" customHeight="1" thickBot="1" x14ac:dyDescent="0.3">
      <c r="A3352" t="s">
        <v>23</v>
      </c>
      <c r="B3352" s="60" t="str">
        <f t="shared" ref="B3352:B3354" si="2403">IF(K3352=0,"hide","")</f>
        <v>hide</v>
      </c>
      <c r="D3352" s="48" t="str">
        <f>D3351</f>
        <v>46001</v>
      </c>
      <c r="E3352" s="7"/>
      <c r="F3352" s="27">
        <v>0</v>
      </c>
      <c r="G3352" s="27">
        <v>0</v>
      </c>
      <c r="H3352" s="27">
        <v>0</v>
      </c>
      <c r="I3352" s="27">
        <v>0</v>
      </c>
      <c r="J3352" s="27">
        <v>0</v>
      </c>
      <c r="K3352" s="63">
        <f>AVERAGE(I3352:J3352)</f>
        <v>0</v>
      </c>
      <c r="L3352" s="56" t="str">
        <f>"EQP-LAWPACK2"</f>
        <v>EQP-LAWPACK2</v>
      </c>
      <c r="M3352" s="14"/>
      <c r="N3352" s="15"/>
      <c r="O3352" s="12"/>
      <c r="P3352" s="34"/>
      <c r="Q3352" s="37"/>
      <c r="R3352" s="47"/>
      <c r="S3352" s="46"/>
    </row>
    <row r="3353" spans="1:19" ht="15.6" hidden="1" customHeight="1" thickBot="1" x14ac:dyDescent="0.3">
      <c r="A3353" t="s">
        <v>23</v>
      </c>
      <c r="B3353" s="60" t="str">
        <f t="shared" si="2403"/>
        <v>hide</v>
      </c>
      <c r="D3353" s="48" t="str">
        <f>D3352</f>
        <v>46001</v>
      </c>
      <c r="E3353" s="7"/>
      <c r="F3353" s="27">
        <v>0</v>
      </c>
      <c r="G3353" s="27">
        <v>0</v>
      </c>
      <c r="H3353" s="27">
        <v>0</v>
      </c>
      <c r="I3353" s="27">
        <v>0</v>
      </c>
      <c r="J3353" s="27">
        <v>0</v>
      </c>
      <c r="K3353" s="63">
        <f>AVERAGE(I3353:J3353)</f>
        <v>0</v>
      </c>
      <c r="L3353" s="56" t="str">
        <f>"SW-COMAS-PACKL"</f>
        <v>SW-COMAS-PACKL</v>
      </c>
      <c r="M3353" s="14"/>
      <c r="N3353" s="15"/>
      <c r="O3353" s="12"/>
      <c r="P3353" s="34"/>
      <c r="Q3353" s="37"/>
      <c r="R3353" s="47"/>
      <c r="S3353" s="46"/>
    </row>
    <row r="3354" spans="1:19" ht="15.6" hidden="1" customHeight="1" thickBot="1" x14ac:dyDescent="0.3">
      <c r="A3354" t="s">
        <v>23</v>
      </c>
      <c r="B3354" s="60" t="str">
        <f t="shared" si="2403"/>
        <v>hide</v>
      </c>
      <c r="D3354" s="48" t="str">
        <f>D3353</f>
        <v>46001</v>
      </c>
      <c r="E3354" s="7"/>
      <c r="F3354" s="27">
        <v>0</v>
      </c>
      <c r="G3354" s="27">
        <v>0</v>
      </c>
      <c r="H3354" s="27">
        <v>0</v>
      </c>
      <c r="I3354" s="27">
        <v>0</v>
      </c>
      <c r="J3354" s="27">
        <v>0</v>
      </c>
      <c r="K3354" s="63">
        <f>AVERAGE(I3354:J3354)</f>
        <v>0</v>
      </c>
      <c r="L3354" s="56" t="str">
        <f>"SW-RISER-PACK"</f>
        <v>SW-RISER-PACK</v>
      </c>
      <c r="M3354" s="14"/>
      <c r="N3354" s="15"/>
      <c r="O3354" s="12"/>
      <c r="P3354" s="34"/>
      <c r="Q3354" s="37"/>
      <c r="R3354" s="47"/>
      <c r="S3354" s="46"/>
    </row>
    <row r="3355" spans="1:19" ht="12" hidden="1" customHeight="1" x14ac:dyDescent="0.3">
      <c r="A3355" s="35" t="s">
        <v>908</v>
      </c>
      <c r="B3355" s="49" t="str">
        <f>B3351</f>
        <v>hide</v>
      </c>
      <c r="N3355"/>
      <c r="Q3355" s="33"/>
    </row>
    <row r="3356" spans="1:19" ht="13.8" hidden="1" thickBot="1" x14ac:dyDescent="0.3">
      <c r="A3356" t="s">
        <v>23</v>
      </c>
      <c r="B3356" s="49" t="str">
        <f t="shared" ref="B3356" si="2404">B3355</f>
        <v>hide</v>
      </c>
      <c r="D3356" s="58"/>
      <c r="E3356" s="58"/>
      <c r="F3356" s="52">
        <f>SUM(F3351:F3355)</f>
        <v>0</v>
      </c>
      <c r="G3356" s="52">
        <f>SUM(G3351:G3355)</f>
        <v>0</v>
      </c>
      <c r="H3356" s="52">
        <f>SUM(H3351:H3355)</f>
        <v>0</v>
      </c>
      <c r="I3356" s="52">
        <f>SUM(I3351:I3355)</f>
        <v>0</v>
      </c>
      <c r="J3356" s="52">
        <f>SUM(J3351:J3355)</f>
        <v>0</v>
      </c>
      <c r="K3356" s="52"/>
      <c r="L3356" s="51" t="s">
        <v>4</v>
      </c>
      <c r="M3356" s="58"/>
      <c r="N3356" s="58"/>
      <c r="O3356" s="58"/>
      <c r="P3356" s="58"/>
      <c r="Q3356" s="58"/>
      <c r="R3356" s="58"/>
      <c r="S3356" s="58"/>
    </row>
    <row r="3357" spans="1:19" s="59" customFormat="1" ht="18.75" hidden="1" customHeight="1" thickBot="1" x14ac:dyDescent="0.3">
      <c r="A3357" s="59" t="s">
        <v>23</v>
      </c>
      <c r="B3357" s="60" t="str">
        <f t="shared" ref="B3357:B3358" si="2405">IF(K3357=0,"hide","")</f>
        <v>hide</v>
      </c>
      <c r="D3357" s="61" t="str">
        <f>"46005"</f>
        <v>46005</v>
      </c>
      <c r="E3357" s="62" t="str">
        <f>"4"</f>
        <v>4</v>
      </c>
      <c r="F3357" s="63">
        <v>0</v>
      </c>
      <c r="G3357" s="63">
        <v>0</v>
      </c>
      <c r="H3357" s="63">
        <v>0</v>
      </c>
      <c r="I3357" s="63">
        <v>0</v>
      </c>
      <c r="J3357" s="63">
        <v>0</v>
      </c>
      <c r="K3357" s="63">
        <f>AVERAGE(I3357:J3357)</f>
        <v>0</v>
      </c>
      <c r="L3357" s="64" t="str">
        <f>"CORN MUFFINS"</f>
        <v>CORN MUFFINS</v>
      </c>
      <c r="M3357" s="65" t="str">
        <f>"216-1 oz. 18-12 pack #524"</f>
        <v>216-1 oz. 18-12 pack #524</v>
      </c>
      <c r="N3357" s="66">
        <v>216</v>
      </c>
      <c r="O3357" s="67" t="str">
        <f>""</f>
        <v/>
      </c>
      <c r="P3357" s="68" t="e">
        <f>1/O3357</f>
        <v>#VALUE!</v>
      </c>
      <c r="Q3357" s="53">
        <v>1</v>
      </c>
      <c r="R3357" s="69">
        <f t="shared" ref="R3357" si="2406">1/Q3357</f>
        <v>1</v>
      </c>
      <c r="S3357" s="70">
        <f t="shared" ref="S3357" si="2407">R3357*N3357</f>
        <v>216</v>
      </c>
    </row>
    <row r="3358" spans="1:19" ht="15.6" hidden="1" customHeight="1" thickBot="1" x14ac:dyDescent="0.3">
      <c r="A3358" t="s">
        <v>23</v>
      </c>
      <c r="B3358" s="60" t="str">
        <f t="shared" si="2405"/>
        <v>hide</v>
      </c>
      <c r="D3358" s="48" t="str">
        <f>D3357</f>
        <v>46005</v>
      </c>
      <c r="E3358" s="7"/>
      <c r="F3358" s="27">
        <v>0</v>
      </c>
      <c r="G3358" s="27">
        <v>0</v>
      </c>
      <c r="H3358" s="27">
        <v>0</v>
      </c>
      <c r="I3358" s="27">
        <v>0</v>
      </c>
      <c r="J3358" s="27">
        <v>0</v>
      </c>
      <c r="K3358" s="63">
        <f>AVERAGE(I3358:J3358)</f>
        <v>0</v>
      </c>
      <c r="L3358" s="56" t="str">
        <f>"EQP-LAWPACK1"</f>
        <v>EQP-LAWPACK1</v>
      </c>
      <c r="M3358" s="14"/>
      <c r="N3358" s="15"/>
      <c r="O3358" s="12"/>
      <c r="P3358" s="34"/>
      <c r="Q3358" s="37"/>
      <c r="R3358" s="47"/>
      <c r="S3358" s="46"/>
    </row>
    <row r="3359" spans="1:19" ht="15.6" hidden="1" customHeight="1" thickBot="1" x14ac:dyDescent="0.3">
      <c r="A3359" t="s">
        <v>23</v>
      </c>
      <c r="B3359" s="60" t="str">
        <f t="shared" ref="B3359:B3361" si="2408">IF(K3359=0,"hide","")</f>
        <v>hide</v>
      </c>
      <c r="D3359" s="48" t="str">
        <f>D3358</f>
        <v>46005</v>
      </c>
      <c r="E3359" s="7"/>
      <c r="F3359" s="27">
        <v>0</v>
      </c>
      <c r="G3359" s="27">
        <v>0</v>
      </c>
      <c r="H3359" s="27">
        <v>0</v>
      </c>
      <c r="I3359" s="27">
        <v>0</v>
      </c>
      <c r="J3359" s="27">
        <v>0</v>
      </c>
      <c r="K3359" s="63">
        <f>AVERAGE(I3359:J3359)</f>
        <v>0</v>
      </c>
      <c r="L3359" s="56" t="str">
        <f>"EQP-LAWPACK2"</f>
        <v>EQP-LAWPACK2</v>
      </c>
      <c r="M3359" s="14"/>
      <c r="N3359" s="15"/>
      <c r="O3359" s="12"/>
      <c r="P3359" s="34"/>
      <c r="Q3359" s="37"/>
      <c r="R3359" s="47"/>
      <c r="S3359" s="46"/>
    </row>
    <row r="3360" spans="1:19" ht="15.6" hidden="1" customHeight="1" thickBot="1" x14ac:dyDescent="0.3">
      <c r="A3360" t="s">
        <v>23</v>
      </c>
      <c r="B3360" s="60" t="str">
        <f t="shared" si="2408"/>
        <v>hide</v>
      </c>
      <c r="D3360" s="48" t="str">
        <f>D3359</f>
        <v>46005</v>
      </c>
      <c r="E3360" s="7"/>
      <c r="F3360" s="27">
        <v>0</v>
      </c>
      <c r="G3360" s="27">
        <v>0</v>
      </c>
      <c r="H3360" s="27">
        <v>0</v>
      </c>
      <c r="I3360" s="27">
        <v>0</v>
      </c>
      <c r="J3360" s="27">
        <v>0</v>
      </c>
      <c r="K3360" s="63">
        <f>AVERAGE(I3360:J3360)</f>
        <v>0</v>
      </c>
      <c r="L3360" s="56" t="str">
        <f>"SW-COMAS-PACKL"</f>
        <v>SW-COMAS-PACKL</v>
      </c>
      <c r="M3360" s="14"/>
      <c r="N3360" s="15"/>
      <c r="O3360" s="12"/>
      <c r="P3360" s="34"/>
      <c r="Q3360" s="37"/>
      <c r="R3360" s="47"/>
      <c r="S3360" s="46"/>
    </row>
    <row r="3361" spans="1:19" ht="15.6" hidden="1" customHeight="1" thickBot="1" x14ac:dyDescent="0.3">
      <c r="A3361" t="s">
        <v>23</v>
      </c>
      <c r="B3361" s="60" t="str">
        <f t="shared" si="2408"/>
        <v>hide</v>
      </c>
      <c r="D3361" s="48" t="str">
        <f>D3360</f>
        <v>46005</v>
      </c>
      <c r="E3361" s="7"/>
      <c r="F3361" s="27">
        <v>0</v>
      </c>
      <c r="G3361" s="27">
        <v>0</v>
      </c>
      <c r="H3361" s="27">
        <v>0</v>
      </c>
      <c r="I3361" s="27">
        <v>0</v>
      </c>
      <c r="J3361" s="27">
        <v>0</v>
      </c>
      <c r="K3361" s="63">
        <f>AVERAGE(I3361:J3361)</f>
        <v>0</v>
      </c>
      <c r="L3361" s="56" t="str">
        <f>"SW-RISER-PACK"</f>
        <v>SW-RISER-PACK</v>
      </c>
      <c r="M3361" s="14"/>
      <c r="N3361" s="15"/>
      <c r="O3361" s="12"/>
      <c r="P3361" s="34"/>
      <c r="Q3361" s="37"/>
      <c r="R3361" s="47"/>
      <c r="S3361" s="46"/>
    </row>
    <row r="3362" spans="1:19" ht="12" hidden="1" customHeight="1" x14ac:dyDescent="0.3">
      <c r="A3362" s="35" t="s">
        <v>908</v>
      </c>
      <c r="B3362" s="49" t="str">
        <f>B3358</f>
        <v>hide</v>
      </c>
      <c r="N3362"/>
      <c r="Q3362" s="33"/>
    </row>
    <row r="3363" spans="1:19" ht="13.8" hidden="1" thickBot="1" x14ac:dyDescent="0.3">
      <c r="A3363" t="s">
        <v>23</v>
      </c>
      <c r="B3363" s="49" t="str">
        <f t="shared" ref="B3363" si="2409">B3362</f>
        <v>hide</v>
      </c>
      <c r="D3363" s="58"/>
      <c r="E3363" s="58"/>
      <c r="F3363" s="52">
        <f>SUM(F3358:F3362)</f>
        <v>0</v>
      </c>
      <c r="G3363" s="52">
        <f>SUM(G3358:G3362)</f>
        <v>0</v>
      </c>
      <c r="H3363" s="52">
        <f>SUM(H3358:H3362)</f>
        <v>0</v>
      </c>
      <c r="I3363" s="52">
        <f>SUM(I3358:I3362)</f>
        <v>0</v>
      </c>
      <c r="J3363" s="52">
        <f>SUM(J3358:J3362)</f>
        <v>0</v>
      </c>
      <c r="K3363" s="52"/>
      <c r="L3363" s="51" t="s">
        <v>4</v>
      </c>
      <c r="M3363" s="58"/>
      <c r="N3363" s="58"/>
      <c r="O3363" s="58"/>
      <c r="P3363" s="58"/>
      <c r="Q3363" s="58"/>
      <c r="R3363" s="58"/>
      <c r="S3363" s="58"/>
    </row>
    <row r="3364" spans="1:19" s="59" customFormat="1" ht="18.75" hidden="1" customHeight="1" thickBot="1" x14ac:dyDescent="0.3">
      <c r="A3364" s="59" t="s">
        <v>23</v>
      </c>
      <c r="B3364" s="60" t="str">
        <f t="shared" ref="B3364:B3365" si="2410">IF(K3364=0,"hide","")</f>
        <v>hide</v>
      </c>
      <c r="D3364" s="61" t="str">
        <f>"46009"</f>
        <v>46009</v>
      </c>
      <c r="E3364" s="62" t="str">
        <f>"4"</f>
        <v>4</v>
      </c>
      <c r="F3364" s="63">
        <v>0</v>
      </c>
      <c r="G3364" s="63">
        <v>0</v>
      </c>
      <c r="H3364" s="63">
        <v>0</v>
      </c>
      <c r="I3364" s="63">
        <v>0</v>
      </c>
      <c r="J3364" s="63">
        <v>0</v>
      </c>
      <c r="K3364" s="63">
        <f>AVERAGE(I3364:J3364)</f>
        <v>0</v>
      </c>
      <c r="L3364" s="64" t="str">
        <f>"RAISIN BRAN MUFFINS"</f>
        <v>RAISIN BRAN MUFFINS</v>
      </c>
      <c r="M3364" s="65" t="str">
        <f>"216-1 oz. 18-12 pack #523"</f>
        <v>216-1 oz. 18-12 pack #523</v>
      </c>
      <c r="N3364" s="66">
        <v>216</v>
      </c>
      <c r="O3364" s="67" t="str">
        <f>""</f>
        <v/>
      </c>
      <c r="P3364" s="68" t="e">
        <f>1/O3364</f>
        <v>#VALUE!</v>
      </c>
      <c r="Q3364" s="53">
        <v>1</v>
      </c>
      <c r="R3364" s="69">
        <f t="shared" ref="R3364" si="2411">1/Q3364</f>
        <v>1</v>
      </c>
      <c r="S3364" s="70">
        <f t="shared" ref="S3364" si="2412">R3364*N3364</f>
        <v>216</v>
      </c>
    </row>
    <row r="3365" spans="1:19" ht="15.6" hidden="1" customHeight="1" thickBot="1" x14ac:dyDescent="0.3">
      <c r="A3365" t="s">
        <v>23</v>
      </c>
      <c r="B3365" s="60" t="str">
        <f t="shared" si="2410"/>
        <v>hide</v>
      </c>
      <c r="D3365" s="48" t="str">
        <f>D3364</f>
        <v>46009</v>
      </c>
      <c r="E3365" s="7"/>
      <c r="F3365" s="27">
        <v>0</v>
      </c>
      <c r="G3365" s="27">
        <v>0</v>
      </c>
      <c r="H3365" s="27">
        <v>0</v>
      </c>
      <c r="I3365" s="27">
        <v>0</v>
      </c>
      <c r="J3365" s="27">
        <v>0</v>
      </c>
      <c r="K3365" s="63">
        <f>AVERAGE(I3365:J3365)</f>
        <v>0</v>
      </c>
      <c r="L3365" s="56" t="str">
        <f>"EQP-LAWPACK1"</f>
        <v>EQP-LAWPACK1</v>
      </c>
      <c r="M3365" s="14"/>
      <c r="N3365" s="15"/>
      <c r="O3365" s="12"/>
      <c r="P3365" s="34"/>
      <c r="Q3365" s="37"/>
      <c r="R3365" s="47"/>
      <c r="S3365" s="46"/>
    </row>
    <row r="3366" spans="1:19" ht="15.6" hidden="1" customHeight="1" thickBot="1" x14ac:dyDescent="0.3">
      <c r="A3366" t="s">
        <v>23</v>
      </c>
      <c r="B3366" s="60" t="str">
        <f t="shared" ref="B3366:B3368" si="2413">IF(K3366=0,"hide","")</f>
        <v>hide</v>
      </c>
      <c r="D3366" s="48" t="str">
        <f>D3365</f>
        <v>46009</v>
      </c>
      <c r="E3366" s="7"/>
      <c r="F3366" s="27">
        <v>0</v>
      </c>
      <c r="G3366" s="27">
        <v>0</v>
      </c>
      <c r="H3366" s="27">
        <v>0</v>
      </c>
      <c r="I3366" s="27">
        <v>0</v>
      </c>
      <c r="J3366" s="27">
        <v>0</v>
      </c>
      <c r="K3366" s="63">
        <f>AVERAGE(I3366:J3366)</f>
        <v>0</v>
      </c>
      <c r="L3366" s="56" t="str">
        <f>"EQP-LAWPACK2"</f>
        <v>EQP-LAWPACK2</v>
      </c>
      <c r="M3366" s="14"/>
      <c r="N3366" s="15"/>
      <c r="O3366" s="12"/>
      <c r="P3366" s="34"/>
      <c r="Q3366" s="37"/>
      <c r="R3366" s="47"/>
      <c r="S3366" s="46"/>
    </row>
    <row r="3367" spans="1:19" ht="15.6" hidden="1" customHeight="1" thickBot="1" x14ac:dyDescent="0.3">
      <c r="A3367" t="s">
        <v>23</v>
      </c>
      <c r="B3367" s="60" t="str">
        <f t="shared" si="2413"/>
        <v>hide</v>
      </c>
      <c r="D3367" s="48" t="str">
        <f>D3366</f>
        <v>46009</v>
      </c>
      <c r="E3367" s="7"/>
      <c r="F3367" s="27">
        <v>0</v>
      </c>
      <c r="G3367" s="27">
        <v>0</v>
      </c>
      <c r="H3367" s="27">
        <v>0</v>
      </c>
      <c r="I3367" s="27">
        <v>0</v>
      </c>
      <c r="J3367" s="27">
        <v>0</v>
      </c>
      <c r="K3367" s="63">
        <f>AVERAGE(I3367:J3367)</f>
        <v>0</v>
      </c>
      <c r="L3367" s="56" t="str">
        <f>"SW-COMAS-PACKL"</f>
        <v>SW-COMAS-PACKL</v>
      </c>
      <c r="M3367" s="14"/>
      <c r="N3367" s="15"/>
      <c r="O3367" s="12"/>
      <c r="P3367" s="34"/>
      <c r="Q3367" s="37"/>
      <c r="R3367" s="47"/>
      <c r="S3367" s="46"/>
    </row>
    <row r="3368" spans="1:19" ht="15.6" hidden="1" customHeight="1" thickBot="1" x14ac:dyDescent="0.3">
      <c r="A3368" t="s">
        <v>23</v>
      </c>
      <c r="B3368" s="60" t="str">
        <f t="shared" si="2413"/>
        <v>hide</v>
      </c>
      <c r="D3368" s="48" t="str">
        <f>D3367</f>
        <v>46009</v>
      </c>
      <c r="E3368" s="7"/>
      <c r="F3368" s="27">
        <v>0</v>
      </c>
      <c r="G3368" s="27">
        <v>0</v>
      </c>
      <c r="H3368" s="27">
        <v>0</v>
      </c>
      <c r="I3368" s="27">
        <v>0</v>
      </c>
      <c r="J3368" s="27">
        <v>0</v>
      </c>
      <c r="K3368" s="63">
        <f>AVERAGE(I3368:J3368)</f>
        <v>0</v>
      </c>
      <c r="L3368" s="56" t="str">
        <f>"SW-RISER-PACK"</f>
        <v>SW-RISER-PACK</v>
      </c>
      <c r="M3368" s="14"/>
      <c r="N3368" s="15"/>
      <c r="O3368" s="12"/>
      <c r="P3368" s="34"/>
      <c r="Q3368" s="37"/>
      <c r="R3368" s="47"/>
      <c r="S3368" s="46"/>
    </row>
    <row r="3369" spans="1:19" ht="12" hidden="1" customHeight="1" x14ac:dyDescent="0.3">
      <c r="A3369" s="35" t="s">
        <v>908</v>
      </c>
      <c r="B3369" s="49" t="str">
        <f>B3365</f>
        <v>hide</v>
      </c>
      <c r="N3369"/>
      <c r="Q3369" s="33"/>
    </row>
    <row r="3370" spans="1:19" ht="13.8" hidden="1" thickBot="1" x14ac:dyDescent="0.3">
      <c r="A3370" t="s">
        <v>23</v>
      </c>
      <c r="B3370" s="49" t="str">
        <f t="shared" ref="B3370" si="2414">B3369</f>
        <v>hide</v>
      </c>
      <c r="D3370" s="58"/>
      <c r="E3370" s="58"/>
      <c r="F3370" s="52">
        <f>SUM(F3365:F3369)</f>
        <v>0</v>
      </c>
      <c r="G3370" s="52">
        <f>SUM(G3365:G3369)</f>
        <v>0</v>
      </c>
      <c r="H3370" s="52">
        <f>SUM(H3365:H3369)</f>
        <v>0</v>
      </c>
      <c r="I3370" s="52">
        <f>SUM(I3365:I3369)</f>
        <v>0</v>
      </c>
      <c r="J3370" s="52">
        <f>SUM(J3365:J3369)</f>
        <v>0</v>
      </c>
      <c r="K3370" s="52"/>
      <c r="L3370" s="51" t="s">
        <v>4</v>
      </c>
      <c r="M3370" s="58"/>
      <c r="N3370" s="58"/>
      <c r="O3370" s="58"/>
      <c r="P3370" s="58"/>
      <c r="Q3370" s="58"/>
      <c r="R3370" s="58"/>
      <c r="S3370" s="58"/>
    </row>
    <row r="3371" spans="1:19" s="59" customFormat="1" ht="18.75" hidden="1" customHeight="1" thickBot="1" x14ac:dyDescent="0.3">
      <c r="A3371" s="59" t="s">
        <v>23</v>
      </c>
      <c r="B3371" s="60" t="str">
        <f t="shared" ref="B3371:B3372" si="2415">IF(K3371=0,"hide","")</f>
        <v>hide</v>
      </c>
      <c r="D3371" s="61" t="str">
        <f>"46010"</f>
        <v>46010</v>
      </c>
      <c r="E3371" s="62" t="str">
        <f>"8"</f>
        <v>8</v>
      </c>
      <c r="F3371" s="63">
        <v>40.5</v>
      </c>
      <c r="G3371" s="63">
        <v>13.5</v>
      </c>
      <c r="H3371" s="63">
        <v>0</v>
      </c>
      <c r="I3371" s="63">
        <v>0</v>
      </c>
      <c r="J3371" s="63">
        <v>0</v>
      </c>
      <c r="K3371" s="63">
        <f>AVERAGE(I3371:J3371)</f>
        <v>0</v>
      </c>
      <c r="L3371" s="64" t="str">
        <f>"CHOCOLATE CHIP MUFFINS"</f>
        <v>CHOCOLATE CHIP MUFFINS</v>
      </c>
      <c r="M3371" s="65" t="str">
        <f>"216-1 oz. 18-12 pack #522"</f>
        <v>216-1 oz. 18-12 pack #522</v>
      </c>
      <c r="N3371" s="66">
        <v>216</v>
      </c>
      <c r="O3371" s="67" t="str">
        <f>""</f>
        <v/>
      </c>
      <c r="P3371" s="68" t="e">
        <f>1/O3371</f>
        <v>#VALUE!</v>
      </c>
      <c r="Q3371" s="53">
        <v>1</v>
      </c>
      <c r="R3371" s="69">
        <f t="shared" ref="R3371" si="2416">1/Q3371</f>
        <v>1</v>
      </c>
      <c r="S3371" s="70">
        <f t="shared" ref="S3371" si="2417">R3371*N3371</f>
        <v>216</v>
      </c>
    </row>
    <row r="3372" spans="1:19" ht="15.6" hidden="1" customHeight="1" thickBot="1" x14ac:dyDescent="0.3">
      <c r="A3372" t="s">
        <v>23</v>
      </c>
      <c r="B3372" s="60" t="str">
        <f t="shared" si="2415"/>
        <v>hide</v>
      </c>
      <c r="D3372" s="48" t="str">
        <f>D3371</f>
        <v>46010</v>
      </c>
      <c r="E3372" s="7"/>
      <c r="F3372" s="27">
        <v>0</v>
      </c>
      <c r="G3372" s="27">
        <v>0</v>
      </c>
      <c r="H3372" s="27">
        <v>0</v>
      </c>
      <c r="I3372" s="27">
        <v>0</v>
      </c>
      <c r="J3372" s="27">
        <v>0</v>
      </c>
      <c r="K3372" s="63">
        <f>AVERAGE(I3372:J3372)</f>
        <v>0</v>
      </c>
      <c r="L3372" s="56" t="str">
        <f>"EQP-LAWPACK1"</f>
        <v>EQP-LAWPACK1</v>
      </c>
      <c r="M3372" s="14"/>
      <c r="N3372" s="15"/>
      <c r="O3372" s="12"/>
      <c r="P3372" s="34"/>
      <c r="Q3372" s="37"/>
      <c r="R3372" s="47"/>
      <c r="S3372" s="46"/>
    </row>
    <row r="3373" spans="1:19" ht="15.6" hidden="1" customHeight="1" thickBot="1" x14ac:dyDescent="0.3">
      <c r="A3373" t="s">
        <v>23</v>
      </c>
      <c r="B3373" s="60" t="str">
        <f t="shared" ref="B3373:B3375" si="2418">IF(K3373=0,"hide","")</f>
        <v>hide</v>
      </c>
      <c r="D3373" s="48" t="str">
        <f>D3372</f>
        <v>46010</v>
      </c>
      <c r="E3373" s="7"/>
      <c r="F3373" s="27">
        <v>0</v>
      </c>
      <c r="G3373" s="27">
        <v>0</v>
      </c>
      <c r="H3373" s="27">
        <v>0</v>
      </c>
      <c r="I3373" s="27">
        <v>0</v>
      </c>
      <c r="J3373" s="27">
        <v>0</v>
      </c>
      <c r="K3373" s="63">
        <f>AVERAGE(I3373:J3373)</f>
        <v>0</v>
      </c>
      <c r="L3373" s="56" t="str">
        <f>"EQP-LAWPACK2"</f>
        <v>EQP-LAWPACK2</v>
      </c>
      <c r="M3373" s="14"/>
      <c r="N3373" s="15"/>
      <c r="O3373" s="12"/>
      <c r="P3373" s="34"/>
      <c r="Q3373" s="37"/>
      <c r="R3373" s="47"/>
      <c r="S3373" s="46"/>
    </row>
    <row r="3374" spans="1:19" ht="15.6" hidden="1" customHeight="1" thickBot="1" x14ac:dyDescent="0.3">
      <c r="A3374" t="s">
        <v>23</v>
      </c>
      <c r="B3374" s="60" t="str">
        <f t="shared" si="2418"/>
        <v>hide</v>
      </c>
      <c r="D3374" s="48" t="str">
        <f>D3373</f>
        <v>46010</v>
      </c>
      <c r="E3374" s="7"/>
      <c r="F3374" s="27">
        <v>0</v>
      </c>
      <c r="G3374" s="27">
        <v>0</v>
      </c>
      <c r="H3374" s="27">
        <v>0</v>
      </c>
      <c r="I3374" s="27">
        <v>0</v>
      </c>
      <c r="J3374" s="27">
        <v>0</v>
      </c>
      <c r="K3374" s="63">
        <f>AVERAGE(I3374:J3374)</f>
        <v>0</v>
      </c>
      <c r="L3374" s="56" t="str">
        <f>"SW-COMAS-PACKL"</f>
        <v>SW-COMAS-PACKL</v>
      </c>
      <c r="M3374" s="14"/>
      <c r="N3374" s="15"/>
      <c r="O3374" s="12"/>
      <c r="P3374" s="34"/>
      <c r="Q3374" s="37"/>
      <c r="R3374" s="47"/>
      <c r="S3374" s="46"/>
    </row>
    <row r="3375" spans="1:19" ht="15.6" hidden="1" customHeight="1" thickBot="1" x14ac:dyDescent="0.3">
      <c r="A3375" t="s">
        <v>23</v>
      </c>
      <c r="B3375" s="60" t="str">
        <f t="shared" si="2418"/>
        <v>hide</v>
      </c>
      <c r="D3375" s="48" t="str">
        <f>D3374</f>
        <v>46010</v>
      </c>
      <c r="E3375" s="7"/>
      <c r="F3375" s="27">
        <v>0</v>
      </c>
      <c r="G3375" s="27">
        <v>0</v>
      </c>
      <c r="H3375" s="27">
        <v>0</v>
      </c>
      <c r="I3375" s="27">
        <v>0</v>
      </c>
      <c r="J3375" s="27">
        <v>0</v>
      </c>
      <c r="K3375" s="63">
        <f>AVERAGE(I3375:J3375)</f>
        <v>0</v>
      </c>
      <c r="L3375" s="56" t="str">
        <f>"SW-RISER-PACK"</f>
        <v>SW-RISER-PACK</v>
      </c>
      <c r="M3375" s="14"/>
      <c r="N3375" s="15"/>
      <c r="O3375" s="12"/>
      <c r="P3375" s="34"/>
      <c r="Q3375" s="37"/>
      <c r="R3375" s="47"/>
      <c r="S3375" s="46"/>
    </row>
    <row r="3376" spans="1:19" ht="12" hidden="1" customHeight="1" x14ac:dyDescent="0.3">
      <c r="A3376" s="35" t="s">
        <v>908</v>
      </c>
      <c r="B3376" s="49" t="str">
        <f>B3372</f>
        <v>hide</v>
      </c>
      <c r="N3376"/>
      <c r="Q3376" s="33"/>
    </row>
    <row r="3377" spans="1:19" ht="13.8" hidden="1" thickBot="1" x14ac:dyDescent="0.3">
      <c r="A3377" t="s">
        <v>23</v>
      </c>
      <c r="B3377" s="49" t="str">
        <f t="shared" ref="B3377" si="2419">B3376</f>
        <v>hide</v>
      </c>
      <c r="D3377" s="58"/>
      <c r="E3377" s="58"/>
      <c r="F3377" s="52">
        <f>SUM(F3372:F3376)</f>
        <v>0</v>
      </c>
      <c r="G3377" s="52">
        <f>SUM(G3372:G3376)</f>
        <v>0</v>
      </c>
      <c r="H3377" s="52">
        <f>SUM(H3372:H3376)</f>
        <v>0</v>
      </c>
      <c r="I3377" s="52">
        <f>SUM(I3372:I3376)</f>
        <v>0</v>
      </c>
      <c r="J3377" s="52">
        <f>SUM(J3372:J3376)</f>
        <v>0</v>
      </c>
      <c r="K3377" s="52"/>
      <c r="L3377" s="51" t="s">
        <v>4</v>
      </c>
      <c r="M3377" s="58"/>
      <c r="N3377" s="58"/>
      <c r="O3377" s="58"/>
      <c r="P3377" s="58"/>
      <c r="Q3377" s="58"/>
      <c r="R3377" s="58"/>
      <c r="S3377" s="58"/>
    </row>
    <row r="3378" spans="1:19" s="59" customFormat="1" ht="18.75" hidden="1" customHeight="1" thickBot="1" x14ac:dyDescent="0.3">
      <c r="A3378" s="59" t="s">
        <v>23</v>
      </c>
      <c r="B3378" s="60" t="str">
        <f t="shared" ref="B3378:B3379" si="2420">IF(K3378=0,"hide","")</f>
        <v>hide</v>
      </c>
      <c r="D3378" s="61" t="str">
        <f>"46051"</f>
        <v>46051</v>
      </c>
      <c r="E3378" s="62" t="str">
        <f>"7"</f>
        <v>7</v>
      </c>
      <c r="F3378" s="63">
        <v>40.5</v>
      </c>
      <c r="G3378" s="63">
        <v>13.5</v>
      </c>
      <c r="H3378" s="63">
        <v>0</v>
      </c>
      <c r="I3378" s="63">
        <v>0</v>
      </c>
      <c r="J3378" s="63">
        <v>0</v>
      </c>
      <c r="K3378" s="63">
        <f>AVERAGE(I3378:J3378)</f>
        <v>0</v>
      </c>
      <c r="L3378" s="64" t="str">
        <f>"BANANA MUFFINS"</f>
        <v>BANANA MUFFINS</v>
      </c>
      <c r="M3378" s="65" t="str">
        <f>"216-1 oz. 18-12 pack #520"</f>
        <v>216-1 oz. 18-12 pack #520</v>
      </c>
      <c r="N3378" s="66">
        <v>216</v>
      </c>
      <c r="O3378" s="67" t="str">
        <f>""</f>
        <v/>
      </c>
      <c r="P3378" s="68" t="e">
        <f>1/O3378</f>
        <v>#VALUE!</v>
      </c>
      <c r="Q3378" s="53">
        <v>1</v>
      </c>
      <c r="R3378" s="69">
        <f t="shared" ref="R3378" si="2421">1/Q3378</f>
        <v>1</v>
      </c>
      <c r="S3378" s="70">
        <f t="shared" ref="S3378" si="2422">R3378*N3378</f>
        <v>216</v>
      </c>
    </row>
    <row r="3379" spans="1:19" ht="15.6" hidden="1" customHeight="1" thickBot="1" x14ac:dyDescent="0.3">
      <c r="A3379" t="s">
        <v>23</v>
      </c>
      <c r="B3379" s="60" t="str">
        <f t="shared" si="2420"/>
        <v>hide</v>
      </c>
      <c r="D3379" s="48" t="str">
        <f>D3378</f>
        <v>46051</v>
      </c>
      <c r="E3379" s="7"/>
      <c r="F3379" s="27">
        <v>0</v>
      </c>
      <c r="G3379" s="27">
        <v>0</v>
      </c>
      <c r="H3379" s="27">
        <v>0</v>
      </c>
      <c r="I3379" s="27">
        <v>0</v>
      </c>
      <c r="J3379" s="27">
        <v>0</v>
      </c>
      <c r="K3379" s="63">
        <f>AVERAGE(I3379:J3379)</f>
        <v>0</v>
      </c>
      <c r="L3379" s="56" t="str">
        <f>"EQP-LAWPACK1"</f>
        <v>EQP-LAWPACK1</v>
      </c>
      <c r="M3379" s="14"/>
      <c r="N3379" s="15"/>
      <c r="O3379" s="12"/>
      <c r="P3379" s="34"/>
      <c r="Q3379" s="37"/>
      <c r="R3379" s="47"/>
      <c r="S3379" s="46"/>
    </row>
    <row r="3380" spans="1:19" ht="15.6" hidden="1" customHeight="1" thickBot="1" x14ac:dyDescent="0.3">
      <c r="A3380" t="s">
        <v>23</v>
      </c>
      <c r="B3380" s="60" t="str">
        <f t="shared" ref="B3380:B3382" si="2423">IF(K3380=0,"hide","")</f>
        <v>hide</v>
      </c>
      <c r="D3380" s="48" t="str">
        <f>D3379</f>
        <v>46051</v>
      </c>
      <c r="E3380" s="7"/>
      <c r="F3380" s="27">
        <v>0</v>
      </c>
      <c r="G3380" s="27">
        <v>0</v>
      </c>
      <c r="H3380" s="27">
        <v>0</v>
      </c>
      <c r="I3380" s="27">
        <v>0</v>
      </c>
      <c r="J3380" s="27">
        <v>0</v>
      </c>
      <c r="K3380" s="63">
        <f>AVERAGE(I3380:J3380)</f>
        <v>0</v>
      </c>
      <c r="L3380" s="56" t="str">
        <f>"EQP-LAWPACK2"</f>
        <v>EQP-LAWPACK2</v>
      </c>
      <c r="M3380" s="14"/>
      <c r="N3380" s="15"/>
      <c r="O3380" s="12"/>
      <c r="P3380" s="34"/>
      <c r="Q3380" s="37"/>
      <c r="R3380" s="47"/>
      <c r="S3380" s="46"/>
    </row>
    <row r="3381" spans="1:19" ht="15.6" hidden="1" customHeight="1" thickBot="1" x14ac:dyDescent="0.3">
      <c r="A3381" t="s">
        <v>23</v>
      </c>
      <c r="B3381" s="60" t="str">
        <f t="shared" si="2423"/>
        <v>hide</v>
      </c>
      <c r="D3381" s="48" t="str">
        <f>D3380</f>
        <v>46051</v>
      </c>
      <c r="E3381" s="7"/>
      <c r="F3381" s="27">
        <v>0</v>
      </c>
      <c r="G3381" s="27">
        <v>0</v>
      </c>
      <c r="H3381" s="27">
        <v>0</v>
      </c>
      <c r="I3381" s="27">
        <v>0</v>
      </c>
      <c r="J3381" s="27">
        <v>0</v>
      </c>
      <c r="K3381" s="63">
        <f>AVERAGE(I3381:J3381)</f>
        <v>0</v>
      </c>
      <c r="L3381" s="56" t="str">
        <f>"SW-COMAS-PACKL"</f>
        <v>SW-COMAS-PACKL</v>
      </c>
      <c r="M3381" s="14"/>
      <c r="N3381" s="15"/>
      <c r="O3381" s="12"/>
      <c r="P3381" s="34"/>
      <c r="Q3381" s="37"/>
      <c r="R3381" s="47"/>
      <c r="S3381" s="46"/>
    </row>
    <row r="3382" spans="1:19" ht="15.6" hidden="1" customHeight="1" thickBot="1" x14ac:dyDescent="0.3">
      <c r="A3382" t="s">
        <v>23</v>
      </c>
      <c r="B3382" s="60" t="str">
        <f t="shared" si="2423"/>
        <v>hide</v>
      </c>
      <c r="D3382" s="48" t="str">
        <f>D3381</f>
        <v>46051</v>
      </c>
      <c r="E3382" s="7"/>
      <c r="F3382" s="27">
        <v>0</v>
      </c>
      <c r="G3382" s="27">
        <v>0</v>
      </c>
      <c r="H3382" s="27">
        <v>0</v>
      </c>
      <c r="I3382" s="27">
        <v>0</v>
      </c>
      <c r="J3382" s="27">
        <v>0</v>
      </c>
      <c r="K3382" s="63">
        <f>AVERAGE(I3382:J3382)</f>
        <v>0</v>
      </c>
      <c r="L3382" s="56" t="str">
        <f>"SW-RISER-PACK"</f>
        <v>SW-RISER-PACK</v>
      </c>
      <c r="M3382" s="14"/>
      <c r="N3382" s="15"/>
      <c r="O3382" s="12"/>
      <c r="P3382" s="34"/>
      <c r="Q3382" s="37"/>
      <c r="R3382" s="47"/>
      <c r="S3382" s="46"/>
    </row>
    <row r="3383" spans="1:19" ht="12" hidden="1" customHeight="1" x14ac:dyDescent="0.3">
      <c r="A3383" s="35" t="s">
        <v>908</v>
      </c>
      <c r="B3383" s="49" t="str">
        <f>B3379</f>
        <v>hide</v>
      </c>
      <c r="N3383"/>
      <c r="Q3383" s="33"/>
    </row>
    <row r="3384" spans="1:19" ht="13.8" hidden="1" thickBot="1" x14ac:dyDescent="0.3">
      <c r="A3384" t="s">
        <v>23</v>
      </c>
      <c r="B3384" s="49" t="str">
        <f t="shared" ref="B3384" si="2424">B3383</f>
        <v>hide</v>
      </c>
      <c r="D3384" s="58"/>
      <c r="E3384" s="58"/>
      <c r="F3384" s="52">
        <f>SUM(F3379:F3383)</f>
        <v>0</v>
      </c>
      <c r="G3384" s="52">
        <f>SUM(G3379:G3383)</f>
        <v>0</v>
      </c>
      <c r="H3384" s="52">
        <f>SUM(H3379:H3383)</f>
        <v>0</v>
      </c>
      <c r="I3384" s="52">
        <f>SUM(I3379:I3383)</f>
        <v>0</v>
      </c>
      <c r="J3384" s="52">
        <f>SUM(J3379:J3383)</f>
        <v>0</v>
      </c>
      <c r="K3384" s="52"/>
      <c r="L3384" s="51" t="s">
        <v>4</v>
      </c>
      <c r="M3384" s="58"/>
      <c r="N3384" s="58"/>
      <c r="O3384" s="58"/>
      <c r="P3384" s="58"/>
      <c r="Q3384" s="58"/>
      <c r="R3384" s="58"/>
      <c r="S3384" s="58"/>
    </row>
    <row r="3385" spans="1:19" s="59" customFormat="1" ht="18.75" customHeight="1" thickBot="1" x14ac:dyDescent="0.3">
      <c r="A3385" s="59" t="s">
        <v>23</v>
      </c>
      <c r="B3385" s="60" t="str">
        <f t="shared" ref="B3385:B3386" si="2425">IF(K3385=0,"hide","")</f>
        <v/>
      </c>
      <c r="D3385" s="61" t="str">
        <f>"46301"</f>
        <v>46301</v>
      </c>
      <c r="E3385" s="62" t="str">
        <f>"7"</f>
        <v>7</v>
      </c>
      <c r="F3385" s="63">
        <v>1058.5833333333333</v>
      </c>
      <c r="G3385" s="63">
        <v>852.58333333333337</v>
      </c>
      <c r="H3385" s="63">
        <v>872.5</v>
      </c>
      <c r="I3385" s="63">
        <v>855.83333333333337</v>
      </c>
      <c r="J3385" s="63">
        <v>621.78168674698793</v>
      </c>
      <c r="K3385" s="63">
        <f>AVERAGE(I3385:J3385)</f>
        <v>738.80751004016065</v>
      </c>
      <c r="L3385" s="64" t="str">
        <f>"BLUEBERRY MUFFINS"</f>
        <v>BLUEBERRY MUFFINS</v>
      </c>
      <c r="M3385" s="65" t="str">
        <f>"216-1 oz. 18-12 pack"</f>
        <v>216-1 oz. 18-12 pack</v>
      </c>
      <c r="N3385" s="66">
        <v>216</v>
      </c>
      <c r="O3385" s="67" t="str">
        <f>""</f>
        <v/>
      </c>
      <c r="P3385" s="68" t="e">
        <f>1/O3385</f>
        <v>#VALUE!</v>
      </c>
      <c r="Q3385" s="53">
        <v>1</v>
      </c>
      <c r="R3385" s="69">
        <f t="shared" ref="R3385" si="2426">1/Q3385</f>
        <v>1</v>
      </c>
      <c r="S3385" s="70">
        <f t="shared" ref="S3385" si="2427">R3385*N3385</f>
        <v>216</v>
      </c>
    </row>
    <row r="3386" spans="1:19" ht="15.6" hidden="1" customHeight="1" thickBot="1" x14ac:dyDescent="0.3">
      <c r="A3386" t="s">
        <v>23</v>
      </c>
      <c r="B3386" s="60" t="str">
        <f t="shared" si="2425"/>
        <v>hide</v>
      </c>
      <c r="D3386" s="48" t="str">
        <f>D3385</f>
        <v>46301</v>
      </c>
      <c r="E3386" s="7"/>
      <c r="F3386" s="27">
        <v>0</v>
      </c>
      <c r="G3386" s="27">
        <v>0</v>
      </c>
      <c r="H3386" s="27">
        <v>0</v>
      </c>
      <c r="I3386" s="27">
        <v>0</v>
      </c>
      <c r="J3386" s="27">
        <v>0</v>
      </c>
      <c r="K3386" s="63">
        <f>AVERAGE(I3386:J3386)</f>
        <v>0</v>
      </c>
      <c r="L3386" s="56" t="str">
        <f>"EQP-LAWPACK1"</f>
        <v>EQP-LAWPACK1</v>
      </c>
      <c r="M3386" s="14"/>
      <c r="N3386" s="15"/>
      <c r="O3386" s="12"/>
      <c r="P3386" s="34"/>
      <c r="Q3386" s="37"/>
      <c r="R3386" s="47"/>
      <c r="S3386" s="46"/>
    </row>
    <row r="3387" spans="1:19" ht="15.6" hidden="1" customHeight="1" thickBot="1" x14ac:dyDescent="0.3">
      <c r="A3387" t="s">
        <v>23</v>
      </c>
      <c r="B3387" s="60" t="str">
        <f t="shared" ref="B3387:B3389" si="2428">IF(K3387=0,"hide","")</f>
        <v>hide</v>
      </c>
      <c r="D3387" s="48" t="str">
        <f>D3386</f>
        <v>46301</v>
      </c>
      <c r="E3387" s="7"/>
      <c r="F3387" s="27">
        <v>0</v>
      </c>
      <c r="G3387" s="27">
        <v>0</v>
      </c>
      <c r="H3387" s="27">
        <v>0</v>
      </c>
      <c r="I3387" s="27">
        <v>0</v>
      </c>
      <c r="J3387" s="27">
        <v>0</v>
      </c>
      <c r="K3387" s="63">
        <f>AVERAGE(I3387:J3387)</f>
        <v>0</v>
      </c>
      <c r="L3387" s="56" t="str">
        <f>"EQP-LAWPACK2"</f>
        <v>EQP-LAWPACK2</v>
      </c>
      <c r="M3387" s="14"/>
      <c r="N3387" s="15"/>
      <c r="O3387" s="12"/>
      <c r="P3387" s="34"/>
      <c r="Q3387" s="37"/>
      <c r="R3387" s="47"/>
      <c r="S3387" s="46"/>
    </row>
    <row r="3388" spans="1:19" ht="15.6" hidden="1" customHeight="1" thickBot="1" x14ac:dyDescent="0.3">
      <c r="A3388" t="s">
        <v>23</v>
      </c>
      <c r="B3388" s="60" t="str">
        <f t="shared" si="2428"/>
        <v>hide</v>
      </c>
      <c r="D3388" s="48" t="str">
        <f>D3387</f>
        <v>46301</v>
      </c>
      <c r="E3388" s="7"/>
      <c r="F3388" s="27">
        <v>0</v>
      </c>
      <c r="G3388" s="27">
        <v>0</v>
      </c>
      <c r="H3388" s="27">
        <v>0</v>
      </c>
      <c r="I3388" s="27">
        <v>0</v>
      </c>
      <c r="J3388" s="27">
        <v>0</v>
      </c>
      <c r="K3388" s="63">
        <f>AVERAGE(I3388:J3388)</f>
        <v>0</v>
      </c>
      <c r="L3388" s="56" t="str">
        <f>"SW-COMAS-PACKL"</f>
        <v>SW-COMAS-PACKL</v>
      </c>
      <c r="M3388" s="14"/>
      <c r="N3388" s="15"/>
      <c r="O3388" s="12"/>
      <c r="P3388" s="34"/>
      <c r="Q3388" s="37"/>
      <c r="R3388" s="47"/>
      <c r="S3388" s="46"/>
    </row>
    <row r="3389" spans="1:19" ht="15.6" hidden="1" customHeight="1" thickBot="1" x14ac:dyDescent="0.3">
      <c r="A3389" t="s">
        <v>23</v>
      </c>
      <c r="B3389" s="60" t="str">
        <f t="shared" si="2428"/>
        <v>hide</v>
      </c>
      <c r="D3389" s="48" t="str">
        <f>D3388</f>
        <v>46301</v>
      </c>
      <c r="E3389" s="7"/>
      <c r="F3389" s="27">
        <v>0</v>
      </c>
      <c r="G3389" s="27">
        <v>0</v>
      </c>
      <c r="H3389" s="27">
        <v>0</v>
      </c>
      <c r="I3389" s="27">
        <v>0</v>
      </c>
      <c r="J3389" s="27">
        <v>0</v>
      </c>
      <c r="K3389" s="63">
        <f>AVERAGE(I3389:J3389)</f>
        <v>0</v>
      </c>
      <c r="L3389" s="56" t="str">
        <f>"SW-RISER-PACK"</f>
        <v>SW-RISER-PACK</v>
      </c>
      <c r="M3389" s="14"/>
      <c r="N3389" s="15"/>
      <c r="O3389" s="12"/>
      <c r="P3389" s="34"/>
      <c r="Q3389" s="37"/>
      <c r="R3389" s="47"/>
      <c r="S3389" s="46"/>
    </row>
    <row r="3390" spans="1:19" ht="12" hidden="1" customHeight="1" x14ac:dyDescent="0.3">
      <c r="A3390" s="35" t="s">
        <v>908</v>
      </c>
      <c r="B3390" s="49" t="str">
        <f>B3386</f>
        <v>hide</v>
      </c>
      <c r="N3390"/>
      <c r="Q3390" s="33"/>
    </row>
    <row r="3391" spans="1:19" ht="13.8" hidden="1" thickBot="1" x14ac:dyDescent="0.3">
      <c r="A3391" t="s">
        <v>23</v>
      </c>
      <c r="B3391" s="49" t="str">
        <f t="shared" ref="B3391" si="2429">B3390</f>
        <v>hide</v>
      </c>
      <c r="D3391" s="58"/>
      <c r="E3391" s="58"/>
      <c r="F3391" s="52">
        <f>SUM(F3386:F3390)</f>
        <v>0</v>
      </c>
      <c r="G3391" s="52">
        <f>SUM(G3386:G3390)</f>
        <v>0</v>
      </c>
      <c r="H3391" s="52">
        <f>SUM(H3386:H3390)</f>
        <v>0</v>
      </c>
      <c r="I3391" s="52">
        <f>SUM(I3386:I3390)</f>
        <v>0</v>
      </c>
      <c r="J3391" s="52">
        <f>SUM(J3386:J3390)</f>
        <v>0</v>
      </c>
      <c r="K3391" s="52"/>
      <c r="L3391" s="51" t="s">
        <v>4</v>
      </c>
      <c r="M3391" s="58"/>
      <c r="N3391" s="58"/>
      <c r="O3391" s="58"/>
      <c r="P3391" s="58"/>
      <c r="Q3391" s="58"/>
      <c r="R3391" s="58"/>
      <c r="S3391" s="58"/>
    </row>
    <row r="3392" spans="1:19" s="59" customFormat="1" ht="18.75" customHeight="1" thickBot="1" x14ac:dyDescent="0.3">
      <c r="A3392" s="59" t="s">
        <v>23</v>
      </c>
      <c r="B3392" s="60" t="str">
        <f t="shared" ref="B3392:B3393" si="2430">IF(K3392=0,"hide","")</f>
        <v/>
      </c>
      <c r="D3392" s="61" t="str">
        <f>"46302"</f>
        <v>46302</v>
      </c>
      <c r="E3392" s="62" t="str">
        <f>"6"</f>
        <v>6</v>
      </c>
      <c r="F3392" s="63">
        <v>0</v>
      </c>
      <c r="G3392" s="63">
        <v>22.666666666666668</v>
      </c>
      <c r="H3392" s="63">
        <v>36.249999999999993</v>
      </c>
      <c r="I3392" s="63">
        <v>26.25</v>
      </c>
      <c r="J3392" s="63">
        <v>23.117349397590363</v>
      </c>
      <c r="K3392" s="63">
        <f>AVERAGE(I3392:J3392)</f>
        <v>24.68367469879518</v>
      </c>
      <c r="L3392" s="64" t="str">
        <f>"CRANBERRY MUFFINS"</f>
        <v>CRANBERRY MUFFINS</v>
      </c>
      <c r="M3392" s="65" t="str">
        <f>"216-1 oz. 18-12 pack"</f>
        <v>216-1 oz. 18-12 pack</v>
      </c>
      <c r="N3392" s="66">
        <v>216</v>
      </c>
      <c r="O3392" s="67" t="str">
        <f>""</f>
        <v/>
      </c>
      <c r="P3392" s="68" t="e">
        <f>1/O3392</f>
        <v>#VALUE!</v>
      </c>
      <c r="Q3392" s="53">
        <v>1</v>
      </c>
      <c r="R3392" s="69">
        <f t="shared" ref="R3392" si="2431">1/Q3392</f>
        <v>1</v>
      </c>
      <c r="S3392" s="70">
        <f t="shared" ref="S3392" si="2432">R3392*N3392</f>
        <v>216</v>
      </c>
    </row>
    <row r="3393" spans="1:19" ht="15.6" hidden="1" customHeight="1" thickBot="1" x14ac:dyDescent="0.3">
      <c r="A3393" t="s">
        <v>23</v>
      </c>
      <c r="B3393" s="60" t="str">
        <f t="shared" si="2430"/>
        <v>hide</v>
      </c>
      <c r="D3393" s="48" t="str">
        <f>D3392</f>
        <v>46302</v>
      </c>
      <c r="E3393" s="7"/>
      <c r="F3393" s="27">
        <v>0</v>
      </c>
      <c r="G3393" s="27">
        <v>0</v>
      </c>
      <c r="H3393" s="27">
        <v>0</v>
      </c>
      <c r="I3393" s="27">
        <v>0</v>
      </c>
      <c r="J3393" s="27">
        <v>0</v>
      </c>
      <c r="K3393" s="63">
        <f>AVERAGE(I3393:J3393)</f>
        <v>0</v>
      </c>
      <c r="L3393" s="56" t="str">
        <f>"EQP-LAWPACK1"</f>
        <v>EQP-LAWPACK1</v>
      </c>
      <c r="M3393" s="14"/>
      <c r="N3393" s="15"/>
      <c r="O3393" s="12"/>
      <c r="P3393" s="34"/>
      <c r="Q3393" s="37"/>
      <c r="R3393" s="47"/>
      <c r="S3393" s="46"/>
    </row>
    <row r="3394" spans="1:19" ht="15.6" hidden="1" customHeight="1" thickBot="1" x14ac:dyDescent="0.3">
      <c r="A3394" t="s">
        <v>23</v>
      </c>
      <c r="B3394" s="60" t="str">
        <f t="shared" ref="B3394:B3396" si="2433">IF(K3394=0,"hide","")</f>
        <v>hide</v>
      </c>
      <c r="D3394" s="48" t="str">
        <f>D3393</f>
        <v>46302</v>
      </c>
      <c r="E3394" s="7"/>
      <c r="F3394" s="27">
        <v>0</v>
      </c>
      <c r="G3394" s="27">
        <v>0</v>
      </c>
      <c r="H3394" s="27">
        <v>0</v>
      </c>
      <c r="I3394" s="27">
        <v>0</v>
      </c>
      <c r="J3394" s="27">
        <v>0</v>
      </c>
      <c r="K3394" s="63">
        <f>AVERAGE(I3394:J3394)</f>
        <v>0</v>
      </c>
      <c r="L3394" s="56" t="str">
        <f>"EQP-LAWPACK2"</f>
        <v>EQP-LAWPACK2</v>
      </c>
      <c r="M3394" s="14"/>
      <c r="N3394" s="15"/>
      <c r="O3394" s="12"/>
      <c r="P3394" s="34"/>
      <c r="Q3394" s="37"/>
      <c r="R3394" s="47"/>
      <c r="S3394" s="46"/>
    </row>
    <row r="3395" spans="1:19" ht="15.6" hidden="1" customHeight="1" thickBot="1" x14ac:dyDescent="0.3">
      <c r="A3395" t="s">
        <v>23</v>
      </c>
      <c r="B3395" s="60" t="str">
        <f t="shared" si="2433"/>
        <v>hide</v>
      </c>
      <c r="D3395" s="48" t="str">
        <f>D3394</f>
        <v>46302</v>
      </c>
      <c r="E3395" s="7"/>
      <c r="F3395" s="27">
        <v>0</v>
      </c>
      <c r="G3395" s="27">
        <v>0</v>
      </c>
      <c r="H3395" s="27">
        <v>0</v>
      </c>
      <c r="I3395" s="27">
        <v>0</v>
      </c>
      <c r="J3395" s="27">
        <v>0</v>
      </c>
      <c r="K3395" s="63">
        <f>AVERAGE(I3395:J3395)</f>
        <v>0</v>
      </c>
      <c r="L3395" s="56" t="str">
        <f>"SW-COMAS-PACKL"</f>
        <v>SW-COMAS-PACKL</v>
      </c>
      <c r="M3395" s="14"/>
      <c r="N3395" s="15"/>
      <c r="O3395" s="12"/>
      <c r="P3395" s="34"/>
      <c r="Q3395" s="37"/>
      <c r="R3395" s="47"/>
      <c r="S3395" s="46"/>
    </row>
    <row r="3396" spans="1:19" ht="15.6" hidden="1" customHeight="1" thickBot="1" x14ac:dyDescent="0.3">
      <c r="A3396" t="s">
        <v>23</v>
      </c>
      <c r="B3396" s="60" t="str">
        <f t="shared" si="2433"/>
        <v>hide</v>
      </c>
      <c r="D3396" s="48" t="str">
        <f>D3395</f>
        <v>46302</v>
      </c>
      <c r="E3396" s="7"/>
      <c r="F3396" s="27">
        <v>0</v>
      </c>
      <c r="G3396" s="27">
        <v>0</v>
      </c>
      <c r="H3396" s="27">
        <v>0</v>
      </c>
      <c r="I3396" s="27">
        <v>0</v>
      </c>
      <c r="J3396" s="27">
        <v>0</v>
      </c>
      <c r="K3396" s="63">
        <f>AVERAGE(I3396:J3396)</f>
        <v>0</v>
      </c>
      <c r="L3396" s="56" t="str">
        <f>"SW-RISER-PACK"</f>
        <v>SW-RISER-PACK</v>
      </c>
      <c r="M3396" s="14"/>
      <c r="N3396" s="15"/>
      <c r="O3396" s="12"/>
      <c r="P3396" s="34"/>
      <c r="Q3396" s="37"/>
      <c r="R3396" s="47"/>
      <c r="S3396" s="46"/>
    </row>
    <row r="3397" spans="1:19" ht="12" hidden="1" customHeight="1" x14ac:dyDescent="0.3">
      <c r="A3397" s="35" t="s">
        <v>908</v>
      </c>
      <c r="B3397" s="49" t="str">
        <f>B3393</f>
        <v>hide</v>
      </c>
      <c r="N3397"/>
      <c r="Q3397" s="33"/>
    </row>
    <row r="3398" spans="1:19" ht="13.8" hidden="1" thickBot="1" x14ac:dyDescent="0.3">
      <c r="A3398" t="s">
        <v>23</v>
      </c>
      <c r="B3398" s="49" t="str">
        <f t="shared" ref="B3398" si="2434">B3397</f>
        <v>hide</v>
      </c>
      <c r="D3398" s="58"/>
      <c r="E3398" s="58"/>
      <c r="F3398" s="52">
        <f>SUM(F3393:F3397)</f>
        <v>0</v>
      </c>
      <c r="G3398" s="52">
        <f>SUM(G3393:G3397)</f>
        <v>0</v>
      </c>
      <c r="H3398" s="52">
        <f>SUM(H3393:H3397)</f>
        <v>0</v>
      </c>
      <c r="I3398" s="52">
        <f>SUM(I3393:I3397)</f>
        <v>0</v>
      </c>
      <c r="J3398" s="52">
        <f>SUM(J3393:J3397)</f>
        <v>0</v>
      </c>
      <c r="K3398" s="52"/>
      <c r="L3398" s="51" t="s">
        <v>4</v>
      </c>
      <c r="M3398" s="58"/>
      <c r="N3398" s="58"/>
      <c r="O3398" s="58"/>
      <c r="P3398" s="58"/>
      <c r="Q3398" s="58"/>
      <c r="R3398" s="58"/>
      <c r="S3398" s="58"/>
    </row>
    <row r="3399" spans="1:19" s="59" customFormat="1" ht="18.75" hidden="1" customHeight="1" thickBot="1" x14ac:dyDescent="0.3">
      <c r="A3399" s="59" t="s">
        <v>23</v>
      </c>
      <c r="B3399" s="60" t="str">
        <f t="shared" ref="B3399:B3400" si="2435">IF(K3399=0,"hide","")</f>
        <v>hide</v>
      </c>
      <c r="D3399" s="61" t="str">
        <f>"46303"</f>
        <v>46303</v>
      </c>
      <c r="E3399" s="62" t="str">
        <f>"4"</f>
        <v>4</v>
      </c>
      <c r="F3399" s="63">
        <v>0</v>
      </c>
      <c r="G3399" s="63">
        <v>0</v>
      </c>
      <c r="H3399" s="63">
        <v>0</v>
      </c>
      <c r="I3399" s="63">
        <v>0</v>
      </c>
      <c r="J3399" s="63">
        <v>0</v>
      </c>
      <c r="K3399" s="63">
        <f>AVERAGE(I3399:J3399)</f>
        <v>0</v>
      </c>
      <c r="L3399" s="64" t="str">
        <f>"Cranberry Orange Muffins"</f>
        <v>Cranberry Orange Muffins</v>
      </c>
      <c r="M3399" s="65" t="str">
        <f>"216-1 oz. 18-12 pack"</f>
        <v>216-1 oz. 18-12 pack</v>
      </c>
      <c r="N3399" s="66">
        <v>216</v>
      </c>
      <c r="O3399" s="67" t="str">
        <f>""</f>
        <v/>
      </c>
      <c r="P3399" s="68" t="e">
        <f>1/O3399</f>
        <v>#VALUE!</v>
      </c>
      <c r="Q3399" s="53">
        <v>1</v>
      </c>
      <c r="R3399" s="69">
        <f t="shared" ref="R3399" si="2436">1/Q3399</f>
        <v>1</v>
      </c>
      <c r="S3399" s="70">
        <f t="shared" ref="S3399" si="2437">R3399*N3399</f>
        <v>216</v>
      </c>
    </row>
    <row r="3400" spans="1:19" ht="15.6" hidden="1" customHeight="1" thickBot="1" x14ac:dyDescent="0.3">
      <c r="A3400" t="s">
        <v>23</v>
      </c>
      <c r="B3400" s="60" t="str">
        <f t="shared" si="2435"/>
        <v>hide</v>
      </c>
      <c r="D3400" s="48" t="str">
        <f>D3399</f>
        <v>46303</v>
      </c>
      <c r="E3400" s="7"/>
      <c r="F3400" s="27">
        <v>0</v>
      </c>
      <c r="G3400" s="27">
        <v>0</v>
      </c>
      <c r="H3400" s="27">
        <v>0</v>
      </c>
      <c r="I3400" s="27">
        <v>0</v>
      </c>
      <c r="J3400" s="27">
        <v>0</v>
      </c>
      <c r="K3400" s="63">
        <f>AVERAGE(I3400:J3400)</f>
        <v>0</v>
      </c>
      <c r="L3400" s="56" t="str">
        <f>"EQP-LAWPACK1"</f>
        <v>EQP-LAWPACK1</v>
      </c>
      <c r="M3400" s="14"/>
      <c r="N3400" s="15"/>
      <c r="O3400" s="12"/>
      <c r="P3400" s="34"/>
      <c r="Q3400" s="37"/>
      <c r="R3400" s="47"/>
      <c r="S3400" s="46"/>
    </row>
    <row r="3401" spans="1:19" ht="15.6" hidden="1" customHeight="1" thickBot="1" x14ac:dyDescent="0.3">
      <c r="A3401" t="s">
        <v>23</v>
      </c>
      <c r="B3401" s="60" t="str">
        <f t="shared" ref="B3401:B3403" si="2438">IF(K3401=0,"hide","")</f>
        <v>hide</v>
      </c>
      <c r="D3401" s="48" t="str">
        <f>D3400</f>
        <v>46303</v>
      </c>
      <c r="E3401" s="7"/>
      <c r="F3401" s="27">
        <v>0</v>
      </c>
      <c r="G3401" s="27">
        <v>0</v>
      </c>
      <c r="H3401" s="27">
        <v>0</v>
      </c>
      <c r="I3401" s="27">
        <v>0</v>
      </c>
      <c r="J3401" s="27">
        <v>0</v>
      </c>
      <c r="K3401" s="63">
        <f>AVERAGE(I3401:J3401)</f>
        <v>0</v>
      </c>
      <c r="L3401" s="56" t="str">
        <f>"EQP-LAWPACK2"</f>
        <v>EQP-LAWPACK2</v>
      </c>
      <c r="M3401" s="14"/>
      <c r="N3401" s="15"/>
      <c r="O3401" s="12"/>
      <c r="P3401" s="34"/>
      <c r="Q3401" s="37"/>
      <c r="R3401" s="47"/>
      <c r="S3401" s="46"/>
    </row>
    <row r="3402" spans="1:19" ht="15.6" hidden="1" customHeight="1" thickBot="1" x14ac:dyDescent="0.3">
      <c r="A3402" t="s">
        <v>23</v>
      </c>
      <c r="B3402" s="60" t="str">
        <f t="shared" si="2438"/>
        <v>hide</v>
      </c>
      <c r="D3402" s="48" t="str">
        <f>D3401</f>
        <v>46303</v>
      </c>
      <c r="E3402" s="7"/>
      <c r="F3402" s="27">
        <v>0</v>
      </c>
      <c r="G3402" s="27">
        <v>0</v>
      </c>
      <c r="H3402" s="27">
        <v>0</v>
      </c>
      <c r="I3402" s="27">
        <v>0</v>
      </c>
      <c r="J3402" s="27">
        <v>0</v>
      </c>
      <c r="K3402" s="63">
        <f>AVERAGE(I3402:J3402)</f>
        <v>0</v>
      </c>
      <c r="L3402" s="56" t="str">
        <f>"SW-COMAS-PACKL"</f>
        <v>SW-COMAS-PACKL</v>
      </c>
      <c r="M3402" s="14"/>
      <c r="N3402" s="15"/>
      <c r="O3402" s="12"/>
      <c r="P3402" s="34"/>
      <c r="Q3402" s="37"/>
      <c r="R3402" s="47"/>
      <c r="S3402" s="46"/>
    </row>
    <row r="3403" spans="1:19" ht="15.6" hidden="1" customHeight="1" thickBot="1" x14ac:dyDescent="0.3">
      <c r="A3403" t="s">
        <v>23</v>
      </c>
      <c r="B3403" s="60" t="str">
        <f t="shared" si="2438"/>
        <v>hide</v>
      </c>
      <c r="D3403" s="48" t="str">
        <f>D3402</f>
        <v>46303</v>
      </c>
      <c r="E3403" s="7"/>
      <c r="F3403" s="27">
        <v>0</v>
      </c>
      <c r="G3403" s="27">
        <v>0</v>
      </c>
      <c r="H3403" s="27">
        <v>0</v>
      </c>
      <c r="I3403" s="27">
        <v>0</v>
      </c>
      <c r="J3403" s="27">
        <v>0</v>
      </c>
      <c r="K3403" s="63">
        <f>AVERAGE(I3403:J3403)</f>
        <v>0</v>
      </c>
      <c r="L3403" s="56" t="str">
        <f>"SW-RISER-PACK"</f>
        <v>SW-RISER-PACK</v>
      </c>
      <c r="M3403" s="14"/>
      <c r="N3403" s="15"/>
      <c r="O3403" s="12"/>
      <c r="P3403" s="34"/>
      <c r="Q3403" s="37"/>
      <c r="R3403" s="47"/>
      <c r="S3403" s="46"/>
    </row>
    <row r="3404" spans="1:19" ht="12" hidden="1" customHeight="1" x14ac:dyDescent="0.3">
      <c r="A3404" s="35" t="s">
        <v>908</v>
      </c>
      <c r="B3404" s="49" t="str">
        <f>B3400</f>
        <v>hide</v>
      </c>
      <c r="N3404"/>
      <c r="Q3404" s="33"/>
    </row>
    <row r="3405" spans="1:19" ht="13.8" hidden="1" thickBot="1" x14ac:dyDescent="0.3">
      <c r="A3405" t="s">
        <v>23</v>
      </c>
      <c r="B3405" s="49" t="str">
        <f t="shared" ref="B3405" si="2439">B3404</f>
        <v>hide</v>
      </c>
      <c r="D3405" s="58"/>
      <c r="E3405" s="58"/>
      <c r="F3405" s="52">
        <f>SUM(F3400:F3404)</f>
        <v>0</v>
      </c>
      <c r="G3405" s="52">
        <f>SUM(G3400:G3404)</f>
        <v>0</v>
      </c>
      <c r="H3405" s="52">
        <f>SUM(H3400:H3404)</f>
        <v>0</v>
      </c>
      <c r="I3405" s="52">
        <f>SUM(I3400:I3404)</f>
        <v>0</v>
      </c>
      <c r="J3405" s="52">
        <f>SUM(J3400:J3404)</f>
        <v>0</v>
      </c>
      <c r="K3405" s="52"/>
      <c r="L3405" s="51" t="s">
        <v>4</v>
      </c>
      <c r="M3405" s="58"/>
      <c r="N3405" s="58"/>
      <c r="O3405" s="58"/>
      <c r="P3405" s="58"/>
      <c r="Q3405" s="58"/>
      <c r="R3405" s="58"/>
      <c r="S3405" s="58"/>
    </row>
    <row r="3406" spans="1:19" s="59" customFormat="1" ht="18.75" customHeight="1" thickBot="1" x14ac:dyDescent="0.3">
      <c r="A3406" s="59" t="s">
        <v>23</v>
      </c>
      <c r="B3406" s="60" t="str">
        <f t="shared" ref="B3406:B3407" si="2440">IF(K3406=0,"hide","")</f>
        <v/>
      </c>
      <c r="D3406" s="61" t="str">
        <f>"46305"</f>
        <v>46305</v>
      </c>
      <c r="E3406" s="62" t="str">
        <f>"5"</f>
        <v>5</v>
      </c>
      <c r="F3406" s="63">
        <v>829.08333333333337</v>
      </c>
      <c r="G3406" s="63">
        <v>688.75</v>
      </c>
      <c r="H3406" s="63">
        <v>625.08333333333326</v>
      </c>
      <c r="I3406" s="63">
        <v>502.83333333333331</v>
      </c>
      <c r="J3406" s="63">
        <v>361.626265060241</v>
      </c>
      <c r="K3406" s="63">
        <f>AVERAGE(I3406:J3406)</f>
        <v>432.22979919678716</v>
      </c>
      <c r="L3406" s="64" t="str">
        <f>"CORN MUFFINS"</f>
        <v>CORN MUFFINS</v>
      </c>
      <c r="M3406" s="65" t="str">
        <f>"216-1 oz. 18-12 pack"</f>
        <v>216-1 oz. 18-12 pack</v>
      </c>
      <c r="N3406" s="66">
        <v>216</v>
      </c>
      <c r="O3406" s="67" t="str">
        <f>""</f>
        <v/>
      </c>
      <c r="P3406" s="68" t="e">
        <f>1/O3406</f>
        <v>#VALUE!</v>
      </c>
      <c r="Q3406" s="53">
        <v>1</v>
      </c>
      <c r="R3406" s="69">
        <f t="shared" ref="R3406" si="2441">1/Q3406</f>
        <v>1</v>
      </c>
      <c r="S3406" s="70">
        <f t="shared" ref="S3406" si="2442">R3406*N3406</f>
        <v>216</v>
      </c>
    </row>
    <row r="3407" spans="1:19" ht="15.6" hidden="1" customHeight="1" thickBot="1" x14ac:dyDescent="0.3">
      <c r="A3407" t="s">
        <v>23</v>
      </c>
      <c r="B3407" s="60" t="str">
        <f t="shared" si="2440"/>
        <v>hide</v>
      </c>
      <c r="D3407" s="48" t="str">
        <f>D3406</f>
        <v>46305</v>
      </c>
      <c r="E3407" s="7"/>
      <c r="F3407" s="27">
        <v>0</v>
      </c>
      <c r="G3407" s="27">
        <v>0</v>
      </c>
      <c r="H3407" s="27">
        <v>0</v>
      </c>
      <c r="I3407" s="27">
        <v>0</v>
      </c>
      <c r="J3407" s="27">
        <v>0</v>
      </c>
      <c r="K3407" s="63">
        <f>AVERAGE(I3407:J3407)</f>
        <v>0</v>
      </c>
      <c r="L3407" s="56" t="str">
        <f>"EQP-LAWPACK1"</f>
        <v>EQP-LAWPACK1</v>
      </c>
      <c r="M3407" s="14"/>
      <c r="N3407" s="15"/>
      <c r="O3407" s="12"/>
      <c r="P3407" s="34"/>
      <c r="Q3407" s="37"/>
      <c r="R3407" s="47"/>
      <c r="S3407" s="46"/>
    </row>
    <row r="3408" spans="1:19" ht="15.6" hidden="1" customHeight="1" thickBot="1" x14ac:dyDescent="0.3">
      <c r="A3408" t="s">
        <v>23</v>
      </c>
      <c r="B3408" s="60" t="str">
        <f t="shared" ref="B3408:B3410" si="2443">IF(K3408=0,"hide","")</f>
        <v>hide</v>
      </c>
      <c r="D3408" s="48" t="str">
        <f>D3407</f>
        <v>46305</v>
      </c>
      <c r="E3408" s="7"/>
      <c r="F3408" s="27">
        <v>0</v>
      </c>
      <c r="G3408" s="27">
        <v>0</v>
      </c>
      <c r="H3408" s="27">
        <v>0</v>
      </c>
      <c r="I3408" s="27">
        <v>0</v>
      </c>
      <c r="J3408" s="27">
        <v>0</v>
      </c>
      <c r="K3408" s="63">
        <f>AVERAGE(I3408:J3408)</f>
        <v>0</v>
      </c>
      <c r="L3408" s="56" t="str">
        <f>"EQP-LAWPACK2"</f>
        <v>EQP-LAWPACK2</v>
      </c>
      <c r="M3408" s="14"/>
      <c r="N3408" s="15"/>
      <c r="O3408" s="12"/>
      <c r="P3408" s="34"/>
      <c r="Q3408" s="37"/>
      <c r="R3408" s="47"/>
      <c r="S3408" s="46"/>
    </row>
    <row r="3409" spans="1:19" ht="15.6" hidden="1" customHeight="1" thickBot="1" x14ac:dyDescent="0.3">
      <c r="A3409" t="s">
        <v>23</v>
      </c>
      <c r="B3409" s="60" t="str">
        <f t="shared" si="2443"/>
        <v>hide</v>
      </c>
      <c r="D3409" s="48" t="str">
        <f>D3408</f>
        <v>46305</v>
      </c>
      <c r="E3409" s="7"/>
      <c r="F3409" s="27">
        <v>0</v>
      </c>
      <c r="G3409" s="27">
        <v>0</v>
      </c>
      <c r="H3409" s="27">
        <v>0</v>
      </c>
      <c r="I3409" s="27">
        <v>0</v>
      </c>
      <c r="J3409" s="27">
        <v>0</v>
      </c>
      <c r="K3409" s="63">
        <f>AVERAGE(I3409:J3409)</f>
        <v>0</v>
      </c>
      <c r="L3409" s="56" t="str">
        <f>"SW-COMAS-PACKL"</f>
        <v>SW-COMAS-PACKL</v>
      </c>
      <c r="M3409" s="14"/>
      <c r="N3409" s="15"/>
      <c r="O3409" s="12"/>
      <c r="P3409" s="34"/>
      <c r="Q3409" s="37"/>
      <c r="R3409" s="47"/>
      <c r="S3409" s="46"/>
    </row>
    <row r="3410" spans="1:19" ht="15.6" hidden="1" customHeight="1" thickBot="1" x14ac:dyDescent="0.3">
      <c r="A3410" t="s">
        <v>23</v>
      </c>
      <c r="B3410" s="60" t="str">
        <f t="shared" si="2443"/>
        <v>hide</v>
      </c>
      <c r="D3410" s="48" t="str">
        <f>D3409</f>
        <v>46305</v>
      </c>
      <c r="E3410" s="7"/>
      <c r="F3410" s="27">
        <v>0</v>
      </c>
      <c r="G3410" s="27">
        <v>0</v>
      </c>
      <c r="H3410" s="27">
        <v>0</v>
      </c>
      <c r="I3410" s="27">
        <v>0</v>
      </c>
      <c r="J3410" s="27">
        <v>0</v>
      </c>
      <c r="K3410" s="63">
        <f>AVERAGE(I3410:J3410)</f>
        <v>0</v>
      </c>
      <c r="L3410" s="56" t="str">
        <f>"SW-RISER-PACK"</f>
        <v>SW-RISER-PACK</v>
      </c>
      <c r="M3410" s="14"/>
      <c r="N3410" s="15"/>
      <c r="O3410" s="12"/>
      <c r="P3410" s="34"/>
      <c r="Q3410" s="37"/>
      <c r="R3410" s="47"/>
      <c r="S3410" s="46"/>
    </row>
    <row r="3411" spans="1:19" ht="12" hidden="1" customHeight="1" x14ac:dyDescent="0.3">
      <c r="A3411" s="35" t="s">
        <v>908</v>
      </c>
      <c r="B3411" s="49" t="str">
        <f>B3407</f>
        <v>hide</v>
      </c>
      <c r="N3411"/>
      <c r="Q3411" s="33"/>
    </row>
    <row r="3412" spans="1:19" ht="13.8" hidden="1" thickBot="1" x14ac:dyDescent="0.3">
      <c r="A3412" t="s">
        <v>23</v>
      </c>
      <c r="B3412" s="49" t="str">
        <f t="shared" ref="B3412" si="2444">B3411</f>
        <v>hide</v>
      </c>
      <c r="D3412" s="58"/>
      <c r="E3412" s="58"/>
      <c r="F3412" s="52">
        <f>SUM(F3407:F3411)</f>
        <v>0</v>
      </c>
      <c r="G3412" s="52">
        <f>SUM(G3407:G3411)</f>
        <v>0</v>
      </c>
      <c r="H3412" s="52">
        <f>SUM(H3407:H3411)</f>
        <v>0</v>
      </c>
      <c r="I3412" s="52">
        <f>SUM(I3407:I3411)</f>
        <v>0</v>
      </c>
      <c r="J3412" s="52">
        <f>SUM(J3407:J3411)</f>
        <v>0</v>
      </c>
      <c r="K3412" s="52"/>
      <c r="L3412" s="51" t="s">
        <v>4</v>
      </c>
      <c r="M3412" s="58"/>
      <c r="N3412" s="58"/>
      <c r="O3412" s="58"/>
      <c r="P3412" s="58"/>
      <c r="Q3412" s="58"/>
      <c r="R3412" s="58"/>
      <c r="S3412" s="58"/>
    </row>
    <row r="3413" spans="1:19" s="59" customFormat="1" ht="18.75" customHeight="1" thickBot="1" x14ac:dyDescent="0.3">
      <c r="A3413" s="59" t="s">
        <v>23</v>
      </c>
      <c r="B3413" s="60" t="str">
        <f t="shared" ref="B3413:B3414" si="2445">IF(K3413=0,"hide","")</f>
        <v/>
      </c>
      <c r="D3413" s="61" t="str">
        <f>"46306"</f>
        <v>46306</v>
      </c>
      <c r="E3413" s="62" t="str">
        <f>"6"</f>
        <v>6</v>
      </c>
      <c r="F3413" s="63">
        <v>0.75</v>
      </c>
      <c r="G3413" s="63">
        <v>22.666666666666668</v>
      </c>
      <c r="H3413" s="63">
        <v>37.750000000000007</v>
      </c>
      <c r="I3413" s="63">
        <v>24.666666666666668</v>
      </c>
      <c r="J3413" s="63">
        <v>18.343855421686747</v>
      </c>
      <c r="K3413" s="63">
        <f>AVERAGE(I3413:J3413)</f>
        <v>21.505261044176706</v>
      </c>
      <c r="L3413" s="64" t="str">
        <f>"APPLE Cinn. Mini Muffins"</f>
        <v>APPLE Cinn. Mini Muffins</v>
      </c>
      <c r="M3413" s="65" t="str">
        <f>"216-1 oz. 18-12 pack"</f>
        <v>216-1 oz. 18-12 pack</v>
      </c>
      <c r="N3413" s="66">
        <v>216</v>
      </c>
      <c r="O3413" s="67" t="str">
        <f>""</f>
        <v/>
      </c>
      <c r="P3413" s="68" t="e">
        <f>1/O3413</f>
        <v>#VALUE!</v>
      </c>
      <c r="Q3413" s="53">
        <v>1</v>
      </c>
      <c r="R3413" s="69">
        <f t="shared" ref="R3413" si="2446">1/Q3413</f>
        <v>1</v>
      </c>
      <c r="S3413" s="70">
        <f t="shared" ref="S3413" si="2447">R3413*N3413</f>
        <v>216</v>
      </c>
    </row>
    <row r="3414" spans="1:19" ht="15.6" hidden="1" customHeight="1" thickBot="1" x14ac:dyDescent="0.3">
      <c r="A3414" t="s">
        <v>23</v>
      </c>
      <c r="B3414" s="60" t="str">
        <f t="shared" si="2445"/>
        <v>hide</v>
      </c>
      <c r="D3414" s="48" t="str">
        <f>D3413</f>
        <v>46306</v>
      </c>
      <c r="E3414" s="7"/>
      <c r="F3414" s="27">
        <v>0</v>
      </c>
      <c r="G3414" s="27">
        <v>0</v>
      </c>
      <c r="H3414" s="27">
        <v>0</v>
      </c>
      <c r="I3414" s="27">
        <v>0</v>
      </c>
      <c r="J3414" s="27">
        <v>0</v>
      </c>
      <c r="K3414" s="63">
        <f>AVERAGE(I3414:J3414)</f>
        <v>0</v>
      </c>
      <c r="L3414" s="56" t="str">
        <f>"EQP-LAWPACK1"</f>
        <v>EQP-LAWPACK1</v>
      </c>
      <c r="M3414" s="14"/>
      <c r="N3414" s="15"/>
      <c r="O3414" s="12"/>
      <c r="P3414" s="34"/>
      <c r="Q3414" s="37"/>
      <c r="R3414" s="47"/>
      <c r="S3414" s="46"/>
    </row>
    <row r="3415" spans="1:19" ht="15.6" hidden="1" customHeight="1" thickBot="1" x14ac:dyDescent="0.3">
      <c r="A3415" t="s">
        <v>23</v>
      </c>
      <c r="B3415" s="60" t="str">
        <f t="shared" ref="B3415:B3417" si="2448">IF(K3415=0,"hide","")</f>
        <v>hide</v>
      </c>
      <c r="D3415" s="48" t="str">
        <f>D3414</f>
        <v>46306</v>
      </c>
      <c r="E3415" s="7"/>
      <c r="F3415" s="27">
        <v>0</v>
      </c>
      <c r="G3415" s="27">
        <v>0</v>
      </c>
      <c r="H3415" s="27">
        <v>0</v>
      </c>
      <c r="I3415" s="27">
        <v>0</v>
      </c>
      <c r="J3415" s="27">
        <v>0</v>
      </c>
      <c r="K3415" s="63">
        <f>AVERAGE(I3415:J3415)</f>
        <v>0</v>
      </c>
      <c r="L3415" s="56" t="str">
        <f>"EQP-LAWPACK2"</f>
        <v>EQP-LAWPACK2</v>
      </c>
      <c r="M3415" s="14"/>
      <c r="N3415" s="15"/>
      <c r="O3415" s="12"/>
      <c r="P3415" s="34"/>
      <c r="Q3415" s="37"/>
      <c r="R3415" s="47"/>
      <c r="S3415" s="46"/>
    </row>
    <row r="3416" spans="1:19" ht="15.6" hidden="1" customHeight="1" thickBot="1" x14ac:dyDescent="0.3">
      <c r="A3416" t="s">
        <v>23</v>
      </c>
      <c r="B3416" s="60" t="str">
        <f t="shared" si="2448"/>
        <v>hide</v>
      </c>
      <c r="D3416" s="48" t="str">
        <f>D3415</f>
        <v>46306</v>
      </c>
      <c r="E3416" s="7"/>
      <c r="F3416" s="27">
        <v>0</v>
      </c>
      <c r="G3416" s="27">
        <v>0</v>
      </c>
      <c r="H3416" s="27">
        <v>0</v>
      </c>
      <c r="I3416" s="27">
        <v>0</v>
      </c>
      <c r="J3416" s="27">
        <v>0</v>
      </c>
      <c r="K3416" s="63">
        <f>AVERAGE(I3416:J3416)</f>
        <v>0</v>
      </c>
      <c r="L3416" s="56" t="str">
        <f>"SW-COMAS-PACKL"</f>
        <v>SW-COMAS-PACKL</v>
      </c>
      <c r="M3416" s="14"/>
      <c r="N3416" s="15"/>
      <c r="O3416" s="12"/>
      <c r="P3416" s="34"/>
      <c r="Q3416" s="37"/>
      <c r="R3416" s="47"/>
      <c r="S3416" s="46"/>
    </row>
    <row r="3417" spans="1:19" ht="15.6" hidden="1" customHeight="1" thickBot="1" x14ac:dyDescent="0.3">
      <c r="A3417" t="s">
        <v>23</v>
      </c>
      <c r="B3417" s="60" t="str">
        <f t="shared" si="2448"/>
        <v>hide</v>
      </c>
      <c r="D3417" s="48" t="str">
        <f>D3416</f>
        <v>46306</v>
      </c>
      <c r="E3417" s="7"/>
      <c r="F3417" s="27">
        <v>0</v>
      </c>
      <c r="G3417" s="27">
        <v>0</v>
      </c>
      <c r="H3417" s="27">
        <v>0</v>
      </c>
      <c r="I3417" s="27">
        <v>0</v>
      </c>
      <c r="J3417" s="27">
        <v>0</v>
      </c>
      <c r="K3417" s="63">
        <f>AVERAGE(I3417:J3417)</f>
        <v>0</v>
      </c>
      <c r="L3417" s="56" t="str">
        <f>"SW-RISER-PACK"</f>
        <v>SW-RISER-PACK</v>
      </c>
      <c r="M3417" s="14"/>
      <c r="N3417" s="15"/>
      <c r="O3417" s="12"/>
      <c r="P3417" s="34"/>
      <c r="Q3417" s="37"/>
      <c r="R3417" s="47"/>
      <c r="S3417" s="46"/>
    </row>
    <row r="3418" spans="1:19" ht="12" hidden="1" customHeight="1" x14ac:dyDescent="0.3">
      <c r="A3418" s="35" t="s">
        <v>908</v>
      </c>
      <c r="B3418" s="49" t="str">
        <f>B3414</f>
        <v>hide</v>
      </c>
      <c r="N3418"/>
      <c r="Q3418" s="33"/>
    </row>
    <row r="3419" spans="1:19" ht="13.8" hidden="1" thickBot="1" x14ac:dyDescent="0.3">
      <c r="A3419" t="s">
        <v>23</v>
      </c>
      <c r="B3419" s="49" t="str">
        <f t="shared" ref="B3419" si="2449">B3418</f>
        <v>hide</v>
      </c>
      <c r="D3419" s="58"/>
      <c r="E3419" s="58"/>
      <c r="F3419" s="52">
        <f>SUM(F3414:F3418)</f>
        <v>0</v>
      </c>
      <c r="G3419" s="52">
        <f>SUM(G3414:G3418)</f>
        <v>0</v>
      </c>
      <c r="H3419" s="52">
        <f>SUM(H3414:H3418)</f>
        <v>0</v>
      </c>
      <c r="I3419" s="52">
        <f>SUM(I3414:I3418)</f>
        <v>0</v>
      </c>
      <c r="J3419" s="52">
        <f>SUM(J3414:J3418)</f>
        <v>0</v>
      </c>
      <c r="K3419" s="52"/>
      <c r="L3419" s="51" t="s">
        <v>4</v>
      </c>
      <c r="M3419" s="58"/>
      <c r="N3419" s="58"/>
      <c r="O3419" s="58"/>
      <c r="P3419" s="58"/>
      <c r="Q3419" s="58"/>
      <c r="R3419" s="58"/>
      <c r="S3419" s="58"/>
    </row>
    <row r="3420" spans="1:19" s="59" customFormat="1" ht="18.75" hidden="1" customHeight="1" thickBot="1" x14ac:dyDescent="0.3">
      <c r="A3420" s="59" t="s">
        <v>23</v>
      </c>
      <c r="B3420" s="60" t="str">
        <f t="shared" ref="B3420:B3421" si="2450">IF(K3420=0,"hide","")</f>
        <v>hide</v>
      </c>
      <c r="D3420" s="61" t="str">
        <f>"46307"</f>
        <v>46307</v>
      </c>
      <c r="E3420" s="62" t="str">
        <f>""</f>
        <v/>
      </c>
      <c r="F3420" s="63">
        <v>0</v>
      </c>
      <c r="G3420" s="63">
        <v>0</v>
      </c>
      <c r="H3420" s="63">
        <v>0</v>
      </c>
      <c r="I3420" s="63">
        <v>0</v>
      </c>
      <c r="J3420" s="63">
        <v>0</v>
      </c>
      <c r="K3420" s="63">
        <f>AVERAGE(I3420:J3420)</f>
        <v>0</v>
      </c>
      <c r="L3420" s="64" t="str">
        <f>""</f>
        <v/>
      </c>
      <c r="M3420" s="65" t="str">
        <f>""</f>
        <v/>
      </c>
      <c r="N3420" s="66" t="str">
        <f>""</f>
        <v/>
      </c>
      <c r="O3420" s="67" t="e">
        <v>#VALUE!</v>
      </c>
      <c r="P3420" s="68" t="e">
        <f>1/O3420</f>
        <v>#VALUE!</v>
      </c>
      <c r="Q3420" s="53" t="e">
        <v>#VALUE!</v>
      </c>
      <c r="R3420" s="69" t="e">
        <f t="shared" ref="R3420" si="2451">1/Q3420</f>
        <v>#VALUE!</v>
      </c>
      <c r="S3420" s="70" t="e">
        <f t="shared" ref="S3420" si="2452">R3420*N3420</f>
        <v>#VALUE!</v>
      </c>
    </row>
    <row r="3421" spans="1:19" ht="15.6" hidden="1" customHeight="1" thickBot="1" x14ac:dyDescent="0.3">
      <c r="A3421" t="s">
        <v>23</v>
      </c>
      <c r="B3421" s="60" t="str">
        <f t="shared" si="2450"/>
        <v>hide</v>
      </c>
      <c r="D3421" s="48" t="str">
        <f>D3420</f>
        <v>46307</v>
      </c>
      <c r="E3421" s="7"/>
      <c r="F3421" s="27">
        <v>0</v>
      </c>
      <c r="G3421" s="27">
        <v>0</v>
      </c>
      <c r="H3421" s="27">
        <v>0</v>
      </c>
      <c r="I3421" s="27">
        <v>0</v>
      </c>
      <c r="J3421" s="27">
        <v>0</v>
      </c>
      <c r="K3421" s="63">
        <f>AVERAGE(I3421:J3421)</f>
        <v>0</v>
      </c>
      <c r="L3421" s="56" t="str">
        <f>"EQP-LAWPACK1"</f>
        <v>EQP-LAWPACK1</v>
      </c>
      <c r="M3421" s="14"/>
      <c r="N3421" s="15"/>
      <c r="O3421" s="12"/>
      <c r="P3421" s="34"/>
      <c r="Q3421" s="37"/>
      <c r="R3421" s="47"/>
      <c r="S3421" s="46"/>
    </row>
    <row r="3422" spans="1:19" ht="15.6" hidden="1" customHeight="1" thickBot="1" x14ac:dyDescent="0.3">
      <c r="A3422" t="s">
        <v>23</v>
      </c>
      <c r="B3422" s="60" t="str">
        <f t="shared" ref="B3422:B3424" si="2453">IF(K3422=0,"hide","")</f>
        <v>hide</v>
      </c>
      <c r="D3422" s="48" t="str">
        <f>D3421</f>
        <v>46307</v>
      </c>
      <c r="E3422" s="7"/>
      <c r="F3422" s="27">
        <v>0</v>
      </c>
      <c r="G3422" s="27">
        <v>0</v>
      </c>
      <c r="H3422" s="27">
        <v>0</v>
      </c>
      <c r="I3422" s="27">
        <v>0</v>
      </c>
      <c r="J3422" s="27">
        <v>0</v>
      </c>
      <c r="K3422" s="63">
        <f>AVERAGE(I3422:J3422)</f>
        <v>0</v>
      </c>
      <c r="L3422" s="56" t="str">
        <f>"EQP-LAWPACK2"</f>
        <v>EQP-LAWPACK2</v>
      </c>
      <c r="M3422" s="14"/>
      <c r="N3422" s="15"/>
      <c r="O3422" s="12"/>
      <c r="P3422" s="34"/>
      <c r="Q3422" s="37"/>
      <c r="R3422" s="47"/>
      <c r="S3422" s="46"/>
    </row>
    <row r="3423" spans="1:19" ht="15.6" hidden="1" customHeight="1" thickBot="1" x14ac:dyDescent="0.3">
      <c r="A3423" t="s">
        <v>23</v>
      </c>
      <c r="B3423" s="60" t="str">
        <f t="shared" si="2453"/>
        <v>hide</v>
      </c>
      <c r="D3423" s="48" t="str">
        <f>D3422</f>
        <v>46307</v>
      </c>
      <c r="E3423" s="7"/>
      <c r="F3423" s="27">
        <v>0</v>
      </c>
      <c r="G3423" s="27">
        <v>0</v>
      </c>
      <c r="H3423" s="27">
        <v>0</v>
      </c>
      <c r="I3423" s="27">
        <v>0</v>
      </c>
      <c r="J3423" s="27">
        <v>0</v>
      </c>
      <c r="K3423" s="63">
        <f>AVERAGE(I3423:J3423)</f>
        <v>0</v>
      </c>
      <c r="L3423" s="56" t="str">
        <f>"SW-COMAS-PACKL"</f>
        <v>SW-COMAS-PACKL</v>
      </c>
      <c r="M3423" s="14"/>
      <c r="N3423" s="15"/>
      <c r="O3423" s="12"/>
      <c r="P3423" s="34"/>
      <c r="Q3423" s="37"/>
      <c r="R3423" s="47"/>
      <c r="S3423" s="46"/>
    </row>
    <row r="3424" spans="1:19" ht="15.6" hidden="1" customHeight="1" thickBot="1" x14ac:dyDescent="0.3">
      <c r="A3424" t="s">
        <v>23</v>
      </c>
      <c r="B3424" s="60" t="str">
        <f t="shared" si="2453"/>
        <v>hide</v>
      </c>
      <c r="D3424" s="48" t="str">
        <f>D3423</f>
        <v>46307</v>
      </c>
      <c r="E3424" s="7"/>
      <c r="F3424" s="27">
        <v>0</v>
      </c>
      <c r="G3424" s="27">
        <v>0</v>
      </c>
      <c r="H3424" s="27">
        <v>0</v>
      </c>
      <c r="I3424" s="27">
        <v>0</v>
      </c>
      <c r="J3424" s="27">
        <v>0</v>
      </c>
      <c r="K3424" s="63">
        <f>AVERAGE(I3424:J3424)</f>
        <v>0</v>
      </c>
      <c r="L3424" s="56" t="str">
        <f>"SW-RISER-PACK"</f>
        <v>SW-RISER-PACK</v>
      </c>
      <c r="M3424" s="14"/>
      <c r="N3424" s="15"/>
      <c r="O3424" s="12"/>
      <c r="P3424" s="34"/>
      <c r="Q3424" s="37"/>
      <c r="R3424" s="47"/>
      <c r="S3424" s="46"/>
    </row>
    <row r="3425" spans="1:19" ht="12" hidden="1" customHeight="1" x14ac:dyDescent="0.3">
      <c r="A3425" s="35" t="s">
        <v>908</v>
      </c>
      <c r="B3425" s="49" t="str">
        <f>B3421</f>
        <v>hide</v>
      </c>
      <c r="N3425"/>
      <c r="Q3425" s="33"/>
    </row>
    <row r="3426" spans="1:19" ht="13.8" hidden="1" thickBot="1" x14ac:dyDescent="0.3">
      <c r="A3426" t="s">
        <v>23</v>
      </c>
      <c r="B3426" s="49" t="str">
        <f t="shared" ref="B3426" si="2454">B3425</f>
        <v>hide</v>
      </c>
      <c r="D3426" s="58"/>
      <c r="E3426" s="58"/>
      <c r="F3426" s="52">
        <f>SUM(F3421:F3425)</f>
        <v>0</v>
      </c>
      <c r="G3426" s="52">
        <f>SUM(G3421:G3425)</f>
        <v>0</v>
      </c>
      <c r="H3426" s="52">
        <f>SUM(H3421:H3425)</f>
        <v>0</v>
      </c>
      <c r="I3426" s="52">
        <f>SUM(I3421:I3425)</f>
        <v>0</v>
      </c>
      <c r="J3426" s="52">
        <f>SUM(J3421:J3425)</f>
        <v>0</v>
      </c>
      <c r="K3426" s="52"/>
      <c r="L3426" s="51" t="s">
        <v>4</v>
      </c>
      <c r="M3426" s="58"/>
      <c r="N3426" s="58"/>
      <c r="O3426" s="58"/>
      <c r="P3426" s="58"/>
      <c r="Q3426" s="58"/>
      <c r="R3426" s="58"/>
      <c r="S3426" s="58"/>
    </row>
    <row r="3427" spans="1:19" s="59" customFormat="1" ht="18.75" hidden="1" customHeight="1" thickBot="1" x14ac:dyDescent="0.3">
      <c r="A3427" s="59" t="s">
        <v>23</v>
      </c>
      <c r="B3427" s="60" t="str">
        <f t="shared" ref="B3427:B3428" si="2455">IF(K3427=0,"hide","")</f>
        <v>hide</v>
      </c>
      <c r="D3427" s="61" t="str">
        <f>"46309"</f>
        <v>46309</v>
      </c>
      <c r="E3427" s="62" t="str">
        <f>"6"</f>
        <v>6</v>
      </c>
      <c r="F3427" s="63">
        <v>76.25</v>
      </c>
      <c r="G3427" s="63">
        <v>20.500000000000004</v>
      </c>
      <c r="H3427" s="63">
        <v>4.416666666666667</v>
      </c>
      <c r="I3427" s="63">
        <v>0</v>
      </c>
      <c r="J3427" s="63">
        <v>0</v>
      </c>
      <c r="K3427" s="63">
        <f>AVERAGE(I3427:J3427)</f>
        <v>0</v>
      </c>
      <c r="L3427" s="64" t="str">
        <f>"RAISIN BRAN MUFFINS"</f>
        <v>RAISIN BRAN MUFFINS</v>
      </c>
      <c r="M3427" s="65" t="str">
        <f>"216-1 oz. 18-12 pack"</f>
        <v>216-1 oz. 18-12 pack</v>
      </c>
      <c r="N3427" s="66">
        <v>216</v>
      </c>
      <c r="O3427" s="67" t="str">
        <f>""</f>
        <v/>
      </c>
      <c r="P3427" s="68" t="e">
        <f>1/O3427</f>
        <v>#VALUE!</v>
      </c>
      <c r="Q3427" s="53">
        <v>1</v>
      </c>
      <c r="R3427" s="69">
        <f t="shared" ref="R3427" si="2456">1/Q3427</f>
        <v>1</v>
      </c>
      <c r="S3427" s="70">
        <f t="shared" ref="S3427" si="2457">R3427*N3427</f>
        <v>216</v>
      </c>
    </row>
    <row r="3428" spans="1:19" ht="15.6" hidden="1" customHeight="1" thickBot="1" x14ac:dyDescent="0.3">
      <c r="A3428" t="s">
        <v>23</v>
      </c>
      <c r="B3428" s="60" t="str">
        <f t="shared" si="2455"/>
        <v>hide</v>
      </c>
      <c r="D3428" s="48" t="str">
        <f>D3427</f>
        <v>46309</v>
      </c>
      <c r="E3428" s="7"/>
      <c r="F3428" s="27">
        <v>0</v>
      </c>
      <c r="G3428" s="27">
        <v>0</v>
      </c>
      <c r="H3428" s="27">
        <v>0</v>
      </c>
      <c r="I3428" s="27">
        <v>0</v>
      </c>
      <c r="J3428" s="27">
        <v>0</v>
      </c>
      <c r="K3428" s="63">
        <f>AVERAGE(I3428:J3428)</f>
        <v>0</v>
      </c>
      <c r="L3428" s="56" t="str">
        <f>"EQP-LAWPACK1"</f>
        <v>EQP-LAWPACK1</v>
      </c>
      <c r="M3428" s="14"/>
      <c r="N3428" s="15"/>
      <c r="O3428" s="12"/>
      <c r="P3428" s="34"/>
      <c r="Q3428" s="37"/>
      <c r="R3428" s="47"/>
      <c r="S3428" s="46"/>
    </row>
    <row r="3429" spans="1:19" ht="15.6" hidden="1" customHeight="1" thickBot="1" x14ac:dyDescent="0.3">
      <c r="A3429" t="s">
        <v>23</v>
      </c>
      <c r="B3429" s="60" t="str">
        <f t="shared" ref="B3429:B3431" si="2458">IF(K3429=0,"hide","")</f>
        <v>hide</v>
      </c>
      <c r="D3429" s="48" t="str">
        <f>D3428</f>
        <v>46309</v>
      </c>
      <c r="E3429" s="7"/>
      <c r="F3429" s="27">
        <v>0</v>
      </c>
      <c r="G3429" s="27">
        <v>0</v>
      </c>
      <c r="H3429" s="27">
        <v>0</v>
      </c>
      <c r="I3429" s="27">
        <v>0</v>
      </c>
      <c r="J3429" s="27">
        <v>0</v>
      </c>
      <c r="K3429" s="63">
        <f>AVERAGE(I3429:J3429)</f>
        <v>0</v>
      </c>
      <c r="L3429" s="56" t="str">
        <f>"EQP-LAWPACK2"</f>
        <v>EQP-LAWPACK2</v>
      </c>
      <c r="M3429" s="14"/>
      <c r="N3429" s="15"/>
      <c r="O3429" s="12"/>
      <c r="P3429" s="34"/>
      <c r="Q3429" s="37"/>
      <c r="R3429" s="47"/>
      <c r="S3429" s="46"/>
    </row>
    <row r="3430" spans="1:19" ht="15.6" hidden="1" customHeight="1" thickBot="1" x14ac:dyDescent="0.3">
      <c r="A3430" t="s">
        <v>23</v>
      </c>
      <c r="B3430" s="60" t="str">
        <f t="shared" si="2458"/>
        <v>hide</v>
      </c>
      <c r="D3430" s="48" t="str">
        <f>D3429</f>
        <v>46309</v>
      </c>
      <c r="E3430" s="7"/>
      <c r="F3430" s="27">
        <v>0</v>
      </c>
      <c r="G3430" s="27">
        <v>0</v>
      </c>
      <c r="H3430" s="27">
        <v>0</v>
      </c>
      <c r="I3430" s="27">
        <v>0</v>
      </c>
      <c r="J3430" s="27">
        <v>0</v>
      </c>
      <c r="K3430" s="63">
        <f>AVERAGE(I3430:J3430)</f>
        <v>0</v>
      </c>
      <c r="L3430" s="56" t="str">
        <f>"SW-COMAS-PACKL"</f>
        <v>SW-COMAS-PACKL</v>
      </c>
      <c r="M3430" s="14"/>
      <c r="N3430" s="15"/>
      <c r="O3430" s="12"/>
      <c r="P3430" s="34"/>
      <c r="Q3430" s="37"/>
      <c r="R3430" s="47"/>
      <c r="S3430" s="46"/>
    </row>
    <row r="3431" spans="1:19" ht="15.6" hidden="1" customHeight="1" thickBot="1" x14ac:dyDescent="0.3">
      <c r="A3431" t="s">
        <v>23</v>
      </c>
      <c r="B3431" s="60" t="str">
        <f t="shared" si="2458"/>
        <v>hide</v>
      </c>
      <c r="D3431" s="48" t="str">
        <f>D3430</f>
        <v>46309</v>
      </c>
      <c r="E3431" s="7"/>
      <c r="F3431" s="27">
        <v>0</v>
      </c>
      <c r="G3431" s="27">
        <v>0</v>
      </c>
      <c r="H3431" s="27">
        <v>0</v>
      </c>
      <c r="I3431" s="27">
        <v>0</v>
      </c>
      <c r="J3431" s="27">
        <v>0</v>
      </c>
      <c r="K3431" s="63">
        <f>AVERAGE(I3431:J3431)</f>
        <v>0</v>
      </c>
      <c r="L3431" s="56" t="str">
        <f>"SW-RISER-PACK"</f>
        <v>SW-RISER-PACK</v>
      </c>
      <c r="M3431" s="14"/>
      <c r="N3431" s="15"/>
      <c r="O3431" s="12"/>
      <c r="P3431" s="34"/>
      <c r="Q3431" s="37"/>
      <c r="R3431" s="47"/>
      <c r="S3431" s="46"/>
    </row>
    <row r="3432" spans="1:19" ht="12" hidden="1" customHeight="1" x14ac:dyDescent="0.3">
      <c r="A3432" s="35" t="s">
        <v>908</v>
      </c>
      <c r="B3432" s="49" t="str">
        <f>B3428</f>
        <v>hide</v>
      </c>
      <c r="N3432"/>
      <c r="Q3432" s="33"/>
    </row>
    <row r="3433" spans="1:19" ht="13.8" hidden="1" thickBot="1" x14ac:dyDescent="0.3">
      <c r="A3433" t="s">
        <v>23</v>
      </c>
      <c r="B3433" s="49" t="str">
        <f t="shared" ref="B3433" si="2459">B3432</f>
        <v>hide</v>
      </c>
      <c r="D3433" s="58"/>
      <c r="E3433" s="58"/>
      <c r="F3433" s="52">
        <f>SUM(F3428:F3432)</f>
        <v>0</v>
      </c>
      <c r="G3433" s="52">
        <f>SUM(G3428:G3432)</f>
        <v>0</v>
      </c>
      <c r="H3433" s="52">
        <f>SUM(H3428:H3432)</f>
        <v>0</v>
      </c>
      <c r="I3433" s="52">
        <f>SUM(I3428:I3432)</f>
        <v>0</v>
      </c>
      <c r="J3433" s="52">
        <f>SUM(J3428:J3432)</f>
        <v>0</v>
      </c>
      <c r="K3433" s="52"/>
      <c r="L3433" s="51" t="s">
        <v>4</v>
      </c>
      <c r="M3433" s="58"/>
      <c r="N3433" s="58"/>
      <c r="O3433" s="58"/>
      <c r="P3433" s="58"/>
      <c r="Q3433" s="58"/>
      <c r="R3433" s="58"/>
      <c r="S3433" s="58"/>
    </row>
    <row r="3434" spans="1:19" s="59" customFormat="1" ht="18.75" customHeight="1" thickBot="1" x14ac:dyDescent="0.3">
      <c r="A3434" s="59" t="s">
        <v>23</v>
      </c>
      <c r="B3434" s="60" t="str">
        <f t="shared" ref="B3434:B3435" si="2460">IF(K3434=0,"hide","")</f>
        <v/>
      </c>
      <c r="D3434" s="61" t="str">
        <f>"46310"</f>
        <v>46310</v>
      </c>
      <c r="E3434" s="62" t="str">
        <f>"5"</f>
        <v>5</v>
      </c>
      <c r="F3434" s="63">
        <v>914.41666666666663</v>
      </c>
      <c r="G3434" s="63">
        <v>726.83333333333337</v>
      </c>
      <c r="H3434" s="63">
        <v>824.33333333333337</v>
      </c>
      <c r="I3434" s="63">
        <v>780.91666666666663</v>
      </c>
      <c r="J3434" s="63">
        <v>606.16554216867473</v>
      </c>
      <c r="K3434" s="63">
        <f>AVERAGE(I3434:J3434)</f>
        <v>693.54110441767068</v>
      </c>
      <c r="L3434" s="64" t="str">
        <f>"CHOCOLATE CHIP MUFFINS"</f>
        <v>CHOCOLATE CHIP MUFFINS</v>
      </c>
      <c r="M3434" s="65" t="str">
        <f>"216-1 oz. 18-12 pack"</f>
        <v>216-1 oz. 18-12 pack</v>
      </c>
      <c r="N3434" s="66">
        <v>216</v>
      </c>
      <c r="O3434" s="67" t="str">
        <f>""</f>
        <v/>
      </c>
      <c r="P3434" s="68" t="e">
        <f>1/O3434</f>
        <v>#VALUE!</v>
      </c>
      <c r="Q3434" s="53">
        <v>1</v>
      </c>
      <c r="R3434" s="69">
        <f t="shared" ref="R3434" si="2461">1/Q3434</f>
        <v>1</v>
      </c>
      <c r="S3434" s="70">
        <f t="shared" ref="S3434" si="2462">R3434*N3434</f>
        <v>216</v>
      </c>
    </row>
    <row r="3435" spans="1:19" ht="15.6" hidden="1" customHeight="1" thickBot="1" x14ac:dyDescent="0.3">
      <c r="A3435" t="s">
        <v>23</v>
      </c>
      <c r="B3435" s="60" t="str">
        <f t="shared" si="2460"/>
        <v>hide</v>
      </c>
      <c r="D3435" s="48" t="str">
        <f>D3434</f>
        <v>46310</v>
      </c>
      <c r="E3435" s="7"/>
      <c r="F3435" s="27">
        <v>0</v>
      </c>
      <c r="G3435" s="27">
        <v>0</v>
      </c>
      <c r="H3435" s="27">
        <v>0</v>
      </c>
      <c r="I3435" s="27">
        <v>0</v>
      </c>
      <c r="J3435" s="27">
        <v>0</v>
      </c>
      <c r="K3435" s="63">
        <f>AVERAGE(I3435:J3435)</f>
        <v>0</v>
      </c>
      <c r="L3435" s="56" t="str">
        <f>"EQP-LAWPACK1"</f>
        <v>EQP-LAWPACK1</v>
      </c>
      <c r="M3435" s="14"/>
      <c r="N3435" s="15"/>
      <c r="O3435" s="12"/>
      <c r="P3435" s="34"/>
      <c r="Q3435" s="37"/>
      <c r="R3435" s="47"/>
      <c r="S3435" s="46"/>
    </row>
    <row r="3436" spans="1:19" ht="15.6" hidden="1" customHeight="1" thickBot="1" x14ac:dyDescent="0.3">
      <c r="A3436" t="s">
        <v>23</v>
      </c>
      <c r="B3436" s="60" t="str">
        <f t="shared" ref="B3436:B3438" si="2463">IF(K3436=0,"hide","")</f>
        <v>hide</v>
      </c>
      <c r="D3436" s="48" t="str">
        <f>D3435</f>
        <v>46310</v>
      </c>
      <c r="E3436" s="7"/>
      <c r="F3436" s="27">
        <v>0</v>
      </c>
      <c r="G3436" s="27">
        <v>0</v>
      </c>
      <c r="H3436" s="27">
        <v>0</v>
      </c>
      <c r="I3436" s="27">
        <v>0</v>
      </c>
      <c r="J3436" s="27">
        <v>0</v>
      </c>
      <c r="K3436" s="63">
        <f>AVERAGE(I3436:J3436)</f>
        <v>0</v>
      </c>
      <c r="L3436" s="56" t="str">
        <f>"EQP-LAWPACK2"</f>
        <v>EQP-LAWPACK2</v>
      </c>
      <c r="M3436" s="14"/>
      <c r="N3436" s="15"/>
      <c r="O3436" s="12"/>
      <c r="P3436" s="34"/>
      <c r="Q3436" s="37"/>
      <c r="R3436" s="47"/>
      <c r="S3436" s="46"/>
    </row>
    <row r="3437" spans="1:19" ht="15.6" hidden="1" customHeight="1" thickBot="1" x14ac:dyDescent="0.3">
      <c r="A3437" t="s">
        <v>23</v>
      </c>
      <c r="B3437" s="60" t="str">
        <f t="shared" si="2463"/>
        <v>hide</v>
      </c>
      <c r="D3437" s="48" t="str">
        <f>D3436</f>
        <v>46310</v>
      </c>
      <c r="E3437" s="7"/>
      <c r="F3437" s="27">
        <v>0</v>
      </c>
      <c r="G3437" s="27">
        <v>0</v>
      </c>
      <c r="H3437" s="27">
        <v>0</v>
      </c>
      <c r="I3437" s="27">
        <v>0</v>
      </c>
      <c r="J3437" s="27">
        <v>0</v>
      </c>
      <c r="K3437" s="63">
        <f>AVERAGE(I3437:J3437)</f>
        <v>0</v>
      </c>
      <c r="L3437" s="56" t="str">
        <f>"SW-COMAS-PACKL"</f>
        <v>SW-COMAS-PACKL</v>
      </c>
      <c r="M3437" s="14"/>
      <c r="N3437" s="15"/>
      <c r="O3437" s="12"/>
      <c r="P3437" s="34"/>
      <c r="Q3437" s="37"/>
      <c r="R3437" s="47"/>
      <c r="S3437" s="46"/>
    </row>
    <row r="3438" spans="1:19" ht="15.6" hidden="1" customHeight="1" thickBot="1" x14ac:dyDescent="0.3">
      <c r="A3438" t="s">
        <v>23</v>
      </c>
      <c r="B3438" s="60" t="str">
        <f t="shared" si="2463"/>
        <v>hide</v>
      </c>
      <c r="D3438" s="48" t="str">
        <f>D3437</f>
        <v>46310</v>
      </c>
      <c r="E3438" s="7"/>
      <c r="F3438" s="27">
        <v>0</v>
      </c>
      <c r="G3438" s="27">
        <v>0</v>
      </c>
      <c r="H3438" s="27">
        <v>0</v>
      </c>
      <c r="I3438" s="27">
        <v>0</v>
      </c>
      <c r="J3438" s="27">
        <v>0</v>
      </c>
      <c r="K3438" s="63">
        <f>AVERAGE(I3438:J3438)</f>
        <v>0</v>
      </c>
      <c r="L3438" s="56" t="str">
        <f>"SW-RISER-PACK"</f>
        <v>SW-RISER-PACK</v>
      </c>
      <c r="M3438" s="14"/>
      <c r="N3438" s="15"/>
      <c r="O3438" s="12"/>
      <c r="P3438" s="34"/>
      <c r="Q3438" s="37"/>
      <c r="R3438" s="47"/>
      <c r="S3438" s="46"/>
    </row>
    <row r="3439" spans="1:19" ht="12" hidden="1" customHeight="1" x14ac:dyDescent="0.3">
      <c r="A3439" s="35" t="s">
        <v>908</v>
      </c>
      <c r="B3439" s="49" t="str">
        <f>B3435</f>
        <v>hide</v>
      </c>
      <c r="N3439"/>
      <c r="Q3439" s="33"/>
    </row>
    <row r="3440" spans="1:19" ht="13.8" hidden="1" thickBot="1" x14ac:dyDescent="0.3">
      <c r="A3440" t="s">
        <v>23</v>
      </c>
      <c r="B3440" s="49" t="str">
        <f t="shared" ref="B3440" si="2464">B3439</f>
        <v>hide</v>
      </c>
      <c r="D3440" s="58"/>
      <c r="E3440" s="58"/>
      <c r="F3440" s="52">
        <f>SUM(F3435:F3439)</f>
        <v>0</v>
      </c>
      <c r="G3440" s="52">
        <f>SUM(G3435:G3439)</f>
        <v>0</v>
      </c>
      <c r="H3440" s="52">
        <f>SUM(H3435:H3439)</f>
        <v>0</v>
      </c>
      <c r="I3440" s="52">
        <f>SUM(I3435:I3439)</f>
        <v>0</v>
      </c>
      <c r="J3440" s="52">
        <f>SUM(J3435:J3439)</f>
        <v>0</v>
      </c>
      <c r="K3440" s="52"/>
      <c r="L3440" s="51" t="s">
        <v>4</v>
      </c>
      <c r="M3440" s="58"/>
      <c r="N3440" s="58"/>
      <c r="O3440" s="58"/>
      <c r="P3440" s="58"/>
      <c r="Q3440" s="58"/>
      <c r="R3440" s="58"/>
      <c r="S3440" s="58"/>
    </row>
    <row r="3441" spans="1:19" s="59" customFormat="1" ht="18.75" hidden="1" customHeight="1" thickBot="1" x14ac:dyDescent="0.3">
      <c r="A3441" s="59" t="s">
        <v>23</v>
      </c>
      <c r="B3441" s="60" t="str">
        <f t="shared" ref="B3441:B3442" si="2465">IF(K3441=0,"hide","")</f>
        <v>hide</v>
      </c>
      <c r="D3441" s="61" t="str">
        <f>"46322"</f>
        <v>46322</v>
      </c>
      <c r="E3441" s="62" t="str">
        <f>"5"</f>
        <v>5</v>
      </c>
      <c r="F3441" s="63">
        <v>0</v>
      </c>
      <c r="G3441" s="63">
        <v>0</v>
      </c>
      <c r="H3441" s="63">
        <v>0</v>
      </c>
      <c r="I3441" s="63">
        <v>0</v>
      </c>
      <c r="J3441" s="63">
        <v>0</v>
      </c>
      <c r="K3441" s="63">
        <f>AVERAGE(I3441:J3441)</f>
        <v>0</v>
      </c>
      <c r="L3441" s="64" t="str">
        <f>"LEMON POPPY MUFFINS"</f>
        <v>LEMON POPPY MUFFINS</v>
      </c>
      <c r="M3441" s="65" t="str">
        <f>"216-1 oz. 18-12 pack"</f>
        <v>216-1 oz. 18-12 pack</v>
      </c>
      <c r="N3441" s="66">
        <v>216</v>
      </c>
      <c r="O3441" s="67" t="str">
        <f>""</f>
        <v/>
      </c>
      <c r="P3441" s="68" t="e">
        <f>1/O3441</f>
        <v>#VALUE!</v>
      </c>
      <c r="Q3441" s="53">
        <v>1</v>
      </c>
      <c r="R3441" s="69">
        <f t="shared" ref="R3441" si="2466">1/Q3441</f>
        <v>1</v>
      </c>
      <c r="S3441" s="70">
        <f t="shared" ref="S3441" si="2467">R3441*N3441</f>
        <v>216</v>
      </c>
    </row>
    <row r="3442" spans="1:19" ht="15.6" hidden="1" customHeight="1" thickBot="1" x14ac:dyDescent="0.3">
      <c r="A3442" t="s">
        <v>23</v>
      </c>
      <c r="B3442" s="60" t="str">
        <f t="shared" si="2465"/>
        <v>hide</v>
      </c>
      <c r="D3442" s="48" t="str">
        <f>D3441</f>
        <v>46322</v>
      </c>
      <c r="E3442" s="7"/>
      <c r="F3442" s="27">
        <v>0</v>
      </c>
      <c r="G3442" s="27">
        <v>0</v>
      </c>
      <c r="H3442" s="27">
        <v>0</v>
      </c>
      <c r="I3442" s="27">
        <v>0</v>
      </c>
      <c r="J3442" s="27">
        <v>0</v>
      </c>
      <c r="K3442" s="63">
        <f>AVERAGE(I3442:J3442)</f>
        <v>0</v>
      </c>
      <c r="L3442" s="56" t="str">
        <f>"EQP-LAWPACK1"</f>
        <v>EQP-LAWPACK1</v>
      </c>
      <c r="M3442" s="14"/>
      <c r="N3442" s="15"/>
      <c r="O3442" s="12"/>
      <c r="P3442" s="34"/>
      <c r="Q3442" s="37"/>
      <c r="R3442" s="47"/>
      <c r="S3442" s="46"/>
    </row>
    <row r="3443" spans="1:19" ht="15.6" hidden="1" customHeight="1" thickBot="1" x14ac:dyDescent="0.3">
      <c r="A3443" t="s">
        <v>23</v>
      </c>
      <c r="B3443" s="60" t="str">
        <f t="shared" ref="B3443:B3445" si="2468">IF(K3443=0,"hide","")</f>
        <v>hide</v>
      </c>
      <c r="D3443" s="48" t="str">
        <f>D3442</f>
        <v>46322</v>
      </c>
      <c r="E3443" s="7"/>
      <c r="F3443" s="27">
        <v>0</v>
      </c>
      <c r="G3443" s="27">
        <v>0</v>
      </c>
      <c r="H3443" s="27">
        <v>0</v>
      </c>
      <c r="I3443" s="27">
        <v>0</v>
      </c>
      <c r="J3443" s="27">
        <v>0</v>
      </c>
      <c r="K3443" s="63">
        <f>AVERAGE(I3443:J3443)</f>
        <v>0</v>
      </c>
      <c r="L3443" s="56" t="str">
        <f>"EQP-LAWPACK2"</f>
        <v>EQP-LAWPACK2</v>
      </c>
      <c r="M3443" s="14"/>
      <c r="N3443" s="15"/>
      <c r="O3443" s="12"/>
      <c r="P3443" s="34"/>
      <c r="Q3443" s="37"/>
      <c r="R3443" s="47"/>
      <c r="S3443" s="46"/>
    </row>
    <row r="3444" spans="1:19" ht="15.6" hidden="1" customHeight="1" thickBot="1" x14ac:dyDescent="0.3">
      <c r="A3444" t="s">
        <v>23</v>
      </c>
      <c r="B3444" s="60" t="str">
        <f t="shared" si="2468"/>
        <v>hide</v>
      </c>
      <c r="D3444" s="48" t="str">
        <f>D3443</f>
        <v>46322</v>
      </c>
      <c r="E3444" s="7"/>
      <c r="F3444" s="27">
        <v>0</v>
      </c>
      <c r="G3444" s="27">
        <v>0</v>
      </c>
      <c r="H3444" s="27">
        <v>0</v>
      </c>
      <c r="I3444" s="27">
        <v>0</v>
      </c>
      <c r="J3444" s="27">
        <v>0</v>
      </c>
      <c r="K3444" s="63">
        <f>AVERAGE(I3444:J3444)</f>
        <v>0</v>
      </c>
      <c r="L3444" s="56" t="str">
        <f>"SW-COMAS-PACKL"</f>
        <v>SW-COMAS-PACKL</v>
      </c>
      <c r="M3444" s="14"/>
      <c r="N3444" s="15"/>
      <c r="O3444" s="12"/>
      <c r="P3444" s="34"/>
      <c r="Q3444" s="37"/>
      <c r="R3444" s="47"/>
      <c r="S3444" s="46"/>
    </row>
    <row r="3445" spans="1:19" ht="15.6" hidden="1" customHeight="1" thickBot="1" x14ac:dyDescent="0.3">
      <c r="A3445" t="s">
        <v>23</v>
      </c>
      <c r="B3445" s="60" t="str">
        <f t="shared" si="2468"/>
        <v>hide</v>
      </c>
      <c r="D3445" s="48" t="str">
        <f>D3444</f>
        <v>46322</v>
      </c>
      <c r="E3445" s="7"/>
      <c r="F3445" s="27">
        <v>0</v>
      </c>
      <c r="G3445" s="27">
        <v>0</v>
      </c>
      <c r="H3445" s="27">
        <v>0</v>
      </c>
      <c r="I3445" s="27">
        <v>0</v>
      </c>
      <c r="J3445" s="27">
        <v>0</v>
      </c>
      <c r="K3445" s="63">
        <f>AVERAGE(I3445:J3445)</f>
        <v>0</v>
      </c>
      <c r="L3445" s="56" t="str">
        <f>"SW-RISER-PACK"</f>
        <v>SW-RISER-PACK</v>
      </c>
      <c r="M3445" s="14"/>
      <c r="N3445" s="15"/>
      <c r="O3445" s="12"/>
      <c r="P3445" s="34"/>
      <c r="Q3445" s="37"/>
      <c r="R3445" s="47"/>
      <c r="S3445" s="46"/>
    </row>
    <row r="3446" spans="1:19" ht="12" hidden="1" customHeight="1" x14ac:dyDescent="0.3">
      <c r="A3446" s="35" t="s">
        <v>908</v>
      </c>
      <c r="B3446" s="49" t="str">
        <f>B3442</f>
        <v>hide</v>
      </c>
      <c r="N3446"/>
      <c r="Q3446" s="33"/>
    </row>
    <row r="3447" spans="1:19" ht="13.8" hidden="1" thickBot="1" x14ac:dyDescent="0.3">
      <c r="A3447" t="s">
        <v>23</v>
      </c>
      <c r="B3447" s="49" t="str">
        <f t="shared" ref="B3447" si="2469">B3446</f>
        <v>hide</v>
      </c>
      <c r="D3447" s="58"/>
      <c r="E3447" s="58"/>
      <c r="F3447" s="52">
        <f>SUM(F3442:F3446)</f>
        <v>0</v>
      </c>
      <c r="G3447" s="52">
        <f>SUM(G3442:G3446)</f>
        <v>0</v>
      </c>
      <c r="H3447" s="52">
        <f>SUM(H3442:H3446)</f>
        <v>0</v>
      </c>
      <c r="I3447" s="52">
        <f>SUM(I3442:I3446)</f>
        <v>0</v>
      </c>
      <c r="J3447" s="52">
        <f>SUM(J3442:J3446)</f>
        <v>0</v>
      </c>
      <c r="K3447" s="52"/>
      <c r="L3447" s="51" t="s">
        <v>4</v>
      </c>
      <c r="M3447" s="58"/>
      <c r="N3447" s="58"/>
      <c r="O3447" s="58"/>
      <c r="P3447" s="58"/>
      <c r="Q3447" s="58"/>
      <c r="R3447" s="58"/>
      <c r="S3447" s="58"/>
    </row>
    <row r="3448" spans="1:19" s="59" customFormat="1" ht="18.75" hidden="1" customHeight="1" thickBot="1" x14ac:dyDescent="0.3">
      <c r="A3448" s="59" t="s">
        <v>23</v>
      </c>
      <c r="B3448" s="60" t="str">
        <f t="shared" ref="B3448:B3449" si="2470">IF(K3448=0,"hide","")</f>
        <v>hide</v>
      </c>
      <c r="D3448" s="61" t="str">
        <f>"46334"</f>
        <v>46334</v>
      </c>
      <c r="E3448" s="62" t="str">
        <f>"5"</f>
        <v>5</v>
      </c>
      <c r="F3448" s="63">
        <v>0</v>
      </c>
      <c r="G3448" s="63">
        <v>0</v>
      </c>
      <c r="H3448" s="63">
        <v>0</v>
      </c>
      <c r="I3448" s="63">
        <v>0</v>
      </c>
      <c r="J3448" s="63">
        <v>0</v>
      </c>
      <c r="K3448" s="63">
        <f>AVERAGE(I3448:J3448)</f>
        <v>0</v>
      </c>
      <c r="L3448" s="64" t="str">
        <f>"No Sugar Added Bran Muffins"</f>
        <v>No Sugar Added Bran Muffins</v>
      </c>
      <c r="M3448" s="65" t="str">
        <f>"216-1 oz. 18-12 pack"</f>
        <v>216-1 oz. 18-12 pack</v>
      </c>
      <c r="N3448" s="66">
        <v>216</v>
      </c>
      <c r="O3448" s="67" t="str">
        <f>""</f>
        <v/>
      </c>
      <c r="P3448" s="68" t="e">
        <f>1/O3448</f>
        <v>#VALUE!</v>
      </c>
      <c r="Q3448" s="53">
        <v>1</v>
      </c>
      <c r="R3448" s="69">
        <f t="shared" ref="R3448" si="2471">1/Q3448</f>
        <v>1</v>
      </c>
      <c r="S3448" s="70">
        <f t="shared" ref="S3448" si="2472">R3448*N3448</f>
        <v>216</v>
      </c>
    </row>
    <row r="3449" spans="1:19" ht="15.6" hidden="1" customHeight="1" thickBot="1" x14ac:dyDescent="0.3">
      <c r="A3449" t="s">
        <v>23</v>
      </c>
      <c r="B3449" s="60" t="str">
        <f t="shared" si="2470"/>
        <v>hide</v>
      </c>
      <c r="D3449" s="48" t="str">
        <f>D3448</f>
        <v>46334</v>
      </c>
      <c r="E3449" s="7"/>
      <c r="F3449" s="27">
        <v>0</v>
      </c>
      <c r="G3449" s="27">
        <v>0</v>
      </c>
      <c r="H3449" s="27">
        <v>0</v>
      </c>
      <c r="I3449" s="27">
        <v>0</v>
      </c>
      <c r="J3449" s="27">
        <v>0</v>
      </c>
      <c r="K3449" s="63">
        <f>AVERAGE(I3449:J3449)</f>
        <v>0</v>
      </c>
      <c r="L3449" s="56" t="str">
        <f>"EQP-LAWPACK1"</f>
        <v>EQP-LAWPACK1</v>
      </c>
      <c r="M3449" s="14"/>
      <c r="N3449" s="15"/>
      <c r="O3449" s="12"/>
      <c r="P3449" s="34"/>
      <c r="Q3449" s="37"/>
      <c r="R3449" s="47"/>
      <c r="S3449" s="46"/>
    </row>
    <row r="3450" spans="1:19" ht="15.6" hidden="1" customHeight="1" thickBot="1" x14ac:dyDescent="0.3">
      <c r="A3450" t="s">
        <v>23</v>
      </c>
      <c r="B3450" s="60" t="str">
        <f t="shared" ref="B3450:B3452" si="2473">IF(K3450=0,"hide","")</f>
        <v>hide</v>
      </c>
      <c r="D3450" s="48" t="str">
        <f>D3449</f>
        <v>46334</v>
      </c>
      <c r="E3450" s="7"/>
      <c r="F3450" s="27">
        <v>0</v>
      </c>
      <c r="G3450" s="27">
        <v>0</v>
      </c>
      <c r="H3450" s="27">
        <v>0</v>
      </c>
      <c r="I3450" s="27">
        <v>0</v>
      </c>
      <c r="J3450" s="27">
        <v>0</v>
      </c>
      <c r="K3450" s="63">
        <f>AVERAGE(I3450:J3450)</f>
        <v>0</v>
      </c>
      <c r="L3450" s="56" t="str">
        <f>"EQP-LAWPACK2"</f>
        <v>EQP-LAWPACK2</v>
      </c>
      <c r="M3450" s="14"/>
      <c r="N3450" s="15"/>
      <c r="O3450" s="12"/>
      <c r="P3450" s="34"/>
      <c r="Q3450" s="37"/>
      <c r="R3450" s="47"/>
      <c r="S3450" s="46"/>
    </row>
    <row r="3451" spans="1:19" ht="15.6" hidden="1" customHeight="1" thickBot="1" x14ac:dyDescent="0.3">
      <c r="A3451" t="s">
        <v>23</v>
      </c>
      <c r="B3451" s="60" t="str">
        <f t="shared" si="2473"/>
        <v>hide</v>
      </c>
      <c r="D3451" s="48" t="str">
        <f>D3450</f>
        <v>46334</v>
      </c>
      <c r="E3451" s="7"/>
      <c r="F3451" s="27">
        <v>0</v>
      </c>
      <c r="G3451" s="27">
        <v>0</v>
      </c>
      <c r="H3451" s="27">
        <v>0</v>
      </c>
      <c r="I3451" s="27">
        <v>0</v>
      </c>
      <c r="J3451" s="27">
        <v>0</v>
      </c>
      <c r="K3451" s="63">
        <f>AVERAGE(I3451:J3451)</f>
        <v>0</v>
      </c>
      <c r="L3451" s="56" t="str">
        <f>"SW-COMAS-PACKL"</f>
        <v>SW-COMAS-PACKL</v>
      </c>
      <c r="M3451" s="14"/>
      <c r="N3451" s="15"/>
      <c r="O3451" s="12"/>
      <c r="P3451" s="34"/>
      <c r="Q3451" s="37"/>
      <c r="R3451" s="47"/>
      <c r="S3451" s="46"/>
    </row>
    <row r="3452" spans="1:19" ht="15.6" hidden="1" customHeight="1" thickBot="1" x14ac:dyDescent="0.3">
      <c r="A3452" t="s">
        <v>23</v>
      </c>
      <c r="B3452" s="60" t="str">
        <f t="shared" si="2473"/>
        <v>hide</v>
      </c>
      <c r="D3452" s="48" t="str">
        <f>D3451</f>
        <v>46334</v>
      </c>
      <c r="E3452" s="7"/>
      <c r="F3452" s="27">
        <v>0</v>
      </c>
      <c r="G3452" s="27">
        <v>0</v>
      </c>
      <c r="H3452" s="27">
        <v>0</v>
      </c>
      <c r="I3452" s="27">
        <v>0</v>
      </c>
      <c r="J3452" s="27">
        <v>0</v>
      </c>
      <c r="K3452" s="63">
        <f>AVERAGE(I3452:J3452)</f>
        <v>0</v>
      </c>
      <c r="L3452" s="56" t="str">
        <f>"SW-RISER-PACK"</f>
        <v>SW-RISER-PACK</v>
      </c>
      <c r="M3452" s="14"/>
      <c r="N3452" s="15"/>
      <c r="O3452" s="12"/>
      <c r="P3452" s="34"/>
      <c r="Q3452" s="37"/>
      <c r="R3452" s="47"/>
      <c r="S3452" s="46"/>
    </row>
    <row r="3453" spans="1:19" ht="12" hidden="1" customHeight="1" x14ac:dyDescent="0.3">
      <c r="A3453" s="35" t="s">
        <v>908</v>
      </c>
      <c r="B3453" s="49" t="str">
        <f>B3449</f>
        <v>hide</v>
      </c>
      <c r="N3453"/>
      <c r="Q3453" s="33"/>
    </row>
    <row r="3454" spans="1:19" ht="13.8" hidden="1" thickBot="1" x14ac:dyDescent="0.3">
      <c r="A3454" t="s">
        <v>23</v>
      </c>
      <c r="B3454" s="49" t="str">
        <f t="shared" ref="B3454" si="2474">B3453</f>
        <v>hide</v>
      </c>
      <c r="D3454" s="58"/>
      <c r="E3454" s="58"/>
      <c r="F3454" s="52">
        <f>SUM(F3449:F3453)</f>
        <v>0</v>
      </c>
      <c r="G3454" s="52">
        <f>SUM(G3449:G3453)</f>
        <v>0</v>
      </c>
      <c r="H3454" s="52">
        <f>SUM(H3449:H3453)</f>
        <v>0</v>
      </c>
      <c r="I3454" s="52">
        <f>SUM(I3449:I3453)</f>
        <v>0</v>
      </c>
      <c r="J3454" s="52">
        <f>SUM(J3449:J3453)</f>
        <v>0</v>
      </c>
      <c r="K3454" s="52"/>
      <c r="L3454" s="51" t="s">
        <v>4</v>
      </c>
      <c r="M3454" s="58"/>
      <c r="N3454" s="58"/>
      <c r="O3454" s="58"/>
      <c r="P3454" s="58"/>
      <c r="Q3454" s="58"/>
      <c r="R3454" s="58"/>
      <c r="S3454" s="58"/>
    </row>
    <row r="3455" spans="1:19" s="59" customFormat="1" ht="18.75" customHeight="1" thickBot="1" x14ac:dyDescent="0.3">
      <c r="A3455" s="59" t="s">
        <v>23</v>
      </c>
      <c r="B3455" s="60" t="str">
        <f t="shared" ref="B3455:B3456" si="2475">IF(K3455=0,"hide","")</f>
        <v/>
      </c>
      <c r="D3455" s="61" t="str">
        <f>"46336"</f>
        <v>46336</v>
      </c>
      <c r="E3455" s="62" t="str">
        <f>"6"</f>
        <v>6</v>
      </c>
      <c r="F3455" s="63">
        <v>318.75000000000006</v>
      </c>
      <c r="G3455" s="63">
        <v>248.41666666666666</v>
      </c>
      <c r="H3455" s="63">
        <v>313.5</v>
      </c>
      <c r="I3455" s="63">
        <v>343.75</v>
      </c>
      <c r="J3455" s="63">
        <v>254.49542168674699</v>
      </c>
      <c r="K3455" s="63">
        <f>AVERAGE(I3455:J3455)</f>
        <v>299.12271084337351</v>
      </c>
      <c r="L3455" s="64" t="str">
        <f>"Coffee Cake Mini Muffins"</f>
        <v>Coffee Cake Mini Muffins</v>
      </c>
      <c r="M3455" s="65" t="str">
        <f>"216-1 oz. 18-12 pack"</f>
        <v>216-1 oz. 18-12 pack</v>
      </c>
      <c r="N3455" s="66">
        <v>216</v>
      </c>
      <c r="O3455" s="67" t="str">
        <f>""</f>
        <v/>
      </c>
      <c r="P3455" s="68" t="e">
        <f>1/O3455</f>
        <v>#VALUE!</v>
      </c>
      <c r="Q3455" s="53">
        <v>1</v>
      </c>
      <c r="R3455" s="69">
        <f t="shared" ref="R3455" si="2476">1/Q3455</f>
        <v>1</v>
      </c>
      <c r="S3455" s="70">
        <f t="shared" ref="S3455" si="2477">R3455*N3455</f>
        <v>216</v>
      </c>
    </row>
    <row r="3456" spans="1:19" ht="15.6" hidden="1" customHeight="1" thickBot="1" x14ac:dyDescent="0.3">
      <c r="A3456" t="s">
        <v>23</v>
      </c>
      <c r="B3456" s="60" t="str">
        <f t="shared" si="2475"/>
        <v>hide</v>
      </c>
      <c r="D3456" s="48" t="str">
        <f>D3455</f>
        <v>46336</v>
      </c>
      <c r="E3456" s="7"/>
      <c r="F3456" s="27">
        <v>0</v>
      </c>
      <c r="G3456" s="27">
        <v>0</v>
      </c>
      <c r="H3456" s="27">
        <v>0</v>
      </c>
      <c r="I3456" s="27">
        <v>0</v>
      </c>
      <c r="J3456" s="27">
        <v>0</v>
      </c>
      <c r="K3456" s="63">
        <f>AVERAGE(I3456:J3456)</f>
        <v>0</v>
      </c>
      <c r="L3456" s="56" t="str">
        <f>"EQP-LAWPACK1"</f>
        <v>EQP-LAWPACK1</v>
      </c>
      <c r="M3456" s="14"/>
      <c r="N3456" s="15"/>
      <c r="O3456" s="12"/>
      <c r="P3456" s="34"/>
      <c r="Q3456" s="37"/>
      <c r="R3456" s="47"/>
      <c r="S3456" s="46"/>
    </row>
    <row r="3457" spans="1:19" ht="15.6" hidden="1" customHeight="1" thickBot="1" x14ac:dyDescent="0.3">
      <c r="A3457" t="s">
        <v>23</v>
      </c>
      <c r="B3457" s="60" t="str">
        <f t="shared" ref="B3457:B3459" si="2478">IF(K3457=0,"hide","")</f>
        <v>hide</v>
      </c>
      <c r="D3457" s="48" t="str">
        <f>D3456</f>
        <v>46336</v>
      </c>
      <c r="E3457" s="7"/>
      <c r="F3457" s="27">
        <v>0</v>
      </c>
      <c r="G3457" s="27">
        <v>0</v>
      </c>
      <c r="H3457" s="27">
        <v>0</v>
      </c>
      <c r="I3457" s="27">
        <v>0</v>
      </c>
      <c r="J3457" s="27">
        <v>0</v>
      </c>
      <c r="K3457" s="63">
        <f>AVERAGE(I3457:J3457)</f>
        <v>0</v>
      </c>
      <c r="L3457" s="56" t="str">
        <f>"EQP-LAWPACK2"</f>
        <v>EQP-LAWPACK2</v>
      </c>
      <c r="M3457" s="14"/>
      <c r="N3457" s="15"/>
      <c r="O3457" s="12"/>
      <c r="P3457" s="34"/>
      <c r="Q3457" s="37"/>
      <c r="R3457" s="47"/>
      <c r="S3457" s="46"/>
    </row>
    <row r="3458" spans="1:19" ht="15.6" hidden="1" customHeight="1" thickBot="1" x14ac:dyDescent="0.3">
      <c r="A3458" t="s">
        <v>23</v>
      </c>
      <c r="B3458" s="60" t="str">
        <f t="shared" si="2478"/>
        <v>hide</v>
      </c>
      <c r="D3458" s="48" t="str">
        <f>D3457</f>
        <v>46336</v>
      </c>
      <c r="E3458" s="7"/>
      <c r="F3458" s="27">
        <v>0</v>
      </c>
      <c r="G3458" s="27">
        <v>0</v>
      </c>
      <c r="H3458" s="27">
        <v>0</v>
      </c>
      <c r="I3458" s="27">
        <v>0</v>
      </c>
      <c r="J3458" s="27">
        <v>0</v>
      </c>
      <c r="K3458" s="63">
        <f>AVERAGE(I3458:J3458)</f>
        <v>0</v>
      </c>
      <c r="L3458" s="56" t="str">
        <f>"SW-COMAS-PACKL"</f>
        <v>SW-COMAS-PACKL</v>
      </c>
      <c r="M3458" s="14"/>
      <c r="N3458" s="15"/>
      <c r="O3458" s="12"/>
      <c r="P3458" s="34"/>
      <c r="Q3458" s="37"/>
      <c r="R3458" s="47"/>
      <c r="S3458" s="46"/>
    </row>
    <row r="3459" spans="1:19" ht="15.6" hidden="1" customHeight="1" thickBot="1" x14ac:dyDescent="0.3">
      <c r="A3459" t="s">
        <v>23</v>
      </c>
      <c r="B3459" s="60" t="str">
        <f t="shared" si="2478"/>
        <v>hide</v>
      </c>
      <c r="D3459" s="48" t="str">
        <f>D3458</f>
        <v>46336</v>
      </c>
      <c r="E3459" s="7"/>
      <c r="F3459" s="27">
        <v>0</v>
      </c>
      <c r="G3459" s="27">
        <v>0</v>
      </c>
      <c r="H3459" s="27">
        <v>0</v>
      </c>
      <c r="I3459" s="27">
        <v>0</v>
      </c>
      <c r="J3459" s="27">
        <v>0</v>
      </c>
      <c r="K3459" s="63">
        <f>AVERAGE(I3459:J3459)</f>
        <v>0</v>
      </c>
      <c r="L3459" s="56" t="str">
        <f>"SW-RISER-PACK"</f>
        <v>SW-RISER-PACK</v>
      </c>
      <c r="M3459" s="14"/>
      <c r="N3459" s="15"/>
      <c r="O3459" s="12"/>
      <c r="P3459" s="34"/>
      <c r="Q3459" s="37"/>
      <c r="R3459" s="47"/>
      <c r="S3459" s="46"/>
    </row>
    <row r="3460" spans="1:19" ht="12" hidden="1" customHeight="1" x14ac:dyDescent="0.3">
      <c r="A3460" s="35" t="s">
        <v>908</v>
      </c>
      <c r="B3460" s="49" t="str">
        <f>B3456</f>
        <v>hide</v>
      </c>
      <c r="N3460"/>
      <c r="Q3460" s="33"/>
    </row>
    <row r="3461" spans="1:19" ht="13.8" hidden="1" thickBot="1" x14ac:dyDescent="0.3">
      <c r="A3461" t="s">
        <v>23</v>
      </c>
      <c r="B3461" s="49" t="str">
        <f t="shared" ref="B3461" si="2479">B3460</f>
        <v>hide</v>
      </c>
      <c r="D3461" s="58"/>
      <c r="E3461" s="58"/>
      <c r="F3461" s="52">
        <f>SUM(F3456:F3460)</f>
        <v>0</v>
      </c>
      <c r="G3461" s="52">
        <f>SUM(G3456:G3460)</f>
        <v>0</v>
      </c>
      <c r="H3461" s="52">
        <f>SUM(H3456:H3460)</f>
        <v>0</v>
      </c>
      <c r="I3461" s="52">
        <f>SUM(I3456:I3460)</f>
        <v>0</v>
      </c>
      <c r="J3461" s="52">
        <f>SUM(J3456:J3460)</f>
        <v>0</v>
      </c>
      <c r="K3461" s="52"/>
      <c r="L3461" s="51" t="s">
        <v>4</v>
      </c>
      <c r="M3461" s="58"/>
      <c r="N3461" s="58"/>
      <c r="O3461" s="58"/>
      <c r="P3461" s="58"/>
      <c r="Q3461" s="58"/>
      <c r="R3461" s="58"/>
      <c r="S3461" s="58"/>
    </row>
    <row r="3462" spans="1:19" s="59" customFormat="1" ht="18.75" hidden="1" customHeight="1" thickBot="1" x14ac:dyDescent="0.3">
      <c r="A3462" s="59" t="s">
        <v>23</v>
      </c>
      <c r="B3462" s="60" t="str">
        <f t="shared" ref="B3462:B3463" si="2480">IF(K3462=0,"hide","")</f>
        <v>hide</v>
      </c>
      <c r="D3462" s="61" t="str">
        <f>"46341"</f>
        <v>46341</v>
      </c>
      <c r="E3462" s="62" t="str">
        <f>"7"</f>
        <v>7</v>
      </c>
      <c r="F3462" s="63">
        <v>89.75</v>
      </c>
      <c r="G3462" s="63">
        <v>84</v>
      </c>
      <c r="H3462" s="63">
        <v>121.16666666666667</v>
      </c>
      <c r="I3462" s="63">
        <v>0</v>
      </c>
      <c r="J3462" s="63">
        <v>0</v>
      </c>
      <c r="K3462" s="63">
        <f>AVERAGE(I3462:J3462)</f>
        <v>0</v>
      </c>
      <c r="L3462" s="64" t="str">
        <f>"No Sugar Added Blue Muffins"</f>
        <v>No Sugar Added Blue Muffins</v>
      </c>
      <c r="M3462" s="65" t="str">
        <f>"216-1 oz. 18-12 pack"</f>
        <v>216-1 oz. 18-12 pack</v>
      </c>
      <c r="N3462" s="66">
        <v>216</v>
      </c>
      <c r="O3462" s="67" t="str">
        <f>""</f>
        <v/>
      </c>
      <c r="P3462" s="68" t="e">
        <f>1/O3462</f>
        <v>#VALUE!</v>
      </c>
      <c r="Q3462" s="53">
        <v>1</v>
      </c>
      <c r="R3462" s="69">
        <f t="shared" ref="R3462" si="2481">1/Q3462</f>
        <v>1</v>
      </c>
      <c r="S3462" s="70">
        <f t="shared" ref="S3462" si="2482">R3462*N3462</f>
        <v>216</v>
      </c>
    </row>
    <row r="3463" spans="1:19" ht="15.6" hidden="1" customHeight="1" thickBot="1" x14ac:dyDescent="0.3">
      <c r="A3463" t="s">
        <v>23</v>
      </c>
      <c r="B3463" s="60" t="str">
        <f t="shared" si="2480"/>
        <v>hide</v>
      </c>
      <c r="D3463" s="48" t="str">
        <f>D3462</f>
        <v>46341</v>
      </c>
      <c r="E3463" s="7"/>
      <c r="F3463" s="27">
        <v>0</v>
      </c>
      <c r="G3463" s="27">
        <v>0</v>
      </c>
      <c r="H3463" s="27">
        <v>0</v>
      </c>
      <c r="I3463" s="27">
        <v>0</v>
      </c>
      <c r="J3463" s="27">
        <v>0</v>
      </c>
      <c r="K3463" s="63">
        <f>AVERAGE(I3463:J3463)</f>
        <v>0</v>
      </c>
      <c r="L3463" s="56" t="str">
        <f>"EQP-LAWPACK1"</f>
        <v>EQP-LAWPACK1</v>
      </c>
      <c r="M3463" s="14"/>
      <c r="N3463" s="15"/>
      <c r="O3463" s="12"/>
      <c r="P3463" s="34"/>
      <c r="Q3463" s="37"/>
      <c r="R3463" s="47"/>
      <c r="S3463" s="46"/>
    </row>
    <row r="3464" spans="1:19" ht="15.6" hidden="1" customHeight="1" thickBot="1" x14ac:dyDescent="0.3">
      <c r="A3464" t="s">
        <v>23</v>
      </c>
      <c r="B3464" s="60" t="str">
        <f t="shared" ref="B3464:B3466" si="2483">IF(K3464=0,"hide","")</f>
        <v>hide</v>
      </c>
      <c r="D3464" s="48" t="str">
        <f>D3463</f>
        <v>46341</v>
      </c>
      <c r="E3464" s="7"/>
      <c r="F3464" s="27">
        <v>0</v>
      </c>
      <c r="G3464" s="27">
        <v>0</v>
      </c>
      <c r="H3464" s="27">
        <v>0</v>
      </c>
      <c r="I3464" s="27">
        <v>0</v>
      </c>
      <c r="J3464" s="27">
        <v>0</v>
      </c>
      <c r="K3464" s="63">
        <f>AVERAGE(I3464:J3464)</f>
        <v>0</v>
      </c>
      <c r="L3464" s="56" t="str">
        <f>"EQP-LAWPACK2"</f>
        <v>EQP-LAWPACK2</v>
      </c>
      <c r="M3464" s="14"/>
      <c r="N3464" s="15"/>
      <c r="O3464" s="12"/>
      <c r="P3464" s="34"/>
      <c r="Q3464" s="37"/>
      <c r="R3464" s="47"/>
      <c r="S3464" s="46"/>
    </row>
    <row r="3465" spans="1:19" ht="15.6" hidden="1" customHeight="1" thickBot="1" x14ac:dyDescent="0.3">
      <c r="A3465" t="s">
        <v>23</v>
      </c>
      <c r="B3465" s="60" t="str">
        <f t="shared" si="2483"/>
        <v>hide</v>
      </c>
      <c r="D3465" s="48" t="str">
        <f>D3464</f>
        <v>46341</v>
      </c>
      <c r="E3465" s="7"/>
      <c r="F3465" s="27">
        <v>0</v>
      </c>
      <c r="G3465" s="27">
        <v>0</v>
      </c>
      <c r="H3465" s="27">
        <v>0</v>
      </c>
      <c r="I3465" s="27">
        <v>0</v>
      </c>
      <c r="J3465" s="27">
        <v>0</v>
      </c>
      <c r="K3465" s="63">
        <f>AVERAGE(I3465:J3465)</f>
        <v>0</v>
      </c>
      <c r="L3465" s="56" t="str">
        <f>"SW-COMAS-PACKL"</f>
        <v>SW-COMAS-PACKL</v>
      </c>
      <c r="M3465" s="14"/>
      <c r="N3465" s="15"/>
      <c r="O3465" s="12"/>
      <c r="P3465" s="34"/>
      <c r="Q3465" s="37"/>
      <c r="R3465" s="47"/>
      <c r="S3465" s="46"/>
    </row>
    <row r="3466" spans="1:19" ht="15.6" hidden="1" customHeight="1" thickBot="1" x14ac:dyDescent="0.3">
      <c r="A3466" t="s">
        <v>23</v>
      </c>
      <c r="B3466" s="60" t="str">
        <f t="shared" si="2483"/>
        <v>hide</v>
      </c>
      <c r="D3466" s="48" t="str">
        <f>D3465</f>
        <v>46341</v>
      </c>
      <c r="E3466" s="7"/>
      <c r="F3466" s="27">
        <v>0</v>
      </c>
      <c r="G3466" s="27">
        <v>0</v>
      </c>
      <c r="H3466" s="27">
        <v>0</v>
      </c>
      <c r="I3466" s="27">
        <v>0</v>
      </c>
      <c r="J3466" s="27">
        <v>0</v>
      </c>
      <c r="K3466" s="63">
        <f>AVERAGE(I3466:J3466)</f>
        <v>0</v>
      </c>
      <c r="L3466" s="56" t="str">
        <f>"SW-RISER-PACK"</f>
        <v>SW-RISER-PACK</v>
      </c>
      <c r="M3466" s="14"/>
      <c r="N3466" s="15"/>
      <c r="O3466" s="12"/>
      <c r="P3466" s="34"/>
      <c r="Q3466" s="37"/>
      <c r="R3466" s="47"/>
      <c r="S3466" s="46"/>
    </row>
    <row r="3467" spans="1:19" ht="12" hidden="1" customHeight="1" x14ac:dyDescent="0.3">
      <c r="A3467" s="35" t="s">
        <v>908</v>
      </c>
      <c r="B3467" s="49" t="str">
        <f>B3463</f>
        <v>hide</v>
      </c>
      <c r="N3467"/>
      <c r="Q3467" s="33"/>
    </row>
    <row r="3468" spans="1:19" ht="13.8" hidden="1" thickBot="1" x14ac:dyDescent="0.3">
      <c r="A3468" t="s">
        <v>23</v>
      </c>
      <c r="B3468" s="49" t="str">
        <f t="shared" ref="B3468" si="2484">B3467</f>
        <v>hide</v>
      </c>
      <c r="D3468" s="58"/>
      <c r="E3468" s="58"/>
      <c r="F3468" s="52">
        <f>SUM(F3463:F3467)</f>
        <v>0</v>
      </c>
      <c r="G3468" s="52">
        <f>SUM(G3463:G3467)</f>
        <v>0</v>
      </c>
      <c r="H3468" s="52">
        <f>SUM(H3463:H3467)</f>
        <v>0</v>
      </c>
      <c r="I3468" s="52">
        <f>SUM(I3463:I3467)</f>
        <v>0</v>
      </c>
      <c r="J3468" s="52">
        <f>SUM(J3463:J3467)</f>
        <v>0</v>
      </c>
      <c r="K3468" s="52"/>
      <c r="L3468" s="51" t="s">
        <v>4</v>
      </c>
      <c r="M3468" s="58"/>
      <c r="N3468" s="58"/>
      <c r="O3468" s="58"/>
      <c r="P3468" s="58"/>
      <c r="Q3468" s="58"/>
      <c r="R3468" s="58"/>
      <c r="S3468" s="58"/>
    </row>
    <row r="3469" spans="1:19" s="59" customFormat="1" ht="18.75" hidden="1" customHeight="1" thickBot="1" x14ac:dyDescent="0.3">
      <c r="A3469" s="59" t="s">
        <v>23</v>
      </c>
      <c r="B3469" s="60" t="str">
        <f t="shared" ref="B3469:B3470" si="2485">IF(K3469=0,"hide","")</f>
        <v>hide</v>
      </c>
      <c r="D3469" s="61" t="str">
        <f>"46344"</f>
        <v>46344</v>
      </c>
      <c r="E3469" s="62" t="str">
        <f>"2"</f>
        <v>2</v>
      </c>
      <c r="F3469" s="63">
        <v>0</v>
      </c>
      <c r="G3469" s="63">
        <v>0</v>
      </c>
      <c r="H3469" s="63">
        <v>0</v>
      </c>
      <c r="I3469" s="63">
        <v>0</v>
      </c>
      <c r="J3469" s="63">
        <v>0</v>
      </c>
      <c r="K3469" s="63">
        <f>AVERAGE(I3469:J3469)</f>
        <v>0</v>
      </c>
      <c r="L3469" s="64" t="str">
        <f>"GINGERBREAD MUFFINS"</f>
        <v>GINGERBREAD MUFFINS</v>
      </c>
      <c r="M3469" s="65" t="str">
        <f>"216-1 oz. 18-12 pack"</f>
        <v>216-1 oz. 18-12 pack</v>
      </c>
      <c r="N3469" s="66">
        <v>216</v>
      </c>
      <c r="O3469" s="67" t="str">
        <f>""</f>
        <v/>
      </c>
      <c r="P3469" s="68" t="e">
        <f>1/O3469</f>
        <v>#VALUE!</v>
      </c>
      <c r="Q3469" s="53">
        <v>1</v>
      </c>
      <c r="R3469" s="69">
        <f t="shared" ref="R3469" si="2486">1/Q3469</f>
        <v>1</v>
      </c>
      <c r="S3469" s="70">
        <f t="shared" ref="S3469" si="2487">R3469*N3469</f>
        <v>216</v>
      </c>
    </row>
    <row r="3470" spans="1:19" ht="15.6" hidden="1" customHeight="1" thickBot="1" x14ac:dyDescent="0.3">
      <c r="A3470" t="s">
        <v>23</v>
      </c>
      <c r="B3470" s="60" t="str">
        <f t="shared" si="2485"/>
        <v>hide</v>
      </c>
      <c r="D3470" s="48" t="str">
        <f>D3469</f>
        <v>46344</v>
      </c>
      <c r="E3470" s="7"/>
      <c r="F3470" s="27">
        <v>0</v>
      </c>
      <c r="G3470" s="27">
        <v>0</v>
      </c>
      <c r="H3470" s="27">
        <v>0</v>
      </c>
      <c r="I3470" s="27">
        <v>0</v>
      </c>
      <c r="J3470" s="27">
        <v>0</v>
      </c>
      <c r="K3470" s="63">
        <f>AVERAGE(I3470:J3470)</f>
        <v>0</v>
      </c>
      <c r="L3470" s="56" t="str">
        <f>"EQP-LAWPACK1"</f>
        <v>EQP-LAWPACK1</v>
      </c>
      <c r="M3470" s="14"/>
      <c r="N3470" s="15"/>
      <c r="O3470" s="12"/>
      <c r="P3470" s="34"/>
      <c r="Q3470" s="37"/>
      <c r="R3470" s="47"/>
      <c r="S3470" s="46"/>
    </row>
    <row r="3471" spans="1:19" ht="15.6" hidden="1" customHeight="1" thickBot="1" x14ac:dyDescent="0.3">
      <c r="A3471" t="s">
        <v>23</v>
      </c>
      <c r="B3471" s="60" t="str">
        <f t="shared" ref="B3471:B3473" si="2488">IF(K3471=0,"hide","")</f>
        <v>hide</v>
      </c>
      <c r="D3471" s="48" t="str">
        <f>D3470</f>
        <v>46344</v>
      </c>
      <c r="E3471" s="7"/>
      <c r="F3471" s="27">
        <v>0</v>
      </c>
      <c r="G3471" s="27">
        <v>0</v>
      </c>
      <c r="H3471" s="27">
        <v>0</v>
      </c>
      <c r="I3471" s="27">
        <v>0</v>
      </c>
      <c r="J3471" s="27">
        <v>0</v>
      </c>
      <c r="K3471" s="63">
        <f>AVERAGE(I3471:J3471)</f>
        <v>0</v>
      </c>
      <c r="L3471" s="56" t="str">
        <f>"EQP-LAWPACK2"</f>
        <v>EQP-LAWPACK2</v>
      </c>
      <c r="M3471" s="14"/>
      <c r="N3471" s="15"/>
      <c r="O3471" s="12"/>
      <c r="P3471" s="34"/>
      <c r="Q3471" s="37"/>
      <c r="R3471" s="47"/>
      <c r="S3471" s="46"/>
    </row>
    <row r="3472" spans="1:19" ht="15.6" hidden="1" customHeight="1" thickBot="1" x14ac:dyDescent="0.3">
      <c r="A3472" t="s">
        <v>23</v>
      </c>
      <c r="B3472" s="60" t="str">
        <f t="shared" si="2488"/>
        <v>hide</v>
      </c>
      <c r="D3472" s="48" t="str">
        <f>D3471</f>
        <v>46344</v>
      </c>
      <c r="E3472" s="7"/>
      <c r="F3472" s="27">
        <v>0</v>
      </c>
      <c r="G3472" s="27">
        <v>0</v>
      </c>
      <c r="H3472" s="27">
        <v>0</v>
      </c>
      <c r="I3472" s="27">
        <v>0</v>
      </c>
      <c r="J3472" s="27">
        <v>0</v>
      </c>
      <c r="K3472" s="63">
        <f>AVERAGE(I3472:J3472)</f>
        <v>0</v>
      </c>
      <c r="L3472" s="56" t="str">
        <f>"SW-COMAS-PACKL"</f>
        <v>SW-COMAS-PACKL</v>
      </c>
      <c r="M3472" s="14"/>
      <c r="N3472" s="15"/>
      <c r="O3472" s="12"/>
      <c r="P3472" s="34"/>
      <c r="Q3472" s="37"/>
      <c r="R3472" s="47"/>
      <c r="S3472" s="46"/>
    </row>
    <row r="3473" spans="1:19" ht="15.6" hidden="1" customHeight="1" thickBot="1" x14ac:dyDescent="0.3">
      <c r="A3473" t="s">
        <v>23</v>
      </c>
      <c r="B3473" s="60" t="str">
        <f t="shared" si="2488"/>
        <v>hide</v>
      </c>
      <c r="D3473" s="48" t="str">
        <f>D3472</f>
        <v>46344</v>
      </c>
      <c r="E3473" s="7"/>
      <c r="F3473" s="27">
        <v>0</v>
      </c>
      <c r="G3473" s="27">
        <v>0</v>
      </c>
      <c r="H3473" s="27">
        <v>0</v>
      </c>
      <c r="I3473" s="27">
        <v>0</v>
      </c>
      <c r="J3473" s="27">
        <v>0</v>
      </c>
      <c r="K3473" s="63">
        <f>AVERAGE(I3473:J3473)</f>
        <v>0</v>
      </c>
      <c r="L3473" s="56" t="str">
        <f>"SW-RISER-PACK"</f>
        <v>SW-RISER-PACK</v>
      </c>
      <c r="M3473" s="14"/>
      <c r="N3473" s="15"/>
      <c r="O3473" s="12"/>
      <c r="P3473" s="34"/>
      <c r="Q3473" s="37"/>
      <c r="R3473" s="47"/>
      <c r="S3473" s="46"/>
    </row>
    <row r="3474" spans="1:19" ht="12" hidden="1" customHeight="1" x14ac:dyDescent="0.3">
      <c r="A3474" s="35" t="s">
        <v>908</v>
      </c>
      <c r="B3474" s="49" t="str">
        <f>B3470</f>
        <v>hide</v>
      </c>
      <c r="N3474"/>
      <c r="Q3474" s="33"/>
    </row>
    <row r="3475" spans="1:19" ht="13.8" hidden="1" thickBot="1" x14ac:dyDescent="0.3">
      <c r="A3475" t="s">
        <v>23</v>
      </c>
      <c r="B3475" s="49" t="str">
        <f t="shared" ref="B3475" si="2489">B3474</f>
        <v>hide</v>
      </c>
      <c r="D3475" s="58"/>
      <c r="E3475" s="58"/>
      <c r="F3475" s="52">
        <f>SUM(F3470:F3474)</f>
        <v>0</v>
      </c>
      <c r="G3475" s="52">
        <f>SUM(G3470:G3474)</f>
        <v>0</v>
      </c>
      <c r="H3475" s="52">
        <f>SUM(H3470:H3474)</f>
        <v>0</v>
      </c>
      <c r="I3475" s="52">
        <f>SUM(I3470:I3474)</f>
        <v>0</v>
      </c>
      <c r="J3475" s="52">
        <f>SUM(J3470:J3474)</f>
        <v>0</v>
      </c>
      <c r="K3475" s="52"/>
      <c r="L3475" s="51" t="s">
        <v>4</v>
      </c>
      <c r="M3475" s="58"/>
      <c r="N3475" s="58"/>
      <c r="O3475" s="58"/>
      <c r="P3475" s="58"/>
      <c r="Q3475" s="58"/>
      <c r="R3475" s="58"/>
      <c r="S3475" s="58"/>
    </row>
    <row r="3476" spans="1:19" s="59" customFormat="1" ht="18.75" customHeight="1" thickBot="1" x14ac:dyDescent="0.3">
      <c r="A3476" s="59" t="s">
        <v>23</v>
      </c>
      <c r="B3476" s="60" t="str">
        <f t="shared" ref="B3476:B3477" si="2490">IF(K3476=0,"hide","")</f>
        <v/>
      </c>
      <c r="D3476" s="61" t="str">
        <f>"46348"</f>
        <v>46348</v>
      </c>
      <c r="E3476" s="62" t="str">
        <f>"2"</f>
        <v>2</v>
      </c>
      <c r="F3476" s="63">
        <v>0</v>
      </c>
      <c r="G3476" s="63">
        <v>18.166666666666664</v>
      </c>
      <c r="H3476" s="63">
        <v>50</v>
      </c>
      <c r="I3476" s="63">
        <v>60.416666666666664</v>
      </c>
      <c r="J3476" s="63">
        <v>20.321445783132532</v>
      </c>
      <c r="K3476" s="63">
        <f>AVERAGE(I3476:J3476)</f>
        <v>40.369056224899595</v>
      </c>
      <c r="L3476" s="64" t="str">
        <f>"PUMPKIN MUFFINS"</f>
        <v>PUMPKIN MUFFINS</v>
      </c>
      <c r="M3476" s="65" t="str">
        <f>"216-1 oz. 18-12 pack"</f>
        <v>216-1 oz. 18-12 pack</v>
      </c>
      <c r="N3476" s="66">
        <v>216</v>
      </c>
      <c r="O3476" s="67" t="str">
        <f>""</f>
        <v/>
      </c>
      <c r="P3476" s="68" t="e">
        <f>1/O3476</f>
        <v>#VALUE!</v>
      </c>
      <c r="Q3476" s="53">
        <v>1</v>
      </c>
      <c r="R3476" s="69">
        <f t="shared" ref="R3476" si="2491">1/Q3476</f>
        <v>1</v>
      </c>
      <c r="S3476" s="70">
        <f t="shared" ref="S3476" si="2492">R3476*N3476</f>
        <v>216</v>
      </c>
    </row>
    <row r="3477" spans="1:19" ht="15.6" hidden="1" customHeight="1" thickBot="1" x14ac:dyDescent="0.3">
      <c r="A3477" t="s">
        <v>23</v>
      </c>
      <c r="B3477" s="60" t="str">
        <f t="shared" si="2490"/>
        <v>hide</v>
      </c>
      <c r="D3477" s="48" t="str">
        <f>D3476</f>
        <v>46348</v>
      </c>
      <c r="E3477" s="7"/>
      <c r="F3477" s="27">
        <v>0</v>
      </c>
      <c r="G3477" s="27">
        <v>0</v>
      </c>
      <c r="H3477" s="27">
        <v>0</v>
      </c>
      <c r="I3477" s="27">
        <v>0</v>
      </c>
      <c r="J3477" s="27">
        <v>0</v>
      </c>
      <c r="K3477" s="63">
        <f>AVERAGE(I3477:J3477)</f>
        <v>0</v>
      </c>
      <c r="L3477" s="56" t="str">
        <f>"EQP-LAWPACK1"</f>
        <v>EQP-LAWPACK1</v>
      </c>
      <c r="M3477" s="14"/>
      <c r="N3477" s="15"/>
      <c r="O3477" s="12"/>
      <c r="P3477" s="34"/>
      <c r="Q3477" s="37"/>
      <c r="R3477" s="47"/>
      <c r="S3477" s="46"/>
    </row>
    <row r="3478" spans="1:19" ht="15.6" hidden="1" customHeight="1" thickBot="1" x14ac:dyDescent="0.3">
      <c r="A3478" t="s">
        <v>23</v>
      </c>
      <c r="B3478" s="60" t="str">
        <f t="shared" ref="B3478:B3480" si="2493">IF(K3478=0,"hide","")</f>
        <v>hide</v>
      </c>
      <c r="D3478" s="48" t="str">
        <f>D3477</f>
        <v>46348</v>
      </c>
      <c r="E3478" s="7"/>
      <c r="F3478" s="27">
        <v>0</v>
      </c>
      <c r="G3478" s="27">
        <v>0</v>
      </c>
      <c r="H3478" s="27">
        <v>0</v>
      </c>
      <c r="I3478" s="27">
        <v>0</v>
      </c>
      <c r="J3478" s="27">
        <v>0</v>
      </c>
      <c r="K3478" s="63">
        <f>AVERAGE(I3478:J3478)</f>
        <v>0</v>
      </c>
      <c r="L3478" s="56" t="str">
        <f>"EQP-LAWPACK2"</f>
        <v>EQP-LAWPACK2</v>
      </c>
      <c r="M3478" s="14"/>
      <c r="N3478" s="15"/>
      <c r="O3478" s="12"/>
      <c r="P3478" s="34"/>
      <c r="Q3478" s="37"/>
      <c r="R3478" s="47"/>
      <c r="S3478" s="46"/>
    </row>
    <row r="3479" spans="1:19" ht="15.6" hidden="1" customHeight="1" thickBot="1" x14ac:dyDescent="0.3">
      <c r="A3479" t="s">
        <v>23</v>
      </c>
      <c r="B3479" s="60" t="str">
        <f t="shared" si="2493"/>
        <v>hide</v>
      </c>
      <c r="D3479" s="48" t="str">
        <f>D3478</f>
        <v>46348</v>
      </c>
      <c r="E3479" s="7"/>
      <c r="F3479" s="27">
        <v>0</v>
      </c>
      <c r="G3479" s="27">
        <v>0</v>
      </c>
      <c r="H3479" s="27">
        <v>0</v>
      </c>
      <c r="I3479" s="27">
        <v>0</v>
      </c>
      <c r="J3479" s="27">
        <v>0</v>
      </c>
      <c r="K3479" s="63">
        <f>AVERAGE(I3479:J3479)</f>
        <v>0</v>
      </c>
      <c r="L3479" s="56" t="str">
        <f>"SW-COMAS-PACKL"</f>
        <v>SW-COMAS-PACKL</v>
      </c>
      <c r="M3479" s="14"/>
      <c r="N3479" s="15"/>
      <c r="O3479" s="12"/>
      <c r="P3479" s="34"/>
      <c r="Q3479" s="37"/>
      <c r="R3479" s="47"/>
      <c r="S3479" s="46"/>
    </row>
    <row r="3480" spans="1:19" ht="15.6" hidden="1" customHeight="1" thickBot="1" x14ac:dyDescent="0.3">
      <c r="A3480" t="s">
        <v>23</v>
      </c>
      <c r="B3480" s="60" t="str">
        <f t="shared" si="2493"/>
        <v>hide</v>
      </c>
      <c r="D3480" s="48" t="str">
        <f>D3479</f>
        <v>46348</v>
      </c>
      <c r="E3480" s="7"/>
      <c r="F3480" s="27">
        <v>0</v>
      </c>
      <c r="G3480" s="27">
        <v>0</v>
      </c>
      <c r="H3480" s="27">
        <v>0</v>
      </c>
      <c r="I3480" s="27">
        <v>0</v>
      </c>
      <c r="J3480" s="27">
        <v>0</v>
      </c>
      <c r="K3480" s="63">
        <f>AVERAGE(I3480:J3480)</f>
        <v>0</v>
      </c>
      <c r="L3480" s="56" t="str">
        <f>"SW-RISER-PACK"</f>
        <v>SW-RISER-PACK</v>
      </c>
      <c r="M3480" s="14"/>
      <c r="N3480" s="15"/>
      <c r="O3480" s="12"/>
      <c r="P3480" s="34"/>
      <c r="Q3480" s="37"/>
      <c r="R3480" s="47"/>
      <c r="S3480" s="46"/>
    </row>
    <row r="3481" spans="1:19" ht="12" hidden="1" customHeight="1" x14ac:dyDescent="0.3">
      <c r="A3481" s="35" t="s">
        <v>908</v>
      </c>
      <c r="B3481" s="49" t="str">
        <f>B3477</f>
        <v>hide</v>
      </c>
      <c r="N3481"/>
      <c r="Q3481" s="33"/>
    </row>
    <row r="3482" spans="1:19" ht="13.8" hidden="1" thickBot="1" x14ac:dyDescent="0.3">
      <c r="A3482" t="s">
        <v>23</v>
      </c>
      <c r="B3482" s="49" t="str">
        <f t="shared" ref="B3482" si="2494">B3481</f>
        <v>hide</v>
      </c>
      <c r="D3482" s="58"/>
      <c r="E3482" s="58"/>
      <c r="F3482" s="52">
        <f>SUM(F3477:F3481)</f>
        <v>0</v>
      </c>
      <c r="G3482" s="52">
        <f>SUM(G3477:G3481)</f>
        <v>0</v>
      </c>
      <c r="H3482" s="52">
        <f>SUM(H3477:H3481)</f>
        <v>0</v>
      </c>
      <c r="I3482" s="52">
        <f>SUM(I3477:I3481)</f>
        <v>0</v>
      </c>
      <c r="J3482" s="52">
        <f>SUM(J3477:J3481)</f>
        <v>0</v>
      </c>
      <c r="K3482" s="52"/>
      <c r="L3482" s="51" t="s">
        <v>4</v>
      </c>
      <c r="M3482" s="58"/>
      <c r="N3482" s="58"/>
      <c r="O3482" s="58"/>
      <c r="P3482" s="58"/>
      <c r="Q3482" s="58"/>
      <c r="R3482" s="58"/>
      <c r="S3482" s="58"/>
    </row>
    <row r="3483" spans="1:19" s="59" customFormat="1" ht="18.75" hidden="1" customHeight="1" thickBot="1" x14ac:dyDescent="0.3">
      <c r="A3483" s="59" t="s">
        <v>23</v>
      </c>
      <c r="B3483" s="60" t="str">
        <f t="shared" ref="B3483:B3484" si="2495">IF(K3483=0,"hide","")</f>
        <v>hide</v>
      </c>
      <c r="D3483" s="61" t="str">
        <f>"46351"</f>
        <v>46351</v>
      </c>
      <c r="E3483" s="62" t="str">
        <f>"3"</f>
        <v>3</v>
      </c>
      <c r="F3483" s="63">
        <v>0</v>
      </c>
      <c r="G3483" s="63">
        <v>0</v>
      </c>
      <c r="H3483" s="63">
        <v>0</v>
      </c>
      <c r="I3483" s="63">
        <v>0</v>
      </c>
      <c r="J3483" s="63">
        <v>0</v>
      </c>
      <c r="K3483" s="63">
        <f>AVERAGE(I3483:J3483)</f>
        <v>0</v>
      </c>
      <c r="L3483" s="64" t="str">
        <f>"BANANA MINI MUFFINS"</f>
        <v>BANANA MINI MUFFINS</v>
      </c>
      <c r="M3483" s="65" t="str">
        <f>"216-1 oz. 18-12 pack"</f>
        <v>216-1 oz. 18-12 pack</v>
      </c>
      <c r="N3483" s="66">
        <v>216</v>
      </c>
      <c r="O3483" s="67" t="str">
        <f>""</f>
        <v/>
      </c>
      <c r="P3483" s="68" t="e">
        <f>1/O3483</f>
        <v>#VALUE!</v>
      </c>
      <c r="Q3483" s="53">
        <v>1</v>
      </c>
      <c r="R3483" s="69">
        <f t="shared" ref="R3483" si="2496">1/Q3483</f>
        <v>1</v>
      </c>
      <c r="S3483" s="70">
        <f t="shared" ref="S3483" si="2497">R3483*N3483</f>
        <v>216</v>
      </c>
    </row>
    <row r="3484" spans="1:19" ht="15.6" hidden="1" customHeight="1" thickBot="1" x14ac:dyDescent="0.3">
      <c r="A3484" t="s">
        <v>23</v>
      </c>
      <c r="B3484" s="60" t="str">
        <f t="shared" si="2495"/>
        <v>hide</v>
      </c>
      <c r="D3484" s="48" t="str">
        <f>D3483</f>
        <v>46351</v>
      </c>
      <c r="E3484" s="7"/>
      <c r="F3484" s="27">
        <v>0</v>
      </c>
      <c r="G3484" s="27">
        <v>0</v>
      </c>
      <c r="H3484" s="27">
        <v>0</v>
      </c>
      <c r="I3484" s="27">
        <v>0</v>
      </c>
      <c r="J3484" s="27">
        <v>0</v>
      </c>
      <c r="K3484" s="63">
        <f>AVERAGE(I3484:J3484)</f>
        <v>0</v>
      </c>
      <c r="L3484" s="56" t="str">
        <f>"EQP-LAWPACK1"</f>
        <v>EQP-LAWPACK1</v>
      </c>
      <c r="M3484" s="14"/>
      <c r="N3484" s="15"/>
      <c r="O3484" s="12"/>
      <c r="P3484" s="34"/>
      <c r="Q3484" s="37"/>
      <c r="R3484" s="47"/>
      <c r="S3484" s="46"/>
    </row>
    <row r="3485" spans="1:19" ht="15.6" hidden="1" customHeight="1" thickBot="1" x14ac:dyDescent="0.3">
      <c r="A3485" t="s">
        <v>23</v>
      </c>
      <c r="B3485" s="60" t="str">
        <f t="shared" ref="B3485:B3487" si="2498">IF(K3485=0,"hide","")</f>
        <v>hide</v>
      </c>
      <c r="D3485" s="48" t="str">
        <f>D3484</f>
        <v>46351</v>
      </c>
      <c r="E3485" s="7"/>
      <c r="F3485" s="27">
        <v>0</v>
      </c>
      <c r="G3485" s="27">
        <v>0</v>
      </c>
      <c r="H3485" s="27">
        <v>0</v>
      </c>
      <c r="I3485" s="27">
        <v>0</v>
      </c>
      <c r="J3485" s="27">
        <v>0</v>
      </c>
      <c r="K3485" s="63">
        <f>AVERAGE(I3485:J3485)</f>
        <v>0</v>
      </c>
      <c r="L3485" s="56" t="str">
        <f>"EQP-LAWPACK2"</f>
        <v>EQP-LAWPACK2</v>
      </c>
      <c r="M3485" s="14"/>
      <c r="N3485" s="15"/>
      <c r="O3485" s="12"/>
      <c r="P3485" s="34"/>
      <c r="Q3485" s="37"/>
      <c r="R3485" s="47"/>
      <c r="S3485" s="46"/>
    </row>
    <row r="3486" spans="1:19" ht="15.6" hidden="1" customHeight="1" thickBot="1" x14ac:dyDescent="0.3">
      <c r="A3486" t="s">
        <v>23</v>
      </c>
      <c r="B3486" s="60" t="str">
        <f t="shared" si="2498"/>
        <v>hide</v>
      </c>
      <c r="D3486" s="48" t="str">
        <f>D3485</f>
        <v>46351</v>
      </c>
      <c r="E3486" s="7"/>
      <c r="F3486" s="27">
        <v>0</v>
      </c>
      <c r="G3486" s="27">
        <v>0</v>
      </c>
      <c r="H3486" s="27">
        <v>0</v>
      </c>
      <c r="I3486" s="27">
        <v>0</v>
      </c>
      <c r="J3486" s="27">
        <v>0</v>
      </c>
      <c r="K3486" s="63">
        <f>AVERAGE(I3486:J3486)</f>
        <v>0</v>
      </c>
      <c r="L3486" s="56" t="str">
        <f>"SW-COMAS-PACKL"</f>
        <v>SW-COMAS-PACKL</v>
      </c>
      <c r="M3486" s="14"/>
      <c r="N3486" s="15"/>
      <c r="O3486" s="12"/>
      <c r="P3486" s="34"/>
      <c r="Q3486" s="37"/>
      <c r="R3486" s="47"/>
      <c r="S3486" s="46"/>
    </row>
    <row r="3487" spans="1:19" ht="15.6" hidden="1" customHeight="1" thickBot="1" x14ac:dyDescent="0.3">
      <c r="A3487" t="s">
        <v>23</v>
      </c>
      <c r="B3487" s="60" t="str">
        <f t="shared" si="2498"/>
        <v>hide</v>
      </c>
      <c r="D3487" s="48" t="str">
        <f>D3486</f>
        <v>46351</v>
      </c>
      <c r="E3487" s="7"/>
      <c r="F3487" s="27">
        <v>0</v>
      </c>
      <c r="G3487" s="27">
        <v>0</v>
      </c>
      <c r="H3487" s="27">
        <v>0</v>
      </c>
      <c r="I3487" s="27">
        <v>0</v>
      </c>
      <c r="J3487" s="27">
        <v>0</v>
      </c>
      <c r="K3487" s="63">
        <f>AVERAGE(I3487:J3487)</f>
        <v>0</v>
      </c>
      <c r="L3487" s="56" t="str">
        <f>"SW-RISER-PACK"</f>
        <v>SW-RISER-PACK</v>
      </c>
      <c r="M3487" s="14"/>
      <c r="N3487" s="15"/>
      <c r="O3487" s="12"/>
      <c r="P3487" s="34"/>
      <c r="Q3487" s="37"/>
      <c r="R3487" s="47"/>
      <c r="S3487" s="46"/>
    </row>
    <row r="3488" spans="1:19" ht="12" hidden="1" customHeight="1" x14ac:dyDescent="0.3">
      <c r="A3488" s="35" t="s">
        <v>908</v>
      </c>
      <c r="B3488" s="49" t="str">
        <f>B3484</f>
        <v>hide</v>
      </c>
      <c r="N3488"/>
      <c r="Q3488" s="33"/>
    </row>
    <row r="3489" spans="1:19" ht="13.8" hidden="1" thickBot="1" x14ac:dyDescent="0.3">
      <c r="A3489" t="s">
        <v>23</v>
      </c>
      <c r="B3489" s="49" t="str">
        <f t="shared" ref="B3489" si="2499">B3488</f>
        <v>hide</v>
      </c>
      <c r="D3489" s="58"/>
      <c r="E3489" s="58"/>
      <c r="F3489" s="52">
        <f>SUM(F3484:F3488)</f>
        <v>0</v>
      </c>
      <c r="G3489" s="52">
        <f>SUM(G3484:G3488)</f>
        <v>0</v>
      </c>
      <c r="H3489" s="52">
        <f>SUM(H3484:H3488)</f>
        <v>0</v>
      </c>
      <c r="I3489" s="52">
        <f>SUM(I3484:I3488)</f>
        <v>0</v>
      </c>
      <c r="J3489" s="52">
        <f>SUM(J3484:J3488)</f>
        <v>0</v>
      </c>
      <c r="K3489" s="52"/>
      <c r="L3489" s="51" t="s">
        <v>4</v>
      </c>
      <c r="M3489" s="58"/>
      <c r="N3489" s="58"/>
      <c r="O3489" s="58"/>
      <c r="P3489" s="58"/>
      <c r="Q3489" s="58"/>
      <c r="R3489" s="58"/>
      <c r="S3489" s="58"/>
    </row>
    <row r="3490" spans="1:19" s="59" customFormat="1" ht="18.75" customHeight="1" thickBot="1" x14ac:dyDescent="0.3">
      <c r="A3490" s="59" t="s">
        <v>23</v>
      </c>
      <c r="B3490" s="60" t="str">
        <f t="shared" ref="B3490:B3491" si="2500">IF(K3490=0,"hide","")</f>
        <v/>
      </c>
      <c r="D3490" s="61" t="str">
        <f>"46401"</f>
        <v>46401</v>
      </c>
      <c r="E3490" s="62" t="str">
        <f>"7"</f>
        <v>7</v>
      </c>
      <c r="F3490" s="63">
        <v>758.33333333333337</v>
      </c>
      <c r="G3490" s="63">
        <v>698.91666666666663</v>
      </c>
      <c r="H3490" s="63">
        <v>1134.25</v>
      </c>
      <c r="I3490" s="63">
        <v>1311.1666666666667</v>
      </c>
      <c r="J3490" s="63">
        <v>1039.7351807228915</v>
      </c>
      <c r="K3490" s="63">
        <f>AVERAGE(I3490:J3490)</f>
        <v>1175.4509236947792</v>
      </c>
      <c r="L3490" s="64" t="str">
        <f>"BLUEBERRY MUFFINS"</f>
        <v>BLUEBERRY MUFFINS</v>
      </c>
      <c r="M3490" s="65" t="str">
        <f>"216-1 oz. 18-12 pack"</f>
        <v>216-1 oz. 18-12 pack</v>
      </c>
      <c r="N3490" s="66">
        <v>216</v>
      </c>
      <c r="O3490" s="67" t="str">
        <f>""</f>
        <v/>
      </c>
      <c r="P3490" s="68" t="e">
        <f>1/O3490</f>
        <v>#VALUE!</v>
      </c>
      <c r="Q3490" s="53">
        <v>1</v>
      </c>
      <c r="R3490" s="69">
        <f t="shared" ref="R3490" si="2501">1/Q3490</f>
        <v>1</v>
      </c>
      <c r="S3490" s="70">
        <f t="shared" ref="S3490" si="2502">R3490*N3490</f>
        <v>216</v>
      </c>
    </row>
    <row r="3491" spans="1:19" ht="15.6" hidden="1" customHeight="1" thickBot="1" x14ac:dyDescent="0.3">
      <c r="A3491" t="s">
        <v>23</v>
      </c>
      <c r="B3491" s="60" t="str">
        <f t="shared" si="2500"/>
        <v>hide</v>
      </c>
      <c r="D3491" s="48" t="str">
        <f>D3490</f>
        <v>46401</v>
      </c>
      <c r="E3491" s="7"/>
      <c r="F3491" s="27">
        <v>0</v>
      </c>
      <c r="G3491" s="27">
        <v>0</v>
      </c>
      <c r="H3491" s="27">
        <v>0</v>
      </c>
      <c r="I3491" s="27">
        <v>0</v>
      </c>
      <c r="J3491" s="27">
        <v>0</v>
      </c>
      <c r="K3491" s="63">
        <f>AVERAGE(I3491:J3491)</f>
        <v>0</v>
      </c>
      <c r="L3491" s="56" t="str">
        <f>"EQP-LAWPACK1"</f>
        <v>EQP-LAWPACK1</v>
      </c>
      <c r="M3491" s="14"/>
      <c r="N3491" s="15"/>
      <c r="O3491" s="12"/>
      <c r="P3491" s="34"/>
      <c r="Q3491" s="37"/>
      <c r="R3491" s="47"/>
      <c r="S3491" s="46"/>
    </row>
    <row r="3492" spans="1:19" ht="15.6" hidden="1" customHeight="1" thickBot="1" x14ac:dyDescent="0.3">
      <c r="A3492" t="s">
        <v>23</v>
      </c>
      <c r="B3492" s="60" t="str">
        <f t="shared" ref="B3492:B3494" si="2503">IF(K3492=0,"hide","")</f>
        <v>hide</v>
      </c>
      <c r="D3492" s="48" t="str">
        <f>D3491</f>
        <v>46401</v>
      </c>
      <c r="E3492" s="7"/>
      <c r="F3492" s="27">
        <v>0</v>
      </c>
      <c r="G3492" s="27">
        <v>0</v>
      </c>
      <c r="H3492" s="27">
        <v>0</v>
      </c>
      <c r="I3492" s="27">
        <v>0</v>
      </c>
      <c r="J3492" s="27">
        <v>0</v>
      </c>
      <c r="K3492" s="63">
        <f>AVERAGE(I3492:J3492)</f>
        <v>0</v>
      </c>
      <c r="L3492" s="56" t="str">
        <f>"EQP-LAWPACK2"</f>
        <v>EQP-LAWPACK2</v>
      </c>
      <c r="M3492" s="14"/>
      <c r="N3492" s="15"/>
      <c r="O3492" s="12"/>
      <c r="P3492" s="34"/>
      <c r="Q3492" s="37"/>
      <c r="R3492" s="47"/>
      <c r="S3492" s="46"/>
    </row>
    <row r="3493" spans="1:19" ht="15.6" hidden="1" customHeight="1" thickBot="1" x14ac:dyDescent="0.3">
      <c r="A3493" t="s">
        <v>23</v>
      </c>
      <c r="B3493" s="60" t="str">
        <f t="shared" si="2503"/>
        <v>hide</v>
      </c>
      <c r="D3493" s="48" t="str">
        <f>D3492</f>
        <v>46401</v>
      </c>
      <c r="E3493" s="7"/>
      <c r="F3493" s="27">
        <v>0</v>
      </c>
      <c r="G3493" s="27">
        <v>0</v>
      </c>
      <c r="H3493" s="27">
        <v>0</v>
      </c>
      <c r="I3493" s="27">
        <v>0</v>
      </c>
      <c r="J3493" s="27">
        <v>0</v>
      </c>
      <c r="K3493" s="63">
        <f>AVERAGE(I3493:J3493)</f>
        <v>0</v>
      </c>
      <c r="L3493" s="56" t="str">
        <f>"SW-COMAS-PACKL"</f>
        <v>SW-COMAS-PACKL</v>
      </c>
      <c r="M3493" s="14"/>
      <c r="N3493" s="15"/>
      <c r="O3493" s="12"/>
      <c r="P3493" s="34"/>
      <c r="Q3493" s="37"/>
      <c r="R3493" s="47"/>
      <c r="S3493" s="46"/>
    </row>
    <row r="3494" spans="1:19" ht="15.6" hidden="1" customHeight="1" thickBot="1" x14ac:dyDescent="0.3">
      <c r="A3494" t="s">
        <v>23</v>
      </c>
      <c r="B3494" s="60" t="str">
        <f t="shared" si="2503"/>
        <v>hide</v>
      </c>
      <c r="D3494" s="48" t="str">
        <f>D3493</f>
        <v>46401</v>
      </c>
      <c r="E3494" s="7"/>
      <c r="F3494" s="27">
        <v>0</v>
      </c>
      <c r="G3494" s="27">
        <v>0</v>
      </c>
      <c r="H3494" s="27">
        <v>0</v>
      </c>
      <c r="I3494" s="27">
        <v>0</v>
      </c>
      <c r="J3494" s="27">
        <v>0</v>
      </c>
      <c r="K3494" s="63">
        <f>AVERAGE(I3494:J3494)</f>
        <v>0</v>
      </c>
      <c r="L3494" s="56" t="str">
        <f>"SW-RISER-PACK"</f>
        <v>SW-RISER-PACK</v>
      </c>
      <c r="M3494" s="14"/>
      <c r="N3494" s="15"/>
      <c r="O3494" s="12"/>
      <c r="P3494" s="34"/>
      <c r="Q3494" s="37"/>
      <c r="R3494" s="47"/>
      <c r="S3494" s="46"/>
    </row>
    <row r="3495" spans="1:19" ht="12" hidden="1" customHeight="1" x14ac:dyDescent="0.3">
      <c r="A3495" s="35" t="s">
        <v>908</v>
      </c>
      <c r="B3495" s="49" t="str">
        <f>B3491</f>
        <v>hide</v>
      </c>
      <c r="N3495"/>
      <c r="Q3495" s="33"/>
    </row>
    <row r="3496" spans="1:19" ht="13.8" hidden="1" thickBot="1" x14ac:dyDescent="0.3">
      <c r="A3496" t="s">
        <v>23</v>
      </c>
      <c r="B3496" s="49" t="str">
        <f t="shared" ref="B3496" si="2504">B3495</f>
        <v>hide</v>
      </c>
      <c r="D3496" s="58"/>
      <c r="E3496" s="58"/>
      <c r="F3496" s="52">
        <f>SUM(F3491:F3495)</f>
        <v>0</v>
      </c>
      <c r="G3496" s="52">
        <f>SUM(G3491:G3495)</f>
        <v>0</v>
      </c>
      <c r="H3496" s="52">
        <f>SUM(H3491:H3495)</f>
        <v>0</v>
      </c>
      <c r="I3496" s="52">
        <f>SUM(I3491:I3495)</f>
        <v>0</v>
      </c>
      <c r="J3496" s="52">
        <f>SUM(J3491:J3495)</f>
        <v>0</v>
      </c>
      <c r="K3496" s="52"/>
      <c r="L3496" s="51" t="s">
        <v>4</v>
      </c>
      <c r="M3496" s="58"/>
      <c r="N3496" s="58"/>
      <c r="O3496" s="58"/>
      <c r="P3496" s="58"/>
      <c r="Q3496" s="58"/>
      <c r="R3496" s="58"/>
      <c r="S3496" s="58"/>
    </row>
    <row r="3497" spans="1:19" s="59" customFormat="1" ht="18.75" customHeight="1" thickBot="1" x14ac:dyDescent="0.3">
      <c r="A3497" s="59" t="s">
        <v>23</v>
      </c>
      <c r="B3497" s="60" t="str">
        <f t="shared" ref="B3497:B3498" si="2505">IF(K3497=0,"hide","")</f>
        <v/>
      </c>
      <c r="D3497" s="61" t="str">
        <f>"46403"</f>
        <v>46403</v>
      </c>
      <c r="E3497" s="62" t="str">
        <f>"4"</f>
        <v>4</v>
      </c>
      <c r="F3497" s="63">
        <v>0</v>
      </c>
      <c r="G3497" s="63">
        <v>0</v>
      </c>
      <c r="H3497" s="63">
        <v>0</v>
      </c>
      <c r="I3497" s="63">
        <v>0</v>
      </c>
      <c r="J3497" s="63">
        <v>74.261927710843381</v>
      </c>
      <c r="K3497" s="63">
        <f>AVERAGE(I3497:J3497)</f>
        <v>37.13096385542169</v>
      </c>
      <c r="L3497" s="64" t="str">
        <f>"CRANBERRY ORANGE MUFFINS"</f>
        <v>CRANBERRY ORANGE MUFFINS</v>
      </c>
      <c r="M3497" s="65" t="str">
        <f>"216-1 oz. 18-12 pack"</f>
        <v>216-1 oz. 18-12 pack</v>
      </c>
      <c r="N3497" s="66">
        <v>216</v>
      </c>
      <c r="O3497" s="67" t="str">
        <f>""</f>
        <v/>
      </c>
      <c r="P3497" s="68" t="e">
        <f>1/O3497</f>
        <v>#VALUE!</v>
      </c>
      <c r="Q3497" s="53">
        <v>1</v>
      </c>
      <c r="R3497" s="69">
        <f t="shared" ref="R3497" si="2506">1/Q3497</f>
        <v>1</v>
      </c>
      <c r="S3497" s="70">
        <f t="shared" ref="S3497" si="2507">R3497*N3497</f>
        <v>216</v>
      </c>
    </row>
    <row r="3498" spans="1:19" ht="15.6" hidden="1" customHeight="1" thickBot="1" x14ac:dyDescent="0.3">
      <c r="A3498" t="s">
        <v>23</v>
      </c>
      <c r="B3498" s="60" t="str">
        <f t="shared" si="2505"/>
        <v>hide</v>
      </c>
      <c r="D3498" s="48" t="str">
        <f>D3497</f>
        <v>46403</v>
      </c>
      <c r="E3498" s="7"/>
      <c r="F3498" s="27">
        <v>0</v>
      </c>
      <c r="G3498" s="27">
        <v>0</v>
      </c>
      <c r="H3498" s="27">
        <v>0</v>
      </c>
      <c r="I3498" s="27">
        <v>0</v>
      </c>
      <c r="J3498" s="27">
        <v>0</v>
      </c>
      <c r="K3498" s="63">
        <f>AVERAGE(I3498:J3498)</f>
        <v>0</v>
      </c>
      <c r="L3498" s="56" t="str">
        <f>"EQP-LAWPACK1"</f>
        <v>EQP-LAWPACK1</v>
      </c>
      <c r="M3498" s="14"/>
      <c r="N3498" s="15"/>
      <c r="O3498" s="12"/>
      <c r="P3498" s="34"/>
      <c r="Q3498" s="37"/>
      <c r="R3498" s="47"/>
      <c r="S3498" s="46"/>
    </row>
    <row r="3499" spans="1:19" ht="15.6" hidden="1" customHeight="1" thickBot="1" x14ac:dyDescent="0.3">
      <c r="A3499" t="s">
        <v>23</v>
      </c>
      <c r="B3499" s="60" t="str">
        <f t="shared" ref="B3499:B3501" si="2508">IF(K3499=0,"hide","")</f>
        <v>hide</v>
      </c>
      <c r="D3499" s="48" t="str">
        <f>D3498</f>
        <v>46403</v>
      </c>
      <c r="E3499" s="7"/>
      <c r="F3499" s="27">
        <v>0</v>
      </c>
      <c r="G3499" s="27">
        <v>0</v>
      </c>
      <c r="H3499" s="27">
        <v>0</v>
      </c>
      <c r="I3499" s="27">
        <v>0</v>
      </c>
      <c r="J3499" s="27">
        <v>0</v>
      </c>
      <c r="K3499" s="63">
        <f>AVERAGE(I3499:J3499)</f>
        <v>0</v>
      </c>
      <c r="L3499" s="56" t="str">
        <f>"EQP-LAWPACK2"</f>
        <v>EQP-LAWPACK2</v>
      </c>
      <c r="M3499" s="14"/>
      <c r="N3499" s="15"/>
      <c r="O3499" s="12"/>
      <c r="P3499" s="34"/>
      <c r="Q3499" s="37"/>
      <c r="R3499" s="47"/>
      <c r="S3499" s="46"/>
    </row>
    <row r="3500" spans="1:19" ht="15.6" hidden="1" customHeight="1" thickBot="1" x14ac:dyDescent="0.3">
      <c r="A3500" t="s">
        <v>23</v>
      </c>
      <c r="B3500" s="60" t="str">
        <f t="shared" si="2508"/>
        <v>hide</v>
      </c>
      <c r="D3500" s="48" t="str">
        <f>D3499</f>
        <v>46403</v>
      </c>
      <c r="E3500" s="7"/>
      <c r="F3500" s="27">
        <v>0</v>
      </c>
      <c r="G3500" s="27">
        <v>0</v>
      </c>
      <c r="H3500" s="27">
        <v>0</v>
      </c>
      <c r="I3500" s="27">
        <v>0</v>
      </c>
      <c r="J3500" s="27">
        <v>0</v>
      </c>
      <c r="K3500" s="63">
        <f>AVERAGE(I3500:J3500)</f>
        <v>0</v>
      </c>
      <c r="L3500" s="56" t="str">
        <f>"SW-COMAS-PACKL"</f>
        <v>SW-COMAS-PACKL</v>
      </c>
      <c r="M3500" s="14"/>
      <c r="N3500" s="15"/>
      <c r="O3500" s="12"/>
      <c r="P3500" s="34"/>
      <c r="Q3500" s="37"/>
      <c r="R3500" s="47"/>
      <c r="S3500" s="46"/>
    </row>
    <row r="3501" spans="1:19" ht="15.6" hidden="1" customHeight="1" thickBot="1" x14ac:dyDescent="0.3">
      <c r="A3501" t="s">
        <v>23</v>
      </c>
      <c r="B3501" s="60" t="str">
        <f t="shared" si="2508"/>
        <v>hide</v>
      </c>
      <c r="D3501" s="48" t="str">
        <f>D3500</f>
        <v>46403</v>
      </c>
      <c r="E3501" s="7"/>
      <c r="F3501" s="27">
        <v>0</v>
      </c>
      <c r="G3501" s="27">
        <v>0</v>
      </c>
      <c r="H3501" s="27">
        <v>0</v>
      </c>
      <c r="I3501" s="27">
        <v>0</v>
      </c>
      <c r="J3501" s="27">
        <v>0</v>
      </c>
      <c r="K3501" s="63">
        <f>AVERAGE(I3501:J3501)</f>
        <v>0</v>
      </c>
      <c r="L3501" s="56" t="str">
        <f>"SW-RISER-PACK"</f>
        <v>SW-RISER-PACK</v>
      </c>
      <c r="M3501" s="14"/>
      <c r="N3501" s="15"/>
      <c r="O3501" s="12"/>
      <c r="P3501" s="34"/>
      <c r="Q3501" s="37"/>
      <c r="R3501" s="47"/>
      <c r="S3501" s="46"/>
    </row>
    <row r="3502" spans="1:19" ht="12" hidden="1" customHeight="1" x14ac:dyDescent="0.3">
      <c r="A3502" s="35" t="s">
        <v>908</v>
      </c>
      <c r="B3502" s="49" t="str">
        <f>B3498</f>
        <v>hide</v>
      </c>
      <c r="N3502"/>
      <c r="Q3502" s="33"/>
    </row>
    <row r="3503" spans="1:19" ht="13.8" hidden="1" thickBot="1" x14ac:dyDescent="0.3">
      <c r="A3503" t="s">
        <v>23</v>
      </c>
      <c r="B3503" s="49" t="str">
        <f t="shared" ref="B3503" si="2509">B3502</f>
        <v>hide</v>
      </c>
      <c r="D3503" s="58"/>
      <c r="E3503" s="58"/>
      <c r="F3503" s="52">
        <f>SUM(F3498:F3502)</f>
        <v>0</v>
      </c>
      <c r="G3503" s="52">
        <f>SUM(G3498:G3502)</f>
        <v>0</v>
      </c>
      <c r="H3503" s="52">
        <f>SUM(H3498:H3502)</f>
        <v>0</v>
      </c>
      <c r="I3503" s="52">
        <f>SUM(I3498:I3502)</f>
        <v>0</v>
      </c>
      <c r="J3503" s="52">
        <f>SUM(J3498:J3502)</f>
        <v>0</v>
      </c>
      <c r="K3503" s="52"/>
      <c r="L3503" s="51" t="s">
        <v>4</v>
      </c>
      <c r="M3503" s="58"/>
      <c r="N3503" s="58"/>
      <c r="O3503" s="58"/>
      <c r="P3503" s="58"/>
      <c r="Q3503" s="58"/>
      <c r="R3503" s="58"/>
      <c r="S3503" s="58"/>
    </row>
    <row r="3504" spans="1:19" s="59" customFormat="1" ht="18.75" customHeight="1" thickBot="1" x14ac:dyDescent="0.3">
      <c r="A3504" s="59" t="s">
        <v>23</v>
      </c>
      <c r="B3504" s="60" t="str">
        <f t="shared" ref="B3504:B3505" si="2510">IF(K3504=0,"hide","")</f>
        <v/>
      </c>
      <c r="D3504" s="61" t="str">
        <f>"46405"</f>
        <v>46405</v>
      </c>
      <c r="E3504" s="62" t="str">
        <f>"9"</f>
        <v>9</v>
      </c>
      <c r="F3504" s="63">
        <v>468</v>
      </c>
      <c r="G3504" s="63">
        <v>463.5</v>
      </c>
      <c r="H3504" s="63">
        <v>662.58333333333337</v>
      </c>
      <c r="I3504" s="63">
        <v>931.41666666666663</v>
      </c>
      <c r="J3504" s="63">
        <v>686.76939759036145</v>
      </c>
      <c r="K3504" s="63">
        <f>AVERAGE(I3504:J3504)</f>
        <v>809.0930321285141</v>
      </c>
      <c r="L3504" s="64" t="str">
        <f>"CORN MUFFINS"</f>
        <v>CORN MUFFINS</v>
      </c>
      <c r="M3504" s="65" t="str">
        <f>"216-1 oz. 18-12 pack"</f>
        <v>216-1 oz. 18-12 pack</v>
      </c>
      <c r="N3504" s="66">
        <v>216</v>
      </c>
      <c r="O3504" s="67" t="str">
        <f>""</f>
        <v/>
      </c>
      <c r="P3504" s="68" t="e">
        <f>1/O3504</f>
        <v>#VALUE!</v>
      </c>
      <c r="Q3504" s="53">
        <v>1</v>
      </c>
      <c r="R3504" s="69">
        <f t="shared" ref="R3504" si="2511">1/Q3504</f>
        <v>1</v>
      </c>
      <c r="S3504" s="70">
        <f t="shared" ref="S3504" si="2512">R3504*N3504</f>
        <v>216</v>
      </c>
    </row>
    <row r="3505" spans="1:19" ht="15.6" hidden="1" customHeight="1" thickBot="1" x14ac:dyDescent="0.3">
      <c r="A3505" t="s">
        <v>23</v>
      </c>
      <c r="B3505" s="60" t="str">
        <f t="shared" si="2510"/>
        <v>hide</v>
      </c>
      <c r="D3505" s="48" t="str">
        <f>D3504</f>
        <v>46405</v>
      </c>
      <c r="E3505" s="7"/>
      <c r="F3505" s="27">
        <v>0</v>
      </c>
      <c r="G3505" s="27">
        <v>0</v>
      </c>
      <c r="H3505" s="27">
        <v>0</v>
      </c>
      <c r="I3505" s="27">
        <v>0</v>
      </c>
      <c r="J3505" s="27">
        <v>0</v>
      </c>
      <c r="K3505" s="63">
        <f>AVERAGE(I3505:J3505)</f>
        <v>0</v>
      </c>
      <c r="L3505" s="56" t="str">
        <f>"EQP-LAWPACK1"</f>
        <v>EQP-LAWPACK1</v>
      </c>
      <c r="M3505" s="14"/>
      <c r="N3505" s="15"/>
      <c r="O3505" s="12"/>
      <c r="P3505" s="34"/>
      <c r="Q3505" s="37"/>
      <c r="R3505" s="47"/>
      <c r="S3505" s="46"/>
    </row>
    <row r="3506" spans="1:19" ht="15.6" hidden="1" customHeight="1" thickBot="1" x14ac:dyDescent="0.3">
      <c r="A3506" t="s">
        <v>23</v>
      </c>
      <c r="B3506" s="60" t="str">
        <f t="shared" ref="B3506:B3508" si="2513">IF(K3506=0,"hide","")</f>
        <v>hide</v>
      </c>
      <c r="D3506" s="48" t="str">
        <f>D3505</f>
        <v>46405</v>
      </c>
      <c r="E3506" s="7"/>
      <c r="F3506" s="27">
        <v>0</v>
      </c>
      <c r="G3506" s="27">
        <v>0</v>
      </c>
      <c r="H3506" s="27">
        <v>0</v>
      </c>
      <c r="I3506" s="27">
        <v>0</v>
      </c>
      <c r="J3506" s="27">
        <v>0</v>
      </c>
      <c r="K3506" s="63">
        <f>AVERAGE(I3506:J3506)</f>
        <v>0</v>
      </c>
      <c r="L3506" s="56" t="str">
        <f>"EQP-LAWPACK2"</f>
        <v>EQP-LAWPACK2</v>
      </c>
      <c r="M3506" s="14"/>
      <c r="N3506" s="15"/>
      <c r="O3506" s="12"/>
      <c r="P3506" s="34"/>
      <c r="Q3506" s="37"/>
      <c r="R3506" s="47"/>
      <c r="S3506" s="46"/>
    </row>
    <row r="3507" spans="1:19" ht="15.6" hidden="1" customHeight="1" thickBot="1" x14ac:dyDescent="0.3">
      <c r="A3507" t="s">
        <v>23</v>
      </c>
      <c r="B3507" s="60" t="str">
        <f t="shared" si="2513"/>
        <v>hide</v>
      </c>
      <c r="D3507" s="48" t="str">
        <f>D3506</f>
        <v>46405</v>
      </c>
      <c r="E3507" s="7"/>
      <c r="F3507" s="27">
        <v>0</v>
      </c>
      <c r="G3507" s="27">
        <v>0</v>
      </c>
      <c r="H3507" s="27">
        <v>0</v>
      </c>
      <c r="I3507" s="27">
        <v>0</v>
      </c>
      <c r="J3507" s="27">
        <v>0</v>
      </c>
      <c r="K3507" s="63">
        <f>AVERAGE(I3507:J3507)</f>
        <v>0</v>
      </c>
      <c r="L3507" s="56" t="str">
        <f>"SW-COMAS-PACKL"</f>
        <v>SW-COMAS-PACKL</v>
      </c>
      <c r="M3507" s="14"/>
      <c r="N3507" s="15"/>
      <c r="O3507" s="12"/>
      <c r="P3507" s="34"/>
      <c r="Q3507" s="37"/>
      <c r="R3507" s="47"/>
      <c r="S3507" s="46"/>
    </row>
    <row r="3508" spans="1:19" ht="15.6" hidden="1" customHeight="1" thickBot="1" x14ac:dyDescent="0.3">
      <c r="A3508" t="s">
        <v>23</v>
      </c>
      <c r="B3508" s="60" t="str">
        <f t="shared" si="2513"/>
        <v>hide</v>
      </c>
      <c r="D3508" s="48" t="str">
        <f>D3507</f>
        <v>46405</v>
      </c>
      <c r="E3508" s="7"/>
      <c r="F3508" s="27">
        <v>0</v>
      </c>
      <c r="G3508" s="27">
        <v>0</v>
      </c>
      <c r="H3508" s="27">
        <v>0</v>
      </c>
      <c r="I3508" s="27">
        <v>0</v>
      </c>
      <c r="J3508" s="27">
        <v>0</v>
      </c>
      <c r="K3508" s="63">
        <f>AVERAGE(I3508:J3508)</f>
        <v>0</v>
      </c>
      <c r="L3508" s="56" t="str">
        <f>"SW-RISER-PACK"</f>
        <v>SW-RISER-PACK</v>
      </c>
      <c r="M3508" s="14"/>
      <c r="N3508" s="15"/>
      <c r="O3508" s="12"/>
      <c r="P3508" s="34"/>
      <c r="Q3508" s="37"/>
      <c r="R3508" s="47"/>
      <c r="S3508" s="46"/>
    </row>
    <row r="3509" spans="1:19" ht="12" hidden="1" customHeight="1" x14ac:dyDescent="0.3">
      <c r="A3509" s="35" t="s">
        <v>908</v>
      </c>
      <c r="B3509" s="49" t="str">
        <f>B3505</f>
        <v>hide</v>
      </c>
      <c r="N3509"/>
      <c r="Q3509" s="33"/>
    </row>
    <row r="3510" spans="1:19" ht="13.8" hidden="1" thickBot="1" x14ac:dyDescent="0.3">
      <c r="A3510" t="s">
        <v>23</v>
      </c>
      <c r="B3510" s="49" t="str">
        <f t="shared" ref="B3510" si="2514">B3509</f>
        <v>hide</v>
      </c>
      <c r="D3510" s="58"/>
      <c r="E3510" s="58"/>
      <c r="F3510" s="52">
        <f>SUM(F3505:F3509)</f>
        <v>0</v>
      </c>
      <c r="G3510" s="52">
        <f>SUM(G3505:G3509)</f>
        <v>0</v>
      </c>
      <c r="H3510" s="52">
        <f>SUM(H3505:H3509)</f>
        <v>0</v>
      </c>
      <c r="I3510" s="52">
        <f>SUM(I3505:I3509)</f>
        <v>0</v>
      </c>
      <c r="J3510" s="52">
        <f>SUM(J3505:J3509)</f>
        <v>0</v>
      </c>
      <c r="K3510" s="52"/>
      <c r="L3510" s="51" t="s">
        <v>4</v>
      </c>
      <c r="M3510" s="58"/>
      <c r="N3510" s="58"/>
      <c r="O3510" s="58"/>
      <c r="P3510" s="58"/>
      <c r="Q3510" s="58"/>
      <c r="R3510" s="58"/>
      <c r="S3510" s="58"/>
    </row>
    <row r="3511" spans="1:19" s="59" customFormat="1" ht="18.75" hidden="1" customHeight="1" thickBot="1" x14ac:dyDescent="0.3">
      <c r="A3511" s="59" t="s">
        <v>23</v>
      </c>
      <c r="B3511" s="60" t="str">
        <f t="shared" ref="B3511:B3512" si="2515">IF(K3511=0,"hide","")</f>
        <v>hide</v>
      </c>
      <c r="D3511" s="61" t="str">
        <f>"46406"</f>
        <v>46406</v>
      </c>
      <c r="E3511" s="62" t="str">
        <f>"3"</f>
        <v>3</v>
      </c>
      <c r="F3511" s="63">
        <v>0</v>
      </c>
      <c r="G3511" s="63">
        <v>0</v>
      </c>
      <c r="H3511" s="63">
        <v>67.500000000000014</v>
      </c>
      <c r="I3511" s="63">
        <v>0</v>
      </c>
      <c r="J3511" s="63">
        <v>0</v>
      </c>
      <c r="K3511" s="63">
        <f>AVERAGE(I3511:J3511)</f>
        <v>0</v>
      </c>
      <c r="L3511" s="64" t="str">
        <f>"APPLE CINNAMON MINI MNUFFINS"</f>
        <v>APPLE CINNAMON MINI MNUFFINS</v>
      </c>
      <c r="M3511" s="65" t="str">
        <f>"216-1 oz. 18-12 pack"</f>
        <v>216-1 oz. 18-12 pack</v>
      </c>
      <c r="N3511" s="66">
        <v>216</v>
      </c>
      <c r="O3511" s="67" t="str">
        <f>""</f>
        <v/>
      </c>
      <c r="P3511" s="68" t="e">
        <f>1/O3511</f>
        <v>#VALUE!</v>
      </c>
      <c r="Q3511" s="53">
        <v>1</v>
      </c>
      <c r="R3511" s="69">
        <f t="shared" ref="R3511" si="2516">1/Q3511</f>
        <v>1</v>
      </c>
      <c r="S3511" s="70">
        <f t="shared" ref="S3511" si="2517">R3511*N3511</f>
        <v>216</v>
      </c>
    </row>
    <row r="3512" spans="1:19" ht="15.6" hidden="1" customHeight="1" thickBot="1" x14ac:dyDescent="0.3">
      <c r="A3512" t="s">
        <v>23</v>
      </c>
      <c r="B3512" s="60" t="str">
        <f t="shared" si="2515"/>
        <v>hide</v>
      </c>
      <c r="D3512" s="48" t="str">
        <f>D3511</f>
        <v>46406</v>
      </c>
      <c r="E3512" s="7"/>
      <c r="F3512" s="27">
        <v>0</v>
      </c>
      <c r="G3512" s="27">
        <v>0</v>
      </c>
      <c r="H3512" s="27">
        <v>0</v>
      </c>
      <c r="I3512" s="27">
        <v>0</v>
      </c>
      <c r="J3512" s="27">
        <v>0</v>
      </c>
      <c r="K3512" s="63">
        <f>AVERAGE(I3512:J3512)</f>
        <v>0</v>
      </c>
      <c r="L3512" s="56" t="str">
        <f>"EQP-LAWPACK1"</f>
        <v>EQP-LAWPACK1</v>
      </c>
      <c r="M3512" s="14"/>
      <c r="N3512" s="15"/>
      <c r="O3512" s="12"/>
      <c r="P3512" s="34"/>
      <c r="Q3512" s="37"/>
      <c r="R3512" s="47"/>
      <c r="S3512" s="46"/>
    </row>
    <row r="3513" spans="1:19" ht="15.6" hidden="1" customHeight="1" thickBot="1" x14ac:dyDescent="0.3">
      <c r="A3513" t="s">
        <v>23</v>
      </c>
      <c r="B3513" s="60" t="str">
        <f t="shared" ref="B3513:B3515" si="2518">IF(K3513=0,"hide","")</f>
        <v>hide</v>
      </c>
      <c r="D3513" s="48" t="str">
        <f>D3512</f>
        <v>46406</v>
      </c>
      <c r="E3513" s="7"/>
      <c r="F3513" s="27">
        <v>0</v>
      </c>
      <c r="G3513" s="27">
        <v>0</v>
      </c>
      <c r="H3513" s="27">
        <v>0</v>
      </c>
      <c r="I3513" s="27">
        <v>0</v>
      </c>
      <c r="J3513" s="27">
        <v>0</v>
      </c>
      <c r="K3513" s="63">
        <f>AVERAGE(I3513:J3513)</f>
        <v>0</v>
      </c>
      <c r="L3513" s="56" t="str">
        <f>"EQP-LAWPACK2"</f>
        <v>EQP-LAWPACK2</v>
      </c>
      <c r="M3513" s="14"/>
      <c r="N3513" s="15"/>
      <c r="O3513" s="12"/>
      <c r="P3513" s="34"/>
      <c r="Q3513" s="37"/>
      <c r="R3513" s="47"/>
      <c r="S3513" s="46"/>
    </row>
    <row r="3514" spans="1:19" ht="15.6" hidden="1" customHeight="1" thickBot="1" x14ac:dyDescent="0.3">
      <c r="A3514" t="s">
        <v>23</v>
      </c>
      <c r="B3514" s="60" t="str">
        <f t="shared" si="2518"/>
        <v>hide</v>
      </c>
      <c r="D3514" s="48" t="str">
        <f>D3513</f>
        <v>46406</v>
      </c>
      <c r="E3514" s="7"/>
      <c r="F3514" s="27">
        <v>0</v>
      </c>
      <c r="G3514" s="27">
        <v>0</v>
      </c>
      <c r="H3514" s="27">
        <v>0</v>
      </c>
      <c r="I3514" s="27">
        <v>0</v>
      </c>
      <c r="J3514" s="27">
        <v>0</v>
      </c>
      <c r="K3514" s="63">
        <f>AVERAGE(I3514:J3514)</f>
        <v>0</v>
      </c>
      <c r="L3514" s="56" t="str">
        <f>"SW-COMAS-PACKL"</f>
        <v>SW-COMAS-PACKL</v>
      </c>
      <c r="M3514" s="14"/>
      <c r="N3514" s="15"/>
      <c r="O3514" s="12"/>
      <c r="P3514" s="34"/>
      <c r="Q3514" s="37"/>
      <c r="R3514" s="47"/>
      <c r="S3514" s="46"/>
    </row>
    <row r="3515" spans="1:19" ht="15.6" hidden="1" customHeight="1" thickBot="1" x14ac:dyDescent="0.3">
      <c r="A3515" t="s">
        <v>23</v>
      </c>
      <c r="B3515" s="60" t="str">
        <f t="shared" si="2518"/>
        <v>hide</v>
      </c>
      <c r="D3515" s="48" t="str">
        <f>D3514</f>
        <v>46406</v>
      </c>
      <c r="E3515" s="7"/>
      <c r="F3515" s="27">
        <v>0</v>
      </c>
      <c r="G3515" s="27">
        <v>0</v>
      </c>
      <c r="H3515" s="27">
        <v>0</v>
      </c>
      <c r="I3515" s="27">
        <v>0</v>
      </c>
      <c r="J3515" s="27">
        <v>0</v>
      </c>
      <c r="K3515" s="63">
        <f>AVERAGE(I3515:J3515)</f>
        <v>0</v>
      </c>
      <c r="L3515" s="56" t="str">
        <f>"SW-RISER-PACK"</f>
        <v>SW-RISER-PACK</v>
      </c>
      <c r="M3515" s="14"/>
      <c r="N3515" s="15"/>
      <c r="O3515" s="12"/>
      <c r="P3515" s="34"/>
      <c r="Q3515" s="37"/>
      <c r="R3515" s="47"/>
      <c r="S3515" s="46"/>
    </row>
    <row r="3516" spans="1:19" ht="12" hidden="1" customHeight="1" x14ac:dyDescent="0.3">
      <c r="A3516" s="35" t="s">
        <v>908</v>
      </c>
      <c r="B3516" s="49" t="str">
        <f>B3512</f>
        <v>hide</v>
      </c>
      <c r="N3516"/>
      <c r="Q3516" s="33"/>
    </row>
    <row r="3517" spans="1:19" ht="13.8" hidden="1" thickBot="1" x14ac:dyDescent="0.3">
      <c r="A3517" t="s">
        <v>23</v>
      </c>
      <c r="B3517" s="49" t="str">
        <f t="shared" ref="B3517" si="2519">B3516</f>
        <v>hide</v>
      </c>
      <c r="D3517" s="58"/>
      <c r="E3517" s="58"/>
      <c r="F3517" s="52">
        <f>SUM(F3512:F3516)</f>
        <v>0</v>
      </c>
      <c r="G3517" s="52">
        <f>SUM(G3512:G3516)</f>
        <v>0</v>
      </c>
      <c r="H3517" s="52">
        <f>SUM(H3512:H3516)</f>
        <v>0</v>
      </c>
      <c r="I3517" s="52">
        <f>SUM(I3512:I3516)</f>
        <v>0</v>
      </c>
      <c r="J3517" s="52">
        <f>SUM(J3512:J3516)</f>
        <v>0</v>
      </c>
      <c r="K3517" s="52"/>
      <c r="L3517" s="51" t="s">
        <v>4</v>
      </c>
      <c r="M3517" s="58"/>
      <c r="N3517" s="58"/>
      <c r="O3517" s="58"/>
      <c r="P3517" s="58"/>
      <c r="Q3517" s="58"/>
      <c r="R3517" s="58"/>
      <c r="S3517" s="58"/>
    </row>
    <row r="3518" spans="1:19" s="59" customFormat="1" ht="18.75" hidden="1" customHeight="1" thickBot="1" x14ac:dyDescent="0.3">
      <c r="A3518" s="59" t="s">
        <v>23</v>
      </c>
      <c r="B3518" s="60" t="str">
        <f t="shared" ref="B3518:B3519" si="2520">IF(K3518=0,"hide","")</f>
        <v>hide</v>
      </c>
      <c r="D3518" s="61" t="str">
        <f>"46409"</f>
        <v>46409</v>
      </c>
      <c r="E3518" s="62" t="str">
        <f>"6"</f>
        <v>6</v>
      </c>
      <c r="F3518" s="63">
        <v>0</v>
      </c>
      <c r="G3518" s="63">
        <v>0</v>
      </c>
      <c r="H3518" s="63">
        <v>0</v>
      </c>
      <c r="I3518" s="63">
        <v>0</v>
      </c>
      <c r="J3518" s="63">
        <v>0</v>
      </c>
      <c r="K3518" s="63">
        <f>AVERAGE(I3518:J3518)</f>
        <v>0</v>
      </c>
      <c r="L3518" s="64" t="str">
        <f>"RAISIN BRAN MUFFINS"</f>
        <v>RAISIN BRAN MUFFINS</v>
      </c>
      <c r="M3518" s="65" t="str">
        <f>"216-1 oz. 18-12 pack"</f>
        <v>216-1 oz. 18-12 pack</v>
      </c>
      <c r="N3518" s="66">
        <v>216</v>
      </c>
      <c r="O3518" s="67" t="str">
        <f>""</f>
        <v/>
      </c>
      <c r="P3518" s="68" t="e">
        <f>1/O3518</f>
        <v>#VALUE!</v>
      </c>
      <c r="Q3518" s="53">
        <v>1</v>
      </c>
      <c r="R3518" s="69">
        <f t="shared" ref="R3518" si="2521">1/Q3518</f>
        <v>1</v>
      </c>
      <c r="S3518" s="70">
        <f t="shared" ref="S3518" si="2522">R3518*N3518</f>
        <v>216</v>
      </c>
    </row>
    <row r="3519" spans="1:19" ht="15.6" hidden="1" customHeight="1" thickBot="1" x14ac:dyDescent="0.3">
      <c r="A3519" t="s">
        <v>23</v>
      </c>
      <c r="B3519" s="60" t="str">
        <f t="shared" si="2520"/>
        <v>hide</v>
      </c>
      <c r="D3519" s="48" t="str">
        <f>D3518</f>
        <v>46409</v>
      </c>
      <c r="E3519" s="7"/>
      <c r="F3519" s="27">
        <v>0</v>
      </c>
      <c r="G3519" s="27">
        <v>0</v>
      </c>
      <c r="H3519" s="27">
        <v>0</v>
      </c>
      <c r="I3519" s="27">
        <v>0</v>
      </c>
      <c r="J3519" s="27">
        <v>0</v>
      </c>
      <c r="K3519" s="63">
        <f>AVERAGE(I3519:J3519)</f>
        <v>0</v>
      </c>
      <c r="L3519" s="56" t="str">
        <f>"EQP-LAWPACK1"</f>
        <v>EQP-LAWPACK1</v>
      </c>
      <c r="M3519" s="14"/>
      <c r="N3519" s="15"/>
      <c r="O3519" s="12"/>
      <c r="P3519" s="34"/>
      <c r="Q3519" s="37"/>
      <c r="R3519" s="47"/>
      <c r="S3519" s="46"/>
    </row>
    <row r="3520" spans="1:19" ht="15.6" hidden="1" customHeight="1" thickBot="1" x14ac:dyDescent="0.3">
      <c r="A3520" t="s">
        <v>23</v>
      </c>
      <c r="B3520" s="60" t="str">
        <f t="shared" ref="B3520:B3522" si="2523">IF(K3520=0,"hide","")</f>
        <v>hide</v>
      </c>
      <c r="D3520" s="48" t="str">
        <f>D3519</f>
        <v>46409</v>
      </c>
      <c r="E3520" s="7"/>
      <c r="F3520" s="27">
        <v>0</v>
      </c>
      <c r="G3520" s="27">
        <v>0</v>
      </c>
      <c r="H3520" s="27">
        <v>0</v>
      </c>
      <c r="I3520" s="27">
        <v>0</v>
      </c>
      <c r="J3520" s="27">
        <v>0</v>
      </c>
      <c r="K3520" s="63">
        <f>AVERAGE(I3520:J3520)</f>
        <v>0</v>
      </c>
      <c r="L3520" s="56" t="str">
        <f>"EQP-LAWPACK2"</f>
        <v>EQP-LAWPACK2</v>
      </c>
      <c r="M3520" s="14"/>
      <c r="N3520" s="15"/>
      <c r="O3520" s="12"/>
      <c r="P3520" s="34"/>
      <c r="Q3520" s="37"/>
      <c r="R3520" s="47"/>
      <c r="S3520" s="46"/>
    </row>
    <row r="3521" spans="1:19" ht="15.6" hidden="1" customHeight="1" thickBot="1" x14ac:dyDescent="0.3">
      <c r="A3521" t="s">
        <v>23</v>
      </c>
      <c r="B3521" s="60" t="str">
        <f t="shared" si="2523"/>
        <v>hide</v>
      </c>
      <c r="D3521" s="48" t="str">
        <f>D3520</f>
        <v>46409</v>
      </c>
      <c r="E3521" s="7"/>
      <c r="F3521" s="27">
        <v>0</v>
      </c>
      <c r="G3521" s="27">
        <v>0</v>
      </c>
      <c r="H3521" s="27">
        <v>0</v>
      </c>
      <c r="I3521" s="27">
        <v>0</v>
      </c>
      <c r="J3521" s="27">
        <v>0</v>
      </c>
      <c r="K3521" s="63">
        <f>AVERAGE(I3521:J3521)</f>
        <v>0</v>
      </c>
      <c r="L3521" s="56" t="str">
        <f>"SW-COMAS-PACKL"</f>
        <v>SW-COMAS-PACKL</v>
      </c>
      <c r="M3521" s="14"/>
      <c r="N3521" s="15"/>
      <c r="O3521" s="12"/>
      <c r="P3521" s="34"/>
      <c r="Q3521" s="37"/>
      <c r="R3521" s="47"/>
      <c r="S3521" s="46"/>
    </row>
    <row r="3522" spans="1:19" ht="15.6" hidden="1" customHeight="1" thickBot="1" x14ac:dyDescent="0.3">
      <c r="A3522" t="s">
        <v>23</v>
      </c>
      <c r="B3522" s="60" t="str">
        <f t="shared" si="2523"/>
        <v>hide</v>
      </c>
      <c r="D3522" s="48" t="str">
        <f>D3521</f>
        <v>46409</v>
      </c>
      <c r="E3522" s="7"/>
      <c r="F3522" s="27">
        <v>0</v>
      </c>
      <c r="G3522" s="27">
        <v>0</v>
      </c>
      <c r="H3522" s="27">
        <v>0</v>
      </c>
      <c r="I3522" s="27">
        <v>0</v>
      </c>
      <c r="J3522" s="27">
        <v>0</v>
      </c>
      <c r="K3522" s="63">
        <f>AVERAGE(I3522:J3522)</f>
        <v>0</v>
      </c>
      <c r="L3522" s="56" t="str">
        <f>"SW-RISER-PACK"</f>
        <v>SW-RISER-PACK</v>
      </c>
      <c r="M3522" s="14"/>
      <c r="N3522" s="15"/>
      <c r="O3522" s="12"/>
      <c r="P3522" s="34"/>
      <c r="Q3522" s="37"/>
      <c r="R3522" s="47"/>
      <c r="S3522" s="46"/>
    </row>
    <row r="3523" spans="1:19" ht="12" hidden="1" customHeight="1" x14ac:dyDescent="0.3">
      <c r="A3523" s="35" t="s">
        <v>908</v>
      </c>
      <c r="B3523" s="49" t="str">
        <f>B3519</f>
        <v>hide</v>
      </c>
      <c r="N3523"/>
      <c r="Q3523" s="33"/>
    </row>
    <row r="3524" spans="1:19" ht="13.8" hidden="1" thickBot="1" x14ac:dyDescent="0.3">
      <c r="A3524" t="s">
        <v>23</v>
      </c>
      <c r="B3524" s="49" t="str">
        <f t="shared" ref="B3524" si="2524">B3523</f>
        <v>hide</v>
      </c>
      <c r="D3524" s="58"/>
      <c r="E3524" s="58"/>
      <c r="F3524" s="52">
        <f>SUM(F3519:F3523)</f>
        <v>0</v>
      </c>
      <c r="G3524" s="52">
        <f>SUM(G3519:G3523)</f>
        <v>0</v>
      </c>
      <c r="H3524" s="52">
        <f>SUM(H3519:H3523)</f>
        <v>0</v>
      </c>
      <c r="I3524" s="52">
        <f>SUM(I3519:I3523)</f>
        <v>0</v>
      </c>
      <c r="J3524" s="52">
        <f>SUM(J3519:J3523)</f>
        <v>0</v>
      </c>
      <c r="K3524" s="52"/>
      <c r="L3524" s="51" t="s">
        <v>4</v>
      </c>
      <c r="M3524" s="58"/>
      <c r="N3524" s="58"/>
      <c r="O3524" s="58"/>
      <c r="P3524" s="58"/>
      <c r="Q3524" s="58"/>
      <c r="R3524" s="58"/>
      <c r="S3524" s="58"/>
    </row>
    <row r="3525" spans="1:19" s="59" customFormat="1" ht="18.75" customHeight="1" thickBot="1" x14ac:dyDescent="0.3">
      <c r="A3525" s="59" t="s">
        <v>23</v>
      </c>
      <c r="B3525" s="60" t="str">
        <f t="shared" ref="B3525:B3526" si="2525">IF(K3525=0,"hide","")</f>
        <v/>
      </c>
      <c r="D3525" s="61" t="str">
        <f>"46410"</f>
        <v>46410</v>
      </c>
      <c r="E3525" s="62" t="str">
        <f>"7"</f>
        <v>7</v>
      </c>
      <c r="F3525" s="63">
        <v>644.16666666666663</v>
      </c>
      <c r="G3525" s="63">
        <v>627.58333333333337</v>
      </c>
      <c r="H3525" s="63">
        <v>998.58333333333337</v>
      </c>
      <c r="I3525" s="63">
        <v>1180.25</v>
      </c>
      <c r="J3525" s="63">
        <v>938.12795180722901</v>
      </c>
      <c r="K3525" s="63">
        <f>AVERAGE(I3525:J3525)</f>
        <v>1059.1889759036144</v>
      </c>
      <c r="L3525" s="64" t="str">
        <f>"CHOCOLATE CHIP MUFFINS"</f>
        <v>CHOCOLATE CHIP MUFFINS</v>
      </c>
      <c r="M3525" s="65" t="str">
        <f>"216-1 oz. 18-12 pack"</f>
        <v>216-1 oz. 18-12 pack</v>
      </c>
      <c r="N3525" s="66">
        <v>216</v>
      </c>
      <c r="O3525" s="67" t="str">
        <f>""</f>
        <v/>
      </c>
      <c r="P3525" s="68" t="e">
        <f>1/O3525</f>
        <v>#VALUE!</v>
      </c>
      <c r="Q3525" s="53">
        <v>1</v>
      </c>
      <c r="R3525" s="69">
        <f t="shared" ref="R3525" si="2526">1/Q3525</f>
        <v>1</v>
      </c>
      <c r="S3525" s="70">
        <f t="shared" ref="S3525" si="2527">R3525*N3525</f>
        <v>216</v>
      </c>
    </row>
    <row r="3526" spans="1:19" ht="15.6" hidden="1" customHeight="1" thickBot="1" x14ac:dyDescent="0.3">
      <c r="A3526" t="s">
        <v>23</v>
      </c>
      <c r="B3526" s="60" t="str">
        <f t="shared" si="2525"/>
        <v>hide</v>
      </c>
      <c r="D3526" s="48" t="str">
        <f>D3525</f>
        <v>46410</v>
      </c>
      <c r="E3526" s="7"/>
      <c r="F3526" s="27">
        <v>0</v>
      </c>
      <c r="G3526" s="27">
        <v>0</v>
      </c>
      <c r="H3526" s="27">
        <v>0</v>
      </c>
      <c r="I3526" s="27">
        <v>0</v>
      </c>
      <c r="J3526" s="27">
        <v>0</v>
      </c>
      <c r="K3526" s="63">
        <f>AVERAGE(I3526:J3526)</f>
        <v>0</v>
      </c>
      <c r="L3526" s="56" t="str">
        <f>"EQP-LAWPACK1"</f>
        <v>EQP-LAWPACK1</v>
      </c>
      <c r="M3526" s="14"/>
      <c r="N3526" s="15"/>
      <c r="O3526" s="12"/>
      <c r="P3526" s="34"/>
      <c r="Q3526" s="37"/>
      <c r="R3526" s="47"/>
      <c r="S3526" s="46"/>
    </row>
    <row r="3527" spans="1:19" ht="15.6" hidden="1" customHeight="1" thickBot="1" x14ac:dyDescent="0.3">
      <c r="A3527" t="s">
        <v>23</v>
      </c>
      <c r="B3527" s="60" t="str">
        <f t="shared" ref="B3527:B3529" si="2528">IF(K3527=0,"hide","")</f>
        <v>hide</v>
      </c>
      <c r="D3527" s="48" t="str">
        <f>D3526</f>
        <v>46410</v>
      </c>
      <c r="E3527" s="7"/>
      <c r="F3527" s="27">
        <v>0</v>
      </c>
      <c r="G3527" s="27">
        <v>0</v>
      </c>
      <c r="H3527" s="27">
        <v>0</v>
      </c>
      <c r="I3527" s="27">
        <v>0</v>
      </c>
      <c r="J3527" s="27">
        <v>0</v>
      </c>
      <c r="K3527" s="63">
        <f>AVERAGE(I3527:J3527)</f>
        <v>0</v>
      </c>
      <c r="L3527" s="56" t="str">
        <f>"EQP-LAWPACK2"</f>
        <v>EQP-LAWPACK2</v>
      </c>
      <c r="M3527" s="14"/>
      <c r="N3527" s="15"/>
      <c r="O3527" s="12"/>
      <c r="P3527" s="34"/>
      <c r="Q3527" s="37"/>
      <c r="R3527" s="47"/>
      <c r="S3527" s="46"/>
    </row>
    <row r="3528" spans="1:19" ht="15.6" hidden="1" customHeight="1" thickBot="1" x14ac:dyDescent="0.3">
      <c r="A3528" t="s">
        <v>23</v>
      </c>
      <c r="B3528" s="60" t="str">
        <f t="shared" si="2528"/>
        <v>hide</v>
      </c>
      <c r="D3528" s="48" t="str">
        <f>D3527</f>
        <v>46410</v>
      </c>
      <c r="E3528" s="7"/>
      <c r="F3528" s="27">
        <v>0</v>
      </c>
      <c r="G3528" s="27">
        <v>0</v>
      </c>
      <c r="H3528" s="27">
        <v>0</v>
      </c>
      <c r="I3528" s="27">
        <v>0</v>
      </c>
      <c r="J3528" s="27">
        <v>0</v>
      </c>
      <c r="K3528" s="63">
        <f>AVERAGE(I3528:J3528)</f>
        <v>0</v>
      </c>
      <c r="L3528" s="56" t="str">
        <f>"SW-COMAS-PACKL"</f>
        <v>SW-COMAS-PACKL</v>
      </c>
      <c r="M3528" s="14"/>
      <c r="N3528" s="15"/>
      <c r="O3528" s="12"/>
      <c r="P3528" s="34"/>
      <c r="Q3528" s="37"/>
      <c r="R3528" s="47"/>
      <c r="S3528" s="46"/>
    </row>
    <row r="3529" spans="1:19" ht="15.6" hidden="1" customHeight="1" thickBot="1" x14ac:dyDescent="0.3">
      <c r="A3529" t="s">
        <v>23</v>
      </c>
      <c r="B3529" s="60" t="str">
        <f t="shared" si="2528"/>
        <v>hide</v>
      </c>
      <c r="D3529" s="48" t="str">
        <f>D3528</f>
        <v>46410</v>
      </c>
      <c r="E3529" s="7"/>
      <c r="F3529" s="27">
        <v>0</v>
      </c>
      <c r="G3529" s="27">
        <v>0</v>
      </c>
      <c r="H3529" s="27">
        <v>0</v>
      </c>
      <c r="I3529" s="27">
        <v>0</v>
      </c>
      <c r="J3529" s="27">
        <v>0</v>
      </c>
      <c r="K3529" s="63">
        <f>AVERAGE(I3529:J3529)</f>
        <v>0</v>
      </c>
      <c r="L3529" s="56" t="str">
        <f>"SW-RISER-PACK"</f>
        <v>SW-RISER-PACK</v>
      </c>
      <c r="M3529" s="14"/>
      <c r="N3529" s="15"/>
      <c r="O3529" s="12"/>
      <c r="P3529" s="34"/>
      <c r="Q3529" s="37"/>
      <c r="R3529" s="47"/>
      <c r="S3529" s="46"/>
    </row>
    <row r="3530" spans="1:19" ht="12" hidden="1" customHeight="1" x14ac:dyDescent="0.3">
      <c r="A3530" s="35" t="s">
        <v>908</v>
      </c>
      <c r="B3530" s="49" t="str">
        <f>B3526</f>
        <v>hide</v>
      </c>
      <c r="N3530"/>
      <c r="Q3530" s="33"/>
    </row>
    <row r="3531" spans="1:19" ht="13.8" hidden="1" thickBot="1" x14ac:dyDescent="0.3">
      <c r="A3531" t="s">
        <v>23</v>
      </c>
      <c r="B3531" s="49" t="str">
        <f t="shared" ref="B3531" si="2529">B3530</f>
        <v>hide</v>
      </c>
      <c r="D3531" s="58"/>
      <c r="E3531" s="58"/>
      <c r="F3531" s="52">
        <f>SUM(F3526:F3530)</f>
        <v>0</v>
      </c>
      <c r="G3531" s="52">
        <f>SUM(G3526:G3530)</f>
        <v>0</v>
      </c>
      <c r="H3531" s="52">
        <f>SUM(H3526:H3530)</f>
        <v>0</v>
      </c>
      <c r="I3531" s="52">
        <f>SUM(I3526:I3530)</f>
        <v>0</v>
      </c>
      <c r="J3531" s="52">
        <f>SUM(J3526:J3530)</f>
        <v>0</v>
      </c>
      <c r="K3531" s="52"/>
      <c r="L3531" s="51" t="s">
        <v>4</v>
      </c>
      <c r="M3531" s="58"/>
      <c r="N3531" s="58"/>
      <c r="O3531" s="58"/>
      <c r="P3531" s="58"/>
      <c r="Q3531" s="58"/>
      <c r="R3531" s="58"/>
      <c r="S3531" s="58"/>
    </row>
    <row r="3532" spans="1:19" s="59" customFormat="1" ht="18.75" customHeight="1" thickBot="1" x14ac:dyDescent="0.3">
      <c r="A3532" s="59" t="s">
        <v>23</v>
      </c>
      <c r="B3532" s="60" t="str">
        <f t="shared" ref="B3532:B3533" si="2530">IF(K3532=0,"hide","")</f>
        <v/>
      </c>
      <c r="D3532" s="61" t="str">
        <f>"46422"</f>
        <v>46422</v>
      </c>
      <c r="E3532" s="62" t="str">
        <f>"7"</f>
        <v>7</v>
      </c>
      <c r="F3532" s="63">
        <v>162.75000000000003</v>
      </c>
      <c r="G3532" s="63">
        <v>162.75000000000003</v>
      </c>
      <c r="H3532" s="63">
        <v>235.33333333333334</v>
      </c>
      <c r="I3532" s="63">
        <v>183.08333333333334</v>
      </c>
      <c r="J3532" s="63">
        <v>154.2520481927711</v>
      </c>
      <c r="K3532" s="63">
        <f>AVERAGE(I3532:J3532)</f>
        <v>168.66769076305224</v>
      </c>
      <c r="L3532" s="64" t="str">
        <f>"LEMON POPPY MUFFINS"</f>
        <v>LEMON POPPY MUFFINS</v>
      </c>
      <c r="M3532" s="65" t="str">
        <f>"216-1 oz. 18-12 pack"</f>
        <v>216-1 oz. 18-12 pack</v>
      </c>
      <c r="N3532" s="66">
        <v>216</v>
      </c>
      <c r="O3532" s="67" t="str">
        <f>""</f>
        <v/>
      </c>
      <c r="P3532" s="68" t="e">
        <f>1/O3532</f>
        <v>#VALUE!</v>
      </c>
      <c r="Q3532" s="53">
        <v>1</v>
      </c>
      <c r="R3532" s="69">
        <f t="shared" ref="R3532" si="2531">1/Q3532</f>
        <v>1</v>
      </c>
      <c r="S3532" s="70">
        <f t="shared" ref="S3532" si="2532">R3532*N3532</f>
        <v>216</v>
      </c>
    </row>
    <row r="3533" spans="1:19" ht="15.6" hidden="1" customHeight="1" thickBot="1" x14ac:dyDescent="0.3">
      <c r="A3533" t="s">
        <v>23</v>
      </c>
      <c r="B3533" s="60" t="str">
        <f t="shared" si="2530"/>
        <v>hide</v>
      </c>
      <c r="D3533" s="48" t="str">
        <f>D3532</f>
        <v>46422</v>
      </c>
      <c r="E3533" s="7"/>
      <c r="F3533" s="27">
        <v>0</v>
      </c>
      <c r="G3533" s="27">
        <v>0</v>
      </c>
      <c r="H3533" s="27">
        <v>0</v>
      </c>
      <c r="I3533" s="27">
        <v>0</v>
      </c>
      <c r="J3533" s="27">
        <v>0</v>
      </c>
      <c r="K3533" s="63">
        <f>AVERAGE(I3533:J3533)</f>
        <v>0</v>
      </c>
      <c r="L3533" s="56" t="str">
        <f>"EQP-LAWPACK1"</f>
        <v>EQP-LAWPACK1</v>
      </c>
      <c r="M3533" s="14"/>
      <c r="N3533" s="15"/>
      <c r="O3533" s="12"/>
      <c r="P3533" s="34"/>
      <c r="Q3533" s="37"/>
      <c r="R3533" s="47"/>
      <c r="S3533" s="46"/>
    </row>
    <row r="3534" spans="1:19" ht="15.6" hidden="1" customHeight="1" thickBot="1" x14ac:dyDescent="0.3">
      <c r="A3534" t="s">
        <v>23</v>
      </c>
      <c r="B3534" s="60" t="str">
        <f t="shared" ref="B3534:B3536" si="2533">IF(K3534=0,"hide","")</f>
        <v>hide</v>
      </c>
      <c r="D3534" s="48" t="str">
        <f>D3533</f>
        <v>46422</v>
      </c>
      <c r="E3534" s="7"/>
      <c r="F3534" s="27">
        <v>0</v>
      </c>
      <c r="G3534" s="27">
        <v>0</v>
      </c>
      <c r="H3534" s="27">
        <v>0</v>
      </c>
      <c r="I3534" s="27">
        <v>0</v>
      </c>
      <c r="J3534" s="27">
        <v>0</v>
      </c>
      <c r="K3534" s="63">
        <f>AVERAGE(I3534:J3534)</f>
        <v>0</v>
      </c>
      <c r="L3534" s="56" t="str">
        <f>"EQP-LAWPACK2"</f>
        <v>EQP-LAWPACK2</v>
      </c>
      <c r="M3534" s="14"/>
      <c r="N3534" s="15"/>
      <c r="O3534" s="12"/>
      <c r="P3534" s="34"/>
      <c r="Q3534" s="37"/>
      <c r="R3534" s="47"/>
      <c r="S3534" s="46"/>
    </row>
    <row r="3535" spans="1:19" ht="15.6" hidden="1" customHeight="1" thickBot="1" x14ac:dyDescent="0.3">
      <c r="A3535" t="s">
        <v>23</v>
      </c>
      <c r="B3535" s="60" t="str">
        <f t="shared" si="2533"/>
        <v>hide</v>
      </c>
      <c r="D3535" s="48" t="str">
        <f>D3534</f>
        <v>46422</v>
      </c>
      <c r="E3535" s="7"/>
      <c r="F3535" s="27">
        <v>0</v>
      </c>
      <c r="G3535" s="27">
        <v>0</v>
      </c>
      <c r="H3535" s="27">
        <v>0</v>
      </c>
      <c r="I3535" s="27">
        <v>0</v>
      </c>
      <c r="J3535" s="27">
        <v>0</v>
      </c>
      <c r="K3535" s="63">
        <f>AVERAGE(I3535:J3535)</f>
        <v>0</v>
      </c>
      <c r="L3535" s="56" t="str">
        <f>"SW-COMAS-PACKL"</f>
        <v>SW-COMAS-PACKL</v>
      </c>
      <c r="M3535" s="14"/>
      <c r="N3535" s="15"/>
      <c r="O3535" s="12"/>
      <c r="P3535" s="34"/>
      <c r="Q3535" s="37"/>
      <c r="R3535" s="47"/>
      <c r="S3535" s="46"/>
    </row>
    <row r="3536" spans="1:19" ht="15.6" hidden="1" customHeight="1" thickBot="1" x14ac:dyDescent="0.3">
      <c r="A3536" t="s">
        <v>23</v>
      </c>
      <c r="B3536" s="60" t="str">
        <f t="shared" si="2533"/>
        <v>hide</v>
      </c>
      <c r="D3536" s="48" t="str">
        <f>D3535</f>
        <v>46422</v>
      </c>
      <c r="E3536" s="7"/>
      <c r="F3536" s="27">
        <v>0</v>
      </c>
      <c r="G3536" s="27">
        <v>0</v>
      </c>
      <c r="H3536" s="27">
        <v>0</v>
      </c>
      <c r="I3536" s="27">
        <v>0</v>
      </c>
      <c r="J3536" s="27">
        <v>0</v>
      </c>
      <c r="K3536" s="63">
        <f>AVERAGE(I3536:J3536)</f>
        <v>0</v>
      </c>
      <c r="L3536" s="56" t="str">
        <f>"SW-RISER-PACK"</f>
        <v>SW-RISER-PACK</v>
      </c>
      <c r="M3536" s="14"/>
      <c r="N3536" s="15"/>
      <c r="O3536" s="12"/>
      <c r="P3536" s="34"/>
      <c r="Q3536" s="37"/>
      <c r="R3536" s="47"/>
      <c r="S3536" s="46"/>
    </row>
    <row r="3537" spans="1:19" ht="12" hidden="1" customHeight="1" x14ac:dyDescent="0.3">
      <c r="A3537" s="35" t="s">
        <v>908</v>
      </c>
      <c r="B3537" s="49" t="str">
        <f>B3533</f>
        <v>hide</v>
      </c>
      <c r="N3537"/>
      <c r="Q3537" s="33"/>
    </row>
    <row r="3538" spans="1:19" ht="13.8" hidden="1" thickBot="1" x14ac:dyDescent="0.3">
      <c r="A3538" t="s">
        <v>23</v>
      </c>
      <c r="B3538" s="49" t="str">
        <f t="shared" ref="B3538" si="2534">B3537</f>
        <v>hide</v>
      </c>
      <c r="D3538" s="58"/>
      <c r="E3538" s="58"/>
      <c r="F3538" s="52">
        <f>SUM(F3533:F3537)</f>
        <v>0</v>
      </c>
      <c r="G3538" s="52">
        <f>SUM(G3533:G3537)</f>
        <v>0</v>
      </c>
      <c r="H3538" s="52">
        <f>SUM(H3533:H3537)</f>
        <v>0</v>
      </c>
      <c r="I3538" s="52">
        <f>SUM(I3533:I3537)</f>
        <v>0</v>
      </c>
      <c r="J3538" s="52">
        <f>SUM(J3533:J3537)</f>
        <v>0</v>
      </c>
      <c r="K3538" s="52"/>
      <c r="L3538" s="51" t="s">
        <v>4</v>
      </c>
      <c r="M3538" s="58"/>
      <c r="N3538" s="58"/>
      <c r="O3538" s="58"/>
      <c r="P3538" s="58"/>
      <c r="Q3538" s="58"/>
      <c r="R3538" s="58"/>
      <c r="S3538" s="58"/>
    </row>
    <row r="3539" spans="1:19" s="59" customFormat="1" ht="18.75" hidden="1" customHeight="1" thickBot="1" x14ac:dyDescent="0.3">
      <c r="A3539" s="59" t="s">
        <v>23</v>
      </c>
      <c r="B3539" s="60" t="str">
        <f t="shared" ref="B3539:B3540" si="2535">IF(K3539=0,"hide","")</f>
        <v>hide</v>
      </c>
      <c r="D3539" s="61" t="str">
        <f>"46444"</f>
        <v>46444</v>
      </c>
      <c r="E3539" s="62" t="str">
        <f>"5"</f>
        <v>5</v>
      </c>
      <c r="F3539" s="63">
        <v>0</v>
      </c>
      <c r="G3539" s="63">
        <v>0</v>
      </c>
      <c r="H3539" s="63">
        <v>0</v>
      </c>
      <c r="I3539" s="63">
        <v>0</v>
      </c>
      <c r="J3539" s="63">
        <v>0</v>
      </c>
      <c r="K3539" s="63">
        <f>AVERAGE(I3539:J3539)</f>
        <v>0</v>
      </c>
      <c r="L3539" s="64" t="str">
        <f>"GINGERBREAD MUFFINS"</f>
        <v>GINGERBREAD MUFFINS</v>
      </c>
      <c r="M3539" s="65" t="str">
        <f>"216-1 oz. 18-12 pack"</f>
        <v>216-1 oz. 18-12 pack</v>
      </c>
      <c r="N3539" s="66">
        <v>216</v>
      </c>
      <c r="O3539" s="67" t="str">
        <f>""</f>
        <v/>
      </c>
      <c r="P3539" s="68" t="e">
        <f>1/O3539</f>
        <v>#VALUE!</v>
      </c>
      <c r="Q3539" s="53">
        <v>1</v>
      </c>
      <c r="R3539" s="69">
        <f t="shared" ref="R3539" si="2536">1/Q3539</f>
        <v>1</v>
      </c>
      <c r="S3539" s="70">
        <f t="shared" ref="S3539" si="2537">R3539*N3539</f>
        <v>216</v>
      </c>
    </row>
    <row r="3540" spans="1:19" ht="15.6" hidden="1" customHeight="1" thickBot="1" x14ac:dyDescent="0.3">
      <c r="A3540" t="s">
        <v>23</v>
      </c>
      <c r="B3540" s="60" t="str">
        <f t="shared" si="2535"/>
        <v>hide</v>
      </c>
      <c r="D3540" s="48" t="str">
        <f>D3539</f>
        <v>46444</v>
      </c>
      <c r="E3540" s="7"/>
      <c r="F3540" s="27">
        <v>0</v>
      </c>
      <c r="G3540" s="27">
        <v>0</v>
      </c>
      <c r="H3540" s="27">
        <v>0</v>
      </c>
      <c r="I3540" s="27">
        <v>0</v>
      </c>
      <c r="J3540" s="27">
        <v>0</v>
      </c>
      <c r="K3540" s="63">
        <f>AVERAGE(I3540:J3540)</f>
        <v>0</v>
      </c>
      <c r="L3540" s="56" t="str">
        <f>"EQP-LAWPACK1"</f>
        <v>EQP-LAWPACK1</v>
      </c>
      <c r="M3540" s="14"/>
      <c r="N3540" s="15"/>
      <c r="O3540" s="12"/>
      <c r="P3540" s="34"/>
      <c r="Q3540" s="37"/>
      <c r="R3540" s="47"/>
      <c r="S3540" s="46"/>
    </row>
    <row r="3541" spans="1:19" ht="15.6" hidden="1" customHeight="1" thickBot="1" x14ac:dyDescent="0.3">
      <c r="A3541" t="s">
        <v>23</v>
      </c>
      <c r="B3541" s="60" t="str">
        <f t="shared" ref="B3541:B3543" si="2538">IF(K3541=0,"hide","")</f>
        <v>hide</v>
      </c>
      <c r="D3541" s="48" t="str">
        <f>D3540</f>
        <v>46444</v>
      </c>
      <c r="E3541" s="7"/>
      <c r="F3541" s="27">
        <v>0</v>
      </c>
      <c r="G3541" s="27">
        <v>0</v>
      </c>
      <c r="H3541" s="27">
        <v>0</v>
      </c>
      <c r="I3541" s="27">
        <v>0</v>
      </c>
      <c r="J3541" s="27">
        <v>0</v>
      </c>
      <c r="K3541" s="63">
        <f>AVERAGE(I3541:J3541)</f>
        <v>0</v>
      </c>
      <c r="L3541" s="56" t="str">
        <f>"EQP-LAWPACK2"</f>
        <v>EQP-LAWPACK2</v>
      </c>
      <c r="M3541" s="14"/>
      <c r="N3541" s="15"/>
      <c r="O3541" s="12"/>
      <c r="P3541" s="34"/>
      <c r="Q3541" s="37"/>
      <c r="R3541" s="47"/>
      <c r="S3541" s="46"/>
    </row>
    <row r="3542" spans="1:19" ht="15.6" hidden="1" customHeight="1" thickBot="1" x14ac:dyDescent="0.3">
      <c r="A3542" t="s">
        <v>23</v>
      </c>
      <c r="B3542" s="60" t="str">
        <f t="shared" si="2538"/>
        <v>hide</v>
      </c>
      <c r="D3542" s="48" t="str">
        <f>D3541</f>
        <v>46444</v>
      </c>
      <c r="E3542" s="7"/>
      <c r="F3542" s="27">
        <v>0</v>
      </c>
      <c r="G3542" s="27">
        <v>0</v>
      </c>
      <c r="H3542" s="27">
        <v>0</v>
      </c>
      <c r="I3542" s="27">
        <v>0</v>
      </c>
      <c r="J3542" s="27">
        <v>0</v>
      </c>
      <c r="K3542" s="63">
        <f>AVERAGE(I3542:J3542)</f>
        <v>0</v>
      </c>
      <c r="L3542" s="56" t="str">
        <f>"SW-COMAS-PACKL"</f>
        <v>SW-COMAS-PACKL</v>
      </c>
      <c r="M3542" s="14"/>
      <c r="N3542" s="15"/>
      <c r="O3542" s="12"/>
      <c r="P3542" s="34"/>
      <c r="Q3542" s="37"/>
      <c r="R3542" s="47"/>
      <c r="S3542" s="46"/>
    </row>
    <row r="3543" spans="1:19" ht="15.6" hidden="1" customHeight="1" thickBot="1" x14ac:dyDescent="0.3">
      <c r="A3543" t="s">
        <v>23</v>
      </c>
      <c r="B3543" s="60" t="str">
        <f t="shared" si="2538"/>
        <v>hide</v>
      </c>
      <c r="D3543" s="48" t="str">
        <f>D3542</f>
        <v>46444</v>
      </c>
      <c r="E3543" s="7"/>
      <c r="F3543" s="27">
        <v>0</v>
      </c>
      <c r="G3543" s="27">
        <v>0</v>
      </c>
      <c r="H3543" s="27">
        <v>0</v>
      </c>
      <c r="I3543" s="27">
        <v>0</v>
      </c>
      <c r="J3543" s="27">
        <v>0</v>
      </c>
      <c r="K3543" s="63">
        <f>AVERAGE(I3543:J3543)</f>
        <v>0</v>
      </c>
      <c r="L3543" s="56" t="str">
        <f>"SW-RISER-PACK"</f>
        <v>SW-RISER-PACK</v>
      </c>
      <c r="M3543" s="14"/>
      <c r="N3543" s="15"/>
      <c r="O3543" s="12"/>
      <c r="P3543" s="34"/>
      <c r="Q3543" s="37"/>
      <c r="R3543" s="47"/>
      <c r="S3543" s="46"/>
    </row>
    <row r="3544" spans="1:19" ht="12" hidden="1" customHeight="1" x14ac:dyDescent="0.3">
      <c r="A3544" s="35" t="s">
        <v>908</v>
      </c>
      <c r="B3544" s="49" t="str">
        <f>B3540</f>
        <v>hide</v>
      </c>
      <c r="N3544"/>
      <c r="Q3544" s="33"/>
    </row>
    <row r="3545" spans="1:19" ht="13.8" hidden="1" thickBot="1" x14ac:dyDescent="0.3">
      <c r="A3545" t="s">
        <v>23</v>
      </c>
      <c r="B3545" s="49" t="str">
        <f t="shared" ref="B3545" si="2539">B3544</f>
        <v>hide</v>
      </c>
      <c r="D3545" s="58"/>
      <c r="E3545" s="58"/>
      <c r="F3545" s="52">
        <f>SUM(F3540:F3544)</f>
        <v>0</v>
      </c>
      <c r="G3545" s="52">
        <f>SUM(G3540:G3544)</f>
        <v>0</v>
      </c>
      <c r="H3545" s="52">
        <f>SUM(H3540:H3544)</f>
        <v>0</v>
      </c>
      <c r="I3545" s="52">
        <f>SUM(I3540:I3544)</f>
        <v>0</v>
      </c>
      <c r="J3545" s="52">
        <f>SUM(J3540:J3544)</f>
        <v>0</v>
      </c>
      <c r="K3545" s="52"/>
      <c r="L3545" s="51" t="s">
        <v>4</v>
      </c>
      <c r="M3545" s="58"/>
      <c r="N3545" s="58"/>
      <c r="O3545" s="58"/>
      <c r="P3545" s="58"/>
      <c r="Q3545" s="58"/>
      <c r="R3545" s="58"/>
      <c r="S3545" s="58"/>
    </row>
    <row r="3546" spans="1:19" s="59" customFormat="1" ht="18.75" customHeight="1" thickBot="1" x14ac:dyDescent="0.3">
      <c r="A3546" s="59" t="s">
        <v>23</v>
      </c>
      <c r="B3546" s="60" t="str">
        <f t="shared" ref="B3546:B3547" si="2540">IF(K3546=0,"hide","")</f>
        <v/>
      </c>
      <c r="D3546" s="61" t="str">
        <f>"46448"</f>
        <v>46448</v>
      </c>
      <c r="E3546" s="62" t="str">
        <f>"7"</f>
        <v>7</v>
      </c>
      <c r="F3546" s="63">
        <v>63.75</v>
      </c>
      <c r="G3546" s="63">
        <v>30</v>
      </c>
      <c r="H3546" s="63">
        <v>212.66666666666666</v>
      </c>
      <c r="I3546" s="63">
        <v>146.33333333333334</v>
      </c>
      <c r="J3546" s="63">
        <v>95.128915662650613</v>
      </c>
      <c r="K3546" s="63">
        <f>AVERAGE(I3546:J3546)</f>
        <v>120.73112449799197</v>
      </c>
      <c r="L3546" s="64" t="str">
        <f>"PUMPKIN MUFFINS"</f>
        <v>PUMPKIN MUFFINS</v>
      </c>
      <c r="M3546" s="65" t="str">
        <f>"216-1 oz. 18-12 pack"</f>
        <v>216-1 oz. 18-12 pack</v>
      </c>
      <c r="N3546" s="66">
        <v>216</v>
      </c>
      <c r="O3546" s="67" t="str">
        <f>""</f>
        <v/>
      </c>
      <c r="P3546" s="68" t="e">
        <f>1/O3546</f>
        <v>#VALUE!</v>
      </c>
      <c r="Q3546" s="53">
        <v>1</v>
      </c>
      <c r="R3546" s="69">
        <f t="shared" ref="R3546" si="2541">1/Q3546</f>
        <v>1</v>
      </c>
      <c r="S3546" s="70">
        <f t="shared" ref="S3546" si="2542">R3546*N3546</f>
        <v>216</v>
      </c>
    </row>
    <row r="3547" spans="1:19" ht="15.6" hidden="1" customHeight="1" thickBot="1" x14ac:dyDescent="0.3">
      <c r="A3547" t="s">
        <v>23</v>
      </c>
      <c r="B3547" s="60" t="str">
        <f t="shared" si="2540"/>
        <v>hide</v>
      </c>
      <c r="D3547" s="48" t="str">
        <f>D3546</f>
        <v>46448</v>
      </c>
      <c r="E3547" s="7"/>
      <c r="F3547" s="27">
        <v>0</v>
      </c>
      <c r="G3547" s="27">
        <v>0</v>
      </c>
      <c r="H3547" s="27">
        <v>0</v>
      </c>
      <c r="I3547" s="27">
        <v>0</v>
      </c>
      <c r="J3547" s="27">
        <v>0</v>
      </c>
      <c r="K3547" s="63">
        <f>AVERAGE(I3547:J3547)</f>
        <v>0</v>
      </c>
      <c r="L3547" s="56" t="str">
        <f>"EQP-LAWPACK1"</f>
        <v>EQP-LAWPACK1</v>
      </c>
      <c r="M3547" s="14"/>
      <c r="N3547" s="15"/>
      <c r="O3547" s="12"/>
      <c r="P3547" s="34"/>
      <c r="Q3547" s="37"/>
      <c r="R3547" s="47"/>
      <c r="S3547" s="46"/>
    </row>
    <row r="3548" spans="1:19" ht="15.6" hidden="1" customHeight="1" thickBot="1" x14ac:dyDescent="0.3">
      <c r="A3548" t="s">
        <v>23</v>
      </c>
      <c r="B3548" s="60" t="str">
        <f t="shared" ref="B3548:B3550" si="2543">IF(K3548=0,"hide","")</f>
        <v>hide</v>
      </c>
      <c r="D3548" s="48" t="str">
        <f>D3547</f>
        <v>46448</v>
      </c>
      <c r="E3548" s="7"/>
      <c r="F3548" s="27">
        <v>0</v>
      </c>
      <c r="G3548" s="27">
        <v>0</v>
      </c>
      <c r="H3548" s="27">
        <v>0</v>
      </c>
      <c r="I3548" s="27">
        <v>0</v>
      </c>
      <c r="J3548" s="27">
        <v>0</v>
      </c>
      <c r="K3548" s="63">
        <f>AVERAGE(I3548:J3548)</f>
        <v>0</v>
      </c>
      <c r="L3548" s="56" t="str">
        <f>"EQP-LAWPACK2"</f>
        <v>EQP-LAWPACK2</v>
      </c>
      <c r="M3548" s="14"/>
      <c r="N3548" s="15"/>
      <c r="O3548" s="12"/>
      <c r="P3548" s="34"/>
      <c r="Q3548" s="37"/>
      <c r="R3548" s="47"/>
      <c r="S3548" s="46"/>
    </row>
    <row r="3549" spans="1:19" ht="15.6" hidden="1" customHeight="1" thickBot="1" x14ac:dyDescent="0.3">
      <c r="A3549" t="s">
        <v>23</v>
      </c>
      <c r="B3549" s="60" t="str">
        <f t="shared" si="2543"/>
        <v>hide</v>
      </c>
      <c r="D3549" s="48" t="str">
        <f>D3548</f>
        <v>46448</v>
      </c>
      <c r="E3549" s="7"/>
      <c r="F3549" s="27">
        <v>0</v>
      </c>
      <c r="G3549" s="27">
        <v>0</v>
      </c>
      <c r="H3549" s="27">
        <v>0</v>
      </c>
      <c r="I3549" s="27">
        <v>0</v>
      </c>
      <c r="J3549" s="27">
        <v>0</v>
      </c>
      <c r="K3549" s="63">
        <f>AVERAGE(I3549:J3549)</f>
        <v>0</v>
      </c>
      <c r="L3549" s="56" t="str">
        <f>"SW-COMAS-PACKL"</f>
        <v>SW-COMAS-PACKL</v>
      </c>
      <c r="M3549" s="14"/>
      <c r="N3549" s="15"/>
      <c r="O3549" s="12"/>
      <c r="P3549" s="34"/>
      <c r="Q3549" s="37"/>
      <c r="R3549" s="47"/>
      <c r="S3549" s="46"/>
    </row>
    <row r="3550" spans="1:19" ht="15.6" hidden="1" customHeight="1" thickBot="1" x14ac:dyDescent="0.3">
      <c r="A3550" t="s">
        <v>23</v>
      </c>
      <c r="B3550" s="60" t="str">
        <f t="shared" si="2543"/>
        <v>hide</v>
      </c>
      <c r="D3550" s="48" t="str">
        <f>D3549</f>
        <v>46448</v>
      </c>
      <c r="E3550" s="7"/>
      <c r="F3550" s="27">
        <v>0</v>
      </c>
      <c r="G3550" s="27">
        <v>0</v>
      </c>
      <c r="H3550" s="27">
        <v>0</v>
      </c>
      <c r="I3550" s="27">
        <v>0</v>
      </c>
      <c r="J3550" s="27">
        <v>0</v>
      </c>
      <c r="K3550" s="63">
        <f>AVERAGE(I3550:J3550)</f>
        <v>0</v>
      </c>
      <c r="L3550" s="56" t="str">
        <f>"SW-RISER-PACK"</f>
        <v>SW-RISER-PACK</v>
      </c>
      <c r="M3550" s="14"/>
      <c r="N3550" s="15"/>
      <c r="O3550" s="12"/>
      <c r="P3550" s="34"/>
      <c r="Q3550" s="37"/>
      <c r="R3550" s="47"/>
      <c r="S3550" s="46"/>
    </row>
    <row r="3551" spans="1:19" ht="12" hidden="1" customHeight="1" x14ac:dyDescent="0.3">
      <c r="A3551" s="35" t="s">
        <v>908</v>
      </c>
      <c r="B3551" s="49" t="str">
        <f>B3547</f>
        <v>hide</v>
      </c>
      <c r="N3551"/>
      <c r="Q3551" s="33"/>
    </row>
    <row r="3552" spans="1:19" ht="13.8" hidden="1" thickBot="1" x14ac:dyDescent="0.3">
      <c r="A3552" t="s">
        <v>23</v>
      </c>
      <c r="B3552" s="49" t="str">
        <f t="shared" ref="B3552" si="2544">B3551</f>
        <v>hide</v>
      </c>
      <c r="D3552" s="58"/>
      <c r="E3552" s="58"/>
      <c r="F3552" s="52">
        <f>SUM(F3547:F3551)</f>
        <v>0</v>
      </c>
      <c r="G3552" s="52">
        <f>SUM(G3547:G3551)</f>
        <v>0</v>
      </c>
      <c r="H3552" s="52">
        <f>SUM(H3547:H3551)</f>
        <v>0</v>
      </c>
      <c r="I3552" s="52">
        <f>SUM(I3547:I3551)</f>
        <v>0</v>
      </c>
      <c r="J3552" s="52">
        <f>SUM(J3547:J3551)</f>
        <v>0</v>
      </c>
      <c r="K3552" s="52"/>
      <c r="L3552" s="51" t="s">
        <v>4</v>
      </c>
      <c r="M3552" s="58"/>
      <c r="N3552" s="58"/>
      <c r="O3552" s="58"/>
      <c r="P3552" s="58"/>
      <c r="Q3552" s="58"/>
      <c r="R3552" s="58"/>
      <c r="S3552" s="58"/>
    </row>
    <row r="3553" spans="1:19" s="59" customFormat="1" ht="18.75" hidden="1" customHeight="1" thickBot="1" x14ac:dyDescent="0.3">
      <c r="A3553" s="59" t="s">
        <v>23</v>
      </c>
      <c r="B3553" s="60" t="str">
        <f t="shared" ref="B3553:B3554" si="2545">IF(K3553=0,"hide","")</f>
        <v>hide</v>
      </c>
      <c r="D3553" s="61" t="str">
        <f>"46451"</f>
        <v>46451</v>
      </c>
      <c r="E3553" s="62" t="str">
        <f>"5"</f>
        <v>5</v>
      </c>
      <c r="F3553" s="63">
        <v>0</v>
      </c>
      <c r="G3553" s="63">
        <v>0</v>
      </c>
      <c r="H3553" s="63">
        <v>0</v>
      </c>
      <c r="I3553" s="63">
        <v>0</v>
      </c>
      <c r="J3553" s="63">
        <v>0</v>
      </c>
      <c r="K3553" s="63">
        <f>AVERAGE(I3553:J3553)</f>
        <v>0</v>
      </c>
      <c r="L3553" s="64" t="str">
        <f>"BANANA MUFFINS"</f>
        <v>BANANA MUFFINS</v>
      </c>
      <c r="M3553" s="65" t="str">
        <f>"216-1 oz. 18-12 pack"</f>
        <v>216-1 oz. 18-12 pack</v>
      </c>
      <c r="N3553" s="66">
        <v>216</v>
      </c>
      <c r="O3553" s="67" t="str">
        <f>""</f>
        <v/>
      </c>
      <c r="P3553" s="68" t="e">
        <f>1/O3553</f>
        <v>#VALUE!</v>
      </c>
      <c r="Q3553" s="53">
        <v>1</v>
      </c>
      <c r="R3553" s="69">
        <f t="shared" ref="R3553" si="2546">1/Q3553</f>
        <v>1</v>
      </c>
      <c r="S3553" s="70">
        <f t="shared" ref="S3553" si="2547">R3553*N3553</f>
        <v>216</v>
      </c>
    </row>
    <row r="3554" spans="1:19" ht="15.6" hidden="1" customHeight="1" thickBot="1" x14ac:dyDescent="0.3">
      <c r="A3554" t="s">
        <v>23</v>
      </c>
      <c r="B3554" s="60" t="str">
        <f t="shared" si="2545"/>
        <v>hide</v>
      </c>
      <c r="D3554" s="48" t="str">
        <f>D3553</f>
        <v>46451</v>
      </c>
      <c r="E3554" s="7"/>
      <c r="F3554" s="27">
        <v>0</v>
      </c>
      <c r="G3554" s="27">
        <v>0</v>
      </c>
      <c r="H3554" s="27">
        <v>0</v>
      </c>
      <c r="I3554" s="27">
        <v>0</v>
      </c>
      <c r="J3554" s="27">
        <v>0</v>
      </c>
      <c r="K3554" s="63">
        <f>AVERAGE(I3554:J3554)</f>
        <v>0</v>
      </c>
      <c r="L3554" s="56" t="str">
        <f>"EQP-LAWPACK1"</f>
        <v>EQP-LAWPACK1</v>
      </c>
      <c r="M3554" s="14"/>
      <c r="N3554" s="15"/>
      <c r="O3554" s="12"/>
      <c r="P3554" s="34"/>
      <c r="Q3554" s="37"/>
      <c r="R3554" s="47"/>
      <c r="S3554" s="46"/>
    </row>
    <row r="3555" spans="1:19" ht="15.6" hidden="1" customHeight="1" thickBot="1" x14ac:dyDescent="0.3">
      <c r="A3555" t="s">
        <v>23</v>
      </c>
      <c r="B3555" s="60" t="str">
        <f t="shared" ref="B3555:B3557" si="2548">IF(K3555=0,"hide","")</f>
        <v>hide</v>
      </c>
      <c r="D3555" s="48" t="str">
        <f>D3554</f>
        <v>46451</v>
      </c>
      <c r="E3555" s="7"/>
      <c r="F3555" s="27">
        <v>0</v>
      </c>
      <c r="G3555" s="27">
        <v>0</v>
      </c>
      <c r="H3555" s="27">
        <v>0</v>
      </c>
      <c r="I3555" s="27">
        <v>0</v>
      </c>
      <c r="J3555" s="27">
        <v>0</v>
      </c>
      <c r="K3555" s="63">
        <f>AVERAGE(I3555:J3555)</f>
        <v>0</v>
      </c>
      <c r="L3555" s="56" t="str">
        <f>"EQP-LAWPACK2"</f>
        <v>EQP-LAWPACK2</v>
      </c>
      <c r="M3555" s="14"/>
      <c r="N3555" s="15"/>
      <c r="O3555" s="12"/>
      <c r="P3555" s="34"/>
      <c r="Q3555" s="37"/>
      <c r="R3555" s="47"/>
      <c r="S3555" s="46"/>
    </row>
    <row r="3556" spans="1:19" ht="15.6" hidden="1" customHeight="1" thickBot="1" x14ac:dyDescent="0.3">
      <c r="A3556" t="s">
        <v>23</v>
      </c>
      <c r="B3556" s="60" t="str">
        <f t="shared" si="2548"/>
        <v>hide</v>
      </c>
      <c r="D3556" s="48" t="str">
        <f>D3555</f>
        <v>46451</v>
      </c>
      <c r="E3556" s="7"/>
      <c r="F3556" s="27">
        <v>0</v>
      </c>
      <c r="G3556" s="27">
        <v>0</v>
      </c>
      <c r="H3556" s="27">
        <v>0</v>
      </c>
      <c r="I3556" s="27">
        <v>0</v>
      </c>
      <c r="J3556" s="27">
        <v>0</v>
      </c>
      <c r="K3556" s="63">
        <f>AVERAGE(I3556:J3556)</f>
        <v>0</v>
      </c>
      <c r="L3556" s="56" t="str">
        <f>"SW-COMAS-PACKL"</f>
        <v>SW-COMAS-PACKL</v>
      </c>
      <c r="M3556" s="14"/>
      <c r="N3556" s="15"/>
      <c r="O3556" s="12"/>
      <c r="P3556" s="34"/>
      <c r="Q3556" s="37"/>
      <c r="R3556" s="47"/>
      <c r="S3556" s="46"/>
    </row>
    <row r="3557" spans="1:19" ht="15.6" hidden="1" customHeight="1" thickBot="1" x14ac:dyDescent="0.3">
      <c r="A3557" t="s">
        <v>23</v>
      </c>
      <c r="B3557" s="60" t="str">
        <f t="shared" si="2548"/>
        <v>hide</v>
      </c>
      <c r="D3557" s="48" t="str">
        <f>D3556</f>
        <v>46451</v>
      </c>
      <c r="E3557" s="7"/>
      <c r="F3557" s="27">
        <v>0</v>
      </c>
      <c r="G3557" s="27">
        <v>0</v>
      </c>
      <c r="H3557" s="27">
        <v>0</v>
      </c>
      <c r="I3557" s="27">
        <v>0</v>
      </c>
      <c r="J3557" s="27">
        <v>0</v>
      </c>
      <c r="K3557" s="63">
        <f>AVERAGE(I3557:J3557)</f>
        <v>0</v>
      </c>
      <c r="L3557" s="56" t="str">
        <f>"SW-RISER-PACK"</f>
        <v>SW-RISER-PACK</v>
      </c>
      <c r="M3557" s="14"/>
      <c r="N3557" s="15"/>
      <c r="O3557" s="12"/>
      <c r="P3557" s="34"/>
      <c r="Q3557" s="37"/>
      <c r="R3557" s="47"/>
      <c r="S3557" s="46"/>
    </row>
    <row r="3558" spans="1:19" ht="12" hidden="1" customHeight="1" x14ac:dyDescent="0.3">
      <c r="A3558" s="35" t="s">
        <v>908</v>
      </c>
      <c r="B3558" s="49" t="str">
        <f>B3554</f>
        <v>hide</v>
      </c>
      <c r="N3558"/>
      <c r="Q3558" s="33"/>
    </row>
    <row r="3559" spans="1:19" ht="13.8" hidden="1" thickBot="1" x14ac:dyDescent="0.3">
      <c r="A3559" t="s">
        <v>23</v>
      </c>
      <c r="B3559" s="49" t="str">
        <f t="shared" ref="B3559" si="2549">B3558</f>
        <v>hide</v>
      </c>
      <c r="D3559" s="58"/>
      <c r="E3559" s="58"/>
      <c r="F3559" s="52">
        <f>SUM(F3554:F3558)</f>
        <v>0</v>
      </c>
      <c r="G3559" s="52">
        <f>SUM(G3554:G3558)</f>
        <v>0</v>
      </c>
      <c r="H3559" s="52">
        <f>SUM(H3554:H3558)</f>
        <v>0</v>
      </c>
      <c r="I3559" s="52">
        <f>SUM(I3554:I3558)</f>
        <v>0</v>
      </c>
      <c r="J3559" s="52">
        <f>SUM(J3554:J3558)</f>
        <v>0</v>
      </c>
      <c r="K3559" s="52"/>
      <c r="L3559" s="51" t="s">
        <v>4</v>
      </c>
      <c r="M3559" s="58"/>
      <c r="N3559" s="58"/>
      <c r="O3559" s="58"/>
      <c r="P3559" s="58"/>
      <c r="Q3559" s="58"/>
      <c r="R3559" s="58"/>
      <c r="S3559" s="58"/>
    </row>
    <row r="3560" spans="1:19" s="59" customFormat="1" ht="18.75" customHeight="1" thickBot="1" x14ac:dyDescent="0.3">
      <c r="A3560" s="59" t="s">
        <v>23</v>
      </c>
      <c r="B3560" s="60" t="str">
        <f t="shared" ref="B3560:B3561" si="2550">IF(K3560=0,"hide","")</f>
        <v/>
      </c>
      <c r="D3560" s="61" t="str">
        <f>"46701"</f>
        <v>46701</v>
      </c>
      <c r="E3560" s="62" t="str">
        <f>"3"</f>
        <v>3</v>
      </c>
      <c r="F3560" s="63">
        <v>0</v>
      </c>
      <c r="G3560" s="63">
        <v>0</v>
      </c>
      <c r="H3560" s="63">
        <v>0</v>
      </c>
      <c r="I3560" s="63">
        <v>30</v>
      </c>
      <c r="J3560" s="63">
        <v>239.28843373493979</v>
      </c>
      <c r="K3560" s="63">
        <f>AVERAGE(I3560:J3560)</f>
        <v>134.64421686746988</v>
      </c>
      <c r="L3560" s="64" t="str">
        <f>"Blueberry Mini Muffin-Sabrinas"</f>
        <v>Blueberry Mini Muffin-Sabrinas</v>
      </c>
      <c r="M3560" s="65" t="str">
        <f>"216-1 oz. 18-12 pack"</f>
        <v>216-1 oz. 18-12 pack</v>
      </c>
      <c r="N3560" s="66">
        <v>216</v>
      </c>
      <c r="O3560" s="67" t="str">
        <f>""</f>
        <v/>
      </c>
      <c r="P3560" s="68" t="e">
        <f>1/O3560</f>
        <v>#VALUE!</v>
      </c>
      <c r="Q3560" s="53">
        <v>1</v>
      </c>
      <c r="R3560" s="69">
        <f t="shared" ref="R3560" si="2551">1/Q3560</f>
        <v>1</v>
      </c>
      <c r="S3560" s="70">
        <f t="shared" ref="S3560" si="2552">R3560*N3560</f>
        <v>216</v>
      </c>
    </row>
    <row r="3561" spans="1:19" ht="15.6" hidden="1" customHeight="1" thickBot="1" x14ac:dyDescent="0.3">
      <c r="A3561" t="s">
        <v>23</v>
      </c>
      <c r="B3561" s="60" t="str">
        <f t="shared" si="2550"/>
        <v>hide</v>
      </c>
      <c r="D3561" s="48" t="str">
        <f>D3560</f>
        <v>46701</v>
      </c>
      <c r="E3561" s="7"/>
      <c r="F3561" s="27">
        <v>0</v>
      </c>
      <c r="G3561" s="27">
        <v>0</v>
      </c>
      <c r="H3561" s="27">
        <v>0</v>
      </c>
      <c r="I3561" s="27">
        <v>0</v>
      </c>
      <c r="J3561" s="27">
        <v>0</v>
      </c>
      <c r="K3561" s="63">
        <f>AVERAGE(I3561:J3561)</f>
        <v>0</v>
      </c>
      <c r="L3561" s="56" t="str">
        <f>"EQP-LAWPACK1"</f>
        <v>EQP-LAWPACK1</v>
      </c>
      <c r="M3561" s="14"/>
      <c r="N3561" s="15"/>
      <c r="O3561" s="12"/>
      <c r="P3561" s="34"/>
      <c r="Q3561" s="37"/>
      <c r="R3561" s="47"/>
      <c r="S3561" s="46"/>
    </row>
    <row r="3562" spans="1:19" ht="15.6" hidden="1" customHeight="1" thickBot="1" x14ac:dyDescent="0.3">
      <c r="A3562" t="s">
        <v>23</v>
      </c>
      <c r="B3562" s="60" t="str">
        <f t="shared" ref="B3562:B3564" si="2553">IF(K3562=0,"hide","")</f>
        <v>hide</v>
      </c>
      <c r="D3562" s="48" t="str">
        <f>D3561</f>
        <v>46701</v>
      </c>
      <c r="E3562" s="7"/>
      <c r="F3562" s="27">
        <v>0</v>
      </c>
      <c r="G3562" s="27">
        <v>0</v>
      </c>
      <c r="H3562" s="27">
        <v>0</v>
      </c>
      <c r="I3562" s="27">
        <v>0</v>
      </c>
      <c r="J3562" s="27">
        <v>0</v>
      </c>
      <c r="K3562" s="63">
        <f>AVERAGE(I3562:J3562)</f>
        <v>0</v>
      </c>
      <c r="L3562" s="56" t="str">
        <f>"EQP-LAWPACK2"</f>
        <v>EQP-LAWPACK2</v>
      </c>
      <c r="M3562" s="14"/>
      <c r="N3562" s="15"/>
      <c r="O3562" s="12"/>
      <c r="P3562" s="34"/>
      <c r="Q3562" s="37"/>
      <c r="R3562" s="47"/>
      <c r="S3562" s="46"/>
    </row>
    <row r="3563" spans="1:19" ht="15.6" hidden="1" customHeight="1" thickBot="1" x14ac:dyDescent="0.3">
      <c r="A3563" t="s">
        <v>23</v>
      </c>
      <c r="B3563" s="60" t="str">
        <f t="shared" si="2553"/>
        <v>hide</v>
      </c>
      <c r="D3563" s="48" t="str">
        <f>D3562</f>
        <v>46701</v>
      </c>
      <c r="E3563" s="7"/>
      <c r="F3563" s="27">
        <v>0</v>
      </c>
      <c r="G3563" s="27">
        <v>0</v>
      </c>
      <c r="H3563" s="27">
        <v>0</v>
      </c>
      <c r="I3563" s="27">
        <v>0</v>
      </c>
      <c r="J3563" s="27">
        <v>0</v>
      </c>
      <c r="K3563" s="63">
        <f>AVERAGE(I3563:J3563)</f>
        <v>0</v>
      </c>
      <c r="L3563" s="56" t="str">
        <f>"SW-COMAS-PACKL"</f>
        <v>SW-COMAS-PACKL</v>
      </c>
      <c r="M3563" s="14"/>
      <c r="N3563" s="15"/>
      <c r="O3563" s="12"/>
      <c r="P3563" s="34"/>
      <c r="Q3563" s="37"/>
      <c r="R3563" s="47"/>
      <c r="S3563" s="46"/>
    </row>
    <row r="3564" spans="1:19" ht="15.6" hidden="1" customHeight="1" thickBot="1" x14ac:dyDescent="0.3">
      <c r="A3564" t="s">
        <v>23</v>
      </c>
      <c r="B3564" s="60" t="str">
        <f t="shared" si="2553"/>
        <v>hide</v>
      </c>
      <c r="D3564" s="48" t="str">
        <f>D3563</f>
        <v>46701</v>
      </c>
      <c r="E3564" s="7"/>
      <c r="F3564" s="27">
        <v>0</v>
      </c>
      <c r="G3564" s="27">
        <v>0</v>
      </c>
      <c r="H3564" s="27">
        <v>0</v>
      </c>
      <c r="I3564" s="27">
        <v>0</v>
      </c>
      <c r="J3564" s="27">
        <v>0</v>
      </c>
      <c r="K3564" s="63">
        <f>AVERAGE(I3564:J3564)</f>
        <v>0</v>
      </c>
      <c r="L3564" s="56" t="str">
        <f>"SW-RISER-PACK"</f>
        <v>SW-RISER-PACK</v>
      </c>
      <c r="M3564" s="14"/>
      <c r="N3564" s="15"/>
      <c r="O3564" s="12"/>
      <c r="P3564" s="34"/>
      <c r="Q3564" s="37"/>
      <c r="R3564" s="47"/>
      <c r="S3564" s="46"/>
    </row>
    <row r="3565" spans="1:19" ht="12" hidden="1" customHeight="1" x14ac:dyDescent="0.3">
      <c r="A3565" s="35" t="s">
        <v>908</v>
      </c>
      <c r="B3565" s="49" t="str">
        <f>B3561</f>
        <v>hide</v>
      </c>
      <c r="N3565"/>
      <c r="Q3565" s="33"/>
    </row>
    <row r="3566" spans="1:19" ht="13.8" hidden="1" thickBot="1" x14ac:dyDescent="0.3">
      <c r="A3566" t="s">
        <v>23</v>
      </c>
      <c r="B3566" s="49" t="str">
        <f t="shared" ref="B3566" si="2554">B3565</f>
        <v>hide</v>
      </c>
      <c r="D3566" s="58"/>
      <c r="E3566" s="58"/>
      <c r="F3566" s="52">
        <f>SUM(F3561:F3565)</f>
        <v>0</v>
      </c>
      <c r="G3566" s="52">
        <f>SUM(G3561:G3565)</f>
        <v>0</v>
      </c>
      <c r="H3566" s="52">
        <f>SUM(H3561:H3565)</f>
        <v>0</v>
      </c>
      <c r="I3566" s="52">
        <f>SUM(I3561:I3565)</f>
        <v>0</v>
      </c>
      <c r="J3566" s="52">
        <f>SUM(J3561:J3565)</f>
        <v>0</v>
      </c>
      <c r="K3566" s="52"/>
      <c r="L3566" s="51" t="s">
        <v>4</v>
      </c>
      <c r="M3566" s="58"/>
      <c r="N3566" s="58"/>
      <c r="O3566" s="58"/>
      <c r="P3566" s="58"/>
      <c r="Q3566" s="58"/>
      <c r="R3566" s="58"/>
      <c r="S3566" s="58"/>
    </row>
    <row r="3567" spans="1:19" s="59" customFormat="1" ht="18.75" hidden="1" customHeight="1" thickBot="1" x14ac:dyDescent="0.3">
      <c r="A3567" s="59" t="s">
        <v>23</v>
      </c>
      <c r="B3567" s="60" t="str">
        <f t="shared" ref="B3567:B3568" si="2555">IF(K3567=0,"hide","")</f>
        <v>hide</v>
      </c>
      <c r="D3567" s="61" t="str">
        <f>"46703"</f>
        <v>46703</v>
      </c>
      <c r="E3567" s="62" t="str">
        <f>"3"</f>
        <v>3</v>
      </c>
      <c r="F3567" s="63">
        <v>0</v>
      </c>
      <c r="G3567" s="63">
        <v>0</v>
      </c>
      <c r="H3567" s="63">
        <v>0</v>
      </c>
      <c r="I3567" s="63">
        <v>0</v>
      </c>
      <c r="J3567" s="63">
        <v>0</v>
      </c>
      <c r="K3567" s="63">
        <f>AVERAGE(I3567:J3567)</f>
        <v>0</v>
      </c>
      <c r="L3567" s="64" t="str">
        <f>""</f>
        <v/>
      </c>
      <c r="M3567" s="65" t="str">
        <f>""</f>
        <v/>
      </c>
      <c r="N3567" s="66" t="str">
        <f>""</f>
        <v/>
      </c>
      <c r="O3567" s="67" t="str">
        <f>""</f>
        <v/>
      </c>
      <c r="P3567" s="68" t="e">
        <f>1/O3567</f>
        <v>#VALUE!</v>
      </c>
      <c r="Q3567" s="53">
        <v>1</v>
      </c>
      <c r="R3567" s="69">
        <f t="shared" ref="R3567" si="2556">1/Q3567</f>
        <v>1</v>
      </c>
      <c r="S3567" s="70" t="e">
        <f t="shared" ref="S3567" si="2557">R3567*N3567</f>
        <v>#VALUE!</v>
      </c>
    </row>
    <row r="3568" spans="1:19" ht="15.6" hidden="1" customHeight="1" thickBot="1" x14ac:dyDescent="0.3">
      <c r="A3568" t="s">
        <v>23</v>
      </c>
      <c r="B3568" s="60" t="str">
        <f t="shared" si="2555"/>
        <v>hide</v>
      </c>
      <c r="D3568" s="48" t="str">
        <f>D3567</f>
        <v>46703</v>
      </c>
      <c r="E3568" s="7"/>
      <c r="F3568" s="27">
        <v>0</v>
      </c>
      <c r="G3568" s="27">
        <v>0</v>
      </c>
      <c r="H3568" s="27">
        <v>0</v>
      </c>
      <c r="I3568" s="27">
        <v>0</v>
      </c>
      <c r="J3568" s="27">
        <v>0</v>
      </c>
      <c r="K3568" s="63">
        <f>AVERAGE(I3568:J3568)</f>
        <v>0</v>
      </c>
      <c r="L3568" s="56" t="str">
        <f>"EQP-LAWPACK1"</f>
        <v>EQP-LAWPACK1</v>
      </c>
      <c r="M3568" s="14"/>
      <c r="N3568" s="15"/>
      <c r="O3568" s="12"/>
      <c r="P3568" s="34"/>
      <c r="Q3568" s="37"/>
      <c r="R3568" s="47"/>
      <c r="S3568" s="46"/>
    </row>
    <row r="3569" spans="1:19" ht="15.6" hidden="1" customHeight="1" thickBot="1" x14ac:dyDescent="0.3">
      <c r="A3569" t="s">
        <v>23</v>
      </c>
      <c r="B3569" s="60" t="str">
        <f t="shared" ref="B3569:B3571" si="2558">IF(K3569=0,"hide","")</f>
        <v>hide</v>
      </c>
      <c r="D3569" s="48" t="str">
        <f>D3568</f>
        <v>46703</v>
      </c>
      <c r="E3569" s="7"/>
      <c r="F3569" s="27">
        <v>0</v>
      </c>
      <c r="G3569" s="27">
        <v>0</v>
      </c>
      <c r="H3569" s="27">
        <v>0</v>
      </c>
      <c r="I3569" s="27">
        <v>0</v>
      </c>
      <c r="J3569" s="27">
        <v>0</v>
      </c>
      <c r="K3569" s="63">
        <f>AVERAGE(I3569:J3569)</f>
        <v>0</v>
      </c>
      <c r="L3569" s="56" t="str">
        <f>"EQP-LAWPACK2"</f>
        <v>EQP-LAWPACK2</v>
      </c>
      <c r="M3569" s="14"/>
      <c r="N3569" s="15"/>
      <c r="O3569" s="12"/>
      <c r="P3569" s="34"/>
      <c r="Q3569" s="37"/>
      <c r="R3569" s="47"/>
      <c r="S3569" s="46"/>
    </row>
    <row r="3570" spans="1:19" ht="15.6" hidden="1" customHeight="1" thickBot="1" x14ac:dyDescent="0.3">
      <c r="A3570" t="s">
        <v>23</v>
      </c>
      <c r="B3570" s="60" t="str">
        <f t="shared" si="2558"/>
        <v>hide</v>
      </c>
      <c r="D3570" s="48" t="str">
        <f>D3569</f>
        <v>46703</v>
      </c>
      <c r="E3570" s="7"/>
      <c r="F3570" s="27">
        <v>0</v>
      </c>
      <c r="G3570" s="27">
        <v>0</v>
      </c>
      <c r="H3570" s="27">
        <v>0</v>
      </c>
      <c r="I3570" s="27">
        <v>0</v>
      </c>
      <c r="J3570" s="27">
        <v>0</v>
      </c>
      <c r="K3570" s="63">
        <f>AVERAGE(I3570:J3570)</f>
        <v>0</v>
      </c>
      <c r="L3570" s="56" t="str">
        <f>"SW-COMAS-PACKL"</f>
        <v>SW-COMAS-PACKL</v>
      </c>
      <c r="M3570" s="14"/>
      <c r="N3570" s="15"/>
      <c r="O3570" s="12"/>
      <c r="P3570" s="34"/>
      <c r="Q3570" s="37"/>
      <c r="R3570" s="47"/>
      <c r="S3570" s="46"/>
    </row>
    <row r="3571" spans="1:19" ht="15.6" hidden="1" customHeight="1" thickBot="1" x14ac:dyDescent="0.3">
      <c r="A3571" t="s">
        <v>23</v>
      </c>
      <c r="B3571" s="60" t="str">
        <f t="shared" si="2558"/>
        <v>hide</v>
      </c>
      <c r="D3571" s="48" t="str">
        <f>D3570</f>
        <v>46703</v>
      </c>
      <c r="E3571" s="7"/>
      <c r="F3571" s="27">
        <v>0</v>
      </c>
      <c r="G3571" s="27">
        <v>0</v>
      </c>
      <c r="H3571" s="27">
        <v>0</v>
      </c>
      <c r="I3571" s="27">
        <v>0</v>
      </c>
      <c r="J3571" s="27">
        <v>0</v>
      </c>
      <c r="K3571" s="63">
        <f>AVERAGE(I3571:J3571)</f>
        <v>0</v>
      </c>
      <c r="L3571" s="56" t="str">
        <f>"SW-RISER-PACK"</f>
        <v>SW-RISER-PACK</v>
      </c>
      <c r="M3571" s="14"/>
      <c r="N3571" s="15"/>
      <c r="O3571" s="12"/>
      <c r="P3571" s="34"/>
      <c r="Q3571" s="37"/>
      <c r="R3571" s="47"/>
      <c r="S3571" s="46"/>
    </row>
    <row r="3572" spans="1:19" ht="12" hidden="1" customHeight="1" x14ac:dyDescent="0.3">
      <c r="A3572" s="35" t="s">
        <v>908</v>
      </c>
      <c r="B3572" s="49" t="str">
        <f>B3568</f>
        <v>hide</v>
      </c>
      <c r="N3572"/>
      <c r="Q3572" s="33"/>
    </row>
    <row r="3573" spans="1:19" ht="13.8" hidden="1" thickBot="1" x14ac:dyDescent="0.3">
      <c r="A3573" t="s">
        <v>23</v>
      </c>
      <c r="B3573" s="49" t="str">
        <f t="shared" ref="B3573" si="2559">B3572</f>
        <v>hide</v>
      </c>
      <c r="D3573" s="58"/>
      <c r="E3573" s="58"/>
      <c r="F3573" s="52">
        <f>SUM(F3568:F3572)</f>
        <v>0</v>
      </c>
      <c r="G3573" s="52">
        <f>SUM(G3568:G3572)</f>
        <v>0</v>
      </c>
      <c r="H3573" s="52">
        <f>SUM(H3568:H3572)</f>
        <v>0</v>
      </c>
      <c r="I3573" s="52">
        <f>SUM(I3568:I3572)</f>
        <v>0</v>
      </c>
      <c r="J3573" s="52">
        <f>SUM(J3568:J3572)</f>
        <v>0</v>
      </c>
      <c r="K3573" s="52"/>
      <c r="L3573" s="51" t="s">
        <v>4</v>
      </c>
      <c r="M3573" s="58"/>
      <c r="N3573" s="58"/>
      <c r="O3573" s="58"/>
      <c r="P3573" s="58"/>
      <c r="Q3573" s="58"/>
      <c r="R3573" s="58"/>
      <c r="S3573" s="58"/>
    </row>
    <row r="3574" spans="1:19" s="59" customFormat="1" ht="18.75" hidden="1" customHeight="1" thickBot="1" x14ac:dyDescent="0.3">
      <c r="A3574" s="59" t="s">
        <v>23</v>
      </c>
      <c r="B3574" s="60" t="str">
        <f t="shared" ref="B3574:B3575" si="2560">IF(K3574=0,"hide","")</f>
        <v>hide</v>
      </c>
      <c r="D3574" s="61" t="str">
        <f>"46709"</f>
        <v>46709</v>
      </c>
      <c r="E3574" s="62" t="str">
        <f>"3"</f>
        <v>3</v>
      </c>
      <c r="F3574" s="63">
        <v>0</v>
      </c>
      <c r="G3574" s="63">
        <v>0</v>
      </c>
      <c r="H3574" s="63">
        <v>0</v>
      </c>
      <c r="I3574" s="63">
        <v>0</v>
      </c>
      <c r="J3574" s="63">
        <v>0</v>
      </c>
      <c r="K3574" s="63">
        <f>AVERAGE(I3574:J3574)</f>
        <v>0</v>
      </c>
      <c r="L3574" s="64" t="str">
        <f>""</f>
        <v/>
      </c>
      <c r="M3574" s="65" t="str">
        <f>""</f>
        <v/>
      </c>
      <c r="N3574" s="66" t="str">
        <f>""</f>
        <v/>
      </c>
      <c r="O3574" s="67" t="str">
        <f>""</f>
        <v/>
      </c>
      <c r="P3574" s="68" t="e">
        <f>1/O3574</f>
        <v>#VALUE!</v>
      </c>
      <c r="Q3574" s="53">
        <v>1</v>
      </c>
      <c r="R3574" s="69">
        <f t="shared" ref="R3574" si="2561">1/Q3574</f>
        <v>1</v>
      </c>
      <c r="S3574" s="70" t="e">
        <f t="shared" ref="S3574" si="2562">R3574*N3574</f>
        <v>#VALUE!</v>
      </c>
    </row>
    <row r="3575" spans="1:19" ht="15.6" hidden="1" customHeight="1" thickBot="1" x14ac:dyDescent="0.3">
      <c r="A3575" t="s">
        <v>23</v>
      </c>
      <c r="B3575" s="60" t="str">
        <f t="shared" si="2560"/>
        <v>hide</v>
      </c>
      <c r="D3575" s="48" t="str">
        <f>D3574</f>
        <v>46709</v>
      </c>
      <c r="E3575" s="7"/>
      <c r="F3575" s="27">
        <v>0</v>
      </c>
      <c r="G3575" s="27">
        <v>0</v>
      </c>
      <c r="H3575" s="27">
        <v>0</v>
      </c>
      <c r="I3575" s="27">
        <v>0</v>
      </c>
      <c r="J3575" s="27">
        <v>0</v>
      </c>
      <c r="K3575" s="63">
        <f>AVERAGE(I3575:J3575)</f>
        <v>0</v>
      </c>
      <c r="L3575" s="56" t="str">
        <f>"EQP-LAWPACK1"</f>
        <v>EQP-LAWPACK1</v>
      </c>
      <c r="M3575" s="14"/>
      <c r="N3575" s="15"/>
      <c r="O3575" s="12"/>
      <c r="P3575" s="34"/>
      <c r="Q3575" s="37"/>
      <c r="R3575" s="47"/>
      <c r="S3575" s="46"/>
    </row>
    <row r="3576" spans="1:19" ht="15.6" hidden="1" customHeight="1" thickBot="1" x14ac:dyDescent="0.3">
      <c r="A3576" t="s">
        <v>23</v>
      </c>
      <c r="B3576" s="60" t="str">
        <f t="shared" ref="B3576:B3578" si="2563">IF(K3576=0,"hide","")</f>
        <v>hide</v>
      </c>
      <c r="D3576" s="48" t="str">
        <f>D3575</f>
        <v>46709</v>
      </c>
      <c r="E3576" s="7"/>
      <c r="F3576" s="27">
        <v>0</v>
      </c>
      <c r="G3576" s="27">
        <v>0</v>
      </c>
      <c r="H3576" s="27">
        <v>0</v>
      </c>
      <c r="I3576" s="27">
        <v>0</v>
      </c>
      <c r="J3576" s="27">
        <v>0</v>
      </c>
      <c r="K3576" s="63">
        <f>AVERAGE(I3576:J3576)</f>
        <v>0</v>
      </c>
      <c r="L3576" s="56" t="str">
        <f>"EQP-LAWPACK2"</f>
        <v>EQP-LAWPACK2</v>
      </c>
      <c r="M3576" s="14"/>
      <c r="N3576" s="15"/>
      <c r="O3576" s="12"/>
      <c r="P3576" s="34"/>
      <c r="Q3576" s="37"/>
      <c r="R3576" s="47"/>
      <c r="S3576" s="46"/>
    </row>
    <row r="3577" spans="1:19" ht="15.6" hidden="1" customHeight="1" thickBot="1" x14ac:dyDescent="0.3">
      <c r="A3577" t="s">
        <v>23</v>
      </c>
      <c r="B3577" s="60" t="str">
        <f t="shared" si="2563"/>
        <v>hide</v>
      </c>
      <c r="D3577" s="48" t="str">
        <f>D3576</f>
        <v>46709</v>
      </c>
      <c r="E3577" s="7"/>
      <c r="F3577" s="27">
        <v>0</v>
      </c>
      <c r="G3577" s="27">
        <v>0</v>
      </c>
      <c r="H3577" s="27">
        <v>0</v>
      </c>
      <c r="I3577" s="27">
        <v>0</v>
      </c>
      <c r="J3577" s="27">
        <v>0</v>
      </c>
      <c r="K3577" s="63">
        <f>AVERAGE(I3577:J3577)</f>
        <v>0</v>
      </c>
      <c r="L3577" s="56" t="str">
        <f>"SW-COMAS-PACKL"</f>
        <v>SW-COMAS-PACKL</v>
      </c>
      <c r="M3577" s="14"/>
      <c r="N3577" s="15"/>
      <c r="O3577" s="12"/>
      <c r="P3577" s="34"/>
      <c r="Q3577" s="37"/>
      <c r="R3577" s="47"/>
      <c r="S3577" s="46"/>
    </row>
    <row r="3578" spans="1:19" ht="15.6" hidden="1" customHeight="1" thickBot="1" x14ac:dyDescent="0.3">
      <c r="A3578" t="s">
        <v>23</v>
      </c>
      <c r="B3578" s="60" t="str">
        <f t="shared" si="2563"/>
        <v>hide</v>
      </c>
      <c r="D3578" s="48" t="str">
        <f>D3577</f>
        <v>46709</v>
      </c>
      <c r="E3578" s="7"/>
      <c r="F3578" s="27">
        <v>0</v>
      </c>
      <c r="G3578" s="27">
        <v>0</v>
      </c>
      <c r="H3578" s="27">
        <v>0</v>
      </c>
      <c r="I3578" s="27">
        <v>0</v>
      </c>
      <c r="J3578" s="27">
        <v>0</v>
      </c>
      <c r="K3578" s="63">
        <f>AVERAGE(I3578:J3578)</f>
        <v>0</v>
      </c>
      <c r="L3578" s="56" t="str">
        <f>"SW-RISER-PACK"</f>
        <v>SW-RISER-PACK</v>
      </c>
      <c r="M3578" s="14"/>
      <c r="N3578" s="15"/>
      <c r="O3578" s="12"/>
      <c r="P3578" s="34"/>
      <c r="Q3578" s="37"/>
      <c r="R3578" s="47"/>
      <c r="S3578" s="46"/>
    </row>
    <row r="3579" spans="1:19" ht="12" hidden="1" customHeight="1" x14ac:dyDescent="0.3">
      <c r="A3579" s="35" t="s">
        <v>908</v>
      </c>
      <c r="B3579" s="49" t="str">
        <f>B3575</f>
        <v>hide</v>
      </c>
      <c r="N3579"/>
      <c r="Q3579" s="33"/>
    </row>
    <row r="3580" spans="1:19" ht="13.8" hidden="1" thickBot="1" x14ac:dyDescent="0.3">
      <c r="A3580" t="s">
        <v>23</v>
      </c>
      <c r="B3580" s="49" t="str">
        <f t="shared" ref="B3580" si="2564">B3579</f>
        <v>hide</v>
      </c>
      <c r="D3580" s="58"/>
      <c r="E3580" s="58"/>
      <c r="F3580" s="52">
        <f>SUM(F3575:F3579)</f>
        <v>0</v>
      </c>
      <c r="G3580" s="52">
        <f>SUM(G3575:G3579)</f>
        <v>0</v>
      </c>
      <c r="H3580" s="52">
        <f>SUM(H3575:H3579)</f>
        <v>0</v>
      </c>
      <c r="I3580" s="52">
        <f>SUM(I3575:I3579)</f>
        <v>0</v>
      </c>
      <c r="J3580" s="52">
        <f>SUM(J3575:J3579)</f>
        <v>0</v>
      </c>
      <c r="K3580" s="52"/>
      <c r="L3580" s="51" t="s">
        <v>4</v>
      </c>
      <c r="M3580" s="58"/>
      <c r="N3580" s="58"/>
      <c r="O3580" s="58"/>
      <c r="P3580" s="58"/>
      <c r="Q3580" s="58"/>
      <c r="R3580" s="58"/>
      <c r="S3580" s="58"/>
    </row>
    <row r="3581" spans="1:19" s="59" customFormat="1" ht="18.75" customHeight="1" thickBot="1" x14ac:dyDescent="0.3">
      <c r="A3581" s="59" t="s">
        <v>23</v>
      </c>
      <c r="B3581" s="60" t="str">
        <f t="shared" ref="B3581:B3582" si="2565">IF(K3581=0,"hide","")</f>
        <v/>
      </c>
      <c r="D3581" s="61" t="str">
        <f>"46710"</f>
        <v>46710</v>
      </c>
      <c r="E3581" s="62" t="str">
        <f>"3"</f>
        <v>3</v>
      </c>
      <c r="F3581" s="63">
        <v>0</v>
      </c>
      <c r="G3581" s="63">
        <v>0</v>
      </c>
      <c r="H3581" s="63">
        <v>0</v>
      </c>
      <c r="I3581" s="63">
        <v>30</v>
      </c>
      <c r="J3581" s="63">
        <v>138.09036144578315</v>
      </c>
      <c r="K3581" s="63">
        <f>AVERAGE(I3581:J3581)</f>
        <v>84.045180722891573</v>
      </c>
      <c r="L3581" s="64" t="str">
        <f>"Chocolate Chip Mini Muffins-Sabrina"</f>
        <v>Chocolate Chip Mini Muffins-Sabrina</v>
      </c>
      <c r="M3581" s="65" t="str">
        <f>"216-1 oz. 18-12 pack"</f>
        <v>216-1 oz. 18-12 pack</v>
      </c>
      <c r="N3581" s="66">
        <v>216</v>
      </c>
      <c r="O3581" s="67" t="str">
        <f>""</f>
        <v/>
      </c>
      <c r="P3581" s="68" t="e">
        <f>1/O3581</f>
        <v>#VALUE!</v>
      </c>
      <c r="Q3581" s="53">
        <v>1</v>
      </c>
      <c r="R3581" s="69">
        <f t="shared" ref="R3581" si="2566">1/Q3581</f>
        <v>1</v>
      </c>
      <c r="S3581" s="70">
        <f t="shared" ref="S3581" si="2567">R3581*N3581</f>
        <v>216</v>
      </c>
    </row>
    <row r="3582" spans="1:19" ht="15.6" hidden="1" customHeight="1" thickBot="1" x14ac:dyDescent="0.3">
      <c r="A3582" t="s">
        <v>23</v>
      </c>
      <c r="B3582" s="60" t="str">
        <f t="shared" si="2565"/>
        <v>hide</v>
      </c>
      <c r="D3582" s="48" t="str">
        <f>D3581</f>
        <v>46710</v>
      </c>
      <c r="E3582" s="7"/>
      <c r="F3582" s="27">
        <v>0</v>
      </c>
      <c r="G3582" s="27">
        <v>0</v>
      </c>
      <c r="H3582" s="27">
        <v>0</v>
      </c>
      <c r="I3582" s="27">
        <v>0</v>
      </c>
      <c r="J3582" s="27">
        <v>0</v>
      </c>
      <c r="K3582" s="63">
        <f>AVERAGE(I3582:J3582)</f>
        <v>0</v>
      </c>
      <c r="L3582" s="56" t="str">
        <f>"EQP-LAWPACK1"</f>
        <v>EQP-LAWPACK1</v>
      </c>
      <c r="M3582" s="14"/>
      <c r="N3582" s="15"/>
      <c r="O3582" s="12"/>
      <c r="P3582" s="34"/>
      <c r="Q3582" s="37"/>
      <c r="R3582" s="47"/>
      <c r="S3582" s="46"/>
    </row>
    <row r="3583" spans="1:19" ht="15.6" hidden="1" customHeight="1" thickBot="1" x14ac:dyDescent="0.3">
      <c r="A3583" t="s">
        <v>23</v>
      </c>
      <c r="B3583" s="60" t="str">
        <f t="shared" ref="B3583:B3585" si="2568">IF(K3583=0,"hide","")</f>
        <v>hide</v>
      </c>
      <c r="D3583" s="48" t="str">
        <f>D3582</f>
        <v>46710</v>
      </c>
      <c r="E3583" s="7"/>
      <c r="F3583" s="27">
        <v>0</v>
      </c>
      <c r="G3583" s="27">
        <v>0</v>
      </c>
      <c r="H3583" s="27">
        <v>0</v>
      </c>
      <c r="I3583" s="27">
        <v>0</v>
      </c>
      <c r="J3583" s="27">
        <v>0</v>
      </c>
      <c r="K3583" s="63">
        <f>AVERAGE(I3583:J3583)</f>
        <v>0</v>
      </c>
      <c r="L3583" s="56" t="str">
        <f>"EQP-LAWPACK2"</f>
        <v>EQP-LAWPACK2</v>
      </c>
      <c r="M3583" s="14"/>
      <c r="N3583" s="15"/>
      <c r="O3583" s="12"/>
      <c r="P3583" s="34"/>
      <c r="Q3583" s="37"/>
      <c r="R3583" s="47"/>
      <c r="S3583" s="46"/>
    </row>
    <row r="3584" spans="1:19" ht="15.6" hidden="1" customHeight="1" thickBot="1" x14ac:dyDescent="0.3">
      <c r="A3584" t="s">
        <v>23</v>
      </c>
      <c r="B3584" s="60" t="str">
        <f t="shared" si="2568"/>
        <v>hide</v>
      </c>
      <c r="D3584" s="48" t="str">
        <f>D3583</f>
        <v>46710</v>
      </c>
      <c r="E3584" s="7"/>
      <c r="F3584" s="27">
        <v>0</v>
      </c>
      <c r="G3584" s="27">
        <v>0</v>
      </c>
      <c r="H3584" s="27">
        <v>0</v>
      </c>
      <c r="I3584" s="27">
        <v>0</v>
      </c>
      <c r="J3584" s="27">
        <v>0</v>
      </c>
      <c r="K3584" s="63">
        <f>AVERAGE(I3584:J3584)</f>
        <v>0</v>
      </c>
      <c r="L3584" s="56" t="str">
        <f>"SW-COMAS-PACKL"</f>
        <v>SW-COMAS-PACKL</v>
      </c>
      <c r="M3584" s="14"/>
      <c r="N3584" s="15"/>
      <c r="O3584" s="12"/>
      <c r="P3584" s="34"/>
      <c r="Q3584" s="37"/>
      <c r="R3584" s="47"/>
      <c r="S3584" s="46"/>
    </row>
    <row r="3585" spans="1:19" ht="15.6" hidden="1" customHeight="1" thickBot="1" x14ac:dyDescent="0.3">
      <c r="A3585" t="s">
        <v>23</v>
      </c>
      <c r="B3585" s="60" t="str">
        <f t="shared" si="2568"/>
        <v>hide</v>
      </c>
      <c r="D3585" s="48" t="str">
        <f>D3584</f>
        <v>46710</v>
      </c>
      <c r="E3585" s="7"/>
      <c r="F3585" s="27">
        <v>0</v>
      </c>
      <c r="G3585" s="27">
        <v>0</v>
      </c>
      <c r="H3585" s="27">
        <v>0</v>
      </c>
      <c r="I3585" s="27">
        <v>0</v>
      </c>
      <c r="J3585" s="27">
        <v>0</v>
      </c>
      <c r="K3585" s="63">
        <f>AVERAGE(I3585:J3585)</f>
        <v>0</v>
      </c>
      <c r="L3585" s="56" t="str">
        <f>"SW-RISER-PACK"</f>
        <v>SW-RISER-PACK</v>
      </c>
      <c r="M3585" s="14"/>
      <c r="N3585" s="15"/>
      <c r="O3585" s="12"/>
      <c r="P3585" s="34"/>
      <c r="Q3585" s="37"/>
      <c r="R3585" s="47"/>
      <c r="S3585" s="46"/>
    </row>
    <row r="3586" spans="1:19" ht="12" hidden="1" customHeight="1" x14ac:dyDescent="0.3">
      <c r="A3586" s="35" t="s">
        <v>908</v>
      </c>
      <c r="B3586" s="49" t="str">
        <f>B3582</f>
        <v>hide</v>
      </c>
      <c r="N3586"/>
      <c r="Q3586" s="33"/>
    </row>
    <row r="3587" spans="1:19" ht="13.8" hidden="1" thickBot="1" x14ac:dyDescent="0.3">
      <c r="A3587" t="s">
        <v>23</v>
      </c>
      <c r="B3587" s="49" t="str">
        <f t="shared" ref="B3587" si="2569">B3586</f>
        <v>hide</v>
      </c>
      <c r="D3587" s="58"/>
      <c r="E3587" s="58"/>
      <c r="F3587" s="52">
        <f>SUM(F3582:F3586)</f>
        <v>0</v>
      </c>
      <c r="G3587" s="52">
        <f>SUM(G3582:G3586)</f>
        <v>0</v>
      </c>
      <c r="H3587" s="52">
        <f>SUM(H3582:H3586)</f>
        <v>0</v>
      </c>
      <c r="I3587" s="52">
        <f>SUM(I3582:I3586)</f>
        <v>0</v>
      </c>
      <c r="J3587" s="52">
        <f>SUM(J3582:J3586)</f>
        <v>0</v>
      </c>
      <c r="K3587" s="52"/>
      <c r="L3587" s="51" t="s">
        <v>4</v>
      </c>
      <c r="M3587" s="58"/>
      <c r="N3587" s="58"/>
      <c r="O3587" s="58"/>
      <c r="P3587" s="58"/>
      <c r="Q3587" s="58"/>
      <c r="R3587" s="58"/>
      <c r="S3587" s="58"/>
    </row>
    <row r="3588" spans="1:19" s="59" customFormat="1" ht="18.75" customHeight="1" thickBot="1" x14ac:dyDescent="0.3">
      <c r="A3588" s="59" t="s">
        <v>23</v>
      </c>
      <c r="B3588" s="60" t="str">
        <f t="shared" ref="B3588:B3589" si="2570">IF(K3588=0,"hide","")</f>
        <v/>
      </c>
      <c r="D3588" s="61" t="str">
        <f>"46722"</f>
        <v>46722</v>
      </c>
      <c r="E3588" s="62" t="str">
        <f>"3"</f>
        <v>3</v>
      </c>
      <c r="F3588" s="63">
        <v>0</v>
      </c>
      <c r="G3588" s="63">
        <v>0</v>
      </c>
      <c r="H3588" s="63">
        <v>0</v>
      </c>
      <c r="I3588" s="63">
        <v>22.5</v>
      </c>
      <c r="J3588" s="63">
        <v>82.581445783132537</v>
      </c>
      <c r="K3588" s="63">
        <f>AVERAGE(I3588:J3588)</f>
        <v>52.540722891566269</v>
      </c>
      <c r="L3588" s="64" t="str">
        <f>"Lemon Poppy Mini Muffins -Sabrinas"</f>
        <v>Lemon Poppy Mini Muffins -Sabrinas</v>
      </c>
      <c r="M3588" s="65" t="str">
        <f>"216-1 oz. 18-12 pack"</f>
        <v>216-1 oz. 18-12 pack</v>
      </c>
      <c r="N3588" s="66">
        <v>216</v>
      </c>
      <c r="O3588" s="67" t="str">
        <f>""</f>
        <v/>
      </c>
      <c r="P3588" s="68" t="e">
        <f>1/O3588</f>
        <v>#VALUE!</v>
      </c>
      <c r="Q3588" s="53">
        <v>1</v>
      </c>
      <c r="R3588" s="69">
        <f t="shared" ref="R3588" si="2571">1/Q3588</f>
        <v>1</v>
      </c>
      <c r="S3588" s="70">
        <f t="shared" ref="S3588" si="2572">R3588*N3588</f>
        <v>216</v>
      </c>
    </row>
    <row r="3589" spans="1:19" ht="15.6" hidden="1" customHeight="1" thickBot="1" x14ac:dyDescent="0.3">
      <c r="A3589" t="s">
        <v>23</v>
      </c>
      <c r="B3589" s="60" t="str">
        <f t="shared" si="2570"/>
        <v>hide</v>
      </c>
      <c r="D3589" s="48" t="str">
        <f>D3588</f>
        <v>46722</v>
      </c>
      <c r="E3589" s="7"/>
      <c r="F3589" s="27">
        <v>0</v>
      </c>
      <c r="G3589" s="27">
        <v>0</v>
      </c>
      <c r="H3589" s="27">
        <v>0</v>
      </c>
      <c r="I3589" s="27">
        <v>0</v>
      </c>
      <c r="J3589" s="27">
        <v>0</v>
      </c>
      <c r="K3589" s="63">
        <f>AVERAGE(I3589:J3589)</f>
        <v>0</v>
      </c>
      <c r="L3589" s="56" t="str">
        <f>"EQP-LAWPACK1"</f>
        <v>EQP-LAWPACK1</v>
      </c>
      <c r="M3589" s="14"/>
      <c r="N3589" s="15"/>
      <c r="O3589" s="12"/>
      <c r="P3589" s="34"/>
      <c r="Q3589" s="37"/>
      <c r="R3589" s="47"/>
      <c r="S3589" s="46"/>
    </row>
    <row r="3590" spans="1:19" ht="15.6" hidden="1" customHeight="1" thickBot="1" x14ac:dyDescent="0.3">
      <c r="A3590" t="s">
        <v>23</v>
      </c>
      <c r="B3590" s="60" t="str">
        <f t="shared" ref="B3590:B3592" si="2573">IF(K3590=0,"hide","")</f>
        <v>hide</v>
      </c>
      <c r="D3590" s="48" t="str">
        <f>D3589</f>
        <v>46722</v>
      </c>
      <c r="E3590" s="7"/>
      <c r="F3590" s="27">
        <v>0</v>
      </c>
      <c r="G3590" s="27">
        <v>0</v>
      </c>
      <c r="H3590" s="27">
        <v>0</v>
      </c>
      <c r="I3590" s="27">
        <v>0</v>
      </c>
      <c r="J3590" s="27">
        <v>0</v>
      </c>
      <c r="K3590" s="63">
        <f>AVERAGE(I3590:J3590)</f>
        <v>0</v>
      </c>
      <c r="L3590" s="56" t="str">
        <f>"EQP-LAWPACK2"</f>
        <v>EQP-LAWPACK2</v>
      </c>
      <c r="M3590" s="14"/>
      <c r="N3590" s="15"/>
      <c r="O3590" s="12"/>
      <c r="P3590" s="34"/>
      <c r="Q3590" s="37"/>
      <c r="R3590" s="47"/>
      <c r="S3590" s="46"/>
    </row>
    <row r="3591" spans="1:19" ht="15.6" hidden="1" customHeight="1" thickBot="1" x14ac:dyDescent="0.3">
      <c r="A3591" t="s">
        <v>23</v>
      </c>
      <c r="B3591" s="60" t="str">
        <f t="shared" si="2573"/>
        <v>hide</v>
      </c>
      <c r="D3591" s="48" t="str">
        <f>D3590</f>
        <v>46722</v>
      </c>
      <c r="E3591" s="7"/>
      <c r="F3591" s="27">
        <v>0</v>
      </c>
      <c r="G3591" s="27">
        <v>0</v>
      </c>
      <c r="H3591" s="27">
        <v>0</v>
      </c>
      <c r="I3591" s="27">
        <v>0</v>
      </c>
      <c r="J3591" s="27">
        <v>0</v>
      </c>
      <c r="K3591" s="63">
        <f>AVERAGE(I3591:J3591)</f>
        <v>0</v>
      </c>
      <c r="L3591" s="56" t="str">
        <f>"SW-COMAS-PACKL"</f>
        <v>SW-COMAS-PACKL</v>
      </c>
      <c r="M3591" s="14"/>
      <c r="N3591" s="15"/>
      <c r="O3591" s="12"/>
      <c r="P3591" s="34"/>
      <c r="Q3591" s="37"/>
      <c r="R3591" s="47"/>
      <c r="S3591" s="46"/>
    </row>
    <row r="3592" spans="1:19" ht="15.6" hidden="1" customHeight="1" thickBot="1" x14ac:dyDescent="0.3">
      <c r="A3592" t="s">
        <v>23</v>
      </c>
      <c r="B3592" s="60" t="str">
        <f t="shared" si="2573"/>
        <v>hide</v>
      </c>
      <c r="D3592" s="48" t="str">
        <f>D3591</f>
        <v>46722</v>
      </c>
      <c r="E3592" s="7"/>
      <c r="F3592" s="27">
        <v>0</v>
      </c>
      <c r="G3592" s="27">
        <v>0</v>
      </c>
      <c r="H3592" s="27">
        <v>0</v>
      </c>
      <c r="I3592" s="27">
        <v>0</v>
      </c>
      <c r="J3592" s="27">
        <v>0</v>
      </c>
      <c r="K3592" s="63">
        <f>AVERAGE(I3592:J3592)</f>
        <v>0</v>
      </c>
      <c r="L3592" s="56" t="str">
        <f>"SW-RISER-PACK"</f>
        <v>SW-RISER-PACK</v>
      </c>
      <c r="M3592" s="14"/>
      <c r="N3592" s="15"/>
      <c r="O3592" s="12"/>
      <c r="P3592" s="34"/>
      <c r="Q3592" s="37"/>
      <c r="R3592" s="47"/>
      <c r="S3592" s="46"/>
    </row>
    <row r="3593" spans="1:19" ht="12" hidden="1" customHeight="1" x14ac:dyDescent="0.3">
      <c r="A3593" s="35" t="s">
        <v>908</v>
      </c>
      <c r="B3593" s="49" t="str">
        <f>B3589</f>
        <v>hide</v>
      </c>
      <c r="N3593"/>
      <c r="Q3593" s="33"/>
    </row>
    <row r="3594" spans="1:19" ht="13.8" hidden="1" thickBot="1" x14ac:dyDescent="0.3">
      <c r="A3594" t="s">
        <v>23</v>
      </c>
      <c r="B3594" s="49" t="str">
        <f t="shared" ref="B3594" si="2574">B3593</f>
        <v>hide</v>
      </c>
      <c r="D3594" s="58"/>
      <c r="E3594" s="58"/>
      <c r="F3594" s="52">
        <f>SUM(F3589:F3593)</f>
        <v>0</v>
      </c>
      <c r="G3594" s="52">
        <f>SUM(G3589:G3593)</f>
        <v>0</v>
      </c>
      <c r="H3594" s="52">
        <f>SUM(H3589:H3593)</f>
        <v>0</v>
      </c>
      <c r="I3594" s="52">
        <f>SUM(I3589:I3593)</f>
        <v>0</v>
      </c>
      <c r="J3594" s="52">
        <f>SUM(J3589:J3593)</f>
        <v>0</v>
      </c>
      <c r="K3594" s="52"/>
      <c r="L3594" s="51" t="s">
        <v>4</v>
      </c>
      <c r="M3594" s="58"/>
      <c r="N3594" s="58"/>
      <c r="O3594" s="58"/>
      <c r="P3594" s="58"/>
      <c r="Q3594" s="58"/>
      <c r="R3594" s="58"/>
      <c r="S3594" s="58"/>
    </row>
    <row r="3595" spans="1:19" s="59" customFormat="1" ht="18.75" customHeight="1" thickBot="1" x14ac:dyDescent="0.3">
      <c r="A3595" s="59" t="s">
        <v>23</v>
      </c>
      <c r="B3595" s="60" t="str">
        <f t="shared" ref="B3595:B3596" si="2575">IF(K3595=0,"hide","")</f>
        <v/>
      </c>
      <c r="D3595" s="61" t="str">
        <f>"46736"</f>
        <v>46736</v>
      </c>
      <c r="E3595" s="62" t="str">
        <f>"5"</f>
        <v>5</v>
      </c>
      <c r="F3595" s="63">
        <v>0</v>
      </c>
      <c r="G3595" s="63">
        <v>0</v>
      </c>
      <c r="H3595" s="63">
        <v>0</v>
      </c>
      <c r="I3595" s="63">
        <v>22.5</v>
      </c>
      <c r="J3595" s="63">
        <v>46.03012048192771</v>
      </c>
      <c r="K3595" s="63">
        <f>AVERAGE(I3595:J3595)</f>
        <v>34.265060240963855</v>
      </c>
      <c r="L3595" s="64" t="str">
        <f>"Coffee Cake Mini Muffin-Sabrinas"</f>
        <v>Coffee Cake Mini Muffin-Sabrinas</v>
      </c>
      <c r="M3595" s="65" t="str">
        <f>"216-1 oz. 18-12 pack"</f>
        <v>216-1 oz. 18-12 pack</v>
      </c>
      <c r="N3595" s="66">
        <v>216</v>
      </c>
      <c r="O3595" s="67" t="str">
        <f>""</f>
        <v/>
      </c>
      <c r="P3595" s="68" t="e">
        <f>1/O3595</f>
        <v>#VALUE!</v>
      </c>
      <c r="Q3595" s="53">
        <v>1</v>
      </c>
      <c r="R3595" s="69">
        <f t="shared" ref="R3595" si="2576">1/Q3595</f>
        <v>1</v>
      </c>
      <c r="S3595" s="70">
        <f t="shared" ref="S3595" si="2577">R3595*N3595</f>
        <v>216</v>
      </c>
    </row>
    <row r="3596" spans="1:19" ht="15.6" hidden="1" customHeight="1" thickBot="1" x14ac:dyDescent="0.3">
      <c r="A3596" t="s">
        <v>23</v>
      </c>
      <c r="B3596" s="60" t="str">
        <f t="shared" si="2575"/>
        <v>hide</v>
      </c>
      <c r="D3596" s="48" t="str">
        <f>D3595</f>
        <v>46736</v>
      </c>
      <c r="E3596" s="7"/>
      <c r="F3596" s="27">
        <v>0</v>
      </c>
      <c r="G3596" s="27">
        <v>0</v>
      </c>
      <c r="H3596" s="27">
        <v>0</v>
      </c>
      <c r="I3596" s="27">
        <v>0</v>
      </c>
      <c r="J3596" s="27">
        <v>0</v>
      </c>
      <c r="K3596" s="63">
        <f>AVERAGE(I3596:J3596)</f>
        <v>0</v>
      </c>
      <c r="L3596" s="56" t="str">
        <f>"EQP-LAWPACK1"</f>
        <v>EQP-LAWPACK1</v>
      </c>
      <c r="M3596" s="14"/>
      <c r="N3596" s="15"/>
      <c r="O3596" s="12"/>
      <c r="P3596" s="34"/>
      <c r="Q3596" s="37"/>
      <c r="R3596" s="47"/>
      <c r="S3596" s="46"/>
    </row>
    <row r="3597" spans="1:19" ht="15.6" hidden="1" customHeight="1" thickBot="1" x14ac:dyDescent="0.3">
      <c r="A3597" t="s">
        <v>23</v>
      </c>
      <c r="B3597" s="60" t="str">
        <f t="shared" ref="B3597:B3599" si="2578">IF(K3597=0,"hide","")</f>
        <v>hide</v>
      </c>
      <c r="D3597" s="48" t="str">
        <f>D3596</f>
        <v>46736</v>
      </c>
      <c r="E3597" s="7"/>
      <c r="F3597" s="27">
        <v>0</v>
      </c>
      <c r="G3597" s="27">
        <v>0</v>
      </c>
      <c r="H3597" s="27">
        <v>0</v>
      </c>
      <c r="I3597" s="27">
        <v>0</v>
      </c>
      <c r="J3597" s="27">
        <v>0</v>
      </c>
      <c r="K3597" s="63">
        <f>AVERAGE(I3597:J3597)</f>
        <v>0</v>
      </c>
      <c r="L3597" s="56" t="str">
        <f>"EQP-LAWPACK2"</f>
        <v>EQP-LAWPACK2</v>
      </c>
      <c r="M3597" s="14"/>
      <c r="N3597" s="15"/>
      <c r="O3597" s="12"/>
      <c r="P3597" s="34"/>
      <c r="Q3597" s="37"/>
      <c r="R3597" s="47"/>
      <c r="S3597" s="46"/>
    </row>
    <row r="3598" spans="1:19" ht="15.6" hidden="1" customHeight="1" thickBot="1" x14ac:dyDescent="0.3">
      <c r="A3598" t="s">
        <v>23</v>
      </c>
      <c r="B3598" s="60" t="str">
        <f t="shared" si="2578"/>
        <v>hide</v>
      </c>
      <c r="D3598" s="48" t="str">
        <f>D3597</f>
        <v>46736</v>
      </c>
      <c r="E3598" s="7"/>
      <c r="F3598" s="27">
        <v>0</v>
      </c>
      <c r="G3598" s="27">
        <v>0</v>
      </c>
      <c r="H3598" s="27">
        <v>0</v>
      </c>
      <c r="I3598" s="27">
        <v>0</v>
      </c>
      <c r="J3598" s="27">
        <v>0</v>
      </c>
      <c r="K3598" s="63">
        <f>AVERAGE(I3598:J3598)</f>
        <v>0</v>
      </c>
      <c r="L3598" s="56" t="str">
        <f>"SW-COMAS-PACKL"</f>
        <v>SW-COMAS-PACKL</v>
      </c>
      <c r="M3598" s="14"/>
      <c r="N3598" s="15"/>
      <c r="O3598" s="12"/>
      <c r="P3598" s="34"/>
      <c r="Q3598" s="37"/>
      <c r="R3598" s="47"/>
      <c r="S3598" s="46"/>
    </row>
    <row r="3599" spans="1:19" ht="15.6" hidden="1" customHeight="1" thickBot="1" x14ac:dyDescent="0.3">
      <c r="A3599" t="s">
        <v>23</v>
      </c>
      <c r="B3599" s="60" t="str">
        <f t="shared" si="2578"/>
        <v>hide</v>
      </c>
      <c r="D3599" s="48" t="str">
        <f>D3598</f>
        <v>46736</v>
      </c>
      <c r="E3599" s="7"/>
      <c r="F3599" s="27">
        <v>0</v>
      </c>
      <c r="G3599" s="27">
        <v>0</v>
      </c>
      <c r="H3599" s="27">
        <v>0</v>
      </c>
      <c r="I3599" s="27">
        <v>0</v>
      </c>
      <c r="J3599" s="27">
        <v>0</v>
      </c>
      <c r="K3599" s="63">
        <f>AVERAGE(I3599:J3599)</f>
        <v>0</v>
      </c>
      <c r="L3599" s="56" t="str">
        <f>"SW-RISER-PACK"</f>
        <v>SW-RISER-PACK</v>
      </c>
      <c r="M3599" s="14"/>
      <c r="N3599" s="15"/>
      <c r="O3599" s="12"/>
      <c r="P3599" s="34"/>
      <c r="Q3599" s="37"/>
      <c r="R3599" s="47"/>
      <c r="S3599" s="46"/>
    </row>
    <row r="3600" spans="1:19" ht="12" hidden="1" customHeight="1" x14ac:dyDescent="0.3">
      <c r="A3600" s="35" t="s">
        <v>908</v>
      </c>
      <c r="B3600" s="49" t="str">
        <f>B3596</f>
        <v>hide</v>
      </c>
      <c r="N3600"/>
      <c r="Q3600" s="33"/>
    </row>
    <row r="3601" spans="1:19" ht="13.8" hidden="1" thickBot="1" x14ac:dyDescent="0.3">
      <c r="A3601" t="s">
        <v>23</v>
      </c>
      <c r="B3601" s="49" t="str">
        <f t="shared" ref="B3601" si="2579">B3600</f>
        <v>hide</v>
      </c>
      <c r="D3601" s="58"/>
      <c r="E3601" s="58"/>
      <c r="F3601" s="52">
        <f>SUM(F3596:F3600)</f>
        <v>0</v>
      </c>
      <c r="G3601" s="52">
        <f>SUM(G3596:G3600)</f>
        <v>0</v>
      </c>
      <c r="H3601" s="52">
        <f>SUM(H3596:H3600)</f>
        <v>0</v>
      </c>
      <c r="I3601" s="52">
        <f>SUM(I3596:I3600)</f>
        <v>0</v>
      </c>
      <c r="J3601" s="52">
        <f>SUM(J3596:J3600)</f>
        <v>0</v>
      </c>
      <c r="K3601" s="52"/>
      <c r="L3601" s="51" t="s">
        <v>4</v>
      </c>
      <c r="M3601" s="58"/>
      <c r="N3601" s="58"/>
      <c r="O3601" s="58"/>
      <c r="P3601" s="58"/>
      <c r="Q3601" s="58"/>
      <c r="R3601" s="58"/>
      <c r="S3601" s="58"/>
    </row>
    <row r="3602" spans="1:19" s="59" customFormat="1" ht="18.75" hidden="1" customHeight="1" thickBot="1" x14ac:dyDescent="0.3">
      <c r="A3602" s="59" t="s">
        <v>23</v>
      </c>
      <c r="B3602" s="60" t="str">
        <f t="shared" ref="B3602:B3603" si="2580">IF(K3602=0,"hide","")</f>
        <v>hide</v>
      </c>
      <c r="D3602" s="61" t="str">
        <f>"46748"</f>
        <v>46748</v>
      </c>
      <c r="E3602" s="62" t="str">
        <f>"4"</f>
        <v>4</v>
      </c>
      <c r="F3602" s="63">
        <v>0</v>
      </c>
      <c r="G3602" s="63">
        <v>0</v>
      </c>
      <c r="H3602" s="63">
        <v>0</v>
      </c>
      <c r="I3602" s="63">
        <v>0</v>
      </c>
      <c r="J3602" s="63">
        <v>0</v>
      </c>
      <c r="K3602" s="63">
        <f>AVERAGE(I3602:J3602)</f>
        <v>0</v>
      </c>
      <c r="L3602" s="64" t="str">
        <f>""</f>
        <v/>
      </c>
      <c r="M3602" s="65" t="str">
        <f>""</f>
        <v/>
      </c>
      <c r="N3602" s="66" t="str">
        <f>""</f>
        <v/>
      </c>
      <c r="O3602" s="67" t="str">
        <f>""</f>
        <v/>
      </c>
      <c r="P3602" s="68" t="e">
        <f>1/O3602</f>
        <v>#VALUE!</v>
      </c>
      <c r="Q3602" s="53">
        <v>1</v>
      </c>
      <c r="R3602" s="69">
        <f t="shared" ref="R3602" si="2581">1/Q3602</f>
        <v>1</v>
      </c>
      <c r="S3602" s="70" t="e">
        <f t="shared" ref="S3602" si="2582">R3602*N3602</f>
        <v>#VALUE!</v>
      </c>
    </row>
    <row r="3603" spans="1:19" ht="15.6" hidden="1" customHeight="1" thickBot="1" x14ac:dyDescent="0.3">
      <c r="A3603" t="s">
        <v>23</v>
      </c>
      <c r="B3603" s="60" t="str">
        <f t="shared" si="2580"/>
        <v>hide</v>
      </c>
      <c r="D3603" s="48" t="str">
        <f>D3602</f>
        <v>46748</v>
      </c>
      <c r="E3603" s="7"/>
      <c r="F3603" s="27">
        <v>0</v>
      </c>
      <c r="G3603" s="27">
        <v>0</v>
      </c>
      <c r="H3603" s="27">
        <v>0</v>
      </c>
      <c r="I3603" s="27">
        <v>0</v>
      </c>
      <c r="J3603" s="27">
        <v>0</v>
      </c>
      <c r="K3603" s="63">
        <f>AVERAGE(I3603:J3603)</f>
        <v>0</v>
      </c>
      <c r="L3603" s="56" t="str">
        <f>"EQP-LAWPACK1"</f>
        <v>EQP-LAWPACK1</v>
      </c>
      <c r="M3603" s="14"/>
      <c r="N3603" s="15"/>
      <c r="O3603" s="12"/>
      <c r="P3603" s="34"/>
      <c r="Q3603" s="37"/>
      <c r="R3603" s="47"/>
      <c r="S3603" s="46"/>
    </row>
    <row r="3604" spans="1:19" ht="15.6" hidden="1" customHeight="1" thickBot="1" x14ac:dyDescent="0.3">
      <c r="A3604" t="s">
        <v>23</v>
      </c>
      <c r="B3604" s="60" t="str">
        <f t="shared" ref="B3604:B3606" si="2583">IF(K3604=0,"hide","")</f>
        <v>hide</v>
      </c>
      <c r="D3604" s="48" t="str">
        <f>D3603</f>
        <v>46748</v>
      </c>
      <c r="E3604" s="7"/>
      <c r="F3604" s="27">
        <v>0</v>
      </c>
      <c r="G3604" s="27">
        <v>0</v>
      </c>
      <c r="H3604" s="27">
        <v>0</v>
      </c>
      <c r="I3604" s="27">
        <v>0</v>
      </c>
      <c r="J3604" s="27">
        <v>0</v>
      </c>
      <c r="K3604" s="63">
        <f>AVERAGE(I3604:J3604)</f>
        <v>0</v>
      </c>
      <c r="L3604" s="56" t="str">
        <f>"EQP-LAWPACK2"</f>
        <v>EQP-LAWPACK2</v>
      </c>
      <c r="M3604" s="14"/>
      <c r="N3604" s="15"/>
      <c r="O3604" s="12"/>
      <c r="P3604" s="34"/>
      <c r="Q3604" s="37"/>
      <c r="R3604" s="47"/>
      <c r="S3604" s="46"/>
    </row>
    <row r="3605" spans="1:19" ht="15.6" hidden="1" customHeight="1" thickBot="1" x14ac:dyDescent="0.3">
      <c r="A3605" t="s">
        <v>23</v>
      </c>
      <c r="B3605" s="60" t="str">
        <f t="shared" si="2583"/>
        <v>hide</v>
      </c>
      <c r="D3605" s="48" t="str">
        <f>D3604</f>
        <v>46748</v>
      </c>
      <c r="E3605" s="7"/>
      <c r="F3605" s="27">
        <v>0</v>
      </c>
      <c r="G3605" s="27">
        <v>0</v>
      </c>
      <c r="H3605" s="27">
        <v>0</v>
      </c>
      <c r="I3605" s="27">
        <v>0</v>
      </c>
      <c r="J3605" s="27">
        <v>0</v>
      </c>
      <c r="K3605" s="63">
        <f>AVERAGE(I3605:J3605)</f>
        <v>0</v>
      </c>
      <c r="L3605" s="56" t="str">
        <f>"SW-COMAS-PACKL"</f>
        <v>SW-COMAS-PACKL</v>
      </c>
      <c r="M3605" s="14"/>
      <c r="N3605" s="15"/>
      <c r="O3605" s="12"/>
      <c r="P3605" s="34"/>
      <c r="Q3605" s="37"/>
      <c r="R3605" s="47"/>
      <c r="S3605" s="46"/>
    </row>
    <row r="3606" spans="1:19" ht="15.6" hidden="1" customHeight="1" thickBot="1" x14ac:dyDescent="0.3">
      <c r="A3606" t="s">
        <v>23</v>
      </c>
      <c r="B3606" s="60" t="str">
        <f t="shared" si="2583"/>
        <v>hide</v>
      </c>
      <c r="D3606" s="48" t="str">
        <f>D3605</f>
        <v>46748</v>
      </c>
      <c r="E3606" s="7"/>
      <c r="F3606" s="27">
        <v>0</v>
      </c>
      <c r="G3606" s="27">
        <v>0</v>
      </c>
      <c r="H3606" s="27">
        <v>0</v>
      </c>
      <c r="I3606" s="27">
        <v>0</v>
      </c>
      <c r="J3606" s="27">
        <v>0</v>
      </c>
      <c r="K3606" s="63">
        <f>AVERAGE(I3606:J3606)</f>
        <v>0</v>
      </c>
      <c r="L3606" s="56" t="str">
        <f>"SW-RISER-PACK"</f>
        <v>SW-RISER-PACK</v>
      </c>
      <c r="M3606" s="14"/>
      <c r="N3606" s="15"/>
      <c r="O3606" s="12"/>
      <c r="P3606" s="34"/>
      <c r="Q3606" s="37"/>
      <c r="R3606" s="47"/>
      <c r="S3606" s="46"/>
    </row>
    <row r="3607" spans="1:19" ht="12" hidden="1" customHeight="1" x14ac:dyDescent="0.3">
      <c r="A3607" s="35" t="s">
        <v>908</v>
      </c>
      <c r="B3607" s="49" t="str">
        <f>B3603</f>
        <v>hide</v>
      </c>
      <c r="N3607"/>
      <c r="Q3607" s="33"/>
    </row>
    <row r="3608" spans="1:19" ht="13.8" hidden="1" thickBot="1" x14ac:dyDescent="0.3">
      <c r="A3608" t="s">
        <v>23</v>
      </c>
      <c r="B3608" s="49" t="str">
        <f t="shared" ref="B3608" si="2584">B3607</f>
        <v>hide</v>
      </c>
      <c r="D3608" s="58"/>
      <c r="E3608" s="58"/>
      <c r="F3608" s="52">
        <f>SUM(F3603:F3607)</f>
        <v>0</v>
      </c>
      <c r="G3608" s="52">
        <f>SUM(G3603:G3607)</f>
        <v>0</v>
      </c>
      <c r="H3608" s="52">
        <f>SUM(H3603:H3607)</f>
        <v>0</v>
      </c>
      <c r="I3608" s="52">
        <f>SUM(I3603:I3607)</f>
        <v>0</v>
      </c>
      <c r="J3608" s="52">
        <f>SUM(J3603:J3607)</f>
        <v>0</v>
      </c>
      <c r="K3608" s="52"/>
      <c r="L3608" s="51" t="s">
        <v>4</v>
      </c>
      <c r="M3608" s="58"/>
      <c r="N3608" s="58"/>
      <c r="O3608" s="58"/>
      <c r="P3608" s="58"/>
      <c r="Q3608" s="58"/>
      <c r="R3608" s="58"/>
      <c r="S3608" s="58"/>
    </row>
    <row r="3609" spans="1:19" s="59" customFormat="1" ht="18.75" customHeight="1" thickBot="1" x14ac:dyDescent="0.3">
      <c r="A3609" s="59" t="s">
        <v>23</v>
      </c>
      <c r="B3609" s="60" t="str">
        <f t="shared" ref="B3609:B3610" si="2585">IF(K3609=0,"hide","")</f>
        <v/>
      </c>
      <c r="D3609" s="61" t="str">
        <f>"46751"</f>
        <v>46751</v>
      </c>
      <c r="E3609" s="62" t="str">
        <f>"3"</f>
        <v>3</v>
      </c>
      <c r="F3609" s="63">
        <v>0</v>
      </c>
      <c r="G3609" s="63">
        <v>0</v>
      </c>
      <c r="H3609" s="63">
        <v>0</v>
      </c>
      <c r="I3609" s="63">
        <v>22.5</v>
      </c>
      <c r="J3609" s="63">
        <v>67.101686746987966</v>
      </c>
      <c r="K3609" s="63">
        <f>AVERAGE(I3609:J3609)</f>
        <v>44.800843373493983</v>
      </c>
      <c r="L3609" s="64" t="str">
        <f>"Banana Mini Muffins -Sabrinas"</f>
        <v>Banana Mini Muffins -Sabrinas</v>
      </c>
      <c r="M3609" s="65" t="str">
        <f>"216-1 oz. 18-12 pack"</f>
        <v>216-1 oz. 18-12 pack</v>
      </c>
      <c r="N3609" s="66">
        <v>216</v>
      </c>
      <c r="O3609" s="67" t="str">
        <f>""</f>
        <v/>
      </c>
      <c r="P3609" s="68" t="e">
        <f>1/O3609</f>
        <v>#VALUE!</v>
      </c>
      <c r="Q3609" s="53">
        <v>1</v>
      </c>
      <c r="R3609" s="69">
        <f t="shared" ref="R3609" si="2586">1/Q3609</f>
        <v>1</v>
      </c>
      <c r="S3609" s="70">
        <f t="shared" ref="S3609" si="2587">R3609*N3609</f>
        <v>216</v>
      </c>
    </row>
    <row r="3610" spans="1:19" ht="15.6" hidden="1" customHeight="1" thickBot="1" x14ac:dyDescent="0.3">
      <c r="A3610" t="s">
        <v>23</v>
      </c>
      <c r="B3610" s="60" t="str">
        <f t="shared" si="2585"/>
        <v>hide</v>
      </c>
      <c r="D3610" s="48" t="str">
        <f>D3609</f>
        <v>46751</v>
      </c>
      <c r="E3610" s="7"/>
      <c r="F3610" s="27">
        <v>0</v>
      </c>
      <c r="G3610" s="27">
        <v>0</v>
      </c>
      <c r="H3610" s="27">
        <v>0</v>
      </c>
      <c r="I3610" s="27">
        <v>0</v>
      </c>
      <c r="J3610" s="27">
        <v>0</v>
      </c>
      <c r="K3610" s="63">
        <f>AVERAGE(I3610:J3610)</f>
        <v>0</v>
      </c>
      <c r="L3610" s="56" t="str">
        <f>"EQP-LAWPACK1"</f>
        <v>EQP-LAWPACK1</v>
      </c>
      <c r="M3610" s="14"/>
      <c r="N3610" s="15"/>
      <c r="O3610" s="12"/>
      <c r="P3610" s="34"/>
      <c r="Q3610" s="37"/>
      <c r="R3610" s="47"/>
      <c r="S3610" s="46"/>
    </row>
    <row r="3611" spans="1:19" ht="15.6" hidden="1" customHeight="1" thickBot="1" x14ac:dyDescent="0.3">
      <c r="A3611" t="s">
        <v>23</v>
      </c>
      <c r="B3611" s="60" t="str">
        <f t="shared" ref="B3611:B3613" si="2588">IF(K3611=0,"hide","")</f>
        <v>hide</v>
      </c>
      <c r="D3611" s="48" t="str">
        <f>D3610</f>
        <v>46751</v>
      </c>
      <c r="E3611" s="7"/>
      <c r="F3611" s="27">
        <v>0</v>
      </c>
      <c r="G3611" s="27">
        <v>0</v>
      </c>
      <c r="H3611" s="27">
        <v>0</v>
      </c>
      <c r="I3611" s="27">
        <v>0</v>
      </c>
      <c r="J3611" s="27">
        <v>0</v>
      </c>
      <c r="K3611" s="63">
        <f>AVERAGE(I3611:J3611)</f>
        <v>0</v>
      </c>
      <c r="L3611" s="56" t="str">
        <f>"EQP-LAWPACK2"</f>
        <v>EQP-LAWPACK2</v>
      </c>
      <c r="M3611" s="14"/>
      <c r="N3611" s="15"/>
      <c r="O3611" s="12"/>
      <c r="P3611" s="34"/>
      <c r="Q3611" s="37"/>
      <c r="R3611" s="47"/>
      <c r="S3611" s="46"/>
    </row>
    <row r="3612" spans="1:19" ht="15.6" hidden="1" customHeight="1" thickBot="1" x14ac:dyDescent="0.3">
      <c r="A3612" t="s">
        <v>23</v>
      </c>
      <c r="B3612" s="60" t="str">
        <f t="shared" si="2588"/>
        <v>hide</v>
      </c>
      <c r="D3612" s="48" t="str">
        <f>D3611</f>
        <v>46751</v>
      </c>
      <c r="E3612" s="7"/>
      <c r="F3612" s="27">
        <v>0</v>
      </c>
      <c r="G3612" s="27">
        <v>0</v>
      </c>
      <c r="H3612" s="27">
        <v>0</v>
      </c>
      <c r="I3612" s="27">
        <v>0</v>
      </c>
      <c r="J3612" s="27">
        <v>0</v>
      </c>
      <c r="K3612" s="63">
        <f>AVERAGE(I3612:J3612)</f>
        <v>0</v>
      </c>
      <c r="L3612" s="56" t="str">
        <f>"SW-COMAS-PACKL"</f>
        <v>SW-COMAS-PACKL</v>
      </c>
      <c r="M3612" s="14"/>
      <c r="N3612" s="15"/>
      <c r="O3612" s="12"/>
      <c r="P3612" s="34"/>
      <c r="Q3612" s="37"/>
      <c r="R3612" s="47"/>
      <c r="S3612" s="46"/>
    </row>
    <row r="3613" spans="1:19" ht="15.6" hidden="1" customHeight="1" thickBot="1" x14ac:dyDescent="0.3">
      <c r="A3613" t="s">
        <v>23</v>
      </c>
      <c r="B3613" s="60" t="str">
        <f t="shared" si="2588"/>
        <v>hide</v>
      </c>
      <c r="D3613" s="48" t="str">
        <f>D3612</f>
        <v>46751</v>
      </c>
      <c r="E3613" s="7"/>
      <c r="F3613" s="27">
        <v>0</v>
      </c>
      <c r="G3613" s="27">
        <v>0</v>
      </c>
      <c r="H3613" s="27">
        <v>0</v>
      </c>
      <c r="I3613" s="27">
        <v>0</v>
      </c>
      <c r="J3613" s="27">
        <v>0</v>
      </c>
      <c r="K3613" s="63">
        <f>AVERAGE(I3613:J3613)</f>
        <v>0</v>
      </c>
      <c r="L3613" s="56" t="str">
        <f>"SW-RISER-PACK"</f>
        <v>SW-RISER-PACK</v>
      </c>
      <c r="M3613" s="14"/>
      <c r="N3613" s="15"/>
      <c r="O3613" s="12"/>
      <c r="P3613" s="34"/>
      <c r="Q3613" s="37"/>
      <c r="R3613" s="47"/>
      <c r="S3613" s="46"/>
    </row>
    <row r="3614" spans="1:19" ht="12" hidden="1" customHeight="1" x14ac:dyDescent="0.3">
      <c r="A3614" s="35" t="s">
        <v>908</v>
      </c>
      <c r="B3614" s="49" t="str">
        <f>B3610</f>
        <v>hide</v>
      </c>
      <c r="N3614"/>
      <c r="Q3614" s="33"/>
    </row>
    <row r="3615" spans="1:19" ht="13.8" hidden="1" thickBot="1" x14ac:dyDescent="0.3">
      <c r="A3615" t="s">
        <v>23</v>
      </c>
      <c r="B3615" s="49" t="str">
        <f t="shared" ref="B3615" si="2589">B3614</f>
        <v>hide</v>
      </c>
      <c r="D3615" s="58"/>
      <c r="E3615" s="58"/>
      <c r="F3615" s="52">
        <f>SUM(F3610:F3614)</f>
        <v>0</v>
      </c>
      <c r="G3615" s="52">
        <f>SUM(G3610:G3614)</f>
        <v>0</v>
      </c>
      <c r="H3615" s="52">
        <f>SUM(H3610:H3614)</f>
        <v>0</v>
      </c>
      <c r="I3615" s="52">
        <f>SUM(I3610:I3614)</f>
        <v>0</v>
      </c>
      <c r="J3615" s="52">
        <f>SUM(J3610:J3614)</f>
        <v>0</v>
      </c>
      <c r="K3615" s="52"/>
      <c r="L3615" s="51" t="s">
        <v>4</v>
      </c>
      <c r="M3615" s="58"/>
      <c r="N3615" s="58"/>
      <c r="O3615" s="58"/>
      <c r="P3615" s="58"/>
      <c r="Q3615" s="58"/>
      <c r="R3615" s="58"/>
      <c r="S3615" s="58"/>
    </row>
    <row r="3616" spans="1:19" s="59" customFormat="1" ht="18.75" hidden="1" customHeight="1" thickBot="1" x14ac:dyDescent="0.3">
      <c r="A3616" s="59" t="s">
        <v>23</v>
      </c>
      <c r="B3616" s="60" t="str">
        <f t="shared" ref="B3616:B3617" si="2590">IF(K3616=0,"hide","")</f>
        <v>hide</v>
      </c>
      <c r="D3616" s="61" t="str">
        <f>"47771"</f>
        <v>47771</v>
      </c>
      <c r="E3616" s="62" t="str">
        <f>""</f>
        <v/>
      </c>
      <c r="F3616" s="63">
        <v>0</v>
      </c>
      <c r="G3616" s="63">
        <v>0</v>
      </c>
      <c r="H3616" s="63">
        <v>0</v>
      </c>
      <c r="I3616" s="63">
        <v>0</v>
      </c>
      <c r="J3616" s="63">
        <v>0</v>
      </c>
      <c r="K3616" s="63">
        <f>AVERAGE(I3616:J3616)</f>
        <v>0</v>
      </c>
      <c r="L3616" s="64" t="str">
        <f>""</f>
        <v/>
      </c>
      <c r="M3616" s="65" t="str">
        <f>""</f>
        <v/>
      </c>
      <c r="N3616" s="66" t="str">
        <f>""</f>
        <v/>
      </c>
      <c r="O3616" s="67" t="e">
        <v>#VALUE!</v>
      </c>
      <c r="P3616" s="68" t="e">
        <f>1/O3616</f>
        <v>#VALUE!</v>
      </c>
      <c r="Q3616" s="53" t="e">
        <v>#VALUE!</v>
      </c>
      <c r="R3616" s="69" t="e">
        <f t="shared" ref="R3616" si="2591">1/Q3616</f>
        <v>#VALUE!</v>
      </c>
      <c r="S3616" s="70" t="e">
        <f t="shared" ref="S3616" si="2592">R3616*N3616</f>
        <v>#VALUE!</v>
      </c>
    </row>
    <row r="3617" spans="1:19" ht="15.6" hidden="1" customHeight="1" thickBot="1" x14ac:dyDescent="0.3">
      <c r="A3617" t="s">
        <v>23</v>
      </c>
      <c r="B3617" s="60" t="str">
        <f t="shared" si="2590"/>
        <v>hide</v>
      </c>
      <c r="D3617" s="48" t="str">
        <f>D3616</f>
        <v>47771</v>
      </c>
      <c r="E3617" s="7"/>
      <c r="F3617" s="27">
        <v>0</v>
      </c>
      <c r="G3617" s="27">
        <v>0</v>
      </c>
      <c r="H3617" s="27">
        <v>0</v>
      </c>
      <c r="I3617" s="27">
        <v>0</v>
      </c>
      <c r="J3617" s="27">
        <v>0</v>
      </c>
      <c r="K3617" s="63">
        <f>AVERAGE(I3617:J3617)</f>
        <v>0</v>
      </c>
      <c r="L3617" s="56" t="str">
        <f>"EQP-LAWPACK1"</f>
        <v>EQP-LAWPACK1</v>
      </c>
      <c r="M3617" s="14"/>
      <c r="N3617" s="15"/>
      <c r="O3617" s="12"/>
      <c r="P3617" s="34"/>
      <c r="Q3617" s="37"/>
      <c r="R3617" s="47"/>
      <c r="S3617" s="46"/>
    </row>
    <row r="3618" spans="1:19" ht="15.6" hidden="1" customHeight="1" thickBot="1" x14ac:dyDescent="0.3">
      <c r="A3618" t="s">
        <v>23</v>
      </c>
      <c r="B3618" s="60" t="str">
        <f t="shared" ref="B3618:B3620" si="2593">IF(K3618=0,"hide","")</f>
        <v>hide</v>
      </c>
      <c r="D3618" s="48" t="str">
        <f>D3617</f>
        <v>47771</v>
      </c>
      <c r="E3618" s="7"/>
      <c r="F3618" s="27">
        <v>0</v>
      </c>
      <c r="G3618" s="27">
        <v>0</v>
      </c>
      <c r="H3618" s="27">
        <v>0</v>
      </c>
      <c r="I3618" s="27">
        <v>0</v>
      </c>
      <c r="J3618" s="27">
        <v>0</v>
      </c>
      <c r="K3618" s="63">
        <f>AVERAGE(I3618:J3618)</f>
        <v>0</v>
      </c>
      <c r="L3618" s="56" t="str">
        <f>"EQP-LAWPACK2"</f>
        <v>EQP-LAWPACK2</v>
      </c>
      <c r="M3618" s="14"/>
      <c r="N3618" s="15"/>
      <c r="O3618" s="12"/>
      <c r="P3618" s="34"/>
      <c r="Q3618" s="37"/>
      <c r="R3618" s="47"/>
      <c r="S3618" s="46"/>
    </row>
    <row r="3619" spans="1:19" ht="15.6" hidden="1" customHeight="1" thickBot="1" x14ac:dyDescent="0.3">
      <c r="A3619" t="s">
        <v>23</v>
      </c>
      <c r="B3619" s="60" t="str">
        <f t="shared" si="2593"/>
        <v>hide</v>
      </c>
      <c r="D3619" s="48" t="str">
        <f>D3618</f>
        <v>47771</v>
      </c>
      <c r="E3619" s="7"/>
      <c r="F3619" s="27">
        <v>0</v>
      </c>
      <c r="G3619" s="27">
        <v>0</v>
      </c>
      <c r="H3619" s="27">
        <v>0</v>
      </c>
      <c r="I3619" s="27">
        <v>0</v>
      </c>
      <c r="J3619" s="27">
        <v>0</v>
      </c>
      <c r="K3619" s="63">
        <f>AVERAGE(I3619:J3619)</f>
        <v>0</v>
      </c>
      <c r="L3619" s="56" t="str">
        <f>"SW-COMAS-PACKL"</f>
        <v>SW-COMAS-PACKL</v>
      </c>
      <c r="M3619" s="14"/>
      <c r="N3619" s="15"/>
      <c r="O3619" s="12"/>
      <c r="P3619" s="34"/>
      <c r="Q3619" s="37"/>
      <c r="R3619" s="47"/>
      <c r="S3619" s="46"/>
    </row>
    <row r="3620" spans="1:19" ht="15.6" hidden="1" customHeight="1" thickBot="1" x14ac:dyDescent="0.3">
      <c r="A3620" t="s">
        <v>23</v>
      </c>
      <c r="B3620" s="60" t="str">
        <f t="shared" si="2593"/>
        <v>hide</v>
      </c>
      <c r="D3620" s="48" t="str">
        <f>D3619</f>
        <v>47771</v>
      </c>
      <c r="E3620" s="7"/>
      <c r="F3620" s="27">
        <v>0</v>
      </c>
      <c r="G3620" s="27">
        <v>0</v>
      </c>
      <c r="H3620" s="27">
        <v>0</v>
      </c>
      <c r="I3620" s="27">
        <v>0</v>
      </c>
      <c r="J3620" s="27">
        <v>0</v>
      </c>
      <c r="K3620" s="63">
        <f>AVERAGE(I3620:J3620)</f>
        <v>0</v>
      </c>
      <c r="L3620" s="56" t="str">
        <f>"SW-RISER-PACK"</f>
        <v>SW-RISER-PACK</v>
      </c>
      <c r="M3620" s="14"/>
      <c r="N3620" s="15"/>
      <c r="O3620" s="12"/>
      <c r="P3620" s="34"/>
      <c r="Q3620" s="37"/>
      <c r="R3620" s="47"/>
      <c r="S3620" s="46"/>
    </row>
    <row r="3621" spans="1:19" ht="12" hidden="1" customHeight="1" x14ac:dyDescent="0.3">
      <c r="A3621" s="35" t="s">
        <v>908</v>
      </c>
      <c r="B3621" s="49" t="str">
        <f>B3617</f>
        <v>hide</v>
      </c>
      <c r="N3621"/>
      <c r="Q3621" s="33"/>
    </row>
    <row r="3622" spans="1:19" ht="13.8" hidden="1" thickBot="1" x14ac:dyDescent="0.3">
      <c r="A3622" t="s">
        <v>23</v>
      </c>
      <c r="B3622" s="49" t="str">
        <f t="shared" ref="B3622" si="2594">B3621</f>
        <v>hide</v>
      </c>
      <c r="D3622" s="58"/>
      <c r="E3622" s="58"/>
      <c r="F3622" s="52">
        <f>SUM(F3617:F3621)</f>
        <v>0</v>
      </c>
      <c r="G3622" s="52">
        <f>SUM(G3617:G3621)</f>
        <v>0</v>
      </c>
      <c r="H3622" s="52">
        <f>SUM(H3617:H3621)</f>
        <v>0</v>
      </c>
      <c r="I3622" s="52">
        <f>SUM(I3617:I3621)</f>
        <v>0</v>
      </c>
      <c r="J3622" s="52">
        <f>SUM(J3617:J3621)</f>
        <v>0</v>
      </c>
      <c r="K3622" s="52"/>
      <c r="L3622" s="51" t="s">
        <v>4</v>
      </c>
      <c r="M3622" s="58"/>
      <c r="N3622" s="58"/>
      <c r="O3622" s="58"/>
      <c r="P3622" s="58"/>
      <c r="Q3622" s="58"/>
      <c r="R3622" s="58"/>
      <c r="S3622" s="58"/>
    </row>
    <row r="3623" spans="1:19" s="59" customFormat="1" ht="18.75" hidden="1" customHeight="1" thickBot="1" x14ac:dyDescent="0.3">
      <c r="A3623" s="59" t="s">
        <v>23</v>
      </c>
      <c r="B3623" s="60" t="str">
        <f t="shared" ref="B3623:B3624" si="2595">IF(K3623=0,"hide","")</f>
        <v>hide</v>
      </c>
      <c r="D3623" s="61" t="str">
        <f>"47772"</f>
        <v>47772</v>
      </c>
      <c r="E3623" s="62" t="str">
        <f>""</f>
        <v/>
      </c>
      <c r="F3623" s="63">
        <v>0</v>
      </c>
      <c r="G3623" s="63">
        <v>0</v>
      </c>
      <c r="H3623" s="63">
        <v>0</v>
      </c>
      <c r="I3623" s="63">
        <v>0</v>
      </c>
      <c r="J3623" s="63">
        <v>0</v>
      </c>
      <c r="K3623" s="63">
        <f>AVERAGE(I3623:J3623)</f>
        <v>0</v>
      </c>
      <c r="L3623" s="64" t="str">
        <f>""</f>
        <v/>
      </c>
      <c r="M3623" s="65" t="str">
        <f>""</f>
        <v/>
      </c>
      <c r="N3623" s="66" t="str">
        <f>""</f>
        <v/>
      </c>
      <c r="O3623" s="67" t="e">
        <v>#VALUE!</v>
      </c>
      <c r="P3623" s="68" t="e">
        <f>1/O3623</f>
        <v>#VALUE!</v>
      </c>
      <c r="Q3623" s="53" t="e">
        <v>#VALUE!</v>
      </c>
      <c r="R3623" s="69" t="e">
        <f t="shared" ref="R3623" si="2596">1/Q3623</f>
        <v>#VALUE!</v>
      </c>
      <c r="S3623" s="70" t="e">
        <f t="shared" ref="S3623" si="2597">R3623*N3623</f>
        <v>#VALUE!</v>
      </c>
    </row>
    <row r="3624" spans="1:19" ht="15.6" hidden="1" customHeight="1" thickBot="1" x14ac:dyDescent="0.3">
      <c r="A3624" t="s">
        <v>23</v>
      </c>
      <c r="B3624" s="60" t="str">
        <f t="shared" si="2595"/>
        <v>hide</v>
      </c>
      <c r="D3624" s="48" t="str">
        <f>D3623</f>
        <v>47772</v>
      </c>
      <c r="E3624" s="7"/>
      <c r="F3624" s="27">
        <v>0</v>
      </c>
      <c r="G3624" s="27">
        <v>0</v>
      </c>
      <c r="H3624" s="27">
        <v>0</v>
      </c>
      <c r="I3624" s="27">
        <v>0</v>
      </c>
      <c r="J3624" s="27">
        <v>0</v>
      </c>
      <c r="K3624" s="63">
        <f>AVERAGE(I3624:J3624)</f>
        <v>0</v>
      </c>
      <c r="L3624" s="56" t="str">
        <f>"EQP-LAWPACK1"</f>
        <v>EQP-LAWPACK1</v>
      </c>
      <c r="M3624" s="14"/>
      <c r="N3624" s="15"/>
      <c r="O3624" s="12"/>
      <c r="P3624" s="34"/>
      <c r="Q3624" s="37"/>
      <c r="R3624" s="47"/>
      <c r="S3624" s="46"/>
    </row>
    <row r="3625" spans="1:19" ht="15.6" hidden="1" customHeight="1" thickBot="1" x14ac:dyDescent="0.3">
      <c r="A3625" t="s">
        <v>23</v>
      </c>
      <c r="B3625" s="60" t="str">
        <f t="shared" ref="B3625:B3627" si="2598">IF(K3625=0,"hide","")</f>
        <v>hide</v>
      </c>
      <c r="D3625" s="48" t="str">
        <f>D3624</f>
        <v>47772</v>
      </c>
      <c r="E3625" s="7"/>
      <c r="F3625" s="27">
        <v>0</v>
      </c>
      <c r="G3625" s="27">
        <v>0</v>
      </c>
      <c r="H3625" s="27">
        <v>0</v>
      </c>
      <c r="I3625" s="27">
        <v>0</v>
      </c>
      <c r="J3625" s="27">
        <v>0</v>
      </c>
      <c r="K3625" s="63">
        <f>AVERAGE(I3625:J3625)</f>
        <v>0</v>
      </c>
      <c r="L3625" s="56" t="str">
        <f>"EQP-LAWPACK2"</f>
        <v>EQP-LAWPACK2</v>
      </c>
      <c r="M3625" s="14"/>
      <c r="N3625" s="15"/>
      <c r="O3625" s="12"/>
      <c r="P3625" s="34"/>
      <c r="Q3625" s="37"/>
      <c r="R3625" s="47"/>
      <c r="S3625" s="46"/>
    </row>
    <row r="3626" spans="1:19" ht="15.6" hidden="1" customHeight="1" thickBot="1" x14ac:dyDescent="0.3">
      <c r="A3626" t="s">
        <v>23</v>
      </c>
      <c r="B3626" s="60" t="str">
        <f t="shared" si="2598"/>
        <v>hide</v>
      </c>
      <c r="D3626" s="48" t="str">
        <f>D3625</f>
        <v>47772</v>
      </c>
      <c r="E3626" s="7"/>
      <c r="F3626" s="27">
        <v>0</v>
      </c>
      <c r="G3626" s="27">
        <v>0</v>
      </c>
      <c r="H3626" s="27">
        <v>0</v>
      </c>
      <c r="I3626" s="27">
        <v>0</v>
      </c>
      <c r="J3626" s="27">
        <v>0</v>
      </c>
      <c r="K3626" s="63">
        <f>AVERAGE(I3626:J3626)</f>
        <v>0</v>
      </c>
      <c r="L3626" s="56" t="str">
        <f>"SW-COMAS-PACKL"</f>
        <v>SW-COMAS-PACKL</v>
      </c>
      <c r="M3626" s="14"/>
      <c r="N3626" s="15"/>
      <c r="O3626" s="12"/>
      <c r="P3626" s="34"/>
      <c r="Q3626" s="37"/>
      <c r="R3626" s="47"/>
      <c r="S3626" s="46"/>
    </row>
    <row r="3627" spans="1:19" ht="15.6" hidden="1" customHeight="1" thickBot="1" x14ac:dyDescent="0.3">
      <c r="A3627" t="s">
        <v>23</v>
      </c>
      <c r="B3627" s="60" t="str">
        <f t="shared" si="2598"/>
        <v>hide</v>
      </c>
      <c r="D3627" s="48" t="str">
        <f>D3626</f>
        <v>47772</v>
      </c>
      <c r="E3627" s="7"/>
      <c r="F3627" s="27">
        <v>0</v>
      </c>
      <c r="G3627" s="27">
        <v>0</v>
      </c>
      <c r="H3627" s="27">
        <v>0</v>
      </c>
      <c r="I3627" s="27">
        <v>0</v>
      </c>
      <c r="J3627" s="27">
        <v>0</v>
      </c>
      <c r="K3627" s="63">
        <f>AVERAGE(I3627:J3627)</f>
        <v>0</v>
      </c>
      <c r="L3627" s="56" t="str">
        <f>"SW-RISER-PACK"</f>
        <v>SW-RISER-PACK</v>
      </c>
      <c r="M3627" s="14"/>
      <c r="N3627" s="15"/>
      <c r="O3627" s="12"/>
      <c r="P3627" s="34"/>
      <c r="Q3627" s="37"/>
      <c r="R3627" s="47"/>
      <c r="S3627" s="46"/>
    </row>
    <row r="3628" spans="1:19" ht="12" hidden="1" customHeight="1" x14ac:dyDescent="0.3">
      <c r="A3628" s="35" t="s">
        <v>908</v>
      </c>
      <c r="B3628" s="49" t="str">
        <f>B3624</f>
        <v>hide</v>
      </c>
      <c r="N3628"/>
      <c r="Q3628" s="33"/>
    </row>
    <row r="3629" spans="1:19" ht="13.8" hidden="1" thickBot="1" x14ac:dyDescent="0.3">
      <c r="A3629" t="s">
        <v>23</v>
      </c>
      <c r="B3629" s="49" t="str">
        <f t="shared" ref="B3629" si="2599">B3628</f>
        <v>hide</v>
      </c>
      <c r="D3629" s="58"/>
      <c r="E3629" s="58"/>
      <c r="F3629" s="52">
        <f>SUM(F3624:F3628)</f>
        <v>0</v>
      </c>
      <c r="G3629" s="52">
        <f>SUM(G3624:G3628)</f>
        <v>0</v>
      </c>
      <c r="H3629" s="52">
        <f>SUM(H3624:H3628)</f>
        <v>0</v>
      </c>
      <c r="I3629" s="52">
        <f>SUM(I3624:I3628)</f>
        <v>0</v>
      </c>
      <c r="J3629" s="52">
        <f>SUM(J3624:J3628)</f>
        <v>0</v>
      </c>
      <c r="K3629" s="52"/>
      <c r="L3629" s="51" t="s">
        <v>4</v>
      </c>
      <c r="M3629" s="58"/>
      <c r="N3629" s="58"/>
      <c r="O3629" s="58"/>
      <c r="P3629" s="58"/>
      <c r="Q3629" s="58"/>
      <c r="R3629" s="58"/>
      <c r="S3629" s="58"/>
    </row>
    <row r="3630" spans="1:19" s="59" customFormat="1" ht="18.75" hidden="1" customHeight="1" thickBot="1" x14ac:dyDescent="0.3">
      <c r="A3630" s="59" t="s">
        <v>23</v>
      </c>
      <c r="B3630" s="60" t="str">
        <f t="shared" ref="B3630:B3631" si="2600">IF(K3630=0,"hide","")</f>
        <v>hide</v>
      </c>
      <c r="D3630" s="61" t="str">
        <f>"47773"</f>
        <v>47773</v>
      </c>
      <c r="E3630" s="62" t="str">
        <f>""</f>
        <v/>
      </c>
      <c r="F3630" s="63">
        <v>0</v>
      </c>
      <c r="G3630" s="63">
        <v>0</v>
      </c>
      <c r="H3630" s="63">
        <v>0</v>
      </c>
      <c r="I3630" s="63">
        <v>0</v>
      </c>
      <c r="J3630" s="63">
        <v>0</v>
      </c>
      <c r="K3630" s="63">
        <f>AVERAGE(I3630:J3630)</f>
        <v>0</v>
      </c>
      <c r="L3630" s="64" t="str">
        <f>""</f>
        <v/>
      </c>
      <c r="M3630" s="65" t="str">
        <f>""</f>
        <v/>
      </c>
      <c r="N3630" s="66" t="str">
        <f>""</f>
        <v/>
      </c>
      <c r="O3630" s="67" t="e">
        <v>#VALUE!</v>
      </c>
      <c r="P3630" s="68" t="e">
        <f>1/O3630</f>
        <v>#VALUE!</v>
      </c>
      <c r="Q3630" s="53" t="e">
        <v>#VALUE!</v>
      </c>
      <c r="R3630" s="69" t="e">
        <f t="shared" ref="R3630" si="2601">1/Q3630</f>
        <v>#VALUE!</v>
      </c>
      <c r="S3630" s="70" t="e">
        <f t="shared" ref="S3630" si="2602">R3630*N3630</f>
        <v>#VALUE!</v>
      </c>
    </row>
    <row r="3631" spans="1:19" ht="15.6" hidden="1" customHeight="1" thickBot="1" x14ac:dyDescent="0.3">
      <c r="A3631" t="s">
        <v>23</v>
      </c>
      <c r="B3631" s="60" t="str">
        <f t="shared" si="2600"/>
        <v>hide</v>
      </c>
      <c r="D3631" s="48" t="str">
        <f>D3630</f>
        <v>47773</v>
      </c>
      <c r="E3631" s="7"/>
      <c r="F3631" s="27">
        <v>0</v>
      </c>
      <c r="G3631" s="27">
        <v>0</v>
      </c>
      <c r="H3631" s="27">
        <v>0</v>
      </c>
      <c r="I3631" s="27">
        <v>0</v>
      </c>
      <c r="J3631" s="27">
        <v>0</v>
      </c>
      <c r="K3631" s="63">
        <f>AVERAGE(I3631:J3631)</f>
        <v>0</v>
      </c>
      <c r="L3631" s="56" t="str">
        <f>"EQP-LAWPACK1"</f>
        <v>EQP-LAWPACK1</v>
      </c>
      <c r="M3631" s="14"/>
      <c r="N3631" s="15"/>
      <c r="O3631" s="12"/>
      <c r="P3631" s="34"/>
      <c r="Q3631" s="37"/>
      <c r="R3631" s="47"/>
      <c r="S3631" s="46"/>
    </row>
    <row r="3632" spans="1:19" ht="15.6" hidden="1" customHeight="1" thickBot="1" x14ac:dyDescent="0.3">
      <c r="A3632" t="s">
        <v>23</v>
      </c>
      <c r="B3632" s="60" t="str">
        <f t="shared" ref="B3632:B3634" si="2603">IF(K3632=0,"hide","")</f>
        <v>hide</v>
      </c>
      <c r="D3632" s="48" t="str">
        <f>D3631</f>
        <v>47773</v>
      </c>
      <c r="E3632" s="7"/>
      <c r="F3632" s="27">
        <v>0</v>
      </c>
      <c r="G3632" s="27">
        <v>0</v>
      </c>
      <c r="H3632" s="27">
        <v>0</v>
      </c>
      <c r="I3632" s="27">
        <v>0</v>
      </c>
      <c r="J3632" s="27">
        <v>0</v>
      </c>
      <c r="K3632" s="63">
        <f>AVERAGE(I3632:J3632)</f>
        <v>0</v>
      </c>
      <c r="L3632" s="56" t="str">
        <f>"EQP-LAWPACK2"</f>
        <v>EQP-LAWPACK2</v>
      </c>
      <c r="M3632" s="14"/>
      <c r="N3632" s="15"/>
      <c r="O3632" s="12"/>
      <c r="P3632" s="34"/>
      <c r="Q3632" s="37"/>
      <c r="R3632" s="47"/>
      <c r="S3632" s="46"/>
    </row>
    <row r="3633" spans="1:19" ht="15.6" hidden="1" customHeight="1" thickBot="1" x14ac:dyDescent="0.3">
      <c r="A3633" t="s">
        <v>23</v>
      </c>
      <c r="B3633" s="60" t="str">
        <f t="shared" si="2603"/>
        <v>hide</v>
      </c>
      <c r="D3633" s="48" t="str">
        <f>D3632</f>
        <v>47773</v>
      </c>
      <c r="E3633" s="7"/>
      <c r="F3633" s="27">
        <v>0</v>
      </c>
      <c r="G3633" s="27">
        <v>0</v>
      </c>
      <c r="H3633" s="27">
        <v>0</v>
      </c>
      <c r="I3633" s="27">
        <v>0</v>
      </c>
      <c r="J3633" s="27">
        <v>0</v>
      </c>
      <c r="K3633" s="63">
        <f>AVERAGE(I3633:J3633)</f>
        <v>0</v>
      </c>
      <c r="L3633" s="56" t="str">
        <f>"SW-COMAS-PACKL"</f>
        <v>SW-COMAS-PACKL</v>
      </c>
      <c r="M3633" s="14"/>
      <c r="N3633" s="15"/>
      <c r="O3633" s="12"/>
      <c r="P3633" s="34"/>
      <c r="Q3633" s="37"/>
      <c r="R3633" s="47"/>
      <c r="S3633" s="46"/>
    </row>
    <row r="3634" spans="1:19" ht="15.6" hidden="1" customHeight="1" thickBot="1" x14ac:dyDescent="0.3">
      <c r="A3634" t="s">
        <v>23</v>
      </c>
      <c r="B3634" s="60" t="str">
        <f t="shared" si="2603"/>
        <v>hide</v>
      </c>
      <c r="D3634" s="48" t="str">
        <f>D3633</f>
        <v>47773</v>
      </c>
      <c r="E3634" s="7"/>
      <c r="F3634" s="27">
        <v>0</v>
      </c>
      <c r="G3634" s="27">
        <v>0</v>
      </c>
      <c r="H3634" s="27">
        <v>0</v>
      </c>
      <c r="I3634" s="27">
        <v>0</v>
      </c>
      <c r="J3634" s="27">
        <v>0</v>
      </c>
      <c r="K3634" s="63">
        <f>AVERAGE(I3634:J3634)</f>
        <v>0</v>
      </c>
      <c r="L3634" s="56" t="str">
        <f>"SW-RISER-PACK"</f>
        <v>SW-RISER-PACK</v>
      </c>
      <c r="M3634" s="14"/>
      <c r="N3634" s="15"/>
      <c r="O3634" s="12"/>
      <c r="P3634" s="34"/>
      <c r="Q3634" s="37"/>
      <c r="R3634" s="47"/>
      <c r="S3634" s="46"/>
    </row>
    <row r="3635" spans="1:19" ht="12" hidden="1" customHeight="1" x14ac:dyDescent="0.3">
      <c r="A3635" s="35" t="s">
        <v>908</v>
      </c>
      <c r="B3635" s="49" t="str">
        <f>B3631</f>
        <v>hide</v>
      </c>
      <c r="N3635"/>
      <c r="Q3635" s="33"/>
    </row>
    <row r="3636" spans="1:19" ht="13.8" hidden="1" thickBot="1" x14ac:dyDescent="0.3">
      <c r="A3636" t="s">
        <v>23</v>
      </c>
      <c r="B3636" s="49" t="str">
        <f t="shared" ref="B3636" si="2604">B3635</f>
        <v>hide</v>
      </c>
      <c r="D3636" s="58"/>
      <c r="E3636" s="58"/>
      <c r="F3636" s="52">
        <f>SUM(F3631:F3635)</f>
        <v>0</v>
      </c>
      <c r="G3636" s="52">
        <f>SUM(G3631:G3635)</f>
        <v>0</v>
      </c>
      <c r="H3636" s="52">
        <f>SUM(H3631:H3635)</f>
        <v>0</v>
      </c>
      <c r="I3636" s="52">
        <f>SUM(I3631:I3635)</f>
        <v>0</v>
      </c>
      <c r="J3636" s="52">
        <f>SUM(J3631:J3635)</f>
        <v>0</v>
      </c>
      <c r="K3636" s="52"/>
      <c r="L3636" s="51" t="s">
        <v>4</v>
      </c>
      <c r="M3636" s="58"/>
      <c r="N3636" s="58"/>
      <c r="O3636" s="58"/>
      <c r="P3636" s="58"/>
      <c r="Q3636" s="58"/>
      <c r="R3636" s="58"/>
      <c r="S3636" s="58"/>
    </row>
    <row r="3637" spans="1:19" s="59" customFormat="1" ht="18.75" hidden="1" customHeight="1" thickBot="1" x14ac:dyDescent="0.3">
      <c r="A3637" s="59" t="s">
        <v>23</v>
      </c>
      <c r="B3637" s="60" t="str">
        <f t="shared" ref="B3637:B3638" si="2605">IF(K3637=0,"hide","")</f>
        <v>hide</v>
      </c>
      <c r="D3637" s="61" t="str">
        <f>"47774"</f>
        <v>47774</v>
      </c>
      <c r="E3637" s="62" t="str">
        <f>""</f>
        <v/>
      </c>
      <c r="F3637" s="63">
        <v>0</v>
      </c>
      <c r="G3637" s="63">
        <v>0</v>
      </c>
      <c r="H3637" s="63">
        <v>0</v>
      </c>
      <c r="I3637" s="63">
        <v>0</v>
      </c>
      <c r="J3637" s="63">
        <v>0</v>
      </c>
      <c r="K3637" s="63">
        <f>AVERAGE(I3637:J3637)</f>
        <v>0</v>
      </c>
      <c r="L3637" s="64" t="str">
        <f>""</f>
        <v/>
      </c>
      <c r="M3637" s="65" t="str">
        <f>""</f>
        <v/>
      </c>
      <c r="N3637" s="66" t="str">
        <f>""</f>
        <v/>
      </c>
      <c r="O3637" s="67" t="e">
        <v>#VALUE!</v>
      </c>
      <c r="P3637" s="68" t="e">
        <f>1/O3637</f>
        <v>#VALUE!</v>
      </c>
      <c r="Q3637" s="53" t="e">
        <v>#VALUE!</v>
      </c>
      <c r="R3637" s="69" t="e">
        <f t="shared" ref="R3637" si="2606">1/Q3637</f>
        <v>#VALUE!</v>
      </c>
      <c r="S3637" s="70" t="e">
        <f t="shared" ref="S3637" si="2607">R3637*N3637</f>
        <v>#VALUE!</v>
      </c>
    </row>
    <row r="3638" spans="1:19" ht="15.6" hidden="1" customHeight="1" thickBot="1" x14ac:dyDescent="0.3">
      <c r="A3638" t="s">
        <v>23</v>
      </c>
      <c r="B3638" s="60" t="str">
        <f t="shared" si="2605"/>
        <v>hide</v>
      </c>
      <c r="D3638" s="48" t="str">
        <f>D3637</f>
        <v>47774</v>
      </c>
      <c r="E3638" s="7"/>
      <c r="F3638" s="27">
        <v>0</v>
      </c>
      <c r="G3638" s="27">
        <v>0</v>
      </c>
      <c r="H3638" s="27">
        <v>0</v>
      </c>
      <c r="I3638" s="27">
        <v>0</v>
      </c>
      <c r="J3638" s="27">
        <v>0</v>
      </c>
      <c r="K3638" s="63">
        <f>AVERAGE(I3638:J3638)</f>
        <v>0</v>
      </c>
      <c r="L3638" s="56" t="str">
        <f>"EQP-LAWPACK1"</f>
        <v>EQP-LAWPACK1</v>
      </c>
      <c r="M3638" s="14"/>
      <c r="N3638" s="15"/>
      <c r="O3638" s="12"/>
      <c r="P3638" s="34"/>
      <c r="Q3638" s="37"/>
      <c r="R3638" s="47"/>
      <c r="S3638" s="46"/>
    </row>
    <row r="3639" spans="1:19" ht="15.6" hidden="1" customHeight="1" thickBot="1" x14ac:dyDescent="0.3">
      <c r="A3639" t="s">
        <v>23</v>
      </c>
      <c r="B3639" s="60" t="str">
        <f t="shared" ref="B3639:B3641" si="2608">IF(K3639=0,"hide","")</f>
        <v>hide</v>
      </c>
      <c r="D3639" s="48" t="str">
        <f>D3638</f>
        <v>47774</v>
      </c>
      <c r="E3639" s="7"/>
      <c r="F3639" s="27">
        <v>0</v>
      </c>
      <c r="G3639" s="27">
        <v>0</v>
      </c>
      <c r="H3639" s="27">
        <v>0</v>
      </c>
      <c r="I3639" s="27">
        <v>0</v>
      </c>
      <c r="J3639" s="27">
        <v>0</v>
      </c>
      <c r="K3639" s="63">
        <f>AVERAGE(I3639:J3639)</f>
        <v>0</v>
      </c>
      <c r="L3639" s="56" t="str">
        <f>"EQP-LAWPACK2"</f>
        <v>EQP-LAWPACK2</v>
      </c>
      <c r="M3639" s="14"/>
      <c r="N3639" s="15"/>
      <c r="O3639" s="12"/>
      <c r="P3639" s="34"/>
      <c r="Q3639" s="37"/>
      <c r="R3639" s="47"/>
      <c r="S3639" s="46"/>
    </row>
    <row r="3640" spans="1:19" ht="15.6" hidden="1" customHeight="1" thickBot="1" x14ac:dyDescent="0.3">
      <c r="A3640" t="s">
        <v>23</v>
      </c>
      <c r="B3640" s="60" t="str">
        <f t="shared" si="2608"/>
        <v>hide</v>
      </c>
      <c r="D3640" s="48" t="str">
        <f>D3639</f>
        <v>47774</v>
      </c>
      <c r="E3640" s="7"/>
      <c r="F3640" s="27">
        <v>0</v>
      </c>
      <c r="G3640" s="27">
        <v>0</v>
      </c>
      <c r="H3640" s="27">
        <v>0</v>
      </c>
      <c r="I3640" s="27">
        <v>0</v>
      </c>
      <c r="J3640" s="27">
        <v>0</v>
      </c>
      <c r="K3640" s="63">
        <f>AVERAGE(I3640:J3640)</f>
        <v>0</v>
      </c>
      <c r="L3640" s="56" t="str">
        <f>"SW-COMAS-PACKL"</f>
        <v>SW-COMAS-PACKL</v>
      </c>
      <c r="M3640" s="14"/>
      <c r="N3640" s="15"/>
      <c r="O3640" s="12"/>
      <c r="P3640" s="34"/>
      <c r="Q3640" s="37"/>
      <c r="R3640" s="47"/>
      <c r="S3640" s="46"/>
    </row>
    <row r="3641" spans="1:19" ht="15.6" hidden="1" customHeight="1" thickBot="1" x14ac:dyDescent="0.3">
      <c r="A3641" t="s">
        <v>23</v>
      </c>
      <c r="B3641" s="60" t="str">
        <f t="shared" si="2608"/>
        <v>hide</v>
      </c>
      <c r="D3641" s="48" t="str">
        <f>D3640</f>
        <v>47774</v>
      </c>
      <c r="E3641" s="7"/>
      <c r="F3641" s="27">
        <v>0</v>
      </c>
      <c r="G3641" s="27">
        <v>0</v>
      </c>
      <c r="H3641" s="27">
        <v>0</v>
      </c>
      <c r="I3641" s="27">
        <v>0</v>
      </c>
      <c r="J3641" s="27">
        <v>0</v>
      </c>
      <c r="K3641" s="63">
        <f>AVERAGE(I3641:J3641)</f>
        <v>0</v>
      </c>
      <c r="L3641" s="56" t="str">
        <f>"SW-RISER-PACK"</f>
        <v>SW-RISER-PACK</v>
      </c>
      <c r="M3641" s="14"/>
      <c r="N3641" s="15"/>
      <c r="O3641" s="12"/>
      <c r="P3641" s="34"/>
      <c r="Q3641" s="37"/>
      <c r="R3641" s="47"/>
      <c r="S3641" s="46"/>
    </row>
    <row r="3642" spans="1:19" ht="12" hidden="1" customHeight="1" x14ac:dyDescent="0.3">
      <c r="A3642" s="35" t="s">
        <v>908</v>
      </c>
      <c r="B3642" s="49" t="str">
        <f>B3638</f>
        <v>hide</v>
      </c>
      <c r="N3642"/>
      <c r="Q3642" s="33"/>
    </row>
    <row r="3643" spans="1:19" ht="13.8" hidden="1" thickBot="1" x14ac:dyDescent="0.3">
      <c r="A3643" t="s">
        <v>23</v>
      </c>
      <c r="B3643" s="49" t="str">
        <f t="shared" ref="B3643" si="2609">B3642</f>
        <v>hide</v>
      </c>
      <c r="D3643" s="58"/>
      <c r="E3643" s="58"/>
      <c r="F3643" s="52">
        <f>SUM(F3638:F3642)</f>
        <v>0</v>
      </c>
      <c r="G3643" s="52">
        <f>SUM(G3638:G3642)</f>
        <v>0</v>
      </c>
      <c r="H3643" s="52">
        <f>SUM(H3638:H3642)</f>
        <v>0</v>
      </c>
      <c r="I3643" s="52">
        <f>SUM(I3638:I3642)</f>
        <v>0</v>
      </c>
      <c r="J3643" s="52">
        <f>SUM(J3638:J3642)</f>
        <v>0</v>
      </c>
      <c r="K3643" s="52"/>
      <c r="L3643" s="51" t="s">
        <v>4</v>
      </c>
      <c r="M3643" s="58"/>
      <c r="N3643" s="58"/>
      <c r="O3643" s="58"/>
      <c r="P3643" s="58"/>
      <c r="Q3643" s="58"/>
      <c r="R3643" s="58"/>
      <c r="S3643" s="58"/>
    </row>
    <row r="3644" spans="1:19" s="59" customFormat="1" ht="18.75" hidden="1" customHeight="1" thickBot="1" x14ac:dyDescent="0.3">
      <c r="A3644" s="59" t="s">
        <v>23</v>
      </c>
      <c r="B3644" s="60" t="str">
        <f t="shared" ref="B3644:B3645" si="2610">IF(K3644=0,"hide","")</f>
        <v>hide</v>
      </c>
      <c r="D3644" s="61" t="str">
        <f>"47775"</f>
        <v>47775</v>
      </c>
      <c r="E3644" s="62" t="str">
        <f>""</f>
        <v/>
      </c>
      <c r="F3644" s="63">
        <v>0</v>
      </c>
      <c r="G3644" s="63">
        <v>0</v>
      </c>
      <c r="H3644" s="63">
        <v>0</v>
      </c>
      <c r="I3644" s="63">
        <v>0</v>
      </c>
      <c r="J3644" s="63">
        <v>0</v>
      </c>
      <c r="K3644" s="63">
        <f>AVERAGE(I3644:J3644)</f>
        <v>0</v>
      </c>
      <c r="L3644" s="64" t="str">
        <f>""</f>
        <v/>
      </c>
      <c r="M3644" s="65" t="str">
        <f>""</f>
        <v/>
      </c>
      <c r="N3644" s="66" t="str">
        <f>""</f>
        <v/>
      </c>
      <c r="O3644" s="67" t="e">
        <v>#VALUE!</v>
      </c>
      <c r="P3644" s="68" t="e">
        <f>1/O3644</f>
        <v>#VALUE!</v>
      </c>
      <c r="Q3644" s="53" t="e">
        <v>#VALUE!</v>
      </c>
      <c r="R3644" s="69" t="e">
        <f t="shared" ref="R3644" si="2611">1/Q3644</f>
        <v>#VALUE!</v>
      </c>
      <c r="S3644" s="70" t="e">
        <f t="shared" ref="S3644" si="2612">R3644*N3644</f>
        <v>#VALUE!</v>
      </c>
    </row>
    <row r="3645" spans="1:19" ht="15.6" hidden="1" customHeight="1" thickBot="1" x14ac:dyDescent="0.3">
      <c r="A3645" t="s">
        <v>23</v>
      </c>
      <c r="B3645" s="60" t="str">
        <f t="shared" si="2610"/>
        <v>hide</v>
      </c>
      <c r="D3645" s="48" t="str">
        <f>D3644</f>
        <v>47775</v>
      </c>
      <c r="E3645" s="7"/>
      <c r="F3645" s="27">
        <v>0</v>
      </c>
      <c r="G3645" s="27">
        <v>0</v>
      </c>
      <c r="H3645" s="27">
        <v>0</v>
      </c>
      <c r="I3645" s="27">
        <v>0</v>
      </c>
      <c r="J3645" s="27">
        <v>0</v>
      </c>
      <c r="K3645" s="63">
        <f>AVERAGE(I3645:J3645)</f>
        <v>0</v>
      </c>
      <c r="L3645" s="56" t="str">
        <f>"EQP-LAWPACK1"</f>
        <v>EQP-LAWPACK1</v>
      </c>
      <c r="M3645" s="14"/>
      <c r="N3645" s="15"/>
      <c r="O3645" s="12"/>
      <c r="P3645" s="34"/>
      <c r="Q3645" s="37"/>
      <c r="R3645" s="47"/>
      <c r="S3645" s="46"/>
    </row>
    <row r="3646" spans="1:19" ht="15.6" hidden="1" customHeight="1" thickBot="1" x14ac:dyDescent="0.3">
      <c r="A3646" t="s">
        <v>23</v>
      </c>
      <c r="B3646" s="60" t="str">
        <f t="shared" ref="B3646:B3648" si="2613">IF(K3646=0,"hide","")</f>
        <v>hide</v>
      </c>
      <c r="D3646" s="48" t="str">
        <f>D3645</f>
        <v>47775</v>
      </c>
      <c r="E3646" s="7"/>
      <c r="F3646" s="27">
        <v>0</v>
      </c>
      <c r="G3646" s="27">
        <v>0</v>
      </c>
      <c r="H3646" s="27">
        <v>0</v>
      </c>
      <c r="I3646" s="27">
        <v>0</v>
      </c>
      <c r="J3646" s="27">
        <v>0</v>
      </c>
      <c r="K3646" s="63">
        <f>AVERAGE(I3646:J3646)</f>
        <v>0</v>
      </c>
      <c r="L3646" s="56" t="str">
        <f>"EQP-LAWPACK2"</f>
        <v>EQP-LAWPACK2</v>
      </c>
      <c r="M3646" s="14"/>
      <c r="N3646" s="15"/>
      <c r="O3646" s="12"/>
      <c r="P3646" s="34"/>
      <c r="Q3646" s="37"/>
      <c r="R3646" s="47"/>
      <c r="S3646" s="46"/>
    </row>
    <row r="3647" spans="1:19" ht="15.6" hidden="1" customHeight="1" thickBot="1" x14ac:dyDescent="0.3">
      <c r="A3647" t="s">
        <v>23</v>
      </c>
      <c r="B3647" s="60" t="str">
        <f t="shared" si="2613"/>
        <v>hide</v>
      </c>
      <c r="D3647" s="48" t="str">
        <f>D3646</f>
        <v>47775</v>
      </c>
      <c r="E3647" s="7"/>
      <c r="F3647" s="27">
        <v>0</v>
      </c>
      <c r="G3647" s="27">
        <v>0</v>
      </c>
      <c r="H3647" s="27">
        <v>0</v>
      </c>
      <c r="I3647" s="27">
        <v>0</v>
      </c>
      <c r="J3647" s="27">
        <v>0</v>
      </c>
      <c r="K3647" s="63">
        <f>AVERAGE(I3647:J3647)</f>
        <v>0</v>
      </c>
      <c r="L3647" s="56" t="str">
        <f>"SW-COMAS-PACKL"</f>
        <v>SW-COMAS-PACKL</v>
      </c>
      <c r="M3647" s="14"/>
      <c r="N3647" s="15"/>
      <c r="O3647" s="12"/>
      <c r="P3647" s="34"/>
      <c r="Q3647" s="37"/>
      <c r="R3647" s="47"/>
      <c r="S3647" s="46"/>
    </row>
    <row r="3648" spans="1:19" ht="15.6" hidden="1" customHeight="1" thickBot="1" x14ac:dyDescent="0.3">
      <c r="A3648" t="s">
        <v>23</v>
      </c>
      <c r="B3648" s="60" t="str">
        <f t="shared" si="2613"/>
        <v>hide</v>
      </c>
      <c r="D3648" s="48" t="str">
        <f>D3647</f>
        <v>47775</v>
      </c>
      <c r="E3648" s="7"/>
      <c r="F3648" s="27">
        <v>0</v>
      </c>
      <c r="G3648" s="27">
        <v>0</v>
      </c>
      <c r="H3648" s="27">
        <v>0</v>
      </c>
      <c r="I3648" s="27">
        <v>0</v>
      </c>
      <c r="J3648" s="27">
        <v>0</v>
      </c>
      <c r="K3648" s="63">
        <f>AVERAGE(I3648:J3648)</f>
        <v>0</v>
      </c>
      <c r="L3648" s="56" t="str">
        <f>"SW-RISER-PACK"</f>
        <v>SW-RISER-PACK</v>
      </c>
      <c r="M3648" s="14"/>
      <c r="N3648" s="15"/>
      <c r="O3648" s="12"/>
      <c r="P3648" s="34"/>
      <c r="Q3648" s="37"/>
      <c r="R3648" s="47"/>
      <c r="S3648" s="46"/>
    </row>
    <row r="3649" spans="1:19" ht="12" hidden="1" customHeight="1" x14ac:dyDescent="0.3">
      <c r="A3649" s="35" t="s">
        <v>908</v>
      </c>
      <c r="B3649" s="49" t="str">
        <f>B3645</f>
        <v>hide</v>
      </c>
      <c r="N3649"/>
      <c r="Q3649" s="33"/>
    </row>
    <row r="3650" spans="1:19" ht="13.8" hidden="1" thickBot="1" x14ac:dyDescent="0.3">
      <c r="A3650" t="s">
        <v>23</v>
      </c>
      <c r="B3650" s="49" t="str">
        <f t="shared" ref="B3650" si="2614">B3649</f>
        <v>hide</v>
      </c>
      <c r="D3650" s="58"/>
      <c r="E3650" s="58"/>
      <c r="F3650" s="52">
        <f>SUM(F3645:F3649)</f>
        <v>0</v>
      </c>
      <c r="G3650" s="52">
        <f>SUM(G3645:G3649)</f>
        <v>0</v>
      </c>
      <c r="H3650" s="52">
        <f>SUM(H3645:H3649)</f>
        <v>0</v>
      </c>
      <c r="I3650" s="52">
        <f>SUM(I3645:I3649)</f>
        <v>0</v>
      </c>
      <c r="J3650" s="52">
        <f>SUM(J3645:J3649)</f>
        <v>0</v>
      </c>
      <c r="K3650" s="52"/>
      <c r="L3650" s="51" t="s">
        <v>4</v>
      </c>
      <c r="M3650" s="58"/>
      <c r="N3650" s="58"/>
      <c r="O3650" s="58"/>
      <c r="P3650" s="58"/>
      <c r="Q3650" s="58"/>
      <c r="R3650" s="58"/>
      <c r="S3650" s="58"/>
    </row>
    <row r="3651" spans="1:19" s="59" customFormat="1" ht="18.75" hidden="1" customHeight="1" thickBot="1" x14ac:dyDescent="0.3">
      <c r="A3651" s="59" t="s">
        <v>23</v>
      </c>
      <c r="B3651" s="60" t="str">
        <f t="shared" ref="B3651:B3652" si="2615">IF(K3651=0,"hide","")</f>
        <v>hide</v>
      </c>
      <c r="D3651" s="61" t="str">
        <f>"47801"</f>
        <v>47801</v>
      </c>
      <c r="E3651" s="62" t="str">
        <f>"1"</f>
        <v>1</v>
      </c>
      <c r="F3651" s="63">
        <v>0</v>
      </c>
      <c r="G3651" s="63">
        <v>0</v>
      </c>
      <c r="H3651" s="63">
        <v>0</v>
      </c>
      <c r="I3651" s="63">
        <v>0</v>
      </c>
      <c r="J3651" s="63">
        <v>0</v>
      </c>
      <c r="K3651" s="63">
        <f>AVERAGE(I3651:J3651)</f>
        <v>0</v>
      </c>
      <c r="L3651" s="64" t="str">
        <f>"Balducci's BLUEBERRY MUFFINS"</f>
        <v>Balducci's BLUEBERRY MUFFINS</v>
      </c>
      <c r="M3651" s="65" t="str">
        <f>"48-5 oz. 4-12 pack"</f>
        <v>48-5 oz. 4-12 pack</v>
      </c>
      <c r="N3651" s="66">
        <v>48</v>
      </c>
      <c r="O3651" s="67" t="str">
        <f>""</f>
        <v/>
      </c>
      <c r="P3651" s="68" t="e">
        <f>1/O3651</f>
        <v>#VALUE!</v>
      </c>
      <c r="Q3651" s="53">
        <v>1</v>
      </c>
      <c r="R3651" s="69">
        <f t="shared" ref="R3651" si="2616">1/Q3651</f>
        <v>1</v>
      </c>
      <c r="S3651" s="70">
        <f t="shared" ref="S3651" si="2617">R3651*N3651</f>
        <v>48</v>
      </c>
    </row>
    <row r="3652" spans="1:19" ht="15.6" hidden="1" customHeight="1" thickBot="1" x14ac:dyDescent="0.3">
      <c r="A3652" t="s">
        <v>23</v>
      </c>
      <c r="B3652" s="60" t="str">
        <f t="shared" si="2615"/>
        <v>hide</v>
      </c>
      <c r="D3652" s="48" t="str">
        <f>D3651</f>
        <v>47801</v>
      </c>
      <c r="E3652" s="7"/>
      <c r="F3652" s="27">
        <v>0</v>
      </c>
      <c r="G3652" s="27">
        <v>0</v>
      </c>
      <c r="H3652" s="27">
        <v>0</v>
      </c>
      <c r="I3652" s="27">
        <v>0</v>
      </c>
      <c r="J3652" s="27">
        <v>0</v>
      </c>
      <c r="K3652" s="63">
        <f>AVERAGE(I3652:J3652)</f>
        <v>0</v>
      </c>
      <c r="L3652" s="56" t="str">
        <f>"EQP-LAWPACK1"</f>
        <v>EQP-LAWPACK1</v>
      </c>
      <c r="M3652" s="14"/>
      <c r="N3652" s="15"/>
      <c r="O3652" s="12"/>
      <c r="P3652" s="34"/>
      <c r="Q3652" s="37"/>
      <c r="R3652" s="47"/>
      <c r="S3652" s="46"/>
    </row>
    <row r="3653" spans="1:19" ht="15.6" hidden="1" customHeight="1" thickBot="1" x14ac:dyDescent="0.3">
      <c r="A3653" t="s">
        <v>23</v>
      </c>
      <c r="B3653" s="60" t="str">
        <f t="shared" ref="B3653:B3655" si="2618">IF(K3653=0,"hide","")</f>
        <v>hide</v>
      </c>
      <c r="D3653" s="48" t="str">
        <f>D3652</f>
        <v>47801</v>
      </c>
      <c r="E3653" s="7"/>
      <c r="F3653" s="27">
        <v>0</v>
      </c>
      <c r="G3653" s="27">
        <v>0</v>
      </c>
      <c r="H3653" s="27">
        <v>0</v>
      </c>
      <c r="I3653" s="27">
        <v>0</v>
      </c>
      <c r="J3653" s="27">
        <v>0</v>
      </c>
      <c r="K3653" s="63">
        <f>AVERAGE(I3653:J3653)</f>
        <v>0</v>
      </c>
      <c r="L3653" s="56" t="str">
        <f>"EQP-LAWPACK2"</f>
        <v>EQP-LAWPACK2</v>
      </c>
      <c r="M3653" s="14"/>
      <c r="N3653" s="15"/>
      <c r="O3653" s="12"/>
      <c r="P3653" s="34"/>
      <c r="Q3653" s="37"/>
      <c r="R3653" s="47"/>
      <c r="S3653" s="46"/>
    </row>
    <row r="3654" spans="1:19" ht="15.6" hidden="1" customHeight="1" thickBot="1" x14ac:dyDescent="0.3">
      <c r="A3654" t="s">
        <v>23</v>
      </c>
      <c r="B3654" s="60" t="str">
        <f t="shared" si="2618"/>
        <v>hide</v>
      </c>
      <c r="D3654" s="48" t="str">
        <f>D3653</f>
        <v>47801</v>
      </c>
      <c r="E3654" s="7"/>
      <c r="F3654" s="27">
        <v>0</v>
      </c>
      <c r="G3654" s="27">
        <v>0</v>
      </c>
      <c r="H3654" s="27">
        <v>0</v>
      </c>
      <c r="I3654" s="27">
        <v>0</v>
      </c>
      <c r="J3654" s="27">
        <v>0</v>
      </c>
      <c r="K3654" s="63">
        <f>AVERAGE(I3654:J3654)</f>
        <v>0</v>
      </c>
      <c r="L3654" s="56" t="str">
        <f>"SW-COMAS-PACKL"</f>
        <v>SW-COMAS-PACKL</v>
      </c>
      <c r="M3654" s="14"/>
      <c r="N3654" s="15"/>
      <c r="O3654" s="12"/>
      <c r="P3654" s="34"/>
      <c r="Q3654" s="37"/>
      <c r="R3654" s="47"/>
      <c r="S3654" s="46"/>
    </row>
    <row r="3655" spans="1:19" ht="15.6" hidden="1" customHeight="1" thickBot="1" x14ac:dyDescent="0.3">
      <c r="A3655" t="s">
        <v>23</v>
      </c>
      <c r="B3655" s="60" t="str">
        <f t="shared" si="2618"/>
        <v>hide</v>
      </c>
      <c r="D3655" s="48" t="str">
        <f>D3654</f>
        <v>47801</v>
      </c>
      <c r="E3655" s="7"/>
      <c r="F3655" s="27">
        <v>0</v>
      </c>
      <c r="G3655" s="27">
        <v>0</v>
      </c>
      <c r="H3655" s="27">
        <v>0</v>
      </c>
      <c r="I3655" s="27">
        <v>0</v>
      </c>
      <c r="J3655" s="27">
        <v>0</v>
      </c>
      <c r="K3655" s="63">
        <f>AVERAGE(I3655:J3655)</f>
        <v>0</v>
      </c>
      <c r="L3655" s="56" t="str">
        <f>"SW-RISER-PACK"</f>
        <v>SW-RISER-PACK</v>
      </c>
      <c r="M3655" s="14"/>
      <c r="N3655" s="15"/>
      <c r="O3655" s="12"/>
      <c r="P3655" s="34"/>
      <c r="Q3655" s="37"/>
      <c r="R3655" s="47"/>
      <c r="S3655" s="46"/>
    </row>
    <row r="3656" spans="1:19" ht="12" hidden="1" customHeight="1" x14ac:dyDescent="0.3">
      <c r="A3656" s="35" t="s">
        <v>908</v>
      </c>
      <c r="B3656" s="49" t="str">
        <f>B3652</f>
        <v>hide</v>
      </c>
      <c r="N3656"/>
      <c r="Q3656" s="33"/>
    </row>
    <row r="3657" spans="1:19" ht="13.8" hidden="1" thickBot="1" x14ac:dyDescent="0.3">
      <c r="A3657" t="s">
        <v>23</v>
      </c>
      <c r="B3657" s="49" t="str">
        <f t="shared" ref="B3657" si="2619">B3656</f>
        <v>hide</v>
      </c>
      <c r="D3657" s="58"/>
      <c r="E3657" s="58"/>
      <c r="F3657" s="52">
        <f>SUM(F3652:F3656)</f>
        <v>0</v>
      </c>
      <c r="G3657" s="52">
        <f>SUM(G3652:G3656)</f>
        <v>0</v>
      </c>
      <c r="H3657" s="52">
        <f>SUM(H3652:H3656)</f>
        <v>0</v>
      </c>
      <c r="I3657" s="52">
        <f>SUM(I3652:I3656)</f>
        <v>0</v>
      </c>
      <c r="J3657" s="52">
        <f>SUM(J3652:J3656)</f>
        <v>0</v>
      </c>
      <c r="K3657" s="52"/>
      <c r="L3657" s="51" t="s">
        <v>4</v>
      </c>
      <c r="M3657" s="58"/>
      <c r="N3657" s="58"/>
      <c r="O3657" s="58"/>
      <c r="P3657" s="58"/>
      <c r="Q3657" s="58"/>
      <c r="R3657" s="58"/>
      <c r="S3657" s="58"/>
    </row>
    <row r="3658" spans="1:19" s="59" customFormat="1" ht="18.75" hidden="1" customHeight="1" thickBot="1" x14ac:dyDescent="0.3">
      <c r="A3658" s="59" t="s">
        <v>23</v>
      </c>
      <c r="B3658" s="60" t="str">
        <f t="shared" ref="B3658:B3659" si="2620">IF(K3658=0,"hide","")</f>
        <v>hide</v>
      </c>
      <c r="D3658" s="61" t="str">
        <f>"47805"</f>
        <v>47805</v>
      </c>
      <c r="E3658" s="62" t="str">
        <f>"1"</f>
        <v>1</v>
      </c>
      <c r="F3658" s="63">
        <v>0</v>
      </c>
      <c r="G3658" s="63">
        <v>0</v>
      </c>
      <c r="H3658" s="63">
        <v>0</v>
      </c>
      <c r="I3658" s="63">
        <v>0</v>
      </c>
      <c r="J3658" s="63">
        <v>0</v>
      </c>
      <c r="K3658" s="63">
        <f>AVERAGE(I3658:J3658)</f>
        <v>0</v>
      </c>
      <c r="L3658" s="64" t="str">
        <f>"Balducci's Corn Muffins"</f>
        <v>Balducci's Corn Muffins</v>
      </c>
      <c r="M3658" s="65" t="str">
        <f>"48-5 oz. 4-12 pack"</f>
        <v>48-5 oz. 4-12 pack</v>
      </c>
      <c r="N3658" s="66">
        <v>48</v>
      </c>
      <c r="O3658" s="67" t="str">
        <f>""</f>
        <v/>
      </c>
      <c r="P3658" s="68" t="e">
        <f>1/O3658</f>
        <v>#VALUE!</v>
      </c>
      <c r="Q3658" s="53">
        <v>1</v>
      </c>
      <c r="R3658" s="69">
        <f t="shared" ref="R3658" si="2621">1/Q3658</f>
        <v>1</v>
      </c>
      <c r="S3658" s="70">
        <f t="shared" ref="S3658" si="2622">R3658*N3658</f>
        <v>48</v>
      </c>
    </row>
    <row r="3659" spans="1:19" ht="15.6" hidden="1" customHeight="1" thickBot="1" x14ac:dyDescent="0.3">
      <c r="A3659" t="s">
        <v>23</v>
      </c>
      <c r="B3659" s="60" t="str">
        <f t="shared" si="2620"/>
        <v>hide</v>
      </c>
      <c r="D3659" s="48" t="str">
        <f>D3658</f>
        <v>47805</v>
      </c>
      <c r="E3659" s="7"/>
      <c r="F3659" s="27">
        <v>0</v>
      </c>
      <c r="G3659" s="27">
        <v>0</v>
      </c>
      <c r="H3659" s="27">
        <v>0</v>
      </c>
      <c r="I3659" s="27">
        <v>0</v>
      </c>
      <c r="J3659" s="27">
        <v>0</v>
      </c>
      <c r="K3659" s="63">
        <f>AVERAGE(I3659:J3659)</f>
        <v>0</v>
      </c>
      <c r="L3659" s="56" t="str">
        <f>"EQP-LAWPACK1"</f>
        <v>EQP-LAWPACK1</v>
      </c>
      <c r="M3659" s="14"/>
      <c r="N3659" s="15"/>
      <c r="O3659" s="12"/>
      <c r="P3659" s="34"/>
      <c r="Q3659" s="37"/>
      <c r="R3659" s="47"/>
      <c r="S3659" s="46"/>
    </row>
    <row r="3660" spans="1:19" ht="15.6" hidden="1" customHeight="1" thickBot="1" x14ac:dyDescent="0.3">
      <c r="A3660" t="s">
        <v>23</v>
      </c>
      <c r="B3660" s="60" t="str">
        <f t="shared" ref="B3660:B3662" si="2623">IF(K3660=0,"hide","")</f>
        <v>hide</v>
      </c>
      <c r="D3660" s="48" t="str">
        <f>D3659</f>
        <v>47805</v>
      </c>
      <c r="E3660" s="7"/>
      <c r="F3660" s="27">
        <v>0</v>
      </c>
      <c r="G3660" s="27">
        <v>0</v>
      </c>
      <c r="H3660" s="27">
        <v>0</v>
      </c>
      <c r="I3660" s="27">
        <v>0</v>
      </c>
      <c r="J3660" s="27">
        <v>0</v>
      </c>
      <c r="K3660" s="63">
        <f>AVERAGE(I3660:J3660)</f>
        <v>0</v>
      </c>
      <c r="L3660" s="56" t="str">
        <f>"EQP-LAWPACK2"</f>
        <v>EQP-LAWPACK2</v>
      </c>
      <c r="M3660" s="14"/>
      <c r="N3660" s="15"/>
      <c r="O3660" s="12"/>
      <c r="P3660" s="34"/>
      <c r="Q3660" s="37"/>
      <c r="R3660" s="47"/>
      <c r="S3660" s="46"/>
    </row>
    <row r="3661" spans="1:19" ht="15.6" hidden="1" customHeight="1" thickBot="1" x14ac:dyDescent="0.3">
      <c r="A3661" t="s">
        <v>23</v>
      </c>
      <c r="B3661" s="60" t="str">
        <f t="shared" si="2623"/>
        <v>hide</v>
      </c>
      <c r="D3661" s="48" t="str">
        <f>D3660</f>
        <v>47805</v>
      </c>
      <c r="E3661" s="7"/>
      <c r="F3661" s="27">
        <v>0</v>
      </c>
      <c r="G3661" s="27">
        <v>0</v>
      </c>
      <c r="H3661" s="27">
        <v>0</v>
      </c>
      <c r="I3661" s="27">
        <v>0</v>
      </c>
      <c r="J3661" s="27">
        <v>0</v>
      </c>
      <c r="K3661" s="63">
        <f>AVERAGE(I3661:J3661)</f>
        <v>0</v>
      </c>
      <c r="L3661" s="56" t="str">
        <f>"SW-COMAS-PACKL"</f>
        <v>SW-COMAS-PACKL</v>
      </c>
      <c r="M3661" s="14"/>
      <c r="N3661" s="15"/>
      <c r="O3661" s="12"/>
      <c r="P3661" s="34"/>
      <c r="Q3661" s="37"/>
      <c r="R3661" s="47"/>
      <c r="S3661" s="46"/>
    </row>
    <row r="3662" spans="1:19" ht="15.6" hidden="1" customHeight="1" thickBot="1" x14ac:dyDescent="0.3">
      <c r="A3662" t="s">
        <v>23</v>
      </c>
      <c r="B3662" s="60" t="str">
        <f t="shared" si="2623"/>
        <v>hide</v>
      </c>
      <c r="D3662" s="48" t="str">
        <f>D3661</f>
        <v>47805</v>
      </c>
      <c r="E3662" s="7"/>
      <c r="F3662" s="27">
        <v>0</v>
      </c>
      <c r="G3662" s="27">
        <v>0</v>
      </c>
      <c r="H3662" s="27">
        <v>0</v>
      </c>
      <c r="I3662" s="27">
        <v>0</v>
      </c>
      <c r="J3662" s="27">
        <v>0</v>
      </c>
      <c r="K3662" s="63">
        <f>AVERAGE(I3662:J3662)</f>
        <v>0</v>
      </c>
      <c r="L3662" s="56" t="str">
        <f>"SW-RISER-PACK"</f>
        <v>SW-RISER-PACK</v>
      </c>
      <c r="M3662" s="14"/>
      <c r="N3662" s="15"/>
      <c r="O3662" s="12"/>
      <c r="P3662" s="34"/>
      <c r="Q3662" s="37"/>
      <c r="R3662" s="47"/>
      <c r="S3662" s="46"/>
    </row>
    <row r="3663" spans="1:19" ht="12" hidden="1" customHeight="1" x14ac:dyDescent="0.3">
      <c r="A3663" s="35" t="s">
        <v>908</v>
      </c>
      <c r="B3663" s="49" t="str">
        <f>B3659</f>
        <v>hide</v>
      </c>
      <c r="N3663"/>
      <c r="Q3663" s="33"/>
    </row>
    <row r="3664" spans="1:19" ht="13.8" hidden="1" thickBot="1" x14ac:dyDescent="0.3">
      <c r="A3664" t="s">
        <v>23</v>
      </c>
      <c r="B3664" s="49" t="str">
        <f t="shared" ref="B3664" si="2624">B3663</f>
        <v>hide</v>
      </c>
      <c r="D3664" s="58"/>
      <c r="E3664" s="58"/>
      <c r="F3664" s="52">
        <f>SUM(F3659:F3663)</f>
        <v>0</v>
      </c>
      <c r="G3664" s="52">
        <f>SUM(G3659:G3663)</f>
        <v>0</v>
      </c>
      <c r="H3664" s="52">
        <f>SUM(H3659:H3663)</f>
        <v>0</v>
      </c>
      <c r="I3664" s="52">
        <f>SUM(I3659:I3663)</f>
        <v>0</v>
      </c>
      <c r="J3664" s="52">
        <f>SUM(J3659:J3663)</f>
        <v>0</v>
      </c>
      <c r="K3664" s="52"/>
      <c r="L3664" s="51" t="s">
        <v>4</v>
      </c>
      <c r="M3664" s="58"/>
      <c r="N3664" s="58"/>
      <c r="O3664" s="58"/>
      <c r="P3664" s="58"/>
      <c r="Q3664" s="58"/>
      <c r="R3664" s="58"/>
      <c r="S3664" s="58"/>
    </row>
    <row r="3665" spans="1:19" s="59" customFormat="1" ht="18.75" hidden="1" customHeight="1" thickBot="1" x14ac:dyDescent="0.3">
      <c r="A3665" s="59" t="s">
        <v>23</v>
      </c>
      <c r="B3665" s="60" t="str">
        <f t="shared" ref="B3665:B3666" si="2625">IF(K3665=0,"hide","")</f>
        <v>hide</v>
      </c>
      <c r="D3665" s="61" t="str">
        <f>"47809"</f>
        <v>47809</v>
      </c>
      <c r="E3665" s="62" t="str">
        <f>"1"</f>
        <v>1</v>
      </c>
      <c r="F3665" s="63">
        <v>0</v>
      </c>
      <c r="G3665" s="63">
        <v>0</v>
      </c>
      <c r="H3665" s="63">
        <v>0</v>
      </c>
      <c r="I3665" s="63">
        <v>0</v>
      </c>
      <c r="J3665" s="63">
        <v>0</v>
      </c>
      <c r="K3665" s="63">
        <f>AVERAGE(I3665:J3665)</f>
        <v>0</v>
      </c>
      <c r="L3665" s="64" t="str">
        <f>"Balducci's Raisin Bran Muffins"</f>
        <v>Balducci's Raisin Bran Muffins</v>
      </c>
      <c r="M3665" s="65" t="str">
        <f>"48-5 oz. 4-12 pack"</f>
        <v>48-5 oz. 4-12 pack</v>
      </c>
      <c r="N3665" s="66">
        <v>48</v>
      </c>
      <c r="O3665" s="67" t="str">
        <f>""</f>
        <v/>
      </c>
      <c r="P3665" s="68" t="e">
        <f>1/O3665</f>
        <v>#VALUE!</v>
      </c>
      <c r="Q3665" s="53">
        <v>1</v>
      </c>
      <c r="R3665" s="69">
        <f t="shared" ref="R3665" si="2626">1/Q3665</f>
        <v>1</v>
      </c>
      <c r="S3665" s="70">
        <f t="shared" ref="S3665" si="2627">R3665*N3665</f>
        <v>48</v>
      </c>
    </row>
    <row r="3666" spans="1:19" ht="15.6" hidden="1" customHeight="1" thickBot="1" x14ac:dyDescent="0.3">
      <c r="A3666" t="s">
        <v>23</v>
      </c>
      <c r="B3666" s="60" t="str">
        <f t="shared" si="2625"/>
        <v>hide</v>
      </c>
      <c r="D3666" s="48" t="str">
        <f>D3665</f>
        <v>47809</v>
      </c>
      <c r="E3666" s="7"/>
      <c r="F3666" s="27">
        <v>0</v>
      </c>
      <c r="G3666" s="27">
        <v>0</v>
      </c>
      <c r="H3666" s="27">
        <v>0</v>
      </c>
      <c r="I3666" s="27">
        <v>0</v>
      </c>
      <c r="J3666" s="27">
        <v>0</v>
      </c>
      <c r="K3666" s="63">
        <f>AVERAGE(I3666:J3666)</f>
        <v>0</v>
      </c>
      <c r="L3666" s="56" t="str">
        <f>"EQP-LAWPACK1"</f>
        <v>EQP-LAWPACK1</v>
      </c>
      <c r="M3666" s="14"/>
      <c r="N3666" s="15"/>
      <c r="O3666" s="12"/>
      <c r="P3666" s="34"/>
      <c r="Q3666" s="37"/>
      <c r="R3666" s="47"/>
      <c r="S3666" s="46"/>
    </row>
    <row r="3667" spans="1:19" ht="15.6" hidden="1" customHeight="1" thickBot="1" x14ac:dyDescent="0.3">
      <c r="A3667" t="s">
        <v>23</v>
      </c>
      <c r="B3667" s="60" t="str">
        <f t="shared" ref="B3667:B3669" si="2628">IF(K3667=0,"hide","")</f>
        <v>hide</v>
      </c>
      <c r="D3667" s="48" t="str">
        <f>D3666</f>
        <v>47809</v>
      </c>
      <c r="E3667" s="7"/>
      <c r="F3667" s="27">
        <v>0</v>
      </c>
      <c r="G3667" s="27">
        <v>0</v>
      </c>
      <c r="H3667" s="27">
        <v>0</v>
      </c>
      <c r="I3667" s="27">
        <v>0</v>
      </c>
      <c r="J3667" s="27">
        <v>0</v>
      </c>
      <c r="K3667" s="63">
        <f>AVERAGE(I3667:J3667)</f>
        <v>0</v>
      </c>
      <c r="L3667" s="56" t="str">
        <f>"EQP-LAWPACK2"</f>
        <v>EQP-LAWPACK2</v>
      </c>
      <c r="M3667" s="14"/>
      <c r="N3667" s="15"/>
      <c r="O3667" s="12"/>
      <c r="P3667" s="34"/>
      <c r="Q3667" s="37"/>
      <c r="R3667" s="47"/>
      <c r="S3667" s="46"/>
    </row>
    <row r="3668" spans="1:19" ht="15.6" hidden="1" customHeight="1" thickBot="1" x14ac:dyDescent="0.3">
      <c r="A3668" t="s">
        <v>23</v>
      </c>
      <c r="B3668" s="60" t="str">
        <f t="shared" si="2628"/>
        <v>hide</v>
      </c>
      <c r="D3668" s="48" t="str">
        <f>D3667</f>
        <v>47809</v>
      </c>
      <c r="E3668" s="7"/>
      <c r="F3668" s="27">
        <v>0</v>
      </c>
      <c r="G3668" s="27">
        <v>0</v>
      </c>
      <c r="H3668" s="27">
        <v>0</v>
      </c>
      <c r="I3668" s="27">
        <v>0</v>
      </c>
      <c r="J3668" s="27">
        <v>0</v>
      </c>
      <c r="K3668" s="63">
        <f>AVERAGE(I3668:J3668)</f>
        <v>0</v>
      </c>
      <c r="L3668" s="56" t="str">
        <f>"SW-COMAS-PACKL"</f>
        <v>SW-COMAS-PACKL</v>
      </c>
      <c r="M3668" s="14"/>
      <c r="N3668" s="15"/>
      <c r="O3668" s="12"/>
      <c r="P3668" s="34"/>
      <c r="Q3668" s="37"/>
      <c r="R3668" s="47"/>
      <c r="S3668" s="46"/>
    </row>
    <row r="3669" spans="1:19" ht="15.6" hidden="1" customHeight="1" thickBot="1" x14ac:dyDescent="0.3">
      <c r="A3669" t="s">
        <v>23</v>
      </c>
      <c r="B3669" s="60" t="str">
        <f t="shared" si="2628"/>
        <v>hide</v>
      </c>
      <c r="D3669" s="48" t="str">
        <f>D3668</f>
        <v>47809</v>
      </c>
      <c r="E3669" s="7"/>
      <c r="F3669" s="27">
        <v>0</v>
      </c>
      <c r="G3669" s="27">
        <v>0</v>
      </c>
      <c r="H3669" s="27">
        <v>0</v>
      </c>
      <c r="I3669" s="27">
        <v>0</v>
      </c>
      <c r="J3669" s="27">
        <v>0</v>
      </c>
      <c r="K3669" s="63">
        <f>AVERAGE(I3669:J3669)</f>
        <v>0</v>
      </c>
      <c r="L3669" s="56" t="str">
        <f>"SW-RISER-PACK"</f>
        <v>SW-RISER-PACK</v>
      </c>
      <c r="M3669" s="14"/>
      <c r="N3669" s="15"/>
      <c r="O3669" s="12"/>
      <c r="P3669" s="34"/>
      <c r="Q3669" s="37"/>
      <c r="R3669" s="47"/>
      <c r="S3669" s="46"/>
    </row>
    <row r="3670" spans="1:19" ht="12" hidden="1" customHeight="1" x14ac:dyDescent="0.3">
      <c r="A3670" s="35" t="s">
        <v>908</v>
      </c>
      <c r="B3670" s="49" t="str">
        <f>B3666</f>
        <v>hide</v>
      </c>
      <c r="N3670"/>
      <c r="Q3670" s="33"/>
    </row>
    <row r="3671" spans="1:19" ht="13.8" hidden="1" thickBot="1" x14ac:dyDescent="0.3">
      <c r="A3671" t="s">
        <v>23</v>
      </c>
      <c r="B3671" s="49" t="str">
        <f t="shared" ref="B3671" si="2629">B3670</f>
        <v>hide</v>
      </c>
      <c r="D3671" s="58"/>
      <c r="E3671" s="58"/>
      <c r="F3671" s="52">
        <f>SUM(F3666:F3670)</f>
        <v>0</v>
      </c>
      <c r="G3671" s="52">
        <f>SUM(G3666:G3670)</f>
        <v>0</v>
      </c>
      <c r="H3671" s="52">
        <f>SUM(H3666:H3670)</f>
        <v>0</v>
      </c>
      <c r="I3671" s="52">
        <f>SUM(I3666:I3670)</f>
        <v>0</v>
      </c>
      <c r="J3671" s="52">
        <f>SUM(J3666:J3670)</f>
        <v>0</v>
      </c>
      <c r="K3671" s="52"/>
      <c r="L3671" s="51" t="s">
        <v>4</v>
      </c>
      <c r="M3671" s="58"/>
      <c r="N3671" s="58"/>
      <c r="O3671" s="58"/>
      <c r="P3671" s="58"/>
      <c r="Q3671" s="58"/>
      <c r="R3671" s="58"/>
      <c r="S3671" s="58"/>
    </row>
    <row r="3672" spans="1:19" s="59" customFormat="1" ht="18.75" hidden="1" customHeight="1" thickBot="1" x14ac:dyDescent="0.3">
      <c r="A3672" s="59" t="s">
        <v>23</v>
      </c>
      <c r="B3672" s="60" t="str">
        <f t="shared" ref="B3672:B3673" si="2630">IF(K3672=0,"hide","")</f>
        <v>hide</v>
      </c>
      <c r="D3672" s="61" t="str">
        <f>"47810"</f>
        <v>47810</v>
      </c>
      <c r="E3672" s="62" t="str">
        <f>"1"</f>
        <v>1</v>
      </c>
      <c r="F3672" s="63">
        <v>0</v>
      </c>
      <c r="G3672" s="63">
        <v>0</v>
      </c>
      <c r="H3672" s="63">
        <v>0</v>
      </c>
      <c r="I3672" s="63">
        <v>0</v>
      </c>
      <c r="J3672" s="63">
        <v>0</v>
      </c>
      <c r="K3672" s="63">
        <f>AVERAGE(I3672:J3672)</f>
        <v>0</v>
      </c>
      <c r="L3672" s="64" t="str">
        <f>"Balducci's Choc Chip Muffins"</f>
        <v>Balducci's Choc Chip Muffins</v>
      </c>
      <c r="M3672" s="65" t="str">
        <f>"48-5 oz. 4-12 pack"</f>
        <v>48-5 oz. 4-12 pack</v>
      </c>
      <c r="N3672" s="66">
        <v>48</v>
      </c>
      <c r="O3672" s="67" t="str">
        <f>""</f>
        <v/>
      </c>
      <c r="P3672" s="68" t="e">
        <f>1/O3672</f>
        <v>#VALUE!</v>
      </c>
      <c r="Q3672" s="53">
        <v>1</v>
      </c>
      <c r="R3672" s="69">
        <f t="shared" ref="R3672" si="2631">1/Q3672</f>
        <v>1</v>
      </c>
      <c r="S3672" s="70">
        <f t="shared" ref="S3672" si="2632">R3672*N3672</f>
        <v>48</v>
      </c>
    </row>
    <row r="3673" spans="1:19" ht="15.6" hidden="1" customHeight="1" thickBot="1" x14ac:dyDescent="0.3">
      <c r="A3673" t="s">
        <v>23</v>
      </c>
      <c r="B3673" s="60" t="str">
        <f t="shared" si="2630"/>
        <v>hide</v>
      </c>
      <c r="D3673" s="48" t="str">
        <f>D3672</f>
        <v>47810</v>
      </c>
      <c r="E3673" s="7"/>
      <c r="F3673" s="27">
        <v>0</v>
      </c>
      <c r="G3673" s="27">
        <v>0</v>
      </c>
      <c r="H3673" s="27">
        <v>0</v>
      </c>
      <c r="I3673" s="27">
        <v>0</v>
      </c>
      <c r="J3673" s="27">
        <v>0</v>
      </c>
      <c r="K3673" s="63">
        <f>AVERAGE(I3673:J3673)</f>
        <v>0</v>
      </c>
      <c r="L3673" s="56" t="str">
        <f>"EQP-LAWPACK1"</f>
        <v>EQP-LAWPACK1</v>
      </c>
      <c r="M3673" s="14"/>
      <c r="N3673" s="15"/>
      <c r="O3673" s="12"/>
      <c r="P3673" s="34"/>
      <c r="Q3673" s="37"/>
      <c r="R3673" s="47"/>
      <c r="S3673" s="46"/>
    </row>
    <row r="3674" spans="1:19" ht="15.6" hidden="1" customHeight="1" thickBot="1" x14ac:dyDescent="0.3">
      <c r="A3674" t="s">
        <v>23</v>
      </c>
      <c r="B3674" s="60" t="str">
        <f t="shared" ref="B3674:B3676" si="2633">IF(K3674=0,"hide","")</f>
        <v>hide</v>
      </c>
      <c r="D3674" s="48" t="str">
        <f>D3673</f>
        <v>47810</v>
      </c>
      <c r="E3674" s="7"/>
      <c r="F3674" s="27">
        <v>0</v>
      </c>
      <c r="G3674" s="27">
        <v>0</v>
      </c>
      <c r="H3674" s="27">
        <v>0</v>
      </c>
      <c r="I3674" s="27">
        <v>0</v>
      </c>
      <c r="J3674" s="27">
        <v>0</v>
      </c>
      <c r="K3674" s="63">
        <f>AVERAGE(I3674:J3674)</f>
        <v>0</v>
      </c>
      <c r="L3674" s="56" t="str">
        <f>"EQP-LAWPACK2"</f>
        <v>EQP-LAWPACK2</v>
      </c>
      <c r="M3674" s="14"/>
      <c r="N3674" s="15"/>
      <c r="O3674" s="12"/>
      <c r="P3674" s="34"/>
      <c r="Q3674" s="37"/>
      <c r="R3674" s="47"/>
      <c r="S3674" s="46"/>
    </row>
    <row r="3675" spans="1:19" ht="15.6" hidden="1" customHeight="1" thickBot="1" x14ac:dyDescent="0.3">
      <c r="A3675" t="s">
        <v>23</v>
      </c>
      <c r="B3675" s="60" t="str">
        <f t="shared" si="2633"/>
        <v>hide</v>
      </c>
      <c r="D3675" s="48" t="str">
        <f>D3674</f>
        <v>47810</v>
      </c>
      <c r="E3675" s="7"/>
      <c r="F3675" s="27">
        <v>0</v>
      </c>
      <c r="G3675" s="27">
        <v>0</v>
      </c>
      <c r="H3675" s="27">
        <v>0</v>
      </c>
      <c r="I3675" s="27">
        <v>0</v>
      </c>
      <c r="J3675" s="27">
        <v>0</v>
      </c>
      <c r="K3675" s="63">
        <f>AVERAGE(I3675:J3675)</f>
        <v>0</v>
      </c>
      <c r="L3675" s="56" t="str">
        <f>"SW-COMAS-PACKL"</f>
        <v>SW-COMAS-PACKL</v>
      </c>
      <c r="M3675" s="14"/>
      <c r="N3675" s="15"/>
      <c r="O3675" s="12"/>
      <c r="P3675" s="34"/>
      <c r="Q3675" s="37"/>
      <c r="R3675" s="47"/>
      <c r="S3675" s="46"/>
    </row>
    <row r="3676" spans="1:19" ht="15.6" hidden="1" customHeight="1" thickBot="1" x14ac:dyDescent="0.3">
      <c r="A3676" t="s">
        <v>23</v>
      </c>
      <c r="B3676" s="60" t="str">
        <f t="shared" si="2633"/>
        <v>hide</v>
      </c>
      <c r="D3676" s="48" t="str">
        <f>D3675</f>
        <v>47810</v>
      </c>
      <c r="E3676" s="7"/>
      <c r="F3676" s="27">
        <v>0</v>
      </c>
      <c r="G3676" s="27">
        <v>0</v>
      </c>
      <c r="H3676" s="27">
        <v>0</v>
      </c>
      <c r="I3676" s="27">
        <v>0</v>
      </c>
      <c r="J3676" s="27">
        <v>0</v>
      </c>
      <c r="K3676" s="63">
        <f>AVERAGE(I3676:J3676)</f>
        <v>0</v>
      </c>
      <c r="L3676" s="56" t="str">
        <f>"SW-RISER-PACK"</f>
        <v>SW-RISER-PACK</v>
      </c>
      <c r="M3676" s="14"/>
      <c r="N3676" s="15"/>
      <c r="O3676" s="12"/>
      <c r="P3676" s="34"/>
      <c r="Q3676" s="37"/>
      <c r="R3676" s="47"/>
      <c r="S3676" s="46"/>
    </row>
    <row r="3677" spans="1:19" ht="12" hidden="1" customHeight="1" x14ac:dyDescent="0.3">
      <c r="A3677" s="35" t="s">
        <v>908</v>
      </c>
      <c r="B3677" s="49" t="str">
        <f>B3673</f>
        <v>hide</v>
      </c>
      <c r="N3677"/>
      <c r="Q3677" s="33"/>
    </row>
    <row r="3678" spans="1:19" ht="13.8" hidden="1" thickBot="1" x14ac:dyDescent="0.3">
      <c r="A3678" t="s">
        <v>23</v>
      </c>
      <c r="B3678" s="49" t="str">
        <f t="shared" ref="B3678" si="2634">B3677</f>
        <v>hide</v>
      </c>
      <c r="D3678" s="58"/>
      <c r="E3678" s="58"/>
      <c r="F3678" s="52">
        <f>SUM(F3673:F3677)</f>
        <v>0</v>
      </c>
      <c r="G3678" s="52">
        <f>SUM(G3673:G3677)</f>
        <v>0</v>
      </c>
      <c r="H3678" s="52">
        <f>SUM(H3673:H3677)</f>
        <v>0</v>
      </c>
      <c r="I3678" s="52">
        <f>SUM(I3673:I3677)</f>
        <v>0</v>
      </c>
      <c r="J3678" s="52">
        <f>SUM(J3673:J3677)</f>
        <v>0</v>
      </c>
      <c r="K3678" s="52"/>
      <c r="L3678" s="51" t="s">
        <v>4</v>
      </c>
      <c r="M3678" s="58"/>
      <c r="N3678" s="58"/>
      <c r="O3678" s="58"/>
      <c r="P3678" s="58"/>
      <c r="Q3678" s="58"/>
      <c r="R3678" s="58"/>
      <c r="S3678" s="58"/>
    </row>
    <row r="3679" spans="1:19" s="59" customFormat="1" ht="18.75" hidden="1" customHeight="1" thickBot="1" x14ac:dyDescent="0.3">
      <c r="A3679" s="59" t="s">
        <v>23</v>
      </c>
      <c r="B3679" s="60" t="str">
        <f t="shared" ref="B3679:B3680" si="2635">IF(K3679=0,"hide","")</f>
        <v>hide</v>
      </c>
      <c r="D3679" s="61" t="str">
        <f>"47823"</f>
        <v>47823</v>
      </c>
      <c r="E3679" s="62" t="str">
        <f>"1"</f>
        <v>1</v>
      </c>
      <c r="F3679" s="63">
        <v>0</v>
      </c>
      <c r="G3679" s="63">
        <v>0</v>
      </c>
      <c r="H3679" s="63">
        <v>0</v>
      </c>
      <c r="I3679" s="63">
        <v>0</v>
      </c>
      <c r="J3679" s="63">
        <v>0</v>
      </c>
      <c r="K3679" s="63">
        <f>AVERAGE(I3679:J3679)</f>
        <v>0</v>
      </c>
      <c r="L3679" s="64" t="str">
        <f>"Balducci's Cran Walnut"</f>
        <v>Balducci's Cran Walnut</v>
      </c>
      <c r="M3679" s="65" t="str">
        <f>"48-5 oz. 4-12 pack"</f>
        <v>48-5 oz. 4-12 pack</v>
      </c>
      <c r="N3679" s="66">
        <v>48</v>
      </c>
      <c r="O3679" s="67" t="str">
        <f>""</f>
        <v/>
      </c>
      <c r="P3679" s="68" t="e">
        <f>1/O3679</f>
        <v>#VALUE!</v>
      </c>
      <c r="Q3679" s="53">
        <v>1</v>
      </c>
      <c r="R3679" s="69">
        <f t="shared" ref="R3679" si="2636">1/Q3679</f>
        <v>1</v>
      </c>
      <c r="S3679" s="70">
        <f t="shared" ref="S3679" si="2637">R3679*N3679</f>
        <v>48</v>
      </c>
    </row>
    <row r="3680" spans="1:19" ht="15.6" hidden="1" customHeight="1" thickBot="1" x14ac:dyDescent="0.3">
      <c r="A3680" t="s">
        <v>23</v>
      </c>
      <c r="B3680" s="60" t="str">
        <f t="shared" si="2635"/>
        <v>hide</v>
      </c>
      <c r="D3680" s="48" t="str">
        <f>D3679</f>
        <v>47823</v>
      </c>
      <c r="E3680" s="7"/>
      <c r="F3680" s="27">
        <v>0</v>
      </c>
      <c r="G3680" s="27">
        <v>0</v>
      </c>
      <c r="H3680" s="27">
        <v>0</v>
      </c>
      <c r="I3680" s="27">
        <v>0</v>
      </c>
      <c r="J3680" s="27">
        <v>0</v>
      </c>
      <c r="K3680" s="63">
        <f>AVERAGE(I3680:J3680)</f>
        <v>0</v>
      </c>
      <c r="L3680" s="56" t="str">
        <f>"EQP-LAWPACK1"</f>
        <v>EQP-LAWPACK1</v>
      </c>
      <c r="M3680" s="14"/>
      <c r="N3680" s="15"/>
      <c r="O3680" s="12"/>
      <c r="P3680" s="34"/>
      <c r="Q3680" s="37"/>
      <c r="R3680" s="47"/>
      <c r="S3680" s="46"/>
    </row>
    <row r="3681" spans="1:19" ht="15.6" hidden="1" customHeight="1" thickBot="1" x14ac:dyDescent="0.3">
      <c r="A3681" t="s">
        <v>23</v>
      </c>
      <c r="B3681" s="60" t="str">
        <f t="shared" ref="B3681:B3683" si="2638">IF(K3681=0,"hide","")</f>
        <v>hide</v>
      </c>
      <c r="D3681" s="48" t="str">
        <f>D3680</f>
        <v>47823</v>
      </c>
      <c r="E3681" s="7"/>
      <c r="F3681" s="27">
        <v>0</v>
      </c>
      <c r="G3681" s="27">
        <v>0</v>
      </c>
      <c r="H3681" s="27">
        <v>0</v>
      </c>
      <c r="I3681" s="27">
        <v>0</v>
      </c>
      <c r="J3681" s="27">
        <v>0</v>
      </c>
      <c r="K3681" s="63">
        <f>AVERAGE(I3681:J3681)</f>
        <v>0</v>
      </c>
      <c r="L3681" s="56" t="str">
        <f>"EQP-LAWPACK2"</f>
        <v>EQP-LAWPACK2</v>
      </c>
      <c r="M3681" s="14"/>
      <c r="N3681" s="15"/>
      <c r="O3681" s="12"/>
      <c r="P3681" s="34"/>
      <c r="Q3681" s="37"/>
      <c r="R3681" s="47"/>
      <c r="S3681" s="46"/>
    </row>
    <row r="3682" spans="1:19" ht="15.6" hidden="1" customHeight="1" thickBot="1" x14ac:dyDescent="0.3">
      <c r="A3682" t="s">
        <v>23</v>
      </c>
      <c r="B3682" s="60" t="str">
        <f t="shared" si="2638"/>
        <v>hide</v>
      </c>
      <c r="D3682" s="48" t="str">
        <f>D3681</f>
        <v>47823</v>
      </c>
      <c r="E3682" s="7"/>
      <c r="F3682" s="27">
        <v>0</v>
      </c>
      <c r="G3682" s="27">
        <v>0</v>
      </c>
      <c r="H3682" s="27">
        <v>0</v>
      </c>
      <c r="I3682" s="27">
        <v>0</v>
      </c>
      <c r="J3682" s="27">
        <v>0</v>
      </c>
      <c r="K3682" s="63">
        <f>AVERAGE(I3682:J3682)</f>
        <v>0</v>
      </c>
      <c r="L3682" s="56" t="str">
        <f>"SW-COMAS-PACKL"</f>
        <v>SW-COMAS-PACKL</v>
      </c>
      <c r="M3682" s="14"/>
      <c r="N3682" s="15"/>
      <c r="O3682" s="12"/>
      <c r="P3682" s="34"/>
      <c r="Q3682" s="37"/>
      <c r="R3682" s="47"/>
      <c r="S3682" s="46"/>
    </row>
    <row r="3683" spans="1:19" ht="15.6" hidden="1" customHeight="1" thickBot="1" x14ac:dyDescent="0.3">
      <c r="A3683" t="s">
        <v>23</v>
      </c>
      <c r="B3683" s="60" t="str">
        <f t="shared" si="2638"/>
        <v>hide</v>
      </c>
      <c r="D3683" s="48" t="str">
        <f>D3682</f>
        <v>47823</v>
      </c>
      <c r="E3683" s="7"/>
      <c r="F3683" s="27">
        <v>0</v>
      </c>
      <c r="G3683" s="27">
        <v>0</v>
      </c>
      <c r="H3683" s="27">
        <v>0</v>
      </c>
      <c r="I3683" s="27">
        <v>0</v>
      </c>
      <c r="J3683" s="27">
        <v>0</v>
      </c>
      <c r="K3683" s="63">
        <f>AVERAGE(I3683:J3683)</f>
        <v>0</v>
      </c>
      <c r="L3683" s="56" t="str">
        <f>"SW-RISER-PACK"</f>
        <v>SW-RISER-PACK</v>
      </c>
      <c r="M3683" s="14"/>
      <c r="N3683" s="15"/>
      <c r="O3683" s="12"/>
      <c r="P3683" s="34"/>
      <c r="Q3683" s="37"/>
      <c r="R3683" s="47"/>
      <c r="S3683" s="46"/>
    </row>
    <row r="3684" spans="1:19" ht="12" hidden="1" customHeight="1" x14ac:dyDescent="0.3">
      <c r="A3684" s="35" t="s">
        <v>908</v>
      </c>
      <c r="B3684" s="49" t="str">
        <f>B3680</f>
        <v>hide</v>
      </c>
      <c r="N3684"/>
      <c r="Q3684" s="33"/>
    </row>
    <row r="3685" spans="1:19" ht="13.8" hidden="1" thickBot="1" x14ac:dyDescent="0.3">
      <c r="A3685" t="s">
        <v>23</v>
      </c>
      <c r="B3685" s="49" t="str">
        <f t="shared" ref="B3685" si="2639">B3684</f>
        <v>hide</v>
      </c>
      <c r="D3685" s="58"/>
      <c r="E3685" s="58"/>
      <c r="F3685" s="52">
        <f>SUM(F3680:F3684)</f>
        <v>0</v>
      </c>
      <c r="G3685" s="52">
        <f>SUM(G3680:G3684)</f>
        <v>0</v>
      </c>
      <c r="H3685" s="52">
        <f>SUM(H3680:H3684)</f>
        <v>0</v>
      </c>
      <c r="I3685" s="52">
        <f>SUM(I3680:I3684)</f>
        <v>0</v>
      </c>
      <c r="J3685" s="52">
        <f>SUM(J3680:J3684)</f>
        <v>0</v>
      </c>
      <c r="K3685" s="52"/>
      <c r="L3685" s="51" t="s">
        <v>4</v>
      </c>
      <c r="M3685" s="58"/>
      <c r="N3685" s="58"/>
      <c r="O3685" s="58"/>
      <c r="P3685" s="58"/>
      <c r="Q3685" s="58"/>
      <c r="R3685" s="58"/>
      <c r="S3685" s="58"/>
    </row>
    <row r="3686" spans="1:19" s="59" customFormat="1" ht="18.75" hidden="1" customHeight="1" thickBot="1" x14ac:dyDescent="0.3">
      <c r="A3686" s="59" t="s">
        <v>23</v>
      </c>
      <c r="B3686" s="60" t="str">
        <f t="shared" ref="B3686:B3687" si="2640">IF(K3686=0,"hide","")</f>
        <v>hide</v>
      </c>
      <c r="D3686" s="61" t="str">
        <f>"47830"</f>
        <v>47830</v>
      </c>
      <c r="E3686" s="62" t="str">
        <f>"1"</f>
        <v>1</v>
      </c>
      <c r="F3686" s="63">
        <v>0</v>
      </c>
      <c r="G3686" s="63">
        <v>0</v>
      </c>
      <c r="H3686" s="63">
        <v>0</v>
      </c>
      <c r="I3686" s="63">
        <v>0</v>
      </c>
      <c r="J3686" s="63">
        <v>0</v>
      </c>
      <c r="K3686" s="63">
        <f>AVERAGE(I3686:J3686)</f>
        <v>0</v>
      </c>
      <c r="L3686" s="64" t="str">
        <f>"Balducci's Double Chocolate"</f>
        <v>Balducci's Double Chocolate</v>
      </c>
      <c r="M3686" s="65" t="str">
        <f>"48-5 oz. 4-12 pack"</f>
        <v>48-5 oz. 4-12 pack</v>
      </c>
      <c r="N3686" s="66">
        <v>48</v>
      </c>
      <c r="O3686" s="67" t="str">
        <f>""</f>
        <v/>
      </c>
      <c r="P3686" s="68" t="e">
        <f>1/O3686</f>
        <v>#VALUE!</v>
      </c>
      <c r="Q3686" s="53">
        <v>1</v>
      </c>
      <c r="R3686" s="69">
        <f t="shared" ref="R3686" si="2641">1/Q3686</f>
        <v>1</v>
      </c>
      <c r="S3686" s="70">
        <f t="shared" ref="S3686" si="2642">R3686*N3686</f>
        <v>48</v>
      </c>
    </row>
    <row r="3687" spans="1:19" ht="15.6" hidden="1" customHeight="1" thickBot="1" x14ac:dyDescent="0.3">
      <c r="A3687" t="s">
        <v>23</v>
      </c>
      <c r="B3687" s="60" t="str">
        <f t="shared" si="2640"/>
        <v>hide</v>
      </c>
      <c r="D3687" s="48" t="str">
        <f>D3686</f>
        <v>47830</v>
      </c>
      <c r="E3687" s="7"/>
      <c r="F3687" s="27">
        <v>0</v>
      </c>
      <c r="G3687" s="27">
        <v>0</v>
      </c>
      <c r="H3687" s="27">
        <v>0</v>
      </c>
      <c r="I3687" s="27">
        <v>0</v>
      </c>
      <c r="J3687" s="27">
        <v>0</v>
      </c>
      <c r="K3687" s="63">
        <f>AVERAGE(I3687:J3687)</f>
        <v>0</v>
      </c>
      <c r="L3687" s="56" t="str">
        <f>"EQP-LAWPACK1"</f>
        <v>EQP-LAWPACK1</v>
      </c>
      <c r="M3687" s="14"/>
      <c r="N3687" s="15"/>
      <c r="O3687" s="12"/>
      <c r="P3687" s="34"/>
      <c r="Q3687" s="37"/>
      <c r="R3687" s="47"/>
      <c r="S3687" s="46"/>
    </row>
    <row r="3688" spans="1:19" ht="15.6" hidden="1" customHeight="1" thickBot="1" x14ac:dyDescent="0.3">
      <c r="A3688" t="s">
        <v>23</v>
      </c>
      <c r="B3688" s="60" t="str">
        <f t="shared" ref="B3688:B3690" si="2643">IF(K3688=0,"hide","")</f>
        <v>hide</v>
      </c>
      <c r="D3688" s="48" t="str">
        <f>D3687</f>
        <v>47830</v>
      </c>
      <c r="E3688" s="7"/>
      <c r="F3688" s="27">
        <v>0</v>
      </c>
      <c r="G3688" s="27">
        <v>0</v>
      </c>
      <c r="H3688" s="27">
        <v>0</v>
      </c>
      <c r="I3688" s="27">
        <v>0</v>
      </c>
      <c r="J3688" s="27">
        <v>0</v>
      </c>
      <c r="K3688" s="63">
        <f>AVERAGE(I3688:J3688)</f>
        <v>0</v>
      </c>
      <c r="L3688" s="56" t="str">
        <f>"EQP-LAWPACK2"</f>
        <v>EQP-LAWPACK2</v>
      </c>
      <c r="M3688" s="14"/>
      <c r="N3688" s="15"/>
      <c r="O3688" s="12"/>
      <c r="P3688" s="34"/>
      <c r="Q3688" s="37"/>
      <c r="R3688" s="47"/>
      <c r="S3688" s="46"/>
    </row>
    <row r="3689" spans="1:19" ht="15.6" hidden="1" customHeight="1" thickBot="1" x14ac:dyDescent="0.3">
      <c r="A3689" t="s">
        <v>23</v>
      </c>
      <c r="B3689" s="60" t="str">
        <f t="shared" si="2643"/>
        <v>hide</v>
      </c>
      <c r="D3689" s="48" t="str">
        <f>D3688</f>
        <v>47830</v>
      </c>
      <c r="E3689" s="7"/>
      <c r="F3689" s="27">
        <v>0</v>
      </c>
      <c r="G3689" s="27">
        <v>0</v>
      </c>
      <c r="H3689" s="27">
        <v>0</v>
      </c>
      <c r="I3689" s="27">
        <v>0</v>
      </c>
      <c r="J3689" s="27">
        <v>0</v>
      </c>
      <c r="K3689" s="63">
        <f>AVERAGE(I3689:J3689)</f>
        <v>0</v>
      </c>
      <c r="L3689" s="56" t="str">
        <f>"SW-COMAS-PACKL"</f>
        <v>SW-COMAS-PACKL</v>
      </c>
      <c r="M3689" s="14"/>
      <c r="N3689" s="15"/>
      <c r="O3689" s="12"/>
      <c r="P3689" s="34"/>
      <c r="Q3689" s="37"/>
      <c r="R3689" s="47"/>
      <c r="S3689" s="46"/>
    </row>
    <row r="3690" spans="1:19" ht="15.6" hidden="1" customHeight="1" thickBot="1" x14ac:dyDescent="0.3">
      <c r="A3690" t="s">
        <v>23</v>
      </c>
      <c r="B3690" s="60" t="str">
        <f t="shared" si="2643"/>
        <v>hide</v>
      </c>
      <c r="D3690" s="48" t="str">
        <f>D3689</f>
        <v>47830</v>
      </c>
      <c r="E3690" s="7"/>
      <c r="F3690" s="27">
        <v>0</v>
      </c>
      <c r="G3690" s="27">
        <v>0</v>
      </c>
      <c r="H3690" s="27">
        <v>0</v>
      </c>
      <c r="I3690" s="27">
        <v>0</v>
      </c>
      <c r="J3690" s="27">
        <v>0</v>
      </c>
      <c r="K3690" s="63">
        <f>AVERAGE(I3690:J3690)</f>
        <v>0</v>
      </c>
      <c r="L3690" s="56" t="str">
        <f>"SW-RISER-PACK"</f>
        <v>SW-RISER-PACK</v>
      </c>
      <c r="M3690" s="14"/>
      <c r="N3690" s="15"/>
      <c r="O3690" s="12"/>
      <c r="P3690" s="34"/>
      <c r="Q3690" s="37"/>
      <c r="R3690" s="47"/>
      <c r="S3690" s="46"/>
    </row>
    <row r="3691" spans="1:19" ht="12" hidden="1" customHeight="1" x14ac:dyDescent="0.3">
      <c r="A3691" s="35" t="s">
        <v>908</v>
      </c>
      <c r="B3691" s="49" t="str">
        <f>B3687</f>
        <v>hide</v>
      </c>
      <c r="N3691"/>
      <c r="Q3691" s="33"/>
    </row>
    <row r="3692" spans="1:19" ht="13.8" hidden="1" thickBot="1" x14ac:dyDescent="0.3">
      <c r="A3692" t="s">
        <v>23</v>
      </c>
      <c r="B3692" s="49" t="str">
        <f t="shared" ref="B3692" si="2644">B3691</f>
        <v>hide</v>
      </c>
      <c r="D3692" s="58"/>
      <c r="E3692" s="58"/>
      <c r="F3692" s="52">
        <f>SUM(F3687:F3691)</f>
        <v>0</v>
      </c>
      <c r="G3692" s="52">
        <f>SUM(G3687:G3691)</f>
        <v>0</v>
      </c>
      <c r="H3692" s="52">
        <f>SUM(H3687:H3691)</f>
        <v>0</v>
      </c>
      <c r="I3692" s="52">
        <f>SUM(I3687:I3691)</f>
        <v>0</v>
      </c>
      <c r="J3692" s="52">
        <f>SUM(J3687:J3691)</f>
        <v>0</v>
      </c>
      <c r="K3692" s="52"/>
      <c r="L3692" s="51" t="s">
        <v>4</v>
      </c>
      <c r="M3692" s="58"/>
      <c r="N3692" s="58"/>
      <c r="O3692" s="58"/>
      <c r="P3692" s="58"/>
      <c r="Q3692" s="58"/>
      <c r="R3692" s="58"/>
      <c r="S3692" s="58"/>
    </row>
    <row r="3693" spans="1:19" s="59" customFormat="1" ht="18.75" hidden="1" customHeight="1" thickBot="1" x14ac:dyDescent="0.3">
      <c r="A3693" s="59" t="s">
        <v>23</v>
      </c>
      <c r="B3693" s="60" t="str">
        <f t="shared" ref="B3693:B3694" si="2645">IF(K3693=0,"hide","")</f>
        <v>hide</v>
      </c>
      <c r="D3693" s="61" t="str">
        <f>"47836"</f>
        <v>47836</v>
      </c>
      <c r="E3693" s="62" t="str">
        <f>"1"</f>
        <v>1</v>
      </c>
      <c r="F3693" s="63">
        <v>0</v>
      </c>
      <c r="G3693" s="63">
        <v>0</v>
      </c>
      <c r="H3693" s="63">
        <v>0</v>
      </c>
      <c r="I3693" s="63">
        <v>0</v>
      </c>
      <c r="J3693" s="63">
        <v>0</v>
      </c>
      <c r="K3693" s="63">
        <f>AVERAGE(I3693:J3693)</f>
        <v>0</v>
      </c>
      <c r="L3693" s="64" t="str">
        <f>"Balducci's Cinn Chip MUFFINS"</f>
        <v>Balducci's Cinn Chip MUFFINS</v>
      </c>
      <c r="M3693" s="65" t="str">
        <f>"48-5 oz. 4-12 pack"</f>
        <v>48-5 oz. 4-12 pack</v>
      </c>
      <c r="N3693" s="66">
        <v>48</v>
      </c>
      <c r="O3693" s="67" t="str">
        <f>""</f>
        <v/>
      </c>
      <c r="P3693" s="68" t="e">
        <f>1/O3693</f>
        <v>#VALUE!</v>
      </c>
      <c r="Q3693" s="53">
        <v>1</v>
      </c>
      <c r="R3693" s="69">
        <f t="shared" ref="R3693" si="2646">1/Q3693</f>
        <v>1</v>
      </c>
      <c r="S3693" s="70">
        <f t="shared" ref="S3693" si="2647">R3693*N3693</f>
        <v>48</v>
      </c>
    </row>
    <row r="3694" spans="1:19" ht="15.6" hidden="1" customHeight="1" thickBot="1" x14ac:dyDescent="0.3">
      <c r="A3694" t="s">
        <v>23</v>
      </c>
      <c r="B3694" s="60" t="str">
        <f t="shared" si="2645"/>
        <v>hide</v>
      </c>
      <c r="D3694" s="48" t="str">
        <f>D3693</f>
        <v>47836</v>
      </c>
      <c r="E3694" s="7"/>
      <c r="F3694" s="27">
        <v>0</v>
      </c>
      <c r="G3694" s="27">
        <v>0</v>
      </c>
      <c r="H3694" s="27">
        <v>0</v>
      </c>
      <c r="I3694" s="27">
        <v>0</v>
      </c>
      <c r="J3694" s="27">
        <v>0</v>
      </c>
      <c r="K3694" s="63">
        <f>AVERAGE(I3694:J3694)</f>
        <v>0</v>
      </c>
      <c r="L3694" s="56" t="str">
        <f>"EQP-LAWPACK1"</f>
        <v>EQP-LAWPACK1</v>
      </c>
      <c r="M3694" s="14"/>
      <c r="N3694" s="15"/>
      <c r="O3694" s="12"/>
      <c r="P3694" s="34"/>
      <c r="Q3694" s="37"/>
      <c r="R3694" s="47"/>
      <c r="S3694" s="46"/>
    </row>
    <row r="3695" spans="1:19" ht="15.6" hidden="1" customHeight="1" thickBot="1" x14ac:dyDescent="0.3">
      <c r="A3695" t="s">
        <v>23</v>
      </c>
      <c r="B3695" s="60" t="str">
        <f t="shared" ref="B3695:B3697" si="2648">IF(K3695=0,"hide","")</f>
        <v>hide</v>
      </c>
      <c r="D3695" s="48" t="str">
        <f>D3694</f>
        <v>47836</v>
      </c>
      <c r="E3695" s="7"/>
      <c r="F3695" s="27">
        <v>0</v>
      </c>
      <c r="G3695" s="27">
        <v>0</v>
      </c>
      <c r="H3695" s="27">
        <v>0</v>
      </c>
      <c r="I3695" s="27">
        <v>0</v>
      </c>
      <c r="J3695" s="27">
        <v>0</v>
      </c>
      <c r="K3695" s="63">
        <f>AVERAGE(I3695:J3695)</f>
        <v>0</v>
      </c>
      <c r="L3695" s="56" t="str">
        <f>"EQP-LAWPACK2"</f>
        <v>EQP-LAWPACK2</v>
      </c>
      <c r="M3695" s="14"/>
      <c r="N3695" s="15"/>
      <c r="O3695" s="12"/>
      <c r="P3695" s="34"/>
      <c r="Q3695" s="37"/>
      <c r="R3695" s="47"/>
      <c r="S3695" s="46"/>
    </row>
    <row r="3696" spans="1:19" ht="15.6" hidden="1" customHeight="1" thickBot="1" x14ac:dyDescent="0.3">
      <c r="A3696" t="s">
        <v>23</v>
      </c>
      <c r="B3696" s="60" t="str">
        <f t="shared" si="2648"/>
        <v>hide</v>
      </c>
      <c r="D3696" s="48" t="str">
        <f>D3695</f>
        <v>47836</v>
      </c>
      <c r="E3696" s="7"/>
      <c r="F3696" s="27">
        <v>0</v>
      </c>
      <c r="G3696" s="27">
        <v>0</v>
      </c>
      <c r="H3696" s="27">
        <v>0</v>
      </c>
      <c r="I3696" s="27">
        <v>0</v>
      </c>
      <c r="J3696" s="27">
        <v>0</v>
      </c>
      <c r="K3696" s="63">
        <f>AVERAGE(I3696:J3696)</f>
        <v>0</v>
      </c>
      <c r="L3696" s="56" t="str">
        <f>"SW-COMAS-PACKL"</f>
        <v>SW-COMAS-PACKL</v>
      </c>
      <c r="M3696" s="14"/>
      <c r="N3696" s="15"/>
      <c r="O3696" s="12"/>
      <c r="P3696" s="34"/>
      <c r="Q3696" s="37"/>
      <c r="R3696" s="47"/>
      <c r="S3696" s="46"/>
    </row>
    <row r="3697" spans="1:19" ht="15.6" hidden="1" customHeight="1" thickBot="1" x14ac:dyDescent="0.3">
      <c r="A3697" t="s">
        <v>23</v>
      </c>
      <c r="B3697" s="60" t="str">
        <f t="shared" si="2648"/>
        <v>hide</v>
      </c>
      <c r="D3697" s="48" t="str">
        <f>D3696</f>
        <v>47836</v>
      </c>
      <c r="E3697" s="7"/>
      <c r="F3697" s="27">
        <v>0</v>
      </c>
      <c r="G3697" s="27">
        <v>0</v>
      </c>
      <c r="H3697" s="27">
        <v>0</v>
      </c>
      <c r="I3697" s="27">
        <v>0</v>
      </c>
      <c r="J3697" s="27">
        <v>0</v>
      </c>
      <c r="K3697" s="63">
        <f>AVERAGE(I3697:J3697)</f>
        <v>0</v>
      </c>
      <c r="L3697" s="56" t="str">
        <f>"SW-RISER-PACK"</f>
        <v>SW-RISER-PACK</v>
      </c>
      <c r="M3697" s="14"/>
      <c r="N3697" s="15"/>
      <c r="O3697" s="12"/>
      <c r="P3697" s="34"/>
      <c r="Q3697" s="37"/>
      <c r="R3697" s="47"/>
      <c r="S3697" s="46"/>
    </row>
    <row r="3698" spans="1:19" ht="12" hidden="1" customHeight="1" x14ac:dyDescent="0.3">
      <c r="A3698" s="35" t="s">
        <v>908</v>
      </c>
      <c r="B3698" s="49" t="str">
        <f>B3694</f>
        <v>hide</v>
      </c>
      <c r="N3698"/>
      <c r="Q3698" s="33"/>
    </row>
    <row r="3699" spans="1:19" ht="13.8" hidden="1" thickBot="1" x14ac:dyDescent="0.3">
      <c r="A3699" t="s">
        <v>23</v>
      </c>
      <c r="B3699" s="49" t="str">
        <f t="shared" ref="B3699" si="2649">B3698</f>
        <v>hide</v>
      </c>
      <c r="D3699" s="58"/>
      <c r="E3699" s="58"/>
      <c r="F3699" s="52">
        <f>SUM(F3694:F3698)</f>
        <v>0</v>
      </c>
      <c r="G3699" s="52">
        <f>SUM(G3694:G3698)</f>
        <v>0</v>
      </c>
      <c r="H3699" s="52">
        <f>SUM(H3694:H3698)</f>
        <v>0</v>
      </c>
      <c r="I3699" s="52">
        <f>SUM(I3694:I3698)</f>
        <v>0</v>
      </c>
      <c r="J3699" s="52">
        <f>SUM(J3694:J3698)</f>
        <v>0</v>
      </c>
      <c r="K3699" s="52"/>
      <c r="L3699" s="51" t="s">
        <v>4</v>
      </c>
      <c r="M3699" s="58"/>
      <c r="N3699" s="58"/>
      <c r="O3699" s="58"/>
      <c r="P3699" s="58"/>
      <c r="Q3699" s="58"/>
      <c r="R3699" s="58"/>
      <c r="S3699" s="58"/>
    </row>
    <row r="3700" spans="1:19" s="59" customFormat="1" ht="18.75" hidden="1" customHeight="1" thickBot="1" x14ac:dyDescent="0.3">
      <c r="A3700" s="59" t="s">
        <v>23</v>
      </c>
      <c r="B3700" s="60" t="str">
        <f t="shared" ref="B3700:B3701" si="2650">IF(K3700=0,"hide","")</f>
        <v>hide</v>
      </c>
      <c r="D3700" s="61" t="str">
        <f>"47848"</f>
        <v>47848</v>
      </c>
      <c r="E3700" s="62" t="str">
        <f>"1"</f>
        <v>1</v>
      </c>
      <c r="F3700" s="63">
        <v>0</v>
      </c>
      <c r="G3700" s="63">
        <v>0</v>
      </c>
      <c r="H3700" s="63">
        <v>0</v>
      </c>
      <c r="I3700" s="63">
        <v>0</v>
      </c>
      <c r="J3700" s="63">
        <v>0</v>
      </c>
      <c r="K3700" s="63">
        <f>AVERAGE(I3700:J3700)</f>
        <v>0</v>
      </c>
      <c r="L3700" s="64" t="str">
        <f>"Balducci's PUMPKIN MUFFINS"</f>
        <v>Balducci's PUMPKIN MUFFINS</v>
      </c>
      <c r="M3700" s="65" t="str">
        <f>"48-5 oz. 4-12 pack"</f>
        <v>48-5 oz. 4-12 pack</v>
      </c>
      <c r="N3700" s="66">
        <v>48</v>
      </c>
      <c r="O3700" s="67" t="str">
        <f>""</f>
        <v/>
      </c>
      <c r="P3700" s="68" t="e">
        <f>1/O3700</f>
        <v>#VALUE!</v>
      </c>
      <c r="Q3700" s="53">
        <v>1</v>
      </c>
      <c r="R3700" s="69">
        <f t="shared" ref="R3700" si="2651">1/Q3700</f>
        <v>1</v>
      </c>
      <c r="S3700" s="70">
        <f t="shared" ref="S3700" si="2652">R3700*N3700</f>
        <v>48</v>
      </c>
    </row>
    <row r="3701" spans="1:19" ht="15.6" hidden="1" customHeight="1" thickBot="1" x14ac:dyDescent="0.3">
      <c r="A3701" t="s">
        <v>23</v>
      </c>
      <c r="B3701" s="60" t="str">
        <f t="shared" si="2650"/>
        <v>hide</v>
      </c>
      <c r="D3701" s="48" t="str">
        <f>D3700</f>
        <v>47848</v>
      </c>
      <c r="E3701" s="7"/>
      <c r="F3701" s="27">
        <v>0</v>
      </c>
      <c r="G3701" s="27">
        <v>0</v>
      </c>
      <c r="H3701" s="27">
        <v>0</v>
      </c>
      <c r="I3701" s="27">
        <v>0</v>
      </c>
      <c r="J3701" s="27">
        <v>0</v>
      </c>
      <c r="K3701" s="63">
        <f>AVERAGE(I3701:J3701)</f>
        <v>0</v>
      </c>
      <c r="L3701" s="56" t="str">
        <f>"EQP-LAWPACK1"</f>
        <v>EQP-LAWPACK1</v>
      </c>
      <c r="M3701" s="14"/>
      <c r="N3701" s="15"/>
      <c r="O3701" s="12"/>
      <c r="P3701" s="34"/>
      <c r="Q3701" s="37"/>
      <c r="R3701" s="47"/>
      <c r="S3701" s="46"/>
    </row>
    <row r="3702" spans="1:19" ht="15.6" hidden="1" customHeight="1" thickBot="1" x14ac:dyDescent="0.3">
      <c r="A3702" t="s">
        <v>23</v>
      </c>
      <c r="B3702" s="60" t="str">
        <f t="shared" ref="B3702:B3704" si="2653">IF(K3702=0,"hide","")</f>
        <v>hide</v>
      </c>
      <c r="D3702" s="48" t="str">
        <f>D3701</f>
        <v>47848</v>
      </c>
      <c r="E3702" s="7"/>
      <c r="F3702" s="27">
        <v>0</v>
      </c>
      <c r="G3702" s="27">
        <v>0</v>
      </c>
      <c r="H3702" s="27">
        <v>0</v>
      </c>
      <c r="I3702" s="27">
        <v>0</v>
      </c>
      <c r="J3702" s="27">
        <v>0</v>
      </c>
      <c r="K3702" s="63">
        <f>AVERAGE(I3702:J3702)</f>
        <v>0</v>
      </c>
      <c r="L3702" s="56" t="str">
        <f>"EQP-LAWPACK2"</f>
        <v>EQP-LAWPACK2</v>
      </c>
      <c r="M3702" s="14"/>
      <c r="N3702" s="15"/>
      <c r="O3702" s="12"/>
      <c r="P3702" s="34"/>
      <c r="Q3702" s="37"/>
      <c r="R3702" s="47"/>
      <c r="S3702" s="46"/>
    </row>
    <row r="3703" spans="1:19" ht="15.6" hidden="1" customHeight="1" thickBot="1" x14ac:dyDescent="0.3">
      <c r="A3703" t="s">
        <v>23</v>
      </c>
      <c r="B3703" s="60" t="str">
        <f t="shared" si="2653"/>
        <v>hide</v>
      </c>
      <c r="D3703" s="48" t="str">
        <f>D3702</f>
        <v>47848</v>
      </c>
      <c r="E3703" s="7"/>
      <c r="F3703" s="27">
        <v>0</v>
      </c>
      <c r="G3703" s="27">
        <v>0</v>
      </c>
      <c r="H3703" s="27">
        <v>0</v>
      </c>
      <c r="I3703" s="27">
        <v>0</v>
      </c>
      <c r="J3703" s="27">
        <v>0</v>
      </c>
      <c r="K3703" s="63">
        <f>AVERAGE(I3703:J3703)</f>
        <v>0</v>
      </c>
      <c r="L3703" s="56" t="str">
        <f>"SW-COMAS-PACKL"</f>
        <v>SW-COMAS-PACKL</v>
      </c>
      <c r="M3703" s="14"/>
      <c r="N3703" s="15"/>
      <c r="O3703" s="12"/>
      <c r="P3703" s="34"/>
      <c r="Q3703" s="37"/>
      <c r="R3703" s="47"/>
      <c r="S3703" s="46"/>
    </row>
    <row r="3704" spans="1:19" ht="15.6" hidden="1" customHeight="1" thickBot="1" x14ac:dyDescent="0.3">
      <c r="A3704" t="s">
        <v>23</v>
      </c>
      <c r="B3704" s="60" t="str">
        <f t="shared" si="2653"/>
        <v>hide</v>
      </c>
      <c r="D3704" s="48" t="str">
        <f>D3703</f>
        <v>47848</v>
      </c>
      <c r="E3704" s="7"/>
      <c r="F3704" s="27">
        <v>0</v>
      </c>
      <c r="G3704" s="27">
        <v>0</v>
      </c>
      <c r="H3704" s="27">
        <v>0</v>
      </c>
      <c r="I3704" s="27">
        <v>0</v>
      </c>
      <c r="J3704" s="27">
        <v>0</v>
      </c>
      <c r="K3704" s="63">
        <f>AVERAGE(I3704:J3704)</f>
        <v>0</v>
      </c>
      <c r="L3704" s="56" t="str">
        <f>"SW-RISER-PACK"</f>
        <v>SW-RISER-PACK</v>
      </c>
      <c r="M3704" s="14"/>
      <c r="N3704" s="15"/>
      <c r="O3704" s="12"/>
      <c r="P3704" s="34"/>
      <c r="Q3704" s="37"/>
      <c r="R3704" s="47"/>
      <c r="S3704" s="46"/>
    </row>
    <row r="3705" spans="1:19" ht="12" hidden="1" customHeight="1" x14ac:dyDescent="0.3">
      <c r="A3705" s="35" t="s">
        <v>908</v>
      </c>
      <c r="B3705" s="49" t="str">
        <f>B3701</f>
        <v>hide</v>
      </c>
      <c r="N3705"/>
      <c r="Q3705" s="33"/>
    </row>
    <row r="3706" spans="1:19" ht="13.8" hidden="1" thickBot="1" x14ac:dyDescent="0.3">
      <c r="A3706" t="s">
        <v>23</v>
      </c>
      <c r="B3706" s="49" t="str">
        <f t="shared" ref="B3706" si="2654">B3705</f>
        <v>hide</v>
      </c>
      <c r="D3706" s="58"/>
      <c r="E3706" s="58"/>
      <c r="F3706" s="52">
        <f>SUM(F3701:F3705)</f>
        <v>0</v>
      </c>
      <c r="G3706" s="52">
        <f>SUM(G3701:G3705)</f>
        <v>0</v>
      </c>
      <c r="H3706" s="52">
        <f>SUM(H3701:H3705)</f>
        <v>0</v>
      </c>
      <c r="I3706" s="52">
        <f>SUM(I3701:I3705)</f>
        <v>0</v>
      </c>
      <c r="J3706" s="52">
        <f>SUM(J3701:J3705)</f>
        <v>0</v>
      </c>
      <c r="K3706" s="52"/>
      <c r="L3706" s="51" t="s">
        <v>4</v>
      </c>
      <c r="M3706" s="58"/>
      <c r="N3706" s="58"/>
      <c r="O3706" s="58"/>
      <c r="P3706" s="58"/>
      <c r="Q3706" s="58"/>
      <c r="R3706" s="58"/>
      <c r="S3706" s="58"/>
    </row>
    <row r="3707" spans="1:19" s="59" customFormat="1" ht="18.75" hidden="1" customHeight="1" thickBot="1" x14ac:dyDescent="0.3">
      <c r="A3707" s="59" t="s">
        <v>23</v>
      </c>
      <c r="B3707" s="60" t="str">
        <f t="shared" ref="B3707:B3708" si="2655">IF(K3707=0,"hide","")</f>
        <v>hide</v>
      </c>
      <c r="D3707" s="61" t="str">
        <f>"47858"</f>
        <v>47858</v>
      </c>
      <c r="E3707" s="62" t="str">
        <f>"1"</f>
        <v>1</v>
      </c>
      <c r="F3707" s="63">
        <v>0</v>
      </c>
      <c r="G3707" s="63">
        <v>0</v>
      </c>
      <c r="H3707" s="63">
        <v>0</v>
      </c>
      <c r="I3707" s="63">
        <v>0</v>
      </c>
      <c r="J3707" s="63">
        <v>0</v>
      </c>
      <c r="K3707" s="63">
        <f>AVERAGE(I3707:J3707)</f>
        <v>0</v>
      </c>
      <c r="L3707" s="64" t="str">
        <f>"Balducci's Red Velvet Muffins"</f>
        <v>Balducci's Red Velvet Muffins</v>
      </c>
      <c r="M3707" s="65" t="str">
        <f>"48-5 oz. 4-12 pack"</f>
        <v>48-5 oz. 4-12 pack</v>
      </c>
      <c r="N3707" s="66">
        <v>48</v>
      </c>
      <c r="O3707" s="67" t="str">
        <f>""</f>
        <v/>
      </c>
      <c r="P3707" s="68" t="e">
        <f>1/O3707</f>
        <v>#VALUE!</v>
      </c>
      <c r="Q3707" s="53">
        <v>1</v>
      </c>
      <c r="R3707" s="69">
        <f t="shared" ref="R3707" si="2656">1/Q3707</f>
        <v>1</v>
      </c>
      <c r="S3707" s="70">
        <f t="shared" ref="S3707" si="2657">R3707*N3707</f>
        <v>48</v>
      </c>
    </row>
    <row r="3708" spans="1:19" ht="15.6" hidden="1" customHeight="1" thickBot="1" x14ac:dyDescent="0.3">
      <c r="A3708" t="s">
        <v>23</v>
      </c>
      <c r="B3708" s="60" t="str">
        <f t="shared" si="2655"/>
        <v>hide</v>
      </c>
      <c r="D3708" s="48" t="str">
        <f>D3707</f>
        <v>47858</v>
      </c>
      <c r="E3708" s="7"/>
      <c r="F3708" s="27">
        <v>0</v>
      </c>
      <c r="G3708" s="27">
        <v>0</v>
      </c>
      <c r="H3708" s="27">
        <v>0</v>
      </c>
      <c r="I3708" s="27">
        <v>0</v>
      </c>
      <c r="J3708" s="27">
        <v>0</v>
      </c>
      <c r="K3708" s="63">
        <f>AVERAGE(I3708:J3708)</f>
        <v>0</v>
      </c>
      <c r="L3708" s="56" t="str">
        <f>"EQP-LAWPACK1"</f>
        <v>EQP-LAWPACK1</v>
      </c>
      <c r="M3708" s="14"/>
      <c r="N3708" s="15"/>
      <c r="O3708" s="12"/>
      <c r="P3708" s="34"/>
      <c r="Q3708" s="37"/>
      <c r="R3708" s="47"/>
      <c r="S3708" s="46"/>
    </row>
    <row r="3709" spans="1:19" ht="15.6" hidden="1" customHeight="1" thickBot="1" x14ac:dyDescent="0.3">
      <c r="A3709" t="s">
        <v>23</v>
      </c>
      <c r="B3709" s="60" t="str">
        <f t="shared" ref="B3709:B3711" si="2658">IF(K3709=0,"hide","")</f>
        <v>hide</v>
      </c>
      <c r="D3709" s="48" t="str">
        <f>D3708</f>
        <v>47858</v>
      </c>
      <c r="E3709" s="7"/>
      <c r="F3709" s="27">
        <v>0</v>
      </c>
      <c r="G3709" s="27">
        <v>0</v>
      </c>
      <c r="H3709" s="27">
        <v>0</v>
      </c>
      <c r="I3709" s="27">
        <v>0</v>
      </c>
      <c r="J3709" s="27">
        <v>0</v>
      </c>
      <c r="K3709" s="63">
        <f>AVERAGE(I3709:J3709)</f>
        <v>0</v>
      </c>
      <c r="L3709" s="56" t="str">
        <f>"EQP-LAWPACK2"</f>
        <v>EQP-LAWPACK2</v>
      </c>
      <c r="M3709" s="14"/>
      <c r="N3709" s="15"/>
      <c r="O3709" s="12"/>
      <c r="P3709" s="34"/>
      <c r="Q3709" s="37"/>
      <c r="R3709" s="47"/>
      <c r="S3709" s="46"/>
    </row>
    <row r="3710" spans="1:19" ht="15.6" hidden="1" customHeight="1" thickBot="1" x14ac:dyDescent="0.3">
      <c r="A3710" t="s">
        <v>23</v>
      </c>
      <c r="B3710" s="60" t="str">
        <f t="shared" si="2658"/>
        <v>hide</v>
      </c>
      <c r="D3710" s="48" t="str">
        <f>D3709</f>
        <v>47858</v>
      </c>
      <c r="E3710" s="7"/>
      <c r="F3710" s="27">
        <v>0</v>
      </c>
      <c r="G3710" s="27">
        <v>0</v>
      </c>
      <c r="H3710" s="27">
        <v>0</v>
      </c>
      <c r="I3710" s="27">
        <v>0</v>
      </c>
      <c r="J3710" s="27">
        <v>0</v>
      </c>
      <c r="K3710" s="63">
        <f>AVERAGE(I3710:J3710)</f>
        <v>0</v>
      </c>
      <c r="L3710" s="56" t="str">
        <f>"SW-COMAS-PACKL"</f>
        <v>SW-COMAS-PACKL</v>
      </c>
      <c r="M3710" s="14"/>
      <c r="N3710" s="15"/>
      <c r="O3710" s="12"/>
      <c r="P3710" s="34"/>
      <c r="Q3710" s="37"/>
      <c r="R3710" s="47"/>
      <c r="S3710" s="46"/>
    </row>
    <row r="3711" spans="1:19" ht="15.6" hidden="1" customHeight="1" thickBot="1" x14ac:dyDescent="0.3">
      <c r="A3711" t="s">
        <v>23</v>
      </c>
      <c r="B3711" s="60" t="str">
        <f t="shared" si="2658"/>
        <v>hide</v>
      </c>
      <c r="D3711" s="48" t="str">
        <f>D3710</f>
        <v>47858</v>
      </c>
      <c r="E3711" s="7"/>
      <c r="F3711" s="27">
        <v>0</v>
      </c>
      <c r="G3711" s="27">
        <v>0</v>
      </c>
      <c r="H3711" s="27">
        <v>0</v>
      </c>
      <c r="I3711" s="27">
        <v>0</v>
      </c>
      <c r="J3711" s="27">
        <v>0</v>
      </c>
      <c r="K3711" s="63">
        <f>AVERAGE(I3711:J3711)</f>
        <v>0</v>
      </c>
      <c r="L3711" s="56" t="str">
        <f>"SW-RISER-PACK"</f>
        <v>SW-RISER-PACK</v>
      </c>
      <c r="M3711" s="14"/>
      <c r="N3711" s="15"/>
      <c r="O3711" s="12"/>
      <c r="P3711" s="34"/>
      <c r="Q3711" s="37"/>
      <c r="R3711" s="47"/>
      <c r="S3711" s="46"/>
    </row>
    <row r="3712" spans="1:19" ht="12" hidden="1" customHeight="1" x14ac:dyDescent="0.3">
      <c r="A3712" s="35" t="s">
        <v>908</v>
      </c>
      <c r="B3712" s="49" t="str">
        <f>B3708</f>
        <v>hide</v>
      </c>
      <c r="N3712"/>
      <c r="Q3712" s="33"/>
    </row>
    <row r="3713" spans="1:19" ht="13.8" hidden="1" thickBot="1" x14ac:dyDescent="0.3">
      <c r="A3713" t="s">
        <v>23</v>
      </c>
      <c r="B3713" s="49" t="str">
        <f t="shared" ref="B3713" si="2659">B3712</f>
        <v>hide</v>
      </c>
      <c r="D3713" s="58"/>
      <c r="E3713" s="58"/>
      <c r="F3713" s="52">
        <f>SUM(F3708:F3712)</f>
        <v>0</v>
      </c>
      <c r="G3713" s="52">
        <f>SUM(G3708:G3712)</f>
        <v>0</v>
      </c>
      <c r="H3713" s="52">
        <f>SUM(H3708:H3712)</f>
        <v>0</v>
      </c>
      <c r="I3713" s="52">
        <f>SUM(I3708:I3712)</f>
        <v>0</v>
      </c>
      <c r="J3713" s="52">
        <f>SUM(J3708:J3712)</f>
        <v>0</v>
      </c>
      <c r="K3713" s="52"/>
      <c r="L3713" s="51" t="s">
        <v>4</v>
      </c>
      <c r="M3713" s="58"/>
      <c r="N3713" s="58"/>
      <c r="O3713" s="58"/>
      <c r="P3713" s="58"/>
      <c r="Q3713" s="58"/>
      <c r="R3713" s="58"/>
      <c r="S3713" s="58"/>
    </row>
    <row r="3714" spans="1:19" s="59" customFormat="1" ht="18.75" hidden="1" customHeight="1" thickBot="1" x14ac:dyDescent="0.3">
      <c r="A3714" s="59" t="s">
        <v>23</v>
      </c>
      <c r="B3714" s="60" t="str">
        <f t="shared" ref="B3714:B3715" si="2660">IF(K3714=0,"hide","")</f>
        <v>hide</v>
      </c>
      <c r="D3714" s="61" t="str">
        <f>"47860"</f>
        <v>47860</v>
      </c>
      <c r="E3714" s="62" t="str">
        <f>"1"</f>
        <v>1</v>
      </c>
      <c r="F3714" s="63">
        <v>0</v>
      </c>
      <c r="G3714" s="63">
        <v>0</v>
      </c>
      <c r="H3714" s="63">
        <v>0</v>
      </c>
      <c r="I3714" s="63">
        <v>0</v>
      </c>
      <c r="J3714" s="63">
        <v>0</v>
      </c>
      <c r="K3714" s="63">
        <f>AVERAGE(I3714:J3714)</f>
        <v>0</v>
      </c>
      <c r="L3714" s="64" t="str">
        <f>"Balducci's French Toast"</f>
        <v>Balducci's French Toast</v>
      </c>
      <c r="M3714" s="65" t="str">
        <f>"48-5 oz. 4-12 pack"</f>
        <v>48-5 oz. 4-12 pack</v>
      </c>
      <c r="N3714" s="66">
        <v>48</v>
      </c>
      <c r="O3714" s="67" t="str">
        <f>""</f>
        <v/>
      </c>
      <c r="P3714" s="68" t="e">
        <f>1/O3714</f>
        <v>#VALUE!</v>
      </c>
      <c r="Q3714" s="53">
        <v>1</v>
      </c>
      <c r="R3714" s="69">
        <f t="shared" ref="R3714" si="2661">1/Q3714</f>
        <v>1</v>
      </c>
      <c r="S3714" s="70">
        <f t="shared" ref="S3714" si="2662">R3714*N3714</f>
        <v>48</v>
      </c>
    </row>
    <row r="3715" spans="1:19" ht="15.6" hidden="1" customHeight="1" thickBot="1" x14ac:dyDescent="0.3">
      <c r="A3715" t="s">
        <v>23</v>
      </c>
      <c r="B3715" s="60" t="str">
        <f t="shared" si="2660"/>
        <v>hide</v>
      </c>
      <c r="D3715" s="48" t="str">
        <f>D3714</f>
        <v>47860</v>
      </c>
      <c r="E3715" s="7"/>
      <c r="F3715" s="27">
        <v>0</v>
      </c>
      <c r="G3715" s="27">
        <v>0</v>
      </c>
      <c r="H3715" s="27">
        <v>0</v>
      </c>
      <c r="I3715" s="27">
        <v>0</v>
      </c>
      <c r="J3715" s="27">
        <v>0</v>
      </c>
      <c r="K3715" s="63">
        <f>AVERAGE(I3715:J3715)</f>
        <v>0</v>
      </c>
      <c r="L3715" s="56" t="str">
        <f>"EQP-LAWPACK1"</f>
        <v>EQP-LAWPACK1</v>
      </c>
      <c r="M3715" s="14"/>
      <c r="N3715" s="15"/>
      <c r="O3715" s="12"/>
      <c r="P3715" s="34"/>
      <c r="Q3715" s="37"/>
      <c r="R3715" s="47"/>
      <c r="S3715" s="46"/>
    </row>
    <row r="3716" spans="1:19" ht="15.6" hidden="1" customHeight="1" thickBot="1" x14ac:dyDescent="0.3">
      <c r="A3716" t="s">
        <v>23</v>
      </c>
      <c r="B3716" s="60" t="str">
        <f t="shared" ref="B3716:B3718" si="2663">IF(K3716=0,"hide","")</f>
        <v>hide</v>
      </c>
      <c r="D3716" s="48" t="str">
        <f>D3715</f>
        <v>47860</v>
      </c>
      <c r="E3716" s="7"/>
      <c r="F3716" s="27">
        <v>0</v>
      </c>
      <c r="G3716" s="27">
        <v>0</v>
      </c>
      <c r="H3716" s="27">
        <v>0</v>
      </c>
      <c r="I3716" s="27">
        <v>0</v>
      </c>
      <c r="J3716" s="27">
        <v>0</v>
      </c>
      <c r="K3716" s="63">
        <f>AVERAGE(I3716:J3716)</f>
        <v>0</v>
      </c>
      <c r="L3716" s="56" t="str">
        <f>"EQP-LAWPACK2"</f>
        <v>EQP-LAWPACK2</v>
      </c>
      <c r="M3716" s="14"/>
      <c r="N3716" s="15"/>
      <c r="O3716" s="12"/>
      <c r="P3716" s="34"/>
      <c r="Q3716" s="37"/>
      <c r="R3716" s="47"/>
      <c r="S3716" s="46"/>
    </row>
    <row r="3717" spans="1:19" ht="15.6" hidden="1" customHeight="1" thickBot="1" x14ac:dyDescent="0.3">
      <c r="A3717" t="s">
        <v>23</v>
      </c>
      <c r="B3717" s="60" t="str">
        <f t="shared" si="2663"/>
        <v>hide</v>
      </c>
      <c r="D3717" s="48" t="str">
        <f>D3716</f>
        <v>47860</v>
      </c>
      <c r="E3717" s="7"/>
      <c r="F3717" s="27">
        <v>0</v>
      </c>
      <c r="G3717" s="27">
        <v>0</v>
      </c>
      <c r="H3717" s="27">
        <v>0</v>
      </c>
      <c r="I3717" s="27">
        <v>0</v>
      </c>
      <c r="J3717" s="27">
        <v>0</v>
      </c>
      <c r="K3717" s="63">
        <f>AVERAGE(I3717:J3717)</f>
        <v>0</v>
      </c>
      <c r="L3717" s="56" t="str">
        <f>"SW-COMAS-PACKL"</f>
        <v>SW-COMAS-PACKL</v>
      </c>
      <c r="M3717" s="14"/>
      <c r="N3717" s="15"/>
      <c r="O3717" s="12"/>
      <c r="P3717" s="34"/>
      <c r="Q3717" s="37"/>
      <c r="R3717" s="47"/>
      <c r="S3717" s="46"/>
    </row>
    <row r="3718" spans="1:19" ht="15.6" hidden="1" customHeight="1" thickBot="1" x14ac:dyDescent="0.3">
      <c r="A3718" t="s">
        <v>23</v>
      </c>
      <c r="B3718" s="60" t="str">
        <f t="shared" si="2663"/>
        <v>hide</v>
      </c>
      <c r="D3718" s="48" t="str">
        <f>D3717</f>
        <v>47860</v>
      </c>
      <c r="E3718" s="7"/>
      <c r="F3718" s="27">
        <v>0</v>
      </c>
      <c r="G3718" s="27">
        <v>0</v>
      </c>
      <c r="H3718" s="27">
        <v>0</v>
      </c>
      <c r="I3718" s="27">
        <v>0</v>
      </c>
      <c r="J3718" s="27">
        <v>0</v>
      </c>
      <c r="K3718" s="63">
        <f>AVERAGE(I3718:J3718)</f>
        <v>0</v>
      </c>
      <c r="L3718" s="56" t="str">
        <f>"SW-RISER-PACK"</f>
        <v>SW-RISER-PACK</v>
      </c>
      <c r="M3718" s="14"/>
      <c r="N3718" s="15"/>
      <c r="O3718" s="12"/>
      <c r="P3718" s="34"/>
      <c r="Q3718" s="37"/>
      <c r="R3718" s="47"/>
      <c r="S3718" s="46"/>
    </row>
    <row r="3719" spans="1:19" ht="12" hidden="1" customHeight="1" x14ac:dyDescent="0.3">
      <c r="A3719" s="35" t="s">
        <v>908</v>
      </c>
      <c r="B3719" s="49" t="str">
        <f>B3715</f>
        <v>hide</v>
      </c>
      <c r="N3719"/>
      <c r="Q3719" s="33"/>
    </row>
    <row r="3720" spans="1:19" ht="13.8" hidden="1" thickBot="1" x14ac:dyDescent="0.3">
      <c r="A3720" t="s">
        <v>23</v>
      </c>
      <c r="B3720" s="49" t="str">
        <f t="shared" ref="B3720" si="2664">B3719</f>
        <v>hide</v>
      </c>
      <c r="D3720" s="58"/>
      <c r="E3720" s="58"/>
      <c r="F3720" s="52">
        <f>SUM(F3715:F3719)</f>
        <v>0</v>
      </c>
      <c r="G3720" s="52">
        <f>SUM(G3715:G3719)</f>
        <v>0</v>
      </c>
      <c r="H3720" s="52">
        <f>SUM(H3715:H3719)</f>
        <v>0</v>
      </c>
      <c r="I3720" s="52">
        <f>SUM(I3715:I3719)</f>
        <v>0</v>
      </c>
      <c r="J3720" s="52">
        <f>SUM(J3715:J3719)</f>
        <v>0</v>
      </c>
      <c r="K3720" s="52"/>
      <c r="L3720" s="51" t="s">
        <v>4</v>
      </c>
      <c r="M3720" s="58"/>
      <c r="N3720" s="58"/>
      <c r="O3720" s="58"/>
      <c r="P3720" s="58"/>
      <c r="Q3720" s="58"/>
      <c r="R3720" s="58"/>
      <c r="S3720" s="58"/>
    </row>
    <row r="3721" spans="1:19" s="59" customFormat="1" ht="18.75" customHeight="1" thickBot="1" x14ac:dyDescent="0.3">
      <c r="A3721" s="59" t="s">
        <v>23</v>
      </c>
      <c r="B3721" s="60" t="str">
        <f t="shared" ref="B3721:B3722" si="2665">IF(K3721=0,"hide","")</f>
        <v/>
      </c>
      <c r="D3721" s="61" t="str">
        <f>"51005"</f>
        <v>51005</v>
      </c>
      <c r="E3721" s="62" t="str">
        <f>"5"</f>
        <v>5</v>
      </c>
      <c r="F3721" s="63">
        <v>3845</v>
      </c>
      <c r="G3721" s="63">
        <v>3380</v>
      </c>
      <c r="H3721" s="63">
        <v>3804.75</v>
      </c>
      <c r="I3721" s="63">
        <v>3069.75</v>
      </c>
      <c r="J3721" s="63">
        <v>2135.7975903614456</v>
      </c>
      <c r="K3721" s="63">
        <f>AVERAGE(I3721:J3721)</f>
        <v>2602.773795180723</v>
      </c>
      <c r="L3721" s="64" t="str">
        <f>"CORNBREAD SNACK'N LOAF"</f>
        <v>CORNBREAD SNACK'N LOAF</v>
      </c>
      <c r="M3721" s="65" t="str">
        <f>"72-2 oz. IW #501"</f>
        <v>72-2 oz. IW #501</v>
      </c>
      <c r="N3721" s="66">
        <v>72</v>
      </c>
      <c r="O3721" s="67">
        <v>2E-3</v>
      </c>
      <c r="P3721" s="68">
        <f>1/O3721</f>
        <v>500</v>
      </c>
      <c r="Q3721" s="53">
        <v>2.2699999999999999E-3</v>
      </c>
      <c r="R3721" s="69">
        <f t="shared" ref="R3721" si="2666">1/Q3721</f>
        <v>440.52863436123351</v>
      </c>
      <c r="S3721" s="70">
        <f t="shared" ref="S3721" si="2667">R3721*N3721</f>
        <v>31718.061674008812</v>
      </c>
    </row>
    <row r="3722" spans="1:19" ht="15.6" hidden="1" customHeight="1" thickBot="1" x14ac:dyDescent="0.3">
      <c r="A3722" t="s">
        <v>23</v>
      </c>
      <c r="B3722" s="60" t="str">
        <f t="shared" si="2665"/>
        <v>hide</v>
      </c>
      <c r="D3722" s="48" t="str">
        <f>D3721</f>
        <v>51005</v>
      </c>
      <c r="E3722" s="7"/>
      <c r="F3722" s="27">
        <v>-2239.2591666666667</v>
      </c>
      <c r="G3722" s="27">
        <v>-391.22416666666663</v>
      </c>
      <c r="H3722" s="27">
        <v>-117.83333333333333</v>
      </c>
      <c r="I3722" s="27">
        <v>0</v>
      </c>
      <c r="J3722" s="27">
        <v>0</v>
      </c>
      <c r="K3722" s="63">
        <f>AVERAGE(I3722:J3722)</f>
        <v>0</v>
      </c>
      <c r="L3722" s="56" t="str">
        <f>"EQP-LAWPACK1"</f>
        <v>EQP-LAWPACK1</v>
      </c>
      <c r="M3722" s="14"/>
      <c r="N3722" s="15"/>
      <c r="O3722" s="12"/>
      <c r="P3722" s="34"/>
      <c r="Q3722" s="37"/>
      <c r="R3722" s="47"/>
      <c r="S3722" s="46"/>
    </row>
    <row r="3723" spans="1:19" ht="15.6" hidden="1" customHeight="1" thickBot="1" x14ac:dyDescent="0.3">
      <c r="A3723" t="s">
        <v>23</v>
      </c>
      <c r="B3723" s="60" t="str">
        <f t="shared" ref="B3723:B3725" si="2668">IF(K3723=0,"hide","")</f>
        <v>hide</v>
      </c>
      <c r="D3723" s="48" t="str">
        <f>D3722</f>
        <v>51005</v>
      </c>
      <c r="E3723" s="7"/>
      <c r="F3723" s="27">
        <v>0</v>
      </c>
      <c r="G3723" s="27">
        <v>0</v>
      </c>
      <c r="H3723" s="27">
        <v>0</v>
      </c>
      <c r="I3723" s="27">
        <v>0</v>
      </c>
      <c r="J3723" s="27">
        <v>0</v>
      </c>
      <c r="K3723" s="63">
        <f>AVERAGE(I3723:J3723)</f>
        <v>0</v>
      </c>
      <c r="L3723" s="56" t="str">
        <f>"EQP-LAWPACK2"</f>
        <v>EQP-LAWPACK2</v>
      </c>
      <c r="M3723" s="14"/>
      <c r="N3723" s="15"/>
      <c r="O3723" s="12"/>
      <c r="P3723" s="34"/>
      <c r="Q3723" s="37"/>
      <c r="R3723" s="47"/>
      <c r="S3723" s="46"/>
    </row>
    <row r="3724" spans="1:19" ht="15.6" hidden="1" customHeight="1" thickBot="1" x14ac:dyDescent="0.3">
      <c r="A3724" t="s">
        <v>23</v>
      </c>
      <c r="B3724" s="60" t="str">
        <f t="shared" si="2668"/>
        <v>hide</v>
      </c>
      <c r="D3724" s="48" t="str">
        <f>D3723</f>
        <v>51005</v>
      </c>
      <c r="E3724" s="7"/>
      <c r="F3724" s="27">
        <v>0</v>
      </c>
      <c r="G3724" s="27">
        <v>0</v>
      </c>
      <c r="H3724" s="27">
        <v>0</v>
      </c>
      <c r="I3724" s="27">
        <v>0</v>
      </c>
      <c r="J3724" s="27">
        <v>0</v>
      </c>
      <c r="K3724" s="63">
        <f>AVERAGE(I3724:J3724)</f>
        <v>0</v>
      </c>
      <c r="L3724" s="56" t="str">
        <f>"SW-COMAS-PACKL"</f>
        <v>SW-COMAS-PACKL</v>
      </c>
      <c r="M3724" s="14"/>
      <c r="N3724" s="15"/>
      <c r="O3724" s="12"/>
      <c r="P3724" s="34"/>
      <c r="Q3724" s="37"/>
      <c r="R3724" s="47"/>
      <c r="S3724" s="46"/>
    </row>
    <row r="3725" spans="1:19" ht="15.6" hidden="1" customHeight="1" thickBot="1" x14ac:dyDescent="0.3">
      <c r="A3725" t="s">
        <v>23</v>
      </c>
      <c r="B3725" s="60" t="str">
        <f t="shared" si="2668"/>
        <v>hide</v>
      </c>
      <c r="D3725" s="48" t="str">
        <f>D3724</f>
        <v>51005</v>
      </c>
      <c r="E3725" s="7"/>
      <c r="F3725" s="27">
        <v>0</v>
      </c>
      <c r="G3725" s="27">
        <v>0</v>
      </c>
      <c r="H3725" s="27">
        <v>0</v>
      </c>
      <c r="I3725" s="27">
        <v>0</v>
      </c>
      <c r="J3725" s="27">
        <v>0</v>
      </c>
      <c r="K3725" s="63">
        <f>AVERAGE(I3725:J3725)</f>
        <v>0</v>
      </c>
      <c r="L3725" s="56" t="str">
        <f>"SW-RISER-PACK"</f>
        <v>SW-RISER-PACK</v>
      </c>
      <c r="M3725" s="14"/>
      <c r="N3725" s="15"/>
      <c r="O3725" s="12"/>
      <c r="P3725" s="34"/>
      <c r="Q3725" s="37"/>
      <c r="R3725" s="47"/>
      <c r="S3725" s="46"/>
    </row>
    <row r="3726" spans="1:19" ht="12" hidden="1" customHeight="1" x14ac:dyDescent="0.3">
      <c r="A3726" s="35" t="s">
        <v>908</v>
      </c>
      <c r="B3726" s="49" t="str">
        <f>B3722</f>
        <v>hide</v>
      </c>
      <c r="N3726"/>
      <c r="Q3726" s="33"/>
    </row>
    <row r="3727" spans="1:19" ht="13.8" hidden="1" thickBot="1" x14ac:dyDescent="0.3">
      <c r="A3727" t="s">
        <v>23</v>
      </c>
      <c r="B3727" s="49" t="str">
        <f t="shared" ref="B3727" si="2669">B3726</f>
        <v>hide</v>
      </c>
      <c r="D3727" s="58"/>
      <c r="E3727" s="58"/>
      <c r="F3727" s="52">
        <f>SUM(F3722:F3726)</f>
        <v>-2239.2591666666667</v>
      </c>
      <c r="G3727" s="52">
        <f>SUM(G3722:G3726)</f>
        <v>-391.22416666666663</v>
      </c>
      <c r="H3727" s="52">
        <f>SUM(H3722:H3726)</f>
        <v>-117.83333333333333</v>
      </c>
      <c r="I3727" s="52">
        <f>SUM(I3722:I3726)</f>
        <v>0</v>
      </c>
      <c r="J3727" s="52">
        <f>SUM(J3722:J3726)</f>
        <v>0</v>
      </c>
      <c r="K3727" s="52"/>
      <c r="L3727" s="51" t="s">
        <v>4</v>
      </c>
      <c r="M3727" s="58"/>
      <c r="N3727" s="58"/>
      <c r="O3727" s="58"/>
      <c r="P3727" s="58"/>
      <c r="Q3727" s="58"/>
      <c r="R3727" s="58"/>
      <c r="S3727" s="58"/>
    </row>
    <row r="3728" spans="1:19" s="59" customFormat="1" ht="18.75" customHeight="1" thickBot="1" x14ac:dyDescent="0.3">
      <c r="A3728" s="59" t="s">
        <v>23</v>
      </c>
      <c r="B3728" s="60" t="str">
        <f t="shared" ref="B3728:B3729" si="2670">IF(K3728=0,"hide","")</f>
        <v/>
      </c>
      <c r="D3728" s="61" t="str">
        <f>"51036"</f>
        <v>51036</v>
      </c>
      <c r="E3728" s="62" t="str">
        <f>"1"</f>
        <v>1</v>
      </c>
      <c r="F3728" s="63">
        <v>0</v>
      </c>
      <c r="G3728" s="63">
        <v>0</v>
      </c>
      <c r="H3728" s="63">
        <v>0</v>
      </c>
      <c r="I3728" s="63">
        <v>104.08333333333333</v>
      </c>
      <c r="J3728" s="63">
        <v>63.078313253012048</v>
      </c>
      <c r="K3728" s="63">
        <f>AVERAGE(I3728:J3728)</f>
        <v>83.580823293172685</v>
      </c>
      <c r="L3728" s="64" t="str">
        <f>"COFFEE CAKE MINI LOAF"</f>
        <v>COFFEE CAKE MINI LOAF</v>
      </c>
      <c r="M3728" s="65" t="str">
        <f>"72-2 oz. IW"</f>
        <v>72-2 oz. IW</v>
      </c>
      <c r="N3728" s="66">
        <v>72</v>
      </c>
      <c r="O3728" s="67" t="str">
        <f>""</f>
        <v/>
      </c>
      <c r="P3728" s="68" t="e">
        <f>1/O3728</f>
        <v>#VALUE!</v>
      </c>
      <c r="Q3728" s="53">
        <v>1</v>
      </c>
      <c r="R3728" s="69">
        <f t="shared" ref="R3728" si="2671">1/Q3728</f>
        <v>1</v>
      </c>
      <c r="S3728" s="70">
        <f t="shared" ref="S3728" si="2672">R3728*N3728</f>
        <v>72</v>
      </c>
    </row>
    <row r="3729" spans="1:19" ht="15.6" hidden="1" customHeight="1" thickBot="1" x14ac:dyDescent="0.3">
      <c r="A3729" t="s">
        <v>23</v>
      </c>
      <c r="B3729" s="60" t="str">
        <f t="shared" si="2670"/>
        <v>hide</v>
      </c>
      <c r="D3729" s="48" t="str">
        <f>D3728</f>
        <v>51036</v>
      </c>
      <c r="E3729" s="7"/>
      <c r="F3729" s="27">
        <v>0</v>
      </c>
      <c r="G3729" s="27">
        <v>0</v>
      </c>
      <c r="H3729" s="27">
        <v>0</v>
      </c>
      <c r="I3729" s="27">
        <v>0</v>
      </c>
      <c r="J3729" s="27">
        <v>0</v>
      </c>
      <c r="K3729" s="63">
        <f>AVERAGE(I3729:J3729)</f>
        <v>0</v>
      </c>
      <c r="L3729" s="56" t="str">
        <f>"EQP-LAWPACK1"</f>
        <v>EQP-LAWPACK1</v>
      </c>
      <c r="M3729" s="14"/>
      <c r="N3729" s="15"/>
      <c r="O3729" s="12"/>
      <c r="P3729" s="34"/>
      <c r="Q3729" s="37"/>
      <c r="R3729" s="47"/>
      <c r="S3729" s="46"/>
    </row>
    <row r="3730" spans="1:19" ht="15.6" hidden="1" customHeight="1" thickBot="1" x14ac:dyDescent="0.3">
      <c r="A3730" t="s">
        <v>23</v>
      </c>
      <c r="B3730" s="60" t="str">
        <f t="shared" ref="B3730:B3732" si="2673">IF(K3730=0,"hide","")</f>
        <v>hide</v>
      </c>
      <c r="D3730" s="48" t="str">
        <f>D3729</f>
        <v>51036</v>
      </c>
      <c r="E3730" s="7"/>
      <c r="F3730" s="27">
        <v>0</v>
      </c>
      <c r="G3730" s="27">
        <v>0</v>
      </c>
      <c r="H3730" s="27">
        <v>0</v>
      </c>
      <c r="I3730" s="27">
        <v>0</v>
      </c>
      <c r="J3730" s="27">
        <v>0</v>
      </c>
      <c r="K3730" s="63">
        <f>AVERAGE(I3730:J3730)</f>
        <v>0</v>
      </c>
      <c r="L3730" s="56" t="str">
        <f>"EQP-LAWPACK2"</f>
        <v>EQP-LAWPACK2</v>
      </c>
      <c r="M3730" s="14"/>
      <c r="N3730" s="15"/>
      <c r="O3730" s="12"/>
      <c r="P3730" s="34"/>
      <c r="Q3730" s="37"/>
      <c r="R3730" s="47"/>
      <c r="S3730" s="46"/>
    </row>
    <row r="3731" spans="1:19" ht="15.6" hidden="1" customHeight="1" thickBot="1" x14ac:dyDescent="0.3">
      <c r="A3731" t="s">
        <v>23</v>
      </c>
      <c r="B3731" s="60" t="str">
        <f t="shared" si="2673"/>
        <v>hide</v>
      </c>
      <c r="D3731" s="48" t="str">
        <f>D3730</f>
        <v>51036</v>
      </c>
      <c r="E3731" s="7"/>
      <c r="F3731" s="27">
        <v>0</v>
      </c>
      <c r="G3731" s="27">
        <v>0</v>
      </c>
      <c r="H3731" s="27">
        <v>0</v>
      </c>
      <c r="I3731" s="27">
        <v>0</v>
      </c>
      <c r="J3731" s="27">
        <v>0</v>
      </c>
      <c r="K3731" s="63">
        <f>AVERAGE(I3731:J3731)</f>
        <v>0</v>
      </c>
      <c r="L3731" s="56" t="str">
        <f>"SW-COMAS-PACKL"</f>
        <v>SW-COMAS-PACKL</v>
      </c>
      <c r="M3731" s="14"/>
      <c r="N3731" s="15"/>
      <c r="O3731" s="12"/>
      <c r="P3731" s="34"/>
      <c r="Q3731" s="37"/>
      <c r="R3731" s="47"/>
      <c r="S3731" s="46"/>
    </row>
    <row r="3732" spans="1:19" ht="15.6" hidden="1" customHeight="1" thickBot="1" x14ac:dyDescent="0.3">
      <c r="A3732" t="s">
        <v>23</v>
      </c>
      <c r="B3732" s="60" t="str">
        <f t="shared" si="2673"/>
        <v>hide</v>
      </c>
      <c r="D3732" s="48" t="str">
        <f>D3731</f>
        <v>51036</v>
      </c>
      <c r="E3732" s="7"/>
      <c r="F3732" s="27">
        <v>0</v>
      </c>
      <c r="G3732" s="27">
        <v>0</v>
      </c>
      <c r="H3732" s="27">
        <v>0</v>
      </c>
      <c r="I3732" s="27">
        <v>0</v>
      </c>
      <c r="J3732" s="27">
        <v>0</v>
      </c>
      <c r="K3732" s="63">
        <f>AVERAGE(I3732:J3732)</f>
        <v>0</v>
      </c>
      <c r="L3732" s="56" t="str">
        <f>"SW-RISER-PACK"</f>
        <v>SW-RISER-PACK</v>
      </c>
      <c r="M3732" s="14"/>
      <c r="N3732" s="15"/>
      <c r="O3732" s="12"/>
      <c r="P3732" s="34"/>
      <c r="Q3732" s="37"/>
      <c r="R3732" s="47"/>
      <c r="S3732" s="46"/>
    </row>
    <row r="3733" spans="1:19" ht="12" hidden="1" customHeight="1" x14ac:dyDescent="0.3">
      <c r="A3733" s="35" t="s">
        <v>908</v>
      </c>
      <c r="B3733" s="49" t="str">
        <f>B3729</f>
        <v>hide</v>
      </c>
      <c r="N3733"/>
      <c r="Q3733" s="33"/>
    </row>
    <row r="3734" spans="1:19" ht="13.8" hidden="1" thickBot="1" x14ac:dyDescent="0.3">
      <c r="A3734" t="s">
        <v>23</v>
      </c>
      <c r="B3734" s="49" t="str">
        <f t="shared" ref="B3734" si="2674">B3733</f>
        <v>hide</v>
      </c>
      <c r="D3734" s="58"/>
      <c r="E3734" s="58"/>
      <c r="F3734" s="52">
        <f>SUM(F3729:F3733)</f>
        <v>0</v>
      </c>
      <c r="G3734" s="52">
        <f>SUM(G3729:G3733)</f>
        <v>0</v>
      </c>
      <c r="H3734" s="52">
        <f>SUM(H3729:H3733)</f>
        <v>0</v>
      </c>
      <c r="I3734" s="52">
        <f>SUM(I3729:I3733)</f>
        <v>0</v>
      </c>
      <c r="J3734" s="52">
        <f>SUM(J3729:J3733)</f>
        <v>0</v>
      </c>
      <c r="K3734" s="52"/>
      <c r="L3734" s="51" t="s">
        <v>4</v>
      </c>
      <c r="M3734" s="58"/>
      <c r="N3734" s="58"/>
      <c r="O3734" s="58"/>
      <c r="P3734" s="58"/>
      <c r="Q3734" s="58"/>
      <c r="R3734" s="58"/>
      <c r="S3734" s="58"/>
    </row>
    <row r="3735" spans="1:19" s="59" customFormat="1" ht="18.75" hidden="1" customHeight="1" thickBot="1" x14ac:dyDescent="0.3">
      <c r="A3735" s="59" t="s">
        <v>23</v>
      </c>
      <c r="B3735" s="60" t="str">
        <f t="shared" ref="B3735:B3736" si="2675">IF(K3735=0,"hide","")</f>
        <v>hide</v>
      </c>
      <c r="D3735" s="61" t="str">
        <f>"51110"</f>
        <v>51110</v>
      </c>
      <c r="E3735" s="62" t="str">
        <f>"2"</f>
        <v>2</v>
      </c>
      <c r="F3735" s="63">
        <v>0</v>
      </c>
      <c r="G3735" s="63">
        <v>0</v>
      </c>
      <c r="H3735" s="63">
        <v>0</v>
      </c>
      <c r="I3735" s="63">
        <v>0</v>
      </c>
      <c r="J3735" s="63">
        <v>0</v>
      </c>
      <c r="K3735" s="63">
        <f>AVERAGE(I3735:J3735)</f>
        <v>0</v>
      </c>
      <c r="L3735" s="64" t="str">
        <f>"Chocolate Chip Loaf"</f>
        <v>Chocolate Chip Loaf</v>
      </c>
      <c r="M3735" s="65" t="str">
        <f>"72-2 oz. IW"</f>
        <v>72-2 oz. IW</v>
      </c>
      <c r="N3735" s="66">
        <v>72</v>
      </c>
      <c r="O3735" s="67" t="str">
        <f>""</f>
        <v/>
      </c>
      <c r="P3735" s="68" t="e">
        <f>1/O3735</f>
        <v>#VALUE!</v>
      </c>
      <c r="Q3735" s="53">
        <v>1</v>
      </c>
      <c r="R3735" s="69">
        <f t="shared" ref="R3735" si="2676">1/Q3735</f>
        <v>1</v>
      </c>
      <c r="S3735" s="70">
        <f t="shared" ref="S3735" si="2677">R3735*N3735</f>
        <v>72</v>
      </c>
    </row>
    <row r="3736" spans="1:19" ht="15.6" hidden="1" customHeight="1" thickBot="1" x14ac:dyDescent="0.3">
      <c r="A3736" t="s">
        <v>23</v>
      </c>
      <c r="B3736" s="60" t="str">
        <f t="shared" si="2675"/>
        <v>hide</v>
      </c>
      <c r="D3736" s="48" t="str">
        <f>D3735</f>
        <v>51110</v>
      </c>
      <c r="E3736" s="7"/>
      <c r="F3736" s="27">
        <v>0</v>
      </c>
      <c r="G3736" s="27">
        <v>0</v>
      </c>
      <c r="H3736" s="27">
        <v>0</v>
      </c>
      <c r="I3736" s="27">
        <v>0</v>
      </c>
      <c r="J3736" s="27">
        <v>0</v>
      </c>
      <c r="K3736" s="63">
        <f>AVERAGE(I3736:J3736)</f>
        <v>0</v>
      </c>
      <c r="L3736" s="56" t="str">
        <f>"EQP-LAWPACK1"</f>
        <v>EQP-LAWPACK1</v>
      </c>
      <c r="M3736" s="14"/>
      <c r="N3736" s="15"/>
      <c r="O3736" s="12"/>
      <c r="P3736" s="34"/>
      <c r="Q3736" s="37"/>
      <c r="R3736" s="47"/>
      <c r="S3736" s="46"/>
    </row>
    <row r="3737" spans="1:19" ht="15.6" hidden="1" customHeight="1" thickBot="1" x14ac:dyDescent="0.3">
      <c r="A3737" t="s">
        <v>23</v>
      </c>
      <c r="B3737" s="60" t="str">
        <f t="shared" ref="B3737:B3739" si="2678">IF(K3737=0,"hide","")</f>
        <v>hide</v>
      </c>
      <c r="D3737" s="48" t="str">
        <f>D3736</f>
        <v>51110</v>
      </c>
      <c r="E3737" s="7"/>
      <c r="F3737" s="27">
        <v>0</v>
      </c>
      <c r="G3737" s="27">
        <v>0</v>
      </c>
      <c r="H3737" s="27">
        <v>0</v>
      </c>
      <c r="I3737" s="27">
        <v>0</v>
      </c>
      <c r="J3737" s="27">
        <v>0</v>
      </c>
      <c r="K3737" s="63">
        <f>AVERAGE(I3737:J3737)</f>
        <v>0</v>
      </c>
      <c r="L3737" s="56" t="str">
        <f>"EQP-LAWPACK2"</f>
        <v>EQP-LAWPACK2</v>
      </c>
      <c r="M3737" s="14"/>
      <c r="N3737" s="15"/>
      <c r="O3737" s="12"/>
      <c r="P3737" s="34"/>
      <c r="Q3737" s="37"/>
      <c r="R3737" s="47"/>
      <c r="S3737" s="46"/>
    </row>
    <row r="3738" spans="1:19" ht="15.6" hidden="1" customHeight="1" thickBot="1" x14ac:dyDescent="0.3">
      <c r="A3738" t="s">
        <v>23</v>
      </c>
      <c r="B3738" s="60" t="str">
        <f t="shared" si="2678"/>
        <v>hide</v>
      </c>
      <c r="D3738" s="48" t="str">
        <f>D3737</f>
        <v>51110</v>
      </c>
      <c r="E3738" s="7"/>
      <c r="F3738" s="27">
        <v>0</v>
      </c>
      <c r="G3738" s="27">
        <v>0</v>
      </c>
      <c r="H3738" s="27">
        <v>0</v>
      </c>
      <c r="I3738" s="27">
        <v>0</v>
      </c>
      <c r="J3738" s="27">
        <v>0</v>
      </c>
      <c r="K3738" s="63">
        <f>AVERAGE(I3738:J3738)</f>
        <v>0</v>
      </c>
      <c r="L3738" s="56" t="str">
        <f>"SW-COMAS-PACKL"</f>
        <v>SW-COMAS-PACKL</v>
      </c>
      <c r="M3738" s="14"/>
      <c r="N3738" s="15"/>
      <c r="O3738" s="12"/>
      <c r="P3738" s="34"/>
      <c r="Q3738" s="37"/>
      <c r="R3738" s="47"/>
      <c r="S3738" s="46"/>
    </row>
    <row r="3739" spans="1:19" ht="15.6" hidden="1" customHeight="1" thickBot="1" x14ac:dyDescent="0.3">
      <c r="A3739" t="s">
        <v>23</v>
      </c>
      <c r="B3739" s="60" t="str">
        <f t="shared" si="2678"/>
        <v>hide</v>
      </c>
      <c r="D3739" s="48" t="str">
        <f>D3738</f>
        <v>51110</v>
      </c>
      <c r="E3739" s="7"/>
      <c r="F3739" s="27">
        <v>0</v>
      </c>
      <c r="G3739" s="27">
        <v>0</v>
      </c>
      <c r="H3739" s="27">
        <v>0</v>
      </c>
      <c r="I3739" s="27">
        <v>0</v>
      </c>
      <c r="J3739" s="27">
        <v>0</v>
      </c>
      <c r="K3739" s="63">
        <f>AVERAGE(I3739:J3739)</f>
        <v>0</v>
      </c>
      <c r="L3739" s="56" t="str">
        <f>"SW-RISER-PACK"</f>
        <v>SW-RISER-PACK</v>
      </c>
      <c r="M3739" s="14"/>
      <c r="N3739" s="15"/>
      <c r="O3739" s="12"/>
      <c r="P3739" s="34"/>
      <c r="Q3739" s="37"/>
      <c r="R3739" s="47"/>
      <c r="S3739" s="46"/>
    </row>
    <row r="3740" spans="1:19" ht="12" hidden="1" customHeight="1" x14ac:dyDescent="0.3">
      <c r="A3740" s="35" t="s">
        <v>908</v>
      </c>
      <c r="B3740" s="49" t="str">
        <f>B3736</f>
        <v>hide</v>
      </c>
      <c r="N3740"/>
      <c r="Q3740" s="33"/>
    </row>
    <row r="3741" spans="1:19" ht="13.8" hidden="1" thickBot="1" x14ac:dyDescent="0.3">
      <c r="A3741" t="s">
        <v>23</v>
      </c>
      <c r="B3741" s="49" t="str">
        <f t="shared" ref="B3741" si="2679">B3740</f>
        <v>hide</v>
      </c>
      <c r="D3741" s="58"/>
      <c r="E3741" s="58"/>
      <c r="F3741" s="52">
        <f>SUM(F3736:F3740)</f>
        <v>0</v>
      </c>
      <c r="G3741" s="52">
        <f>SUM(G3736:G3740)</f>
        <v>0</v>
      </c>
      <c r="H3741" s="52">
        <f>SUM(H3736:H3740)</f>
        <v>0</v>
      </c>
      <c r="I3741" s="52">
        <f>SUM(I3736:I3740)</f>
        <v>0</v>
      </c>
      <c r="J3741" s="52">
        <f>SUM(J3736:J3740)</f>
        <v>0</v>
      </c>
      <c r="K3741" s="52"/>
      <c r="L3741" s="51" t="s">
        <v>4</v>
      </c>
      <c r="M3741" s="58"/>
      <c r="N3741" s="58"/>
      <c r="O3741" s="58"/>
      <c r="P3741" s="58"/>
      <c r="Q3741" s="58"/>
      <c r="R3741" s="58"/>
      <c r="S3741" s="58"/>
    </row>
    <row r="3742" spans="1:19" s="59" customFormat="1" ht="18.75" hidden="1" customHeight="1" thickBot="1" x14ac:dyDescent="0.3">
      <c r="A3742" s="59" t="s">
        <v>23</v>
      </c>
      <c r="B3742" s="60" t="str">
        <f t="shared" ref="B3742:B3743" si="2680">IF(K3742=0,"hide","")</f>
        <v>hide</v>
      </c>
      <c r="D3742" s="61" t="str">
        <f>"51119"</f>
        <v>51119</v>
      </c>
      <c r="E3742" s="62" t="str">
        <f>"3"</f>
        <v>3</v>
      </c>
      <c r="F3742" s="63">
        <v>0</v>
      </c>
      <c r="G3742" s="63">
        <v>0</v>
      </c>
      <c r="H3742" s="63">
        <v>0</v>
      </c>
      <c r="I3742" s="63">
        <v>0</v>
      </c>
      <c r="J3742" s="63">
        <v>0</v>
      </c>
      <c r="K3742" s="63">
        <f>AVERAGE(I3742:J3742)</f>
        <v>0</v>
      </c>
      <c r="L3742" s="64" t="str">
        <f>"Orange Loaves"</f>
        <v>Orange Loaves</v>
      </c>
      <c r="M3742" s="65" t="str">
        <f>"72-2 oz. IW"</f>
        <v>72-2 oz. IW</v>
      </c>
      <c r="N3742" s="66">
        <v>72</v>
      </c>
      <c r="O3742" s="67">
        <v>2E-3</v>
      </c>
      <c r="P3742" s="68">
        <f>1/O3742</f>
        <v>500</v>
      </c>
      <c r="Q3742" s="53">
        <v>2E-3</v>
      </c>
      <c r="R3742" s="69">
        <f t="shared" ref="R3742" si="2681">1/Q3742</f>
        <v>500</v>
      </c>
      <c r="S3742" s="70">
        <f t="shared" ref="S3742" si="2682">R3742*N3742</f>
        <v>36000</v>
      </c>
    </row>
    <row r="3743" spans="1:19" ht="15.6" hidden="1" customHeight="1" thickBot="1" x14ac:dyDescent="0.3">
      <c r="A3743" t="s">
        <v>23</v>
      </c>
      <c r="B3743" s="60" t="str">
        <f t="shared" si="2680"/>
        <v>hide</v>
      </c>
      <c r="D3743" s="48" t="str">
        <f>D3742</f>
        <v>51119</v>
      </c>
      <c r="E3743" s="7"/>
      <c r="F3743" s="27">
        <v>0</v>
      </c>
      <c r="G3743" s="27">
        <v>0</v>
      </c>
      <c r="H3743" s="27">
        <v>0</v>
      </c>
      <c r="I3743" s="27">
        <v>0</v>
      </c>
      <c r="J3743" s="27">
        <v>0</v>
      </c>
      <c r="K3743" s="63">
        <f>AVERAGE(I3743:J3743)</f>
        <v>0</v>
      </c>
      <c r="L3743" s="56" t="str">
        <f>"EQP-LAWPACK1"</f>
        <v>EQP-LAWPACK1</v>
      </c>
      <c r="M3743" s="14"/>
      <c r="N3743" s="15"/>
      <c r="O3743" s="12"/>
      <c r="P3743" s="34"/>
      <c r="Q3743" s="37"/>
      <c r="R3743" s="47"/>
      <c r="S3743" s="46"/>
    </row>
    <row r="3744" spans="1:19" ht="15.6" hidden="1" customHeight="1" thickBot="1" x14ac:dyDescent="0.3">
      <c r="A3744" t="s">
        <v>23</v>
      </c>
      <c r="B3744" s="60" t="str">
        <f t="shared" ref="B3744:B3746" si="2683">IF(K3744=0,"hide","")</f>
        <v>hide</v>
      </c>
      <c r="D3744" s="48" t="str">
        <f>D3743</f>
        <v>51119</v>
      </c>
      <c r="E3744" s="7"/>
      <c r="F3744" s="27">
        <v>0</v>
      </c>
      <c r="G3744" s="27">
        <v>0</v>
      </c>
      <c r="H3744" s="27">
        <v>0</v>
      </c>
      <c r="I3744" s="27">
        <v>0</v>
      </c>
      <c r="J3744" s="27">
        <v>0</v>
      </c>
      <c r="K3744" s="63">
        <f>AVERAGE(I3744:J3744)</f>
        <v>0</v>
      </c>
      <c r="L3744" s="56" t="str">
        <f>"EQP-LAWPACK2"</f>
        <v>EQP-LAWPACK2</v>
      </c>
      <c r="M3744" s="14"/>
      <c r="N3744" s="15"/>
      <c r="O3744" s="12"/>
      <c r="P3744" s="34"/>
      <c r="Q3744" s="37"/>
      <c r="R3744" s="47"/>
      <c r="S3744" s="46"/>
    </row>
    <row r="3745" spans="1:19" ht="15.6" hidden="1" customHeight="1" thickBot="1" x14ac:dyDescent="0.3">
      <c r="A3745" t="s">
        <v>23</v>
      </c>
      <c r="B3745" s="60" t="str">
        <f t="shared" si="2683"/>
        <v>hide</v>
      </c>
      <c r="D3745" s="48" t="str">
        <f>D3744</f>
        <v>51119</v>
      </c>
      <c r="E3745" s="7"/>
      <c r="F3745" s="27">
        <v>0</v>
      </c>
      <c r="G3745" s="27">
        <v>0</v>
      </c>
      <c r="H3745" s="27">
        <v>0</v>
      </c>
      <c r="I3745" s="27">
        <v>0</v>
      </c>
      <c r="J3745" s="27">
        <v>0</v>
      </c>
      <c r="K3745" s="63">
        <f>AVERAGE(I3745:J3745)</f>
        <v>0</v>
      </c>
      <c r="L3745" s="56" t="str">
        <f>"SW-COMAS-PACKL"</f>
        <v>SW-COMAS-PACKL</v>
      </c>
      <c r="M3745" s="14"/>
      <c r="N3745" s="15"/>
      <c r="O3745" s="12"/>
      <c r="P3745" s="34"/>
      <c r="Q3745" s="37"/>
      <c r="R3745" s="47"/>
      <c r="S3745" s="46"/>
    </row>
    <row r="3746" spans="1:19" ht="15.6" hidden="1" customHeight="1" thickBot="1" x14ac:dyDescent="0.3">
      <c r="A3746" t="s">
        <v>23</v>
      </c>
      <c r="B3746" s="60" t="str">
        <f t="shared" si="2683"/>
        <v>hide</v>
      </c>
      <c r="D3746" s="48" t="str">
        <f>D3745</f>
        <v>51119</v>
      </c>
      <c r="E3746" s="7"/>
      <c r="F3746" s="27">
        <v>0</v>
      </c>
      <c r="G3746" s="27">
        <v>0</v>
      </c>
      <c r="H3746" s="27">
        <v>0</v>
      </c>
      <c r="I3746" s="27">
        <v>0</v>
      </c>
      <c r="J3746" s="27">
        <v>0</v>
      </c>
      <c r="K3746" s="63">
        <f>AVERAGE(I3746:J3746)</f>
        <v>0</v>
      </c>
      <c r="L3746" s="56" t="str">
        <f>"SW-RISER-PACK"</f>
        <v>SW-RISER-PACK</v>
      </c>
      <c r="M3746" s="14"/>
      <c r="N3746" s="15"/>
      <c r="O3746" s="12"/>
      <c r="P3746" s="34"/>
      <c r="Q3746" s="37"/>
      <c r="R3746" s="47"/>
      <c r="S3746" s="46"/>
    </row>
    <row r="3747" spans="1:19" ht="12" hidden="1" customHeight="1" x14ac:dyDescent="0.3">
      <c r="A3747" s="35" t="s">
        <v>908</v>
      </c>
      <c r="B3747" s="49" t="str">
        <f>B3743</f>
        <v>hide</v>
      </c>
      <c r="N3747"/>
      <c r="Q3747" s="33"/>
    </row>
    <row r="3748" spans="1:19" ht="13.8" hidden="1" thickBot="1" x14ac:dyDescent="0.3">
      <c r="A3748" t="s">
        <v>23</v>
      </c>
      <c r="B3748" s="49" t="str">
        <f t="shared" ref="B3748" si="2684">B3747</f>
        <v>hide</v>
      </c>
      <c r="D3748" s="58"/>
      <c r="E3748" s="58"/>
      <c r="F3748" s="52">
        <f>SUM(F3743:F3747)</f>
        <v>0</v>
      </c>
      <c r="G3748" s="52">
        <f>SUM(G3743:G3747)</f>
        <v>0</v>
      </c>
      <c r="H3748" s="52">
        <f>SUM(H3743:H3747)</f>
        <v>0</v>
      </c>
      <c r="I3748" s="52">
        <f>SUM(I3743:I3747)</f>
        <v>0</v>
      </c>
      <c r="J3748" s="52">
        <f>SUM(J3743:J3747)</f>
        <v>0</v>
      </c>
      <c r="K3748" s="52"/>
      <c r="L3748" s="51" t="s">
        <v>4</v>
      </c>
      <c r="M3748" s="58"/>
      <c r="N3748" s="58"/>
      <c r="O3748" s="58"/>
      <c r="P3748" s="58"/>
      <c r="Q3748" s="58"/>
      <c r="R3748" s="58"/>
      <c r="S3748" s="58"/>
    </row>
    <row r="3749" spans="1:19" s="59" customFormat="1" ht="18.75" hidden="1" customHeight="1" thickBot="1" x14ac:dyDescent="0.3">
      <c r="A3749" s="59" t="s">
        <v>23</v>
      </c>
      <c r="B3749" s="60" t="str">
        <f t="shared" ref="B3749:B3750" si="2685">IF(K3749=0,"hide","")</f>
        <v>hide</v>
      </c>
      <c r="D3749" s="61" t="str">
        <f>"51122"</f>
        <v>51122</v>
      </c>
      <c r="E3749" s="62" t="str">
        <f>"2"</f>
        <v>2</v>
      </c>
      <c r="F3749" s="63">
        <v>0</v>
      </c>
      <c r="G3749" s="63">
        <v>0</v>
      </c>
      <c r="H3749" s="63">
        <v>0</v>
      </c>
      <c r="I3749" s="63">
        <v>0</v>
      </c>
      <c r="J3749" s="63">
        <v>0</v>
      </c>
      <c r="K3749" s="63">
        <f>AVERAGE(I3749:J3749)</f>
        <v>0</v>
      </c>
      <c r="L3749" s="64" t="str">
        <f>"Lemon Crumb Loaves"</f>
        <v>Lemon Crumb Loaves</v>
      </c>
      <c r="M3749" s="65" t="str">
        <f>"72-2 oz IW"</f>
        <v>72-2 oz IW</v>
      </c>
      <c r="N3749" s="66">
        <v>72</v>
      </c>
      <c r="O3749" s="67" t="str">
        <f>""</f>
        <v/>
      </c>
      <c r="P3749" s="68" t="e">
        <f>1/O3749</f>
        <v>#VALUE!</v>
      </c>
      <c r="Q3749" s="53">
        <v>1</v>
      </c>
      <c r="R3749" s="69">
        <f t="shared" ref="R3749" si="2686">1/Q3749</f>
        <v>1</v>
      </c>
      <c r="S3749" s="70">
        <f t="shared" ref="S3749" si="2687">R3749*N3749</f>
        <v>72</v>
      </c>
    </row>
    <row r="3750" spans="1:19" ht="15.6" hidden="1" customHeight="1" thickBot="1" x14ac:dyDescent="0.3">
      <c r="A3750" t="s">
        <v>23</v>
      </c>
      <c r="B3750" s="60" t="str">
        <f t="shared" si="2685"/>
        <v>hide</v>
      </c>
      <c r="D3750" s="48" t="str">
        <f>D3749</f>
        <v>51122</v>
      </c>
      <c r="E3750" s="7"/>
      <c r="F3750" s="27">
        <v>0</v>
      </c>
      <c r="G3750" s="27">
        <v>0</v>
      </c>
      <c r="H3750" s="27">
        <v>0</v>
      </c>
      <c r="I3750" s="27">
        <v>0</v>
      </c>
      <c r="J3750" s="27">
        <v>0</v>
      </c>
      <c r="K3750" s="63">
        <f>AVERAGE(I3750:J3750)</f>
        <v>0</v>
      </c>
      <c r="L3750" s="56" t="str">
        <f>"EQP-LAWPACK1"</f>
        <v>EQP-LAWPACK1</v>
      </c>
      <c r="M3750" s="14"/>
      <c r="N3750" s="15"/>
      <c r="O3750" s="12"/>
      <c r="P3750" s="34"/>
      <c r="Q3750" s="37"/>
      <c r="R3750" s="47"/>
      <c r="S3750" s="46"/>
    </row>
    <row r="3751" spans="1:19" ht="15.6" hidden="1" customHeight="1" thickBot="1" x14ac:dyDescent="0.3">
      <c r="A3751" t="s">
        <v>23</v>
      </c>
      <c r="B3751" s="60" t="str">
        <f t="shared" ref="B3751:B3753" si="2688">IF(K3751=0,"hide","")</f>
        <v>hide</v>
      </c>
      <c r="D3751" s="48" t="str">
        <f>D3750</f>
        <v>51122</v>
      </c>
      <c r="E3751" s="7"/>
      <c r="F3751" s="27">
        <v>0</v>
      </c>
      <c r="G3751" s="27">
        <v>0</v>
      </c>
      <c r="H3751" s="27">
        <v>0</v>
      </c>
      <c r="I3751" s="27">
        <v>0</v>
      </c>
      <c r="J3751" s="27">
        <v>0</v>
      </c>
      <c r="K3751" s="63">
        <f>AVERAGE(I3751:J3751)</f>
        <v>0</v>
      </c>
      <c r="L3751" s="56" t="str">
        <f>"EQP-LAWPACK2"</f>
        <v>EQP-LAWPACK2</v>
      </c>
      <c r="M3751" s="14"/>
      <c r="N3751" s="15"/>
      <c r="O3751" s="12"/>
      <c r="P3751" s="34"/>
      <c r="Q3751" s="37"/>
      <c r="R3751" s="47"/>
      <c r="S3751" s="46"/>
    </row>
    <row r="3752" spans="1:19" ht="15.6" hidden="1" customHeight="1" thickBot="1" x14ac:dyDescent="0.3">
      <c r="A3752" t="s">
        <v>23</v>
      </c>
      <c r="B3752" s="60" t="str">
        <f t="shared" si="2688"/>
        <v>hide</v>
      </c>
      <c r="D3752" s="48" t="str">
        <f>D3751</f>
        <v>51122</v>
      </c>
      <c r="E3752" s="7"/>
      <c r="F3752" s="27">
        <v>0</v>
      </c>
      <c r="G3752" s="27">
        <v>0</v>
      </c>
      <c r="H3752" s="27">
        <v>0</v>
      </c>
      <c r="I3752" s="27">
        <v>0</v>
      </c>
      <c r="J3752" s="27">
        <v>0</v>
      </c>
      <c r="K3752" s="63">
        <f>AVERAGE(I3752:J3752)</f>
        <v>0</v>
      </c>
      <c r="L3752" s="56" t="str">
        <f>"SW-COMAS-PACKL"</f>
        <v>SW-COMAS-PACKL</v>
      </c>
      <c r="M3752" s="14"/>
      <c r="N3752" s="15"/>
      <c r="O3752" s="12"/>
      <c r="P3752" s="34"/>
      <c r="Q3752" s="37"/>
      <c r="R3752" s="47"/>
      <c r="S3752" s="46"/>
    </row>
    <row r="3753" spans="1:19" ht="15.6" hidden="1" customHeight="1" thickBot="1" x14ac:dyDescent="0.3">
      <c r="A3753" t="s">
        <v>23</v>
      </c>
      <c r="B3753" s="60" t="str">
        <f t="shared" si="2688"/>
        <v>hide</v>
      </c>
      <c r="D3753" s="48" t="str">
        <f>D3752</f>
        <v>51122</v>
      </c>
      <c r="E3753" s="7"/>
      <c r="F3753" s="27">
        <v>0</v>
      </c>
      <c r="G3753" s="27">
        <v>0</v>
      </c>
      <c r="H3753" s="27">
        <v>0</v>
      </c>
      <c r="I3753" s="27">
        <v>0</v>
      </c>
      <c r="J3753" s="27">
        <v>0</v>
      </c>
      <c r="K3753" s="63">
        <f>AVERAGE(I3753:J3753)</f>
        <v>0</v>
      </c>
      <c r="L3753" s="56" t="str">
        <f>"SW-RISER-PACK"</f>
        <v>SW-RISER-PACK</v>
      </c>
      <c r="M3753" s="14"/>
      <c r="N3753" s="15"/>
      <c r="O3753" s="12"/>
      <c r="P3753" s="34"/>
      <c r="Q3753" s="37"/>
      <c r="R3753" s="47"/>
      <c r="S3753" s="46"/>
    </row>
    <row r="3754" spans="1:19" ht="12" hidden="1" customHeight="1" x14ac:dyDescent="0.3">
      <c r="A3754" s="35" t="s">
        <v>908</v>
      </c>
      <c r="B3754" s="49" t="str">
        <f>B3750</f>
        <v>hide</v>
      </c>
      <c r="N3754"/>
      <c r="Q3754" s="33"/>
    </row>
    <row r="3755" spans="1:19" ht="13.8" hidden="1" thickBot="1" x14ac:dyDescent="0.3">
      <c r="A3755" t="s">
        <v>23</v>
      </c>
      <c r="B3755" s="49" t="str">
        <f t="shared" ref="B3755" si="2689">B3754</f>
        <v>hide</v>
      </c>
      <c r="D3755" s="58"/>
      <c r="E3755" s="58"/>
      <c r="F3755" s="52">
        <f>SUM(F3750:F3754)</f>
        <v>0</v>
      </c>
      <c r="G3755" s="52">
        <f>SUM(G3750:G3754)</f>
        <v>0</v>
      </c>
      <c r="H3755" s="52">
        <f>SUM(H3750:H3754)</f>
        <v>0</v>
      </c>
      <c r="I3755" s="52">
        <f>SUM(I3750:I3754)</f>
        <v>0</v>
      </c>
      <c r="J3755" s="52">
        <f>SUM(J3750:J3754)</f>
        <v>0</v>
      </c>
      <c r="K3755" s="52"/>
      <c r="L3755" s="51" t="s">
        <v>4</v>
      </c>
      <c r="M3755" s="58"/>
      <c r="N3755" s="58"/>
      <c r="O3755" s="58"/>
      <c r="P3755" s="58"/>
      <c r="Q3755" s="58"/>
      <c r="R3755" s="58"/>
      <c r="S3755" s="58"/>
    </row>
    <row r="3756" spans="1:19" s="59" customFormat="1" ht="18.75" hidden="1" customHeight="1" thickBot="1" x14ac:dyDescent="0.3">
      <c r="A3756" s="59" t="s">
        <v>23</v>
      </c>
      <c r="B3756" s="60" t="str">
        <f t="shared" ref="B3756:B3757" si="2690">IF(K3756=0,"hide","")</f>
        <v>hide</v>
      </c>
      <c r="D3756" s="61" t="str">
        <f>"51151"</f>
        <v>51151</v>
      </c>
      <c r="E3756" s="62" t="str">
        <f>"2"</f>
        <v>2</v>
      </c>
      <c r="F3756" s="63">
        <v>0</v>
      </c>
      <c r="G3756" s="63">
        <v>0</v>
      </c>
      <c r="H3756" s="63">
        <v>0</v>
      </c>
      <c r="I3756" s="63">
        <v>0</v>
      </c>
      <c r="J3756" s="63">
        <v>0</v>
      </c>
      <c r="K3756" s="63">
        <f>AVERAGE(I3756:J3756)</f>
        <v>0</v>
      </c>
      <c r="L3756" s="64" t="str">
        <f>"Banana Loaf"</f>
        <v>Banana Loaf</v>
      </c>
      <c r="M3756" s="65" t="str">
        <f>"72-2 oz IW"</f>
        <v>72-2 oz IW</v>
      </c>
      <c r="N3756" s="66">
        <v>72</v>
      </c>
      <c r="O3756" s="67">
        <v>1E-3</v>
      </c>
      <c r="P3756" s="68">
        <f>1/O3756</f>
        <v>1000</v>
      </c>
      <c r="Q3756" s="53">
        <v>2.2699999999999999E-3</v>
      </c>
      <c r="R3756" s="69">
        <f t="shared" ref="R3756" si="2691">1/Q3756</f>
        <v>440.52863436123351</v>
      </c>
      <c r="S3756" s="70">
        <f t="shared" ref="S3756" si="2692">R3756*N3756</f>
        <v>31718.061674008812</v>
      </c>
    </row>
    <row r="3757" spans="1:19" ht="15.6" hidden="1" customHeight="1" thickBot="1" x14ac:dyDescent="0.3">
      <c r="A3757" t="s">
        <v>23</v>
      </c>
      <c r="B3757" s="60" t="str">
        <f t="shared" si="2690"/>
        <v>hide</v>
      </c>
      <c r="D3757" s="48" t="str">
        <f>D3756</f>
        <v>51151</v>
      </c>
      <c r="E3757" s="7"/>
      <c r="F3757" s="27">
        <v>0</v>
      </c>
      <c r="G3757" s="27">
        <v>0</v>
      </c>
      <c r="H3757" s="27">
        <v>0</v>
      </c>
      <c r="I3757" s="27">
        <v>0</v>
      </c>
      <c r="J3757" s="27">
        <v>0</v>
      </c>
      <c r="K3757" s="63">
        <f>AVERAGE(I3757:J3757)</f>
        <v>0</v>
      </c>
      <c r="L3757" s="56" t="str">
        <f>"EQP-LAWPACK1"</f>
        <v>EQP-LAWPACK1</v>
      </c>
      <c r="M3757" s="14"/>
      <c r="N3757" s="15"/>
      <c r="O3757" s="12"/>
      <c r="P3757" s="34"/>
      <c r="Q3757" s="37"/>
      <c r="R3757" s="47"/>
      <c r="S3757" s="46"/>
    </row>
    <row r="3758" spans="1:19" ht="15.6" hidden="1" customHeight="1" thickBot="1" x14ac:dyDescent="0.3">
      <c r="A3758" t="s">
        <v>23</v>
      </c>
      <c r="B3758" s="60" t="str">
        <f t="shared" ref="B3758:B3760" si="2693">IF(K3758=0,"hide","")</f>
        <v>hide</v>
      </c>
      <c r="D3758" s="48" t="str">
        <f>D3757</f>
        <v>51151</v>
      </c>
      <c r="E3758" s="7"/>
      <c r="F3758" s="27">
        <v>0</v>
      </c>
      <c r="G3758" s="27">
        <v>0</v>
      </c>
      <c r="H3758" s="27">
        <v>0</v>
      </c>
      <c r="I3758" s="27">
        <v>0</v>
      </c>
      <c r="J3758" s="27">
        <v>0</v>
      </c>
      <c r="K3758" s="63">
        <f>AVERAGE(I3758:J3758)</f>
        <v>0</v>
      </c>
      <c r="L3758" s="56" t="str">
        <f>"EQP-LAWPACK2"</f>
        <v>EQP-LAWPACK2</v>
      </c>
      <c r="M3758" s="14"/>
      <c r="N3758" s="15"/>
      <c r="O3758" s="12"/>
      <c r="P3758" s="34"/>
      <c r="Q3758" s="37"/>
      <c r="R3758" s="47"/>
      <c r="S3758" s="46"/>
    </row>
    <row r="3759" spans="1:19" ht="15.6" hidden="1" customHeight="1" thickBot="1" x14ac:dyDescent="0.3">
      <c r="A3759" t="s">
        <v>23</v>
      </c>
      <c r="B3759" s="60" t="str">
        <f t="shared" si="2693"/>
        <v>hide</v>
      </c>
      <c r="D3759" s="48" t="str">
        <f>D3758</f>
        <v>51151</v>
      </c>
      <c r="E3759" s="7"/>
      <c r="F3759" s="27">
        <v>0</v>
      </c>
      <c r="G3759" s="27">
        <v>0</v>
      </c>
      <c r="H3759" s="27">
        <v>0</v>
      </c>
      <c r="I3759" s="27">
        <v>0</v>
      </c>
      <c r="J3759" s="27">
        <v>0</v>
      </c>
      <c r="K3759" s="63">
        <f>AVERAGE(I3759:J3759)</f>
        <v>0</v>
      </c>
      <c r="L3759" s="56" t="str">
        <f>"SW-COMAS-PACKL"</f>
        <v>SW-COMAS-PACKL</v>
      </c>
      <c r="M3759" s="14"/>
      <c r="N3759" s="15"/>
      <c r="O3759" s="12"/>
      <c r="P3759" s="34"/>
      <c r="Q3759" s="37"/>
      <c r="R3759" s="47"/>
      <c r="S3759" s="46"/>
    </row>
    <row r="3760" spans="1:19" ht="15.6" hidden="1" customHeight="1" thickBot="1" x14ac:dyDescent="0.3">
      <c r="A3760" t="s">
        <v>23</v>
      </c>
      <c r="B3760" s="60" t="str">
        <f t="shared" si="2693"/>
        <v>hide</v>
      </c>
      <c r="D3760" s="48" t="str">
        <f>D3759</f>
        <v>51151</v>
      </c>
      <c r="E3760" s="7"/>
      <c r="F3760" s="27">
        <v>0</v>
      </c>
      <c r="G3760" s="27">
        <v>0</v>
      </c>
      <c r="H3760" s="27">
        <v>0</v>
      </c>
      <c r="I3760" s="27">
        <v>0</v>
      </c>
      <c r="J3760" s="27">
        <v>0</v>
      </c>
      <c r="K3760" s="63">
        <f>AVERAGE(I3760:J3760)</f>
        <v>0</v>
      </c>
      <c r="L3760" s="56" t="str">
        <f>"SW-RISER-PACK"</f>
        <v>SW-RISER-PACK</v>
      </c>
      <c r="M3760" s="14"/>
      <c r="N3760" s="15"/>
      <c r="O3760" s="12"/>
      <c r="P3760" s="34"/>
      <c r="Q3760" s="37"/>
      <c r="R3760" s="47"/>
      <c r="S3760" s="46"/>
    </row>
    <row r="3761" spans="1:19" ht="12" hidden="1" customHeight="1" x14ac:dyDescent="0.3">
      <c r="A3761" s="35" t="s">
        <v>908</v>
      </c>
      <c r="B3761" s="49" t="str">
        <f>B3757</f>
        <v>hide</v>
      </c>
      <c r="N3761"/>
      <c r="Q3761" s="33"/>
    </row>
    <row r="3762" spans="1:19" ht="13.8" hidden="1" thickBot="1" x14ac:dyDescent="0.3">
      <c r="A3762" t="s">
        <v>23</v>
      </c>
      <c r="B3762" s="49" t="str">
        <f t="shared" ref="B3762" si="2694">B3761</f>
        <v>hide</v>
      </c>
      <c r="D3762" s="58"/>
      <c r="E3762" s="58"/>
      <c r="F3762" s="52">
        <f>SUM(F3757:F3761)</f>
        <v>0</v>
      </c>
      <c r="G3762" s="52">
        <f>SUM(G3757:G3761)</f>
        <v>0</v>
      </c>
      <c r="H3762" s="52">
        <f>SUM(H3757:H3761)</f>
        <v>0</v>
      </c>
      <c r="I3762" s="52">
        <f>SUM(I3757:I3761)</f>
        <v>0</v>
      </c>
      <c r="J3762" s="52">
        <f>SUM(J3757:J3761)</f>
        <v>0</v>
      </c>
      <c r="K3762" s="52"/>
      <c r="L3762" s="51" t="s">
        <v>4</v>
      </c>
      <c r="M3762" s="58"/>
      <c r="N3762" s="58"/>
      <c r="O3762" s="58"/>
      <c r="P3762" s="58"/>
      <c r="Q3762" s="58"/>
      <c r="R3762" s="58"/>
      <c r="S3762" s="58"/>
    </row>
    <row r="3763" spans="1:19" s="59" customFormat="1" ht="18.75" hidden="1" customHeight="1" thickBot="1" x14ac:dyDescent="0.3">
      <c r="A3763" s="59" t="s">
        <v>23</v>
      </c>
      <c r="B3763" s="60" t="str">
        <f t="shared" ref="B3763:B3764" si="2695">IF(K3763=0,"hide","")</f>
        <v>hide</v>
      </c>
      <c r="D3763" s="61" t="str">
        <f>"51301"</f>
        <v>51301</v>
      </c>
      <c r="E3763" s="62" t="str">
        <f>"2"</f>
        <v>2</v>
      </c>
      <c r="F3763" s="63">
        <v>0</v>
      </c>
      <c r="G3763" s="63">
        <v>0</v>
      </c>
      <c r="H3763" s="63">
        <v>0</v>
      </c>
      <c r="I3763" s="63">
        <v>0</v>
      </c>
      <c r="J3763" s="63">
        <v>0</v>
      </c>
      <c r="K3763" s="63">
        <f>AVERAGE(I3763:J3763)</f>
        <v>0</v>
      </c>
      <c r="L3763" s="64" t="str">
        <f>"Blueberry Crumb Breakfast Cake"</f>
        <v>Blueberry Crumb Breakfast Cake</v>
      </c>
      <c r="M3763" s="65" t="str">
        <f>"72-2 oz. IW"</f>
        <v>72-2 oz. IW</v>
      </c>
      <c r="N3763" s="66">
        <v>72</v>
      </c>
      <c r="O3763" s="67" t="str">
        <f>""</f>
        <v/>
      </c>
      <c r="P3763" s="68" t="e">
        <f>1/O3763</f>
        <v>#VALUE!</v>
      </c>
      <c r="Q3763" s="53">
        <v>1</v>
      </c>
      <c r="R3763" s="69">
        <f t="shared" ref="R3763" si="2696">1/Q3763</f>
        <v>1</v>
      </c>
      <c r="S3763" s="70">
        <f t="shared" ref="S3763" si="2697">R3763*N3763</f>
        <v>72</v>
      </c>
    </row>
    <row r="3764" spans="1:19" ht="15.6" hidden="1" customHeight="1" thickBot="1" x14ac:dyDescent="0.3">
      <c r="A3764" t="s">
        <v>23</v>
      </c>
      <c r="B3764" s="60" t="str">
        <f t="shared" si="2695"/>
        <v>hide</v>
      </c>
      <c r="D3764" s="48" t="str">
        <f>D3763</f>
        <v>51301</v>
      </c>
      <c r="E3764" s="7"/>
      <c r="F3764" s="27">
        <v>0</v>
      </c>
      <c r="G3764" s="27">
        <v>0</v>
      </c>
      <c r="H3764" s="27">
        <v>0</v>
      </c>
      <c r="I3764" s="27">
        <v>0</v>
      </c>
      <c r="J3764" s="27">
        <v>0</v>
      </c>
      <c r="K3764" s="63">
        <f>AVERAGE(I3764:J3764)</f>
        <v>0</v>
      </c>
      <c r="L3764" s="56" t="str">
        <f>"EQP-LAWPACK1"</f>
        <v>EQP-LAWPACK1</v>
      </c>
      <c r="M3764" s="14"/>
      <c r="N3764" s="15"/>
      <c r="O3764" s="12"/>
      <c r="P3764" s="34"/>
      <c r="Q3764" s="37"/>
      <c r="R3764" s="47"/>
      <c r="S3764" s="46"/>
    </row>
    <row r="3765" spans="1:19" ht="15.6" hidden="1" customHeight="1" thickBot="1" x14ac:dyDescent="0.3">
      <c r="A3765" t="s">
        <v>23</v>
      </c>
      <c r="B3765" s="60" t="str">
        <f t="shared" ref="B3765:B3767" si="2698">IF(K3765=0,"hide","")</f>
        <v>hide</v>
      </c>
      <c r="D3765" s="48" t="str">
        <f>D3764</f>
        <v>51301</v>
      </c>
      <c r="E3765" s="7"/>
      <c r="F3765" s="27">
        <v>0</v>
      </c>
      <c r="G3765" s="27">
        <v>0</v>
      </c>
      <c r="H3765" s="27">
        <v>0</v>
      </c>
      <c r="I3765" s="27">
        <v>0</v>
      </c>
      <c r="J3765" s="27">
        <v>0</v>
      </c>
      <c r="K3765" s="63">
        <f>AVERAGE(I3765:J3765)</f>
        <v>0</v>
      </c>
      <c r="L3765" s="56" t="str">
        <f>"EQP-LAWPACK2"</f>
        <v>EQP-LAWPACK2</v>
      </c>
      <c r="M3765" s="14"/>
      <c r="N3765" s="15"/>
      <c r="O3765" s="12"/>
      <c r="P3765" s="34"/>
      <c r="Q3765" s="37"/>
      <c r="R3765" s="47"/>
      <c r="S3765" s="46"/>
    </row>
    <row r="3766" spans="1:19" ht="15.6" hidden="1" customHeight="1" thickBot="1" x14ac:dyDescent="0.3">
      <c r="A3766" t="s">
        <v>23</v>
      </c>
      <c r="B3766" s="60" t="str">
        <f t="shared" si="2698"/>
        <v>hide</v>
      </c>
      <c r="D3766" s="48" t="str">
        <f>D3765</f>
        <v>51301</v>
      </c>
      <c r="E3766" s="7"/>
      <c r="F3766" s="27">
        <v>0</v>
      </c>
      <c r="G3766" s="27">
        <v>0</v>
      </c>
      <c r="H3766" s="27">
        <v>0</v>
      </c>
      <c r="I3766" s="27">
        <v>0</v>
      </c>
      <c r="J3766" s="27">
        <v>0</v>
      </c>
      <c r="K3766" s="63">
        <f>AVERAGE(I3766:J3766)</f>
        <v>0</v>
      </c>
      <c r="L3766" s="56" t="str">
        <f>"SW-COMAS-PACKL"</f>
        <v>SW-COMAS-PACKL</v>
      </c>
      <c r="M3766" s="14"/>
      <c r="N3766" s="15"/>
      <c r="O3766" s="12"/>
      <c r="P3766" s="34"/>
      <c r="Q3766" s="37"/>
      <c r="R3766" s="47"/>
      <c r="S3766" s="46"/>
    </row>
    <row r="3767" spans="1:19" ht="15.6" hidden="1" customHeight="1" thickBot="1" x14ac:dyDescent="0.3">
      <c r="A3767" t="s">
        <v>23</v>
      </c>
      <c r="B3767" s="60" t="str">
        <f t="shared" si="2698"/>
        <v>hide</v>
      </c>
      <c r="D3767" s="48" t="str">
        <f>D3766</f>
        <v>51301</v>
      </c>
      <c r="E3767" s="7"/>
      <c r="F3767" s="27">
        <v>0</v>
      </c>
      <c r="G3767" s="27">
        <v>0</v>
      </c>
      <c r="H3767" s="27">
        <v>0</v>
      </c>
      <c r="I3767" s="27">
        <v>0</v>
      </c>
      <c r="J3767" s="27">
        <v>0</v>
      </c>
      <c r="K3767" s="63">
        <f>AVERAGE(I3767:J3767)</f>
        <v>0</v>
      </c>
      <c r="L3767" s="56" t="str">
        <f>"SW-RISER-PACK"</f>
        <v>SW-RISER-PACK</v>
      </c>
      <c r="M3767" s="14"/>
      <c r="N3767" s="15"/>
      <c r="O3767" s="12"/>
      <c r="P3767" s="34"/>
      <c r="Q3767" s="37"/>
      <c r="R3767" s="47"/>
      <c r="S3767" s="46"/>
    </row>
    <row r="3768" spans="1:19" ht="12" hidden="1" customHeight="1" x14ac:dyDescent="0.3">
      <c r="A3768" s="35" t="s">
        <v>908</v>
      </c>
      <c r="B3768" s="49" t="str">
        <f>B3764</f>
        <v>hide</v>
      </c>
      <c r="N3768"/>
      <c r="Q3768" s="33"/>
    </row>
    <row r="3769" spans="1:19" ht="13.8" hidden="1" thickBot="1" x14ac:dyDescent="0.3">
      <c r="A3769" t="s">
        <v>23</v>
      </c>
      <c r="B3769" s="49" t="str">
        <f t="shared" ref="B3769" si="2699">B3768</f>
        <v>hide</v>
      </c>
      <c r="D3769" s="58"/>
      <c r="E3769" s="58"/>
      <c r="F3769" s="52">
        <f>SUM(F3764:F3768)</f>
        <v>0</v>
      </c>
      <c r="G3769" s="52">
        <f>SUM(G3764:G3768)</f>
        <v>0</v>
      </c>
      <c r="H3769" s="52">
        <f>SUM(H3764:H3768)</f>
        <v>0</v>
      </c>
      <c r="I3769" s="52">
        <f>SUM(I3764:I3768)</f>
        <v>0</v>
      </c>
      <c r="J3769" s="52">
        <f>SUM(J3764:J3768)</f>
        <v>0</v>
      </c>
      <c r="K3769" s="52"/>
      <c r="L3769" s="51" t="s">
        <v>4</v>
      </c>
      <c r="M3769" s="58"/>
      <c r="N3769" s="58"/>
      <c r="O3769" s="58"/>
      <c r="P3769" s="58"/>
      <c r="Q3769" s="58"/>
      <c r="R3769" s="58"/>
      <c r="S3769" s="58"/>
    </row>
    <row r="3770" spans="1:19" s="59" customFormat="1" ht="18.75" hidden="1" customHeight="1" thickBot="1" x14ac:dyDescent="0.3">
      <c r="A3770" s="59" t="s">
        <v>23</v>
      </c>
      <c r="B3770" s="60" t="str">
        <f t="shared" ref="B3770:B3771" si="2700">IF(K3770=0,"hide","")</f>
        <v>hide</v>
      </c>
      <c r="D3770" s="61" t="str">
        <f>"51303"</f>
        <v>51303</v>
      </c>
      <c r="E3770" s="62" t="str">
        <f>"2"</f>
        <v>2</v>
      </c>
      <c r="F3770" s="63">
        <v>0</v>
      </c>
      <c r="G3770" s="63">
        <v>0</v>
      </c>
      <c r="H3770" s="63">
        <v>0</v>
      </c>
      <c r="I3770" s="63">
        <v>0</v>
      </c>
      <c r="J3770" s="63">
        <v>0</v>
      </c>
      <c r="K3770" s="63">
        <f>AVERAGE(I3770:J3770)</f>
        <v>0</v>
      </c>
      <c r="L3770" s="64" t="str">
        <f>"Cranberry Org. Breakfast Cake"</f>
        <v>Cranberry Org. Breakfast Cake</v>
      </c>
      <c r="M3770" s="65" t="str">
        <f>"72-2 oz. IW"</f>
        <v>72-2 oz. IW</v>
      </c>
      <c r="N3770" s="66">
        <v>72</v>
      </c>
      <c r="O3770" s="67" t="str">
        <f>""</f>
        <v/>
      </c>
      <c r="P3770" s="68" t="e">
        <f>1/O3770</f>
        <v>#VALUE!</v>
      </c>
      <c r="Q3770" s="53">
        <v>1</v>
      </c>
      <c r="R3770" s="69">
        <f t="shared" ref="R3770" si="2701">1/Q3770</f>
        <v>1</v>
      </c>
      <c r="S3770" s="70">
        <f t="shared" ref="S3770" si="2702">R3770*N3770</f>
        <v>72</v>
      </c>
    </row>
    <row r="3771" spans="1:19" ht="15.6" hidden="1" customHeight="1" thickBot="1" x14ac:dyDescent="0.3">
      <c r="A3771" t="s">
        <v>23</v>
      </c>
      <c r="B3771" s="60" t="str">
        <f t="shared" si="2700"/>
        <v>hide</v>
      </c>
      <c r="D3771" s="48" t="str">
        <f>D3770</f>
        <v>51303</v>
      </c>
      <c r="E3771" s="7"/>
      <c r="F3771" s="27">
        <v>0</v>
      </c>
      <c r="G3771" s="27">
        <v>0</v>
      </c>
      <c r="H3771" s="27">
        <v>0</v>
      </c>
      <c r="I3771" s="27">
        <v>0</v>
      </c>
      <c r="J3771" s="27">
        <v>0</v>
      </c>
      <c r="K3771" s="63">
        <f>AVERAGE(I3771:J3771)</f>
        <v>0</v>
      </c>
      <c r="L3771" s="56" t="str">
        <f>"EQP-LAWPACK1"</f>
        <v>EQP-LAWPACK1</v>
      </c>
      <c r="M3771" s="14"/>
      <c r="N3771" s="15"/>
      <c r="O3771" s="12"/>
      <c r="P3771" s="34"/>
      <c r="Q3771" s="37"/>
      <c r="R3771" s="47"/>
      <c r="S3771" s="46"/>
    </row>
    <row r="3772" spans="1:19" ht="15.6" hidden="1" customHeight="1" thickBot="1" x14ac:dyDescent="0.3">
      <c r="A3772" t="s">
        <v>23</v>
      </c>
      <c r="B3772" s="60" t="str">
        <f t="shared" ref="B3772:B3774" si="2703">IF(K3772=0,"hide","")</f>
        <v>hide</v>
      </c>
      <c r="D3772" s="48" t="str">
        <f>D3771</f>
        <v>51303</v>
      </c>
      <c r="E3772" s="7"/>
      <c r="F3772" s="27">
        <v>0</v>
      </c>
      <c r="G3772" s="27">
        <v>0</v>
      </c>
      <c r="H3772" s="27">
        <v>0</v>
      </c>
      <c r="I3772" s="27">
        <v>0</v>
      </c>
      <c r="J3772" s="27">
        <v>0</v>
      </c>
      <c r="K3772" s="63">
        <f>AVERAGE(I3772:J3772)</f>
        <v>0</v>
      </c>
      <c r="L3772" s="56" t="str">
        <f>"EQP-LAWPACK2"</f>
        <v>EQP-LAWPACK2</v>
      </c>
      <c r="M3772" s="14"/>
      <c r="N3772" s="15"/>
      <c r="O3772" s="12"/>
      <c r="P3772" s="34"/>
      <c r="Q3772" s="37"/>
      <c r="R3772" s="47"/>
      <c r="S3772" s="46"/>
    </row>
    <row r="3773" spans="1:19" ht="15.6" hidden="1" customHeight="1" thickBot="1" x14ac:dyDescent="0.3">
      <c r="A3773" t="s">
        <v>23</v>
      </c>
      <c r="B3773" s="60" t="str">
        <f t="shared" si="2703"/>
        <v>hide</v>
      </c>
      <c r="D3773" s="48" t="str">
        <f>D3772</f>
        <v>51303</v>
      </c>
      <c r="E3773" s="7"/>
      <c r="F3773" s="27">
        <v>0</v>
      </c>
      <c r="G3773" s="27">
        <v>0</v>
      </c>
      <c r="H3773" s="27">
        <v>0</v>
      </c>
      <c r="I3773" s="27">
        <v>0</v>
      </c>
      <c r="J3773" s="27">
        <v>0</v>
      </c>
      <c r="K3773" s="63">
        <f>AVERAGE(I3773:J3773)</f>
        <v>0</v>
      </c>
      <c r="L3773" s="56" t="str">
        <f>"SW-COMAS-PACKL"</f>
        <v>SW-COMAS-PACKL</v>
      </c>
      <c r="M3773" s="14"/>
      <c r="N3773" s="15"/>
      <c r="O3773" s="12"/>
      <c r="P3773" s="34"/>
      <c r="Q3773" s="37"/>
      <c r="R3773" s="47"/>
      <c r="S3773" s="46"/>
    </row>
    <row r="3774" spans="1:19" ht="15.6" hidden="1" customHeight="1" thickBot="1" x14ac:dyDescent="0.3">
      <c r="A3774" t="s">
        <v>23</v>
      </c>
      <c r="B3774" s="60" t="str">
        <f t="shared" si="2703"/>
        <v>hide</v>
      </c>
      <c r="D3774" s="48" t="str">
        <f>D3773</f>
        <v>51303</v>
      </c>
      <c r="E3774" s="7"/>
      <c r="F3774" s="27">
        <v>0</v>
      </c>
      <c r="G3774" s="27">
        <v>0</v>
      </c>
      <c r="H3774" s="27">
        <v>0</v>
      </c>
      <c r="I3774" s="27">
        <v>0</v>
      </c>
      <c r="J3774" s="27">
        <v>0</v>
      </c>
      <c r="K3774" s="63">
        <f>AVERAGE(I3774:J3774)</f>
        <v>0</v>
      </c>
      <c r="L3774" s="56" t="str">
        <f>"SW-RISER-PACK"</f>
        <v>SW-RISER-PACK</v>
      </c>
      <c r="M3774" s="14"/>
      <c r="N3774" s="15"/>
      <c r="O3774" s="12"/>
      <c r="P3774" s="34"/>
      <c r="Q3774" s="37"/>
      <c r="R3774" s="47"/>
      <c r="S3774" s="46"/>
    </row>
    <row r="3775" spans="1:19" ht="12" hidden="1" customHeight="1" x14ac:dyDescent="0.3">
      <c r="A3775" s="35" t="s">
        <v>908</v>
      </c>
      <c r="B3775" s="49" t="str">
        <f>B3771</f>
        <v>hide</v>
      </c>
      <c r="N3775"/>
      <c r="Q3775" s="33"/>
    </row>
    <row r="3776" spans="1:19" ht="13.8" hidden="1" thickBot="1" x14ac:dyDescent="0.3">
      <c r="A3776" t="s">
        <v>23</v>
      </c>
      <c r="B3776" s="49" t="str">
        <f t="shared" ref="B3776" si="2704">B3775</f>
        <v>hide</v>
      </c>
      <c r="D3776" s="58"/>
      <c r="E3776" s="58"/>
      <c r="F3776" s="52">
        <f>SUM(F3771:F3775)</f>
        <v>0</v>
      </c>
      <c r="G3776" s="52">
        <f>SUM(G3771:G3775)</f>
        <v>0</v>
      </c>
      <c r="H3776" s="52">
        <f>SUM(H3771:H3775)</f>
        <v>0</v>
      </c>
      <c r="I3776" s="52">
        <f>SUM(I3771:I3775)</f>
        <v>0</v>
      </c>
      <c r="J3776" s="52">
        <f>SUM(J3771:J3775)</f>
        <v>0</v>
      </c>
      <c r="K3776" s="52"/>
      <c r="L3776" s="51" t="s">
        <v>4</v>
      </c>
      <c r="M3776" s="58"/>
      <c r="N3776" s="58"/>
      <c r="O3776" s="58"/>
      <c r="P3776" s="58"/>
      <c r="Q3776" s="58"/>
      <c r="R3776" s="58"/>
      <c r="S3776" s="58"/>
    </row>
    <row r="3777" spans="1:19" s="59" customFormat="1" ht="18.75" hidden="1" customHeight="1" thickBot="1" x14ac:dyDescent="0.3">
      <c r="A3777" s="59" t="s">
        <v>23</v>
      </c>
      <c r="B3777" s="60" t="str">
        <f t="shared" ref="B3777:B3778" si="2705">IF(K3777=0,"hide","")</f>
        <v>hide</v>
      </c>
      <c r="D3777" s="61" t="str">
        <f>"51304"</f>
        <v>51304</v>
      </c>
      <c r="E3777" s="62" t="str">
        <f>"3"</f>
        <v>3</v>
      </c>
      <c r="F3777" s="63">
        <v>0</v>
      </c>
      <c r="G3777" s="63">
        <v>0</v>
      </c>
      <c r="H3777" s="63">
        <v>0</v>
      </c>
      <c r="I3777" s="63">
        <v>0</v>
      </c>
      <c r="J3777" s="63">
        <v>0</v>
      </c>
      <c r="K3777" s="63">
        <f>AVERAGE(I3777:J3777)</f>
        <v>0</v>
      </c>
      <c r="L3777" s="64" t="str">
        <f>"Mixed Berry Breakfast Cake"</f>
        <v>Mixed Berry Breakfast Cake</v>
      </c>
      <c r="M3777" s="65" t="str">
        <f>"72-2 oz. IW"</f>
        <v>72-2 oz. IW</v>
      </c>
      <c r="N3777" s="66">
        <v>72</v>
      </c>
      <c r="O3777" s="67" t="str">
        <f>""</f>
        <v/>
      </c>
      <c r="P3777" s="68" t="e">
        <f>1/O3777</f>
        <v>#VALUE!</v>
      </c>
      <c r="Q3777" s="53">
        <v>1</v>
      </c>
      <c r="R3777" s="69">
        <f t="shared" ref="R3777" si="2706">1/Q3777</f>
        <v>1</v>
      </c>
      <c r="S3777" s="70">
        <f t="shared" ref="S3777" si="2707">R3777*N3777</f>
        <v>72</v>
      </c>
    </row>
    <row r="3778" spans="1:19" ht="15.6" hidden="1" customHeight="1" thickBot="1" x14ac:dyDescent="0.3">
      <c r="A3778" t="s">
        <v>23</v>
      </c>
      <c r="B3778" s="60" t="str">
        <f t="shared" si="2705"/>
        <v>hide</v>
      </c>
      <c r="D3778" s="48" t="str">
        <f>D3777</f>
        <v>51304</v>
      </c>
      <c r="E3778" s="7"/>
      <c r="F3778" s="27">
        <v>0</v>
      </c>
      <c r="G3778" s="27">
        <v>0</v>
      </c>
      <c r="H3778" s="27">
        <v>0</v>
      </c>
      <c r="I3778" s="27">
        <v>0</v>
      </c>
      <c r="J3778" s="27">
        <v>0</v>
      </c>
      <c r="K3778" s="63">
        <f>AVERAGE(I3778:J3778)</f>
        <v>0</v>
      </c>
      <c r="L3778" s="56" t="str">
        <f>"EQP-LAWPACK1"</f>
        <v>EQP-LAWPACK1</v>
      </c>
      <c r="M3778" s="14"/>
      <c r="N3778" s="15"/>
      <c r="O3778" s="12"/>
      <c r="P3778" s="34"/>
      <c r="Q3778" s="37"/>
      <c r="R3778" s="47"/>
      <c r="S3778" s="46"/>
    </row>
    <row r="3779" spans="1:19" ht="15.6" hidden="1" customHeight="1" thickBot="1" x14ac:dyDescent="0.3">
      <c r="A3779" t="s">
        <v>23</v>
      </c>
      <c r="B3779" s="60" t="str">
        <f t="shared" ref="B3779:B3781" si="2708">IF(K3779=0,"hide","")</f>
        <v>hide</v>
      </c>
      <c r="D3779" s="48" t="str">
        <f>D3778</f>
        <v>51304</v>
      </c>
      <c r="E3779" s="7"/>
      <c r="F3779" s="27">
        <v>0</v>
      </c>
      <c r="G3779" s="27">
        <v>0</v>
      </c>
      <c r="H3779" s="27">
        <v>0</v>
      </c>
      <c r="I3779" s="27">
        <v>0</v>
      </c>
      <c r="J3779" s="27">
        <v>0</v>
      </c>
      <c r="K3779" s="63">
        <f>AVERAGE(I3779:J3779)</f>
        <v>0</v>
      </c>
      <c r="L3779" s="56" t="str">
        <f>"EQP-LAWPACK2"</f>
        <v>EQP-LAWPACK2</v>
      </c>
      <c r="M3779" s="14"/>
      <c r="N3779" s="15"/>
      <c r="O3779" s="12"/>
      <c r="P3779" s="34"/>
      <c r="Q3779" s="37"/>
      <c r="R3779" s="47"/>
      <c r="S3779" s="46"/>
    </row>
    <row r="3780" spans="1:19" ht="15.6" hidden="1" customHeight="1" thickBot="1" x14ac:dyDescent="0.3">
      <c r="A3780" t="s">
        <v>23</v>
      </c>
      <c r="B3780" s="60" t="str">
        <f t="shared" si="2708"/>
        <v>hide</v>
      </c>
      <c r="D3780" s="48" t="str">
        <f>D3779</f>
        <v>51304</v>
      </c>
      <c r="E3780" s="7"/>
      <c r="F3780" s="27">
        <v>0</v>
      </c>
      <c r="G3780" s="27">
        <v>0</v>
      </c>
      <c r="H3780" s="27">
        <v>0</v>
      </c>
      <c r="I3780" s="27">
        <v>0</v>
      </c>
      <c r="J3780" s="27">
        <v>0</v>
      </c>
      <c r="K3780" s="63">
        <f>AVERAGE(I3780:J3780)</f>
        <v>0</v>
      </c>
      <c r="L3780" s="56" t="str">
        <f>"SW-COMAS-PACKL"</f>
        <v>SW-COMAS-PACKL</v>
      </c>
      <c r="M3780" s="14"/>
      <c r="N3780" s="15"/>
      <c r="O3780" s="12"/>
      <c r="P3780" s="34"/>
      <c r="Q3780" s="37"/>
      <c r="R3780" s="47"/>
      <c r="S3780" s="46"/>
    </row>
    <row r="3781" spans="1:19" ht="15.6" hidden="1" customHeight="1" thickBot="1" x14ac:dyDescent="0.3">
      <c r="A3781" t="s">
        <v>23</v>
      </c>
      <c r="B3781" s="60" t="str">
        <f t="shared" si="2708"/>
        <v>hide</v>
      </c>
      <c r="D3781" s="48" t="str">
        <f>D3780</f>
        <v>51304</v>
      </c>
      <c r="E3781" s="7"/>
      <c r="F3781" s="27">
        <v>0</v>
      </c>
      <c r="G3781" s="27">
        <v>0</v>
      </c>
      <c r="H3781" s="27">
        <v>0</v>
      </c>
      <c r="I3781" s="27">
        <v>0</v>
      </c>
      <c r="J3781" s="27">
        <v>0</v>
      </c>
      <c r="K3781" s="63">
        <f>AVERAGE(I3781:J3781)</f>
        <v>0</v>
      </c>
      <c r="L3781" s="56" t="str">
        <f>"SW-RISER-PACK"</f>
        <v>SW-RISER-PACK</v>
      </c>
      <c r="M3781" s="14"/>
      <c r="N3781" s="15"/>
      <c r="O3781" s="12"/>
      <c r="P3781" s="34"/>
      <c r="Q3781" s="37"/>
      <c r="R3781" s="47"/>
      <c r="S3781" s="46"/>
    </row>
    <row r="3782" spans="1:19" ht="12" hidden="1" customHeight="1" x14ac:dyDescent="0.3">
      <c r="A3782" s="35" t="s">
        <v>908</v>
      </c>
      <c r="B3782" s="49" t="str">
        <f>B3778</f>
        <v>hide</v>
      </c>
      <c r="N3782"/>
      <c r="Q3782" s="33"/>
    </row>
    <row r="3783" spans="1:19" ht="13.8" hidden="1" thickBot="1" x14ac:dyDescent="0.3">
      <c r="A3783" t="s">
        <v>23</v>
      </c>
      <c r="B3783" s="49" t="str">
        <f t="shared" ref="B3783" si="2709">B3782</f>
        <v>hide</v>
      </c>
      <c r="D3783" s="58"/>
      <c r="E3783" s="58"/>
      <c r="F3783" s="52">
        <f>SUM(F3778:F3782)</f>
        <v>0</v>
      </c>
      <c r="G3783" s="52">
        <f>SUM(G3778:G3782)</f>
        <v>0</v>
      </c>
      <c r="H3783" s="52">
        <f>SUM(H3778:H3782)</f>
        <v>0</v>
      </c>
      <c r="I3783" s="52">
        <f>SUM(I3778:I3782)</f>
        <v>0</v>
      </c>
      <c r="J3783" s="52">
        <f>SUM(J3778:J3782)</f>
        <v>0</v>
      </c>
      <c r="K3783" s="52"/>
      <c r="L3783" s="51" t="s">
        <v>4</v>
      </c>
      <c r="M3783" s="58"/>
      <c r="N3783" s="58"/>
      <c r="O3783" s="58"/>
      <c r="P3783" s="58"/>
      <c r="Q3783" s="58"/>
      <c r="R3783" s="58"/>
      <c r="S3783" s="58"/>
    </row>
    <row r="3784" spans="1:19" s="59" customFormat="1" ht="18.75" hidden="1" customHeight="1" thickBot="1" x14ac:dyDescent="0.3">
      <c r="A3784" s="59" t="s">
        <v>23</v>
      </c>
      <c r="B3784" s="60" t="str">
        <f t="shared" ref="B3784:B3785" si="2710">IF(K3784=0,"hide","")</f>
        <v>hide</v>
      </c>
      <c r="D3784" s="61" t="str">
        <f>"51322"</f>
        <v>51322</v>
      </c>
      <c r="E3784" s="62" t="str">
        <f>"2"</f>
        <v>2</v>
      </c>
      <c r="F3784" s="63">
        <v>0</v>
      </c>
      <c r="G3784" s="63">
        <v>0</v>
      </c>
      <c r="H3784" s="63">
        <v>0</v>
      </c>
      <c r="I3784" s="63">
        <v>0</v>
      </c>
      <c r="J3784" s="63">
        <v>0</v>
      </c>
      <c r="K3784" s="63">
        <f>AVERAGE(I3784:J3784)</f>
        <v>0</v>
      </c>
      <c r="L3784" s="64" t="str">
        <f>"Lemon Crumb Breakfast Cake"</f>
        <v>Lemon Crumb Breakfast Cake</v>
      </c>
      <c r="M3784" s="65" t="str">
        <f>"72-2 oz. IW"</f>
        <v>72-2 oz. IW</v>
      </c>
      <c r="N3784" s="66">
        <v>72</v>
      </c>
      <c r="O3784" s="67" t="str">
        <f>""</f>
        <v/>
      </c>
      <c r="P3784" s="68" t="e">
        <f>1/O3784</f>
        <v>#VALUE!</v>
      </c>
      <c r="Q3784" s="53">
        <v>1</v>
      </c>
      <c r="R3784" s="69">
        <f t="shared" ref="R3784" si="2711">1/Q3784</f>
        <v>1</v>
      </c>
      <c r="S3784" s="70">
        <f t="shared" ref="S3784" si="2712">R3784*N3784</f>
        <v>72</v>
      </c>
    </row>
    <row r="3785" spans="1:19" ht="15.6" hidden="1" customHeight="1" thickBot="1" x14ac:dyDescent="0.3">
      <c r="A3785" t="s">
        <v>23</v>
      </c>
      <c r="B3785" s="60" t="str">
        <f t="shared" si="2710"/>
        <v>hide</v>
      </c>
      <c r="D3785" s="48" t="str">
        <f>D3784</f>
        <v>51322</v>
      </c>
      <c r="E3785" s="7"/>
      <c r="F3785" s="27">
        <v>0</v>
      </c>
      <c r="G3785" s="27">
        <v>0</v>
      </c>
      <c r="H3785" s="27">
        <v>0</v>
      </c>
      <c r="I3785" s="27">
        <v>0</v>
      </c>
      <c r="J3785" s="27">
        <v>0</v>
      </c>
      <c r="K3785" s="63">
        <f>AVERAGE(I3785:J3785)</f>
        <v>0</v>
      </c>
      <c r="L3785" s="56" t="str">
        <f>"EQP-LAWPACK1"</f>
        <v>EQP-LAWPACK1</v>
      </c>
      <c r="M3785" s="14"/>
      <c r="N3785" s="15"/>
      <c r="O3785" s="12"/>
      <c r="P3785" s="34"/>
      <c r="Q3785" s="37"/>
      <c r="R3785" s="47"/>
      <c r="S3785" s="46"/>
    </row>
    <row r="3786" spans="1:19" ht="15.6" hidden="1" customHeight="1" thickBot="1" x14ac:dyDescent="0.3">
      <c r="A3786" t="s">
        <v>23</v>
      </c>
      <c r="B3786" s="60" t="str">
        <f t="shared" ref="B3786:B3788" si="2713">IF(K3786=0,"hide","")</f>
        <v>hide</v>
      </c>
      <c r="D3786" s="48" t="str">
        <f>D3785</f>
        <v>51322</v>
      </c>
      <c r="E3786" s="7"/>
      <c r="F3786" s="27">
        <v>0</v>
      </c>
      <c r="G3786" s="27">
        <v>0</v>
      </c>
      <c r="H3786" s="27">
        <v>0</v>
      </c>
      <c r="I3786" s="27">
        <v>0</v>
      </c>
      <c r="J3786" s="27">
        <v>0</v>
      </c>
      <c r="K3786" s="63">
        <f>AVERAGE(I3786:J3786)</f>
        <v>0</v>
      </c>
      <c r="L3786" s="56" t="str">
        <f>"EQP-LAWPACK2"</f>
        <v>EQP-LAWPACK2</v>
      </c>
      <c r="M3786" s="14"/>
      <c r="N3786" s="15"/>
      <c r="O3786" s="12"/>
      <c r="P3786" s="34"/>
      <c r="Q3786" s="37"/>
      <c r="R3786" s="47"/>
      <c r="S3786" s="46"/>
    </row>
    <row r="3787" spans="1:19" ht="15.6" hidden="1" customHeight="1" thickBot="1" x14ac:dyDescent="0.3">
      <c r="A3787" t="s">
        <v>23</v>
      </c>
      <c r="B3787" s="60" t="str">
        <f t="shared" si="2713"/>
        <v>hide</v>
      </c>
      <c r="D3787" s="48" t="str">
        <f>D3786</f>
        <v>51322</v>
      </c>
      <c r="E3787" s="7"/>
      <c r="F3787" s="27">
        <v>0</v>
      </c>
      <c r="G3787" s="27">
        <v>0</v>
      </c>
      <c r="H3787" s="27">
        <v>0</v>
      </c>
      <c r="I3787" s="27">
        <v>0</v>
      </c>
      <c r="J3787" s="27">
        <v>0</v>
      </c>
      <c r="K3787" s="63">
        <f>AVERAGE(I3787:J3787)</f>
        <v>0</v>
      </c>
      <c r="L3787" s="56" t="str">
        <f>"SW-COMAS-PACKL"</f>
        <v>SW-COMAS-PACKL</v>
      </c>
      <c r="M3787" s="14"/>
      <c r="N3787" s="15"/>
      <c r="O3787" s="12"/>
      <c r="P3787" s="34"/>
      <c r="Q3787" s="37"/>
      <c r="R3787" s="47"/>
      <c r="S3787" s="46"/>
    </row>
    <row r="3788" spans="1:19" ht="15.6" hidden="1" customHeight="1" thickBot="1" x14ac:dyDescent="0.3">
      <c r="A3788" t="s">
        <v>23</v>
      </c>
      <c r="B3788" s="60" t="str">
        <f t="shared" si="2713"/>
        <v>hide</v>
      </c>
      <c r="D3788" s="48" t="str">
        <f>D3787</f>
        <v>51322</v>
      </c>
      <c r="E3788" s="7"/>
      <c r="F3788" s="27">
        <v>0</v>
      </c>
      <c r="G3788" s="27">
        <v>0</v>
      </c>
      <c r="H3788" s="27">
        <v>0</v>
      </c>
      <c r="I3788" s="27">
        <v>0</v>
      </c>
      <c r="J3788" s="27">
        <v>0</v>
      </c>
      <c r="K3788" s="63">
        <f>AVERAGE(I3788:J3788)</f>
        <v>0</v>
      </c>
      <c r="L3788" s="56" t="str">
        <f>"SW-RISER-PACK"</f>
        <v>SW-RISER-PACK</v>
      </c>
      <c r="M3788" s="14"/>
      <c r="N3788" s="15"/>
      <c r="O3788" s="12"/>
      <c r="P3788" s="34"/>
      <c r="Q3788" s="37"/>
      <c r="R3788" s="47"/>
      <c r="S3788" s="46"/>
    </row>
    <row r="3789" spans="1:19" ht="12" hidden="1" customHeight="1" x14ac:dyDescent="0.3">
      <c r="A3789" s="35" t="s">
        <v>908</v>
      </c>
      <c r="B3789" s="49" t="str">
        <f>B3785</f>
        <v>hide</v>
      </c>
      <c r="N3789"/>
      <c r="Q3789" s="33"/>
    </row>
    <row r="3790" spans="1:19" ht="13.8" hidden="1" thickBot="1" x14ac:dyDescent="0.3">
      <c r="A3790" t="s">
        <v>23</v>
      </c>
      <c r="B3790" s="49" t="str">
        <f t="shared" ref="B3790" si="2714">B3789</f>
        <v>hide</v>
      </c>
      <c r="D3790" s="58"/>
      <c r="E3790" s="58"/>
      <c r="F3790" s="52">
        <f>SUM(F3785:F3789)</f>
        <v>0</v>
      </c>
      <c r="G3790" s="52">
        <f>SUM(G3785:G3789)</f>
        <v>0</v>
      </c>
      <c r="H3790" s="52">
        <f>SUM(H3785:H3789)</f>
        <v>0</v>
      </c>
      <c r="I3790" s="52">
        <f>SUM(I3785:I3789)</f>
        <v>0</v>
      </c>
      <c r="J3790" s="52">
        <f>SUM(J3785:J3789)</f>
        <v>0</v>
      </c>
      <c r="K3790" s="52"/>
      <c r="L3790" s="51" t="s">
        <v>4</v>
      </c>
      <c r="M3790" s="58"/>
      <c r="N3790" s="58"/>
      <c r="O3790" s="58"/>
      <c r="P3790" s="58"/>
      <c r="Q3790" s="58"/>
      <c r="R3790" s="58"/>
      <c r="S3790" s="58"/>
    </row>
    <row r="3791" spans="1:19" s="59" customFormat="1" ht="18.75" hidden="1" customHeight="1" thickBot="1" x14ac:dyDescent="0.3">
      <c r="A3791" s="59" t="s">
        <v>23</v>
      </c>
      <c r="B3791" s="60" t="str">
        <f t="shared" ref="B3791:B3792" si="2715">IF(K3791=0,"hide","")</f>
        <v>hide</v>
      </c>
      <c r="D3791" s="61" t="str">
        <f>"51336"</f>
        <v>51336</v>
      </c>
      <c r="E3791" s="62" t="str">
        <f>"2"</f>
        <v>2</v>
      </c>
      <c r="F3791" s="63">
        <v>0</v>
      </c>
      <c r="G3791" s="63">
        <v>0</v>
      </c>
      <c r="H3791" s="63">
        <v>0</v>
      </c>
      <c r="I3791" s="63">
        <v>0</v>
      </c>
      <c r="J3791" s="63">
        <v>0</v>
      </c>
      <c r="K3791" s="63">
        <f>AVERAGE(I3791:J3791)</f>
        <v>0</v>
      </c>
      <c r="L3791" s="64" t="str">
        <f>"Coffee Crumb Breakfast Cake"</f>
        <v>Coffee Crumb Breakfast Cake</v>
      </c>
      <c r="M3791" s="65" t="str">
        <f>"72-2 oz. IW"</f>
        <v>72-2 oz. IW</v>
      </c>
      <c r="N3791" s="66">
        <v>72</v>
      </c>
      <c r="O3791" s="67" t="str">
        <f>""</f>
        <v/>
      </c>
      <c r="P3791" s="68" t="e">
        <f>1/O3791</f>
        <v>#VALUE!</v>
      </c>
      <c r="Q3791" s="53">
        <v>1</v>
      </c>
      <c r="R3791" s="69">
        <f t="shared" ref="R3791" si="2716">1/Q3791</f>
        <v>1</v>
      </c>
      <c r="S3791" s="70">
        <f t="shared" ref="S3791" si="2717">R3791*N3791</f>
        <v>72</v>
      </c>
    </row>
    <row r="3792" spans="1:19" ht="15.6" hidden="1" customHeight="1" thickBot="1" x14ac:dyDescent="0.3">
      <c r="A3792" t="s">
        <v>23</v>
      </c>
      <c r="B3792" s="60" t="str">
        <f t="shared" si="2715"/>
        <v>hide</v>
      </c>
      <c r="D3792" s="48" t="str">
        <f>D3791</f>
        <v>51336</v>
      </c>
      <c r="E3792" s="7"/>
      <c r="F3792" s="27">
        <v>0</v>
      </c>
      <c r="G3792" s="27">
        <v>0</v>
      </c>
      <c r="H3792" s="27">
        <v>0</v>
      </c>
      <c r="I3792" s="27">
        <v>0</v>
      </c>
      <c r="J3792" s="27">
        <v>0</v>
      </c>
      <c r="K3792" s="63">
        <f>AVERAGE(I3792:J3792)</f>
        <v>0</v>
      </c>
      <c r="L3792" s="56" t="str">
        <f>"EQP-LAWPACK1"</f>
        <v>EQP-LAWPACK1</v>
      </c>
      <c r="M3792" s="14"/>
      <c r="N3792" s="15"/>
      <c r="O3792" s="12"/>
      <c r="P3792" s="34"/>
      <c r="Q3792" s="37"/>
      <c r="R3792" s="47"/>
      <c r="S3792" s="46"/>
    </row>
    <row r="3793" spans="1:19" ht="15.6" hidden="1" customHeight="1" thickBot="1" x14ac:dyDescent="0.3">
      <c r="A3793" t="s">
        <v>23</v>
      </c>
      <c r="B3793" s="60" t="str">
        <f t="shared" ref="B3793:B3795" si="2718">IF(K3793=0,"hide","")</f>
        <v>hide</v>
      </c>
      <c r="D3793" s="48" t="str">
        <f>D3792</f>
        <v>51336</v>
      </c>
      <c r="E3793" s="7"/>
      <c r="F3793" s="27">
        <v>0</v>
      </c>
      <c r="G3793" s="27">
        <v>0</v>
      </c>
      <c r="H3793" s="27">
        <v>0</v>
      </c>
      <c r="I3793" s="27">
        <v>0</v>
      </c>
      <c r="J3793" s="27">
        <v>0</v>
      </c>
      <c r="K3793" s="63">
        <f>AVERAGE(I3793:J3793)</f>
        <v>0</v>
      </c>
      <c r="L3793" s="56" t="str">
        <f>"EQP-LAWPACK2"</f>
        <v>EQP-LAWPACK2</v>
      </c>
      <c r="M3793" s="14"/>
      <c r="N3793" s="15"/>
      <c r="O3793" s="12"/>
      <c r="P3793" s="34"/>
      <c r="Q3793" s="37"/>
      <c r="R3793" s="47"/>
      <c r="S3793" s="46"/>
    </row>
    <row r="3794" spans="1:19" ht="15.6" hidden="1" customHeight="1" thickBot="1" x14ac:dyDescent="0.3">
      <c r="A3794" t="s">
        <v>23</v>
      </c>
      <c r="B3794" s="60" t="str">
        <f t="shared" si="2718"/>
        <v>hide</v>
      </c>
      <c r="D3794" s="48" t="str">
        <f>D3793</f>
        <v>51336</v>
      </c>
      <c r="E3794" s="7"/>
      <c r="F3794" s="27">
        <v>0</v>
      </c>
      <c r="G3794" s="27">
        <v>0</v>
      </c>
      <c r="H3794" s="27">
        <v>0</v>
      </c>
      <c r="I3794" s="27">
        <v>0</v>
      </c>
      <c r="J3794" s="27">
        <v>0</v>
      </c>
      <c r="K3794" s="63">
        <f>AVERAGE(I3794:J3794)</f>
        <v>0</v>
      </c>
      <c r="L3794" s="56" t="str">
        <f>"SW-COMAS-PACKL"</f>
        <v>SW-COMAS-PACKL</v>
      </c>
      <c r="M3794" s="14"/>
      <c r="N3794" s="15"/>
      <c r="O3794" s="12"/>
      <c r="P3794" s="34"/>
      <c r="Q3794" s="37"/>
      <c r="R3794" s="47"/>
      <c r="S3794" s="46"/>
    </row>
    <row r="3795" spans="1:19" ht="15.6" hidden="1" customHeight="1" thickBot="1" x14ac:dyDescent="0.3">
      <c r="A3795" t="s">
        <v>23</v>
      </c>
      <c r="B3795" s="60" t="str">
        <f t="shared" si="2718"/>
        <v>hide</v>
      </c>
      <c r="D3795" s="48" t="str">
        <f>D3794</f>
        <v>51336</v>
      </c>
      <c r="E3795" s="7"/>
      <c r="F3795" s="27">
        <v>0</v>
      </c>
      <c r="G3795" s="27">
        <v>0</v>
      </c>
      <c r="H3795" s="27">
        <v>0</v>
      </c>
      <c r="I3795" s="27">
        <v>0</v>
      </c>
      <c r="J3795" s="27">
        <v>0</v>
      </c>
      <c r="K3795" s="63">
        <f>AVERAGE(I3795:J3795)</f>
        <v>0</v>
      </c>
      <c r="L3795" s="56" t="str">
        <f>"SW-RISER-PACK"</f>
        <v>SW-RISER-PACK</v>
      </c>
      <c r="M3795" s="14"/>
      <c r="N3795" s="15"/>
      <c r="O3795" s="12"/>
      <c r="P3795" s="34"/>
      <c r="Q3795" s="37"/>
      <c r="R3795" s="47"/>
      <c r="S3795" s="46"/>
    </row>
    <row r="3796" spans="1:19" ht="12" hidden="1" customHeight="1" x14ac:dyDescent="0.3">
      <c r="A3796" s="35" t="s">
        <v>908</v>
      </c>
      <c r="B3796" s="49" t="str">
        <f>B3792</f>
        <v>hide</v>
      </c>
      <c r="N3796"/>
      <c r="Q3796" s="33"/>
    </row>
    <row r="3797" spans="1:19" ht="13.8" hidden="1" thickBot="1" x14ac:dyDescent="0.3">
      <c r="A3797" t="s">
        <v>23</v>
      </c>
      <c r="B3797" s="49" t="str">
        <f t="shared" ref="B3797" si="2719">B3796</f>
        <v>hide</v>
      </c>
      <c r="D3797" s="58"/>
      <c r="E3797" s="58"/>
      <c r="F3797" s="52">
        <f>SUM(F3792:F3796)</f>
        <v>0</v>
      </c>
      <c r="G3797" s="52">
        <f>SUM(G3792:G3796)</f>
        <v>0</v>
      </c>
      <c r="H3797" s="52">
        <f>SUM(H3792:H3796)</f>
        <v>0</v>
      </c>
      <c r="I3797" s="52">
        <f>SUM(I3792:I3796)</f>
        <v>0</v>
      </c>
      <c r="J3797" s="52">
        <f>SUM(J3792:J3796)</f>
        <v>0</v>
      </c>
      <c r="K3797" s="52"/>
      <c r="L3797" s="51" t="s">
        <v>4</v>
      </c>
      <c r="M3797" s="58"/>
      <c r="N3797" s="58"/>
      <c r="O3797" s="58"/>
      <c r="P3797" s="58"/>
      <c r="Q3797" s="58"/>
      <c r="R3797" s="58"/>
      <c r="S3797" s="58"/>
    </row>
    <row r="3798" spans="1:19" s="59" customFormat="1" ht="18.75" customHeight="1" thickBot="1" x14ac:dyDescent="0.3">
      <c r="A3798" s="59" t="s">
        <v>23</v>
      </c>
      <c r="B3798" s="60" t="str">
        <f t="shared" ref="B3798:B3799" si="2720">IF(K3798=0,"hide","")</f>
        <v/>
      </c>
      <c r="D3798" s="61" t="str">
        <f>"51401"</f>
        <v>51401</v>
      </c>
      <c r="E3798" s="62" t="str">
        <f>"3"</f>
        <v>3</v>
      </c>
      <c r="F3798" s="63">
        <v>367.91666666666669</v>
      </c>
      <c r="G3798" s="63">
        <v>284.16666666666669</v>
      </c>
      <c r="H3798" s="63">
        <v>338.33333333333331</v>
      </c>
      <c r="I3798" s="63">
        <v>316.83333333333331</v>
      </c>
      <c r="J3798" s="63">
        <v>75.353012048192781</v>
      </c>
      <c r="K3798" s="63">
        <f>AVERAGE(I3798:J3798)</f>
        <v>196.09317269076305</v>
      </c>
      <c r="L3798" s="64" t="str">
        <f>"BLUEBERRY SNACK'N LOAF"</f>
        <v>BLUEBERRY SNACK'N LOAF</v>
      </c>
      <c r="M3798" s="65" t="str">
        <f>"72/2 oz. I.W."</f>
        <v>72/2 oz. I.W.</v>
      </c>
      <c r="N3798" s="66">
        <v>72</v>
      </c>
      <c r="O3798" s="67">
        <v>2E-3</v>
      </c>
      <c r="P3798" s="68">
        <f>1/O3798</f>
        <v>500</v>
      </c>
      <c r="Q3798" s="53">
        <v>2.2699999999999999E-3</v>
      </c>
      <c r="R3798" s="69">
        <f t="shared" ref="R3798" si="2721">1/Q3798</f>
        <v>440.52863436123351</v>
      </c>
      <c r="S3798" s="70">
        <f t="shared" ref="S3798" si="2722">R3798*N3798</f>
        <v>31718.061674008812</v>
      </c>
    </row>
    <row r="3799" spans="1:19" ht="15.6" hidden="1" customHeight="1" thickBot="1" x14ac:dyDescent="0.3">
      <c r="A3799" t="s">
        <v>23</v>
      </c>
      <c r="B3799" s="60" t="str">
        <f t="shared" si="2720"/>
        <v>hide</v>
      </c>
      <c r="D3799" s="48" t="str">
        <f>D3798</f>
        <v>51401</v>
      </c>
      <c r="E3799" s="7"/>
      <c r="F3799" s="27">
        <v>0</v>
      </c>
      <c r="G3799" s="27">
        <v>0</v>
      </c>
      <c r="H3799" s="27">
        <v>0</v>
      </c>
      <c r="I3799" s="27">
        <v>0</v>
      </c>
      <c r="J3799" s="27">
        <v>0</v>
      </c>
      <c r="K3799" s="63">
        <f>AVERAGE(I3799:J3799)</f>
        <v>0</v>
      </c>
      <c r="L3799" s="56" t="str">
        <f>"EQP-LAWPACK1"</f>
        <v>EQP-LAWPACK1</v>
      </c>
      <c r="M3799" s="14"/>
      <c r="N3799" s="15"/>
      <c r="O3799" s="12"/>
      <c r="P3799" s="34"/>
      <c r="Q3799" s="37"/>
      <c r="R3799" s="47"/>
      <c r="S3799" s="46"/>
    </row>
    <row r="3800" spans="1:19" ht="15.6" hidden="1" customHeight="1" thickBot="1" x14ac:dyDescent="0.3">
      <c r="A3800" t="s">
        <v>23</v>
      </c>
      <c r="B3800" s="60" t="str">
        <f t="shared" ref="B3800:B3802" si="2723">IF(K3800=0,"hide","")</f>
        <v>hide</v>
      </c>
      <c r="D3800" s="48" t="str">
        <f>D3799</f>
        <v>51401</v>
      </c>
      <c r="E3800" s="7"/>
      <c r="F3800" s="27">
        <v>0</v>
      </c>
      <c r="G3800" s="27">
        <v>0</v>
      </c>
      <c r="H3800" s="27">
        <v>0</v>
      </c>
      <c r="I3800" s="27">
        <v>0</v>
      </c>
      <c r="J3800" s="27">
        <v>0</v>
      </c>
      <c r="K3800" s="63">
        <f>AVERAGE(I3800:J3800)</f>
        <v>0</v>
      </c>
      <c r="L3800" s="56" t="str">
        <f>"EQP-LAWPACK2"</f>
        <v>EQP-LAWPACK2</v>
      </c>
      <c r="M3800" s="14"/>
      <c r="N3800" s="15"/>
      <c r="O3800" s="12"/>
      <c r="P3800" s="34"/>
      <c r="Q3800" s="37"/>
      <c r="R3800" s="47"/>
      <c r="S3800" s="46"/>
    </row>
    <row r="3801" spans="1:19" ht="15.6" hidden="1" customHeight="1" thickBot="1" x14ac:dyDescent="0.3">
      <c r="A3801" t="s">
        <v>23</v>
      </c>
      <c r="B3801" s="60" t="str">
        <f t="shared" si="2723"/>
        <v>hide</v>
      </c>
      <c r="D3801" s="48" t="str">
        <f>D3800</f>
        <v>51401</v>
      </c>
      <c r="E3801" s="7"/>
      <c r="F3801" s="27">
        <v>0</v>
      </c>
      <c r="G3801" s="27">
        <v>0</v>
      </c>
      <c r="H3801" s="27">
        <v>0</v>
      </c>
      <c r="I3801" s="27">
        <v>0</v>
      </c>
      <c r="J3801" s="27">
        <v>0</v>
      </c>
      <c r="K3801" s="63">
        <f>AVERAGE(I3801:J3801)</f>
        <v>0</v>
      </c>
      <c r="L3801" s="56" t="str">
        <f>"SW-COMAS-PACKL"</f>
        <v>SW-COMAS-PACKL</v>
      </c>
      <c r="M3801" s="14"/>
      <c r="N3801" s="15"/>
      <c r="O3801" s="12"/>
      <c r="P3801" s="34"/>
      <c r="Q3801" s="37"/>
      <c r="R3801" s="47"/>
      <c r="S3801" s="46"/>
    </row>
    <row r="3802" spans="1:19" ht="15.6" hidden="1" customHeight="1" thickBot="1" x14ac:dyDescent="0.3">
      <c r="A3802" t="s">
        <v>23</v>
      </c>
      <c r="B3802" s="60" t="str">
        <f t="shared" si="2723"/>
        <v>hide</v>
      </c>
      <c r="D3802" s="48" t="str">
        <f>D3801</f>
        <v>51401</v>
      </c>
      <c r="E3802" s="7"/>
      <c r="F3802" s="27">
        <v>0</v>
      </c>
      <c r="G3802" s="27">
        <v>0</v>
      </c>
      <c r="H3802" s="27">
        <v>0</v>
      </c>
      <c r="I3802" s="27">
        <v>0</v>
      </c>
      <c r="J3802" s="27">
        <v>0</v>
      </c>
      <c r="K3802" s="63">
        <f>AVERAGE(I3802:J3802)</f>
        <v>0</v>
      </c>
      <c r="L3802" s="56" t="str">
        <f>"SW-RISER-PACK"</f>
        <v>SW-RISER-PACK</v>
      </c>
      <c r="M3802" s="14"/>
      <c r="N3802" s="15"/>
      <c r="O3802" s="12"/>
      <c r="P3802" s="34"/>
      <c r="Q3802" s="37"/>
      <c r="R3802" s="47"/>
      <c r="S3802" s="46"/>
    </row>
    <row r="3803" spans="1:19" ht="12" hidden="1" customHeight="1" x14ac:dyDescent="0.3">
      <c r="A3803" s="35" t="s">
        <v>908</v>
      </c>
      <c r="B3803" s="49" t="str">
        <f>B3799</f>
        <v>hide</v>
      </c>
      <c r="N3803"/>
      <c r="Q3803" s="33"/>
    </row>
    <row r="3804" spans="1:19" ht="13.8" hidden="1" thickBot="1" x14ac:dyDescent="0.3">
      <c r="A3804" t="s">
        <v>23</v>
      </c>
      <c r="B3804" s="49" t="str">
        <f t="shared" ref="B3804" si="2724">B3803</f>
        <v>hide</v>
      </c>
      <c r="D3804" s="58"/>
      <c r="E3804" s="58"/>
      <c r="F3804" s="52">
        <f>SUM(F3799:F3803)</f>
        <v>0</v>
      </c>
      <c r="G3804" s="52">
        <f>SUM(G3799:G3803)</f>
        <v>0</v>
      </c>
      <c r="H3804" s="52">
        <f>SUM(H3799:H3803)</f>
        <v>0</v>
      </c>
      <c r="I3804" s="52">
        <f>SUM(I3799:I3803)</f>
        <v>0</v>
      </c>
      <c r="J3804" s="52">
        <f>SUM(J3799:J3803)</f>
        <v>0</v>
      </c>
      <c r="K3804" s="52"/>
      <c r="L3804" s="51" t="s">
        <v>4</v>
      </c>
      <c r="M3804" s="58"/>
      <c r="N3804" s="58"/>
      <c r="O3804" s="58"/>
      <c r="P3804" s="58"/>
      <c r="Q3804" s="58"/>
      <c r="R3804" s="58"/>
      <c r="S3804" s="58"/>
    </row>
    <row r="3805" spans="1:19" s="59" customFormat="1" ht="18.75" hidden="1" customHeight="1" thickBot="1" x14ac:dyDescent="0.3">
      <c r="A3805" s="59" t="s">
        <v>23</v>
      </c>
      <c r="B3805" s="60" t="str">
        <f t="shared" ref="B3805:B3806" si="2725">IF(K3805=0,"hide","")</f>
        <v>hide</v>
      </c>
      <c r="D3805" s="61" t="str">
        <f>"51402"</f>
        <v>51402</v>
      </c>
      <c r="E3805" s="62" t="str">
        <f>"2"</f>
        <v>2</v>
      </c>
      <c r="F3805" s="63">
        <v>0</v>
      </c>
      <c r="G3805" s="63">
        <v>0</v>
      </c>
      <c r="H3805" s="63">
        <v>0</v>
      </c>
      <c r="I3805" s="63">
        <v>0</v>
      </c>
      <c r="J3805" s="63">
        <v>0</v>
      </c>
      <c r="K3805" s="63">
        <f>AVERAGE(I3805:J3805)</f>
        <v>0</v>
      </c>
      <c r="L3805" s="64" t="str">
        <f>"CRANBERRY SNACK'N LOAF"</f>
        <v>CRANBERRY SNACK'N LOAF</v>
      </c>
      <c r="M3805" s="65" t="str">
        <f>"72/2 oz. I.W."</f>
        <v>72/2 oz. I.W.</v>
      </c>
      <c r="N3805" s="66">
        <v>72</v>
      </c>
      <c r="O3805" s="67">
        <v>1E-3</v>
      </c>
      <c r="P3805" s="68">
        <f>1/O3805</f>
        <v>1000</v>
      </c>
      <c r="Q3805" s="53">
        <v>2.2699999999999999E-3</v>
      </c>
      <c r="R3805" s="69">
        <f t="shared" ref="R3805" si="2726">1/Q3805</f>
        <v>440.52863436123351</v>
      </c>
      <c r="S3805" s="70">
        <f t="shared" ref="S3805" si="2727">R3805*N3805</f>
        <v>31718.061674008812</v>
      </c>
    </row>
    <row r="3806" spans="1:19" ht="15.6" hidden="1" customHeight="1" thickBot="1" x14ac:dyDescent="0.3">
      <c r="A3806" t="s">
        <v>23</v>
      </c>
      <c r="B3806" s="60" t="str">
        <f t="shared" si="2725"/>
        <v>hide</v>
      </c>
      <c r="D3806" s="48" t="str">
        <f>D3805</f>
        <v>51402</v>
      </c>
      <c r="E3806" s="7"/>
      <c r="F3806" s="27">
        <v>0</v>
      </c>
      <c r="G3806" s="27">
        <v>0</v>
      </c>
      <c r="H3806" s="27">
        <v>0</v>
      </c>
      <c r="I3806" s="27">
        <v>0</v>
      </c>
      <c r="J3806" s="27">
        <v>0</v>
      </c>
      <c r="K3806" s="63">
        <f>AVERAGE(I3806:J3806)</f>
        <v>0</v>
      </c>
      <c r="L3806" s="56" t="str">
        <f>"EQP-LAWPACK1"</f>
        <v>EQP-LAWPACK1</v>
      </c>
      <c r="M3806" s="14"/>
      <c r="N3806" s="15"/>
      <c r="O3806" s="12"/>
      <c r="P3806" s="34"/>
      <c r="Q3806" s="37"/>
      <c r="R3806" s="47"/>
      <c r="S3806" s="46"/>
    </row>
    <row r="3807" spans="1:19" ht="15.6" hidden="1" customHeight="1" thickBot="1" x14ac:dyDescent="0.3">
      <c r="A3807" t="s">
        <v>23</v>
      </c>
      <c r="B3807" s="60" t="str">
        <f t="shared" ref="B3807:B3809" si="2728">IF(K3807=0,"hide","")</f>
        <v>hide</v>
      </c>
      <c r="D3807" s="48" t="str">
        <f>D3806</f>
        <v>51402</v>
      </c>
      <c r="E3807" s="7"/>
      <c r="F3807" s="27">
        <v>0</v>
      </c>
      <c r="G3807" s="27">
        <v>0</v>
      </c>
      <c r="H3807" s="27">
        <v>0</v>
      </c>
      <c r="I3807" s="27">
        <v>0</v>
      </c>
      <c r="J3807" s="27">
        <v>0</v>
      </c>
      <c r="K3807" s="63">
        <f>AVERAGE(I3807:J3807)</f>
        <v>0</v>
      </c>
      <c r="L3807" s="56" t="str">
        <f>"EQP-LAWPACK2"</f>
        <v>EQP-LAWPACK2</v>
      </c>
      <c r="M3807" s="14"/>
      <c r="N3807" s="15"/>
      <c r="O3807" s="12"/>
      <c r="P3807" s="34"/>
      <c r="Q3807" s="37"/>
      <c r="R3807" s="47"/>
      <c r="S3807" s="46"/>
    </row>
    <row r="3808" spans="1:19" ht="15.6" hidden="1" customHeight="1" thickBot="1" x14ac:dyDescent="0.3">
      <c r="A3808" t="s">
        <v>23</v>
      </c>
      <c r="B3808" s="60" t="str">
        <f t="shared" si="2728"/>
        <v>hide</v>
      </c>
      <c r="D3808" s="48" t="str">
        <f>D3807</f>
        <v>51402</v>
      </c>
      <c r="E3808" s="7"/>
      <c r="F3808" s="27">
        <v>0</v>
      </c>
      <c r="G3808" s="27">
        <v>0</v>
      </c>
      <c r="H3808" s="27">
        <v>0</v>
      </c>
      <c r="I3808" s="27">
        <v>0</v>
      </c>
      <c r="J3808" s="27">
        <v>0</v>
      </c>
      <c r="K3808" s="63">
        <f>AVERAGE(I3808:J3808)</f>
        <v>0</v>
      </c>
      <c r="L3808" s="56" t="str">
        <f>"SW-COMAS-PACKL"</f>
        <v>SW-COMAS-PACKL</v>
      </c>
      <c r="M3808" s="14"/>
      <c r="N3808" s="15"/>
      <c r="O3808" s="12"/>
      <c r="P3808" s="34"/>
      <c r="Q3808" s="37"/>
      <c r="R3808" s="47"/>
      <c r="S3808" s="46"/>
    </row>
    <row r="3809" spans="1:19" ht="15.6" hidden="1" customHeight="1" thickBot="1" x14ac:dyDescent="0.3">
      <c r="A3809" t="s">
        <v>23</v>
      </c>
      <c r="B3809" s="60" t="str">
        <f t="shared" si="2728"/>
        <v>hide</v>
      </c>
      <c r="D3809" s="48" t="str">
        <f>D3808</f>
        <v>51402</v>
      </c>
      <c r="E3809" s="7"/>
      <c r="F3809" s="27">
        <v>0</v>
      </c>
      <c r="G3809" s="27">
        <v>0</v>
      </c>
      <c r="H3809" s="27">
        <v>0</v>
      </c>
      <c r="I3809" s="27">
        <v>0</v>
      </c>
      <c r="J3809" s="27">
        <v>0</v>
      </c>
      <c r="K3809" s="63">
        <f>AVERAGE(I3809:J3809)</f>
        <v>0</v>
      </c>
      <c r="L3809" s="56" t="str">
        <f>"SW-RISER-PACK"</f>
        <v>SW-RISER-PACK</v>
      </c>
      <c r="M3809" s="14"/>
      <c r="N3809" s="15"/>
      <c r="O3809" s="12"/>
      <c r="P3809" s="34"/>
      <c r="Q3809" s="37"/>
      <c r="R3809" s="47"/>
      <c r="S3809" s="46"/>
    </row>
    <row r="3810" spans="1:19" ht="12" hidden="1" customHeight="1" x14ac:dyDescent="0.3">
      <c r="A3810" s="35" t="s">
        <v>908</v>
      </c>
      <c r="B3810" s="49" t="str">
        <f>B3806</f>
        <v>hide</v>
      </c>
      <c r="N3810"/>
      <c r="Q3810" s="33"/>
    </row>
    <row r="3811" spans="1:19" ht="13.8" hidden="1" thickBot="1" x14ac:dyDescent="0.3">
      <c r="A3811" t="s">
        <v>23</v>
      </c>
      <c r="B3811" s="49" t="str">
        <f t="shared" ref="B3811" si="2729">B3810</f>
        <v>hide</v>
      </c>
      <c r="D3811" s="58"/>
      <c r="E3811" s="58"/>
      <c r="F3811" s="52">
        <f>SUM(F3806:F3810)</f>
        <v>0</v>
      </c>
      <c r="G3811" s="52">
        <f>SUM(G3806:G3810)</f>
        <v>0</v>
      </c>
      <c r="H3811" s="52">
        <f>SUM(H3806:H3810)</f>
        <v>0</v>
      </c>
      <c r="I3811" s="52">
        <f>SUM(I3806:I3810)</f>
        <v>0</v>
      </c>
      <c r="J3811" s="52">
        <f>SUM(J3806:J3810)</f>
        <v>0</v>
      </c>
      <c r="K3811" s="52"/>
      <c r="L3811" s="51" t="s">
        <v>4</v>
      </c>
      <c r="M3811" s="58"/>
      <c r="N3811" s="58"/>
      <c r="O3811" s="58"/>
      <c r="P3811" s="58"/>
      <c r="Q3811" s="58"/>
      <c r="R3811" s="58"/>
      <c r="S3811" s="58"/>
    </row>
    <row r="3812" spans="1:19" s="59" customFormat="1" ht="18.75" hidden="1" customHeight="1" thickBot="1" x14ac:dyDescent="0.3">
      <c r="A3812" s="59" t="s">
        <v>23</v>
      </c>
      <c r="B3812" s="60" t="str">
        <f t="shared" ref="B3812:B3813" si="2730">IF(K3812=0,"hide","")</f>
        <v>hide</v>
      </c>
      <c r="D3812" s="61" t="str">
        <f>"51403"</f>
        <v>51403</v>
      </c>
      <c r="E3812" s="62" t="str">
        <f>""</f>
        <v/>
      </c>
      <c r="F3812" s="63">
        <v>0</v>
      </c>
      <c r="G3812" s="63">
        <v>0</v>
      </c>
      <c r="H3812" s="63">
        <v>0</v>
      </c>
      <c r="I3812" s="63">
        <v>0</v>
      </c>
      <c r="J3812" s="63">
        <v>0</v>
      </c>
      <c r="K3812" s="63">
        <f>AVERAGE(I3812:J3812)</f>
        <v>0</v>
      </c>
      <c r="L3812" s="64" t="str">
        <f>""</f>
        <v/>
      </c>
      <c r="M3812" s="65" t="str">
        <f>""</f>
        <v/>
      </c>
      <c r="N3812" s="66" t="str">
        <f>""</f>
        <v/>
      </c>
      <c r="O3812" s="67" t="e">
        <v>#VALUE!</v>
      </c>
      <c r="P3812" s="68" t="e">
        <f>1/O3812</f>
        <v>#VALUE!</v>
      </c>
      <c r="Q3812" s="53" t="e">
        <v>#VALUE!</v>
      </c>
      <c r="R3812" s="69" t="e">
        <f t="shared" ref="R3812" si="2731">1/Q3812</f>
        <v>#VALUE!</v>
      </c>
      <c r="S3812" s="70" t="e">
        <f t="shared" ref="S3812" si="2732">R3812*N3812</f>
        <v>#VALUE!</v>
      </c>
    </row>
    <row r="3813" spans="1:19" ht="15.6" hidden="1" customHeight="1" thickBot="1" x14ac:dyDescent="0.3">
      <c r="A3813" t="s">
        <v>23</v>
      </c>
      <c r="B3813" s="60" t="str">
        <f t="shared" si="2730"/>
        <v>hide</v>
      </c>
      <c r="D3813" s="48" t="str">
        <f>D3812</f>
        <v>51403</v>
      </c>
      <c r="E3813" s="7"/>
      <c r="F3813" s="27">
        <v>0</v>
      </c>
      <c r="G3813" s="27">
        <v>0</v>
      </c>
      <c r="H3813" s="27">
        <v>0</v>
      </c>
      <c r="I3813" s="27">
        <v>0</v>
      </c>
      <c r="J3813" s="27">
        <v>0</v>
      </c>
      <c r="K3813" s="63">
        <f>AVERAGE(I3813:J3813)</f>
        <v>0</v>
      </c>
      <c r="L3813" s="56" t="str">
        <f>"EQP-LAWPACK1"</f>
        <v>EQP-LAWPACK1</v>
      </c>
      <c r="M3813" s="14"/>
      <c r="N3813" s="15"/>
      <c r="O3813" s="12"/>
      <c r="P3813" s="34"/>
      <c r="Q3813" s="37"/>
      <c r="R3813" s="47"/>
      <c r="S3813" s="46"/>
    </row>
    <row r="3814" spans="1:19" ht="15.6" hidden="1" customHeight="1" thickBot="1" x14ac:dyDescent="0.3">
      <c r="A3814" t="s">
        <v>23</v>
      </c>
      <c r="B3814" s="60" t="str">
        <f t="shared" ref="B3814:B3816" si="2733">IF(K3814=0,"hide","")</f>
        <v>hide</v>
      </c>
      <c r="D3814" s="48" t="str">
        <f>D3813</f>
        <v>51403</v>
      </c>
      <c r="E3814" s="7"/>
      <c r="F3814" s="27">
        <v>0</v>
      </c>
      <c r="G3814" s="27">
        <v>0</v>
      </c>
      <c r="H3814" s="27">
        <v>0</v>
      </c>
      <c r="I3814" s="27">
        <v>0</v>
      </c>
      <c r="J3814" s="27">
        <v>0</v>
      </c>
      <c r="K3814" s="63">
        <f>AVERAGE(I3814:J3814)</f>
        <v>0</v>
      </c>
      <c r="L3814" s="56" t="str">
        <f>"EQP-LAWPACK2"</f>
        <v>EQP-LAWPACK2</v>
      </c>
      <c r="M3814" s="14"/>
      <c r="N3814" s="15"/>
      <c r="O3814" s="12"/>
      <c r="P3814" s="34"/>
      <c r="Q3814" s="37"/>
      <c r="R3814" s="47"/>
      <c r="S3814" s="46"/>
    </row>
    <row r="3815" spans="1:19" ht="15.6" hidden="1" customHeight="1" thickBot="1" x14ac:dyDescent="0.3">
      <c r="A3815" t="s">
        <v>23</v>
      </c>
      <c r="B3815" s="60" t="str">
        <f t="shared" si="2733"/>
        <v>hide</v>
      </c>
      <c r="D3815" s="48" t="str">
        <f>D3814</f>
        <v>51403</v>
      </c>
      <c r="E3815" s="7"/>
      <c r="F3815" s="27">
        <v>0</v>
      </c>
      <c r="G3815" s="27">
        <v>0</v>
      </c>
      <c r="H3815" s="27">
        <v>0</v>
      </c>
      <c r="I3815" s="27">
        <v>0</v>
      </c>
      <c r="J3815" s="27">
        <v>0</v>
      </c>
      <c r="K3815" s="63">
        <f>AVERAGE(I3815:J3815)</f>
        <v>0</v>
      </c>
      <c r="L3815" s="56" t="str">
        <f>"SW-COMAS-PACKL"</f>
        <v>SW-COMAS-PACKL</v>
      </c>
      <c r="M3815" s="14"/>
      <c r="N3815" s="15"/>
      <c r="O3815" s="12"/>
      <c r="P3815" s="34"/>
      <c r="Q3815" s="37"/>
      <c r="R3815" s="47"/>
      <c r="S3815" s="46"/>
    </row>
    <row r="3816" spans="1:19" ht="15.6" hidden="1" customHeight="1" thickBot="1" x14ac:dyDescent="0.3">
      <c r="A3816" t="s">
        <v>23</v>
      </c>
      <c r="B3816" s="60" t="str">
        <f t="shared" si="2733"/>
        <v>hide</v>
      </c>
      <c r="D3816" s="48" t="str">
        <f>D3815</f>
        <v>51403</v>
      </c>
      <c r="E3816" s="7"/>
      <c r="F3816" s="27">
        <v>0</v>
      </c>
      <c r="G3816" s="27">
        <v>0</v>
      </c>
      <c r="H3816" s="27">
        <v>0</v>
      </c>
      <c r="I3816" s="27">
        <v>0</v>
      </c>
      <c r="J3816" s="27">
        <v>0</v>
      </c>
      <c r="K3816" s="63">
        <f>AVERAGE(I3816:J3816)</f>
        <v>0</v>
      </c>
      <c r="L3816" s="56" t="str">
        <f>"SW-RISER-PACK"</f>
        <v>SW-RISER-PACK</v>
      </c>
      <c r="M3816" s="14"/>
      <c r="N3816" s="15"/>
      <c r="O3816" s="12"/>
      <c r="P3816" s="34"/>
      <c r="Q3816" s="37"/>
      <c r="R3816" s="47"/>
      <c r="S3816" s="46"/>
    </row>
    <row r="3817" spans="1:19" ht="12" hidden="1" customHeight="1" x14ac:dyDescent="0.3">
      <c r="A3817" s="35" t="s">
        <v>908</v>
      </c>
      <c r="B3817" s="49" t="str">
        <f>B3813</f>
        <v>hide</v>
      </c>
      <c r="N3817"/>
      <c r="Q3817" s="33"/>
    </row>
    <row r="3818" spans="1:19" ht="13.8" hidden="1" thickBot="1" x14ac:dyDescent="0.3">
      <c r="A3818" t="s">
        <v>23</v>
      </c>
      <c r="B3818" s="49" t="str">
        <f t="shared" ref="B3818" si="2734">B3817</f>
        <v>hide</v>
      </c>
      <c r="D3818" s="58"/>
      <c r="E3818" s="58"/>
      <c r="F3818" s="52">
        <f>SUM(F3813:F3817)</f>
        <v>0</v>
      </c>
      <c r="G3818" s="52">
        <f>SUM(G3813:G3817)</f>
        <v>0</v>
      </c>
      <c r="H3818" s="52">
        <f>SUM(H3813:H3817)</f>
        <v>0</v>
      </c>
      <c r="I3818" s="52">
        <f>SUM(I3813:I3817)</f>
        <v>0</v>
      </c>
      <c r="J3818" s="52">
        <f>SUM(J3813:J3817)</f>
        <v>0</v>
      </c>
      <c r="K3818" s="52"/>
      <c r="L3818" s="51" t="s">
        <v>4</v>
      </c>
      <c r="M3818" s="58"/>
      <c r="N3818" s="58"/>
      <c r="O3818" s="58"/>
      <c r="P3818" s="58"/>
      <c r="Q3818" s="58"/>
      <c r="R3818" s="58"/>
      <c r="S3818" s="58"/>
    </row>
    <row r="3819" spans="1:19" s="59" customFormat="1" ht="18.75" customHeight="1" thickBot="1" x14ac:dyDescent="0.3">
      <c r="A3819" s="59" t="s">
        <v>23</v>
      </c>
      <c r="B3819" s="60" t="str">
        <f t="shared" ref="B3819:B3820" si="2735">IF(K3819=0,"hide","")</f>
        <v/>
      </c>
      <c r="D3819" s="61" t="str">
        <f>"51405"</f>
        <v>51405</v>
      </c>
      <c r="E3819" s="62" t="str">
        <f>"6"</f>
        <v>6</v>
      </c>
      <c r="F3819" s="63">
        <v>687.66666666666663</v>
      </c>
      <c r="G3819" s="63">
        <v>987.75</v>
      </c>
      <c r="H3819" s="63">
        <v>1423.0833333333333</v>
      </c>
      <c r="I3819" s="63">
        <v>1425.1666666666667</v>
      </c>
      <c r="J3819" s="63">
        <v>1619.9874698795181</v>
      </c>
      <c r="K3819" s="63">
        <f>AVERAGE(I3819:J3819)</f>
        <v>1522.5770682730924</v>
      </c>
      <c r="L3819" s="64" t="str">
        <f>"CORNBREAD MINI LOAF"</f>
        <v>CORNBREAD MINI LOAF</v>
      </c>
      <c r="M3819" s="65" t="str">
        <f>"72/2 oz. I.W"</f>
        <v>72/2 oz. I.W</v>
      </c>
      <c r="N3819" s="66">
        <v>72</v>
      </c>
      <c r="O3819" s="67">
        <v>2E-3</v>
      </c>
      <c r="P3819" s="68">
        <f>1/O3819</f>
        <v>500</v>
      </c>
      <c r="Q3819" s="53">
        <v>2.2699999999999999E-3</v>
      </c>
      <c r="R3819" s="69">
        <f t="shared" ref="R3819" si="2736">1/Q3819</f>
        <v>440.52863436123351</v>
      </c>
      <c r="S3819" s="70">
        <f t="shared" ref="S3819" si="2737">R3819*N3819</f>
        <v>31718.061674008812</v>
      </c>
    </row>
    <row r="3820" spans="1:19" ht="15.6" customHeight="1" thickBot="1" x14ac:dyDescent="0.3">
      <c r="A3820" t="s">
        <v>23</v>
      </c>
      <c r="B3820" s="60" t="str">
        <f t="shared" si="2735"/>
        <v/>
      </c>
      <c r="D3820" s="48" t="str">
        <f>D3819</f>
        <v>51405</v>
      </c>
      <c r="E3820" s="7"/>
      <c r="F3820" s="27">
        <v>-23.166666666666668</v>
      </c>
      <c r="G3820" s="27">
        <v>-18.333333333333332</v>
      </c>
      <c r="H3820" s="27">
        <v>0</v>
      </c>
      <c r="I3820" s="27">
        <v>0</v>
      </c>
      <c r="J3820" s="27">
        <v>-57.554698795180727</v>
      </c>
      <c r="K3820" s="63">
        <f>AVERAGE(I3820:J3820)</f>
        <v>-28.777349397590363</v>
      </c>
      <c r="L3820" s="56" t="str">
        <f>"EQP-LAWPACK1"</f>
        <v>EQP-LAWPACK1</v>
      </c>
      <c r="M3820" s="14"/>
      <c r="N3820" s="15"/>
      <c r="O3820" s="12"/>
      <c r="P3820" s="34"/>
      <c r="Q3820" s="37"/>
      <c r="R3820" s="47"/>
      <c r="S3820" s="46"/>
    </row>
    <row r="3821" spans="1:19" ht="15.6" hidden="1" customHeight="1" thickBot="1" x14ac:dyDescent="0.3">
      <c r="A3821" t="s">
        <v>23</v>
      </c>
      <c r="B3821" s="60" t="str">
        <f t="shared" ref="B3821:B3823" si="2738">IF(K3821=0,"hide","")</f>
        <v>hide</v>
      </c>
      <c r="D3821" s="48" t="str">
        <f>D3820</f>
        <v>51405</v>
      </c>
      <c r="E3821" s="7"/>
      <c r="F3821" s="27">
        <v>0</v>
      </c>
      <c r="G3821" s="27">
        <v>0</v>
      </c>
      <c r="H3821" s="27">
        <v>0</v>
      </c>
      <c r="I3821" s="27">
        <v>0</v>
      </c>
      <c r="J3821" s="27">
        <v>0</v>
      </c>
      <c r="K3821" s="63">
        <f>AVERAGE(I3821:J3821)</f>
        <v>0</v>
      </c>
      <c r="L3821" s="56" t="str">
        <f>"EQP-LAWPACK2"</f>
        <v>EQP-LAWPACK2</v>
      </c>
      <c r="M3821" s="14"/>
      <c r="N3821" s="15"/>
      <c r="O3821" s="12"/>
      <c r="P3821" s="34"/>
      <c r="Q3821" s="37"/>
      <c r="R3821" s="47"/>
      <c r="S3821" s="46"/>
    </row>
    <row r="3822" spans="1:19" ht="15.6" hidden="1" customHeight="1" thickBot="1" x14ac:dyDescent="0.3">
      <c r="A3822" t="s">
        <v>23</v>
      </c>
      <c r="B3822" s="60" t="str">
        <f t="shared" si="2738"/>
        <v>hide</v>
      </c>
      <c r="D3822" s="48" t="str">
        <f>D3821</f>
        <v>51405</v>
      </c>
      <c r="E3822" s="7"/>
      <c r="F3822" s="27">
        <v>0</v>
      </c>
      <c r="G3822" s="27">
        <v>0</v>
      </c>
      <c r="H3822" s="27">
        <v>0</v>
      </c>
      <c r="I3822" s="27">
        <v>0</v>
      </c>
      <c r="J3822" s="27">
        <v>0</v>
      </c>
      <c r="K3822" s="63">
        <f>AVERAGE(I3822:J3822)</f>
        <v>0</v>
      </c>
      <c r="L3822" s="56" t="str">
        <f>"SW-COMAS-PACKL"</f>
        <v>SW-COMAS-PACKL</v>
      </c>
      <c r="M3822" s="14"/>
      <c r="N3822" s="15"/>
      <c r="O3822" s="12"/>
      <c r="P3822" s="34"/>
      <c r="Q3822" s="37"/>
      <c r="R3822" s="47"/>
      <c r="S3822" s="46"/>
    </row>
    <row r="3823" spans="1:19" ht="15.6" hidden="1" customHeight="1" thickBot="1" x14ac:dyDescent="0.3">
      <c r="A3823" t="s">
        <v>23</v>
      </c>
      <c r="B3823" s="60" t="str">
        <f t="shared" si="2738"/>
        <v>hide</v>
      </c>
      <c r="D3823" s="48" t="str">
        <f>D3822</f>
        <v>51405</v>
      </c>
      <c r="E3823" s="7"/>
      <c r="F3823" s="27">
        <v>0</v>
      </c>
      <c r="G3823" s="27">
        <v>0</v>
      </c>
      <c r="H3823" s="27">
        <v>0</v>
      </c>
      <c r="I3823" s="27">
        <v>0</v>
      </c>
      <c r="J3823" s="27">
        <v>0</v>
      </c>
      <c r="K3823" s="63">
        <f>AVERAGE(I3823:J3823)</f>
        <v>0</v>
      </c>
      <c r="L3823" s="56" t="str">
        <f>"SW-RISER-PACK"</f>
        <v>SW-RISER-PACK</v>
      </c>
      <c r="M3823" s="14"/>
      <c r="N3823" s="15"/>
      <c r="O3823" s="12"/>
      <c r="P3823" s="34"/>
      <c r="Q3823" s="37"/>
      <c r="R3823" s="47"/>
      <c r="S3823" s="46"/>
    </row>
    <row r="3824" spans="1:19" ht="12" hidden="1" customHeight="1" x14ac:dyDescent="0.25">
      <c r="A3824" s="35" t="s">
        <v>908</v>
      </c>
      <c r="B3824" s="49" t="str">
        <f>B3820</f>
        <v/>
      </c>
      <c r="N3824"/>
      <c r="Q3824" s="33"/>
    </row>
    <row r="3825" spans="1:19" ht="13.8" thickBot="1" x14ac:dyDescent="0.3">
      <c r="A3825" t="s">
        <v>23</v>
      </c>
      <c r="B3825" s="49" t="str">
        <f t="shared" ref="B3825" si="2739">B3824</f>
        <v/>
      </c>
      <c r="D3825" s="58"/>
      <c r="E3825" s="58"/>
      <c r="F3825" s="52">
        <f>SUM(F3820:F3824)</f>
        <v>-23.166666666666668</v>
      </c>
      <c r="G3825" s="52">
        <f>SUM(G3820:G3824)</f>
        <v>-18.333333333333332</v>
      </c>
      <c r="H3825" s="52">
        <f>SUM(H3820:H3824)</f>
        <v>0</v>
      </c>
      <c r="I3825" s="52">
        <f>SUM(I3820:I3824)</f>
        <v>0</v>
      </c>
      <c r="J3825" s="52">
        <f>SUM(J3820:J3824)</f>
        <v>-57.554698795180727</v>
      </c>
      <c r="K3825" s="52"/>
      <c r="L3825" s="51" t="s">
        <v>4</v>
      </c>
      <c r="M3825" s="58"/>
      <c r="N3825" s="58"/>
      <c r="O3825" s="58"/>
      <c r="P3825" s="58"/>
      <c r="Q3825" s="58"/>
      <c r="R3825" s="58"/>
      <c r="S3825" s="58"/>
    </row>
    <row r="3826" spans="1:19" s="59" customFormat="1" ht="18.75" customHeight="1" thickBot="1" x14ac:dyDescent="0.3">
      <c r="A3826" s="59" t="s">
        <v>23</v>
      </c>
      <c r="B3826" s="60" t="str">
        <f t="shared" ref="B3826:B3827" si="2740">IF(K3826=0,"hide","")</f>
        <v/>
      </c>
      <c r="D3826" s="61" t="str">
        <f>"51406"</f>
        <v>51406</v>
      </c>
      <c r="E3826" s="62" t="str">
        <f>"2"</f>
        <v>2</v>
      </c>
      <c r="F3826" s="63">
        <v>286.66666666666669</v>
      </c>
      <c r="G3826" s="63">
        <v>194.25</v>
      </c>
      <c r="H3826" s="63">
        <v>227.5</v>
      </c>
      <c r="I3826" s="63">
        <v>278.41666666666669</v>
      </c>
      <c r="J3826" s="63">
        <v>212.14771084337352</v>
      </c>
      <c r="K3826" s="63">
        <f>AVERAGE(I3826:J3826)</f>
        <v>245.28218875502012</v>
      </c>
      <c r="L3826" s="64" t="str">
        <f>"APPLE CINNAMON SNACK'N LOAF"</f>
        <v>APPLE CINNAMON SNACK'N LOAF</v>
      </c>
      <c r="M3826" s="65" t="str">
        <f>"72-2 oz. IW"</f>
        <v>72-2 oz. IW</v>
      </c>
      <c r="N3826" s="66">
        <v>72</v>
      </c>
      <c r="O3826" s="67">
        <v>1E-3</v>
      </c>
      <c r="P3826" s="68">
        <f>1/O3826</f>
        <v>1000</v>
      </c>
      <c r="Q3826" s="53">
        <v>2.2699999999999999E-3</v>
      </c>
      <c r="R3826" s="69">
        <f t="shared" ref="R3826" si="2741">1/Q3826</f>
        <v>440.52863436123351</v>
      </c>
      <c r="S3826" s="70">
        <f t="shared" ref="S3826" si="2742">R3826*N3826</f>
        <v>31718.061674008812</v>
      </c>
    </row>
    <row r="3827" spans="1:19" ht="15.6" hidden="1" customHeight="1" thickBot="1" x14ac:dyDescent="0.3">
      <c r="A3827" t="s">
        <v>23</v>
      </c>
      <c r="B3827" s="60" t="str">
        <f t="shared" si="2740"/>
        <v>hide</v>
      </c>
      <c r="D3827" s="48" t="str">
        <f>D3826</f>
        <v>51406</v>
      </c>
      <c r="E3827" s="7"/>
      <c r="F3827" s="27">
        <v>0</v>
      </c>
      <c r="G3827" s="27">
        <v>0</v>
      </c>
      <c r="H3827" s="27">
        <v>0</v>
      </c>
      <c r="I3827" s="27">
        <v>0</v>
      </c>
      <c r="J3827" s="27">
        <v>0</v>
      </c>
      <c r="K3827" s="63">
        <f>AVERAGE(I3827:J3827)</f>
        <v>0</v>
      </c>
      <c r="L3827" s="56" t="str">
        <f>"EQP-LAWPACK1"</f>
        <v>EQP-LAWPACK1</v>
      </c>
      <c r="M3827" s="14"/>
      <c r="N3827" s="15"/>
      <c r="O3827" s="12"/>
      <c r="P3827" s="34"/>
      <c r="Q3827" s="37"/>
      <c r="R3827" s="47"/>
      <c r="S3827" s="46"/>
    </row>
    <row r="3828" spans="1:19" ht="15.6" hidden="1" customHeight="1" thickBot="1" x14ac:dyDescent="0.3">
      <c r="A3828" t="s">
        <v>23</v>
      </c>
      <c r="B3828" s="60" t="str">
        <f t="shared" ref="B3828:B3830" si="2743">IF(K3828=0,"hide","")</f>
        <v>hide</v>
      </c>
      <c r="D3828" s="48" t="str">
        <f>D3827</f>
        <v>51406</v>
      </c>
      <c r="E3828" s="7"/>
      <c r="F3828" s="27">
        <v>0</v>
      </c>
      <c r="G3828" s="27">
        <v>0</v>
      </c>
      <c r="H3828" s="27">
        <v>0</v>
      </c>
      <c r="I3828" s="27">
        <v>0</v>
      </c>
      <c r="J3828" s="27">
        <v>0</v>
      </c>
      <c r="K3828" s="63">
        <f>AVERAGE(I3828:J3828)</f>
        <v>0</v>
      </c>
      <c r="L3828" s="56" t="str">
        <f>"EQP-LAWPACK2"</f>
        <v>EQP-LAWPACK2</v>
      </c>
      <c r="M3828" s="14"/>
      <c r="N3828" s="15"/>
      <c r="O3828" s="12"/>
      <c r="P3828" s="34"/>
      <c r="Q3828" s="37"/>
      <c r="R3828" s="47"/>
      <c r="S3828" s="46"/>
    </row>
    <row r="3829" spans="1:19" ht="15.6" hidden="1" customHeight="1" thickBot="1" x14ac:dyDescent="0.3">
      <c r="A3829" t="s">
        <v>23</v>
      </c>
      <c r="B3829" s="60" t="str">
        <f t="shared" si="2743"/>
        <v>hide</v>
      </c>
      <c r="D3829" s="48" t="str">
        <f>D3828</f>
        <v>51406</v>
      </c>
      <c r="E3829" s="7"/>
      <c r="F3829" s="27">
        <v>0</v>
      </c>
      <c r="G3829" s="27">
        <v>0</v>
      </c>
      <c r="H3829" s="27">
        <v>0</v>
      </c>
      <c r="I3829" s="27">
        <v>0</v>
      </c>
      <c r="J3829" s="27">
        <v>0</v>
      </c>
      <c r="K3829" s="63">
        <f>AVERAGE(I3829:J3829)</f>
        <v>0</v>
      </c>
      <c r="L3829" s="56" t="str">
        <f>"SW-COMAS-PACKL"</f>
        <v>SW-COMAS-PACKL</v>
      </c>
      <c r="M3829" s="14"/>
      <c r="N3829" s="15"/>
      <c r="O3829" s="12"/>
      <c r="P3829" s="34"/>
      <c r="Q3829" s="37"/>
      <c r="R3829" s="47"/>
      <c r="S3829" s="46"/>
    </row>
    <row r="3830" spans="1:19" ht="15.6" hidden="1" customHeight="1" thickBot="1" x14ac:dyDescent="0.3">
      <c r="A3830" t="s">
        <v>23</v>
      </c>
      <c r="B3830" s="60" t="str">
        <f t="shared" si="2743"/>
        <v>hide</v>
      </c>
      <c r="D3830" s="48" t="str">
        <f>D3829</f>
        <v>51406</v>
      </c>
      <c r="E3830" s="7"/>
      <c r="F3830" s="27">
        <v>0</v>
      </c>
      <c r="G3830" s="27">
        <v>0</v>
      </c>
      <c r="H3830" s="27">
        <v>0</v>
      </c>
      <c r="I3830" s="27">
        <v>0</v>
      </c>
      <c r="J3830" s="27">
        <v>0</v>
      </c>
      <c r="K3830" s="63">
        <f>AVERAGE(I3830:J3830)</f>
        <v>0</v>
      </c>
      <c r="L3830" s="56" t="str">
        <f>"SW-RISER-PACK"</f>
        <v>SW-RISER-PACK</v>
      </c>
      <c r="M3830" s="14"/>
      <c r="N3830" s="15"/>
      <c r="O3830" s="12"/>
      <c r="P3830" s="34"/>
      <c r="Q3830" s="37"/>
      <c r="R3830" s="47"/>
      <c r="S3830" s="46"/>
    </row>
    <row r="3831" spans="1:19" ht="12" hidden="1" customHeight="1" x14ac:dyDescent="0.3">
      <c r="A3831" s="35" t="s">
        <v>908</v>
      </c>
      <c r="B3831" s="49" t="str">
        <f>B3827</f>
        <v>hide</v>
      </c>
      <c r="N3831"/>
      <c r="Q3831" s="33"/>
    </row>
    <row r="3832" spans="1:19" ht="13.8" hidden="1" thickBot="1" x14ac:dyDescent="0.3">
      <c r="A3832" t="s">
        <v>23</v>
      </c>
      <c r="B3832" s="49" t="str">
        <f t="shared" ref="B3832" si="2744">B3831</f>
        <v>hide</v>
      </c>
      <c r="D3832" s="58"/>
      <c r="E3832" s="58"/>
      <c r="F3832" s="52">
        <f>SUM(F3827:F3831)</f>
        <v>0</v>
      </c>
      <c r="G3832" s="52">
        <f>SUM(G3827:G3831)</f>
        <v>0</v>
      </c>
      <c r="H3832" s="52">
        <f>SUM(H3827:H3831)</f>
        <v>0</v>
      </c>
      <c r="I3832" s="52">
        <f>SUM(I3827:I3831)</f>
        <v>0</v>
      </c>
      <c r="J3832" s="52">
        <f>SUM(J3827:J3831)</f>
        <v>0</v>
      </c>
      <c r="K3832" s="52"/>
      <c r="L3832" s="51" t="s">
        <v>4</v>
      </c>
      <c r="M3832" s="58"/>
      <c r="N3832" s="58"/>
      <c r="O3832" s="58"/>
      <c r="P3832" s="58"/>
      <c r="Q3832" s="58"/>
      <c r="R3832" s="58"/>
      <c r="S3832" s="58"/>
    </row>
    <row r="3833" spans="1:19" s="59" customFormat="1" ht="18.75" hidden="1" customHeight="1" thickBot="1" x14ac:dyDescent="0.3">
      <c r="A3833" s="59" t="s">
        <v>23</v>
      </c>
      <c r="B3833" s="60" t="str">
        <f t="shared" ref="B3833:B3834" si="2745">IF(K3833=0,"hide","")</f>
        <v>hide</v>
      </c>
      <c r="D3833" s="61" t="str">
        <f>"51408"</f>
        <v>51408</v>
      </c>
      <c r="E3833" s="62" t="str">
        <f>"2"</f>
        <v>2</v>
      </c>
      <c r="F3833" s="63">
        <v>141.08333333333331</v>
      </c>
      <c r="G3833" s="63">
        <v>162.33333333333334</v>
      </c>
      <c r="H3833" s="63">
        <v>190.33333333333334</v>
      </c>
      <c r="I3833" s="63">
        <v>0</v>
      </c>
      <c r="J3833" s="63">
        <v>0</v>
      </c>
      <c r="K3833" s="63">
        <f>AVERAGE(I3833:J3833)</f>
        <v>0</v>
      </c>
      <c r="L3833" s="64" t="str">
        <f>"CHERRY SNACK'N LOAF"</f>
        <v>CHERRY SNACK'N LOAF</v>
      </c>
      <c r="M3833" s="65" t="str">
        <f>"72-2 oz. IW"</f>
        <v>72-2 oz. IW</v>
      </c>
      <c r="N3833" s="66">
        <v>72</v>
      </c>
      <c r="O3833" s="67">
        <v>1E-3</v>
      </c>
      <c r="P3833" s="68">
        <f>1/O3833</f>
        <v>1000</v>
      </c>
      <c r="Q3833" s="53">
        <v>2.2699999999999999E-3</v>
      </c>
      <c r="R3833" s="69">
        <f t="shared" ref="R3833" si="2746">1/Q3833</f>
        <v>440.52863436123351</v>
      </c>
      <c r="S3833" s="70">
        <f t="shared" ref="S3833" si="2747">R3833*N3833</f>
        <v>31718.061674008812</v>
      </c>
    </row>
    <row r="3834" spans="1:19" ht="15.6" hidden="1" customHeight="1" thickBot="1" x14ac:dyDescent="0.3">
      <c r="A3834" t="s">
        <v>23</v>
      </c>
      <c r="B3834" s="60" t="str">
        <f t="shared" si="2745"/>
        <v>hide</v>
      </c>
      <c r="D3834" s="48" t="str">
        <f>D3833</f>
        <v>51408</v>
      </c>
      <c r="E3834" s="7"/>
      <c r="F3834" s="27">
        <v>0</v>
      </c>
      <c r="G3834" s="27">
        <v>0</v>
      </c>
      <c r="H3834" s="27">
        <v>0</v>
      </c>
      <c r="I3834" s="27">
        <v>0</v>
      </c>
      <c r="J3834" s="27">
        <v>0</v>
      </c>
      <c r="K3834" s="63">
        <f>AVERAGE(I3834:J3834)</f>
        <v>0</v>
      </c>
      <c r="L3834" s="56" t="str">
        <f>"EQP-LAWPACK1"</f>
        <v>EQP-LAWPACK1</v>
      </c>
      <c r="M3834" s="14"/>
      <c r="N3834" s="15"/>
      <c r="O3834" s="12"/>
      <c r="P3834" s="34"/>
      <c r="Q3834" s="37"/>
      <c r="R3834" s="47"/>
      <c r="S3834" s="46"/>
    </row>
    <row r="3835" spans="1:19" ht="15.6" hidden="1" customHeight="1" thickBot="1" x14ac:dyDescent="0.3">
      <c r="A3835" t="s">
        <v>23</v>
      </c>
      <c r="B3835" s="60" t="str">
        <f t="shared" ref="B3835:B3837" si="2748">IF(K3835=0,"hide","")</f>
        <v>hide</v>
      </c>
      <c r="D3835" s="48" t="str">
        <f>D3834</f>
        <v>51408</v>
      </c>
      <c r="E3835" s="7"/>
      <c r="F3835" s="27">
        <v>0</v>
      </c>
      <c r="G3835" s="27">
        <v>0</v>
      </c>
      <c r="H3835" s="27">
        <v>0</v>
      </c>
      <c r="I3835" s="27">
        <v>0</v>
      </c>
      <c r="J3835" s="27">
        <v>0</v>
      </c>
      <c r="K3835" s="63">
        <f>AVERAGE(I3835:J3835)</f>
        <v>0</v>
      </c>
      <c r="L3835" s="56" t="str">
        <f>"EQP-LAWPACK2"</f>
        <v>EQP-LAWPACK2</v>
      </c>
      <c r="M3835" s="14"/>
      <c r="N3835" s="15"/>
      <c r="O3835" s="12"/>
      <c r="P3835" s="34"/>
      <c r="Q3835" s="37"/>
      <c r="R3835" s="47"/>
      <c r="S3835" s="46"/>
    </row>
    <row r="3836" spans="1:19" ht="15.6" hidden="1" customHeight="1" thickBot="1" x14ac:dyDescent="0.3">
      <c r="A3836" t="s">
        <v>23</v>
      </c>
      <c r="B3836" s="60" t="str">
        <f t="shared" si="2748"/>
        <v>hide</v>
      </c>
      <c r="D3836" s="48" t="str">
        <f>D3835</f>
        <v>51408</v>
      </c>
      <c r="E3836" s="7"/>
      <c r="F3836" s="27">
        <v>0</v>
      </c>
      <c r="G3836" s="27">
        <v>0</v>
      </c>
      <c r="H3836" s="27">
        <v>0</v>
      </c>
      <c r="I3836" s="27">
        <v>0</v>
      </c>
      <c r="J3836" s="27">
        <v>0</v>
      </c>
      <c r="K3836" s="63">
        <f>AVERAGE(I3836:J3836)</f>
        <v>0</v>
      </c>
      <c r="L3836" s="56" t="str">
        <f>"SW-COMAS-PACKL"</f>
        <v>SW-COMAS-PACKL</v>
      </c>
      <c r="M3836" s="14"/>
      <c r="N3836" s="15"/>
      <c r="O3836" s="12"/>
      <c r="P3836" s="34"/>
      <c r="Q3836" s="37"/>
      <c r="R3836" s="47"/>
      <c r="S3836" s="46"/>
    </row>
    <row r="3837" spans="1:19" ht="15.6" hidden="1" customHeight="1" thickBot="1" x14ac:dyDescent="0.3">
      <c r="A3837" t="s">
        <v>23</v>
      </c>
      <c r="B3837" s="60" t="str">
        <f t="shared" si="2748"/>
        <v>hide</v>
      </c>
      <c r="D3837" s="48" t="str">
        <f>D3836</f>
        <v>51408</v>
      </c>
      <c r="E3837" s="7"/>
      <c r="F3837" s="27">
        <v>0</v>
      </c>
      <c r="G3837" s="27">
        <v>0</v>
      </c>
      <c r="H3837" s="27">
        <v>0</v>
      </c>
      <c r="I3837" s="27">
        <v>0</v>
      </c>
      <c r="J3837" s="27">
        <v>0</v>
      </c>
      <c r="K3837" s="63">
        <f>AVERAGE(I3837:J3837)</f>
        <v>0</v>
      </c>
      <c r="L3837" s="56" t="str">
        <f>"SW-RISER-PACK"</f>
        <v>SW-RISER-PACK</v>
      </c>
      <c r="M3837" s="14"/>
      <c r="N3837" s="15"/>
      <c r="O3837" s="12"/>
      <c r="P3837" s="34"/>
      <c r="Q3837" s="37"/>
      <c r="R3837" s="47"/>
      <c r="S3837" s="46"/>
    </row>
    <row r="3838" spans="1:19" ht="12" hidden="1" customHeight="1" x14ac:dyDescent="0.3">
      <c r="A3838" s="35" t="s">
        <v>908</v>
      </c>
      <c r="B3838" s="49" t="str">
        <f>B3834</f>
        <v>hide</v>
      </c>
      <c r="N3838"/>
      <c r="Q3838" s="33"/>
    </row>
    <row r="3839" spans="1:19" ht="13.8" hidden="1" thickBot="1" x14ac:dyDescent="0.3">
      <c r="A3839" t="s">
        <v>23</v>
      </c>
      <c r="B3839" s="49" t="str">
        <f t="shared" ref="B3839" si="2749">B3838</f>
        <v>hide</v>
      </c>
      <c r="D3839" s="58"/>
      <c r="E3839" s="58"/>
      <c r="F3839" s="52">
        <f>SUM(F3834:F3838)</f>
        <v>0</v>
      </c>
      <c r="G3839" s="52">
        <f>SUM(G3834:G3838)</f>
        <v>0</v>
      </c>
      <c r="H3839" s="52">
        <f>SUM(H3834:H3838)</f>
        <v>0</v>
      </c>
      <c r="I3839" s="52">
        <f>SUM(I3834:I3838)</f>
        <v>0</v>
      </c>
      <c r="J3839" s="52">
        <f>SUM(J3834:J3838)</f>
        <v>0</v>
      </c>
      <c r="K3839" s="52"/>
      <c r="L3839" s="51" t="s">
        <v>4</v>
      </c>
      <c r="M3839" s="58"/>
      <c r="N3839" s="58"/>
      <c r="O3839" s="58"/>
      <c r="P3839" s="58"/>
      <c r="Q3839" s="58"/>
      <c r="R3839" s="58"/>
      <c r="S3839" s="58"/>
    </row>
    <row r="3840" spans="1:19" s="59" customFormat="1" ht="18.75" hidden="1" customHeight="1" thickBot="1" x14ac:dyDescent="0.3">
      <c r="A3840" s="59" t="s">
        <v>23</v>
      </c>
      <c r="B3840" s="60" t="str">
        <f t="shared" ref="B3840:B3841" si="2750">IF(K3840=0,"hide","")</f>
        <v>hide</v>
      </c>
      <c r="D3840" s="61" t="str">
        <f>"51410"</f>
        <v>51410</v>
      </c>
      <c r="E3840" s="62" t="str">
        <f>"3"</f>
        <v>3</v>
      </c>
      <c r="F3840" s="63">
        <v>0</v>
      </c>
      <c r="G3840" s="63">
        <v>0</v>
      </c>
      <c r="H3840" s="63">
        <v>0</v>
      </c>
      <c r="I3840" s="63">
        <v>0</v>
      </c>
      <c r="J3840" s="63">
        <v>0</v>
      </c>
      <c r="K3840" s="63">
        <f>AVERAGE(I3840:J3840)</f>
        <v>0</v>
      </c>
      <c r="L3840" s="64" t="str">
        <f>"CHOCOLATE CHIP SNACK'N LOAF"</f>
        <v>CHOCOLATE CHIP SNACK'N LOAF</v>
      </c>
      <c r="M3840" s="65" t="str">
        <f>"72/2 oz. I.W."</f>
        <v>72/2 oz. I.W.</v>
      </c>
      <c r="N3840" s="66">
        <v>72</v>
      </c>
      <c r="O3840" s="67">
        <v>1E-3</v>
      </c>
      <c r="P3840" s="68">
        <f>1/O3840</f>
        <v>1000</v>
      </c>
      <c r="Q3840" s="53">
        <v>2.2000000000000001E-3</v>
      </c>
      <c r="R3840" s="69">
        <f t="shared" ref="R3840" si="2751">1/Q3840</f>
        <v>454.5454545454545</v>
      </c>
      <c r="S3840" s="70">
        <f t="shared" ref="S3840" si="2752">R3840*N3840</f>
        <v>32727.272727272724</v>
      </c>
    </row>
    <row r="3841" spans="1:19" ht="15.6" hidden="1" customHeight="1" thickBot="1" x14ac:dyDescent="0.3">
      <c r="A3841" t="s">
        <v>23</v>
      </c>
      <c r="B3841" s="60" t="str">
        <f t="shared" si="2750"/>
        <v>hide</v>
      </c>
      <c r="D3841" s="48" t="str">
        <f>D3840</f>
        <v>51410</v>
      </c>
      <c r="E3841" s="7"/>
      <c r="F3841" s="27">
        <v>0</v>
      </c>
      <c r="G3841" s="27">
        <v>0</v>
      </c>
      <c r="H3841" s="27">
        <v>0</v>
      </c>
      <c r="I3841" s="27">
        <v>0</v>
      </c>
      <c r="J3841" s="27">
        <v>0</v>
      </c>
      <c r="K3841" s="63">
        <f>AVERAGE(I3841:J3841)</f>
        <v>0</v>
      </c>
      <c r="L3841" s="56" t="str">
        <f>"EQP-LAWPACK1"</f>
        <v>EQP-LAWPACK1</v>
      </c>
      <c r="M3841" s="14"/>
      <c r="N3841" s="15"/>
      <c r="O3841" s="12"/>
      <c r="P3841" s="34"/>
      <c r="Q3841" s="37"/>
      <c r="R3841" s="47"/>
      <c r="S3841" s="46"/>
    </row>
    <row r="3842" spans="1:19" ht="15.6" hidden="1" customHeight="1" thickBot="1" x14ac:dyDescent="0.3">
      <c r="A3842" t="s">
        <v>23</v>
      </c>
      <c r="B3842" s="60" t="str">
        <f t="shared" ref="B3842:B3844" si="2753">IF(K3842=0,"hide","")</f>
        <v>hide</v>
      </c>
      <c r="D3842" s="48" t="str">
        <f>D3841</f>
        <v>51410</v>
      </c>
      <c r="E3842" s="7"/>
      <c r="F3842" s="27">
        <v>0</v>
      </c>
      <c r="G3842" s="27">
        <v>0</v>
      </c>
      <c r="H3842" s="27">
        <v>0</v>
      </c>
      <c r="I3842" s="27">
        <v>0</v>
      </c>
      <c r="J3842" s="27">
        <v>0</v>
      </c>
      <c r="K3842" s="63">
        <f>AVERAGE(I3842:J3842)</f>
        <v>0</v>
      </c>
      <c r="L3842" s="56" t="str">
        <f>"EQP-LAWPACK2"</f>
        <v>EQP-LAWPACK2</v>
      </c>
      <c r="M3842" s="14"/>
      <c r="N3842" s="15"/>
      <c r="O3842" s="12"/>
      <c r="P3842" s="34"/>
      <c r="Q3842" s="37"/>
      <c r="R3842" s="47"/>
      <c r="S3842" s="46"/>
    </row>
    <row r="3843" spans="1:19" ht="15.6" hidden="1" customHeight="1" thickBot="1" x14ac:dyDescent="0.3">
      <c r="A3843" t="s">
        <v>23</v>
      </c>
      <c r="B3843" s="60" t="str">
        <f t="shared" si="2753"/>
        <v>hide</v>
      </c>
      <c r="D3843" s="48" t="str">
        <f>D3842</f>
        <v>51410</v>
      </c>
      <c r="E3843" s="7"/>
      <c r="F3843" s="27">
        <v>0</v>
      </c>
      <c r="G3843" s="27">
        <v>0</v>
      </c>
      <c r="H3843" s="27">
        <v>0</v>
      </c>
      <c r="I3843" s="27">
        <v>0</v>
      </c>
      <c r="J3843" s="27">
        <v>0</v>
      </c>
      <c r="K3843" s="63">
        <f>AVERAGE(I3843:J3843)</f>
        <v>0</v>
      </c>
      <c r="L3843" s="56" t="str">
        <f>"SW-COMAS-PACKL"</f>
        <v>SW-COMAS-PACKL</v>
      </c>
      <c r="M3843" s="14"/>
      <c r="N3843" s="15"/>
      <c r="O3843" s="12"/>
      <c r="P3843" s="34"/>
      <c r="Q3843" s="37"/>
      <c r="R3843" s="47"/>
      <c r="S3843" s="46"/>
    </row>
    <row r="3844" spans="1:19" ht="15.6" hidden="1" customHeight="1" thickBot="1" x14ac:dyDescent="0.3">
      <c r="A3844" t="s">
        <v>23</v>
      </c>
      <c r="B3844" s="60" t="str">
        <f t="shared" si="2753"/>
        <v>hide</v>
      </c>
      <c r="D3844" s="48" t="str">
        <f>D3843</f>
        <v>51410</v>
      </c>
      <c r="E3844" s="7"/>
      <c r="F3844" s="27">
        <v>0</v>
      </c>
      <c r="G3844" s="27">
        <v>0</v>
      </c>
      <c r="H3844" s="27">
        <v>0</v>
      </c>
      <c r="I3844" s="27">
        <v>0</v>
      </c>
      <c r="J3844" s="27">
        <v>0</v>
      </c>
      <c r="K3844" s="63">
        <f>AVERAGE(I3844:J3844)</f>
        <v>0</v>
      </c>
      <c r="L3844" s="56" t="str">
        <f>"SW-RISER-PACK"</f>
        <v>SW-RISER-PACK</v>
      </c>
      <c r="M3844" s="14"/>
      <c r="N3844" s="15"/>
      <c r="O3844" s="12"/>
      <c r="P3844" s="34"/>
      <c r="Q3844" s="37"/>
      <c r="R3844" s="47"/>
      <c r="S3844" s="46"/>
    </row>
    <row r="3845" spans="1:19" ht="12" hidden="1" customHeight="1" x14ac:dyDescent="0.3">
      <c r="A3845" s="35" t="s">
        <v>908</v>
      </c>
      <c r="B3845" s="49" t="str">
        <f>B3841</f>
        <v>hide</v>
      </c>
      <c r="N3845"/>
      <c r="Q3845" s="33"/>
    </row>
    <row r="3846" spans="1:19" ht="13.8" hidden="1" thickBot="1" x14ac:dyDescent="0.3">
      <c r="A3846" t="s">
        <v>23</v>
      </c>
      <c r="B3846" s="49" t="str">
        <f t="shared" ref="B3846" si="2754">B3845</f>
        <v>hide</v>
      </c>
      <c r="D3846" s="58"/>
      <c r="E3846" s="58"/>
      <c r="F3846" s="52">
        <f>SUM(F3841:F3845)</f>
        <v>0</v>
      </c>
      <c r="G3846" s="52">
        <f>SUM(G3841:G3845)</f>
        <v>0</v>
      </c>
      <c r="H3846" s="52">
        <f>SUM(H3841:H3845)</f>
        <v>0</v>
      </c>
      <c r="I3846" s="52">
        <f>SUM(I3841:I3845)</f>
        <v>0</v>
      </c>
      <c r="J3846" s="52">
        <f>SUM(J3841:J3845)</f>
        <v>0</v>
      </c>
      <c r="K3846" s="52"/>
      <c r="L3846" s="51" t="s">
        <v>4</v>
      </c>
      <c r="M3846" s="58"/>
      <c r="N3846" s="58"/>
      <c r="O3846" s="58"/>
      <c r="P3846" s="58"/>
      <c r="Q3846" s="58"/>
      <c r="R3846" s="58"/>
      <c r="S3846" s="58"/>
    </row>
    <row r="3847" spans="1:19" s="59" customFormat="1" ht="18.75" hidden="1" customHeight="1" thickBot="1" x14ac:dyDescent="0.3">
      <c r="A3847" s="59" t="s">
        <v>23</v>
      </c>
      <c r="B3847" s="60" t="str">
        <f t="shared" ref="B3847:B3848" si="2755">IF(K3847=0,"hide","")</f>
        <v>hide</v>
      </c>
      <c r="D3847" s="61" t="str">
        <f>"51411"</f>
        <v>51411</v>
      </c>
      <c r="E3847" s="62" t="str">
        <f>"2"</f>
        <v>2</v>
      </c>
      <c r="F3847" s="63">
        <v>0</v>
      </c>
      <c r="G3847" s="63">
        <v>0</v>
      </c>
      <c r="H3847" s="63">
        <v>0</v>
      </c>
      <c r="I3847" s="63">
        <v>0</v>
      </c>
      <c r="J3847" s="63">
        <v>0</v>
      </c>
      <c r="K3847" s="63">
        <f>AVERAGE(I3847:J3847)</f>
        <v>0</v>
      </c>
      <c r="L3847" s="64" t="str">
        <f>"CARROT SNACK'N LOAF"</f>
        <v>CARROT SNACK'N LOAF</v>
      </c>
      <c r="M3847" s="65" t="str">
        <f>"72/2 oz. I.W."</f>
        <v>72/2 oz. I.W.</v>
      </c>
      <c r="N3847" s="66">
        <v>72</v>
      </c>
      <c r="O3847" s="67" t="str">
        <f>""</f>
        <v/>
      </c>
      <c r="P3847" s="68" t="e">
        <f>1/O3847</f>
        <v>#VALUE!</v>
      </c>
      <c r="Q3847" s="53">
        <v>1</v>
      </c>
      <c r="R3847" s="69">
        <f t="shared" ref="R3847" si="2756">1/Q3847</f>
        <v>1</v>
      </c>
      <c r="S3847" s="70">
        <f t="shared" ref="S3847" si="2757">R3847*N3847</f>
        <v>72</v>
      </c>
    </row>
    <row r="3848" spans="1:19" ht="15.6" hidden="1" customHeight="1" thickBot="1" x14ac:dyDescent="0.3">
      <c r="A3848" t="s">
        <v>23</v>
      </c>
      <c r="B3848" s="60" t="str">
        <f t="shared" si="2755"/>
        <v>hide</v>
      </c>
      <c r="D3848" s="48" t="str">
        <f>D3847</f>
        <v>51411</v>
      </c>
      <c r="E3848" s="7"/>
      <c r="F3848" s="27">
        <v>0</v>
      </c>
      <c r="G3848" s="27">
        <v>0</v>
      </c>
      <c r="H3848" s="27">
        <v>0</v>
      </c>
      <c r="I3848" s="27">
        <v>0</v>
      </c>
      <c r="J3848" s="27">
        <v>0</v>
      </c>
      <c r="K3848" s="63">
        <f>AVERAGE(I3848:J3848)</f>
        <v>0</v>
      </c>
      <c r="L3848" s="56" t="str">
        <f>"EQP-LAWPACK1"</f>
        <v>EQP-LAWPACK1</v>
      </c>
      <c r="M3848" s="14"/>
      <c r="N3848" s="15"/>
      <c r="O3848" s="12"/>
      <c r="P3848" s="34"/>
      <c r="Q3848" s="37"/>
      <c r="R3848" s="47"/>
      <c r="S3848" s="46"/>
    </row>
    <row r="3849" spans="1:19" ht="15.6" hidden="1" customHeight="1" thickBot="1" x14ac:dyDescent="0.3">
      <c r="A3849" t="s">
        <v>23</v>
      </c>
      <c r="B3849" s="60" t="str">
        <f t="shared" ref="B3849:B3851" si="2758">IF(K3849=0,"hide","")</f>
        <v>hide</v>
      </c>
      <c r="D3849" s="48" t="str">
        <f>D3848</f>
        <v>51411</v>
      </c>
      <c r="E3849" s="7"/>
      <c r="F3849" s="27">
        <v>0</v>
      </c>
      <c r="G3849" s="27">
        <v>0</v>
      </c>
      <c r="H3849" s="27">
        <v>0</v>
      </c>
      <c r="I3849" s="27">
        <v>0</v>
      </c>
      <c r="J3849" s="27">
        <v>0</v>
      </c>
      <c r="K3849" s="63">
        <f>AVERAGE(I3849:J3849)</f>
        <v>0</v>
      </c>
      <c r="L3849" s="56" t="str">
        <f>"EQP-LAWPACK2"</f>
        <v>EQP-LAWPACK2</v>
      </c>
      <c r="M3849" s="14"/>
      <c r="N3849" s="15"/>
      <c r="O3849" s="12"/>
      <c r="P3849" s="34"/>
      <c r="Q3849" s="37"/>
      <c r="R3849" s="47"/>
      <c r="S3849" s="46"/>
    </row>
    <row r="3850" spans="1:19" ht="15.6" hidden="1" customHeight="1" thickBot="1" x14ac:dyDescent="0.3">
      <c r="A3850" t="s">
        <v>23</v>
      </c>
      <c r="B3850" s="60" t="str">
        <f t="shared" si="2758"/>
        <v>hide</v>
      </c>
      <c r="D3850" s="48" t="str">
        <f>D3849</f>
        <v>51411</v>
      </c>
      <c r="E3850" s="7"/>
      <c r="F3850" s="27">
        <v>0</v>
      </c>
      <c r="G3850" s="27">
        <v>0</v>
      </c>
      <c r="H3850" s="27">
        <v>0</v>
      </c>
      <c r="I3850" s="27">
        <v>0</v>
      </c>
      <c r="J3850" s="27">
        <v>0</v>
      </c>
      <c r="K3850" s="63">
        <f>AVERAGE(I3850:J3850)</f>
        <v>0</v>
      </c>
      <c r="L3850" s="56" t="str">
        <f>"SW-COMAS-PACKL"</f>
        <v>SW-COMAS-PACKL</v>
      </c>
      <c r="M3850" s="14"/>
      <c r="N3850" s="15"/>
      <c r="O3850" s="12"/>
      <c r="P3850" s="34"/>
      <c r="Q3850" s="37"/>
      <c r="R3850" s="47"/>
      <c r="S3850" s="46"/>
    </row>
    <row r="3851" spans="1:19" ht="15.6" hidden="1" customHeight="1" thickBot="1" x14ac:dyDescent="0.3">
      <c r="A3851" t="s">
        <v>23</v>
      </c>
      <c r="B3851" s="60" t="str">
        <f t="shared" si="2758"/>
        <v>hide</v>
      </c>
      <c r="D3851" s="48" t="str">
        <f>D3850</f>
        <v>51411</v>
      </c>
      <c r="E3851" s="7"/>
      <c r="F3851" s="27">
        <v>0</v>
      </c>
      <c r="G3851" s="27">
        <v>0</v>
      </c>
      <c r="H3851" s="27">
        <v>0</v>
      </c>
      <c r="I3851" s="27">
        <v>0</v>
      </c>
      <c r="J3851" s="27">
        <v>0</v>
      </c>
      <c r="K3851" s="63">
        <f>AVERAGE(I3851:J3851)</f>
        <v>0</v>
      </c>
      <c r="L3851" s="56" t="str">
        <f>"SW-RISER-PACK"</f>
        <v>SW-RISER-PACK</v>
      </c>
      <c r="M3851" s="14"/>
      <c r="N3851" s="15"/>
      <c r="O3851" s="12"/>
      <c r="P3851" s="34"/>
      <c r="Q3851" s="37"/>
      <c r="R3851" s="47"/>
      <c r="S3851" s="46"/>
    </row>
    <row r="3852" spans="1:19" ht="12" hidden="1" customHeight="1" x14ac:dyDescent="0.3">
      <c r="A3852" s="35" t="s">
        <v>908</v>
      </c>
      <c r="B3852" s="49" t="str">
        <f>B3848</f>
        <v>hide</v>
      </c>
      <c r="N3852"/>
      <c r="Q3852" s="33"/>
    </row>
    <row r="3853" spans="1:19" ht="13.8" hidden="1" thickBot="1" x14ac:dyDescent="0.3">
      <c r="A3853" t="s">
        <v>23</v>
      </c>
      <c r="B3853" s="49" t="str">
        <f t="shared" ref="B3853" si="2759">B3852</f>
        <v>hide</v>
      </c>
      <c r="D3853" s="58"/>
      <c r="E3853" s="58"/>
      <c r="F3853" s="52">
        <f>SUM(F3848:F3852)</f>
        <v>0</v>
      </c>
      <c r="G3853" s="52">
        <f>SUM(G3848:G3852)</f>
        <v>0</v>
      </c>
      <c r="H3853" s="52">
        <f>SUM(H3848:H3852)</f>
        <v>0</v>
      </c>
      <c r="I3853" s="52">
        <f>SUM(I3848:I3852)</f>
        <v>0</v>
      </c>
      <c r="J3853" s="52">
        <f>SUM(J3848:J3852)</f>
        <v>0</v>
      </c>
      <c r="K3853" s="52"/>
      <c r="L3853" s="51" t="s">
        <v>4</v>
      </c>
      <c r="M3853" s="58"/>
      <c r="N3853" s="58"/>
      <c r="O3853" s="58"/>
      <c r="P3853" s="58"/>
      <c r="Q3853" s="58"/>
      <c r="R3853" s="58"/>
      <c r="S3853" s="58"/>
    </row>
    <row r="3854" spans="1:19" s="59" customFormat="1" ht="18.75" hidden="1" customHeight="1" thickBot="1" x14ac:dyDescent="0.3">
      <c r="A3854" s="59" t="s">
        <v>23</v>
      </c>
      <c r="B3854" s="60" t="str">
        <f t="shared" ref="B3854:B3855" si="2760">IF(K3854=0,"hide","")</f>
        <v>hide</v>
      </c>
      <c r="D3854" s="61" t="str">
        <f>"51420"</f>
        <v>51420</v>
      </c>
      <c r="E3854" s="62" t="str">
        <f>""</f>
        <v/>
      </c>
      <c r="F3854" s="63">
        <v>0</v>
      </c>
      <c r="G3854" s="63">
        <v>0</v>
      </c>
      <c r="H3854" s="63">
        <v>0</v>
      </c>
      <c r="I3854" s="63">
        <v>0</v>
      </c>
      <c r="J3854" s="63">
        <v>0</v>
      </c>
      <c r="K3854" s="63">
        <f>AVERAGE(I3854:J3854)</f>
        <v>0</v>
      </c>
      <c r="L3854" s="64" t="str">
        <f>""</f>
        <v/>
      </c>
      <c r="M3854" s="65" t="str">
        <f>""</f>
        <v/>
      </c>
      <c r="N3854" s="66" t="str">
        <f>""</f>
        <v/>
      </c>
      <c r="O3854" s="67" t="e">
        <v>#VALUE!</v>
      </c>
      <c r="P3854" s="68" t="e">
        <f>1/O3854</f>
        <v>#VALUE!</v>
      </c>
      <c r="Q3854" s="53" t="e">
        <v>#VALUE!</v>
      </c>
      <c r="R3854" s="69" t="e">
        <f t="shared" ref="R3854" si="2761">1/Q3854</f>
        <v>#VALUE!</v>
      </c>
      <c r="S3854" s="70" t="e">
        <f t="shared" ref="S3854" si="2762">R3854*N3854</f>
        <v>#VALUE!</v>
      </c>
    </row>
    <row r="3855" spans="1:19" ht="15.6" hidden="1" customHeight="1" thickBot="1" x14ac:dyDescent="0.3">
      <c r="A3855" t="s">
        <v>23</v>
      </c>
      <c r="B3855" s="60" t="str">
        <f t="shared" si="2760"/>
        <v>hide</v>
      </c>
      <c r="D3855" s="48" t="str">
        <f>D3854</f>
        <v>51420</v>
      </c>
      <c r="E3855" s="7"/>
      <c r="F3855" s="27">
        <v>0</v>
      </c>
      <c r="G3855" s="27">
        <v>0</v>
      </c>
      <c r="H3855" s="27">
        <v>0</v>
      </c>
      <c r="I3855" s="27">
        <v>0</v>
      </c>
      <c r="J3855" s="27">
        <v>0</v>
      </c>
      <c r="K3855" s="63">
        <f>AVERAGE(I3855:J3855)</f>
        <v>0</v>
      </c>
      <c r="L3855" s="56" t="str">
        <f>"EQP-LAWPACK1"</f>
        <v>EQP-LAWPACK1</v>
      </c>
      <c r="M3855" s="14"/>
      <c r="N3855" s="15"/>
      <c r="O3855" s="12"/>
      <c r="P3855" s="34"/>
      <c r="Q3855" s="37"/>
      <c r="R3855" s="47"/>
      <c r="S3855" s="46"/>
    </row>
    <row r="3856" spans="1:19" ht="15.6" hidden="1" customHeight="1" thickBot="1" x14ac:dyDescent="0.3">
      <c r="A3856" t="s">
        <v>23</v>
      </c>
      <c r="B3856" s="60" t="str">
        <f t="shared" ref="B3856:B3858" si="2763">IF(K3856=0,"hide","")</f>
        <v>hide</v>
      </c>
      <c r="D3856" s="48" t="str">
        <f>D3855</f>
        <v>51420</v>
      </c>
      <c r="E3856" s="7"/>
      <c r="F3856" s="27">
        <v>0</v>
      </c>
      <c r="G3856" s="27">
        <v>0</v>
      </c>
      <c r="H3856" s="27">
        <v>0</v>
      </c>
      <c r="I3856" s="27">
        <v>0</v>
      </c>
      <c r="J3856" s="27">
        <v>0</v>
      </c>
      <c r="K3856" s="63">
        <f>AVERAGE(I3856:J3856)</f>
        <v>0</v>
      </c>
      <c r="L3856" s="56" t="str">
        <f>"EQP-LAWPACK2"</f>
        <v>EQP-LAWPACK2</v>
      </c>
      <c r="M3856" s="14"/>
      <c r="N3856" s="15"/>
      <c r="O3856" s="12"/>
      <c r="P3856" s="34"/>
      <c r="Q3856" s="37"/>
      <c r="R3856" s="47"/>
      <c r="S3856" s="46"/>
    </row>
    <row r="3857" spans="1:19" ht="15.6" hidden="1" customHeight="1" thickBot="1" x14ac:dyDescent="0.3">
      <c r="A3857" t="s">
        <v>23</v>
      </c>
      <c r="B3857" s="60" t="str">
        <f t="shared" si="2763"/>
        <v>hide</v>
      </c>
      <c r="D3857" s="48" t="str">
        <f>D3856</f>
        <v>51420</v>
      </c>
      <c r="E3857" s="7"/>
      <c r="F3857" s="27">
        <v>0</v>
      </c>
      <c r="G3857" s="27">
        <v>0</v>
      </c>
      <c r="H3857" s="27">
        <v>0</v>
      </c>
      <c r="I3857" s="27">
        <v>0</v>
      </c>
      <c r="J3857" s="27">
        <v>0</v>
      </c>
      <c r="K3857" s="63">
        <f>AVERAGE(I3857:J3857)</f>
        <v>0</v>
      </c>
      <c r="L3857" s="56" t="str">
        <f>"SW-COMAS-PACKL"</f>
        <v>SW-COMAS-PACKL</v>
      </c>
      <c r="M3857" s="14"/>
      <c r="N3857" s="15"/>
      <c r="O3857" s="12"/>
      <c r="P3857" s="34"/>
      <c r="Q3857" s="37"/>
      <c r="R3857" s="47"/>
      <c r="S3857" s="46"/>
    </row>
    <row r="3858" spans="1:19" ht="15.6" hidden="1" customHeight="1" thickBot="1" x14ac:dyDescent="0.3">
      <c r="A3858" t="s">
        <v>23</v>
      </c>
      <c r="B3858" s="60" t="str">
        <f t="shared" si="2763"/>
        <v>hide</v>
      </c>
      <c r="D3858" s="48" t="str">
        <f>D3857</f>
        <v>51420</v>
      </c>
      <c r="E3858" s="7"/>
      <c r="F3858" s="27">
        <v>0</v>
      </c>
      <c r="G3858" s="27">
        <v>0</v>
      </c>
      <c r="H3858" s="27">
        <v>0</v>
      </c>
      <c r="I3858" s="27">
        <v>0</v>
      </c>
      <c r="J3858" s="27">
        <v>0</v>
      </c>
      <c r="K3858" s="63">
        <f>AVERAGE(I3858:J3858)</f>
        <v>0</v>
      </c>
      <c r="L3858" s="56" t="str">
        <f>"SW-RISER-PACK"</f>
        <v>SW-RISER-PACK</v>
      </c>
      <c r="M3858" s="14"/>
      <c r="N3858" s="15"/>
      <c r="O3858" s="12"/>
      <c r="P3858" s="34"/>
      <c r="Q3858" s="37"/>
      <c r="R3858" s="47"/>
      <c r="S3858" s="46"/>
    </row>
    <row r="3859" spans="1:19" ht="12" hidden="1" customHeight="1" x14ac:dyDescent="0.3">
      <c r="A3859" s="35" t="s">
        <v>908</v>
      </c>
      <c r="B3859" s="49" t="str">
        <f>B3855</f>
        <v>hide</v>
      </c>
      <c r="N3859"/>
      <c r="Q3859" s="33"/>
    </row>
    <row r="3860" spans="1:19" ht="13.8" hidden="1" thickBot="1" x14ac:dyDescent="0.3">
      <c r="A3860" t="s">
        <v>23</v>
      </c>
      <c r="B3860" s="49" t="str">
        <f t="shared" ref="B3860" si="2764">B3859</f>
        <v>hide</v>
      </c>
      <c r="D3860" s="58"/>
      <c r="E3860" s="58"/>
      <c r="F3860" s="52">
        <f>SUM(F3855:F3859)</f>
        <v>0</v>
      </c>
      <c r="G3860" s="52">
        <f>SUM(G3855:G3859)</f>
        <v>0</v>
      </c>
      <c r="H3860" s="52">
        <f>SUM(H3855:H3859)</f>
        <v>0</v>
      </c>
      <c r="I3860" s="52">
        <f>SUM(I3855:I3859)</f>
        <v>0</v>
      </c>
      <c r="J3860" s="52">
        <f>SUM(J3855:J3859)</f>
        <v>0</v>
      </c>
      <c r="K3860" s="52"/>
      <c r="L3860" s="51" t="s">
        <v>4</v>
      </c>
      <c r="M3860" s="58"/>
      <c r="N3860" s="58"/>
      <c r="O3860" s="58"/>
      <c r="P3860" s="58"/>
      <c r="Q3860" s="58"/>
      <c r="R3860" s="58"/>
      <c r="S3860" s="58"/>
    </row>
    <row r="3861" spans="1:19" s="59" customFormat="1" ht="18.75" hidden="1" customHeight="1" thickBot="1" x14ac:dyDescent="0.3">
      <c r="A3861" s="59" t="s">
        <v>23</v>
      </c>
      <c r="B3861" s="60" t="str">
        <f t="shared" ref="B3861:B3862" si="2765">IF(K3861=0,"hide","")</f>
        <v>hide</v>
      </c>
      <c r="D3861" s="61" t="str">
        <f>"51425"</f>
        <v>51425</v>
      </c>
      <c r="E3861" s="62" t="str">
        <f>"1"</f>
        <v>1</v>
      </c>
      <c r="F3861" s="63">
        <v>0</v>
      </c>
      <c r="G3861" s="63">
        <v>1.6666666666666667</v>
      </c>
      <c r="H3861" s="63">
        <v>1.8333333333333333</v>
      </c>
      <c r="I3861" s="63">
        <v>0</v>
      </c>
      <c r="J3861" s="63">
        <v>0</v>
      </c>
      <c r="K3861" s="63">
        <f>AVERAGE(I3861:J3861)</f>
        <v>0</v>
      </c>
      <c r="L3861" s="64" t="str">
        <f>"JALAPENO CORNBREAD LOAVES"</f>
        <v>JALAPENO CORNBREAD LOAVES</v>
      </c>
      <c r="M3861" s="65" t="str">
        <f>"72-2 oz. IW"</f>
        <v>72-2 oz. IW</v>
      </c>
      <c r="N3861" s="66">
        <v>72</v>
      </c>
      <c r="O3861" s="67" t="str">
        <f>""</f>
        <v/>
      </c>
      <c r="P3861" s="68" t="e">
        <f>1/O3861</f>
        <v>#VALUE!</v>
      </c>
      <c r="Q3861" s="53">
        <v>1</v>
      </c>
      <c r="R3861" s="69">
        <f t="shared" ref="R3861" si="2766">1/Q3861</f>
        <v>1</v>
      </c>
      <c r="S3861" s="70">
        <f t="shared" ref="S3861" si="2767">R3861*N3861</f>
        <v>72</v>
      </c>
    </row>
    <row r="3862" spans="1:19" ht="15.6" hidden="1" customHeight="1" thickBot="1" x14ac:dyDescent="0.3">
      <c r="A3862" t="s">
        <v>23</v>
      </c>
      <c r="B3862" s="60" t="str">
        <f t="shared" si="2765"/>
        <v>hide</v>
      </c>
      <c r="D3862" s="48" t="str">
        <f>D3861</f>
        <v>51425</v>
      </c>
      <c r="E3862" s="7"/>
      <c r="F3862" s="27">
        <v>0</v>
      </c>
      <c r="G3862" s="27">
        <v>0</v>
      </c>
      <c r="H3862" s="27">
        <v>0</v>
      </c>
      <c r="I3862" s="27">
        <v>0</v>
      </c>
      <c r="J3862" s="27">
        <v>0</v>
      </c>
      <c r="K3862" s="63">
        <f>AVERAGE(I3862:J3862)</f>
        <v>0</v>
      </c>
      <c r="L3862" s="56" t="str">
        <f>"EQP-LAWPACK1"</f>
        <v>EQP-LAWPACK1</v>
      </c>
      <c r="M3862" s="14"/>
      <c r="N3862" s="15"/>
      <c r="O3862" s="12"/>
      <c r="P3862" s="34"/>
      <c r="Q3862" s="37"/>
      <c r="R3862" s="47"/>
      <c r="S3862" s="46"/>
    </row>
    <row r="3863" spans="1:19" ht="15.6" hidden="1" customHeight="1" thickBot="1" x14ac:dyDescent="0.3">
      <c r="A3863" t="s">
        <v>23</v>
      </c>
      <c r="B3863" s="60" t="str">
        <f t="shared" ref="B3863:B3865" si="2768">IF(K3863=0,"hide","")</f>
        <v>hide</v>
      </c>
      <c r="D3863" s="48" t="str">
        <f>D3862</f>
        <v>51425</v>
      </c>
      <c r="E3863" s="7"/>
      <c r="F3863" s="27">
        <v>0</v>
      </c>
      <c r="G3863" s="27">
        <v>0</v>
      </c>
      <c r="H3863" s="27">
        <v>0</v>
      </c>
      <c r="I3863" s="27">
        <v>0</v>
      </c>
      <c r="J3863" s="27">
        <v>0</v>
      </c>
      <c r="K3863" s="63">
        <f>AVERAGE(I3863:J3863)</f>
        <v>0</v>
      </c>
      <c r="L3863" s="56" t="str">
        <f>"EQP-LAWPACK2"</f>
        <v>EQP-LAWPACK2</v>
      </c>
      <c r="M3863" s="14"/>
      <c r="N3863" s="15"/>
      <c r="O3863" s="12"/>
      <c r="P3863" s="34"/>
      <c r="Q3863" s="37"/>
      <c r="R3863" s="47"/>
      <c r="S3863" s="46"/>
    </row>
    <row r="3864" spans="1:19" ht="15.6" hidden="1" customHeight="1" thickBot="1" x14ac:dyDescent="0.3">
      <c r="A3864" t="s">
        <v>23</v>
      </c>
      <c r="B3864" s="60" t="str">
        <f t="shared" si="2768"/>
        <v>hide</v>
      </c>
      <c r="D3864" s="48" t="str">
        <f>D3863</f>
        <v>51425</v>
      </c>
      <c r="E3864" s="7"/>
      <c r="F3864" s="27">
        <v>0</v>
      </c>
      <c r="G3864" s="27">
        <v>0</v>
      </c>
      <c r="H3864" s="27">
        <v>0</v>
      </c>
      <c r="I3864" s="27">
        <v>0</v>
      </c>
      <c r="J3864" s="27">
        <v>0</v>
      </c>
      <c r="K3864" s="63">
        <f>AVERAGE(I3864:J3864)</f>
        <v>0</v>
      </c>
      <c r="L3864" s="56" t="str">
        <f>"SW-COMAS-PACKL"</f>
        <v>SW-COMAS-PACKL</v>
      </c>
      <c r="M3864" s="14"/>
      <c r="N3864" s="15"/>
      <c r="O3864" s="12"/>
      <c r="P3864" s="34"/>
      <c r="Q3864" s="37"/>
      <c r="R3864" s="47"/>
      <c r="S3864" s="46"/>
    </row>
    <row r="3865" spans="1:19" ht="15.6" hidden="1" customHeight="1" thickBot="1" x14ac:dyDescent="0.3">
      <c r="A3865" t="s">
        <v>23</v>
      </c>
      <c r="B3865" s="60" t="str">
        <f t="shared" si="2768"/>
        <v>hide</v>
      </c>
      <c r="D3865" s="48" t="str">
        <f>D3864</f>
        <v>51425</v>
      </c>
      <c r="E3865" s="7"/>
      <c r="F3865" s="27">
        <v>0</v>
      </c>
      <c r="G3865" s="27">
        <v>0</v>
      </c>
      <c r="H3865" s="27">
        <v>0</v>
      </c>
      <c r="I3865" s="27">
        <v>0</v>
      </c>
      <c r="J3865" s="27">
        <v>0</v>
      </c>
      <c r="K3865" s="63">
        <f>AVERAGE(I3865:J3865)</f>
        <v>0</v>
      </c>
      <c r="L3865" s="56" t="str">
        <f>"SW-RISER-PACK"</f>
        <v>SW-RISER-PACK</v>
      </c>
      <c r="M3865" s="14"/>
      <c r="N3865" s="15"/>
      <c r="O3865" s="12"/>
      <c r="P3865" s="34"/>
      <c r="Q3865" s="37"/>
      <c r="R3865" s="47"/>
      <c r="S3865" s="46"/>
    </row>
    <row r="3866" spans="1:19" ht="12" hidden="1" customHeight="1" x14ac:dyDescent="0.3">
      <c r="A3866" s="35" t="s">
        <v>908</v>
      </c>
      <c r="B3866" s="49" t="str">
        <f>B3862</f>
        <v>hide</v>
      </c>
      <c r="N3866"/>
      <c r="Q3866" s="33"/>
    </row>
    <row r="3867" spans="1:19" ht="13.8" hidden="1" thickBot="1" x14ac:dyDescent="0.3">
      <c r="A3867" t="s">
        <v>23</v>
      </c>
      <c r="B3867" s="49" t="str">
        <f t="shared" ref="B3867" si="2769">B3866</f>
        <v>hide</v>
      </c>
      <c r="D3867" s="58"/>
      <c r="E3867" s="58"/>
      <c r="F3867" s="52">
        <f>SUM(F3862:F3866)</f>
        <v>0</v>
      </c>
      <c r="G3867" s="52">
        <f>SUM(G3862:G3866)</f>
        <v>0</v>
      </c>
      <c r="H3867" s="52">
        <f>SUM(H3862:H3866)</f>
        <v>0</v>
      </c>
      <c r="I3867" s="52">
        <f>SUM(I3862:I3866)</f>
        <v>0</v>
      </c>
      <c r="J3867" s="52">
        <f>SUM(J3862:J3866)</f>
        <v>0</v>
      </c>
      <c r="K3867" s="52"/>
      <c r="L3867" s="51" t="s">
        <v>4</v>
      </c>
      <c r="M3867" s="58"/>
      <c r="N3867" s="58"/>
      <c r="O3867" s="58"/>
      <c r="P3867" s="58"/>
      <c r="Q3867" s="58"/>
      <c r="R3867" s="58"/>
      <c r="S3867" s="58"/>
    </row>
    <row r="3868" spans="1:19" s="59" customFormat="1" ht="18.75" hidden="1" customHeight="1" thickBot="1" x14ac:dyDescent="0.3">
      <c r="A3868" s="59" t="s">
        <v>23</v>
      </c>
      <c r="B3868" s="60" t="str">
        <f t="shared" ref="B3868:B3869" si="2770">IF(K3868=0,"hide","")</f>
        <v>hide</v>
      </c>
      <c r="D3868" s="61" t="str">
        <f>"51436"</f>
        <v>51436</v>
      </c>
      <c r="E3868" s="62" t="str">
        <f>"2"</f>
        <v>2</v>
      </c>
      <c r="F3868" s="63">
        <v>0</v>
      </c>
      <c r="G3868" s="63">
        <v>0</v>
      </c>
      <c r="H3868" s="63">
        <v>0</v>
      </c>
      <c r="I3868" s="63">
        <v>0</v>
      </c>
      <c r="J3868" s="63">
        <v>0</v>
      </c>
      <c r="K3868" s="63">
        <f>AVERAGE(I3868:J3868)</f>
        <v>0</v>
      </c>
      <c r="L3868" s="64" t="str">
        <f>"COFFEE CAKE MINI LOAF"</f>
        <v>COFFEE CAKE MINI LOAF</v>
      </c>
      <c r="M3868" s="65" t="str">
        <f>"72/2 oz. I.W."</f>
        <v>72/2 oz. I.W.</v>
      </c>
      <c r="N3868" s="66">
        <v>72</v>
      </c>
      <c r="O3868" s="67" t="str">
        <f>""</f>
        <v/>
      </c>
      <c r="P3868" s="68" t="e">
        <f>1/O3868</f>
        <v>#VALUE!</v>
      </c>
      <c r="Q3868" s="53">
        <v>1</v>
      </c>
      <c r="R3868" s="69">
        <f t="shared" ref="R3868" si="2771">1/Q3868</f>
        <v>1</v>
      </c>
      <c r="S3868" s="70">
        <f t="shared" ref="S3868" si="2772">R3868*N3868</f>
        <v>72</v>
      </c>
    </row>
    <row r="3869" spans="1:19" ht="15.6" hidden="1" customHeight="1" thickBot="1" x14ac:dyDescent="0.3">
      <c r="A3869" t="s">
        <v>23</v>
      </c>
      <c r="B3869" s="60" t="str">
        <f t="shared" si="2770"/>
        <v>hide</v>
      </c>
      <c r="D3869" s="48" t="str">
        <f>D3868</f>
        <v>51436</v>
      </c>
      <c r="E3869" s="7"/>
      <c r="F3869" s="27">
        <v>0</v>
      </c>
      <c r="G3869" s="27">
        <v>0</v>
      </c>
      <c r="H3869" s="27">
        <v>0</v>
      </c>
      <c r="I3869" s="27">
        <v>0</v>
      </c>
      <c r="J3869" s="27">
        <v>0</v>
      </c>
      <c r="K3869" s="63">
        <f>AVERAGE(I3869:J3869)</f>
        <v>0</v>
      </c>
      <c r="L3869" s="56" t="str">
        <f>"EQP-LAWPACK1"</f>
        <v>EQP-LAWPACK1</v>
      </c>
      <c r="M3869" s="14"/>
      <c r="N3869" s="15"/>
      <c r="O3869" s="12"/>
      <c r="P3869" s="34"/>
      <c r="Q3869" s="37"/>
      <c r="R3869" s="47"/>
      <c r="S3869" s="46"/>
    </row>
    <row r="3870" spans="1:19" ht="15.6" hidden="1" customHeight="1" thickBot="1" x14ac:dyDescent="0.3">
      <c r="A3870" t="s">
        <v>23</v>
      </c>
      <c r="B3870" s="60" t="str">
        <f t="shared" ref="B3870:B3872" si="2773">IF(K3870=0,"hide","")</f>
        <v>hide</v>
      </c>
      <c r="D3870" s="48" t="str">
        <f>D3869</f>
        <v>51436</v>
      </c>
      <c r="E3870" s="7"/>
      <c r="F3870" s="27">
        <v>0</v>
      </c>
      <c r="G3870" s="27">
        <v>0</v>
      </c>
      <c r="H3870" s="27">
        <v>0</v>
      </c>
      <c r="I3870" s="27">
        <v>0</v>
      </c>
      <c r="J3870" s="27">
        <v>0</v>
      </c>
      <c r="K3870" s="63">
        <f>AVERAGE(I3870:J3870)</f>
        <v>0</v>
      </c>
      <c r="L3870" s="56" t="str">
        <f>"EQP-LAWPACK2"</f>
        <v>EQP-LAWPACK2</v>
      </c>
      <c r="M3870" s="14"/>
      <c r="N3870" s="15"/>
      <c r="O3870" s="12"/>
      <c r="P3870" s="34"/>
      <c r="Q3870" s="37"/>
      <c r="R3870" s="47"/>
      <c r="S3870" s="46"/>
    </row>
    <row r="3871" spans="1:19" ht="15.6" hidden="1" customHeight="1" thickBot="1" x14ac:dyDescent="0.3">
      <c r="A3871" t="s">
        <v>23</v>
      </c>
      <c r="B3871" s="60" t="str">
        <f t="shared" si="2773"/>
        <v>hide</v>
      </c>
      <c r="D3871" s="48" t="str">
        <f>D3870</f>
        <v>51436</v>
      </c>
      <c r="E3871" s="7"/>
      <c r="F3871" s="27">
        <v>0</v>
      </c>
      <c r="G3871" s="27">
        <v>0</v>
      </c>
      <c r="H3871" s="27">
        <v>0</v>
      </c>
      <c r="I3871" s="27">
        <v>0</v>
      </c>
      <c r="J3871" s="27">
        <v>0</v>
      </c>
      <c r="K3871" s="63">
        <f>AVERAGE(I3871:J3871)</f>
        <v>0</v>
      </c>
      <c r="L3871" s="56" t="str">
        <f>"SW-COMAS-PACKL"</f>
        <v>SW-COMAS-PACKL</v>
      </c>
      <c r="M3871" s="14"/>
      <c r="N3871" s="15"/>
      <c r="O3871" s="12"/>
      <c r="P3871" s="34"/>
      <c r="Q3871" s="37"/>
      <c r="R3871" s="47"/>
      <c r="S3871" s="46"/>
    </row>
    <row r="3872" spans="1:19" ht="15.6" hidden="1" customHeight="1" thickBot="1" x14ac:dyDescent="0.3">
      <c r="A3872" t="s">
        <v>23</v>
      </c>
      <c r="B3872" s="60" t="str">
        <f t="shared" si="2773"/>
        <v>hide</v>
      </c>
      <c r="D3872" s="48" t="str">
        <f>D3871</f>
        <v>51436</v>
      </c>
      <c r="E3872" s="7"/>
      <c r="F3872" s="27">
        <v>0</v>
      </c>
      <c r="G3872" s="27">
        <v>0</v>
      </c>
      <c r="H3872" s="27">
        <v>0</v>
      </c>
      <c r="I3872" s="27">
        <v>0</v>
      </c>
      <c r="J3872" s="27">
        <v>0</v>
      </c>
      <c r="K3872" s="63">
        <f>AVERAGE(I3872:J3872)</f>
        <v>0</v>
      </c>
      <c r="L3872" s="56" t="str">
        <f>"SW-RISER-PACK"</f>
        <v>SW-RISER-PACK</v>
      </c>
      <c r="M3872" s="14"/>
      <c r="N3872" s="15"/>
      <c r="O3872" s="12"/>
      <c r="P3872" s="34"/>
      <c r="Q3872" s="37"/>
      <c r="R3872" s="47"/>
      <c r="S3872" s="46"/>
    </row>
    <row r="3873" spans="1:19" ht="12" hidden="1" customHeight="1" x14ac:dyDescent="0.3">
      <c r="A3873" s="35" t="s">
        <v>908</v>
      </c>
      <c r="B3873" s="49" t="str">
        <f>B3869</f>
        <v>hide</v>
      </c>
      <c r="N3873"/>
      <c r="Q3873" s="33"/>
    </row>
    <row r="3874" spans="1:19" ht="13.8" hidden="1" thickBot="1" x14ac:dyDescent="0.3">
      <c r="A3874" t="s">
        <v>23</v>
      </c>
      <c r="B3874" s="49" t="str">
        <f t="shared" ref="B3874" si="2774">B3873</f>
        <v>hide</v>
      </c>
      <c r="D3874" s="58"/>
      <c r="E3874" s="58"/>
      <c r="F3874" s="52">
        <f>SUM(F3869:F3873)</f>
        <v>0</v>
      </c>
      <c r="G3874" s="52">
        <f>SUM(G3869:G3873)</f>
        <v>0</v>
      </c>
      <c r="H3874" s="52">
        <f>SUM(H3869:H3873)</f>
        <v>0</v>
      </c>
      <c r="I3874" s="52">
        <f>SUM(I3869:I3873)</f>
        <v>0</v>
      </c>
      <c r="J3874" s="52">
        <f>SUM(J3869:J3873)</f>
        <v>0</v>
      </c>
      <c r="K3874" s="52"/>
      <c r="L3874" s="51" t="s">
        <v>4</v>
      </c>
      <c r="M3874" s="58"/>
      <c r="N3874" s="58"/>
      <c r="O3874" s="58"/>
      <c r="P3874" s="58"/>
      <c r="Q3874" s="58"/>
      <c r="R3874" s="58"/>
      <c r="S3874" s="58"/>
    </row>
    <row r="3875" spans="1:19" s="59" customFormat="1" ht="18.75" customHeight="1" thickBot="1" x14ac:dyDescent="0.3">
      <c r="A3875" s="59" t="s">
        <v>23</v>
      </c>
      <c r="B3875" s="60" t="str">
        <f t="shared" ref="B3875:B3876" si="2775">IF(K3875=0,"hide","")</f>
        <v/>
      </c>
      <c r="D3875" s="61" t="str">
        <f>"51451"</f>
        <v>51451</v>
      </c>
      <c r="E3875" s="62" t="str">
        <f>"2"</f>
        <v>2</v>
      </c>
      <c r="F3875" s="63">
        <v>94.25</v>
      </c>
      <c r="G3875" s="63">
        <v>166.66666666666666</v>
      </c>
      <c r="H3875" s="63">
        <v>146.91666666666669</v>
      </c>
      <c r="I3875" s="63">
        <v>43.833333333333336</v>
      </c>
      <c r="J3875" s="63">
        <v>0</v>
      </c>
      <c r="K3875" s="63">
        <f>AVERAGE(I3875:J3875)</f>
        <v>21.916666666666668</v>
      </c>
      <c r="L3875" s="64" t="str">
        <f>"BANANA SNACK'N LOAF"</f>
        <v>BANANA SNACK'N LOAF</v>
      </c>
      <c r="M3875" s="65" t="str">
        <f>"72-2 oz. IW"</f>
        <v>72-2 oz. IW</v>
      </c>
      <c r="N3875" s="66">
        <v>72</v>
      </c>
      <c r="O3875" s="67">
        <v>1E-3</v>
      </c>
      <c r="P3875" s="68">
        <f>1/O3875</f>
        <v>1000</v>
      </c>
      <c r="Q3875" s="53">
        <v>2.2000000000000001E-3</v>
      </c>
      <c r="R3875" s="69">
        <f t="shared" ref="R3875" si="2776">1/Q3875</f>
        <v>454.5454545454545</v>
      </c>
      <c r="S3875" s="70">
        <f t="shared" ref="S3875" si="2777">R3875*N3875</f>
        <v>32727.272727272724</v>
      </c>
    </row>
    <row r="3876" spans="1:19" ht="15.6" hidden="1" customHeight="1" thickBot="1" x14ac:dyDescent="0.3">
      <c r="A3876" t="s">
        <v>23</v>
      </c>
      <c r="B3876" s="60" t="str">
        <f t="shared" si="2775"/>
        <v>hide</v>
      </c>
      <c r="D3876" s="48" t="str">
        <f>D3875</f>
        <v>51451</v>
      </c>
      <c r="E3876" s="7"/>
      <c r="F3876" s="27">
        <v>0</v>
      </c>
      <c r="G3876" s="27">
        <v>0</v>
      </c>
      <c r="H3876" s="27">
        <v>0</v>
      </c>
      <c r="I3876" s="27">
        <v>0</v>
      </c>
      <c r="J3876" s="27">
        <v>0</v>
      </c>
      <c r="K3876" s="63">
        <f>AVERAGE(I3876:J3876)</f>
        <v>0</v>
      </c>
      <c r="L3876" s="56" t="str">
        <f>"EQP-LAWPACK1"</f>
        <v>EQP-LAWPACK1</v>
      </c>
      <c r="M3876" s="14"/>
      <c r="N3876" s="15"/>
      <c r="O3876" s="12"/>
      <c r="P3876" s="34"/>
      <c r="Q3876" s="37"/>
      <c r="R3876" s="47"/>
      <c r="S3876" s="46"/>
    </row>
    <row r="3877" spans="1:19" ht="15.6" hidden="1" customHeight="1" thickBot="1" x14ac:dyDescent="0.3">
      <c r="A3877" t="s">
        <v>23</v>
      </c>
      <c r="B3877" s="60" t="str">
        <f t="shared" ref="B3877:B3879" si="2778">IF(K3877=0,"hide","")</f>
        <v>hide</v>
      </c>
      <c r="D3877" s="48" t="str">
        <f>D3876</f>
        <v>51451</v>
      </c>
      <c r="E3877" s="7"/>
      <c r="F3877" s="27">
        <v>0</v>
      </c>
      <c r="G3877" s="27">
        <v>0</v>
      </c>
      <c r="H3877" s="27">
        <v>0</v>
      </c>
      <c r="I3877" s="27">
        <v>0</v>
      </c>
      <c r="J3877" s="27">
        <v>0</v>
      </c>
      <c r="K3877" s="63">
        <f>AVERAGE(I3877:J3877)</f>
        <v>0</v>
      </c>
      <c r="L3877" s="56" t="str">
        <f>"EQP-LAWPACK2"</f>
        <v>EQP-LAWPACK2</v>
      </c>
      <c r="M3877" s="14"/>
      <c r="N3877" s="15"/>
      <c r="O3877" s="12"/>
      <c r="P3877" s="34"/>
      <c r="Q3877" s="37"/>
      <c r="R3877" s="47"/>
      <c r="S3877" s="46"/>
    </row>
    <row r="3878" spans="1:19" ht="15.6" hidden="1" customHeight="1" thickBot="1" x14ac:dyDescent="0.3">
      <c r="A3878" t="s">
        <v>23</v>
      </c>
      <c r="B3878" s="60" t="str">
        <f t="shared" si="2778"/>
        <v>hide</v>
      </c>
      <c r="D3878" s="48" t="str">
        <f>D3877</f>
        <v>51451</v>
      </c>
      <c r="E3878" s="7"/>
      <c r="F3878" s="27">
        <v>0</v>
      </c>
      <c r="G3878" s="27">
        <v>0</v>
      </c>
      <c r="H3878" s="27">
        <v>0</v>
      </c>
      <c r="I3878" s="27">
        <v>0</v>
      </c>
      <c r="J3878" s="27">
        <v>0</v>
      </c>
      <c r="K3878" s="63">
        <f>AVERAGE(I3878:J3878)</f>
        <v>0</v>
      </c>
      <c r="L3878" s="56" t="str">
        <f>"SW-COMAS-PACKL"</f>
        <v>SW-COMAS-PACKL</v>
      </c>
      <c r="M3878" s="14"/>
      <c r="N3878" s="15"/>
      <c r="O3878" s="12"/>
      <c r="P3878" s="34"/>
      <c r="Q3878" s="37"/>
      <c r="R3878" s="47"/>
      <c r="S3878" s="46"/>
    </row>
    <row r="3879" spans="1:19" ht="15.6" hidden="1" customHeight="1" thickBot="1" x14ac:dyDescent="0.3">
      <c r="A3879" t="s">
        <v>23</v>
      </c>
      <c r="B3879" s="60" t="str">
        <f t="shared" si="2778"/>
        <v>hide</v>
      </c>
      <c r="D3879" s="48" t="str">
        <f>D3878</f>
        <v>51451</v>
      </c>
      <c r="E3879" s="7"/>
      <c r="F3879" s="27">
        <v>0</v>
      </c>
      <c r="G3879" s="27">
        <v>0</v>
      </c>
      <c r="H3879" s="27">
        <v>0</v>
      </c>
      <c r="I3879" s="27">
        <v>0</v>
      </c>
      <c r="J3879" s="27">
        <v>0</v>
      </c>
      <c r="K3879" s="63">
        <f>AVERAGE(I3879:J3879)</f>
        <v>0</v>
      </c>
      <c r="L3879" s="56" t="str">
        <f>"SW-RISER-PACK"</f>
        <v>SW-RISER-PACK</v>
      </c>
      <c r="M3879" s="14"/>
      <c r="N3879" s="15"/>
      <c r="O3879" s="12"/>
      <c r="P3879" s="34"/>
      <c r="Q3879" s="37"/>
      <c r="R3879" s="47"/>
      <c r="S3879" s="46"/>
    </row>
    <row r="3880" spans="1:19" ht="12" hidden="1" customHeight="1" x14ac:dyDescent="0.3">
      <c r="A3880" s="35" t="s">
        <v>908</v>
      </c>
      <c r="B3880" s="49" t="str">
        <f>B3876</f>
        <v>hide</v>
      </c>
      <c r="N3880"/>
      <c r="Q3880" s="33"/>
    </row>
    <row r="3881" spans="1:19" ht="13.8" hidden="1" thickBot="1" x14ac:dyDescent="0.3">
      <c r="A3881" t="s">
        <v>23</v>
      </c>
      <c r="B3881" s="49" t="str">
        <f t="shared" ref="B3881" si="2779">B3880</f>
        <v>hide</v>
      </c>
      <c r="D3881" s="58"/>
      <c r="E3881" s="58"/>
      <c r="F3881" s="52">
        <f>SUM(F3876:F3880)</f>
        <v>0</v>
      </c>
      <c r="G3881" s="52">
        <f>SUM(G3876:G3880)</f>
        <v>0</v>
      </c>
      <c r="H3881" s="52">
        <f>SUM(H3876:H3880)</f>
        <v>0</v>
      </c>
      <c r="I3881" s="52">
        <f>SUM(I3876:I3880)</f>
        <v>0</v>
      </c>
      <c r="J3881" s="52">
        <f>SUM(J3876:J3880)</f>
        <v>0</v>
      </c>
      <c r="K3881" s="52"/>
      <c r="L3881" s="51" t="s">
        <v>4</v>
      </c>
      <c r="M3881" s="58"/>
      <c r="N3881" s="58"/>
      <c r="O3881" s="58"/>
      <c r="P3881" s="58"/>
      <c r="Q3881" s="58"/>
      <c r="R3881" s="58"/>
      <c r="S3881" s="58"/>
    </row>
    <row r="3882" spans="1:19" s="59" customFormat="1" ht="18.75" hidden="1" customHeight="1" thickBot="1" x14ac:dyDescent="0.3">
      <c r="A3882" s="59" t="s">
        <v>23</v>
      </c>
      <c r="B3882" s="60" t="str">
        <f t="shared" ref="B3882:B3883" si="2780">IF(K3882=0,"hide","")</f>
        <v>hide</v>
      </c>
      <c r="D3882" s="61" t="str">
        <f>"51503"</f>
        <v>51503</v>
      </c>
      <c r="E3882" s="62" t="str">
        <f>"4"</f>
        <v>4</v>
      </c>
      <c r="F3882" s="63">
        <v>0</v>
      </c>
      <c r="G3882" s="63">
        <v>0</v>
      </c>
      <c r="H3882" s="63">
        <v>0</v>
      </c>
      <c r="I3882" s="63">
        <v>0</v>
      </c>
      <c r="J3882" s="63">
        <v>0</v>
      </c>
      <c r="K3882" s="63">
        <f>AVERAGE(I3882:J3882)</f>
        <v>0</v>
      </c>
      <c r="L3882" s="64" t="str">
        <f>"Orange Cranberry Crumb Loaf"</f>
        <v>Orange Cranberry Crumb Loaf</v>
      </c>
      <c r="M3882" s="65" t="str">
        <f>"72-2 oz. IW"</f>
        <v>72-2 oz. IW</v>
      </c>
      <c r="N3882" s="66">
        <v>72</v>
      </c>
      <c r="O3882" s="67" t="str">
        <f>""</f>
        <v/>
      </c>
      <c r="P3882" s="68" t="e">
        <f>1/O3882</f>
        <v>#VALUE!</v>
      </c>
      <c r="Q3882" s="53">
        <v>1</v>
      </c>
      <c r="R3882" s="69">
        <f t="shared" ref="R3882" si="2781">1/Q3882</f>
        <v>1</v>
      </c>
      <c r="S3882" s="70">
        <f t="shared" ref="S3882" si="2782">R3882*N3882</f>
        <v>72</v>
      </c>
    </row>
    <row r="3883" spans="1:19" ht="15.6" hidden="1" customHeight="1" thickBot="1" x14ac:dyDescent="0.3">
      <c r="A3883" t="s">
        <v>23</v>
      </c>
      <c r="B3883" s="60" t="str">
        <f t="shared" si="2780"/>
        <v>hide</v>
      </c>
      <c r="D3883" s="48" t="str">
        <f>D3882</f>
        <v>51503</v>
      </c>
      <c r="E3883" s="7"/>
      <c r="F3883" s="27">
        <v>0</v>
      </c>
      <c r="G3883" s="27">
        <v>0</v>
      </c>
      <c r="H3883" s="27">
        <v>0</v>
      </c>
      <c r="I3883" s="27">
        <v>0</v>
      </c>
      <c r="J3883" s="27">
        <v>0</v>
      </c>
      <c r="K3883" s="63">
        <f>AVERAGE(I3883:J3883)</f>
        <v>0</v>
      </c>
      <c r="L3883" s="56" t="str">
        <f>"EQP-LAWPACK1"</f>
        <v>EQP-LAWPACK1</v>
      </c>
      <c r="M3883" s="14"/>
      <c r="N3883" s="15"/>
      <c r="O3883" s="12"/>
      <c r="P3883" s="34"/>
      <c r="Q3883" s="37"/>
      <c r="R3883" s="47"/>
      <c r="S3883" s="46"/>
    </row>
    <row r="3884" spans="1:19" ht="15.6" hidden="1" customHeight="1" thickBot="1" x14ac:dyDescent="0.3">
      <c r="A3884" t="s">
        <v>23</v>
      </c>
      <c r="B3884" s="60" t="str">
        <f t="shared" ref="B3884:B3886" si="2783">IF(K3884=0,"hide","")</f>
        <v>hide</v>
      </c>
      <c r="D3884" s="48" t="str">
        <f>D3883</f>
        <v>51503</v>
      </c>
      <c r="E3884" s="7"/>
      <c r="F3884" s="27">
        <v>0</v>
      </c>
      <c r="G3884" s="27">
        <v>0</v>
      </c>
      <c r="H3884" s="27">
        <v>0</v>
      </c>
      <c r="I3884" s="27">
        <v>0</v>
      </c>
      <c r="J3884" s="27">
        <v>0</v>
      </c>
      <c r="K3884" s="63">
        <f>AVERAGE(I3884:J3884)</f>
        <v>0</v>
      </c>
      <c r="L3884" s="56" t="str">
        <f>"EQP-LAWPACK2"</f>
        <v>EQP-LAWPACK2</v>
      </c>
      <c r="M3884" s="14"/>
      <c r="N3884" s="15"/>
      <c r="O3884" s="12"/>
      <c r="P3884" s="34"/>
      <c r="Q3884" s="37"/>
      <c r="R3884" s="47"/>
      <c r="S3884" s="46"/>
    </row>
    <row r="3885" spans="1:19" ht="15.6" hidden="1" customHeight="1" thickBot="1" x14ac:dyDescent="0.3">
      <c r="A3885" t="s">
        <v>23</v>
      </c>
      <c r="B3885" s="60" t="str">
        <f t="shared" si="2783"/>
        <v>hide</v>
      </c>
      <c r="D3885" s="48" t="str">
        <f>D3884</f>
        <v>51503</v>
      </c>
      <c r="E3885" s="7"/>
      <c r="F3885" s="27">
        <v>0</v>
      </c>
      <c r="G3885" s="27">
        <v>0</v>
      </c>
      <c r="H3885" s="27">
        <v>0</v>
      </c>
      <c r="I3885" s="27">
        <v>0</v>
      </c>
      <c r="J3885" s="27">
        <v>0</v>
      </c>
      <c r="K3885" s="63">
        <f>AVERAGE(I3885:J3885)</f>
        <v>0</v>
      </c>
      <c r="L3885" s="56" t="str">
        <f>"SW-COMAS-PACKL"</f>
        <v>SW-COMAS-PACKL</v>
      </c>
      <c r="M3885" s="14"/>
      <c r="N3885" s="15"/>
      <c r="O3885" s="12"/>
      <c r="P3885" s="34"/>
      <c r="Q3885" s="37"/>
      <c r="R3885" s="47"/>
      <c r="S3885" s="46"/>
    </row>
    <row r="3886" spans="1:19" ht="15.6" hidden="1" customHeight="1" thickBot="1" x14ac:dyDescent="0.3">
      <c r="A3886" t="s">
        <v>23</v>
      </c>
      <c r="B3886" s="60" t="str">
        <f t="shared" si="2783"/>
        <v>hide</v>
      </c>
      <c r="D3886" s="48" t="str">
        <f>D3885</f>
        <v>51503</v>
      </c>
      <c r="E3886" s="7"/>
      <c r="F3886" s="27">
        <v>0</v>
      </c>
      <c r="G3886" s="27">
        <v>0</v>
      </c>
      <c r="H3886" s="27">
        <v>0</v>
      </c>
      <c r="I3886" s="27">
        <v>0</v>
      </c>
      <c r="J3886" s="27">
        <v>0</v>
      </c>
      <c r="K3886" s="63">
        <f>AVERAGE(I3886:J3886)</f>
        <v>0</v>
      </c>
      <c r="L3886" s="56" t="str">
        <f>"SW-RISER-PACK"</f>
        <v>SW-RISER-PACK</v>
      </c>
      <c r="M3886" s="14"/>
      <c r="N3886" s="15"/>
      <c r="O3886" s="12"/>
      <c r="P3886" s="34"/>
      <c r="Q3886" s="37"/>
      <c r="R3886" s="47"/>
      <c r="S3886" s="46"/>
    </row>
    <row r="3887" spans="1:19" ht="12" hidden="1" customHeight="1" x14ac:dyDescent="0.3">
      <c r="A3887" s="35" t="s">
        <v>908</v>
      </c>
      <c r="B3887" s="49" t="str">
        <f>B3883</f>
        <v>hide</v>
      </c>
      <c r="N3887"/>
      <c r="Q3887" s="33"/>
    </row>
    <row r="3888" spans="1:19" ht="13.8" hidden="1" thickBot="1" x14ac:dyDescent="0.3">
      <c r="A3888" t="s">
        <v>23</v>
      </c>
      <c r="B3888" s="49" t="str">
        <f t="shared" ref="B3888" si="2784">B3887</f>
        <v>hide</v>
      </c>
      <c r="D3888" s="58"/>
      <c r="E3888" s="58"/>
      <c r="F3888" s="52">
        <f>SUM(F3883:F3887)</f>
        <v>0</v>
      </c>
      <c r="G3888" s="52">
        <f>SUM(G3883:G3887)</f>
        <v>0</v>
      </c>
      <c r="H3888" s="52">
        <f>SUM(H3883:H3887)</f>
        <v>0</v>
      </c>
      <c r="I3888" s="52">
        <f>SUM(I3883:I3887)</f>
        <v>0</v>
      </c>
      <c r="J3888" s="52">
        <f>SUM(J3883:J3887)</f>
        <v>0</v>
      </c>
      <c r="K3888" s="52"/>
      <c r="L3888" s="51" t="s">
        <v>4</v>
      </c>
      <c r="M3888" s="58"/>
      <c r="N3888" s="58"/>
      <c r="O3888" s="58"/>
      <c r="P3888" s="58"/>
      <c r="Q3888" s="58"/>
      <c r="R3888" s="58"/>
      <c r="S3888" s="58"/>
    </row>
    <row r="3889" spans="1:19" s="59" customFormat="1" ht="18.75" customHeight="1" thickBot="1" x14ac:dyDescent="0.3">
      <c r="A3889" s="59" t="s">
        <v>23</v>
      </c>
      <c r="B3889" s="60" t="str">
        <f t="shared" ref="B3889:B3890" si="2785">IF(K3889=0,"hide","")</f>
        <v/>
      </c>
      <c r="D3889" s="61" t="str">
        <f>"51605"</f>
        <v>51605</v>
      </c>
      <c r="E3889" s="62" t="str">
        <f>"7"</f>
        <v>7</v>
      </c>
      <c r="F3889" s="63">
        <v>5241.25</v>
      </c>
      <c r="G3889" s="63">
        <v>3338.9166666666665</v>
      </c>
      <c r="H3889" s="63">
        <v>5619.833333333333</v>
      </c>
      <c r="I3889" s="63">
        <v>7462.583333333333</v>
      </c>
      <c r="J3889" s="63">
        <v>6584.0802409638554</v>
      </c>
      <c r="K3889" s="63">
        <f>AVERAGE(I3889:J3889)</f>
        <v>7023.3317871485942</v>
      </c>
      <c r="L3889" s="64" t="str">
        <f>"SmartChoice Wh GRAIN CORNBREAD"</f>
        <v>SmartChoice Wh GRAIN CORNBREAD</v>
      </c>
      <c r="M3889" s="65" t="str">
        <f>"72-2 oz. IW"</f>
        <v>72-2 oz. IW</v>
      </c>
      <c r="N3889" s="66">
        <v>72</v>
      </c>
      <c r="O3889" s="67">
        <v>4.0000000000000001E-3</v>
      </c>
      <c r="P3889" s="68">
        <f>1/O3889</f>
        <v>250</v>
      </c>
      <c r="Q3889" s="53">
        <v>4.0000000000000001E-3</v>
      </c>
      <c r="R3889" s="69">
        <f t="shared" ref="R3889" si="2786">1/Q3889</f>
        <v>250</v>
      </c>
      <c r="S3889" s="70">
        <f t="shared" ref="S3889" si="2787">R3889*N3889</f>
        <v>18000</v>
      </c>
    </row>
    <row r="3890" spans="1:19" ht="15.6" hidden="1" customHeight="1" thickBot="1" x14ac:dyDescent="0.3">
      <c r="A3890" t="s">
        <v>23</v>
      </c>
      <c r="B3890" s="60" t="str">
        <f t="shared" si="2785"/>
        <v>hide</v>
      </c>
      <c r="D3890" s="48" t="str">
        <f>D3889</f>
        <v>51605</v>
      </c>
      <c r="E3890" s="7"/>
      <c r="F3890" s="27">
        <v>-2299.52</v>
      </c>
      <c r="G3890" s="27">
        <v>-581.71416666666676</v>
      </c>
      <c r="H3890" s="27">
        <v>-650.66666666666663</v>
      </c>
      <c r="I3890" s="27">
        <v>0</v>
      </c>
      <c r="J3890" s="27">
        <v>0</v>
      </c>
      <c r="K3890" s="63">
        <f>AVERAGE(I3890:J3890)</f>
        <v>0</v>
      </c>
      <c r="L3890" s="56" t="str">
        <f>"EQP-LAWPACK1"</f>
        <v>EQP-LAWPACK1</v>
      </c>
      <c r="M3890" s="14"/>
      <c r="N3890" s="15"/>
      <c r="O3890" s="12"/>
      <c r="P3890" s="34"/>
      <c r="Q3890" s="37"/>
      <c r="R3890" s="47"/>
      <c r="S3890" s="46"/>
    </row>
    <row r="3891" spans="1:19" ht="15.6" hidden="1" customHeight="1" thickBot="1" x14ac:dyDescent="0.3">
      <c r="A3891" t="s">
        <v>23</v>
      </c>
      <c r="B3891" s="60" t="str">
        <f t="shared" ref="B3891:B3893" si="2788">IF(K3891=0,"hide","")</f>
        <v>hide</v>
      </c>
      <c r="D3891" s="48" t="str">
        <f>D3890</f>
        <v>51605</v>
      </c>
      <c r="E3891" s="7"/>
      <c r="F3891" s="27">
        <v>0</v>
      </c>
      <c r="G3891" s="27">
        <v>0</v>
      </c>
      <c r="H3891" s="27">
        <v>0</v>
      </c>
      <c r="I3891" s="27">
        <v>0</v>
      </c>
      <c r="J3891" s="27">
        <v>0</v>
      </c>
      <c r="K3891" s="63">
        <f>AVERAGE(I3891:J3891)</f>
        <v>0</v>
      </c>
      <c r="L3891" s="56" t="str">
        <f>"EQP-LAWPACK2"</f>
        <v>EQP-LAWPACK2</v>
      </c>
      <c r="M3891" s="14"/>
      <c r="N3891" s="15"/>
      <c r="O3891" s="12"/>
      <c r="P3891" s="34"/>
      <c r="Q3891" s="37"/>
      <c r="R3891" s="47"/>
      <c r="S3891" s="46"/>
    </row>
    <row r="3892" spans="1:19" ht="15.6" hidden="1" customHeight="1" thickBot="1" x14ac:dyDescent="0.3">
      <c r="A3892" t="s">
        <v>23</v>
      </c>
      <c r="B3892" s="60" t="str">
        <f t="shared" si="2788"/>
        <v>hide</v>
      </c>
      <c r="D3892" s="48" t="str">
        <f>D3891</f>
        <v>51605</v>
      </c>
      <c r="E3892" s="7"/>
      <c r="F3892" s="27">
        <v>0</v>
      </c>
      <c r="G3892" s="27">
        <v>0</v>
      </c>
      <c r="H3892" s="27">
        <v>0</v>
      </c>
      <c r="I3892" s="27">
        <v>0</v>
      </c>
      <c r="J3892" s="27">
        <v>0</v>
      </c>
      <c r="K3892" s="63">
        <f>AVERAGE(I3892:J3892)</f>
        <v>0</v>
      </c>
      <c r="L3892" s="56" t="str">
        <f>"SW-COMAS-PACKL"</f>
        <v>SW-COMAS-PACKL</v>
      </c>
      <c r="M3892" s="14"/>
      <c r="N3892" s="15"/>
      <c r="O3892" s="12"/>
      <c r="P3892" s="34"/>
      <c r="Q3892" s="37"/>
      <c r="R3892" s="47"/>
      <c r="S3892" s="46"/>
    </row>
    <row r="3893" spans="1:19" ht="15.6" hidden="1" customHeight="1" thickBot="1" x14ac:dyDescent="0.3">
      <c r="A3893" t="s">
        <v>23</v>
      </c>
      <c r="B3893" s="60" t="str">
        <f t="shared" si="2788"/>
        <v>hide</v>
      </c>
      <c r="D3893" s="48" t="str">
        <f>D3892</f>
        <v>51605</v>
      </c>
      <c r="E3893" s="7"/>
      <c r="F3893" s="27">
        <v>0</v>
      </c>
      <c r="G3893" s="27">
        <v>0</v>
      </c>
      <c r="H3893" s="27">
        <v>0</v>
      </c>
      <c r="I3893" s="27">
        <v>0</v>
      </c>
      <c r="J3893" s="27">
        <v>0</v>
      </c>
      <c r="K3893" s="63">
        <f>AVERAGE(I3893:J3893)</f>
        <v>0</v>
      </c>
      <c r="L3893" s="56" t="str">
        <f>"SW-RISER-PACK"</f>
        <v>SW-RISER-PACK</v>
      </c>
      <c r="M3893" s="14"/>
      <c r="N3893" s="15"/>
      <c r="O3893" s="12"/>
      <c r="P3893" s="34"/>
      <c r="Q3893" s="37"/>
      <c r="R3893" s="47"/>
      <c r="S3893" s="46"/>
    </row>
    <row r="3894" spans="1:19" ht="12" hidden="1" customHeight="1" x14ac:dyDescent="0.3">
      <c r="A3894" s="35" t="s">
        <v>908</v>
      </c>
      <c r="B3894" s="49" t="str">
        <f>B3890</f>
        <v>hide</v>
      </c>
      <c r="N3894"/>
      <c r="Q3894" s="33"/>
    </row>
    <row r="3895" spans="1:19" ht="13.8" hidden="1" thickBot="1" x14ac:dyDescent="0.3">
      <c r="A3895" t="s">
        <v>23</v>
      </c>
      <c r="B3895" s="49" t="str">
        <f t="shared" ref="B3895" si="2789">B3894</f>
        <v>hide</v>
      </c>
      <c r="D3895" s="58"/>
      <c r="E3895" s="58"/>
      <c r="F3895" s="52">
        <f>SUM(F3890:F3894)</f>
        <v>-2299.52</v>
      </c>
      <c r="G3895" s="52">
        <f>SUM(G3890:G3894)</f>
        <v>-581.71416666666676</v>
      </c>
      <c r="H3895" s="52">
        <f>SUM(H3890:H3894)</f>
        <v>-650.66666666666663</v>
      </c>
      <c r="I3895" s="52">
        <f>SUM(I3890:I3894)</f>
        <v>0</v>
      </c>
      <c r="J3895" s="52">
        <f>SUM(J3890:J3894)</f>
        <v>0</v>
      </c>
      <c r="K3895" s="52"/>
      <c r="L3895" s="51" t="s">
        <v>4</v>
      </c>
      <c r="M3895" s="58"/>
      <c r="N3895" s="58"/>
      <c r="O3895" s="58"/>
      <c r="P3895" s="58"/>
      <c r="Q3895" s="58"/>
      <c r="R3895" s="58"/>
      <c r="S3895" s="58"/>
    </row>
    <row r="3896" spans="1:19" s="59" customFormat="1" ht="18.75" hidden="1" customHeight="1" thickBot="1" x14ac:dyDescent="0.3">
      <c r="A3896" s="59" t="s">
        <v>23</v>
      </c>
      <c r="B3896" s="60" t="str">
        <f t="shared" ref="B3896:B3897" si="2790">IF(K3896=0,"hide","")</f>
        <v>hide</v>
      </c>
      <c r="D3896" s="61" t="str">
        <f>"51619"</f>
        <v>51619</v>
      </c>
      <c r="E3896" s="62" t="str">
        <f>"6"</f>
        <v>6</v>
      </c>
      <c r="F3896" s="63">
        <v>32.416666666666671</v>
      </c>
      <c r="G3896" s="63">
        <v>54.333333333333336</v>
      </c>
      <c r="H3896" s="63">
        <v>33.666666666666664</v>
      </c>
      <c r="I3896" s="63">
        <v>0</v>
      </c>
      <c r="J3896" s="63">
        <v>0</v>
      </c>
      <c r="K3896" s="63">
        <f>AVERAGE(I3896:J3896)</f>
        <v>0</v>
      </c>
      <c r="L3896" s="64" t="str">
        <f>"SMART CHOICE ORANGE"</f>
        <v>SMART CHOICE ORANGE</v>
      </c>
      <c r="M3896" s="65" t="str">
        <f>"72/2 oz. I.W. LOAVES"</f>
        <v>72/2 oz. I.W. LOAVES</v>
      </c>
      <c r="N3896" s="66">
        <v>72</v>
      </c>
      <c r="O3896" s="67" t="str">
        <f>""</f>
        <v/>
      </c>
      <c r="P3896" s="68" t="e">
        <f>1/O3896</f>
        <v>#VALUE!</v>
      </c>
      <c r="Q3896" s="53">
        <v>1</v>
      </c>
      <c r="R3896" s="69">
        <f t="shared" ref="R3896" si="2791">1/Q3896</f>
        <v>1</v>
      </c>
      <c r="S3896" s="70">
        <f t="shared" ref="S3896" si="2792">R3896*N3896</f>
        <v>72</v>
      </c>
    </row>
    <row r="3897" spans="1:19" ht="15.6" hidden="1" customHeight="1" thickBot="1" x14ac:dyDescent="0.3">
      <c r="A3897" t="s">
        <v>23</v>
      </c>
      <c r="B3897" s="60" t="str">
        <f t="shared" si="2790"/>
        <v>hide</v>
      </c>
      <c r="D3897" s="48" t="str">
        <f>D3896</f>
        <v>51619</v>
      </c>
      <c r="E3897" s="7"/>
      <c r="F3897" s="27">
        <v>0</v>
      </c>
      <c r="G3897" s="27">
        <v>0</v>
      </c>
      <c r="H3897" s="27">
        <v>0</v>
      </c>
      <c r="I3897" s="27">
        <v>0</v>
      </c>
      <c r="J3897" s="27">
        <v>0</v>
      </c>
      <c r="K3897" s="63">
        <f>AVERAGE(I3897:J3897)</f>
        <v>0</v>
      </c>
      <c r="L3897" s="56" t="str">
        <f>"EQP-LAWPACK1"</f>
        <v>EQP-LAWPACK1</v>
      </c>
      <c r="M3897" s="14"/>
      <c r="N3897" s="15"/>
      <c r="O3897" s="12"/>
      <c r="P3897" s="34"/>
      <c r="Q3897" s="37"/>
      <c r="R3897" s="47"/>
      <c r="S3897" s="46"/>
    </row>
    <row r="3898" spans="1:19" ht="15.6" hidden="1" customHeight="1" thickBot="1" x14ac:dyDescent="0.3">
      <c r="A3898" t="s">
        <v>23</v>
      </c>
      <c r="B3898" s="60" t="str">
        <f t="shared" ref="B3898:B3900" si="2793">IF(K3898=0,"hide","")</f>
        <v>hide</v>
      </c>
      <c r="D3898" s="48" t="str">
        <f>D3897</f>
        <v>51619</v>
      </c>
      <c r="E3898" s="7"/>
      <c r="F3898" s="27">
        <v>0</v>
      </c>
      <c r="G3898" s="27">
        <v>0</v>
      </c>
      <c r="H3898" s="27">
        <v>0</v>
      </c>
      <c r="I3898" s="27">
        <v>0</v>
      </c>
      <c r="J3898" s="27">
        <v>0</v>
      </c>
      <c r="K3898" s="63">
        <f>AVERAGE(I3898:J3898)</f>
        <v>0</v>
      </c>
      <c r="L3898" s="56" t="str">
        <f>"EQP-LAWPACK2"</f>
        <v>EQP-LAWPACK2</v>
      </c>
      <c r="M3898" s="14"/>
      <c r="N3898" s="15"/>
      <c r="O3898" s="12"/>
      <c r="P3898" s="34"/>
      <c r="Q3898" s="37"/>
      <c r="R3898" s="47"/>
      <c r="S3898" s="46"/>
    </row>
    <row r="3899" spans="1:19" ht="15.6" hidden="1" customHeight="1" thickBot="1" x14ac:dyDescent="0.3">
      <c r="A3899" t="s">
        <v>23</v>
      </c>
      <c r="B3899" s="60" t="str">
        <f t="shared" si="2793"/>
        <v>hide</v>
      </c>
      <c r="D3899" s="48" t="str">
        <f>D3898</f>
        <v>51619</v>
      </c>
      <c r="E3899" s="7"/>
      <c r="F3899" s="27">
        <v>0</v>
      </c>
      <c r="G3899" s="27">
        <v>0</v>
      </c>
      <c r="H3899" s="27">
        <v>0</v>
      </c>
      <c r="I3899" s="27">
        <v>0</v>
      </c>
      <c r="J3899" s="27">
        <v>0</v>
      </c>
      <c r="K3899" s="63">
        <f>AVERAGE(I3899:J3899)</f>
        <v>0</v>
      </c>
      <c r="L3899" s="56" t="str">
        <f>"SW-COMAS-PACKL"</f>
        <v>SW-COMAS-PACKL</v>
      </c>
      <c r="M3899" s="14"/>
      <c r="N3899" s="15"/>
      <c r="O3899" s="12"/>
      <c r="P3899" s="34"/>
      <c r="Q3899" s="37"/>
      <c r="R3899" s="47"/>
      <c r="S3899" s="46"/>
    </row>
    <row r="3900" spans="1:19" ht="15.6" hidden="1" customHeight="1" thickBot="1" x14ac:dyDescent="0.3">
      <c r="A3900" t="s">
        <v>23</v>
      </c>
      <c r="B3900" s="60" t="str">
        <f t="shared" si="2793"/>
        <v>hide</v>
      </c>
      <c r="D3900" s="48" t="str">
        <f>D3899</f>
        <v>51619</v>
      </c>
      <c r="E3900" s="7"/>
      <c r="F3900" s="27">
        <v>0</v>
      </c>
      <c r="G3900" s="27">
        <v>0</v>
      </c>
      <c r="H3900" s="27">
        <v>0</v>
      </c>
      <c r="I3900" s="27">
        <v>0</v>
      </c>
      <c r="J3900" s="27">
        <v>0</v>
      </c>
      <c r="K3900" s="63">
        <f>AVERAGE(I3900:J3900)</f>
        <v>0</v>
      </c>
      <c r="L3900" s="56" t="str">
        <f>"SW-RISER-PACK"</f>
        <v>SW-RISER-PACK</v>
      </c>
      <c r="M3900" s="14"/>
      <c r="N3900" s="15"/>
      <c r="O3900" s="12"/>
      <c r="P3900" s="34"/>
      <c r="Q3900" s="37"/>
      <c r="R3900" s="47"/>
      <c r="S3900" s="46"/>
    </row>
    <row r="3901" spans="1:19" ht="12" hidden="1" customHeight="1" x14ac:dyDescent="0.3">
      <c r="A3901" s="35" t="s">
        <v>908</v>
      </c>
      <c r="B3901" s="49" t="str">
        <f>B3897</f>
        <v>hide</v>
      </c>
      <c r="N3901"/>
      <c r="Q3901" s="33"/>
    </row>
    <row r="3902" spans="1:19" ht="13.8" hidden="1" thickBot="1" x14ac:dyDescent="0.3">
      <c r="A3902" t="s">
        <v>23</v>
      </c>
      <c r="B3902" s="49" t="str">
        <f t="shared" ref="B3902" si="2794">B3901</f>
        <v>hide</v>
      </c>
      <c r="D3902" s="58"/>
      <c r="E3902" s="58"/>
      <c r="F3902" s="52">
        <f>SUM(F3897:F3901)</f>
        <v>0</v>
      </c>
      <c r="G3902" s="52">
        <f>SUM(G3897:G3901)</f>
        <v>0</v>
      </c>
      <c r="H3902" s="52">
        <f>SUM(H3897:H3901)</f>
        <v>0</v>
      </c>
      <c r="I3902" s="52">
        <f>SUM(I3897:I3901)</f>
        <v>0</v>
      </c>
      <c r="J3902" s="52">
        <f>SUM(J3897:J3901)</f>
        <v>0</v>
      </c>
      <c r="K3902" s="52"/>
      <c r="L3902" s="51" t="s">
        <v>4</v>
      </c>
      <c r="M3902" s="58"/>
      <c r="N3902" s="58"/>
      <c r="O3902" s="58"/>
      <c r="P3902" s="58"/>
      <c r="Q3902" s="58"/>
      <c r="R3902" s="58"/>
      <c r="S3902" s="58"/>
    </row>
    <row r="3903" spans="1:19" s="59" customFormat="1" ht="18.75" customHeight="1" thickBot="1" x14ac:dyDescent="0.3">
      <c r="A3903" s="59" t="s">
        <v>23</v>
      </c>
      <c r="B3903" s="60" t="str">
        <f t="shared" ref="B3903:B3904" si="2795">IF(K3903=0,"hide","")</f>
        <v/>
      </c>
      <c r="D3903" s="61" t="str">
        <f>"51625"</f>
        <v>51625</v>
      </c>
      <c r="E3903" s="62" t="str">
        <f>"4"</f>
        <v>4</v>
      </c>
      <c r="F3903" s="63">
        <v>106.41666666666667</v>
      </c>
      <c r="G3903" s="63">
        <v>24.75</v>
      </c>
      <c r="H3903" s="63">
        <v>9.6666666666666661</v>
      </c>
      <c r="I3903" s="63">
        <v>102.91666666666667</v>
      </c>
      <c r="J3903" s="63">
        <v>16.366265060240966</v>
      </c>
      <c r="K3903" s="63">
        <f>AVERAGE(I3903:J3903)</f>
        <v>59.641465863453817</v>
      </c>
      <c r="L3903" s="64" t="str">
        <f>"WG Jalapeno Cornbread"</f>
        <v>WG Jalapeno Cornbread</v>
      </c>
      <c r="M3903" s="65" t="str">
        <f>"72-2oz. IW"</f>
        <v>72-2oz. IW</v>
      </c>
      <c r="N3903" s="66">
        <v>72</v>
      </c>
      <c r="O3903" s="67">
        <v>1E-3</v>
      </c>
      <c r="P3903" s="68">
        <f>1/O3903</f>
        <v>1000</v>
      </c>
      <c r="Q3903" s="53">
        <v>2E-3</v>
      </c>
      <c r="R3903" s="69">
        <f t="shared" ref="R3903" si="2796">1/Q3903</f>
        <v>500</v>
      </c>
      <c r="S3903" s="70">
        <f t="shared" ref="S3903" si="2797">R3903*N3903</f>
        <v>36000</v>
      </c>
    </row>
    <row r="3904" spans="1:19" ht="15.6" hidden="1" customHeight="1" thickBot="1" x14ac:dyDescent="0.3">
      <c r="A3904" t="s">
        <v>23</v>
      </c>
      <c r="B3904" s="60" t="str">
        <f t="shared" si="2795"/>
        <v>hide</v>
      </c>
      <c r="D3904" s="48" t="str">
        <f>D3903</f>
        <v>51625</v>
      </c>
      <c r="E3904" s="7"/>
      <c r="F3904" s="27">
        <v>0</v>
      </c>
      <c r="G3904" s="27">
        <v>0</v>
      </c>
      <c r="H3904" s="27">
        <v>0</v>
      </c>
      <c r="I3904" s="27">
        <v>0</v>
      </c>
      <c r="J3904" s="27">
        <v>0</v>
      </c>
      <c r="K3904" s="63">
        <f>AVERAGE(I3904:J3904)</f>
        <v>0</v>
      </c>
      <c r="L3904" s="56" t="str">
        <f>"EQP-LAWPACK1"</f>
        <v>EQP-LAWPACK1</v>
      </c>
      <c r="M3904" s="14"/>
      <c r="N3904" s="15"/>
      <c r="O3904" s="12"/>
      <c r="P3904" s="34"/>
      <c r="Q3904" s="37"/>
      <c r="R3904" s="47"/>
      <c r="S3904" s="46"/>
    </row>
    <row r="3905" spans="1:19" ht="15.6" hidden="1" customHeight="1" thickBot="1" x14ac:dyDescent="0.3">
      <c r="A3905" t="s">
        <v>23</v>
      </c>
      <c r="B3905" s="60" t="str">
        <f t="shared" ref="B3905:B3907" si="2798">IF(K3905=0,"hide","")</f>
        <v>hide</v>
      </c>
      <c r="D3905" s="48" t="str">
        <f>D3904</f>
        <v>51625</v>
      </c>
      <c r="E3905" s="7"/>
      <c r="F3905" s="27">
        <v>0</v>
      </c>
      <c r="G3905" s="27">
        <v>0</v>
      </c>
      <c r="H3905" s="27">
        <v>0</v>
      </c>
      <c r="I3905" s="27">
        <v>0</v>
      </c>
      <c r="J3905" s="27">
        <v>0</v>
      </c>
      <c r="K3905" s="63">
        <f>AVERAGE(I3905:J3905)</f>
        <v>0</v>
      </c>
      <c r="L3905" s="56" t="str">
        <f>"EQP-LAWPACK2"</f>
        <v>EQP-LAWPACK2</v>
      </c>
      <c r="M3905" s="14"/>
      <c r="N3905" s="15"/>
      <c r="O3905" s="12"/>
      <c r="P3905" s="34"/>
      <c r="Q3905" s="37"/>
      <c r="R3905" s="47"/>
      <c r="S3905" s="46"/>
    </row>
    <row r="3906" spans="1:19" ht="15.6" hidden="1" customHeight="1" thickBot="1" x14ac:dyDescent="0.3">
      <c r="A3906" t="s">
        <v>23</v>
      </c>
      <c r="B3906" s="60" t="str">
        <f t="shared" si="2798"/>
        <v>hide</v>
      </c>
      <c r="D3906" s="48" t="str">
        <f>D3905</f>
        <v>51625</v>
      </c>
      <c r="E3906" s="7"/>
      <c r="F3906" s="27">
        <v>0</v>
      </c>
      <c r="G3906" s="27">
        <v>0</v>
      </c>
      <c r="H3906" s="27">
        <v>0</v>
      </c>
      <c r="I3906" s="27">
        <v>0</v>
      </c>
      <c r="J3906" s="27">
        <v>0</v>
      </c>
      <c r="K3906" s="63">
        <f>AVERAGE(I3906:J3906)</f>
        <v>0</v>
      </c>
      <c r="L3906" s="56" t="str">
        <f>"SW-COMAS-PACKL"</f>
        <v>SW-COMAS-PACKL</v>
      </c>
      <c r="M3906" s="14"/>
      <c r="N3906" s="15"/>
      <c r="O3906" s="12"/>
      <c r="P3906" s="34"/>
      <c r="Q3906" s="37"/>
      <c r="R3906" s="47"/>
      <c r="S3906" s="46"/>
    </row>
    <row r="3907" spans="1:19" ht="15.6" hidden="1" customHeight="1" thickBot="1" x14ac:dyDescent="0.3">
      <c r="A3907" t="s">
        <v>23</v>
      </c>
      <c r="B3907" s="60" t="str">
        <f t="shared" si="2798"/>
        <v>hide</v>
      </c>
      <c r="D3907" s="48" t="str">
        <f>D3906</f>
        <v>51625</v>
      </c>
      <c r="E3907" s="7"/>
      <c r="F3907" s="27">
        <v>0</v>
      </c>
      <c r="G3907" s="27">
        <v>0</v>
      </c>
      <c r="H3907" s="27">
        <v>0</v>
      </c>
      <c r="I3907" s="27">
        <v>0</v>
      </c>
      <c r="J3907" s="27">
        <v>0</v>
      </c>
      <c r="K3907" s="63">
        <f>AVERAGE(I3907:J3907)</f>
        <v>0</v>
      </c>
      <c r="L3907" s="56" t="str">
        <f>"SW-RISER-PACK"</f>
        <v>SW-RISER-PACK</v>
      </c>
      <c r="M3907" s="14"/>
      <c r="N3907" s="15"/>
      <c r="O3907" s="12"/>
      <c r="P3907" s="34"/>
      <c r="Q3907" s="37"/>
      <c r="R3907" s="47"/>
      <c r="S3907" s="46"/>
    </row>
    <row r="3908" spans="1:19" ht="12" hidden="1" customHeight="1" x14ac:dyDescent="0.3">
      <c r="A3908" s="35" t="s">
        <v>908</v>
      </c>
      <c r="B3908" s="49" t="str">
        <f>B3904</f>
        <v>hide</v>
      </c>
      <c r="N3908"/>
      <c r="Q3908" s="33"/>
    </row>
    <row r="3909" spans="1:19" ht="13.8" hidden="1" thickBot="1" x14ac:dyDescent="0.3">
      <c r="A3909" t="s">
        <v>23</v>
      </c>
      <c r="B3909" s="49" t="str">
        <f t="shared" ref="B3909" si="2799">B3908</f>
        <v>hide</v>
      </c>
      <c r="D3909" s="58"/>
      <c r="E3909" s="58"/>
      <c r="F3909" s="52">
        <f>SUM(F3904:F3908)</f>
        <v>0</v>
      </c>
      <c r="G3909" s="52">
        <f>SUM(G3904:G3908)</f>
        <v>0</v>
      </c>
      <c r="H3909" s="52">
        <f>SUM(H3904:H3908)</f>
        <v>0</v>
      </c>
      <c r="I3909" s="52">
        <f>SUM(I3904:I3908)</f>
        <v>0</v>
      </c>
      <c r="J3909" s="52">
        <f>SUM(J3904:J3908)</f>
        <v>0</v>
      </c>
      <c r="K3909" s="52"/>
      <c r="L3909" s="51" t="s">
        <v>4</v>
      </c>
      <c r="M3909" s="58"/>
      <c r="N3909" s="58"/>
      <c r="O3909" s="58"/>
      <c r="P3909" s="58"/>
      <c r="Q3909" s="58"/>
      <c r="R3909" s="58"/>
      <c r="S3909" s="58"/>
    </row>
    <row r="3910" spans="1:19" s="59" customFormat="1" ht="18.75" hidden="1" customHeight="1" thickBot="1" x14ac:dyDescent="0.3">
      <c r="A3910" s="59" t="s">
        <v>23</v>
      </c>
      <c r="B3910" s="60" t="str">
        <f t="shared" ref="B3910:B3911" si="2800">IF(K3910=0,"hide","")</f>
        <v>hide</v>
      </c>
      <c r="D3910" s="61" t="str">
        <f>"51644"</f>
        <v>51644</v>
      </c>
      <c r="E3910" s="62" t="str">
        <f>"2"</f>
        <v>2</v>
      </c>
      <c r="F3910" s="63">
        <v>0</v>
      </c>
      <c r="G3910" s="63">
        <v>0</v>
      </c>
      <c r="H3910" s="63">
        <v>0</v>
      </c>
      <c r="I3910" s="63">
        <v>0</v>
      </c>
      <c r="J3910" s="63">
        <v>0</v>
      </c>
      <c r="K3910" s="63">
        <f>AVERAGE(I3910:J3910)</f>
        <v>0</v>
      </c>
      <c r="L3910" s="64" t="str">
        <f>"FRUIT Loaves"</f>
        <v>FRUIT Loaves</v>
      </c>
      <c r="M3910" s="65" t="str">
        <f>"72-2 oz. IW"</f>
        <v>72-2 oz. IW</v>
      </c>
      <c r="N3910" s="66">
        <v>72</v>
      </c>
      <c r="O3910" s="67" t="str">
        <f>""</f>
        <v/>
      </c>
      <c r="P3910" s="68" t="e">
        <f>1/O3910</f>
        <v>#VALUE!</v>
      </c>
      <c r="Q3910" s="53">
        <v>1</v>
      </c>
      <c r="R3910" s="69">
        <f t="shared" ref="R3910" si="2801">1/Q3910</f>
        <v>1</v>
      </c>
      <c r="S3910" s="70">
        <f t="shared" ref="S3910" si="2802">R3910*N3910</f>
        <v>72</v>
      </c>
    </row>
    <row r="3911" spans="1:19" ht="15.6" hidden="1" customHeight="1" thickBot="1" x14ac:dyDescent="0.3">
      <c r="A3911" t="s">
        <v>23</v>
      </c>
      <c r="B3911" s="60" t="str">
        <f t="shared" si="2800"/>
        <v>hide</v>
      </c>
      <c r="D3911" s="48" t="str">
        <f>D3910</f>
        <v>51644</v>
      </c>
      <c r="E3911" s="7"/>
      <c r="F3911" s="27">
        <v>0</v>
      </c>
      <c r="G3911" s="27">
        <v>0</v>
      </c>
      <c r="H3911" s="27">
        <v>0</v>
      </c>
      <c r="I3911" s="27">
        <v>0</v>
      </c>
      <c r="J3911" s="27">
        <v>0</v>
      </c>
      <c r="K3911" s="63">
        <f>AVERAGE(I3911:J3911)</f>
        <v>0</v>
      </c>
      <c r="L3911" s="56" t="str">
        <f>"EQP-LAWPACK1"</f>
        <v>EQP-LAWPACK1</v>
      </c>
      <c r="M3911" s="14"/>
      <c r="N3911" s="15"/>
      <c r="O3911" s="12"/>
      <c r="P3911" s="34"/>
      <c r="Q3911" s="37"/>
      <c r="R3911" s="47"/>
      <c r="S3911" s="46"/>
    </row>
    <row r="3912" spans="1:19" ht="15.6" hidden="1" customHeight="1" thickBot="1" x14ac:dyDescent="0.3">
      <c r="A3912" t="s">
        <v>23</v>
      </c>
      <c r="B3912" s="60" t="str">
        <f t="shared" ref="B3912:B3914" si="2803">IF(K3912=0,"hide","")</f>
        <v>hide</v>
      </c>
      <c r="D3912" s="48" t="str">
        <f>D3911</f>
        <v>51644</v>
      </c>
      <c r="E3912" s="7"/>
      <c r="F3912" s="27">
        <v>0</v>
      </c>
      <c r="G3912" s="27">
        <v>0</v>
      </c>
      <c r="H3912" s="27">
        <v>0</v>
      </c>
      <c r="I3912" s="27">
        <v>0</v>
      </c>
      <c r="J3912" s="27">
        <v>0</v>
      </c>
      <c r="K3912" s="63">
        <f>AVERAGE(I3912:J3912)</f>
        <v>0</v>
      </c>
      <c r="L3912" s="56" t="str">
        <f>"EQP-LAWPACK2"</f>
        <v>EQP-LAWPACK2</v>
      </c>
      <c r="M3912" s="14"/>
      <c r="N3912" s="15"/>
      <c r="O3912" s="12"/>
      <c r="P3912" s="34"/>
      <c r="Q3912" s="37"/>
      <c r="R3912" s="47"/>
      <c r="S3912" s="46"/>
    </row>
    <row r="3913" spans="1:19" ht="15.6" hidden="1" customHeight="1" thickBot="1" x14ac:dyDescent="0.3">
      <c r="A3913" t="s">
        <v>23</v>
      </c>
      <c r="B3913" s="60" t="str">
        <f t="shared" si="2803"/>
        <v>hide</v>
      </c>
      <c r="D3913" s="48" t="str">
        <f>D3912</f>
        <v>51644</v>
      </c>
      <c r="E3913" s="7"/>
      <c r="F3913" s="27">
        <v>0</v>
      </c>
      <c r="G3913" s="27">
        <v>0</v>
      </c>
      <c r="H3913" s="27">
        <v>0</v>
      </c>
      <c r="I3913" s="27">
        <v>0</v>
      </c>
      <c r="J3913" s="27">
        <v>0</v>
      </c>
      <c r="K3913" s="63">
        <f>AVERAGE(I3913:J3913)</f>
        <v>0</v>
      </c>
      <c r="L3913" s="56" t="str">
        <f>"SW-COMAS-PACKL"</f>
        <v>SW-COMAS-PACKL</v>
      </c>
      <c r="M3913" s="14"/>
      <c r="N3913" s="15"/>
      <c r="O3913" s="12"/>
      <c r="P3913" s="34"/>
      <c r="Q3913" s="37"/>
      <c r="R3913" s="47"/>
      <c r="S3913" s="46"/>
    </row>
    <row r="3914" spans="1:19" ht="15.6" hidden="1" customHeight="1" thickBot="1" x14ac:dyDescent="0.3">
      <c r="A3914" t="s">
        <v>23</v>
      </c>
      <c r="B3914" s="60" t="str">
        <f t="shared" si="2803"/>
        <v>hide</v>
      </c>
      <c r="D3914" s="48" t="str">
        <f>D3913</f>
        <v>51644</v>
      </c>
      <c r="E3914" s="7"/>
      <c r="F3914" s="27">
        <v>0</v>
      </c>
      <c r="G3914" s="27">
        <v>0</v>
      </c>
      <c r="H3914" s="27">
        <v>0</v>
      </c>
      <c r="I3914" s="27">
        <v>0</v>
      </c>
      <c r="J3914" s="27">
        <v>0</v>
      </c>
      <c r="K3914" s="63">
        <f>AVERAGE(I3914:J3914)</f>
        <v>0</v>
      </c>
      <c r="L3914" s="56" t="str">
        <f>"SW-RISER-PACK"</f>
        <v>SW-RISER-PACK</v>
      </c>
      <c r="M3914" s="14"/>
      <c r="N3914" s="15"/>
      <c r="O3914" s="12"/>
      <c r="P3914" s="34"/>
      <c r="Q3914" s="37"/>
      <c r="R3914" s="47"/>
      <c r="S3914" s="46"/>
    </row>
    <row r="3915" spans="1:19" ht="12" hidden="1" customHeight="1" x14ac:dyDescent="0.3">
      <c r="A3915" s="35" t="s">
        <v>908</v>
      </c>
      <c r="B3915" s="49" t="str">
        <f>B3911</f>
        <v>hide</v>
      </c>
      <c r="N3915"/>
      <c r="Q3915" s="33"/>
    </row>
    <row r="3916" spans="1:19" ht="13.8" hidden="1" thickBot="1" x14ac:dyDescent="0.3">
      <c r="A3916" t="s">
        <v>23</v>
      </c>
      <c r="B3916" s="49" t="str">
        <f t="shared" ref="B3916" si="2804">B3915</f>
        <v>hide</v>
      </c>
      <c r="D3916" s="58"/>
      <c r="E3916" s="58"/>
      <c r="F3916" s="52">
        <f>SUM(F3911:F3915)</f>
        <v>0</v>
      </c>
      <c r="G3916" s="52">
        <f>SUM(G3911:G3915)</f>
        <v>0</v>
      </c>
      <c r="H3916" s="52">
        <f>SUM(H3911:H3915)</f>
        <v>0</v>
      </c>
      <c r="I3916" s="52">
        <f>SUM(I3911:I3915)</f>
        <v>0</v>
      </c>
      <c r="J3916" s="52">
        <f>SUM(J3911:J3915)</f>
        <v>0</v>
      </c>
      <c r="K3916" s="52"/>
      <c r="L3916" s="51" t="s">
        <v>4</v>
      </c>
      <c r="M3916" s="58"/>
      <c r="N3916" s="58"/>
      <c r="O3916" s="58"/>
      <c r="P3916" s="58"/>
      <c r="Q3916" s="58"/>
      <c r="R3916" s="58"/>
      <c r="S3916" s="58"/>
    </row>
    <row r="3917" spans="1:19" s="59" customFormat="1" ht="18.75" customHeight="1" thickBot="1" x14ac:dyDescent="0.3">
      <c r="A3917" s="59" t="s">
        <v>23</v>
      </c>
      <c r="B3917" s="60" t="str">
        <f t="shared" ref="B3917:B3918" si="2805">IF(K3917=0,"hide","")</f>
        <v/>
      </c>
      <c r="D3917" s="61" t="str">
        <f>"51661"</f>
        <v>51661</v>
      </c>
      <c r="E3917" s="62" t="str">
        <f>"7"</f>
        <v>7</v>
      </c>
      <c r="F3917" s="63">
        <v>698.91666666666663</v>
      </c>
      <c r="G3917" s="63">
        <v>861.91666666666663</v>
      </c>
      <c r="H3917" s="63">
        <v>1215.5833333333333</v>
      </c>
      <c r="I3917" s="63">
        <v>1055.9166666666667</v>
      </c>
      <c r="J3917" s="63">
        <v>726.25301204819277</v>
      </c>
      <c r="K3917" s="63">
        <f>AVERAGE(I3917:J3917)</f>
        <v>891.0848393574297</v>
      </c>
      <c r="L3917" s="64" t="str">
        <f>"SMART CHOICE BLUEBERRY"</f>
        <v>SMART CHOICE BLUEBERRY</v>
      </c>
      <c r="M3917" s="65" t="str">
        <f>"72/2 oz. I.W. LOAVES"</f>
        <v>72/2 oz. I.W. LOAVES</v>
      </c>
      <c r="N3917" s="66">
        <v>72</v>
      </c>
      <c r="O3917" s="67">
        <v>1E-3</v>
      </c>
      <c r="P3917" s="68">
        <f>1/O3917</f>
        <v>1000</v>
      </c>
      <c r="Q3917" s="53">
        <v>2.2699999999999999E-3</v>
      </c>
      <c r="R3917" s="69">
        <f t="shared" ref="R3917" si="2806">1/Q3917</f>
        <v>440.52863436123351</v>
      </c>
      <c r="S3917" s="70">
        <f t="shared" ref="S3917" si="2807">R3917*N3917</f>
        <v>31718.061674008812</v>
      </c>
    </row>
    <row r="3918" spans="1:19" ht="15.6" hidden="1" customHeight="1" thickBot="1" x14ac:dyDescent="0.3">
      <c r="A3918" t="s">
        <v>23</v>
      </c>
      <c r="B3918" s="60" t="str">
        <f t="shared" si="2805"/>
        <v>hide</v>
      </c>
      <c r="D3918" s="48" t="str">
        <f>D3917</f>
        <v>51661</v>
      </c>
      <c r="E3918" s="7"/>
      <c r="F3918" s="27">
        <v>0</v>
      </c>
      <c r="G3918" s="27">
        <v>0</v>
      </c>
      <c r="H3918" s="27">
        <v>0</v>
      </c>
      <c r="I3918" s="27">
        <v>0</v>
      </c>
      <c r="J3918" s="27">
        <v>0</v>
      </c>
      <c r="K3918" s="63">
        <f>AVERAGE(I3918:J3918)</f>
        <v>0</v>
      </c>
      <c r="L3918" s="56" t="str">
        <f>"EQP-LAWPACK1"</f>
        <v>EQP-LAWPACK1</v>
      </c>
      <c r="M3918" s="14"/>
      <c r="N3918" s="15"/>
      <c r="O3918" s="12"/>
      <c r="P3918" s="34"/>
      <c r="Q3918" s="37"/>
      <c r="R3918" s="47"/>
      <c r="S3918" s="46"/>
    </row>
    <row r="3919" spans="1:19" ht="15.6" hidden="1" customHeight="1" thickBot="1" x14ac:dyDescent="0.3">
      <c r="A3919" t="s">
        <v>23</v>
      </c>
      <c r="B3919" s="60" t="str">
        <f t="shared" ref="B3919:B3921" si="2808">IF(K3919=0,"hide","")</f>
        <v>hide</v>
      </c>
      <c r="D3919" s="48" t="str">
        <f>D3918</f>
        <v>51661</v>
      </c>
      <c r="E3919" s="7"/>
      <c r="F3919" s="27">
        <v>0</v>
      </c>
      <c r="G3919" s="27">
        <v>0</v>
      </c>
      <c r="H3919" s="27">
        <v>0</v>
      </c>
      <c r="I3919" s="27">
        <v>0</v>
      </c>
      <c r="J3919" s="27">
        <v>0</v>
      </c>
      <c r="K3919" s="63">
        <f>AVERAGE(I3919:J3919)</f>
        <v>0</v>
      </c>
      <c r="L3919" s="56" t="str">
        <f>"EQP-LAWPACK2"</f>
        <v>EQP-LAWPACK2</v>
      </c>
      <c r="M3919" s="14"/>
      <c r="N3919" s="15"/>
      <c r="O3919" s="12"/>
      <c r="P3919" s="34"/>
      <c r="Q3919" s="37"/>
      <c r="R3919" s="47"/>
      <c r="S3919" s="46"/>
    </row>
    <row r="3920" spans="1:19" ht="15.6" hidden="1" customHeight="1" thickBot="1" x14ac:dyDescent="0.3">
      <c r="A3920" t="s">
        <v>23</v>
      </c>
      <c r="B3920" s="60" t="str">
        <f t="shared" si="2808"/>
        <v>hide</v>
      </c>
      <c r="D3920" s="48" t="str">
        <f>D3919</f>
        <v>51661</v>
      </c>
      <c r="E3920" s="7"/>
      <c r="F3920" s="27">
        <v>0</v>
      </c>
      <c r="G3920" s="27">
        <v>0</v>
      </c>
      <c r="H3920" s="27">
        <v>0</v>
      </c>
      <c r="I3920" s="27">
        <v>0</v>
      </c>
      <c r="J3920" s="27">
        <v>0</v>
      </c>
      <c r="K3920" s="63">
        <f>AVERAGE(I3920:J3920)</f>
        <v>0</v>
      </c>
      <c r="L3920" s="56" t="str">
        <f>"SW-COMAS-PACKL"</f>
        <v>SW-COMAS-PACKL</v>
      </c>
      <c r="M3920" s="14"/>
      <c r="N3920" s="15"/>
      <c r="O3920" s="12"/>
      <c r="P3920" s="34"/>
      <c r="Q3920" s="37"/>
      <c r="R3920" s="47"/>
      <c r="S3920" s="46"/>
    </row>
    <row r="3921" spans="1:19" ht="15.6" hidden="1" customHeight="1" thickBot="1" x14ac:dyDescent="0.3">
      <c r="A3921" t="s">
        <v>23</v>
      </c>
      <c r="B3921" s="60" t="str">
        <f t="shared" si="2808"/>
        <v>hide</v>
      </c>
      <c r="D3921" s="48" t="str">
        <f>D3920</f>
        <v>51661</v>
      </c>
      <c r="E3921" s="7"/>
      <c r="F3921" s="27">
        <v>0</v>
      </c>
      <c r="G3921" s="27">
        <v>0</v>
      </c>
      <c r="H3921" s="27">
        <v>0</v>
      </c>
      <c r="I3921" s="27">
        <v>0</v>
      </c>
      <c r="J3921" s="27">
        <v>0</v>
      </c>
      <c r="K3921" s="63">
        <f>AVERAGE(I3921:J3921)</f>
        <v>0</v>
      </c>
      <c r="L3921" s="56" t="str">
        <f>"SW-RISER-PACK"</f>
        <v>SW-RISER-PACK</v>
      </c>
      <c r="M3921" s="14"/>
      <c r="N3921" s="15"/>
      <c r="O3921" s="12"/>
      <c r="P3921" s="34"/>
      <c r="Q3921" s="37"/>
      <c r="R3921" s="47"/>
      <c r="S3921" s="46"/>
    </row>
    <row r="3922" spans="1:19" ht="12" hidden="1" customHeight="1" x14ac:dyDescent="0.3">
      <c r="A3922" s="35" t="s">
        <v>908</v>
      </c>
      <c r="B3922" s="49" t="str">
        <f>B3918</f>
        <v>hide</v>
      </c>
      <c r="N3922"/>
      <c r="Q3922" s="33"/>
    </row>
    <row r="3923" spans="1:19" ht="13.8" hidden="1" thickBot="1" x14ac:dyDescent="0.3">
      <c r="A3923" t="s">
        <v>23</v>
      </c>
      <c r="B3923" s="49" t="str">
        <f t="shared" ref="B3923" si="2809">B3922</f>
        <v>hide</v>
      </c>
      <c r="D3923" s="58"/>
      <c r="E3923" s="58"/>
      <c r="F3923" s="52">
        <f>SUM(F3918:F3922)</f>
        <v>0</v>
      </c>
      <c r="G3923" s="52">
        <f>SUM(G3918:G3922)</f>
        <v>0</v>
      </c>
      <c r="H3923" s="52">
        <f>SUM(H3918:H3922)</f>
        <v>0</v>
      </c>
      <c r="I3923" s="52">
        <f>SUM(I3918:I3922)</f>
        <v>0</v>
      </c>
      <c r="J3923" s="52">
        <f>SUM(J3918:J3922)</f>
        <v>0</v>
      </c>
      <c r="K3923" s="52"/>
      <c r="L3923" s="51" t="s">
        <v>4</v>
      </c>
      <c r="M3923" s="58"/>
      <c r="N3923" s="58"/>
      <c r="O3923" s="58"/>
      <c r="P3923" s="58"/>
      <c r="Q3923" s="58"/>
      <c r="R3923" s="58"/>
      <c r="S3923" s="58"/>
    </row>
    <row r="3924" spans="1:19" s="59" customFormat="1" ht="18.75" customHeight="1" thickBot="1" x14ac:dyDescent="0.3">
      <c r="A3924" s="59" t="s">
        <v>23</v>
      </c>
      <c r="B3924" s="60" t="str">
        <f t="shared" ref="B3924:B3925" si="2810">IF(K3924=0,"hide","")</f>
        <v/>
      </c>
      <c r="D3924" s="61" t="str">
        <f>"51663"</f>
        <v>51663</v>
      </c>
      <c r="E3924" s="62" t="str">
        <f>"3"</f>
        <v>3</v>
      </c>
      <c r="F3924" s="63">
        <v>127.5</v>
      </c>
      <c r="G3924" s="63">
        <v>230.41666666666666</v>
      </c>
      <c r="H3924" s="63">
        <v>188.33333333333334</v>
      </c>
      <c r="I3924" s="63">
        <v>237.41666666666666</v>
      </c>
      <c r="J3924" s="63">
        <v>87.286746987951815</v>
      </c>
      <c r="K3924" s="63">
        <f>AVERAGE(I3924:J3924)</f>
        <v>162.35170682730924</v>
      </c>
      <c r="L3924" s="64" t="str">
        <f>"SMART CHOICE CRAN ORG."</f>
        <v>SMART CHOICE CRAN ORG.</v>
      </c>
      <c r="M3924" s="65" t="str">
        <f>"72/2 oz. I.W. LOAVES"</f>
        <v>72/2 oz. I.W. LOAVES</v>
      </c>
      <c r="N3924" s="66">
        <v>72</v>
      </c>
      <c r="O3924" s="67" t="str">
        <f>""</f>
        <v/>
      </c>
      <c r="P3924" s="68" t="e">
        <f>1/O3924</f>
        <v>#VALUE!</v>
      </c>
      <c r="Q3924" s="53">
        <v>1</v>
      </c>
      <c r="R3924" s="69">
        <f t="shared" ref="R3924" si="2811">1/Q3924</f>
        <v>1</v>
      </c>
      <c r="S3924" s="70">
        <f t="shared" ref="S3924" si="2812">R3924*N3924</f>
        <v>72</v>
      </c>
    </row>
    <row r="3925" spans="1:19" ht="15.6" hidden="1" customHeight="1" thickBot="1" x14ac:dyDescent="0.3">
      <c r="A3925" t="s">
        <v>23</v>
      </c>
      <c r="B3925" s="60" t="str">
        <f t="shared" si="2810"/>
        <v>hide</v>
      </c>
      <c r="D3925" s="48" t="str">
        <f>D3924</f>
        <v>51663</v>
      </c>
      <c r="E3925" s="7"/>
      <c r="F3925" s="27">
        <v>0</v>
      </c>
      <c r="G3925" s="27">
        <v>0</v>
      </c>
      <c r="H3925" s="27">
        <v>0</v>
      </c>
      <c r="I3925" s="27">
        <v>0</v>
      </c>
      <c r="J3925" s="27">
        <v>0</v>
      </c>
      <c r="K3925" s="63">
        <f>AVERAGE(I3925:J3925)</f>
        <v>0</v>
      </c>
      <c r="L3925" s="56" t="str">
        <f>"EQP-LAWPACK1"</f>
        <v>EQP-LAWPACK1</v>
      </c>
      <c r="M3925" s="14"/>
      <c r="N3925" s="15"/>
      <c r="O3925" s="12"/>
      <c r="P3925" s="34"/>
      <c r="Q3925" s="37"/>
      <c r="R3925" s="47"/>
      <c r="S3925" s="46"/>
    </row>
    <row r="3926" spans="1:19" ht="15.6" hidden="1" customHeight="1" thickBot="1" x14ac:dyDescent="0.3">
      <c r="A3926" t="s">
        <v>23</v>
      </c>
      <c r="B3926" s="60" t="str">
        <f t="shared" ref="B3926:B3928" si="2813">IF(K3926=0,"hide","")</f>
        <v>hide</v>
      </c>
      <c r="D3926" s="48" t="str">
        <f>D3925</f>
        <v>51663</v>
      </c>
      <c r="E3926" s="7"/>
      <c r="F3926" s="27">
        <v>0</v>
      </c>
      <c r="G3926" s="27">
        <v>0</v>
      </c>
      <c r="H3926" s="27">
        <v>0</v>
      </c>
      <c r="I3926" s="27">
        <v>0</v>
      </c>
      <c r="J3926" s="27">
        <v>0</v>
      </c>
      <c r="K3926" s="63">
        <f>AVERAGE(I3926:J3926)</f>
        <v>0</v>
      </c>
      <c r="L3926" s="56" t="str">
        <f>"EQP-LAWPACK2"</f>
        <v>EQP-LAWPACK2</v>
      </c>
      <c r="M3926" s="14"/>
      <c r="N3926" s="15"/>
      <c r="O3926" s="12"/>
      <c r="P3926" s="34"/>
      <c r="Q3926" s="37"/>
      <c r="R3926" s="47"/>
      <c r="S3926" s="46"/>
    </row>
    <row r="3927" spans="1:19" ht="15.6" hidden="1" customHeight="1" thickBot="1" x14ac:dyDescent="0.3">
      <c r="A3927" t="s">
        <v>23</v>
      </c>
      <c r="B3927" s="60" t="str">
        <f t="shared" si="2813"/>
        <v>hide</v>
      </c>
      <c r="D3927" s="48" t="str">
        <f>D3926</f>
        <v>51663</v>
      </c>
      <c r="E3927" s="7"/>
      <c r="F3927" s="27">
        <v>0</v>
      </c>
      <c r="G3927" s="27">
        <v>0</v>
      </c>
      <c r="H3927" s="27">
        <v>0</v>
      </c>
      <c r="I3927" s="27">
        <v>0</v>
      </c>
      <c r="J3927" s="27">
        <v>0</v>
      </c>
      <c r="K3927" s="63">
        <f>AVERAGE(I3927:J3927)</f>
        <v>0</v>
      </c>
      <c r="L3927" s="56" t="str">
        <f>"SW-COMAS-PACKL"</f>
        <v>SW-COMAS-PACKL</v>
      </c>
      <c r="M3927" s="14"/>
      <c r="N3927" s="15"/>
      <c r="O3927" s="12"/>
      <c r="P3927" s="34"/>
      <c r="Q3927" s="37"/>
      <c r="R3927" s="47"/>
      <c r="S3927" s="46"/>
    </row>
    <row r="3928" spans="1:19" ht="15.6" hidden="1" customHeight="1" thickBot="1" x14ac:dyDescent="0.3">
      <c r="A3928" t="s">
        <v>23</v>
      </c>
      <c r="B3928" s="60" t="str">
        <f t="shared" si="2813"/>
        <v>hide</v>
      </c>
      <c r="D3928" s="48" t="str">
        <f>D3927</f>
        <v>51663</v>
      </c>
      <c r="E3928" s="7"/>
      <c r="F3928" s="27">
        <v>0</v>
      </c>
      <c r="G3928" s="27">
        <v>0</v>
      </c>
      <c r="H3928" s="27">
        <v>0</v>
      </c>
      <c r="I3928" s="27">
        <v>0</v>
      </c>
      <c r="J3928" s="27">
        <v>0</v>
      </c>
      <c r="K3928" s="63">
        <f>AVERAGE(I3928:J3928)</f>
        <v>0</v>
      </c>
      <c r="L3928" s="56" t="str">
        <f>"SW-RISER-PACK"</f>
        <v>SW-RISER-PACK</v>
      </c>
      <c r="M3928" s="14"/>
      <c r="N3928" s="15"/>
      <c r="O3928" s="12"/>
      <c r="P3928" s="34"/>
      <c r="Q3928" s="37"/>
      <c r="R3928" s="47"/>
      <c r="S3928" s="46"/>
    </row>
    <row r="3929" spans="1:19" ht="12" hidden="1" customHeight="1" x14ac:dyDescent="0.3">
      <c r="A3929" s="35" t="s">
        <v>908</v>
      </c>
      <c r="B3929" s="49" t="str">
        <f>B3925</f>
        <v>hide</v>
      </c>
      <c r="N3929"/>
      <c r="Q3929" s="33"/>
    </row>
    <row r="3930" spans="1:19" ht="13.8" hidden="1" thickBot="1" x14ac:dyDescent="0.3">
      <c r="A3930" t="s">
        <v>23</v>
      </c>
      <c r="B3930" s="49" t="str">
        <f t="shared" ref="B3930" si="2814">B3929</f>
        <v>hide</v>
      </c>
      <c r="D3930" s="58"/>
      <c r="E3930" s="58"/>
      <c r="F3930" s="52">
        <f>SUM(F3925:F3929)</f>
        <v>0</v>
      </c>
      <c r="G3930" s="52">
        <f>SUM(G3925:G3929)</f>
        <v>0</v>
      </c>
      <c r="H3930" s="52">
        <f>SUM(H3925:H3929)</f>
        <v>0</v>
      </c>
      <c r="I3930" s="52">
        <f>SUM(I3925:I3929)</f>
        <v>0</v>
      </c>
      <c r="J3930" s="52">
        <f>SUM(J3925:J3929)</f>
        <v>0</v>
      </c>
      <c r="K3930" s="52"/>
      <c r="L3930" s="51" t="s">
        <v>4</v>
      </c>
      <c r="M3930" s="58"/>
      <c r="N3930" s="58"/>
      <c r="O3930" s="58"/>
      <c r="P3930" s="58"/>
      <c r="Q3930" s="58"/>
      <c r="R3930" s="58"/>
      <c r="S3930" s="58"/>
    </row>
    <row r="3931" spans="1:19" s="59" customFormat="1" ht="18.75" customHeight="1" thickBot="1" x14ac:dyDescent="0.3">
      <c r="A3931" s="59" t="s">
        <v>23</v>
      </c>
      <c r="B3931" s="60" t="str">
        <f t="shared" ref="B3931:B3932" si="2815">IF(K3931=0,"hide","")</f>
        <v/>
      </c>
      <c r="D3931" s="61" t="str">
        <f>"51666"</f>
        <v>51666</v>
      </c>
      <c r="E3931" s="62" t="str">
        <f>"6"</f>
        <v>6</v>
      </c>
      <c r="F3931" s="63">
        <v>600.08333333333337</v>
      </c>
      <c r="G3931" s="63">
        <v>565.5</v>
      </c>
      <c r="H3931" s="63">
        <v>633.33333333333326</v>
      </c>
      <c r="I3931" s="63">
        <v>1444.4166666666667</v>
      </c>
      <c r="J3931" s="63">
        <v>826.63277108433738</v>
      </c>
      <c r="K3931" s="63">
        <f>AVERAGE(I3931:J3931)</f>
        <v>1135.524718875502</v>
      </c>
      <c r="L3931" s="64" t="str">
        <f>"SMART CHOICE APPLE CINNAMON"</f>
        <v>SMART CHOICE APPLE CINNAMON</v>
      </c>
      <c r="M3931" s="65" t="str">
        <f>"72/2 oz. I.W. LOAVES"</f>
        <v>72/2 oz. I.W. LOAVES</v>
      </c>
      <c r="N3931" s="66">
        <v>72</v>
      </c>
      <c r="O3931" s="67">
        <v>1E-3</v>
      </c>
      <c r="P3931" s="68">
        <f>1/O3931</f>
        <v>1000</v>
      </c>
      <c r="Q3931" s="53">
        <v>2.2699999999999999E-3</v>
      </c>
      <c r="R3931" s="69">
        <f t="shared" ref="R3931" si="2816">1/Q3931</f>
        <v>440.52863436123351</v>
      </c>
      <c r="S3931" s="70">
        <f t="shared" ref="S3931" si="2817">R3931*N3931</f>
        <v>31718.061674008812</v>
      </c>
    </row>
    <row r="3932" spans="1:19" ht="15.6" hidden="1" customHeight="1" thickBot="1" x14ac:dyDescent="0.3">
      <c r="A3932" t="s">
        <v>23</v>
      </c>
      <c r="B3932" s="60" t="str">
        <f t="shared" si="2815"/>
        <v>hide</v>
      </c>
      <c r="D3932" s="48" t="str">
        <f>D3931</f>
        <v>51666</v>
      </c>
      <c r="E3932" s="7"/>
      <c r="F3932" s="27">
        <v>0</v>
      </c>
      <c r="G3932" s="27">
        <v>0</v>
      </c>
      <c r="H3932" s="27">
        <v>0</v>
      </c>
      <c r="I3932" s="27">
        <v>0</v>
      </c>
      <c r="J3932" s="27">
        <v>0</v>
      </c>
      <c r="K3932" s="63">
        <f>AVERAGE(I3932:J3932)</f>
        <v>0</v>
      </c>
      <c r="L3932" s="56" t="str">
        <f>"EQP-LAWPACK1"</f>
        <v>EQP-LAWPACK1</v>
      </c>
      <c r="M3932" s="14"/>
      <c r="N3932" s="15"/>
      <c r="O3932" s="12"/>
      <c r="P3932" s="34"/>
      <c r="Q3932" s="37"/>
      <c r="R3932" s="47"/>
      <c r="S3932" s="46"/>
    </row>
    <row r="3933" spans="1:19" ht="15.6" hidden="1" customHeight="1" thickBot="1" x14ac:dyDescent="0.3">
      <c r="A3933" t="s">
        <v>23</v>
      </c>
      <c r="B3933" s="60" t="str">
        <f t="shared" ref="B3933:B3935" si="2818">IF(K3933=0,"hide","")</f>
        <v>hide</v>
      </c>
      <c r="D3933" s="48" t="str">
        <f>D3932</f>
        <v>51666</v>
      </c>
      <c r="E3933" s="7"/>
      <c r="F3933" s="27">
        <v>0</v>
      </c>
      <c r="G3933" s="27">
        <v>0</v>
      </c>
      <c r="H3933" s="27">
        <v>0</v>
      </c>
      <c r="I3933" s="27">
        <v>0</v>
      </c>
      <c r="J3933" s="27">
        <v>0</v>
      </c>
      <c r="K3933" s="63">
        <f>AVERAGE(I3933:J3933)</f>
        <v>0</v>
      </c>
      <c r="L3933" s="56" t="str">
        <f>"EQP-LAWPACK2"</f>
        <v>EQP-LAWPACK2</v>
      </c>
      <c r="M3933" s="14"/>
      <c r="N3933" s="15"/>
      <c r="O3933" s="12"/>
      <c r="P3933" s="34"/>
      <c r="Q3933" s="37"/>
      <c r="R3933" s="47"/>
      <c r="S3933" s="46"/>
    </row>
    <row r="3934" spans="1:19" ht="15.6" hidden="1" customHeight="1" thickBot="1" x14ac:dyDescent="0.3">
      <c r="A3934" t="s">
        <v>23</v>
      </c>
      <c r="B3934" s="60" t="str">
        <f t="shared" si="2818"/>
        <v>hide</v>
      </c>
      <c r="D3934" s="48" t="str">
        <f>D3933</f>
        <v>51666</v>
      </c>
      <c r="E3934" s="7"/>
      <c r="F3934" s="27">
        <v>0</v>
      </c>
      <c r="G3934" s="27">
        <v>0</v>
      </c>
      <c r="H3934" s="27">
        <v>0</v>
      </c>
      <c r="I3934" s="27">
        <v>0</v>
      </c>
      <c r="J3934" s="27">
        <v>0</v>
      </c>
      <c r="K3934" s="63">
        <f>AVERAGE(I3934:J3934)</f>
        <v>0</v>
      </c>
      <c r="L3934" s="56" t="str">
        <f>"SW-COMAS-PACKL"</f>
        <v>SW-COMAS-PACKL</v>
      </c>
      <c r="M3934" s="14"/>
      <c r="N3934" s="15"/>
      <c r="O3934" s="12"/>
      <c r="P3934" s="34"/>
      <c r="Q3934" s="37"/>
      <c r="R3934" s="47"/>
      <c r="S3934" s="46"/>
    </row>
    <row r="3935" spans="1:19" ht="15.6" hidden="1" customHeight="1" thickBot="1" x14ac:dyDescent="0.3">
      <c r="A3935" t="s">
        <v>23</v>
      </c>
      <c r="B3935" s="60" t="str">
        <f t="shared" si="2818"/>
        <v>hide</v>
      </c>
      <c r="D3935" s="48" t="str">
        <f>D3934</f>
        <v>51666</v>
      </c>
      <c r="E3935" s="7"/>
      <c r="F3935" s="27">
        <v>0</v>
      </c>
      <c r="G3935" s="27">
        <v>0</v>
      </c>
      <c r="H3935" s="27">
        <v>0</v>
      </c>
      <c r="I3935" s="27">
        <v>0</v>
      </c>
      <c r="J3935" s="27">
        <v>0</v>
      </c>
      <c r="K3935" s="63">
        <f>AVERAGE(I3935:J3935)</f>
        <v>0</v>
      </c>
      <c r="L3935" s="56" t="str">
        <f>"SW-RISER-PACK"</f>
        <v>SW-RISER-PACK</v>
      </c>
      <c r="M3935" s="14"/>
      <c r="N3935" s="15"/>
      <c r="O3935" s="12"/>
      <c r="P3935" s="34"/>
      <c r="Q3935" s="37"/>
      <c r="R3935" s="47"/>
      <c r="S3935" s="46"/>
    </row>
    <row r="3936" spans="1:19" ht="12" hidden="1" customHeight="1" x14ac:dyDescent="0.3">
      <c r="A3936" s="35" t="s">
        <v>908</v>
      </c>
      <c r="B3936" s="49" t="str">
        <f>B3932</f>
        <v>hide</v>
      </c>
      <c r="N3936"/>
      <c r="Q3936" s="33"/>
    </row>
    <row r="3937" spans="1:19" ht="13.8" hidden="1" thickBot="1" x14ac:dyDescent="0.3">
      <c r="A3937" t="s">
        <v>23</v>
      </c>
      <c r="B3937" s="49" t="str">
        <f t="shared" ref="B3937" si="2819">B3936</f>
        <v>hide</v>
      </c>
      <c r="D3937" s="58"/>
      <c r="E3937" s="58"/>
      <c r="F3937" s="52">
        <f>SUM(F3932:F3936)</f>
        <v>0</v>
      </c>
      <c r="G3937" s="52">
        <f>SUM(G3932:G3936)</f>
        <v>0</v>
      </c>
      <c r="H3937" s="52">
        <f>SUM(H3932:H3936)</f>
        <v>0</v>
      </c>
      <c r="I3937" s="52">
        <f>SUM(I3932:I3936)</f>
        <v>0</v>
      </c>
      <c r="J3937" s="52">
        <f>SUM(J3932:J3936)</f>
        <v>0</v>
      </c>
      <c r="K3937" s="52"/>
      <c r="L3937" s="51" t="s">
        <v>4</v>
      </c>
      <c r="M3937" s="58"/>
      <c r="N3937" s="58"/>
      <c r="O3937" s="58"/>
      <c r="P3937" s="58"/>
      <c r="Q3937" s="58"/>
      <c r="R3937" s="58"/>
      <c r="S3937" s="58"/>
    </row>
    <row r="3938" spans="1:19" s="59" customFormat="1" ht="18.75" hidden="1" customHeight="1" thickBot="1" x14ac:dyDescent="0.3">
      <c r="A3938" s="59" t="s">
        <v>23</v>
      </c>
      <c r="B3938" s="60" t="str">
        <f t="shared" ref="B3938:B3939" si="2820">IF(K3938=0,"hide","")</f>
        <v>hide</v>
      </c>
      <c r="D3938" s="61" t="str">
        <f>"51669"</f>
        <v>51669</v>
      </c>
      <c r="E3938" s="62" t="str">
        <f>"2"</f>
        <v>2</v>
      </c>
      <c r="F3938" s="63">
        <v>0</v>
      </c>
      <c r="G3938" s="63">
        <v>0</v>
      </c>
      <c r="H3938" s="63">
        <v>0</v>
      </c>
      <c r="I3938" s="63">
        <v>0</v>
      </c>
      <c r="J3938" s="63">
        <v>0</v>
      </c>
      <c r="K3938" s="63">
        <f>AVERAGE(I3938:J3938)</f>
        <v>0</v>
      </c>
      <c r="L3938" s="64" t="str">
        <f>"SMART CHOICE Mixed Berry"</f>
        <v>SMART CHOICE Mixed Berry</v>
      </c>
      <c r="M3938" s="65" t="str">
        <f>"72/2 oz. I.W. LOAVES"</f>
        <v>72/2 oz. I.W. LOAVES</v>
      </c>
      <c r="N3938" s="66">
        <v>72</v>
      </c>
      <c r="O3938" s="67" t="str">
        <f>""</f>
        <v/>
      </c>
      <c r="P3938" s="68" t="e">
        <f>1/O3938</f>
        <v>#VALUE!</v>
      </c>
      <c r="Q3938" s="53">
        <v>1</v>
      </c>
      <c r="R3938" s="69">
        <f t="shared" ref="R3938" si="2821">1/Q3938</f>
        <v>1</v>
      </c>
      <c r="S3938" s="70">
        <f t="shared" ref="S3938" si="2822">R3938*N3938</f>
        <v>72</v>
      </c>
    </row>
    <row r="3939" spans="1:19" ht="15.6" hidden="1" customHeight="1" thickBot="1" x14ac:dyDescent="0.3">
      <c r="A3939" t="s">
        <v>23</v>
      </c>
      <c r="B3939" s="60" t="str">
        <f t="shared" si="2820"/>
        <v>hide</v>
      </c>
      <c r="D3939" s="48" t="str">
        <f>D3938</f>
        <v>51669</v>
      </c>
      <c r="E3939" s="7"/>
      <c r="F3939" s="27">
        <v>0</v>
      </c>
      <c r="G3939" s="27">
        <v>0</v>
      </c>
      <c r="H3939" s="27">
        <v>0</v>
      </c>
      <c r="I3939" s="27">
        <v>0</v>
      </c>
      <c r="J3939" s="27">
        <v>0</v>
      </c>
      <c r="K3939" s="63">
        <f>AVERAGE(I3939:J3939)</f>
        <v>0</v>
      </c>
      <c r="L3939" s="56" t="str">
        <f>"EQP-LAWPACK1"</f>
        <v>EQP-LAWPACK1</v>
      </c>
      <c r="M3939" s="14"/>
      <c r="N3939" s="15"/>
      <c r="O3939" s="12"/>
      <c r="P3939" s="34"/>
      <c r="Q3939" s="37"/>
      <c r="R3939" s="47"/>
      <c r="S3939" s="46"/>
    </row>
    <row r="3940" spans="1:19" ht="15.6" hidden="1" customHeight="1" thickBot="1" x14ac:dyDescent="0.3">
      <c r="A3940" t="s">
        <v>23</v>
      </c>
      <c r="B3940" s="60" t="str">
        <f t="shared" ref="B3940:B3942" si="2823">IF(K3940=0,"hide","")</f>
        <v>hide</v>
      </c>
      <c r="D3940" s="48" t="str">
        <f>D3939</f>
        <v>51669</v>
      </c>
      <c r="E3940" s="7"/>
      <c r="F3940" s="27">
        <v>0</v>
      </c>
      <c r="G3940" s="27">
        <v>0</v>
      </c>
      <c r="H3940" s="27">
        <v>0</v>
      </c>
      <c r="I3940" s="27">
        <v>0</v>
      </c>
      <c r="J3940" s="27">
        <v>0</v>
      </c>
      <c r="K3940" s="63">
        <f>AVERAGE(I3940:J3940)</f>
        <v>0</v>
      </c>
      <c r="L3940" s="56" t="str">
        <f>"EQP-LAWPACK2"</f>
        <v>EQP-LAWPACK2</v>
      </c>
      <c r="M3940" s="14"/>
      <c r="N3940" s="15"/>
      <c r="O3940" s="12"/>
      <c r="P3940" s="34"/>
      <c r="Q3940" s="37"/>
      <c r="R3940" s="47"/>
      <c r="S3940" s="46"/>
    </row>
    <row r="3941" spans="1:19" ht="15.6" hidden="1" customHeight="1" thickBot="1" x14ac:dyDescent="0.3">
      <c r="A3941" t="s">
        <v>23</v>
      </c>
      <c r="B3941" s="60" t="str">
        <f t="shared" si="2823"/>
        <v>hide</v>
      </c>
      <c r="D3941" s="48" t="str">
        <f>D3940</f>
        <v>51669</v>
      </c>
      <c r="E3941" s="7"/>
      <c r="F3941" s="27">
        <v>0</v>
      </c>
      <c r="G3941" s="27">
        <v>0</v>
      </c>
      <c r="H3941" s="27">
        <v>0</v>
      </c>
      <c r="I3941" s="27">
        <v>0</v>
      </c>
      <c r="J3941" s="27">
        <v>0</v>
      </c>
      <c r="K3941" s="63">
        <f>AVERAGE(I3941:J3941)</f>
        <v>0</v>
      </c>
      <c r="L3941" s="56" t="str">
        <f>"SW-COMAS-PACKL"</f>
        <v>SW-COMAS-PACKL</v>
      </c>
      <c r="M3941" s="14"/>
      <c r="N3941" s="15"/>
      <c r="O3941" s="12"/>
      <c r="P3941" s="34"/>
      <c r="Q3941" s="37"/>
      <c r="R3941" s="47"/>
      <c r="S3941" s="46"/>
    </row>
    <row r="3942" spans="1:19" ht="15.6" hidden="1" customHeight="1" thickBot="1" x14ac:dyDescent="0.3">
      <c r="A3942" t="s">
        <v>23</v>
      </c>
      <c r="B3942" s="60" t="str">
        <f t="shared" si="2823"/>
        <v>hide</v>
      </c>
      <c r="D3942" s="48" t="str">
        <f>D3941</f>
        <v>51669</v>
      </c>
      <c r="E3942" s="7"/>
      <c r="F3942" s="27">
        <v>0</v>
      </c>
      <c r="G3942" s="27">
        <v>0</v>
      </c>
      <c r="H3942" s="27">
        <v>0</v>
      </c>
      <c r="I3942" s="27">
        <v>0</v>
      </c>
      <c r="J3942" s="27">
        <v>0</v>
      </c>
      <c r="K3942" s="63">
        <f>AVERAGE(I3942:J3942)</f>
        <v>0</v>
      </c>
      <c r="L3942" s="56" t="str">
        <f>"SW-RISER-PACK"</f>
        <v>SW-RISER-PACK</v>
      </c>
      <c r="M3942" s="14"/>
      <c r="N3942" s="15"/>
      <c r="O3942" s="12"/>
      <c r="P3942" s="34"/>
      <c r="Q3942" s="37"/>
      <c r="R3942" s="47"/>
      <c r="S3942" s="46"/>
    </row>
    <row r="3943" spans="1:19" ht="12" hidden="1" customHeight="1" x14ac:dyDescent="0.3">
      <c r="A3943" s="35" t="s">
        <v>908</v>
      </c>
      <c r="B3943" s="49" t="str">
        <f>B3939</f>
        <v>hide</v>
      </c>
      <c r="N3943"/>
      <c r="Q3943" s="33"/>
    </row>
    <row r="3944" spans="1:19" ht="13.8" hidden="1" thickBot="1" x14ac:dyDescent="0.3">
      <c r="A3944" t="s">
        <v>23</v>
      </c>
      <c r="B3944" s="49" t="str">
        <f t="shared" ref="B3944" si="2824">B3943</f>
        <v>hide</v>
      </c>
      <c r="D3944" s="58"/>
      <c r="E3944" s="58"/>
      <c r="F3944" s="52">
        <f>SUM(F3939:F3943)</f>
        <v>0</v>
      </c>
      <c r="G3944" s="52">
        <f>SUM(G3939:G3943)</f>
        <v>0</v>
      </c>
      <c r="H3944" s="52">
        <f>SUM(H3939:H3943)</f>
        <v>0</v>
      </c>
      <c r="I3944" s="52">
        <f>SUM(I3939:I3943)</f>
        <v>0</v>
      </c>
      <c r="J3944" s="52">
        <f>SUM(J3939:J3943)</f>
        <v>0</v>
      </c>
      <c r="K3944" s="52"/>
      <c r="L3944" s="51" t="s">
        <v>4</v>
      </c>
      <c r="M3944" s="58"/>
      <c r="N3944" s="58"/>
      <c r="O3944" s="58"/>
      <c r="P3944" s="58"/>
      <c r="Q3944" s="58"/>
      <c r="R3944" s="58"/>
      <c r="S3944" s="58"/>
    </row>
    <row r="3945" spans="1:19" s="59" customFormat="1" ht="18.75" customHeight="1" thickBot="1" x14ac:dyDescent="0.3">
      <c r="A3945" s="59" t="s">
        <v>23</v>
      </c>
      <c r="B3945" s="60" t="str">
        <f t="shared" ref="B3945:B3946" si="2825">IF(K3945=0,"hide","")</f>
        <v/>
      </c>
      <c r="D3945" s="61" t="str">
        <f>"51670"</f>
        <v>51670</v>
      </c>
      <c r="E3945" s="62" t="str">
        <f>"5"</f>
        <v>5</v>
      </c>
      <c r="F3945" s="63">
        <v>844.25</v>
      </c>
      <c r="G3945" s="63">
        <v>660.91666666666663</v>
      </c>
      <c r="H3945" s="63">
        <v>646.16666666666663</v>
      </c>
      <c r="I3945" s="63">
        <v>643.25</v>
      </c>
      <c r="J3945" s="63">
        <v>540.35951807228912</v>
      </c>
      <c r="K3945" s="63">
        <f>AVERAGE(I3945:J3945)</f>
        <v>591.80475903614456</v>
      </c>
      <c r="L3945" s="64" t="str">
        <f>"SMART CHOICE CHOCOLATE CHIP"</f>
        <v>SMART CHOICE CHOCOLATE CHIP</v>
      </c>
      <c r="M3945" s="65" t="str">
        <f>"72/2 oz. I.W. LOAVES"</f>
        <v>72/2 oz. I.W. LOAVES</v>
      </c>
      <c r="N3945" s="66">
        <v>72</v>
      </c>
      <c r="O3945" s="67">
        <v>1E-3</v>
      </c>
      <c r="P3945" s="68">
        <f>1/O3945</f>
        <v>1000</v>
      </c>
      <c r="Q3945" s="53">
        <v>2E-3</v>
      </c>
      <c r="R3945" s="69">
        <f t="shared" ref="R3945" si="2826">1/Q3945</f>
        <v>500</v>
      </c>
      <c r="S3945" s="70">
        <f t="shared" ref="S3945" si="2827">R3945*N3945</f>
        <v>36000</v>
      </c>
    </row>
    <row r="3946" spans="1:19" ht="15.6" hidden="1" customHeight="1" thickBot="1" x14ac:dyDescent="0.3">
      <c r="A3946" t="s">
        <v>23</v>
      </c>
      <c r="B3946" s="60" t="str">
        <f t="shared" si="2825"/>
        <v>hide</v>
      </c>
      <c r="D3946" s="48" t="str">
        <f>D3945</f>
        <v>51670</v>
      </c>
      <c r="E3946" s="7"/>
      <c r="F3946" s="27">
        <v>-58.333333333333336</v>
      </c>
      <c r="G3946" s="27">
        <v>0</v>
      </c>
      <c r="H3946" s="27">
        <v>0</v>
      </c>
      <c r="I3946" s="27">
        <v>0</v>
      </c>
      <c r="J3946" s="27">
        <v>0</v>
      </c>
      <c r="K3946" s="63">
        <f>AVERAGE(I3946:J3946)</f>
        <v>0</v>
      </c>
      <c r="L3946" s="56" t="str">
        <f>"EQP-LAWPACK1"</f>
        <v>EQP-LAWPACK1</v>
      </c>
      <c r="M3946" s="14"/>
      <c r="N3946" s="15"/>
      <c r="O3946" s="12"/>
      <c r="P3946" s="34"/>
      <c r="Q3946" s="37"/>
      <c r="R3946" s="47"/>
      <c r="S3946" s="46"/>
    </row>
    <row r="3947" spans="1:19" ht="15.6" hidden="1" customHeight="1" thickBot="1" x14ac:dyDescent="0.3">
      <c r="A3947" t="s">
        <v>23</v>
      </c>
      <c r="B3947" s="60" t="str">
        <f t="shared" ref="B3947:B3949" si="2828">IF(K3947=0,"hide","")</f>
        <v>hide</v>
      </c>
      <c r="D3947" s="48" t="str">
        <f>D3946</f>
        <v>51670</v>
      </c>
      <c r="E3947" s="7"/>
      <c r="F3947" s="27">
        <v>0</v>
      </c>
      <c r="G3947" s="27">
        <v>0</v>
      </c>
      <c r="H3947" s="27">
        <v>0</v>
      </c>
      <c r="I3947" s="27">
        <v>0</v>
      </c>
      <c r="J3947" s="27">
        <v>0</v>
      </c>
      <c r="K3947" s="63">
        <f>AVERAGE(I3947:J3947)</f>
        <v>0</v>
      </c>
      <c r="L3947" s="56" t="str">
        <f>"EQP-LAWPACK2"</f>
        <v>EQP-LAWPACK2</v>
      </c>
      <c r="M3947" s="14"/>
      <c r="N3947" s="15"/>
      <c r="O3947" s="12"/>
      <c r="P3947" s="34"/>
      <c r="Q3947" s="37"/>
      <c r="R3947" s="47"/>
      <c r="S3947" s="46"/>
    </row>
    <row r="3948" spans="1:19" ht="15.6" hidden="1" customHeight="1" thickBot="1" x14ac:dyDescent="0.3">
      <c r="A3948" t="s">
        <v>23</v>
      </c>
      <c r="B3948" s="60" t="str">
        <f t="shared" si="2828"/>
        <v>hide</v>
      </c>
      <c r="D3948" s="48" t="str">
        <f>D3947</f>
        <v>51670</v>
      </c>
      <c r="E3948" s="7"/>
      <c r="F3948" s="27">
        <v>0</v>
      </c>
      <c r="G3948" s="27">
        <v>0</v>
      </c>
      <c r="H3948" s="27">
        <v>0</v>
      </c>
      <c r="I3948" s="27">
        <v>0</v>
      </c>
      <c r="J3948" s="27">
        <v>0</v>
      </c>
      <c r="K3948" s="63">
        <f>AVERAGE(I3948:J3948)</f>
        <v>0</v>
      </c>
      <c r="L3948" s="56" t="str">
        <f>"SW-COMAS-PACKL"</f>
        <v>SW-COMAS-PACKL</v>
      </c>
      <c r="M3948" s="14"/>
      <c r="N3948" s="15"/>
      <c r="O3948" s="12"/>
      <c r="P3948" s="34"/>
      <c r="Q3948" s="37"/>
      <c r="R3948" s="47"/>
      <c r="S3948" s="46"/>
    </row>
    <row r="3949" spans="1:19" ht="15.6" hidden="1" customHeight="1" thickBot="1" x14ac:dyDescent="0.3">
      <c r="A3949" t="s">
        <v>23</v>
      </c>
      <c r="B3949" s="60" t="str">
        <f t="shared" si="2828"/>
        <v>hide</v>
      </c>
      <c r="D3949" s="48" t="str">
        <f>D3948</f>
        <v>51670</v>
      </c>
      <c r="E3949" s="7"/>
      <c r="F3949" s="27">
        <v>0</v>
      </c>
      <c r="G3949" s="27">
        <v>0</v>
      </c>
      <c r="H3949" s="27">
        <v>0</v>
      </c>
      <c r="I3949" s="27">
        <v>0</v>
      </c>
      <c r="J3949" s="27">
        <v>0</v>
      </c>
      <c r="K3949" s="63">
        <f>AVERAGE(I3949:J3949)</f>
        <v>0</v>
      </c>
      <c r="L3949" s="56" t="str">
        <f>"SW-RISER-PACK"</f>
        <v>SW-RISER-PACK</v>
      </c>
      <c r="M3949" s="14"/>
      <c r="N3949" s="15"/>
      <c r="O3949" s="12"/>
      <c r="P3949" s="34"/>
      <c r="Q3949" s="37"/>
      <c r="R3949" s="47"/>
      <c r="S3949" s="46"/>
    </row>
    <row r="3950" spans="1:19" ht="12" hidden="1" customHeight="1" x14ac:dyDescent="0.3">
      <c r="A3950" s="35" t="s">
        <v>908</v>
      </c>
      <c r="B3950" s="49" t="str">
        <f>B3946</f>
        <v>hide</v>
      </c>
      <c r="N3950"/>
      <c r="Q3950" s="33"/>
    </row>
    <row r="3951" spans="1:19" ht="13.8" hidden="1" thickBot="1" x14ac:dyDescent="0.3">
      <c r="A3951" t="s">
        <v>23</v>
      </c>
      <c r="B3951" s="49" t="str">
        <f t="shared" ref="B3951" si="2829">B3950</f>
        <v>hide</v>
      </c>
      <c r="D3951" s="58"/>
      <c r="E3951" s="58"/>
      <c r="F3951" s="52">
        <f>SUM(F3946:F3950)</f>
        <v>-58.333333333333336</v>
      </c>
      <c r="G3951" s="52">
        <f>SUM(G3946:G3950)</f>
        <v>0</v>
      </c>
      <c r="H3951" s="52">
        <f>SUM(H3946:H3950)</f>
        <v>0</v>
      </c>
      <c r="I3951" s="52">
        <f>SUM(I3946:I3950)</f>
        <v>0</v>
      </c>
      <c r="J3951" s="52">
        <f>SUM(J3946:J3950)</f>
        <v>0</v>
      </c>
      <c r="K3951" s="52"/>
      <c r="L3951" s="51" t="s">
        <v>4</v>
      </c>
      <c r="M3951" s="58"/>
      <c r="N3951" s="58"/>
      <c r="O3951" s="58"/>
      <c r="P3951" s="58"/>
      <c r="Q3951" s="58"/>
      <c r="R3951" s="58"/>
      <c r="S3951" s="58"/>
    </row>
    <row r="3952" spans="1:19" s="59" customFormat="1" ht="18.75" customHeight="1" thickBot="1" x14ac:dyDescent="0.3">
      <c r="A3952" s="59" t="s">
        <v>23</v>
      </c>
      <c r="B3952" s="60" t="str">
        <f t="shared" ref="B3952:B3953" si="2830">IF(K3952=0,"hide","")</f>
        <v/>
      </c>
      <c r="D3952" s="61" t="str">
        <f>"51675"</f>
        <v>51675</v>
      </c>
      <c r="E3952" s="62" t="str">
        <f>"6"</f>
        <v>6</v>
      </c>
      <c r="F3952" s="63">
        <v>501.58333333333331</v>
      </c>
      <c r="G3952" s="63">
        <v>462.25</v>
      </c>
      <c r="H3952" s="63">
        <v>653.08333333333337</v>
      </c>
      <c r="I3952" s="63">
        <v>897.33333333333337</v>
      </c>
      <c r="J3952" s="63">
        <v>645.78554216867474</v>
      </c>
      <c r="K3952" s="63">
        <f>AVERAGE(I3952:J3952)</f>
        <v>771.559437751004</v>
      </c>
      <c r="L3952" s="64" t="str">
        <f>"SMART CHOICE BANANA"</f>
        <v>SMART CHOICE BANANA</v>
      </c>
      <c r="M3952" s="65" t="str">
        <f>"72-2 oz. I.W. LOAVES"</f>
        <v>72-2 oz. I.W. LOAVES</v>
      </c>
      <c r="N3952" s="66">
        <v>72</v>
      </c>
      <c r="O3952" s="67">
        <v>1E-3</v>
      </c>
      <c r="P3952" s="68">
        <f>1/O3952</f>
        <v>1000</v>
      </c>
      <c r="Q3952" s="53">
        <v>2.2699999999999999E-3</v>
      </c>
      <c r="R3952" s="69">
        <f t="shared" ref="R3952" si="2831">1/Q3952</f>
        <v>440.52863436123351</v>
      </c>
      <c r="S3952" s="70">
        <f t="shared" ref="S3952" si="2832">R3952*N3952</f>
        <v>31718.061674008812</v>
      </c>
    </row>
    <row r="3953" spans="1:19" ht="15.6" hidden="1" customHeight="1" thickBot="1" x14ac:dyDescent="0.3">
      <c r="A3953" t="s">
        <v>23</v>
      </c>
      <c r="B3953" s="60" t="str">
        <f t="shared" si="2830"/>
        <v>hide</v>
      </c>
      <c r="D3953" s="48" t="str">
        <f>D3952</f>
        <v>51675</v>
      </c>
      <c r="E3953" s="7"/>
      <c r="F3953" s="27">
        <v>0</v>
      </c>
      <c r="G3953" s="27">
        <v>0</v>
      </c>
      <c r="H3953" s="27">
        <v>0</v>
      </c>
      <c r="I3953" s="27">
        <v>0</v>
      </c>
      <c r="J3953" s="27">
        <v>0</v>
      </c>
      <c r="K3953" s="63">
        <f>AVERAGE(I3953:J3953)</f>
        <v>0</v>
      </c>
      <c r="L3953" s="56" t="str">
        <f>"EQP-LAWPACK1"</f>
        <v>EQP-LAWPACK1</v>
      </c>
      <c r="M3953" s="14"/>
      <c r="N3953" s="15"/>
      <c r="O3953" s="12"/>
      <c r="P3953" s="34"/>
      <c r="Q3953" s="37"/>
      <c r="R3953" s="47"/>
      <c r="S3953" s="46"/>
    </row>
    <row r="3954" spans="1:19" ht="15.6" hidden="1" customHeight="1" thickBot="1" x14ac:dyDescent="0.3">
      <c r="A3954" t="s">
        <v>23</v>
      </c>
      <c r="B3954" s="60" t="str">
        <f t="shared" ref="B3954:B3956" si="2833">IF(K3954=0,"hide","")</f>
        <v>hide</v>
      </c>
      <c r="D3954" s="48" t="str">
        <f>D3953</f>
        <v>51675</v>
      </c>
      <c r="E3954" s="7"/>
      <c r="F3954" s="27">
        <v>0</v>
      </c>
      <c r="G3954" s="27">
        <v>0</v>
      </c>
      <c r="H3954" s="27">
        <v>0</v>
      </c>
      <c r="I3954" s="27">
        <v>0</v>
      </c>
      <c r="J3954" s="27">
        <v>0</v>
      </c>
      <c r="K3954" s="63">
        <f>AVERAGE(I3954:J3954)</f>
        <v>0</v>
      </c>
      <c r="L3954" s="56" t="str">
        <f>"EQP-LAWPACK2"</f>
        <v>EQP-LAWPACK2</v>
      </c>
      <c r="M3954" s="14"/>
      <c r="N3954" s="15"/>
      <c r="O3954" s="12"/>
      <c r="P3954" s="34"/>
      <c r="Q3954" s="37"/>
      <c r="R3954" s="47"/>
      <c r="S3954" s="46"/>
    </row>
    <row r="3955" spans="1:19" ht="15.6" hidden="1" customHeight="1" thickBot="1" x14ac:dyDescent="0.3">
      <c r="A3955" t="s">
        <v>23</v>
      </c>
      <c r="B3955" s="60" t="str">
        <f t="shared" si="2833"/>
        <v>hide</v>
      </c>
      <c r="D3955" s="48" t="str">
        <f>D3954</f>
        <v>51675</v>
      </c>
      <c r="E3955" s="7"/>
      <c r="F3955" s="27">
        <v>0</v>
      </c>
      <c r="G3955" s="27">
        <v>0</v>
      </c>
      <c r="H3955" s="27">
        <v>0</v>
      </c>
      <c r="I3955" s="27">
        <v>0</v>
      </c>
      <c r="J3955" s="27">
        <v>0</v>
      </c>
      <c r="K3955" s="63">
        <f>AVERAGE(I3955:J3955)</f>
        <v>0</v>
      </c>
      <c r="L3955" s="56" t="str">
        <f>"SW-COMAS-PACKL"</f>
        <v>SW-COMAS-PACKL</v>
      </c>
      <c r="M3955" s="14"/>
      <c r="N3955" s="15"/>
      <c r="O3955" s="12"/>
      <c r="P3955" s="34"/>
      <c r="Q3955" s="37"/>
      <c r="R3955" s="47"/>
      <c r="S3955" s="46"/>
    </row>
    <row r="3956" spans="1:19" ht="15.6" hidden="1" customHeight="1" thickBot="1" x14ac:dyDescent="0.3">
      <c r="A3956" t="s">
        <v>23</v>
      </c>
      <c r="B3956" s="60" t="str">
        <f t="shared" si="2833"/>
        <v>hide</v>
      </c>
      <c r="D3956" s="48" t="str">
        <f>D3955</f>
        <v>51675</v>
      </c>
      <c r="E3956" s="7"/>
      <c r="F3956" s="27">
        <v>0</v>
      </c>
      <c r="G3956" s="27">
        <v>0</v>
      </c>
      <c r="H3956" s="27">
        <v>0</v>
      </c>
      <c r="I3956" s="27">
        <v>0</v>
      </c>
      <c r="J3956" s="27">
        <v>0</v>
      </c>
      <c r="K3956" s="63">
        <f>AVERAGE(I3956:J3956)</f>
        <v>0</v>
      </c>
      <c r="L3956" s="56" t="str">
        <f>"SW-RISER-PACK"</f>
        <v>SW-RISER-PACK</v>
      </c>
      <c r="M3956" s="14"/>
      <c r="N3956" s="15"/>
      <c r="O3956" s="12"/>
      <c r="P3956" s="34"/>
      <c r="Q3956" s="37"/>
      <c r="R3956" s="47"/>
      <c r="S3956" s="46"/>
    </row>
    <row r="3957" spans="1:19" ht="12" hidden="1" customHeight="1" x14ac:dyDescent="0.3">
      <c r="A3957" s="35" t="s">
        <v>908</v>
      </c>
      <c r="B3957" s="49" t="str">
        <f>B3953</f>
        <v>hide</v>
      </c>
      <c r="N3957"/>
      <c r="Q3957" s="33"/>
    </row>
    <row r="3958" spans="1:19" ht="13.8" hidden="1" thickBot="1" x14ac:dyDescent="0.3">
      <c r="A3958" t="s">
        <v>23</v>
      </c>
      <c r="B3958" s="49" t="str">
        <f t="shared" ref="B3958" si="2834">B3957</f>
        <v>hide</v>
      </c>
      <c r="D3958" s="58"/>
      <c r="E3958" s="58"/>
      <c r="F3958" s="52">
        <f>SUM(F3953:F3957)</f>
        <v>0</v>
      </c>
      <c r="G3958" s="52">
        <f>SUM(G3953:G3957)</f>
        <v>0</v>
      </c>
      <c r="H3958" s="52">
        <f>SUM(H3953:H3957)</f>
        <v>0</v>
      </c>
      <c r="I3958" s="52">
        <f>SUM(I3953:I3957)</f>
        <v>0</v>
      </c>
      <c r="J3958" s="52">
        <f>SUM(J3953:J3957)</f>
        <v>0</v>
      </c>
      <c r="K3958" s="52"/>
      <c r="L3958" s="51" t="s">
        <v>4</v>
      </c>
      <c r="M3958" s="58"/>
      <c r="N3958" s="58"/>
      <c r="O3958" s="58"/>
      <c r="P3958" s="58"/>
      <c r="Q3958" s="58"/>
      <c r="R3958" s="58"/>
      <c r="S3958" s="58"/>
    </row>
    <row r="3959" spans="1:19" s="59" customFormat="1" ht="18.75" hidden="1" customHeight="1" thickBot="1" x14ac:dyDescent="0.3">
      <c r="A3959" s="59" t="s">
        <v>23</v>
      </c>
      <c r="B3959" s="60" t="str">
        <f t="shared" ref="B3959:B3960" si="2835">IF(K3959=0,"hide","")</f>
        <v>hide</v>
      </c>
      <c r="D3959" s="61" t="str">
        <f>"51704"</f>
        <v>51704</v>
      </c>
      <c r="E3959" s="62" t="str">
        <f>"1"</f>
        <v>1</v>
      </c>
      <c r="F3959" s="63">
        <v>10.833333333333334</v>
      </c>
      <c r="G3959" s="63">
        <v>0</v>
      </c>
      <c r="H3959" s="63">
        <v>0</v>
      </c>
      <c r="I3959" s="63">
        <v>0</v>
      </c>
      <c r="J3959" s="63">
        <v>0</v>
      </c>
      <c r="K3959" s="63">
        <f>AVERAGE(I3959:J3959)</f>
        <v>0</v>
      </c>
      <c r="L3959" s="64" t="str">
        <f>"Mixed Berry Crumb Loaf"</f>
        <v>Mixed Berry Crumb Loaf</v>
      </c>
      <c r="M3959" s="65" t="str">
        <f>"72-2 oz. I.W. LOAVES"</f>
        <v>72-2 oz. I.W. LOAVES</v>
      </c>
      <c r="N3959" s="66">
        <v>72</v>
      </c>
      <c r="O3959" s="67" t="str">
        <f>""</f>
        <v/>
      </c>
      <c r="P3959" s="68" t="e">
        <f>1/O3959</f>
        <v>#VALUE!</v>
      </c>
      <c r="Q3959" s="53">
        <v>1</v>
      </c>
      <c r="R3959" s="69">
        <f t="shared" ref="R3959" si="2836">1/Q3959</f>
        <v>1</v>
      </c>
      <c r="S3959" s="70">
        <f t="shared" ref="S3959" si="2837">R3959*N3959</f>
        <v>72</v>
      </c>
    </row>
    <row r="3960" spans="1:19" ht="15.6" hidden="1" customHeight="1" thickBot="1" x14ac:dyDescent="0.3">
      <c r="A3960" t="s">
        <v>23</v>
      </c>
      <c r="B3960" s="60" t="str">
        <f t="shared" si="2835"/>
        <v>hide</v>
      </c>
      <c r="D3960" s="48" t="str">
        <f>D3959</f>
        <v>51704</v>
      </c>
      <c r="E3960" s="7"/>
      <c r="F3960" s="27">
        <v>0</v>
      </c>
      <c r="G3960" s="27">
        <v>0</v>
      </c>
      <c r="H3960" s="27">
        <v>0</v>
      </c>
      <c r="I3960" s="27">
        <v>0</v>
      </c>
      <c r="J3960" s="27">
        <v>0</v>
      </c>
      <c r="K3960" s="63">
        <f>AVERAGE(I3960:J3960)</f>
        <v>0</v>
      </c>
      <c r="L3960" s="56" t="str">
        <f>"EQP-LAWPACK1"</f>
        <v>EQP-LAWPACK1</v>
      </c>
      <c r="M3960" s="14"/>
      <c r="N3960" s="15"/>
      <c r="O3960" s="12"/>
      <c r="P3960" s="34"/>
      <c r="Q3960" s="37"/>
      <c r="R3960" s="47"/>
      <c r="S3960" s="46"/>
    </row>
    <row r="3961" spans="1:19" ht="15.6" hidden="1" customHeight="1" thickBot="1" x14ac:dyDescent="0.3">
      <c r="A3961" t="s">
        <v>23</v>
      </c>
      <c r="B3961" s="60" t="str">
        <f t="shared" ref="B3961:B3963" si="2838">IF(K3961=0,"hide","")</f>
        <v>hide</v>
      </c>
      <c r="D3961" s="48" t="str">
        <f>D3960</f>
        <v>51704</v>
      </c>
      <c r="E3961" s="7"/>
      <c r="F3961" s="27">
        <v>0</v>
      </c>
      <c r="G3961" s="27">
        <v>0</v>
      </c>
      <c r="H3961" s="27">
        <v>0</v>
      </c>
      <c r="I3961" s="27">
        <v>0</v>
      </c>
      <c r="J3961" s="27">
        <v>0</v>
      </c>
      <c r="K3961" s="63">
        <f>AVERAGE(I3961:J3961)</f>
        <v>0</v>
      </c>
      <c r="L3961" s="56" t="str">
        <f>"EQP-LAWPACK2"</f>
        <v>EQP-LAWPACK2</v>
      </c>
      <c r="M3961" s="14"/>
      <c r="N3961" s="15"/>
      <c r="O3961" s="12"/>
      <c r="P3961" s="34"/>
      <c r="Q3961" s="37"/>
      <c r="R3961" s="47"/>
      <c r="S3961" s="46"/>
    </row>
    <row r="3962" spans="1:19" ht="15.6" hidden="1" customHeight="1" thickBot="1" x14ac:dyDescent="0.3">
      <c r="A3962" t="s">
        <v>23</v>
      </c>
      <c r="B3962" s="60" t="str">
        <f t="shared" si="2838"/>
        <v>hide</v>
      </c>
      <c r="D3962" s="48" t="str">
        <f>D3961</f>
        <v>51704</v>
      </c>
      <c r="E3962" s="7"/>
      <c r="F3962" s="27">
        <v>0</v>
      </c>
      <c r="G3962" s="27">
        <v>0</v>
      </c>
      <c r="H3962" s="27">
        <v>0</v>
      </c>
      <c r="I3962" s="27">
        <v>0</v>
      </c>
      <c r="J3962" s="27">
        <v>0</v>
      </c>
      <c r="K3962" s="63">
        <f>AVERAGE(I3962:J3962)</f>
        <v>0</v>
      </c>
      <c r="L3962" s="56" t="str">
        <f>"SW-COMAS-PACKL"</f>
        <v>SW-COMAS-PACKL</v>
      </c>
      <c r="M3962" s="14"/>
      <c r="N3962" s="15"/>
      <c r="O3962" s="12"/>
      <c r="P3962" s="34"/>
      <c r="Q3962" s="37"/>
      <c r="R3962" s="47"/>
      <c r="S3962" s="46"/>
    </row>
    <row r="3963" spans="1:19" ht="15.6" hidden="1" customHeight="1" thickBot="1" x14ac:dyDescent="0.3">
      <c r="A3963" t="s">
        <v>23</v>
      </c>
      <c r="B3963" s="60" t="str">
        <f t="shared" si="2838"/>
        <v>hide</v>
      </c>
      <c r="D3963" s="48" t="str">
        <f>D3962</f>
        <v>51704</v>
      </c>
      <c r="E3963" s="7"/>
      <c r="F3963" s="27">
        <v>0</v>
      </c>
      <c r="G3963" s="27">
        <v>0</v>
      </c>
      <c r="H3963" s="27">
        <v>0</v>
      </c>
      <c r="I3963" s="27">
        <v>0</v>
      </c>
      <c r="J3963" s="27">
        <v>0</v>
      </c>
      <c r="K3963" s="63">
        <f>AVERAGE(I3963:J3963)</f>
        <v>0</v>
      </c>
      <c r="L3963" s="56" t="str">
        <f>"SW-RISER-PACK"</f>
        <v>SW-RISER-PACK</v>
      </c>
      <c r="M3963" s="14"/>
      <c r="N3963" s="15"/>
      <c r="O3963" s="12"/>
      <c r="P3963" s="34"/>
      <c r="Q3963" s="37"/>
      <c r="R3963" s="47"/>
      <c r="S3963" s="46"/>
    </row>
    <row r="3964" spans="1:19" ht="12" hidden="1" customHeight="1" x14ac:dyDescent="0.3">
      <c r="A3964" s="35" t="s">
        <v>908</v>
      </c>
      <c r="B3964" s="49" t="str">
        <f>B3960</f>
        <v>hide</v>
      </c>
      <c r="N3964"/>
      <c r="Q3964" s="33"/>
    </row>
    <row r="3965" spans="1:19" ht="13.8" hidden="1" thickBot="1" x14ac:dyDescent="0.3">
      <c r="A3965" t="s">
        <v>23</v>
      </c>
      <c r="B3965" s="49" t="str">
        <f t="shared" ref="B3965" si="2839">B3964</f>
        <v>hide</v>
      </c>
      <c r="D3965" s="58"/>
      <c r="E3965" s="58"/>
      <c r="F3965" s="52">
        <f>SUM(F3960:F3964)</f>
        <v>0</v>
      </c>
      <c r="G3965" s="52">
        <f>SUM(G3960:G3964)</f>
        <v>0</v>
      </c>
      <c r="H3965" s="52">
        <f>SUM(H3960:H3964)</f>
        <v>0</v>
      </c>
      <c r="I3965" s="52">
        <f>SUM(I3960:I3964)</f>
        <v>0</v>
      </c>
      <c r="J3965" s="52">
        <f>SUM(J3960:J3964)</f>
        <v>0</v>
      </c>
      <c r="K3965" s="52"/>
      <c r="L3965" s="51" t="s">
        <v>4</v>
      </c>
      <c r="M3965" s="58"/>
      <c r="N3965" s="58"/>
      <c r="O3965" s="58"/>
      <c r="P3965" s="58"/>
      <c r="Q3965" s="58"/>
      <c r="R3965" s="58"/>
      <c r="S3965" s="58"/>
    </row>
    <row r="3966" spans="1:19" s="59" customFormat="1" ht="18.75" hidden="1" customHeight="1" thickBot="1" x14ac:dyDescent="0.3">
      <c r="A3966" s="59" t="s">
        <v>23</v>
      </c>
      <c r="B3966" s="60" t="str">
        <f t="shared" ref="B3966:B3967" si="2840">IF(K3966=0,"hide","")</f>
        <v>hide</v>
      </c>
      <c r="D3966" s="61" t="str">
        <f>"51751"</f>
        <v>51751</v>
      </c>
      <c r="E3966" s="62" t="str">
        <f>"1"</f>
        <v>1</v>
      </c>
      <c r="F3966" s="63">
        <v>0</v>
      </c>
      <c r="G3966" s="63">
        <v>0</v>
      </c>
      <c r="H3966" s="63">
        <v>0</v>
      </c>
      <c r="I3966" s="63">
        <v>0</v>
      </c>
      <c r="J3966" s="63">
        <v>0</v>
      </c>
      <c r="K3966" s="63">
        <f>AVERAGE(I3966:J3966)</f>
        <v>0</v>
      </c>
      <c r="L3966" s="64" t="str">
        <f>"BANANA LOAF"</f>
        <v>BANANA LOAF</v>
      </c>
      <c r="M3966" s="65" t="str">
        <f>"72-2 oz. I.W. LOAVES"</f>
        <v>72-2 oz. I.W. LOAVES</v>
      </c>
      <c r="N3966" s="66">
        <v>72</v>
      </c>
      <c r="O3966" s="67" t="str">
        <f>""</f>
        <v/>
      </c>
      <c r="P3966" s="68" t="e">
        <f>1/O3966</f>
        <v>#VALUE!</v>
      </c>
      <c r="Q3966" s="53">
        <v>1</v>
      </c>
      <c r="R3966" s="69">
        <f t="shared" ref="R3966" si="2841">1/Q3966</f>
        <v>1</v>
      </c>
      <c r="S3966" s="70">
        <f t="shared" ref="S3966" si="2842">R3966*N3966</f>
        <v>72</v>
      </c>
    </row>
    <row r="3967" spans="1:19" ht="15.6" hidden="1" customHeight="1" thickBot="1" x14ac:dyDescent="0.3">
      <c r="A3967" t="s">
        <v>23</v>
      </c>
      <c r="B3967" s="60" t="str">
        <f t="shared" si="2840"/>
        <v>hide</v>
      </c>
      <c r="D3967" s="48" t="str">
        <f>D3966</f>
        <v>51751</v>
      </c>
      <c r="E3967" s="7"/>
      <c r="F3967" s="27">
        <v>0</v>
      </c>
      <c r="G3967" s="27">
        <v>0</v>
      </c>
      <c r="H3967" s="27">
        <v>0</v>
      </c>
      <c r="I3967" s="27">
        <v>0</v>
      </c>
      <c r="J3967" s="27">
        <v>0</v>
      </c>
      <c r="K3967" s="63">
        <f>AVERAGE(I3967:J3967)</f>
        <v>0</v>
      </c>
      <c r="L3967" s="56" t="str">
        <f>"EQP-LAWPACK1"</f>
        <v>EQP-LAWPACK1</v>
      </c>
      <c r="M3967" s="14"/>
      <c r="N3967" s="15"/>
      <c r="O3967" s="12"/>
      <c r="P3967" s="34"/>
      <c r="Q3967" s="37"/>
      <c r="R3967" s="47"/>
      <c r="S3967" s="46"/>
    </row>
    <row r="3968" spans="1:19" ht="15.6" hidden="1" customHeight="1" thickBot="1" x14ac:dyDescent="0.3">
      <c r="A3968" t="s">
        <v>23</v>
      </c>
      <c r="B3968" s="60" t="str">
        <f t="shared" ref="B3968:B3970" si="2843">IF(K3968=0,"hide","")</f>
        <v>hide</v>
      </c>
      <c r="D3968" s="48" t="str">
        <f>D3967</f>
        <v>51751</v>
      </c>
      <c r="E3968" s="7"/>
      <c r="F3968" s="27">
        <v>0</v>
      </c>
      <c r="G3968" s="27">
        <v>0</v>
      </c>
      <c r="H3968" s="27">
        <v>0</v>
      </c>
      <c r="I3968" s="27">
        <v>0</v>
      </c>
      <c r="J3968" s="27">
        <v>0</v>
      </c>
      <c r="K3968" s="63">
        <f>AVERAGE(I3968:J3968)</f>
        <v>0</v>
      </c>
      <c r="L3968" s="56" t="str">
        <f>"EQP-LAWPACK2"</f>
        <v>EQP-LAWPACK2</v>
      </c>
      <c r="M3968" s="14"/>
      <c r="N3968" s="15"/>
      <c r="O3968" s="12"/>
      <c r="P3968" s="34"/>
      <c r="Q3968" s="37"/>
      <c r="R3968" s="47"/>
      <c r="S3968" s="46"/>
    </row>
    <row r="3969" spans="1:19" ht="15.6" hidden="1" customHeight="1" thickBot="1" x14ac:dyDescent="0.3">
      <c r="A3969" t="s">
        <v>23</v>
      </c>
      <c r="B3969" s="60" t="str">
        <f t="shared" si="2843"/>
        <v>hide</v>
      </c>
      <c r="D3969" s="48" t="str">
        <f>D3968</f>
        <v>51751</v>
      </c>
      <c r="E3969" s="7"/>
      <c r="F3969" s="27">
        <v>0</v>
      </c>
      <c r="G3969" s="27">
        <v>0</v>
      </c>
      <c r="H3969" s="27">
        <v>0</v>
      </c>
      <c r="I3969" s="27">
        <v>0</v>
      </c>
      <c r="J3969" s="27">
        <v>0</v>
      </c>
      <c r="K3969" s="63">
        <f>AVERAGE(I3969:J3969)</f>
        <v>0</v>
      </c>
      <c r="L3969" s="56" t="str">
        <f>"SW-COMAS-PACKL"</f>
        <v>SW-COMAS-PACKL</v>
      </c>
      <c r="M3969" s="14"/>
      <c r="N3969" s="15"/>
      <c r="O3969" s="12"/>
      <c r="P3969" s="34"/>
      <c r="Q3969" s="37"/>
      <c r="R3969" s="47"/>
      <c r="S3969" s="46"/>
    </row>
    <row r="3970" spans="1:19" ht="15.6" hidden="1" customHeight="1" thickBot="1" x14ac:dyDescent="0.3">
      <c r="A3970" t="s">
        <v>23</v>
      </c>
      <c r="B3970" s="60" t="str">
        <f t="shared" si="2843"/>
        <v>hide</v>
      </c>
      <c r="D3970" s="48" t="str">
        <f>D3969</f>
        <v>51751</v>
      </c>
      <c r="E3970" s="7"/>
      <c r="F3970" s="27">
        <v>0</v>
      </c>
      <c r="G3970" s="27">
        <v>0</v>
      </c>
      <c r="H3970" s="27">
        <v>0</v>
      </c>
      <c r="I3970" s="27">
        <v>0</v>
      </c>
      <c r="J3970" s="27">
        <v>0</v>
      </c>
      <c r="K3970" s="63">
        <f>AVERAGE(I3970:J3970)</f>
        <v>0</v>
      </c>
      <c r="L3970" s="56" t="str">
        <f>"SW-RISER-PACK"</f>
        <v>SW-RISER-PACK</v>
      </c>
      <c r="M3970" s="14"/>
      <c r="N3970" s="15"/>
      <c r="O3970" s="12"/>
      <c r="P3970" s="34"/>
      <c r="Q3970" s="37"/>
      <c r="R3970" s="47"/>
      <c r="S3970" s="46"/>
    </row>
    <row r="3971" spans="1:19" ht="12" hidden="1" customHeight="1" x14ac:dyDescent="0.3">
      <c r="A3971" s="35" t="s">
        <v>908</v>
      </c>
      <c r="B3971" s="49" t="str">
        <f>B3967</f>
        <v>hide</v>
      </c>
      <c r="N3971"/>
      <c r="Q3971" s="33"/>
    </row>
    <row r="3972" spans="1:19" ht="13.8" hidden="1" thickBot="1" x14ac:dyDescent="0.3">
      <c r="A3972" t="s">
        <v>23</v>
      </c>
      <c r="B3972" s="49" t="str">
        <f t="shared" ref="B3972" si="2844">B3971</f>
        <v>hide</v>
      </c>
      <c r="D3972" s="58"/>
      <c r="E3972" s="58"/>
      <c r="F3972" s="52">
        <f>SUM(F3967:F3971)</f>
        <v>0</v>
      </c>
      <c r="G3972" s="52">
        <f>SUM(G3967:G3971)</f>
        <v>0</v>
      </c>
      <c r="H3972" s="52">
        <f>SUM(H3967:H3971)</f>
        <v>0</v>
      </c>
      <c r="I3972" s="52">
        <f>SUM(I3967:I3971)</f>
        <v>0</v>
      </c>
      <c r="J3972" s="52">
        <f>SUM(J3967:J3971)</f>
        <v>0</v>
      </c>
      <c r="K3972" s="52"/>
      <c r="L3972" s="51" t="s">
        <v>4</v>
      </c>
      <c r="M3972" s="58"/>
      <c r="N3972" s="58"/>
      <c r="O3972" s="58"/>
      <c r="P3972" s="58"/>
      <c r="Q3972" s="58"/>
      <c r="R3972" s="58"/>
      <c r="S3972" s="58"/>
    </row>
    <row r="3973" spans="1:19" s="59" customFormat="1" ht="18.75" hidden="1" customHeight="1" thickBot="1" x14ac:dyDescent="0.3">
      <c r="A3973" s="59" t="s">
        <v>23</v>
      </c>
      <c r="B3973" s="60" t="str">
        <f t="shared" ref="B3973:B3974" si="2845">IF(K3973=0,"hide","")</f>
        <v>hide</v>
      </c>
      <c r="D3973" s="61" t="str">
        <f>"51805"</f>
        <v>51805</v>
      </c>
      <c r="E3973" s="62" t="str">
        <f>"1"</f>
        <v>1</v>
      </c>
      <c r="F3973" s="63">
        <v>0</v>
      </c>
      <c r="G3973" s="63">
        <v>0</v>
      </c>
      <c r="H3973" s="63">
        <v>0</v>
      </c>
      <c r="I3973" s="63">
        <v>0</v>
      </c>
      <c r="J3973" s="63">
        <v>0</v>
      </c>
      <c r="K3973" s="63">
        <f>AVERAGE(I3973:J3973)</f>
        <v>0</v>
      </c>
      <c r="L3973" s="64" t="str">
        <f>"CORNBREAD SNACK'N LOAF"</f>
        <v>CORNBREAD SNACK'N LOAF</v>
      </c>
      <c r="M3973" s="65" t="str">
        <f>"72-2 oz. IW"</f>
        <v>72-2 oz. IW</v>
      </c>
      <c r="N3973" s="66">
        <v>72</v>
      </c>
      <c r="O3973" s="67">
        <v>2E-3</v>
      </c>
      <c r="P3973" s="68">
        <f>1/O3973</f>
        <v>500</v>
      </c>
      <c r="Q3973" s="53">
        <v>2.2699999999999999E-3</v>
      </c>
      <c r="R3973" s="69">
        <f t="shared" ref="R3973" si="2846">1/Q3973</f>
        <v>440.52863436123351</v>
      </c>
      <c r="S3973" s="70">
        <f t="shared" ref="S3973" si="2847">R3973*N3973</f>
        <v>31718.061674008812</v>
      </c>
    </row>
    <row r="3974" spans="1:19" ht="15.6" hidden="1" customHeight="1" thickBot="1" x14ac:dyDescent="0.3">
      <c r="A3974" t="s">
        <v>23</v>
      </c>
      <c r="B3974" s="60" t="str">
        <f t="shared" si="2845"/>
        <v>hide</v>
      </c>
      <c r="D3974" s="48" t="str">
        <f>D3973</f>
        <v>51805</v>
      </c>
      <c r="E3974" s="7"/>
      <c r="F3974" s="27">
        <v>0</v>
      </c>
      <c r="G3974" s="27">
        <v>0</v>
      </c>
      <c r="H3974" s="27">
        <v>0</v>
      </c>
      <c r="I3974" s="27">
        <v>0</v>
      </c>
      <c r="J3974" s="27">
        <v>0</v>
      </c>
      <c r="K3974" s="63">
        <f>AVERAGE(I3974:J3974)</f>
        <v>0</v>
      </c>
      <c r="L3974" s="56" t="str">
        <f>"EQP-LAWPACK1"</f>
        <v>EQP-LAWPACK1</v>
      </c>
      <c r="M3974" s="14"/>
      <c r="N3974" s="15"/>
      <c r="O3974" s="12"/>
      <c r="P3974" s="34"/>
      <c r="Q3974" s="37"/>
      <c r="R3974" s="47"/>
      <c r="S3974" s="46"/>
    </row>
    <row r="3975" spans="1:19" ht="15.6" hidden="1" customHeight="1" thickBot="1" x14ac:dyDescent="0.3">
      <c r="A3975" t="s">
        <v>23</v>
      </c>
      <c r="B3975" s="60" t="str">
        <f t="shared" ref="B3975:B3977" si="2848">IF(K3975=0,"hide","")</f>
        <v>hide</v>
      </c>
      <c r="D3975" s="48" t="str">
        <f>D3974</f>
        <v>51805</v>
      </c>
      <c r="E3975" s="7"/>
      <c r="F3975" s="27">
        <v>0</v>
      </c>
      <c r="G3975" s="27">
        <v>0</v>
      </c>
      <c r="H3975" s="27">
        <v>0</v>
      </c>
      <c r="I3975" s="27">
        <v>0</v>
      </c>
      <c r="J3975" s="27">
        <v>0</v>
      </c>
      <c r="K3975" s="63">
        <f>AVERAGE(I3975:J3975)</f>
        <v>0</v>
      </c>
      <c r="L3975" s="56" t="str">
        <f>"EQP-LAWPACK2"</f>
        <v>EQP-LAWPACK2</v>
      </c>
      <c r="M3975" s="14"/>
      <c r="N3975" s="15"/>
      <c r="O3975" s="12"/>
      <c r="P3975" s="34"/>
      <c r="Q3975" s="37"/>
      <c r="R3975" s="47"/>
      <c r="S3975" s="46"/>
    </row>
    <row r="3976" spans="1:19" ht="15.6" hidden="1" customHeight="1" thickBot="1" x14ac:dyDescent="0.3">
      <c r="A3976" t="s">
        <v>23</v>
      </c>
      <c r="B3976" s="60" t="str">
        <f t="shared" si="2848"/>
        <v>hide</v>
      </c>
      <c r="D3976" s="48" t="str">
        <f>D3975</f>
        <v>51805</v>
      </c>
      <c r="E3976" s="7"/>
      <c r="F3976" s="27">
        <v>0</v>
      </c>
      <c r="G3976" s="27">
        <v>0</v>
      </c>
      <c r="H3976" s="27">
        <v>0</v>
      </c>
      <c r="I3976" s="27">
        <v>0</v>
      </c>
      <c r="J3976" s="27">
        <v>0</v>
      </c>
      <c r="K3976" s="63">
        <f>AVERAGE(I3976:J3976)</f>
        <v>0</v>
      </c>
      <c r="L3976" s="56" t="str">
        <f>"SW-COMAS-PACKL"</f>
        <v>SW-COMAS-PACKL</v>
      </c>
      <c r="M3976" s="14"/>
      <c r="N3976" s="15"/>
      <c r="O3976" s="12"/>
      <c r="P3976" s="34"/>
      <c r="Q3976" s="37"/>
      <c r="R3976" s="47"/>
      <c r="S3976" s="46"/>
    </row>
    <row r="3977" spans="1:19" ht="15.6" hidden="1" customHeight="1" thickBot="1" x14ac:dyDescent="0.3">
      <c r="A3977" t="s">
        <v>23</v>
      </c>
      <c r="B3977" s="60" t="str">
        <f t="shared" si="2848"/>
        <v>hide</v>
      </c>
      <c r="D3977" s="48" t="str">
        <f>D3976</f>
        <v>51805</v>
      </c>
      <c r="E3977" s="7"/>
      <c r="F3977" s="27">
        <v>0</v>
      </c>
      <c r="G3977" s="27">
        <v>0</v>
      </c>
      <c r="H3977" s="27">
        <v>0</v>
      </c>
      <c r="I3977" s="27">
        <v>0</v>
      </c>
      <c r="J3977" s="27">
        <v>0</v>
      </c>
      <c r="K3977" s="63">
        <f>AVERAGE(I3977:J3977)</f>
        <v>0</v>
      </c>
      <c r="L3977" s="56" t="str">
        <f>"SW-RISER-PACK"</f>
        <v>SW-RISER-PACK</v>
      </c>
      <c r="M3977" s="14"/>
      <c r="N3977" s="15"/>
      <c r="O3977" s="12"/>
      <c r="P3977" s="34"/>
      <c r="Q3977" s="37"/>
      <c r="R3977" s="47"/>
      <c r="S3977" s="46"/>
    </row>
    <row r="3978" spans="1:19" ht="12" hidden="1" customHeight="1" x14ac:dyDescent="0.3">
      <c r="A3978" s="35" t="s">
        <v>908</v>
      </c>
      <c r="B3978" s="49" t="str">
        <f>B3974</f>
        <v>hide</v>
      </c>
      <c r="N3978"/>
      <c r="Q3978" s="33"/>
    </row>
    <row r="3979" spans="1:19" ht="13.8" hidden="1" thickBot="1" x14ac:dyDescent="0.3">
      <c r="A3979" t="s">
        <v>23</v>
      </c>
      <c r="B3979" s="49" t="str">
        <f t="shared" ref="B3979" si="2849">B3978</f>
        <v>hide</v>
      </c>
      <c r="D3979" s="58"/>
      <c r="E3979" s="58"/>
      <c r="F3979" s="52">
        <f>SUM(F3974:F3978)</f>
        <v>0</v>
      </c>
      <c r="G3979" s="52">
        <f>SUM(G3974:G3978)</f>
        <v>0</v>
      </c>
      <c r="H3979" s="52">
        <f>SUM(H3974:H3978)</f>
        <v>0</v>
      </c>
      <c r="I3979" s="52">
        <f>SUM(I3974:I3978)</f>
        <v>0</v>
      </c>
      <c r="J3979" s="52">
        <f>SUM(J3974:J3978)</f>
        <v>0</v>
      </c>
      <c r="K3979" s="52"/>
      <c r="L3979" s="51" t="s">
        <v>4</v>
      </c>
      <c r="M3979" s="58"/>
      <c r="N3979" s="58"/>
      <c r="O3979" s="58"/>
      <c r="P3979" s="58"/>
      <c r="Q3979" s="58"/>
      <c r="R3979" s="58"/>
      <c r="S3979" s="58"/>
    </row>
    <row r="3980" spans="1:19" s="59" customFormat="1" ht="18.75" hidden="1" customHeight="1" thickBot="1" x14ac:dyDescent="0.3">
      <c r="A3980" s="59" t="s">
        <v>23</v>
      </c>
      <c r="B3980" s="60" t="str">
        <f t="shared" ref="B3980:B3981" si="2850">IF(K3980=0,"hide","")</f>
        <v>hide</v>
      </c>
      <c r="D3980" s="61" t="str">
        <f>"51901"</f>
        <v>51901</v>
      </c>
      <c r="E3980" s="62" t="str">
        <f>"4"</f>
        <v>4</v>
      </c>
      <c r="F3980" s="63">
        <v>53.75</v>
      </c>
      <c r="G3980" s="63">
        <v>21.583333333333332</v>
      </c>
      <c r="H3980" s="63">
        <v>10.916666666666666</v>
      </c>
      <c r="I3980" s="63">
        <v>0</v>
      </c>
      <c r="J3980" s="63">
        <v>0</v>
      </c>
      <c r="K3980" s="63">
        <f>AVERAGE(I3980:J3980)</f>
        <v>0</v>
      </c>
      <c r="L3980" s="64" t="str">
        <f>"344 Mini Loaf, Blueberry, IW"</f>
        <v>344 Mini Loaf, Blueberry, IW</v>
      </c>
      <c r="M3980" s="65" t="str">
        <f>"72/2 oz"</f>
        <v>72/2 oz</v>
      </c>
      <c r="N3980" s="66">
        <v>72</v>
      </c>
      <c r="O3980" s="67">
        <v>2E-3</v>
      </c>
      <c r="P3980" s="68">
        <f>1/O3980</f>
        <v>500</v>
      </c>
      <c r="Q3980" s="53">
        <v>2.2699999999999999E-3</v>
      </c>
      <c r="R3980" s="69">
        <f t="shared" ref="R3980" si="2851">1/Q3980</f>
        <v>440.52863436123351</v>
      </c>
      <c r="S3980" s="70">
        <f t="shared" ref="S3980" si="2852">R3980*N3980</f>
        <v>31718.061674008812</v>
      </c>
    </row>
    <row r="3981" spans="1:19" ht="15.6" hidden="1" customHeight="1" thickBot="1" x14ac:dyDescent="0.3">
      <c r="A3981" t="s">
        <v>23</v>
      </c>
      <c r="B3981" s="60" t="str">
        <f t="shared" si="2850"/>
        <v>hide</v>
      </c>
      <c r="D3981" s="48" t="str">
        <f>D3980</f>
        <v>51901</v>
      </c>
      <c r="E3981" s="7"/>
      <c r="F3981" s="27">
        <v>0</v>
      </c>
      <c r="G3981" s="27">
        <v>0</v>
      </c>
      <c r="H3981" s="27">
        <v>0</v>
      </c>
      <c r="I3981" s="27">
        <v>0</v>
      </c>
      <c r="J3981" s="27">
        <v>0</v>
      </c>
      <c r="K3981" s="63">
        <f>AVERAGE(I3981:J3981)</f>
        <v>0</v>
      </c>
      <c r="L3981" s="56" t="str">
        <f>"EQP-LAWPACK1"</f>
        <v>EQP-LAWPACK1</v>
      </c>
      <c r="M3981" s="14"/>
      <c r="N3981" s="15"/>
      <c r="O3981" s="12"/>
      <c r="P3981" s="34"/>
      <c r="Q3981" s="37"/>
      <c r="R3981" s="47"/>
      <c r="S3981" s="46"/>
    </row>
    <row r="3982" spans="1:19" ht="15.6" hidden="1" customHeight="1" thickBot="1" x14ac:dyDescent="0.3">
      <c r="A3982" t="s">
        <v>23</v>
      </c>
      <c r="B3982" s="60" t="str">
        <f t="shared" ref="B3982:B3984" si="2853">IF(K3982=0,"hide","")</f>
        <v>hide</v>
      </c>
      <c r="D3982" s="48" t="str">
        <f>D3981</f>
        <v>51901</v>
      </c>
      <c r="E3982" s="7"/>
      <c r="F3982" s="27">
        <v>0</v>
      </c>
      <c r="G3982" s="27">
        <v>0</v>
      </c>
      <c r="H3982" s="27">
        <v>0</v>
      </c>
      <c r="I3982" s="27">
        <v>0</v>
      </c>
      <c r="J3982" s="27">
        <v>0</v>
      </c>
      <c r="K3982" s="63">
        <f>AVERAGE(I3982:J3982)</f>
        <v>0</v>
      </c>
      <c r="L3982" s="56" t="str">
        <f>"EQP-LAWPACK2"</f>
        <v>EQP-LAWPACK2</v>
      </c>
      <c r="M3982" s="14"/>
      <c r="N3982" s="15"/>
      <c r="O3982" s="12"/>
      <c r="P3982" s="34"/>
      <c r="Q3982" s="37"/>
      <c r="R3982" s="47"/>
      <c r="S3982" s="46"/>
    </row>
    <row r="3983" spans="1:19" ht="15.6" hidden="1" customHeight="1" thickBot="1" x14ac:dyDescent="0.3">
      <c r="A3983" t="s">
        <v>23</v>
      </c>
      <c r="B3983" s="60" t="str">
        <f t="shared" si="2853"/>
        <v>hide</v>
      </c>
      <c r="D3983" s="48" t="str">
        <f>D3982</f>
        <v>51901</v>
      </c>
      <c r="E3983" s="7"/>
      <c r="F3983" s="27">
        <v>0</v>
      </c>
      <c r="G3983" s="27">
        <v>0</v>
      </c>
      <c r="H3983" s="27">
        <v>0</v>
      </c>
      <c r="I3983" s="27">
        <v>0</v>
      </c>
      <c r="J3983" s="27">
        <v>0</v>
      </c>
      <c r="K3983" s="63">
        <f>AVERAGE(I3983:J3983)</f>
        <v>0</v>
      </c>
      <c r="L3983" s="56" t="str">
        <f>"SW-COMAS-PACKL"</f>
        <v>SW-COMAS-PACKL</v>
      </c>
      <c r="M3983" s="14"/>
      <c r="N3983" s="15"/>
      <c r="O3983" s="12"/>
      <c r="P3983" s="34"/>
      <c r="Q3983" s="37"/>
      <c r="R3983" s="47"/>
      <c r="S3983" s="46"/>
    </row>
    <row r="3984" spans="1:19" ht="15.6" hidden="1" customHeight="1" thickBot="1" x14ac:dyDescent="0.3">
      <c r="A3984" t="s">
        <v>23</v>
      </c>
      <c r="B3984" s="60" t="str">
        <f t="shared" si="2853"/>
        <v>hide</v>
      </c>
      <c r="D3984" s="48" t="str">
        <f>D3983</f>
        <v>51901</v>
      </c>
      <c r="E3984" s="7"/>
      <c r="F3984" s="27">
        <v>0</v>
      </c>
      <c r="G3984" s="27">
        <v>0</v>
      </c>
      <c r="H3984" s="27">
        <v>0</v>
      </c>
      <c r="I3984" s="27">
        <v>0</v>
      </c>
      <c r="J3984" s="27">
        <v>0</v>
      </c>
      <c r="K3984" s="63">
        <f>AVERAGE(I3984:J3984)</f>
        <v>0</v>
      </c>
      <c r="L3984" s="56" t="str">
        <f>"SW-RISER-PACK"</f>
        <v>SW-RISER-PACK</v>
      </c>
      <c r="M3984" s="14"/>
      <c r="N3984" s="15"/>
      <c r="O3984" s="12"/>
      <c r="P3984" s="34"/>
      <c r="Q3984" s="37"/>
      <c r="R3984" s="47"/>
      <c r="S3984" s="46"/>
    </row>
    <row r="3985" spans="1:19" ht="12" hidden="1" customHeight="1" x14ac:dyDescent="0.3">
      <c r="A3985" s="35" t="s">
        <v>908</v>
      </c>
      <c r="B3985" s="49" t="str">
        <f>B3981</f>
        <v>hide</v>
      </c>
      <c r="N3985"/>
      <c r="Q3985" s="33"/>
    </row>
    <row r="3986" spans="1:19" ht="13.8" hidden="1" thickBot="1" x14ac:dyDescent="0.3">
      <c r="A3986" t="s">
        <v>23</v>
      </c>
      <c r="B3986" s="49" t="str">
        <f t="shared" ref="B3986" si="2854">B3985</f>
        <v>hide</v>
      </c>
      <c r="D3986" s="58"/>
      <c r="E3986" s="58"/>
      <c r="F3986" s="52">
        <f>SUM(F3981:F3985)</f>
        <v>0</v>
      </c>
      <c r="G3986" s="52">
        <f>SUM(G3981:G3985)</f>
        <v>0</v>
      </c>
      <c r="H3986" s="52">
        <f>SUM(H3981:H3985)</f>
        <v>0</v>
      </c>
      <c r="I3986" s="52">
        <f>SUM(I3981:I3985)</f>
        <v>0</v>
      </c>
      <c r="J3986" s="52">
        <f>SUM(J3981:J3985)</f>
        <v>0</v>
      </c>
      <c r="K3986" s="52"/>
      <c r="L3986" s="51" t="s">
        <v>4</v>
      </c>
      <c r="M3986" s="58"/>
      <c r="N3986" s="58"/>
      <c r="O3986" s="58"/>
      <c r="P3986" s="58"/>
      <c r="Q3986" s="58"/>
      <c r="R3986" s="58"/>
      <c r="S3986" s="58"/>
    </row>
    <row r="3987" spans="1:19" s="59" customFormat="1" ht="18.75" hidden="1" customHeight="1" thickBot="1" x14ac:dyDescent="0.3">
      <c r="A3987" s="59" t="s">
        <v>23</v>
      </c>
      <c r="B3987" s="60" t="str">
        <f t="shared" ref="B3987:B3988" si="2855">IF(K3987=0,"hide","")</f>
        <v>hide</v>
      </c>
      <c r="D3987" s="61" t="str">
        <f>"51902"</f>
        <v>51902</v>
      </c>
      <c r="E3987" s="62" t="str">
        <f>""</f>
        <v/>
      </c>
      <c r="F3987" s="63">
        <v>0</v>
      </c>
      <c r="G3987" s="63">
        <v>0</v>
      </c>
      <c r="H3987" s="63">
        <v>0</v>
      </c>
      <c r="I3987" s="63">
        <v>0</v>
      </c>
      <c r="J3987" s="63">
        <v>0</v>
      </c>
      <c r="K3987" s="63">
        <f>AVERAGE(I3987:J3987)</f>
        <v>0</v>
      </c>
      <c r="L3987" s="64" t="str">
        <f>"415 WG BERRY LOAVES"</f>
        <v>415 WG BERRY LOAVES</v>
      </c>
      <c r="M3987" s="65" t="str">
        <f>"72/2 oz. I.W."</f>
        <v>72/2 oz. I.W.</v>
      </c>
      <c r="N3987" s="66">
        <v>72</v>
      </c>
      <c r="O3987" s="67" t="e">
        <v>#VALUE!</v>
      </c>
      <c r="P3987" s="68" t="e">
        <f>1/O3987</f>
        <v>#VALUE!</v>
      </c>
      <c r="Q3987" s="53" t="e">
        <v>#VALUE!</v>
      </c>
      <c r="R3987" s="69" t="e">
        <f t="shared" ref="R3987" si="2856">1/Q3987</f>
        <v>#VALUE!</v>
      </c>
      <c r="S3987" s="70" t="e">
        <f t="shared" ref="S3987" si="2857">R3987*N3987</f>
        <v>#VALUE!</v>
      </c>
    </row>
    <row r="3988" spans="1:19" ht="15.6" hidden="1" customHeight="1" thickBot="1" x14ac:dyDescent="0.3">
      <c r="A3988" t="s">
        <v>23</v>
      </c>
      <c r="B3988" s="60" t="str">
        <f t="shared" si="2855"/>
        <v>hide</v>
      </c>
      <c r="D3988" s="48" t="str">
        <f>D3987</f>
        <v>51902</v>
      </c>
      <c r="E3988" s="7"/>
      <c r="F3988" s="27">
        <v>0</v>
      </c>
      <c r="G3988" s="27">
        <v>0</v>
      </c>
      <c r="H3988" s="27">
        <v>0</v>
      </c>
      <c r="I3988" s="27">
        <v>0</v>
      </c>
      <c r="J3988" s="27">
        <v>0</v>
      </c>
      <c r="K3988" s="63">
        <f>AVERAGE(I3988:J3988)</f>
        <v>0</v>
      </c>
      <c r="L3988" s="56" t="str">
        <f>"EQP-LAWPACK1"</f>
        <v>EQP-LAWPACK1</v>
      </c>
      <c r="M3988" s="14"/>
      <c r="N3988" s="15"/>
      <c r="O3988" s="12"/>
      <c r="P3988" s="34"/>
      <c r="Q3988" s="37"/>
      <c r="R3988" s="47"/>
      <c r="S3988" s="46"/>
    </row>
    <row r="3989" spans="1:19" ht="15.6" hidden="1" customHeight="1" thickBot="1" x14ac:dyDescent="0.3">
      <c r="A3989" t="s">
        <v>23</v>
      </c>
      <c r="B3989" s="60" t="str">
        <f t="shared" ref="B3989:B3991" si="2858">IF(K3989=0,"hide","")</f>
        <v>hide</v>
      </c>
      <c r="D3989" s="48" t="str">
        <f>D3988</f>
        <v>51902</v>
      </c>
      <c r="E3989" s="7"/>
      <c r="F3989" s="27">
        <v>0</v>
      </c>
      <c r="G3989" s="27">
        <v>0</v>
      </c>
      <c r="H3989" s="27">
        <v>0</v>
      </c>
      <c r="I3989" s="27">
        <v>0</v>
      </c>
      <c r="J3989" s="27">
        <v>0</v>
      </c>
      <c r="K3989" s="63">
        <f>AVERAGE(I3989:J3989)</f>
        <v>0</v>
      </c>
      <c r="L3989" s="56" t="str">
        <f>"EQP-LAWPACK2"</f>
        <v>EQP-LAWPACK2</v>
      </c>
      <c r="M3989" s="14"/>
      <c r="N3989" s="15"/>
      <c r="O3989" s="12"/>
      <c r="P3989" s="34"/>
      <c r="Q3989" s="37"/>
      <c r="R3989" s="47"/>
      <c r="S3989" s="46"/>
    </row>
    <row r="3990" spans="1:19" ht="15.6" hidden="1" customHeight="1" thickBot="1" x14ac:dyDescent="0.3">
      <c r="A3990" t="s">
        <v>23</v>
      </c>
      <c r="B3990" s="60" t="str">
        <f t="shared" si="2858"/>
        <v>hide</v>
      </c>
      <c r="D3990" s="48" t="str">
        <f>D3989</f>
        <v>51902</v>
      </c>
      <c r="E3990" s="7"/>
      <c r="F3990" s="27">
        <v>0</v>
      </c>
      <c r="G3990" s="27">
        <v>0</v>
      </c>
      <c r="H3990" s="27">
        <v>0</v>
      </c>
      <c r="I3990" s="27">
        <v>0</v>
      </c>
      <c r="J3990" s="27">
        <v>0</v>
      </c>
      <c r="K3990" s="63">
        <f>AVERAGE(I3990:J3990)</f>
        <v>0</v>
      </c>
      <c r="L3990" s="56" t="str">
        <f>"SW-COMAS-PACKL"</f>
        <v>SW-COMAS-PACKL</v>
      </c>
      <c r="M3990" s="14"/>
      <c r="N3990" s="15"/>
      <c r="O3990" s="12"/>
      <c r="P3990" s="34"/>
      <c r="Q3990" s="37"/>
      <c r="R3990" s="47"/>
      <c r="S3990" s="46"/>
    </row>
    <row r="3991" spans="1:19" ht="15.6" hidden="1" customHeight="1" thickBot="1" x14ac:dyDescent="0.3">
      <c r="A3991" t="s">
        <v>23</v>
      </c>
      <c r="B3991" s="60" t="str">
        <f t="shared" si="2858"/>
        <v>hide</v>
      </c>
      <c r="D3991" s="48" t="str">
        <f>D3990</f>
        <v>51902</v>
      </c>
      <c r="E3991" s="7"/>
      <c r="F3991" s="27">
        <v>0</v>
      </c>
      <c r="G3991" s="27">
        <v>0</v>
      </c>
      <c r="H3991" s="27">
        <v>0</v>
      </c>
      <c r="I3991" s="27">
        <v>0</v>
      </c>
      <c r="J3991" s="27">
        <v>0</v>
      </c>
      <c r="K3991" s="63">
        <f>AVERAGE(I3991:J3991)</f>
        <v>0</v>
      </c>
      <c r="L3991" s="56" t="str">
        <f>"SW-RISER-PACK"</f>
        <v>SW-RISER-PACK</v>
      </c>
      <c r="M3991" s="14"/>
      <c r="N3991" s="15"/>
      <c r="O3991" s="12"/>
      <c r="P3991" s="34"/>
      <c r="Q3991" s="37"/>
      <c r="R3991" s="47"/>
      <c r="S3991" s="46"/>
    </row>
    <row r="3992" spans="1:19" ht="12" hidden="1" customHeight="1" x14ac:dyDescent="0.3">
      <c r="A3992" s="35" t="s">
        <v>908</v>
      </c>
      <c r="B3992" s="49" t="str">
        <f>B3988</f>
        <v>hide</v>
      </c>
      <c r="N3992"/>
      <c r="Q3992" s="33"/>
    </row>
    <row r="3993" spans="1:19" ht="13.8" hidden="1" thickBot="1" x14ac:dyDescent="0.3">
      <c r="A3993" t="s">
        <v>23</v>
      </c>
      <c r="B3993" s="49" t="str">
        <f t="shared" ref="B3993" si="2859">B3992</f>
        <v>hide</v>
      </c>
      <c r="D3993" s="58"/>
      <c r="E3993" s="58"/>
      <c r="F3993" s="52">
        <f>SUM(F3988:F3992)</f>
        <v>0</v>
      </c>
      <c r="G3993" s="52">
        <f>SUM(G3988:G3992)</f>
        <v>0</v>
      </c>
      <c r="H3993" s="52">
        <f>SUM(H3988:H3992)</f>
        <v>0</v>
      </c>
      <c r="I3993" s="52">
        <f>SUM(I3988:I3992)</f>
        <v>0</v>
      </c>
      <c r="J3993" s="52">
        <f>SUM(J3988:J3992)</f>
        <v>0</v>
      </c>
      <c r="K3993" s="52"/>
      <c r="L3993" s="51" t="s">
        <v>4</v>
      </c>
      <c r="M3993" s="58"/>
      <c r="N3993" s="58"/>
      <c r="O3993" s="58"/>
      <c r="P3993" s="58"/>
      <c r="Q3993" s="58"/>
      <c r="R3993" s="58"/>
      <c r="S3993" s="58"/>
    </row>
    <row r="3994" spans="1:19" s="59" customFormat="1" ht="18.75" customHeight="1" thickBot="1" x14ac:dyDescent="0.3">
      <c r="A3994" s="59" t="s">
        <v>23</v>
      </c>
      <c r="B3994" s="60" t="str">
        <f t="shared" ref="B3994:B3995" si="2860">IF(K3994=0,"hide","")</f>
        <v/>
      </c>
      <c r="D3994" s="61" t="str">
        <f>"51905"</f>
        <v>51905</v>
      </c>
      <c r="E3994" s="62" t="str">
        <f>"7"</f>
        <v>7</v>
      </c>
      <c r="F3994" s="63">
        <v>452.41666666666669</v>
      </c>
      <c r="G3994" s="63">
        <v>426.08333333333331</v>
      </c>
      <c r="H3994" s="63">
        <v>574.08333333333337</v>
      </c>
      <c r="I3994" s="63">
        <v>694.58333333333337</v>
      </c>
      <c r="J3994" s="63">
        <v>560.88554216867476</v>
      </c>
      <c r="K3994" s="63">
        <f>AVERAGE(I3994:J3994)</f>
        <v>627.73443775100407</v>
      </c>
      <c r="L3994" s="64" t="str">
        <f>"1315 Mini Loaf, Cornbread, RTL, IW"</f>
        <v>1315 Mini Loaf, Cornbread, RTL, IW</v>
      </c>
      <c r="M3994" s="65" t="str">
        <f>"72/2 oz"</f>
        <v>72/2 oz</v>
      </c>
      <c r="N3994" s="66">
        <v>72</v>
      </c>
      <c r="O3994" s="67">
        <v>1E-3</v>
      </c>
      <c r="P3994" s="68">
        <f>1/O3994</f>
        <v>1000</v>
      </c>
      <c r="Q3994" s="53">
        <v>2.2699999999999999E-3</v>
      </c>
      <c r="R3994" s="69">
        <f t="shared" ref="R3994" si="2861">1/Q3994</f>
        <v>440.52863436123351</v>
      </c>
      <c r="S3994" s="70">
        <f t="shared" ref="S3994" si="2862">R3994*N3994</f>
        <v>31718.061674008812</v>
      </c>
    </row>
    <row r="3995" spans="1:19" ht="15.6" hidden="1" customHeight="1" thickBot="1" x14ac:dyDescent="0.3">
      <c r="A3995" t="s">
        <v>23</v>
      </c>
      <c r="B3995" s="60" t="str">
        <f t="shared" si="2860"/>
        <v>hide</v>
      </c>
      <c r="D3995" s="48" t="str">
        <f>D3994</f>
        <v>51905</v>
      </c>
      <c r="E3995" s="7"/>
      <c r="F3995" s="27">
        <v>-34.81333333333334</v>
      </c>
      <c r="G3995" s="27">
        <v>0</v>
      </c>
      <c r="H3995" s="27">
        <v>0</v>
      </c>
      <c r="I3995" s="27">
        <v>0</v>
      </c>
      <c r="J3995" s="27">
        <v>0</v>
      </c>
      <c r="K3995" s="63">
        <f>AVERAGE(I3995:J3995)</f>
        <v>0</v>
      </c>
      <c r="L3995" s="56" t="str">
        <f>"EQP-LAWPACK1"</f>
        <v>EQP-LAWPACK1</v>
      </c>
      <c r="M3995" s="14"/>
      <c r="N3995" s="15"/>
      <c r="O3995" s="12"/>
      <c r="P3995" s="34"/>
      <c r="Q3995" s="37"/>
      <c r="R3995" s="47"/>
      <c r="S3995" s="46"/>
    </row>
    <row r="3996" spans="1:19" ht="15.6" hidden="1" customHeight="1" thickBot="1" x14ac:dyDescent="0.3">
      <c r="A3996" t="s">
        <v>23</v>
      </c>
      <c r="B3996" s="60" t="str">
        <f t="shared" ref="B3996:B3998" si="2863">IF(K3996=0,"hide","")</f>
        <v>hide</v>
      </c>
      <c r="D3996" s="48" t="str">
        <f>D3995</f>
        <v>51905</v>
      </c>
      <c r="E3996" s="7"/>
      <c r="F3996" s="27">
        <v>0</v>
      </c>
      <c r="G3996" s="27">
        <v>0</v>
      </c>
      <c r="H3996" s="27">
        <v>0</v>
      </c>
      <c r="I3996" s="27">
        <v>0</v>
      </c>
      <c r="J3996" s="27">
        <v>0</v>
      </c>
      <c r="K3996" s="63">
        <f>AVERAGE(I3996:J3996)</f>
        <v>0</v>
      </c>
      <c r="L3996" s="56" t="str">
        <f>"EQP-LAWPACK2"</f>
        <v>EQP-LAWPACK2</v>
      </c>
      <c r="M3996" s="14"/>
      <c r="N3996" s="15"/>
      <c r="O3996" s="12"/>
      <c r="P3996" s="34"/>
      <c r="Q3996" s="37"/>
      <c r="R3996" s="47"/>
      <c r="S3996" s="46"/>
    </row>
    <row r="3997" spans="1:19" ht="15.6" hidden="1" customHeight="1" thickBot="1" x14ac:dyDescent="0.3">
      <c r="A3997" t="s">
        <v>23</v>
      </c>
      <c r="B3997" s="60" t="str">
        <f t="shared" si="2863"/>
        <v>hide</v>
      </c>
      <c r="D3997" s="48" t="str">
        <f>D3996</f>
        <v>51905</v>
      </c>
      <c r="E3997" s="7"/>
      <c r="F3997" s="27">
        <v>0</v>
      </c>
      <c r="G3997" s="27">
        <v>0</v>
      </c>
      <c r="H3997" s="27">
        <v>0</v>
      </c>
      <c r="I3997" s="27">
        <v>0</v>
      </c>
      <c r="J3997" s="27">
        <v>0</v>
      </c>
      <c r="K3997" s="63">
        <f>AVERAGE(I3997:J3997)</f>
        <v>0</v>
      </c>
      <c r="L3997" s="56" t="str">
        <f>"SW-COMAS-PACKL"</f>
        <v>SW-COMAS-PACKL</v>
      </c>
      <c r="M3997" s="14"/>
      <c r="N3997" s="15"/>
      <c r="O3997" s="12"/>
      <c r="P3997" s="34"/>
      <c r="Q3997" s="37"/>
      <c r="R3997" s="47"/>
      <c r="S3997" s="46"/>
    </row>
    <row r="3998" spans="1:19" ht="15.6" hidden="1" customHeight="1" thickBot="1" x14ac:dyDescent="0.3">
      <c r="A3998" t="s">
        <v>23</v>
      </c>
      <c r="B3998" s="60" t="str">
        <f t="shared" si="2863"/>
        <v>hide</v>
      </c>
      <c r="D3998" s="48" t="str">
        <f>D3997</f>
        <v>51905</v>
      </c>
      <c r="E3998" s="7"/>
      <c r="F3998" s="27">
        <v>0</v>
      </c>
      <c r="G3998" s="27">
        <v>0</v>
      </c>
      <c r="H3998" s="27">
        <v>0</v>
      </c>
      <c r="I3998" s="27">
        <v>0</v>
      </c>
      <c r="J3998" s="27">
        <v>0</v>
      </c>
      <c r="K3998" s="63">
        <f>AVERAGE(I3998:J3998)</f>
        <v>0</v>
      </c>
      <c r="L3998" s="56" t="str">
        <f>"SW-RISER-PACK"</f>
        <v>SW-RISER-PACK</v>
      </c>
      <c r="M3998" s="14"/>
      <c r="N3998" s="15"/>
      <c r="O3998" s="12"/>
      <c r="P3998" s="34"/>
      <c r="Q3998" s="37"/>
      <c r="R3998" s="47"/>
      <c r="S3998" s="46"/>
    </row>
    <row r="3999" spans="1:19" ht="12" hidden="1" customHeight="1" x14ac:dyDescent="0.3">
      <c r="A3999" s="35" t="s">
        <v>908</v>
      </c>
      <c r="B3999" s="49" t="str">
        <f>B3995</f>
        <v>hide</v>
      </c>
      <c r="N3999"/>
      <c r="Q3999" s="33"/>
    </row>
    <row r="4000" spans="1:19" ht="13.8" hidden="1" thickBot="1" x14ac:dyDescent="0.3">
      <c r="A4000" t="s">
        <v>23</v>
      </c>
      <c r="B4000" s="49" t="str">
        <f t="shared" ref="B4000" si="2864">B3999</f>
        <v>hide</v>
      </c>
      <c r="D4000" s="58"/>
      <c r="E4000" s="58"/>
      <c r="F4000" s="52">
        <f>SUM(F3995:F3999)</f>
        <v>-34.81333333333334</v>
      </c>
      <c r="G4000" s="52">
        <f>SUM(G3995:G3999)</f>
        <v>0</v>
      </c>
      <c r="H4000" s="52">
        <f>SUM(H3995:H3999)</f>
        <v>0</v>
      </c>
      <c r="I4000" s="52">
        <f>SUM(I3995:I3999)</f>
        <v>0</v>
      </c>
      <c r="J4000" s="52">
        <f>SUM(J3995:J3999)</f>
        <v>0</v>
      </c>
      <c r="K4000" s="52"/>
      <c r="L4000" s="51" t="s">
        <v>4</v>
      </c>
      <c r="M4000" s="58"/>
      <c r="N4000" s="58"/>
      <c r="O4000" s="58"/>
      <c r="P4000" s="58"/>
      <c r="Q4000" s="58"/>
      <c r="R4000" s="58"/>
      <c r="S4000" s="58"/>
    </row>
    <row r="4001" spans="1:19" s="59" customFormat="1" ht="18.75" hidden="1" customHeight="1" thickBot="1" x14ac:dyDescent="0.3">
      <c r="A4001" s="59" t="s">
        <v>23</v>
      </c>
      <c r="B4001" s="60" t="str">
        <f t="shared" ref="B4001:B4002" si="2865">IF(K4001=0,"hide","")</f>
        <v>hide</v>
      </c>
      <c r="D4001" s="61" t="str">
        <f>"51906"</f>
        <v>51906</v>
      </c>
      <c r="E4001" s="62" t="str">
        <f>"4"</f>
        <v>4</v>
      </c>
      <c r="F4001" s="63">
        <v>12.25</v>
      </c>
      <c r="G4001" s="63">
        <v>0</v>
      </c>
      <c r="H4001" s="63">
        <v>0</v>
      </c>
      <c r="I4001" s="63">
        <v>0</v>
      </c>
      <c r="J4001" s="63">
        <v>0</v>
      </c>
      <c r="K4001" s="63">
        <f>AVERAGE(I4001:J4001)</f>
        <v>0</v>
      </c>
      <c r="L4001" s="64" t="str">
        <f>"345 Mini Loaf, Apple Cinnamon, IW"</f>
        <v>345 Mini Loaf, Apple Cinnamon, IW</v>
      </c>
      <c r="M4001" s="65" t="str">
        <f>"72/2 oz"</f>
        <v>72/2 oz</v>
      </c>
      <c r="N4001" s="66">
        <v>72</v>
      </c>
      <c r="O4001" s="67">
        <v>1E-3</v>
      </c>
      <c r="P4001" s="68">
        <f>1/O4001</f>
        <v>1000</v>
      </c>
      <c r="Q4001" s="53">
        <v>2.2699999999999999E-3</v>
      </c>
      <c r="R4001" s="69">
        <f t="shared" ref="R4001" si="2866">1/Q4001</f>
        <v>440.52863436123351</v>
      </c>
      <c r="S4001" s="70">
        <f t="shared" ref="S4001" si="2867">R4001*N4001</f>
        <v>31718.061674008812</v>
      </c>
    </row>
    <row r="4002" spans="1:19" ht="15.6" hidden="1" customHeight="1" thickBot="1" x14ac:dyDescent="0.3">
      <c r="A4002" t="s">
        <v>23</v>
      </c>
      <c r="B4002" s="60" t="str">
        <f t="shared" si="2865"/>
        <v>hide</v>
      </c>
      <c r="D4002" s="48" t="str">
        <f>D4001</f>
        <v>51906</v>
      </c>
      <c r="E4002" s="7"/>
      <c r="F4002" s="27">
        <v>0</v>
      </c>
      <c r="G4002" s="27">
        <v>0</v>
      </c>
      <c r="H4002" s="27">
        <v>0</v>
      </c>
      <c r="I4002" s="27">
        <v>0</v>
      </c>
      <c r="J4002" s="27">
        <v>0</v>
      </c>
      <c r="K4002" s="63">
        <f>AVERAGE(I4002:J4002)</f>
        <v>0</v>
      </c>
      <c r="L4002" s="56" t="str">
        <f>"EQP-LAWPACK1"</f>
        <v>EQP-LAWPACK1</v>
      </c>
      <c r="M4002" s="14"/>
      <c r="N4002" s="15"/>
      <c r="O4002" s="12"/>
      <c r="P4002" s="34"/>
      <c r="Q4002" s="37"/>
      <c r="R4002" s="47"/>
      <c r="S4002" s="46"/>
    </row>
    <row r="4003" spans="1:19" ht="15.6" hidden="1" customHeight="1" thickBot="1" x14ac:dyDescent="0.3">
      <c r="A4003" t="s">
        <v>23</v>
      </c>
      <c r="B4003" s="60" t="str">
        <f t="shared" ref="B4003:B4005" si="2868">IF(K4003=0,"hide","")</f>
        <v>hide</v>
      </c>
      <c r="D4003" s="48" t="str">
        <f>D4002</f>
        <v>51906</v>
      </c>
      <c r="E4003" s="7"/>
      <c r="F4003" s="27">
        <v>0</v>
      </c>
      <c r="G4003" s="27">
        <v>0</v>
      </c>
      <c r="H4003" s="27">
        <v>0</v>
      </c>
      <c r="I4003" s="27">
        <v>0</v>
      </c>
      <c r="J4003" s="27">
        <v>0</v>
      </c>
      <c r="K4003" s="63">
        <f>AVERAGE(I4003:J4003)</f>
        <v>0</v>
      </c>
      <c r="L4003" s="56" t="str">
        <f>"EQP-LAWPACK2"</f>
        <v>EQP-LAWPACK2</v>
      </c>
      <c r="M4003" s="14"/>
      <c r="N4003" s="15"/>
      <c r="O4003" s="12"/>
      <c r="P4003" s="34"/>
      <c r="Q4003" s="37"/>
      <c r="R4003" s="47"/>
      <c r="S4003" s="46"/>
    </row>
    <row r="4004" spans="1:19" ht="15.6" hidden="1" customHeight="1" thickBot="1" x14ac:dyDescent="0.3">
      <c r="A4004" t="s">
        <v>23</v>
      </c>
      <c r="B4004" s="60" t="str">
        <f t="shared" si="2868"/>
        <v>hide</v>
      </c>
      <c r="D4004" s="48" t="str">
        <f>D4003</f>
        <v>51906</v>
      </c>
      <c r="E4004" s="7"/>
      <c r="F4004" s="27">
        <v>0</v>
      </c>
      <c r="G4004" s="27">
        <v>0</v>
      </c>
      <c r="H4004" s="27">
        <v>0</v>
      </c>
      <c r="I4004" s="27">
        <v>0</v>
      </c>
      <c r="J4004" s="27">
        <v>0</v>
      </c>
      <c r="K4004" s="63">
        <f>AVERAGE(I4004:J4004)</f>
        <v>0</v>
      </c>
      <c r="L4004" s="56" t="str">
        <f>"SW-COMAS-PACKL"</f>
        <v>SW-COMAS-PACKL</v>
      </c>
      <c r="M4004" s="14"/>
      <c r="N4004" s="15"/>
      <c r="O4004" s="12"/>
      <c r="P4004" s="34"/>
      <c r="Q4004" s="37"/>
      <c r="R4004" s="47"/>
      <c r="S4004" s="46"/>
    </row>
    <row r="4005" spans="1:19" ht="15.6" hidden="1" customHeight="1" thickBot="1" x14ac:dyDescent="0.3">
      <c r="A4005" t="s">
        <v>23</v>
      </c>
      <c r="B4005" s="60" t="str">
        <f t="shared" si="2868"/>
        <v>hide</v>
      </c>
      <c r="D4005" s="48" t="str">
        <f>D4004</f>
        <v>51906</v>
      </c>
      <c r="E4005" s="7"/>
      <c r="F4005" s="27">
        <v>0</v>
      </c>
      <c r="G4005" s="27">
        <v>0</v>
      </c>
      <c r="H4005" s="27">
        <v>0</v>
      </c>
      <c r="I4005" s="27">
        <v>0</v>
      </c>
      <c r="J4005" s="27">
        <v>0</v>
      </c>
      <c r="K4005" s="63">
        <f>AVERAGE(I4005:J4005)</f>
        <v>0</v>
      </c>
      <c r="L4005" s="56" t="str">
        <f>"SW-RISER-PACK"</f>
        <v>SW-RISER-PACK</v>
      </c>
      <c r="M4005" s="14"/>
      <c r="N4005" s="15"/>
      <c r="O4005" s="12"/>
      <c r="P4005" s="34"/>
      <c r="Q4005" s="37"/>
      <c r="R4005" s="47"/>
      <c r="S4005" s="46"/>
    </row>
    <row r="4006" spans="1:19" ht="12" hidden="1" customHeight="1" x14ac:dyDescent="0.3">
      <c r="A4006" s="35" t="s">
        <v>908</v>
      </c>
      <c r="B4006" s="49" t="str">
        <f>B4002</f>
        <v>hide</v>
      </c>
      <c r="N4006"/>
      <c r="Q4006" s="33"/>
    </row>
    <row r="4007" spans="1:19" ht="13.8" hidden="1" thickBot="1" x14ac:dyDescent="0.3">
      <c r="A4007" t="s">
        <v>23</v>
      </c>
      <c r="B4007" s="49" t="str">
        <f t="shared" ref="B4007" si="2869">B4006</f>
        <v>hide</v>
      </c>
      <c r="D4007" s="58"/>
      <c r="E4007" s="58"/>
      <c r="F4007" s="52">
        <f>SUM(F4002:F4006)</f>
        <v>0</v>
      </c>
      <c r="G4007" s="52">
        <f>SUM(G4002:G4006)</f>
        <v>0</v>
      </c>
      <c r="H4007" s="52">
        <f>SUM(H4002:H4006)</f>
        <v>0</v>
      </c>
      <c r="I4007" s="52">
        <f>SUM(I4002:I4006)</f>
        <v>0</v>
      </c>
      <c r="J4007" s="52">
        <f>SUM(J4002:J4006)</f>
        <v>0</v>
      </c>
      <c r="K4007" s="52"/>
      <c r="L4007" s="51" t="s">
        <v>4</v>
      </c>
      <c r="M4007" s="58"/>
      <c r="N4007" s="58"/>
      <c r="O4007" s="58"/>
      <c r="P4007" s="58"/>
      <c r="Q4007" s="58"/>
      <c r="R4007" s="58"/>
      <c r="S4007" s="58"/>
    </row>
    <row r="4008" spans="1:19" s="59" customFormat="1" ht="18.75" hidden="1" customHeight="1" thickBot="1" x14ac:dyDescent="0.3">
      <c r="A4008" s="59" t="s">
        <v>23</v>
      </c>
      <c r="B4008" s="60" t="str">
        <f t="shared" ref="B4008:B4009" si="2870">IF(K4008=0,"hide","")</f>
        <v>hide</v>
      </c>
      <c r="D4008" s="61" t="str">
        <f>"51919"</f>
        <v>51919</v>
      </c>
      <c r="E4008" s="62" t="str">
        <f>"3"</f>
        <v>3</v>
      </c>
      <c r="F4008" s="63">
        <v>0</v>
      </c>
      <c r="G4008" s="63">
        <v>0</v>
      </c>
      <c r="H4008" s="63">
        <v>0</v>
      </c>
      <c r="I4008" s="63">
        <v>0</v>
      </c>
      <c r="J4008" s="63">
        <v>0</v>
      </c>
      <c r="K4008" s="63">
        <f>AVERAGE(I4008:J4008)</f>
        <v>0</v>
      </c>
      <c r="L4008" s="64" t="str">
        <f>"414 WG ORANGE"</f>
        <v>414 WG ORANGE</v>
      </c>
      <c r="M4008" s="65" t="str">
        <f>"72/2 oz. I.W. LOAVES"</f>
        <v>72/2 oz. I.W. LOAVES</v>
      </c>
      <c r="N4008" s="66">
        <v>72</v>
      </c>
      <c r="O4008" s="67" t="str">
        <f>""</f>
        <v/>
      </c>
      <c r="P4008" s="68" t="e">
        <f>1/O4008</f>
        <v>#VALUE!</v>
      </c>
      <c r="Q4008" s="53">
        <v>1</v>
      </c>
      <c r="R4008" s="69">
        <f t="shared" ref="R4008" si="2871">1/Q4008</f>
        <v>1</v>
      </c>
      <c r="S4008" s="70">
        <f t="shared" ref="S4008" si="2872">R4008*N4008</f>
        <v>72</v>
      </c>
    </row>
    <row r="4009" spans="1:19" ht="15.6" hidden="1" customHeight="1" thickBot="1" x14ac:dyDescent="0.3">
      <c r="A4009" t="s">
        <v>23</v>
      </c>
      <c r="B4009" s="60" t="str">
        <f t="shared" si="2870"/>
        <v>hide</v>
      </c>
      <c r="D4009" s="48" t="str">
        <f>D4008</f>
        <v>51919</v>
      </c>
      <c r="E4009" s="7"/>
      <c r="F4009" s="27">
        <v>0</v>
      </c>
      <c r="G4009" s="27">
        <v>0</v>
      </c>
      <c r="H4009" s="27">
        <v>0</v>
      </c>
      <c r="I4009" s="27">
        <v>0</v>
      </c>
      <c r="J4009" s="27">
        <v>0</v>
      </c>
      <c r="K4009" s="63">
        <f>AVERAGE(I4009:J4009)</f>
        <v>0</v>
      </c>
      <c r="L4009" s="56" t="str">
        <f>"EQP-LAWPACK1"</f>
        <v>EQP-LAWPACK1</v>
      </c>
      <c r="M4009" s="14"/>
      <c r="N4009" s="15"/>
      <c r="O4009" s="12"/>
      <c r="P4009" s="34"/>
      <c r="Q4009" s="37"/>
      <c r="R4009" s="47"/>
      <c r="S4009" s="46"/>
    </row>
    <row r="4010" spans="1:19" ht="15.6" hidden="1" customHeight="1" thickBot="1" x14ac:dyDescent="0.3">
      <c r="A4010" t="s">
        <v>23</v>
      </c>
      <c r="B4010" s="60" t="str">
        <f t="shared" ref="B4010:B4012" si="2873">IF(K4010=0,"hide","")</f>
        <v>hide</v>
      </c>
      <c r="D4010" s="48" t="str">
        <f>D4009</f>
        <v>51919</v>
      </c>
      <c r="E4010" s="7"/>
      <c r="F4010" s="27">
        <v>0</v>
      </c>
      <c r="G4010" s="27">
        <v>0</v>
      </c>
      <c r="H4010" s="27">
        <v>0</v>
      </c>
      <c r="I4010" s="27">
        <v>0</v>
      </c>
      <c r="J4010" s="27">
        <v>0</v>
      </c>
      <c r="K4010" s="63">
        <f>AVERAGE(I4010:J4010)</f>
        <v>0</v>
      </c>
      <c r="L4010" s="56" t="str">
        <f>"EQP-LAWPACK2"</f>
        <v>EQP-LAWPACK2</v>
      </c>
      <c r="M4010" s="14"/>
      <c r="N4010" s="15"/>
      <c r="O4010" s="12"/>
      <c r="P4010" s="34"/>
      <c r="Q4010" s="37"/>
      <c r="R4010" s="47"/>
      <c r="S4010" s="46"/>
    </row>
    <row r="4011" spans="1:19" ht="15.6" hidden="1" customHeight="1" thickBot="1" x14ac:dyDescent="0.3">
      <c r="A4011" t="s">
        <v>23</v>
      </c>
      <c r="B4011" s="60" t="str">
        <f t="shared" si="2873"/>
        <v>hide</v>
      </c>
      <c r="D4011" s="48" t="str">
        <f>D4010</f>
        <v>51919</v>
      </c>
      <c r="E4011" s="7"/>
      <c r="F4011" s="27">
        <v>0</v>
      </c>
      <c r="G4011" s="27">
        <v>0</v>
      </c>
      <c r="H4011" s="27">
        <v>0</v>
      </c>
      <c r="I4011" s="27">
        <v>0</v>
      </c>
      <c r="J4011" s="27">
        <v>0</v>
      </c>
      <c r="K4011" s="63">
        <f>AVERAGE(I4011:J4011)</f>
        <v>0</v>
      </c>
      <c r="L4011" s="56" t="str">
        <f>"SW-COMAS-PACKL"</f>
        <v>SW-COMAS-PACKL</v>
      </c>
      <c r="M4011" s="14"/>
      <c r="N4011" s="15"/>
      <c r="O4011" s="12"/>
      <c r="P4011" s="34"/>
      <c r="Q4011" s="37"/>
      <c r="R4011" s="47"/>
      <c r="S4011" s="46"/>
    </row>
    <row r="4012" spans="1:19" ht="15.6" hidden="1" customHeight="1" thickBot="1" x14ac:dyDescent="0.3">
      <c r="A4012" t="s">
        <v>23</v>
      </c>
      <c r="B4012" s="60" t="str">
        <f t="shared" si="2873"/>
        <v>hide</v>
      </c>
      <c r="D4012" s="48" t="str">
        <f>D4011</f>
        <v>51919</v>
      </c>
      <c r="E4012" s="7"/>
      <c r="F4012" s="27">
        <v>0</v>
      </c>
      <c r="G4012" s="27">
        <v>0</v>
      </c>
      <c r="H4012" s="27">
        <v>0</v>
      </c>
      <c r="I4012" s="27">
        <v>0</v>
      </c>
      <c r="J4012" s="27">
        <v>0</v>
      </c>
      <c r="K4012" s="63">
        <f>AVERAGE(I4012:J4012)</f>
        <v>0</v>
      </c>
      <c r="L4012" s="56" t="str">
        <f>"SW-RISER-PACK"</f>
        <v>SW-RISER-PACK</v>
      </c>
      <c r="M4012" s="14"/>
      <c r="N4012" s="15"/>
      <c r="O4012" s="12"/>
      <c r="P4012" s="34"/>
      <c r="Q4012" s="37"/>
      <c r="R4012" s="47"/>
      <c r="S4012" s="46"/>
    </row>
    <row r="4013" spans="1:19" ht="12" hidden="1" customHeight="1" x14ac:dyDescent="0.3">
      <c r="A4013" s="35" t="s">
        <v>908</v>
      </c>
      <c r="B4013" s="49" t="str">
        <f>B4009</f>
        <v>hide</v>
      </c>
      <c r="N4013"/>
      <c r="Q4013" s="33"/>
    </row>
    <row r="4014" spans="1:19" ht="13.8" hidden="1" thickBot="1" x14ac:dyDescent="0.3">
      <c r="A4014" t="s">
        <v>23</v>
      </c>
      <c r="B4014" s="49" t="str">
        <f t="shared" ref="B4014" si="2874">B4013</f>
        <v>hide</v>
      </c>
      <c r="D4014" s="58"/>
      <c r="E4014" s="58"/>
      <c r="F4014" s="52">
        <f>SUM(F4009:F4013)</f>
        <v>0</v>
      </c>
      <c r="G4014" s="52">
        <f>SUM(G4009:G4013)</f>
        <v>0</v>
      </c>
      <c r="H4014" s="52">
        <f>SUM(H4009:H4013)</f>
        <v>0</v>
      </c>
      <c r="I4014" s="52">
        <f>SUM(I4009:I4013)</f>
        <v>0</v>
      </c>
      <c r="J4014" s="52">
        <f>SUM(J4009:J4013)</f>
        <v>0</v>
      </c>
      <c r="K4014" s="52"/>
      <c r="L4014" s="51" t="s">
        <v>4</v>
      </c>
      <c r="M4014" s="58"/>
      <c r="N4014" s="58"/>
      <c r="O4014" s="58"/>
      <c r="P4014" s="58"/>
      <c r="Q4014" s="58"/>
      <c r="R4014" s="58"/>
      <c r="S4014" s="58"/>
    </row>
    <row r="4015" spans="1:19" s="59" customFormat="1" ht="18.75" hidden="1" customHeight="1" thickBot="1" x14ac:dyDescent="0.3">
      <c r="A4015" s="59" t="s">
        <v>23</v>
      </c>
      <c r="B4015" s="60" t="str">
        <f t="shared" ref="B4015:B4016" si="2875">IF(K4015=0,"hide","")</f>
        <v>hide</v>
      </c>
      <c r="D4015" s="61" t="str">
        <f>"51921"</f>
        <v>51921</v>
      </c>
      <c r="E4015" s="62" t="str">
        <f>"3"</f>
        <v>3</v>
      </c>
      <c r="F4015" s="63">
        <v>34.916666666666664</v>
      </c>
      <c r="G4015" s="63">
        <v>0</v>
      </c>
      <c r="H4015" s="63">
        <v>0</v>
      </c>
      <c r="I4015" s="63">
        <v>0</v>
      </c>
      <c r="J4015" s="63">
        <v>0</v>
      </c>
      <c r="K4015" s="63">
        <f>AVERAGE(I4015:J4015)</f>
        <v>0</v>
      </c>
      <c r="L4015" s="64" t="str">
        <f>"409 Mini Loaf, WG, Tropical, IW"</f>
        <v>409 Mini Loaf, WG, Tropical, IW</v>
      </c>
      <c r="M4015" s="65" t="str">
        <f>"72/2 oz"</f>
        <v>72/2 oz</v>
      </c>
      <c r="N4015" s="66">
        <v>72</v>
      </c>
      <c r="O4015" s="67" t="str">
        <f>""</f>
        <v/>
      </c>
      <c r="P4015" s="68" t="e">
        <f>1/O4015</f>
        <v>#VALUE!</v>
      </c>
      <c r="Q4015" s="53">
        <v>1</v>
      </c>
      <c r="R4015" s="69">
        <f t="shared" ref="R4015" si="2876">1/Q4015</f>
        <v>1</v>
      </c>
      <c r="S4015" s="70">
        <f t="shared" ref="S4015" si="2877">R4015*N4015</f>
        <v>72</v>
      </c>
    </row>
    <row r="4016" spans="1:19" ht="15.6" hidden="1" customHeight="1" thickBot="1" x14ac:dyDescent="0.3">
      <c r="A4016" t="s">
        <v>23</v>
      </c>
      <c r="B4016" s="60" t="str">
        <f t="shared" si="2875"/>
        <v>hide</v>
      </c>
      <c r="D4016" s="48" t="str">
        <f>D4015</f>
        <v>51921</v>
      </c>
      <c r="E4016" s="7"/>
      <c r="F4016" s="27">
        <v>0</v>
      </c>
      <c r="G4016" s="27">
        <v>0</v>
      </c>
      <c r="H4016" s="27">
        <v>0</v>
      </c>
      <c r="I4016" s="27">
        <v>0</v>
      </c>
      <c r="J4016" s="27">
        <v>0</v>
      </c>
      <c r="K4016" s="63">
        <f>AVERAGE(I4016:J4016)</f>
        <v>0</v>
      </c>
      <c r="L4016" s="56" t="str">
        <f>"EQP-LAWPACK1"</f>
        <v>EQP-LAWPACK1</v>
      </c>
      <c r="M4016" s="14"/>
      <c r="N4016" s="15"/>
      <c r="O4016" s="12"/>
      <c r="P4016" s="34"/>
      <c r="Q4016" s="37"/>
      <c r="R4016" s="47"/>
      <c r="S4016" s="46"/>
    </row>
    <row r="4017" spans="1:19" ht="15.6" hidden="1" customHeight="1" thickBot="1" x14ac:dyDescent="0.3">
      <c r="A4017" t="s">
        <v>23</v>
      </c>
      <c r="B4017" s="60" t="str">
        <f t="shared" ref="B4017:B4019" si="2878">IF(K4017=0,"hide","")</f>
        <v>hide</v>
      </c>
      <c r="D4017" s="48" t="str">
        <f>D4016</f>
        <v>51921</v>
      </c>
      <c r="E4017" s="7"/>
      <c r="F4017" s="27">
        <v>0</v>
      </c>
      <c r="G4017" s="27">
        <v>0</v>
      </c>
      <c r="H4017" s="27">
        <v>0</v>
      </c>
      <c r="I4017" s="27">
        <v>0</v>
      </c>
      <c r="J4017" s="27">
        <v>0</v>
      </c>
      <c r="K4017" s="63">
        <f>AVERAGE(I4017:J4017)</f>
        <v>0</v>
      </c>
      <c r="L4017" s="56" t="str">
        <f>"EQP-LAWPACK2"</f>
        <v>EQP-LAWPACK2</v>
      </c>
      <c r="M4017" s="14"/>
      <c r="N4017" s="15"/>
      <c r="O4017" s="12"/>
      <c r="P4017" s="34"/>
      <c r="Q4017" s="37"/>
      <c r="R4017" s="47"/>
      <c r="S4017" s="46"/>
    </row>
    <row r="4018" spans="1:19" ht="15.6" hidden="1" customHeight="1" thickBot="1" x14ac:dyDescent="0.3">
      <c r="A4018" t="s">
        <v>23</v>
      </c>
      <c r="B4018" s="60" t="str">
        <f t="shared" si="2878"/>
        <v>hide</v>
      </c>
      <c r="D4018" s="48" t="str">
        <f>D4017</f>
        <v>51921</v>
      </c>
      <c r="E4018" s="7"/>
      <c r="F4018" s="27">
        <v>0</v>
      </c>
      <c r="G4018" s="27">
        <v>0</v>
      </c>
      <c r="H4018" s="27">
        <v>0</v>
      </c>
      <c r="I4018" s="27">
        <v>0</v>
      </c>
      <c r="J4018" s="27">
        <v>0</v>
      </c>
      <c r="K4018" s="63">
        <f>AVERAGE(I4018:J4018)</f>
        <v>0</v>
      </c>
      <c r="L4018" s="56" t="str">
        <f>"SW-COMAS-PACKL"</f>
        <v>SW-COMAS-PACKL</v>
      </c>
      <c r="M4018" s="14"/>
      <c r="N4018" s="15"/>
      <c r="O4018" s="12"/>
      <c r="P4018" s="34"/>
      <c r="Q4018" s="37"/>
      <c r="R4018" s="47"/>
      <c r="S4018" s="46"/>
    </row>
    <row r="4019" spans="1:19" ht="15.6" hidden="1" customHeight="1" thickBot="1" x14ac:dyDescent="0.3">
      <c r="A4019" t="s">
        <v>23</v>
      </c>
      <c r="B4019" s="60" t="str">
        <f t="shared" si="2878"/>
        <v>hide</v>
      </c>
      <c r="D4019" s="48" t="str">
        <f>D4018</f>
        <v>51921</v>
      </c>
      <c r="E4019" s="7"/>
      <c r="F4019" s="27">
        <v>0</v>
      </c>
      <c r="G4019" s="27">
        <v>0</v>
      </c>
      <c r="H4019" s="27">
        <v>0</v>
      </c>
      <c r="I4019" s="27">
        <v>0</v>
      </c>
      <c r="J4019" s="27">
        <v>0</v>
      </c>
      <c r="K4019" s="63">
        <f>AVERAGE(I4019:J4019)</f>
        <v>0</v>
      </c>
      <c r="L4019" s="56" t="str">
        <f>"SW-RISER-PACK"</f>
        <v>SW-RISER-PACK</v>
      </c>
      <c r="M4019" s="14"/>
      <c r="N4019" s="15"/>
      <c r="O4019" s="12"/>
      <c r="P4019" s="34"/>
      <c r="Q4019" s="37"/>
      <c r="R4019" s="47"/>
      <c r="S4019" s="46"/>
    </row>
    <row r="4020" spans="1:19" ht="12" hidden="1" customHeight="1" x14ac:dyDescent="0.3">
      <c r="A4020" s="35" t="s">
        <v>908</v>
      </c>
      <c r="B4020" s="49" t="str">
        <f>B4016</f>
        <v>hide</v>
      </c>
      <c r="N4020"/>
      <c r="Q4020" s="33"/>
    </row>
    <row r="4021" spans="1:19" ht="13.8" hidden="1" thickBot="1" x14ac:dyDescent="0.3">
      <c r="A4021" t="s">
        <v>23</v>
      </c>
      <c r="B4021" s="49" t="str">
        <f t="shared" ref="B4021" si="2879">B4020</f>
        <v>hide</v>
      </c>
      <c r="D4021" s="58"/>
      <c r="E4021" s="58"/>
      <c r="F4021" s="52">
        <f>SUM(F4016:F4020)</f>
        <v>0</v>
      </c>
      <c r="G4021" s="52">
        <f>SUM(G4016:G4020)</f>
        <v>0</v>
      </c>
      <c r="H4021" s="52">
        <f>SUM(H4016:H4020)</f>
        <v>0</v>
      </c>
      <c r="I4021" s="52">
        <f>SUM(I4016:I4020)</f>
        <v>0</v>
      </c>
      <c r="J4021" s="52">
        <f>SUM(J4016:J4020)</f>
        <v>0</v>
      </c>
      <c r="K4021" s="52"/>
      <c r="L4021" s="51" t="s">
        <v>4</v>
      </c>
      <c r="M4021" s="58"/>
      <c r="N4021" s="58"/>
      <c r="O4021" s="58"/>
      <c r="P4021" s="58"/>
      <c r="Q4021" s="58"/>
      <c r="R4021" s="58"/>
      <c r="S4021" s="58"/>
    </row>
    <row r="4022" spans="1:19" s="59" customFormat="1" ht="18.75" customHeight="1" thickBot="1" x14ac:dyDescent="0.3">
      <c r="A4022" s="59" t="s">
        <v>23</v>
      </c>
      <c r="B4022" s="60" t="str">
        <f t="shared" ref="B4022:B4023" si="2880">IF(K4022=0,"hide","")</f>
        <v/>
      </c>
      <c r="D4022" s="61" t="str">
        <f>"51941"</f>
        <v>51941</v>
      </c>
      <c r="E4022" s="62" t="str">
        <f>"9"</f>
        <v>9</v>
      </c>
      <c r="F4022" s="63">
        <v>1666.0833333333333</v>
      </c>
      <c r="G4022" s="63">
        <v>1757</v>
      </c>
      <c r="H4022" s="63">
        <v>1769.0833333333333</v>
      </c>
      <c r="I4022" s="63">
        <v>1787.5</v>
      </c>
      <c r="J4022" s="63">
        <v>1364.878313253012</v>
      </c>
      <c r="K4022" s="63">
        <f>AVERAGE(I4022:J4022)</f>
        <v>1576.189156626506</v>
      </c>
      <c r="L4022" s="64" t="str">
        <f>"411 Mini Loaf, WG, Blueberry, IW"</f>
        <v>411 Mini Loaf, WG, Blueberry, IW</v>
      </c>
      <c r="M4022" s="65" t="str">
        <f>"72/2 oz"</f>
        <v>72/2 oz</v>
      </c>
      <c r="N4022" s="66">
        <v>72</v>
      </c>
      <c r="O4022" s="67">
        <v>1E-3</v>
      </c>
      <c r="P4022" s="68">
        <f>1/O4022</f>
        <v>1000</v>
      </c>
      <c r="Q4022" s="53">
        <v>2.2699999999999999E-3</v>
      </c>
      <c r="R4022" s="69">
        <f t="shared" ref="R4022" si="2881">1/Q4022</f>
        <v>440.52863436123351</v>
      </c>
      <c r="S4022" s="70">
        <f t="shared" ref="S4022" si="2882">R4022*N4022</f>
        <v>31718.061674008812</v>
      </c>
    </row>
    <row r="4023" spans="1:19" ht="15.6" hidden="1" customHeight="1" thickBot="1" x14ac:dyDescent="0.3">
      <c r="A4023" t="s">
        <v>23</v>
      </c>
      <c r="B4023" s="60" t="str">
        <f t="shared" si="2880"/>
        <v>hide</v>
      </c>
      <c r="D4023" s="48" t="str">
        <f>D4022</f>
        <v>51941</v>
      </c>
      <c r="E4023" s="7"/>
      <c r="F4023" s="27">
        <v>-104.16666666666667</v>
      </c>
      <c r="G4023" s="27">
        <v>0</v>
      </c>
      <c r="H4023" s="27">
        <v>0</v>
      </c>
      <c r="I4023" s="27">
        <v>0</v>
      </c>
      <c r="J4023" s="27">
        <v>0</v>
      </c>
      <c r="K4023" s="63">
        <f>AVERAGE(I4023:J4023)</f>
        <v>0</v>
      </c>
      <c r="L4023" s="56" t="str">
        <f>"EQP-LAWPACK1"</f>
        <v>EQP-LAWPACK1</v>
      </c>
      <c r="M4023" s="14"/>
      <c r="N4023" s="15"/>
      <c r="O4023" s="12"/>
      <c r="P4023" s="34"/>
      <c r="Q4023" s="37"/>
      <c r="R4023" s="47"/>
      <c r="S4023" s="46"/>
    </row>
    <row r="4024" spans="1:19" ht="15.6" hidden="1" customHeight="1" thickBot="1" x14ac:dyDescent="0.3">
      <c r="A4024" t="s">
        <v>23</v>
      </c>
      <c r="B4024" s="60" t="str">
        <f t="shared" ref="B4024:B4026" si="2883">IF(K4024=0,"hide","")</f>
        <v>hide</v>
      </c>
      <c r="D4024" s="48" t="str">
        <f>D4023</f>
        <v>51941</v>
      </c>
      <c r="E4024" s="7"/>
      <c r="F4024" s="27">
        <v>0</v>
      </c>
      <c r="G4024" s="27">
        <v>0</v>
      </c>
      <c r="H4024" s="27">
        <v>0</v>
      </c>
      <c r="I4024" s="27">
        <v>0</v>
      </c>
      <c r="J4024" s="27">
        <v>0</v>
      </c>
      <c r="K4024" s="63">
        <f>AVERAGE(I4024:J4024)</f>
        <v>0</v>
      </c>
      <c r="L4024" s="56" t="str">
        <f>"EQP-LAWPACK2"</f>
        <v>EQP-LAWPACK2</v>
      </c>
      <c r="M4024" s="14"/>
      <c r="N4024" s="15"/>
      <c r="O4024" s="12"/>
      <c r="P4024" s="34"/>
      <c r="Q4024" s="37"/>
      <c r="R4024" s="47"/>
      <c r="S4024" s="46"/>
    </row>
    <row r="4025" spans="1:19" ht="15.6" hidden="1" customHeight="1" thickBot="1" x14ac:dyDescent="0.3">
      <c r="A4025" t="s">
        <v>23</v>
      </c>
      <c r="B4025" s="60" t="str">
        <f t="shared" si="2883"/>
        <v>hide</v>
      </c>
      <c r="D4025" s="48" t="str">
        <f>D4024</f>
        <v>51941</v>
      </c>
      <c r="E4025" s="7"/>
      <c r="F4025" s="27">
        <v>0</v>
      </c>
      <c r="G4025" s="27">
        <v>0</v>
      </c>
      <c r="H4025" s="27">
        <v>0</v>
      </c>
      <c r="I4025" s="27">
        <v>0</v>
      </c>
      <c r="J4025" s="27">
        <v>0</v>
      </c>
      <c r="K4025" s="63">
        <f>AVERAGE(I4025:J4025)</f>
        <v>0</v>
      </c>
      <c r="L4025" s="56" t="str">
        <f>"SW-COMAS-PACKL"</f>
        <v>SW-COMAS-PACKL</v>
      </c>
      <c r="M4025" s="14"/>
      <c r="N4025" s="15"/>
      <c r="O4025" s="12"/>
      <c r="P4025" s="34"/>
      <c r="Q4025" s="37"/>
      <c r="R4025" s="47"/>
      <c r="S4025" s="46"/>
    </row>
    <row r="4026" spans="1:19" ht="15.6" hidden="1" customHeight="1" thickBot="1" x14ac:dyDescent="0.3">
      <c r="A4026" t="s">
        <v>23</v>
      </c>
      <c r="B4026" s="60" t="str">
        <f t="shared" si="2883"/>
        <v>hide</v>
      </c>
      <c r="D4026" s="48" t="str">
        <f>D4025</f>
        <v>51941</v>
      </c>
      <c r="E4026" s="7"/>
      <c r="F4026" s="27">
        <v>0</v>
      </c>
      <c r="G4026" s="27">
        <v>0</v>
      </c>
      <c r="H4026" s="27">
        <v>0</v>
      </c>
      <c r="I4026" s="27">
        <v>0</v>
      </c>
      <c r="J4026" s="27">
        <v>0</v>
      </c>
      <c r="K4026" s="63">
        <f>AVERAGE(I4026:J4026)</f>
        <v>0</v>
      </c>
      <c r="L4026" s="56" t="str">
        <f>"SW-RISER-PACK"</f>
        <v>SW-RISER-PACK</v>
      </c>
      <c r="M4026" s="14"/>
      <c r="N4026" s="15"/>
      <c r="O4026" s="12"/>
      <c r="P4026" s="34"/>
      <c r="Q4026" s="37"/>
      <c r="R4026" s="47"/>
      <c r="S4026" s="46"/>
    </row>
    <row r="4027" spans="1:19" ht="12" hidden="1" customHeight="1" x14ac:dyDescent="0.3">
      <c r="A4027" s="35" t="s">
        <v>908</v>
      </c>
      <c r="B4027" s="49" t="str">
        <f>B4023</f>
        <v>hide</v>
      </c>
      <c r="N4027"/>
      <c r="Q4027" s="33"/>
    </row>
    <row r="4028" spans="1:19" ht="13.8" hidden="1" thickBot="1" x14ac:dyDescent="0.3">
      <c r="A4028" t="s">
        <v>23</v>
      </c>
      <c r="B4028" s="49" t="str">
        <f t="shared" ref="B4028" si="2884">B4027</f>
        <v>hide</v>
      </c>
      <c r="D4028" s="58"/>
      <c r="E4028" s="58"/>
      <c r="F4028" s="52">
        <f>SUM(F4023:F4027)</f>
        <v>-104.16666666666667</v>
      </c>
      <c r="G4028" s="52">
        <f>SUM(G4023:G4027)</f>
        <v>0</v>
      </c>
      <c r="H4028" s="52">
        <f>SUM(H4023:H4027)</f>
        <v>0</v>
      </c>
      <c r="I4028" s="52">
        <f>SUM(I4023:I4027)</f>
        <v>0</v>
      </c>
      <c r="J4028" s="52">
        <f>SUM(J4023:J4027)</f>
        <v>0</v>
      </c>
      <c r="K4028" s="52"/>
      <c r="L4028" s="51" t="s">
        <v>4</v>
      </c>
      <c r="M4028" s="58"/>
      <c r="N4028" s="58"/>
      <c r="O4028" s="58"/>
      <c r="P4028" s="58"/>
      <c r="Q4028" s="58"/>
      <c r="R4028" s="58"/>
      <c r="S4028" s="58"/>
    </row>
    <row r="4029" spans="1:19" s="59" customFormat="1" ht="18.75" hidden="1" customHeight="1" thickBot="1" x14ac:dyDescent="0.3">
      <c r="A4029" s="59" t="s">
        <v>23</v>
      </c>
      <c r="B4029" s="60" t="str">
        <f t="shared" ref="B4029:B4030" si="2885">IF(K4029=0,"hide","")</f>
        <v>hide</v>
      </c>
      <c r="D4029" s="61" t="str">
        <f>"51951"</f>
        <v>51951</v>
      </c>
      <c r="E4029" s="62" t="str">
        <f>"3"</f>
        <v>3</v>
      </c>
      <c r="F4029" s="63">
        <v>96</v>
      </c>
      <c r="G4029" s="63">
        <v>108.25</v>
      </c>
      <c r="H4029" s="63">
        <v>46.083333333333336</v>
      </c>
      <c r="I4029" s="63">
        <v>0</v>
      </c>
      <c r="J4029" s="63">
        <v>0</v>
      </c>
      <c r="K4029" s="63">
        <f>AVERAGE(I4029:J4029)</f>
        <v>0</v>
      </c>
      <c r="L4029" s="64" t="str">
        <f>"346 Mini Loaf, Banana, IW"</f>
        <v>346 Mini Loaf, Banana, IW</v>
      </c>
      <c r="M4029" s="65" t="str">
        <f>"72/2 oz"</f>
        <v>72/2 oz</v>
      </c>
      <c r="N4029" s="66">
        <v>72</v>
      </c>
      <c r="O4029" s="67">
        <v>1E-3</v>
      </c>
      <c r="P4029" s="68">
        <f>1/O4029</f>
        <v>1000</v>
      </c>
      <c r="Q4029" s="53">
        <v>2.2699999999999999E-3</v>
      </c>
      <c r="R4029" s="69">
        <f t="shared" ref="R4029" si="2886">1/Q4029</f>
        <v>440.52863436123351</v>
      </c>
      <c r="S4029" s="70">
        <f t="shared" ref="S4029" si="2887">R4029*N4029</f>
        <v>31718.061674008812</v>
      </c>
    </row>
    <row r="4030" spans="1:19" ht="15.6" hidden="1" customHeight="1" thickBot="1" x14ac:dyDescent="0.3">
      <c r="A4030" t="s">
        <v>23</v>
      </c>
      <c r="B4030" s="60" t="str">
        <f t="shared" si="2885"/>
        <v>hide</v>
      </c>
      <c r="D4030" s="48" t="str">
        <f>D4029</f>
        <v>51951</v>
      </c>
      <c r="E4030" s="7"/>
      <c r="F4030" s="27">
        <v>0</v>
      </c>
      <c r="G4030" s="27">
        <v>0</v>
      </c>
      <c r="H4030" s="27">
        <v>0</v>
      </c>
      <c r="I4030" s="27">
        <v>0</v>
      </c>
      <c r="J4030" s="27">
        <v>0</v>
      </c>
      <c r="K4030" s="63">
        <f>AVERAGE(I4030:J4030)</f>
        <v>0</v>
      </c>
      <c r="L4030" s="56" t="str">
        <f>"EQP-LAWPACK1"</f>
        <v>EQP-LAWPACK1</v>
      </c>
      <c r="M4030" s="14"/>
      <c r="N4030" s="15"/>
      <c r="O4030" s="12"/>
      <c r="P4030" s="34"/>
      <c r="Q4030" s="37"/>
      <c r="R4030" s="47"/>
      <c r="S4030" s="46"/>
    </row>
    <row r="4031" spans="1:19" ht="15.6" hidden="1" customHeight="1" thickBot="1" x14ac:dyDescent="0.3">
      <c r="A4031" t="s">
        <v>23</v>
      </c>
      <c r="B4031" s="60" t="str">
        <f t="shared" ref="B4031:B4033" si="2888">IF(K4031=0,"hide","")</f>
        <v>hide</v>
      </c>
      <c r="D4031" s="48" t="str">
        <f>D4030</f>
        <v>51951</v>
      </c>
      <c r="E4031" s="7"/>
      <c r="F4031" s="27">
        <v>0</v>
      </c>
      <c r="G4031" s="27">
        <v>0</v>
      </c>
      <c r="H4031" s="27">
        <v>0</v>
      </c>
      <c r="I4031" s="27">
        <v>0</v>
      </c>
      <c r="J4031" s="27">
        <v>0</v>
      </c>
      <c r="K4031" s="63">
        <f>AVERAGE(I4031:J4031)</f>
        <v>0</v>
      </c>
      <c r="L4031" s="56" t="str">
        <f>"EQP-LAWPACK2"</f>
        <v>EQP-LAWPACK2</v>
      </c>
      <c r="M4031" s="14"/>
      <c r="N4031" s="15"/>
      <c r="O4031" s="12"/>
      <c r="P4031" s="34"/>
      <c r="Q4031" s="37"/>
      <c r="R4031" s="47"/>
      <c r="S4031" s="46"/>
    </row>
    <row r="4032" spans="1:19" ht="15.6" hidden="1" customHeight="1" thickBot="1" x14ac:dyDescent="0.3">
      <c r="A4032" t="s">
        <v>23</v>
      </c>
      <c r="B4032" s="60" t="str">
        <f t="shared" si="2888"/>
        <v>hide</v>
      </c>
      <c r="D4032" s="48" t="str">
        <f>D4031</f>
        <v>51951</v>
      </c>
      <c r="E4032" s="7"/>
      <c r="F4032" s="27">
        <v>0</v>
      </c>
      <c r="G4032" s="27">
        <v>0</v>
      </c>
      <c r="H4032" s="27">
        <v>0</v>
      </c>
      <c r="I4032" s="27">
        <v>0</v>
      </c>
      <c r="J4032" s="27">
        <v>0</v>
      </c>
      <c r="K4032" s="63">
        <f>AVERAGE(I4032:J4032)</f>
        <v>0</v>
      </c>
      <c r="L4032" s="56" t="str">
        <f>"SW-COMAS-PACKL"</f>
        <v>SW-COMAS-PACKL</v>
      </c>
      <c r="M4032" s="14"/>
      <c r="N4032" s="15"/>
      <c r="O4032" s="12"/>
      <c r="P4032" s="34"/>
      <c r="Q4032" s="37"/>
      <c r="R4032" s="47"/>
      <c r="S4032" s="46"/>
    </row>
    <row r="4033" spans="1:19" ht="15.6" hidden="1" customHeight="1" thickBot="1" x14ac:dyDescent="0.3">
      <c r="A4033" t="s">
        <v>23</v>
      </c>
      <c r="B4033" s="60" t="str">
        <f t="shared" si="2888"/>
        <v>hide</v>
      </c>
      <c r="D4033" s="48" t="str">
        <f>D4032</f>
        <v>51951</v>
      </c>
      <c r="E4033" s="7"/>
      <c r="F4033" s="27">
        <v>0</v>
      </c>
      <c r="G4033" s="27">
        <v>0</v>
      </c>
      <c r="H4033" s="27">
        <v>0</v>
      </c>
      <c r="I4033" s="27">
        <v>0</v>
      </c>
      <c r="J4033" s="27">
        <v>0</v>
      </c>
      <c r="K4033" s="63">
        <f>AVERAGE(I4033:J4033)</f>
        <v>0</v>
      </c>
      <c r="L4033" s="56" t="str">
        <f>"SW-RISER-PACK"</f>
        <v>SW-RISER-PACK</v>
      </c>
      <c r="M4033" s="14"/>
      <c r="N4033" s="15"/>
      <c r="O4033" s="12"/>
      <c r="P4033" s="34"/>
      <c r="Q4033" s="37"/>
      <c r="R4033" s="47"/>
      <c r="S4033" s="46"/>
    </row>
    <row r="4034" spans="1:19" ht="12" hidden="1" customHeight="1" x14ac:dyDescent="0.3">
      <c r="A4034" s="35" t="s">
        <v>908</v>
      </c>
      <c r="B4034" s="49" t="str">
        <f>B4030</f>
        <v>hide</v>
      </c>
      <c r="N4034"/>
      <c r="Q4034" s="33"/>
    </row>
    <row r="4035" spans="1:19" ht="13.8" hidden="1" thickBot="1" x14ac:dyDescent="0.3">
      <c r="A4035" t="s">
        <v>23</v>
      </c>
      <c r="B4035" s="49" t="str">
        <f t="shared" ref="B4035" si="2889">B4034</f>
        <v>hide</v>
      </c>
      <c r="D4035" s="58"/>
      <c r="E4035" s="58"/>
      <c r="F4035" s="52">
        <f>SUM(F4030:F4034)</f>
        <v>0</v>
      </c>
      <c r="G4035" s="52">
        <f>SUM(G4030:G4034)</f>
        <v>0</v>
      </c>
      <c r="H4035" s="52">
        <f>SUM(H4030:H4034)</f>
        <v>0</v>
      </c>
      <c r="I4035" s="52">
        <f>SUM(I4030:I4034)</f>
        <v>0</v>
      </c>
      <c r="J4035" s="52">
        <f>SUM(J4030:J4034)</f>
        <v>0</v>
      </c>
      <c r="K4035" s="52"/>
      <c r="L4035" s="51" t="s">
        <v>4</v>
      </c>
      <c r="M4035" s="58"/>
      <c r="N4035" s="58"/>
      <c r="O4035" s="58"/>
      <c r="P4035" s="58"/>
      <c r="Q4035" s="58"/>
      <c r="R4035" s="58"/>
      <c r="S4035" s="58"/>
    </row>
    <row r="4036" spans="1:19" s="59" customFormat="1" ht="18.75" customHeight="1" thickBot="1" x14ac:dyDescent="0.3">
      <c r="A4036" s="59" t="s">
        <v>23</v>
      </c>
      <c r="B4036" s="60" t="str">
        <f t="shared" ref="B4036:B4037" si="2890">IF(K4036=0,"hide","")</f>
        <v/>
      </c>
      <c r="D4036" s="61" t="str">
        <f>"51965"</f>
        <v>51965</v>
      </c>
      <c r="E4036" s="62" t="str">
        <f>"8"</f>
        <v>8</v>
      </c>
      <c r="F4036" s="63">
        <v>2194.9166666666665</v>
      </c>
      <c r="G4036" s="63">
        <v>1475.5</v>
      </c>
      <c r="H4036" s="63">
        <v>2047.8333333333333</v>
      </c>
      <c r="I4036" s="63">
        <v>2742</v>
      </c>
      <c r="J4036" s="63">
        <v>2636.1961445783136</v>
      </c>
      <c r="K4036" s="63">
        <f>AVERAGE(I4036:J4036)</f>
        <v>2689.0980722891568</v>
      </c>
      <c r="L4036" s="64" t="str">
        <f>"2111 Mini Loaf, WG, Cornbread, IW"</f>
        <v>2111 Mini Loaf, WG, Cornbread, IW</v>
      </c>
      <c r="M4036" s="65" t="str">
        <f>"72/2 oz"</f>
        <v>72/2 oz</v>
      </c>
      <c r="N4036" s="66">
        <v>72</v>
      </c>
      <c r="O4036" s="67">
        <v>1E-3</v>
      </c>
      <c r="P4036" s="68">
        <f>1/O4036</f>
        <v>1000</v>
      </c>
      <c r="Q4036" s="53">
        <v>2.2699999999999999E-3</v>
      </c>
      <c r="R4036" s="69">
        <f t="shared" ref="R4036" si="2891">1/Q4036</f>
        <v>440.52863436123351</v>
      </c>
      <c r="S4036" s="70">
        <f t="shared" ref="S4036" si="2892">R4036*N4036</f>
        <v>31718.061674008812</v>
      </c>
    </row>
    <row r="4037" spans="1:19" ht="15.6" hidden="1" customHeight="1" thickBot="1" x14ac:dyDescent="0.3">
      <c r="A4037" t="s">
        <v>23</v>
      </c>
      <c r="B4037" s="60" t="str">
        <f t="shared" si="2890"/>
        <v>hide</v>
      </c>
      <c r="D4037" s="48" t="str">
        <f>D4036</f>
        <v>51965</v>
      </c>
      <c r="E4037" s="7"/>
      <c r="F4037" s="27">
        <v>-83.333333333333329</v>
      </c>
      <c r="G4037" s="27">
        <v>-134.19999999999999</v>
      </c>
      <c r="H4037" s="27">
        <v>0</v>
      </c>
      <c r="I4037" s="27">
        <v>0</v>
      </c>
      <c r="J4037" s="27">
        <v>0</v>
      </c>
      <c r="K4037" s="63">
        <f>AVERAGE(I4037:J4037)</f>
        <v>0</v>
      </c>
      <c r="L4037" s="56" t="str">
        <f>"EQP-LAWPACK1"</f>
        <v>EQP-LAWPACK1</v>
      </c>
      <c r="M4037" s="14"/>
      <c r="N4037" s="15"/>
      <c r="O4037" s="12"/>
      <c r="P4037" s="34"/>
      <c r="Q4037" s="37"/>
      <c r="R4037" s="47"/>
      <c r="S4037" s="46"/>
    </row>
    <row r="4038" spans="1:19" ht="15.6" hidden="1" customHeight="1" thickBot="1" x14ac:dyDescent="0.3">
      <c r="A4038" t="s">
        <v>23</v>
      </c>
      <c r="B4038" s="60" t="str">
        <f t="shared" ref="B4038:B4040" si="2893">IF(K4038=0,"hide","")</f>
        <v>hide</v>
      </c>
      <c r="D4038" s="48" t="str">
        <f>D4037</f>
        <v>51965</v>
      </c>
      <c r="E4038" s="7"/>
      <c r="F4038" s="27">
        <v>0</v>
      </c>
      <c r="G4038" s="27">
        <v>0</v>
      </c>
      <c r="H4038" s="27">
        <v>0</v>
      </c>
      <c r="I4038" s="27">
        <v>0</v>
      </c>
      <c r="J4038" s="27">
        <v>0</v>
      </c>
      <c r="K4038" s="63">
        <f>AVERAGE(I4038:J4038)</f>
        <v>0</v>
      </c>
      <c r="L4038" s="56" t="str">
        <f>"EQP-LAWPACK2"</f>
        <v>EQP-LAWPACK2</v>
      </c>
      <c r="M4038" s="14"/>
      <c r="N4038" s="15"/>
      <c r="O4038" s="12"/>
      <c r="P4038" s="34"/>
      <c r="Q4038" s="37"/>
      <c r="R4038" s="47"/>
      <c r="S4038" s="46"/>
    </row>
    <row r="4039" spans="1:19" ht="15.6" hidden="1" customHeight="1" thickBot="1" x14ac:dyDescent="0.3">
      <c r="A4039" t="s">
        <v>23</v>
      </c>
      <c r="B4039" s="60" t="str">
        <f t="shared" si="2893"/>
        <v>hide</v>
      </c>
      <c r="D4039" s="48" t="str">
        <f>D4038</f>
        <v>51965</v>
      </c>
      <c r="E4039" s="7"/>
      <c r="F4039" s="27">
        <v>0</v>
      </c>
      <c r="G4039" s="27">
        <v>0</v>
      </c>
      <c r="H4039" s="27">
        <v>0</v>
      </c>
      <c r="I4039" s="27">
        <v>0</v>
      </c>
      <c r="J4039" s="27">
        <v>0</v>
      </c>
      <c r="K4039" s="63">
        <f>AVERAGE(I4039:J4039)</f>
        <v>0</v>
      </c>
      <c r="L4039" s="56" t="str">
        <f>"SW-COMAS-PACKL"</f>
        <v>SW-COMAS-PACKL</v>
      </c>
      <c r="M4039" s="14"/>
      <c r="N4039" s="15"/>
      <c r="O4039" s="12"/>
      <c r="P4039" s="34"/>
      <c r="Q4039" s="37"/>
      <c r="R4039" s="47"/>
      <c r="S4039" s="46"/>
    </row>
    <row r="4040" spans="1:19" ht="15.6" hidden="1" customHeight="1" thickBot="1" x14ac:dyDescent="0.3">
      <c r="A4040" t="s">
        <v>23</v>
      </c>
      <c r="B4040" s="60" t="str">
        <f t="shared" si="2893"/>
        <v>hide</v>
      </c>
      <c r="D4040" s="48" t="str">
        <f>D4039</f>
        <v>51965</v>
      </c>
      <c r="E4040" s="7"/>
      <c r="F4040" s="27">
        <v>0</v>
      </c>
      <c r="G4040" s="27">
        <v>0</v>
      </c>
      <c r="H4040" s="27">
        <v>0</v>
      </c>
      <c r="I4040" s="27">
        <v>0</v>
      </c>
      <c r="J4040" s="27">
        <v>0</v>
      </c>
      <c r="K4040" s="63">
        <f>AVERAGE(I4040:J4040)</f>
        <v>0</v>
      </c>
      <c r="L4040" s="56" t="str">
        <f>"SW-RISER-PACK"</f>
        <v>SW-RISER-PACK</v>
      </c>
      <c r="M4040" s="14"/>
      <c r="N4040" s="15"/>
      <c r="O4040" s="12"/>
      <c r="P4040" s="34"/>
      <c r="Q4040" s="37"/>
      <c r="R4040" s="47"/>
      <c r="S4040" s="46"/>
    </row>
    <row r="4041" spans="1:19" ht="12" hidden="1" customHeight="1" x14ac:dyDescent="0.3">
      <c r="A4041" s="35" t="s">
        <v>908</v>
      </c>
      <c r="B4041" s="49" t="str">
        <f>B4037</f>
        <v>hide</v>
      </c>
      <c r="N4041"/>
      <c r="Q4041" s="33"/>
    </row>
    <row r="4042" spans="1:19" ht="13.8" hidden="1" thickBot="1" x14ac:dyDescent="0.3">
      <c r="A4042" t="s">
        <v>23</v>
      </c>
      <c r="B4042" s="49" t="str">
        <f t="shared" ref="B4042" si="2894">B4041</f>
        <v>hide</v>
      </c>
      <c r="D4042" s="58"/>
      <c r="E4042" s="58"/>
      <c r="F4042" s="52">
        <f>SUM(F4037:F4041)</f>
        <v>-83.333333333333329</v>
      </c>
      <c r="G4042" s="52">
        <f>SUM(G4037:G4041)</f>
        <v>-134.19999999999999</v>
      </c>
      <c r="H4042" s="52">
        <f>SUM(H4037:H4041)</f>
        <v>0</v>
      </c>
      <c r="I4042" s="52">
        <f>SUM(I4037:I4041)</f>
        <v>0</v>
      </c>
      <c r="J4042" s="52">
        <f>SUM(J4037:J4041)</f>
        <v>0</v>
      </c>
      <c r="K4042" s="52"/>
      <c r="L4042" s="51" t="s">
        <v>4</v>
      </c>
      <c r="M4042" s="58"/>
      <c r="N4042" s="58"/>
      <c r="O4042" s="58"/>
      <c r="P4042" s="58"/>
      <c r="Q4042" s="58"/>
      <c r="R4042" s="58"/>
      <c r="S4042" s="58"/>
    </row>
    <row r="4043" spans="1:19" s="59" customFormat="1" ht="18.75" hidden="1" customHeight="1" thickBot="1" x14ac:dyDescent="0.3">
      <c r="A4043" s="59" t="s">
        <v>23</v>
      </c>
      <c r="B4043" s="60" t="str">
        <f t="shared" ref="B4043:B4044" si="2895">IF(K4043=0,"hide","")</f>
        <v>hide</v>
      </c>
      <c r="D4043" s="61" t="str">
        <f>"51985"</f>
        <v>51985</v>
      </c>
      <c r="E4043" s="62" t="str">
        <f>"5"</f>
        <v>5</v>
      </c>
      <c r="F4043" s="63">
        <v>0</v>
      </c>
      <c r="G4043" s="63">
        <v>0</v>
      </c>
      <c r="H4043" s="63">
        <v>0</v>
      </c>
      <c r="I4043" s="63">
        <v>0</v>
      </c>
      <c r="J4043" s="63">
        <v>0</v>
      </c>
      <c r="K4043" s="63">
        <f>AVERAGE(I4043:J4043)</f>
        <v>0</v>
      </c>
      <c r="L4043" s="64" t="str">
        <f>"2112 WG JALAPENO CORNBREAD"</f>
        <v>2112 WG JALAPENO CORNBREAD</v>
      </c>
      <c r="M4043" s="65" t="str">
        <f>"72/2 oz. I.W."</f>
        <v>72/2 oz. I.W.</v>
      </c>
      <c r="N4043" s="66">
        <v>72</v>
      </c>
      <c r="O4043" s="67">
        <v>1E-3</v>
      </c>
      <c r="P4043" s="68">
        <f>1/O4043</f>
        <v>1000</v>
      </c>
      <c r="Q4043" s="53">
        <v>2.2699999999999999E-3</v>
      </c>
      <c r="R4043" s="69">
        <f t="shared" ref="R4043" si="2896">1/Q4043</f>
        <v>440.52863436123351</v>
      </c>
      <c r="S4043" s="70">
        <f t="shared" ref="S4043" si="2897">R4043*N4043</f>
        <v>31718.061674008812</v>
      </c>
    </row>
    <row r="4044" spans="1:19" ht="15.6" hidden="1" customHeight="1" thickBot="1" x14ac:dyDescent="0.3">
      <c r="A4044" t="s">
        <v>23</v>
      </c>
      <c r="B4044" s="60" t="str">
        <f t="shared" si="2895"/>
        <v>hide</v>
      </c>
      <c r="D4044" s="48" t="str">
        <f>D4043</f>
        <v>51985</v>
      </c>
      <c r="E4044" s="7"/>
      <c r="F4044" s="27">
        <v>0</v>
      </c>
      <c r="G4044" s="27">
        <v>0</v>
      </c>
      <c r="H4044" s="27">
        <v>0</v>
      </c>
      <c r="I4044" s="27">
        <v>0</v>
      </c>
      <c r="J4044" s="27">
        <v>0</v>
      </c>
      <c r="K4044" s="63">
        <f>AVERAGE(I4044:J4044)</f>
        <v>0</v>
      </c>
      <c r="L4044" s="56" t="str">
        <f>"EQP-LAWPACK1"</f>
        <v>EQP-LAWPACK1</v>
      </c>
      <c r="M4044" s="14"/>
      <c r="N4044" s="15"/>
      <c r="O4044" s="12"/>
      <c r="P4044" s="34"/>
      <c r="Q4044" s="37"/>
      <c r="R4044" s="47"/>
      <c r="S4044" s="46"/>
    </row>
    <row r="4045" spans="1:19" ht="15.6" hidden="1" customHeight="1" thickBot="1" x14ac:dyDescent="0.3">
      <c r="A4045" t="s">
        <v>23</v>
      </c>
      <c r="B4045" s="60" t="str">
        <f t="shared" ref="B4045:B4047" si="2898">IF(K4045=0,"hide","")</f>
        <v>hide</v>
      </c>
      <c r="D4045" s="48" t="str">
        <f>D4044</f>
        <v>51985</v>
      </c>
      <c r="E4045" s="7"/>
      <c r="F4045" s="27">
        <v>0</v>
      </c>
      <c r="G4045" s="27">
        <v>0</v>
      </c>
      <c r="H4045" s="27">
        <v>0</v>
      </c>
      <c r="I4045" s="27">
        <v>0</v>
      </c>
      <c r="J4045" s="27">
        <v>0</v>
      </c>
      <c r="K4045" s="63">
        <f>AVERAGE(I4045:J4045)</f>
        <v>0</v>
      </c>
      <c r="L4045" s="56" t="str">
        <f>"EQP-LAWPACK2"</f>
        <v>EQP-LAWPACK2</v>
      </c>
      <c r="M4045" s="14"/>
      <c r="N4045" s="15"/>
      <c r="O4045" s="12"/>
      <c r="P4045" s="34"/>
      <c r="Q4045" s="37"/>
      <c r="R4045" s="47"/>
      <c r="S4045" s="46"/>
    </row>
    <row r="4046" spans="1:19" ht="15.6" hidden="1" customHeight="1" thickBot="1" x14ac:dyDescent="0.3">
      <c r="A4046" t="s">
        <v>23</v>
      </c>
      <c r="B4046" s="60" t="str">
        <f t="shared" si="2898"/>
        <v>hide</v>
      </c>
      <c r="D4046" s="48" t="str">
        <f>D4045</f>
        <v>51985</v>
      </c>
      <c r="E4046" s="7"/>
      <c r="F4046" s="27">
        <v>0</v>
      </c>
      <c r="G4046" s="27">
        <v>0</v>
      </c>
      <c r="H4046" s="27">
        <v>0</v>
      </c>
      <c r="I4046" s="27">
        <v>0</v>
      </c>
      <c r="J4046" s="27">
        <v>0</v>
      </c>
      <c r="K4046" s="63">
        <f>AVERAGE(I4046:J4046)</f>
        <v>0</v>
      </c>
      <c r="L4046" s="56" t="str">
        <f>"SW-COMAS-PACKL"</f>
        <v>SW-COMAS-PACKL</v>
      </c>
      <c r="M4046" s="14"/>
      <c r="N4046" s="15"/>
      <c r="O4046" s="12"/>
      <c r="P4046" s="34"/>
      <c r="Q4046" s="37"/>
      <c r="R4046" s="47"/>
      <c r="S4046" s="46"/>
    </row>
    <row r="4047" spans="1:19" ht="15.6" hidden="1" customHeight="1" thickBot="1" x14ac:dyDescent="0.3">
      <c r="A4047" t="s">
        <v>23</v>
      </c>
      <c r="B4047" s="60" t="str">
        <f t="shared" si="2898"/>
        <v>hide</v>
      </c>
      <c r="D4047" s="48" t="str">
        <f>D4046</f>
        <v>51985</v>
      </c>
      <c r="E4047" s="7"/>
      <c r="F4047" s="27">
        <v>0</v>
      </c>
      <c r="G4047" s="27">
        <v>0</v>
      </c>
      <c r="H4047" s="27">
        <v>0</v>
      </c>
      <c r="I4047" s="27">
        <v>0</v>
      </c>
      <c r="J4047" s="27">
        <v>0</v>
      </c>
      <c r="K4047" s="63">
        <f>AVERAGE(I4047:J4047)</f>
        <v>0</v>
      </c>
      <c r="L4047" s="56" t="str">
        <f>"SW-RISER-PACK"</f>
        <v>SW-RISER-PACK</v>
      </c>
      <c r="M4047" s="14"/>
      <c r="N4047" s="15"/>
      <c r="O4047" s="12"/>
      <c r="P4047" s="34"/>
      <c r="Q4047" s="37"/>
      <c r="R4047" s="47"/>
      <c r="S4047" s="46"/>
    </row>
    <row r="4048" spans="1:19" ht="12" hidden="1" customHeight="1" x14ac:dyDescent="0.3">
      <c r="A4048" s="35" t="s">
        <v>908</v>
      </c>
      <c r="B4048" s="49" t="str">
        <f>B4044</f>
        <v>hide</v>
      </c>
      <c r="N4048"/>
      <c r="Q4048" s="33"/>
    </row>
    <row r="4049" spans="1:19" ht="13.8" hidden="1" thickBot="1" x14ac:dyDescent="0.3">
      <c r="A4049" t="s">
        <v>23</v>
      </c>
      <c r="B4049" s="49" t="str">
        <f t="shared" ref="B4049" si="2899">B4048</f>
        <v>hide</v>
      </c>
      <c r="D4049" s="58"/>
      <c r="E4049" s="58"/>
      <c r="F4049" s="52">
        <f>SUM(F4044:F4048)</f>
        <v>0</v>
      </c>
      <c r="G4049" s="52">
        <f>SUM(G4044:G4048)</f>
        <v>0</v>
      </c>
      <c r="H4049" s="52">
        <f>SUM(H4044:H4048)</f>
        <v>0</v>
      </c>
      <c r="I4049" s="52">
        <f>SUM(I4044:I4048)</f>
        <v>0</v>
      </c>
      <c r="J4049" s="52">
        <f>SUM(J4044:J4048)</f>
        <v>0</v>
      </c>
      <c r="K4049" s="52"/>
      <c r="L4049" s="51" t="s">
        <v>4</v>
      </c>
      <c r="M4049" s="58"/>
      <c r="N4049" s="58"/>
      <c r="O4049" s="58"/>
      <c r="P4049" s="58"/>
      <c r="Q4049" s="58"/>
      <c r="R4049" s="58"/>
      <c r="S4049" s="58"/>
    </row>
    <row r="4050" spans="1:19" s="59" customFormat="1" ht="18.75" customHeight="1" thickBot="1" x14ac:dyDescent="0.3">
      <c r="A4050" s="59" t="s">
        <v>23</v>
      </c>
      <c r="B4050" s="60" t="str">
        <f t="shared" ref="B4050:B4051" si="2900">IF(K4050=0,"hide","")</f>
        <v/>
      </c>
      <c r="D4050" s="61" t="str">
        <f>"51991"</f>
        <v>51991</v>
      </c>
      <c r="E4050" s="62" t="str">
        <f>"9"</f>
        <v>9</v>
      </c>
      <c r="F4050" s="63">
        <v>1178.8333333333335</v>
      </c>
      <c r="G4050" s="63">
        <v>1136.1666666666667</v>
      </c>
      <c r="H4050" s="63">
        <v>807.41666666666663</v>
      </c>
      <c r="I4050" s="63">
        <v>1573.0833333333333</v>
      </c>
      <c r="J4050" s="63">
        <v>1050.7824096385541</v>
      </c>
      <c r="K4050" s="63">
        <f>AVERAGE(I4050:J4050)</f>
        <v>1311.9328714859437</v>
      </c>
      <c r="L4050" s="64" t="str">
        <f>"412 Mini Loaf, WG, Banana, RF, IW"</f>
        <v>412 Mini Loaf, WG, Banana, RF, IW</v>
      </c>
      <c r="M4050" s="65" t="str">
        <f>"72/2 oz"</f>
        <v>72/2 oz</v>
      </c>
      <c r="N4050" s="66">
        <v>72</v>
      </c>
      <c r="O4050" s="67">
        <v>1E-3</v>
      </c>
      <c r="P4050" s="68">
        <f>1/O4050</f>
        <v>1000</v>
      </c>
      <c r="Q4050" s="53">
        <v>2.2699999999999999E-3</v>
      </c>
      <c r="R4050" s="69">
        <f t="shared" ref="R4050" si="2901">1/Q4050</f>
        <v>440.52863436123351</v>
      </c>
      <c r="S4050" s="70">
        <f t="shared" ref="S4050" si="2902">R4050*N4050</f>
        <v>31718.061674008812</v>
      </c>
    </row>
    <row r="4051" spans="1:19" ht="15.6" hidden="1" customHeight="1" thickBot="1" x14ac:dyDescent="0.3">
      <c r="A4051" t="s">
        <v>23</v>
      </c>
      <c r="B4051" s="60" t="str">
        <f t="shared" si="2900"/>
        <v>hide</v>
      </c>
      <c r="D4051" s="48" t="str">
        <f>D4050</f>
        <v>51991</v>
      </c>
      <c r="E4051" s="7"/>
      <c r="F4051" s="27">
        <v>0</v>
      </c>
      <c r="G4051" s="27">
        <v>0</v>
      </c>
      <c r="H4051" s="27">
        <v>0</v>
      </c>
      <c r="I4051" s="27">
        <v>0</v>
      </c>
      <c r="J4051" s="27">
        <v>0</v>
      </c>
      <c r="K4051" s="63">
        <f>AVERAGE(I4051:J4051)</f>
        <v>0</v>
      </c>
      <c r="L4051" s="56" t="str">
        <f>"EQP-LAWPACK1"</f>
        <v>EQP-LAWPACK1</v>
      </c>
      <c r="M4051" s="14"/>
      <c r="N4051" s="15"/>
      <c r="O4051" s="12"/>
      <c r="P4051" s="34"/>
      <c r="Q4051" s="37"/>
      <c r="R4051" s="47"/>
      <c r="S4051" s="46"/>
    </row>
    <row r="4052" spans="1:19" ht="15.6" hidden="1" customHeight="1" thickBot="1" x14ac:dyDescent="0.3">
      <c r="A4052" t="s">
        <v>23</v>
      </c>
      <c r="B4052" s="60" t="str">
        <f t="shared" ref="B4052:B4054" si="2903">IF(K4052=0,"hide","")</f>
        <v>hide</v>
      </c>
      <c r="D4052" s="48" t="str">
        <f>D4051</f>
        <v>51991</v>
      </c>
      <c r="E4052" s="7"/>
      <c r="F4052" s="27">
        <v>0</v>
      </c>
      <c r="G4052" s="27">
        <v>0</v>
      </c>
      <c r="H4052" s="27">
        <v>0</v>
      </c>
      <c r="I4052" s="27">
        <v>0</v>
      </c>
      <c r="J4052" s="27">
        <v>0</v>
      </c>
      <c r="K4052" s="63">
        <f>AVERAGE(I4052:J4052)</f>
        <v>0</v>
      </c>
      <c r="L4052" s="56" t="str">
        <f>"EQP-LAWPACK2"</f>
        <v>EQP-LAWPACK2</v>
      </c>
      <c r="M4052" s="14"/>
      <c r="N4052" s="15"/>
      <c r="O4052" s="12"/>
      <c r="P4052" s="34"/>
      <c r="Q4052" s="37"/>
      <c r="R4052" s="47"/>
      <c r="S4052" s="46"/>
    </row>
    <row r="4053" spans="1:19" ht="15.6" hidden="1" customHeight="1" thickBot="1" x14ac:dyDescent="0.3">
      <c r="A4053" t="s">
        <v>23</v>
      </c>
      <c r="B4053" s="60" t="str">
        <f t="shared" si="2903"/>
        <v>hide</v>
      </c>
      <c r="D4053" s="48" t="str">
        <f>D4052</f>
        <v>51991</v>
      </c>
      <c r="E4053" s="7"/>
      <c r="F4053" s="27">
        <v>0</v>
      </c>
      <c r="G4053" s="27">
        <v>0</v>
      </c>
      <c r="H4053" s="27">
        <v>0</v>
      </c>
      <c r="I4053" s="27">
        <v>0</v>
      </c>
      <c r="J4053" s="27">
        <v>0</v>
      </c>
      <c r="K4053" s="63">
        <f>AVERAGE(I4053:J4053)</f>
        <v>0</v>
      </c>
      <c r="L4053" s="56" t="str">
        <f>"SW-COMAS-PACKL"</f>
        <v>SW-COMAS-PACKL</v>
      </c>
      <c r="M4053" s="14"/>
      <c r="N4053" s="15"/>
      <c r="O4053" s="12"/>
      <c r="P4053" s="34"/>
      <c r="Q4053" s="37"/>
      <c r="R4053" s="47"/>
      <c r="S4053" s="46"/>
    </row>
    <row r="4054" spans="1:19" ht="15.6" hidden="1" customHeight="1" thickBot="1" x14ac:dyDescent="0.3">
      <c r="A4054" t="s">
        <v>23</v>
      </c>
      <c r="B4054" s="60" t="str">
        <f t="shared" si="2903"/>
        <v>hide</v>
      </c>
      <c r="D4054" s="48" t="str">
        <f>D4053</f>
        <v>51991</v>
      </c>
      <c r="E4054" s="7"/>
      <c r="F4054" s="27">
        <v>0</v>
      </c>
      <c r="G4054" s="27">
        <v>0</v>
      </c>
      <c r="H4054" s="27">
        <v>0</v>
      </c>
      <c r="I4054" s="27">
        <v>0</v>
      </c>
      <c r="J4054" s="27">
        <v>0</v>
      </c>
      <c r="K4054" s="63">
        <f>AVERAGE(I4054:J4054)</f>
        <v>0</v>
      </c>
      <c r="L4054" s="56" t="str">
        <f>"SW-RISER-PACK"</f>
        <v>SW-RISER-PACK</v>
      </c>
      <c r="M4054" s="14"/>
      <c r="N4054" s="15"/>
      <c r="O4054" s="12"/>
      <c r="P4054" s="34"/>
      <c r="Q4054" s="37"/>
      <c r="R4054" s="47"/>
      <c r="S4054" s="46"/>
    </row>
    <row r="4055" spans="1:19" ht="12" hidden="1" customHeight="1" x14ac:dyDescent="0.3">
      <c r="A4055" s="35" t="s">
        <v>908</v>
      </c>
      <c r="B4055" s="49" t="str">
        <f>B4051</f>
        <v>hide</v>
      </c>
      <c r="N4055"/>
      <c r="Q4055" s="33"/>
    </row>
    <row r="4056" spans="1:19" ht="13.8" hidden="1" thickBot="1" x14ac:dyDescent="0.3">
      <c r="A4056" t="s">
        <v>23</v>
      </c>
      <c r="B4056" s="49" t="str">
        <f t="shared" ref="B4056" si="2904">B4055</f>
        <v>hide</v>
      </c>
      <c r="D4056" s="58"/>
      <c r="E4056" s="58"/>
      <c r="F4056" s="52">
        <f>SUM(F4051:F4055)</f>
        <v>0</v>
      </c>
      <c r="G4056" s="52">
        <f>SUM(G4051:G4055)</f>
        <v>0</v>
      </c>
      <c r="H4056" s="52">
        <f>SUM(H4051:H4055)</f>
        <v>0</v>
      </c>
      <c r="I4056" s="52">
        <f>SUM(I4051:I4055)</f>
        <v>0</v>
      </c>
      <c r="J4056" s="52">
        <f>SUM(J4051:J4055)</f>
        <v>0</v>
      </c>
      <c r="K4056" s="52"/>
      <c r="L4056" s="51" t="s">
        <v>4</v>
      </c>
      <c r="M4056" s="58"/>
      <c r="N4056" s="58"/>
      <c r="O4056" s="58"/>
      <c r="P4056" s="58"/>
      <c r="Q4056" s="58"/>
      <c r="R4056" s="58"/>
      <c r="S4056" s="58"/>
    </row>
    <row r="4057" spans="1:19" s="59" customFormat="1" ht="18.75" customHeight="1" thickBot="1" x14ac:dyDescent="0.3">
      <c r="A4057" s="59" t="s">
        <v>23</v>
      </c>
      <c r="B4057" s="60" t="str">
        <f t="shared" ref="B4057:B4058" si="2905">IF(K4057=0,"hide","")</f>
        <v/>
      </c>
      <c r="D4057" s="61" t="str">
        <f>"51993"</f>
        <v>51993</v>
      </c>
      <c r="E4057" s="62" t="str">
        <f>"5"</f>
        <v>5</v>
      </c>
      <c r="F4057" s="63">
        <v>188.91666666666666</v>
      </c>
      <c r="G4057" s="63">
        <v>163.08333333333334</v>
      </c>
      <c r="H4057" s="63">
        <v>216.75</v>
      </c>
      <c r="I4057" s="63">
        <v>24</v>
      </c>
      <c r="J4057" s="63">
        <v>0</v>
      </c>
      <c r="K4057" s="63">
        <f>AVERAGE(I4057:J4057)</f>
        <v>12</v>
      </c>
      <c r="L4057" s="64" t="str">
        <f>"1414 Mini Loaf, WG Choc Choc Chip, IW"</f>
        <v>1414 Mini Loaf, WG Choc Choc Chip, IW</v>
      </c>
      <c r="M4057" s="65" t="str">
        <f>"72/2 oz"</f>
        <v>72/2 oz</v>
      </c>
      <c r="N4057" s="66">
        <v>72</v>
      </c>
      <c r="O4057" s="67">
        <v>1E-3</v>
      </c>
      <c r="P4057" s="68">
        <f>1/O4057</f>
        <v>1000</v>
      </c>
      <c r="Q4057" s="53">
        <v>2.2699999999999999E-3</v>
      </c>
      <c r="R4057" s="69">
        <f t="shared" ref="R4057" si="2906">1/Q4057</f>
        <v>440.52863436123351</v>
      </c>
      <c r="S4057" s="70">
        <f t="shared" ref="S4057" si="2907">R4057*N4057</f>
        <v>31718.061674008812</v>
      </c>
    </row>
    <row r="4058" spans="1:19" ht="15.6" hidden="1" customHeight="1" thickBot="1" x14ac:dyDescent="0.3">
      <c r="A4058" t="s">
        <v>23</v>
      </c>
      <c r="B4058" s="60" t="str">
        <f t="shared" si="2905"/>
        <v>hide</v>
      </c>
      <c r="D4058" s="48" t="str">
        <f>D4057</f>
        <v>51993</v>
      </c>
      <c r="E4058" s="7"/>
      <c r="F4058" s="27">
        <v>0</v>
      </c>
      <c r="G4058" s="27">
        <v>0</v>
      </c>
      <c r="H4058" s="27">
        <v>0</v>
      </c>
      <c r="I4058" s="27">
        <v>0</v>
      </c>
      <c r="J4058" s="27">
        <v>0</v>
      </c>
      <c r="K4058" s="63">
        <f>AVERAGE(I4058:J4058)</f>
        <v>0</v>
      </c>
      <c r="L4058" s="56" t="str">
        <f>"EQP-LAWPACK1"</f>
        <v>EQP-LAWPACK1</v>
      </c>
      <c r="M4058" s="14"/>
      <c r="N4058" s="15"/>
      <c r="O4058" s="12"/>
      <c r="P4058" s="34"/>
      <c r="Q4058" s="37"/>
      <c r="R4058" s="47"/>
      <c r="S4058" s="46"/>
    </row>
    <row r="4059" spans="1:19" ht="15.6" hidden="1" customHeight="1" thickBot="1" x14ac:dyDescent="0.3">
      <c r="A4059" t="s">
        <v>23</v>
      </c>
      <c r="B4059" s="60" t="str">
        <f t="shared" ref="B4059:B4061" si="2908">IF(K4059=0,"hide","")</f>
        <v>hide</v>
      </c>
      <c r="D4059" s="48" t="str">
        <f>D4058</f>
        <v>51993</v>
      </c>
      <c r="E4059" s="7"/>
      <c r="F4059" s="27">
        <v>0</v>
      </c>
      <c r="G4059" s="27">
        <v>0</v>
      </c>
      <c r="H4059" s="27">
        <v>0</v>
      </c>
      <c r="I4059" s="27">
        <v>0</v>
      </c>
      <c r="J4059" s="27">
        <v>0</v>
      </c>
      <c r="K4059" s="63">
        <f>AVERAGE(I4059:J4059)</f>
        <v>0</v>
      </c>
      <c r="L4059" s="56" t="str">
        <f>"EQP-LAWPACK2"</f>
        <v>EQP-LAWPACK2</v>
      </c>
      <c r="M4059" s="14"/>
      <c r="N4059" s="15"/>
      <c r="O4059" s="12"/>
      <c r="P4059" s="34"/>
      <c r="Q4059" s="37"/>
      <c r="R4059" s="47"/>
      <c r="S4059" s="46"/>
    </row>
    <row r="4060" spans="1:19" ht="15.6" hidden="1" customHeight="1" thickBot="1" x14ac:dyDescent="0.3">
      <c r="A4060" t="s">
        <v>23</v>
      </c>
      <c r="B4060" s="60" t="str">
        <f t="shared" si="2908"/>
        <v>hide</v>
      </c>
      <c r="D4060" s="48" t="str">
        <f>D4059</f>
        <v>51993</v>
      </c>
      <c r="E4060" s="7"/>
      <c r="F4060" s="27">
        <v>0</v>
      </c>
      <c r="G4060" s="27">
        <v>0</v>
      </c>
      <c r="H4060" s="27">
        <v>0</v>
      </c>
      <c r="I4060" s="27">
        <v>0</v>
      </c>
      <c r="J4060" s="27">
        <v>0</v>
      </c>
      <c r="K4060" s="63">
        <f>AVERAGE(I4060:J4060)</f>
        <v>0</v>
      </c>
      <c r="L4060" s="56" t="str">
        <f>"SW-COMAS-PACKL"</f>
        <v>SW-COMAS-PACKL</v>
      </c>
      <c r="M4060" s="14"/>
      <c r="N4060" s="15"/>
      <c r="O4060" s="12"/>
      <c r="P4060" s="34"/>
      <c r="Q4060" s="37"/>
      <c r="R4060" s="47"/>
      <c r="S4060" s="46"/>
    </row>
    <row r="4061" spans="1:19" ht="15.6" hidden="1" customHeight="1" thickBot="1" x14ac:dyDescent="0.3">
      <c r="A4061" t="s">
        <v>23</v>
      </c>
      <c r="B4061" s="60" t="str">
        <f t="shared" si="2908"/>
        <v>hide</v>
      </c>
      <c r="D4061" s="48" t="str">
        <f>D4060</f>
        <v>51993</v>
      </c>
      <c r="E4061" s="7"/>
      <c r="F4061" s="27">
        <v>0</v>
      </c>
      <c r="G4061" s="27">
        <v>0</v>
      </c>
      <c r="H4061" s="27">
        <v>0</v>
      </c>
      <c r="I4061" s="27">
        <v>0</v>
      </c>
      <c r="J4061" s="27">
        <v>0</v>
      </c>
      <c r="K4061" s="63">
        <f>AVERAGE(I4061:J4061)</f>
        <v>0</v>
      </c>
      <c r="L4061" s="56" t="str">
        <f>"SW-RISER-PACK"</f>
        <v>SW-RISER-PACK</v>
      </c>
      <c r="M4061" s="14"/>
      <c r="N4061" s="15"/>
      <c r="O4061" s="12"/>
      <c r="P4061" s="34"/>
      <c r="Q4061" s="37"/>
      <c r="R4061" s="47"/>
      <c r="S4061" s="46"/>
    </row>
    <row r="4062" spans="1:19" ht="12" hidden="1" customHeight="1" x14ac:dyDescent="0.3">
      <c r="A4062" s="35" t="s">
        <v>908</v>
      </c>
      <c r="B4062" s="49" t="str">
        <f>B4058</f>
        <v>hide</v>
      </c>
      <c r="N4062"/>
      <c r="Q4062" s="33"/>
    </row>
    <row r="4063" spans="1:19" ht="13.8" hidden="1" thickBot="1" x14ac:dyDescent="0.3">
      <c r="A4063" t="s">
        <v>23</v>
      </c>
      <c r="B4063" s="49" t="str">
        <f t="shared" ref="B4063" si="2909">B4062</f>
        <v>hide</v>
      </c>
      <c r="D4063" s="58"/>
      <c r="E4063" s="58"/>
      <c r="F4063" s="52">
        <f>SUM(F4058:F4062)</f>
        <v>0</v>
      </c>
      <c r="G4063" s="52">
        <f>SUM(G4058:G4062)</f>
        <v>0</v>
      </c>
      <c r="H4063" s="52">
        <f>SUM(H4058:H4062)</f>
        <v>0</v>
      </c>
      <c r="I4063" s="52">
        <f>SUM(I4058:I4062)</f>
        <v>0</v>
      </c>
      <c r="J4063" s="52">
        <f>SUM(J4058:J4062)</f>
        <v>0</v>
      </c>
      <c r="K4063" s="52"/>
      <c r="L4063" s="51" t="s">
        <v>4</v>
      </c>
      <c r="M4063" s="58"/>
      <c r="N4063" s="58"/>
      <c r="O4063" s="58"/>
      <c r="P4063" s="58"/>
      <c r="Q4063" s="58"/>
      <c r="R4063" s="58"/>
      <c r="S4063" s="58"/>
    </row>
    <row r="4064" spans="1:19" s="59" customFormat="1" ht="18.75" customHeight="1" thickBot="1" x14ac:dyDescent="0.3">
      <c r="A4064" s="59" t="s">
        <v>23</v>
      </c>
      <c r="B4064" s="60" t="str">
        <f t="shared" ref="B4064:B4065" si="2910">IF(K4064=0,"hide","")</f>
        <v/>
      </c>
      <c r="D4064" s="61" t="str">
        <f>"51996"</f>
        <v>51996</v>
      </c>
      <c r="E4064" s="62" t="str">
        <f>"7"</f>
        <v>7</v>
      </c>
      <c r="F4064" s="63">
        <v>535.16666666666663</v>
      </c>
      <c r="G4064" s="63">
        <v>262</v>
      </c>
      <c r="H4064" s="63">
        <v>252.99999999999997</v>
      </c>
      <c r="I4064" s="63">
        <v>430.25</v>
      </c>
      <c r="J4064" s="63">
        <v>148.5920481927711</v>
      </c>
      <c r="K4064" s="63">
        <f>AVERAGE(I4064:J4064)</f>
        <v>289.42102409638557</v>
      </c>
      <c r="L4064" s="64" t="str">
        <f>"413 Mini Loaf, WG, Apple Cinn, IW"</f>
        <v>413 Mini Loaf, WG, Apple Cinn, IW</v>
      </c>
      <c r="M4064" s="65" t="str">
        <f>"72/2 oz"</f>
        <v>72/2 oz</v>
      </c>
      <c r="N4064" s="66">
        <v>72</v>
      </c>
      <c r="O4064" s="67">
        <v>1E-3</v>
      </c>
      <c r="P4064" s="68">
        <f>1/O4064</f>
        <v>1000</v>
      </c>
      <c r="Q4064" s="53">
        <v>2.3E-3</v>
      </c>
      <c r="R4064" s="69">
        <f t="shared" ref="R4064" si="2911">1/Q4064</f>
        <v>434.78260869565219</v>
      </c>
      <c r="S4064" s="70">
        <f t="shared" ref="S4064" si="2912">R4064*N4064</f>
        <v>31304.347826086956</v>
      </c>
    </row>
    <row r="4065" spans="1:19" ht="15.6" hidden="1" customHeight="1" thickBot="1" x14ac:dyDescent="0.3">
      <c r="A4065" t="s">
        <v>23</v>
      </c>
      <c r="B4065" s="60" t="str">
        <f t="shared" si="2910"/>
        <v>hide</v>
      </c>
      <c r="D4065" s="48" t="str">
        <f>D4064</f>
        <v>51996</v>
      </c>
      <c r="E4065" s="7"/>
      <c r="F4065" s="27">
        <v>0</v>
      </c>
      <c r="G4065" s="27">
        <v>0</v>
      </c>
      <c r="H4065" s="27">
        <v>0</v>
      </c>
      <c r="I4065" s="27">
        <v>0</v>
      </c>
      <c r="J4065" s="27">
        <v>0</v>
      </c>
      <c r="K4065" s="63">
        <f>AVERAGE(I4065:J4065)</f>
        <v>0</v>
      </c>
      <c r="L4065" s="56" t="str">
        <f>"EQP-LAWPACK1"</f>
        <v>EQP-LAWPACK1</v>
      </c>
      <c r="M4065" s="14"/>
      <c r="N4065" s="15"/>
      <c r="O4065" s="12"/>
      <c r="P4065" s="34"/>
      <c r="Q4065" s="37"/>
      <c r="R4065" s="47"/>
      <c r="S4065" s="46"/>
    </row>
    <row r="4066" spans="1:19" ht="15.6" hidden="1" customHeight="1" thickBot="1" x14ac:dyDescent="0.3">
      <c r="A4066" t="s">
        <v>23</v>
      </c>
      <c r="B4066" s="60" t="str">
        <f t="shared" ref="B4066:B4068" si="2913">IF(K4066=0,"hide","")</f>
        <v>hide</v>
      </c>
      <c r="D4066" s="48" t="str">
        <f>D4065</f>
        <v>51996</v>
      </c>
      <c r="E4066" s="7"/>
      <c r="F4066" s="27">
        <v>0</v>
      </c>
      <c r="G4066" s="27">
        <v>0</v>
      </c>
      <c r="H4066" s="27">
        <v>0</v>
      </c>
      <c r="I4066" s="27">
        <v>0</v>
      </c>
      <c r="J4066" s="27">
        <v>0</v>
      </c>
      <c r="K4066" s="63">
        <f>AVERAGE(I4066:J4066)</f>
        <v>0</v>
      </c>
      <c r="L4066" s="56" t="str">
        <f>"EQP-LAWPACK2"</f>
        <v>EQP-LAWPACK2</v>
      </c>
      <c r="M4066" s="14"/>
      <c r="N4066" s="15"/>
      <c r="O4066" s="12"/>
      <c r="P4066" s="34"/>
      <c r="Q4066" s="37"/>
      <c r="R4066" s="47"/>
      <c r="S4066" s="46"/>
    </row>
    <row r="4067" spans="1:19" ht="15.6" hidden="1" customHeight="1" thickBot="1" x14ac:dyDescent="0.3">
      <c r="A4067" t="s">
        <v>23</v>
      </c>
      <c r="B4067" s="60" t="str">
        <f t="shared" si="2913"/>
        <v>hide</v>
      </c>
      <c r="D4067" s="48" t="str">
        <f>D4066</f>
        <v>51996</v>
      </c>
      <c r="E4067" s="7"/>
      <c r="F4067" s="27">
        <v>0</v>
      </c>
      <c r="G4067" s="27">
        <v>0</v>
      </c>
      <c r="H4067" s="27">
        <v>0</v>
      </c>
      <c r="I4067" s="27">
        <v>0</v>
      </c>
      <c r="J4067" s="27">
        <v>0</v>
      </c>
      <c r="K4067" s="63">
        <f>AVERAGE(I4067:J4067)</f>
        <v>0</v>
      </c>
      <c r="L4067" s="56" t="str">
        <f>"SW-COMAS-PACKL"</f>
        <v>SW-COMAS-PACKL</v>
      </c>
      <c r="M4067" s="14"/>
      <c r="N4067" s="15"/>
      <c r="O4067" s="12"/>
      <c r="P4067" s="34"/>
      <c r="Q4067" s="37"/>
      <c r="R4067" s="47"/>
      <c r="S4067" s="46"/>
    </row>
    <row r="4068" spans="1:19" ht="15.6" hidden="1" customHeight="1" thickBot="1" x14ac:dyDescent="0.3">
      <c r="A4068" t="s">
        <v>23</v>
      </c>
      <c r="B4068" s="60" t="str">
        <f t="shared" si="2913"/>
        <v>hide</v>
      </c>
      <c r="D4068" s="48" t="str">
        <f>D4067</f>
        <v>51996</v>
      </c>
      <c r="E4068" s="7"/>
      <c r="F4068" s="27">
        <v>0</v>
      </c>
      <c r="G4068" s="27">
        <v>0</v>
      </c>
      <c r="H4068" s="27">
        <v>0</v>
      </c>
      <c r="I4068" s="27">
        <v>0</v>
      </c>
      <c r="J4068" s="27">
        <v>0</v>
      </c>
      <c r="K4068" s="63">
        <f>AVERAGE(I4068:J4068)</f>
        <v>0</v>
      </c>
      <c r="L4068" s="56" t="str">
        <f>"SW-RISER-PACK"</f>
        <v>SW-RISER-PACK</v>
      </c>
      <c r="M4068" s="14"/>
      <c r="N4068" s="15"/>
      <c r="O4068" s="12"/>
      <c r="P4068" s="34"/>
      <c r="Q4068" s="37"/>
      <c r="R4068" s="47"/>
      <c r="S4068" s="46"/>
    </row>
    <row r="4069" spans="1:19" ht="12" hidden="1" customHeight="1" x14ac:dyDescent="0.3">
      <c r="A4069" s="35" t="s">
        <v>908</v>
      </c>
      <c r="B4069" s="49" t="str">
        <f>B4065</f>
        <v>hide</v>
      </c>
      <c r="N4069"/>
      <c r="Q4069" s="33"/>
    </row>
    <row r="4070" spans="1:19" ht="13.8" hidden="1" thickBot="1" x14ac:dyDescent="0.3">
      <c r="A4070" t="s">
        <v>23</v>
      </c>
      <c r="B4070" s="49" t="str">
        <f t="shared" ref="B4070" si="2914">B4069</f>
        <v>hide</v>
      </c>
      <c r="D4070" s="58"/>
      <c r="E4070" s="58"/>
      <c r="F4070" s="52">
        <f>SUM(F4065:F4069)</f>
        <v>0</v>
      </c>
      <c r="G4070" s="52">
        <f>SUM(G4065:G4069)</f>
        <v>0</v>
      </c>
      <c r="H4070" s="52">
        <f>SUM(H4065:H4069)</f>
        <v>0</v>
      </c>
      <c r="I4070" s="52">
        <f>SUM(I4065:I4069)</f>
        <v>0</v>
      </c>
      <c r="J4070" s="52">
        <f>SUM(J4065:J4069)</f>
        <v>0</v>
      </c>
      <c r="K4070" s="52"/>
      <c r="L4070" s="51" t="s">
        <v>4</v>
      </c>
      <c r="M4070" s="58"/>
      <c r="N4070" s="58"/>
      <c r="O4070" s="58"/>
      <c r="P4070" s="58"/>
      <c r="Q4070" s="58"/>
      <c r="R4070" s="58"/>
      <c r="S4070" s="58"/>
    </row>
    <row r="4071" spans="1:19" s="59" customFormat="1" ht="18.75" customHeight="1" thickBot="1" x14ac:dyDescent="0.3">
      <c r="A4071" s="59" t="s">
        <v>23</v>
      </c>
      <c r="B4071" s="60" t="str">
        <f t="shared" ref="B4071:B4072" si="2915">IF(K4071=0,"hide","")</f>
        <v/>
      </c>
      <c r="D4071" s="61" t="str">
        <f>"52636"</f>
        <v>52636</v>
      </c>
      <c r="E4071" s="62" t="str">
        <f>"4"</f>
        <v>4</v>
      </c>
      <c r="F4071" s="63">
        <v>170</v>
      </c>
      <c r="G4071" s="63">
        <v>245.16666666666666</v>
      </c>
      <c r="H4071" s="63">
        <v>176.08333333333334</v>
      </c>
      <c r="I4071" s="63">
        <v>27.083333333333332</v>
      </c>
      <c r="J4071" s="63">
        <v>48.007710843373495</v>
      </c>
      <c r="K4071" s="63">
        <f>AVERAGE(I4071:J4071)</f>
        <v>37.545522088353415</v>
      </c>
      <c r="L4071" s="64" t="str">
        <f>"Smart Choice Cinnamon Loaf"</f>
        <v>Smart Choice Cinnamon Loaf</v>
      </c>
      <c r="M4071" s="65" t="str">
        <f>"48-3.6 oz. I.W."</f>
        <v>48-3.6 oz. I.W.</v>
      </c>
      <c r="N4071" s="66">
        <v>48</v>
      </c>
      <c r="O4071" s="67" t="str">
        <f>""</f>
        <v/>
      </c>
      <c r="P4071" s="68" t="e">
        <f>1/O4071</f>
        <v>#VALUE!</v>
      </c>
      <c r="Q4071" s="53">
        <v>1</v>
      </c>
      <c r="R4071" s="69">
        <f t="shared" ref="R4071" si="2916">1/Q4071</f>
        <v>1</v>
      </c>
      <c r="S4071" s="70">
        <f t="shared" ref="S4071" si="2917">R4071*N4071</f>
        <v>48</v>
      </c>
    </row>
    <row r="4072" spans="1:19" ht="15.6" hidden="1" customHeight="1" thickBot="1" x14ac:dyDescent="0.3">
      <c r="A4072" t="s">
        <v>23</v>
      </c>
      <c r="B4072" s="60" t="str">
        <f t="shared" si="2915"/>
        <v>hide</v>
      </c>
      <c r="D4072" s="48" t="str">
        <f>D4071</f>
        <v>52636</v>
      </c>
      <c r="E4072" s="7"/>
      <c r="F4072" s="27">
        <v>0</v>
      </c>
      <c r="G4072" s="27">
        <v>0</v>
      </c>
      <c r="H4072" s="27">
        <v>0</v>
      </c>
      <c r="I4072" s="27">
        <v>0</v>
      </c>
      <c r="J4072" s="27">
        <v>0</v>
      </c>
      <c r="K4072" s="63">
        <f>AVERAGE(I4072:J4072)</f>
        <v>0</v>
      </c>
      <c r="L4072" s="56" t="str">
        <f>"EQP-LAWPACK1"</f>
        <v>EQP-LAWPACK1</v>
      </c>
      <c r="M4072" s="14"/>
      <c r="N4072" s="15"/>
      <c r="O4072" s="12"/>
      <c r="P4072" s="34"/>
      <c r="Q4072" s="37"/>
      <c r="R4072" s="47"/>
      <c r="S4072" s="46"/>
    </row>
    <row r="4073" spans="1:19" ht="15.6" hidden="1" customHeight="1" thickBot="1" x14ac:dyDescent="0.3">
      <c r="A4073" t="s">
        <v>23</v>
      </c>
      <c r="B4073" s="60" t="str">
        <f t="shared" ref="B4073:B4075" si="2918">IF(K4073=0,"hide","")</f>
        <v>hide</v>
      </c>
      <c r="D4073" s="48" t="str">
        <f>D4072</f>
        <v>52636</v>
      </c>
      <c r="E4073" s="7"/>
      <c r="F4073" s="27">
        <v>0</v>
      </c>
      <c r="G4073" s="27">
        <v>0</v>
      </c>
      <c r="H4073" s="27">
        <v>0</v>
      </c>
      <c r="I4073" s="27">
        <v>0</v>
      </c>
      <c r="J4073" s="27">
        <v>0</v>
      </c>
      <c r="K4073" s="63">
        <f>AVERAGE(I4073:J4073)</f>
        <v>0</v>
      </c>
      <c r="L4073" s="56" t="str">
        <f>"EQP-LAWPACK2"</f>
        <v>EQP-LAWPACK2</v>
      </c>
      <c r="M4073" s="14"/>
      <c r="N4073" s="15"/>
      <c r="O4073" s="12"/>
      <c r="P4073" s="34"/>
      <c r="Q4073" s="37"/>
      <c r="R4073" s="47"/>
      <c r="S4073" s="46"/>
    </row>
    <row r="4074" spans="1:19" ht="15.6" hidden="1" customHeight="1" thickBot="1" x14ac:dyDescent="0.3">
      <c r="A4074" t="s">
        <v>23</v>
      </c>
      <c r="B4074" s="60" t="str">
        <f t="shared" si="2918"/>
        <v>hide</v>
      </c>
      <c r="D4074" s="48" t="str">
        <f>D4073</f>
        <v>52636</v>
      </c>
      <c r="E4074" s="7"/>
      <c r="F4074" s="27">
        <v>0</v>
      </c>
      <c r="G4074" s="27">
        <v>0</v>
      </c>
      <c r="H4074" s="27">
        <v>0</v>
      </c>
      <c r="I4074" s="27">
        <v>0</v>
      </c>
      <c r="J4074" s="27">
        <v>0</v>
      </c>
      <c r="K4074" s="63">
        <f>AVERAGE(I4074:J4074)</f>
        <v>0</v>
      </c>
      <c r="L4074" s="56" t="str">
        <f>"SW-COMAS-PACKL"</f>
        <v>SW-COMAS-PACKL</v>
      </c>
      <c r="M4074" s="14"/>
      <c r="N4074" s="15"/>
      <c r="O4074" s="12"/>
      <c r="P4074" s="34"/>
      <c r="Q4074" s="37"/>
      <c r="R4074" s="47"/>
      <c r="S4074" s="46"/>
    </row>
    <row r="4075" spans="1:19" ht="15.6" hidden="1" customHeight="1" thickBot="1" x14ac:dyDescent="0.3">
      <c r="A4075" t="s">
        <v>23</v>
      </c>
      <c r="B4075" s="60" t="str">
        <f t="shared" si="2918"/>
        <v>hide</v>
      </c>
      <c r="D4075" s="48" t="str">
        <f>D4074</f>
        <v>52636</v>
      </c>
      <c r="E4075" s="7"/>
      <c r="F4075" s="27">
        <v>0</v>
      </c>
      <c r="G4075" s="27">
        <v>0</v>
      </c>
      <c r="H4075" s="27">
        <v>0</v>
      </c>
      <c r="I4075" s="27">
        <v>0</v>
      </c>
      <c r="J4075" s="27">
        <v>0</v>
      </c>
      <c r="K4075" s="63">
        <f>AVERAGE(I4075:J4075)</f>
        <v>0</v>
      </c>
      <c r="L4075" s="56" t="str">
        <f>"SW-RISER-PACK"</f>
        <v>SW-RISER-PACK</v>
      </c>
      <c r="M4075" s="14"/>
      <c r="N4075" s="15"/>
      <c r="O4075" s="12"/>
      <c r="P4075" s="34"/>
      <c r="Q4075" s="37"/>
      <c r="R4075" s="47"/>
      <c r="S4075" s="46"/>
    </row>
    <row r="4076" spans="1:19" ht="12" hidden="1" customHeight="1" x14ac:dyDescent="0.3">
      <c r="A4076" s="35" t="s">
        <v>908</v>
      </c>
      <c r="B4076" s="49" t="str">
        <f>B4072</f>
        <v>hide</v>
      </c>
      <c r="N4076"/>
      <c r="Q4076" s="33"/>
    </row>
    <row r="4077" spans="1:19" ht="13.8" hidden="1" thickBot="1" x14ac:dyDescent="0.3">
      <c r="A4077" t="s">
        <v>23</v>
      </c>
      <c r="B4077" s="49" t="str">
        <f t="shared" ref="B4077" si="2919">B4076</f>
        <v>hide</v>
      </c>
      <c r="D4077" s="58"/>
      <c r="E4077" s="58"/>
      <c r="F4077" s="52">
        <f>SUM(F4072:F4076)</f>
        <v>0</v>
      </c>
      <c r="G4077" s="52">
        <f>SUM(G4072:G4076)</f>
        <v>0</v>
      </c>
      <c r="H4077" s="52">
        <f>SUM(H4072:H4076)</f>
        <v>0</v>
      </c>
      <c r="I4077" s="52">
        <f>SUM(I4072:I4076)</f>
        <v>0</v>
      </c>
      <c r="J4077" s="52">
        <f>SUM(J4072:J4076)</f>
        <v>0</v>
      </c>
      <c r="K4077" s="52"/>
      <c r="L4077" s="51" t="s">
        <v>4</v>
      </c>
      <c r="M4077" s="58"/>
      <c r="N4077" s="58"/>
      <c r="O4077" s="58"/>
      <c r="P4077" s="58"/>
      <c r="Q4077" s="58"/>
      <c r="R4077" s="58"/>
      <c r="S4077" s="58"/>
    </row>
    <row r="4078" spans="1:19" s="59" customFormat="1" ht="18.75" hidden="1" customHeight="1" thickBot="1" x14ac:dyDescent="0.3">
      <c r="A4078" s="59" t="s">
        <v>23</v>
      </c>
      <c r="B4078" s="60" t="str">
        <f t="shared" ref="B4078:B4079" si="2920">IF(K4078=0,"hide","")</f>
        <v>hide</v>
      </c>
      <c r="D4078" s="61" t="str">
        <f>"52644"</f>
        <v>52644</v>
      </c>
      <c r="E4078" s="62" t="str">
        <f>"3"</f>
        <v>3</v>
      </c>
      <c r="F4078" s="63">
        <v>0</v>
      </c>
      <c r="G4078" s="63">
        <v>0</v>
      </c>
      <c r="H4078" s="63">
        <v>0</v>
      </c>
      <c r="I4078" s="63">
        <v>0</v>
      </c>
      <c r="J4078" s="63">
        <v>0</v>
      </c>
      <c r="K4078" s="63">
        <f>AVERAGE(I4078:J4078)</f>
        <v>0</v>
      </c>
      <c r="L4078" s="64" t="str">
        <f>"FRUIT LOAVES"</f>
        <v>FRUIT LOAVES</v>
      </c>
      <c r="M4078" s="65" t="str">
        <f>"48-3.6 oz. IW"</f>
        <v>48-3.6 oz. IW</v>
      </c>
      <c r="N4078" s="66">
        <v>48</v>
      </c>
      <c r="O4078" s="67" t="str">
        <f>""</f>
        <v/>
      </c>
      <c r="P4078" s="68" t="e">
        <f>1/O4078</f>
        <v>#VALUE!</v>
      </c>
      <c r="Q4078" s="53">
        <v>1</v>
      </c>
      <c r="R4078" s="69">
        <f t="shared" ref="R4078" si="2921">1/Q4078</f>
        <v>1</v>
      </c>
      <c r="S4078" s="70">
        <f t="shared" ref="S4078" si="2922">R4078*N4078</f>
        <v>48</v>
      </c>
    </row>
    <row r="4079" spans="1:19" ht="15.6" hidden="1" customHeight="1" thickBot="1" x14ac:dyDescent="0.3">
      <c r="A4079" t="s">
        <v>23</v>
      </c>
      <c r="B4079" s="60" t="str">
        <f t="shared" si="2920"/>
        <v>hide</v>
      </c>
      <c r="D4079" s="48" t="str">
        <f>D4078</f>
        <v>52644</v>
      </c>
      <c r="E4079" s="7"/>
      <c r="F4079" s="27">
        <v>0</v>
      </c>
      <c r="G4079" s="27">
        <v>0</v>
      </c>
      <c r="H4079" s="27">
        <v>0</v>
      </c>
      <c r="I4079" s="27">
        <v>0</v>
      </c>
      <c r="J4079" s="27">
        <v>0</v>
      </c>
      <c r="K4079" s="63">
        <f>AVERAGE(I4079:J4079)</f>
        <v>0</v>
      </c>
      <c r="L4079" s="56" t="str">
        <f>"EQP-LAWPACK1"</f>
        <v>EQP-LAWPACK1</v>
      </c>
      <c r="M4079" s="14"/>
      <c r="N4079" s="15"/>
      <c r="O4079" s="12"/>
      <c r="P4079" s="34"/>
      <c r="Q4079" s="37"/>
      <c r="R4079" s="47"/>
      <c r="S4079" s="46"/>
    </row>
    <row r="4080" spans="1:19" ht="15.6" hidden="1" customHeight="1" thickBot="1" x14ac:dyDescent="0.3">
      <c r="A4080" t="s">
        <v>23</v>
      </c>
      <c r="B4080" s="60" t="str">
        <f t="shared" ref="B4080:B4082" si="2923">IF(K4080=0,"hide","")</f>
        <v>hide</v>
      </c>
      <c r="D4080" s="48" t="str">
        <f>D4079</f>
        <v>52644</v>
      </c>
      <c r="E4080" s="7"/>
      <c r="F4080" s="27">
        <v>0</v>
      </c>
      <c r="G4080" s="27">
        <v>0</v>
      </c>
      <c r="H4080" s="27">
        <v>0</v>
      </c>
      <c r="I4080" s="27">
        <v>0</v>
      </c>
      <c r="J4080" s="27">
        <v>0</v>
      </c>
      <c r="K4080" s="63">
        <f>AVERAGE(I4080:J4080)</f>
        <v>0</v>
      </c>
      <c r="L4080" s="56" t="str">
        <f>"EQP-LAWPACK2"</f>
        <v>EQP-LAWPACK2</v>
      </c>
      <c r="M4080" s="14"/>
      <c r="N4080" s="15"/>
      <c r="O4080" s="12"/>
      <c r="P4080" s="34"/>
      <c r="Q4080" s="37"/>
      <c r="R4080" s="47"/>
      <c r="S4080" s="46"/>
    </row>
    <row r="4081" spans="1:19" ht="15.6" hidden="1" customHeight="1" thickBot="1" x14ac:dyDescent="0.3">
      <c r="A4081" t="s">
        <v>23</v>
      </c>
      <c r="B4081" s="60" t="str">
        <f t="shared" si="2923"/>
        <v>hide</v>
      </c>
      <c r="D4081" s="48" t="str">
        <f>D4080</f>
        <v>52644</v>
      </c>
      <c r="E4081" s="7"/>
      <c r="F4081" s="27">
        <v>0</v>
      </c>
      <c r="G4081" s="27">
        <v>0</v>
      </c>
      <c r="H4081" s="27">
        <v>0</v>
      </c>
      <c r="I4081" s="27">
        <v>0</v>
      </c>
      <c r="J4081" s="27">
        <v>0</v>
      </c>
      <c r="K4081" s="63">
        <f>AVERAGE(I4081:J4081)</f>
        <v>0</v>
      </c>
      <c r="L4081" s="56" t="str">
        <f>"SW-COMAS-PACKL"</f>
        <v>SW-COMAS-PACKL</v>
      </c>
      <c r="M4081" s="14"/>
      <c r="N4081" s="15"/>
      <c r="O4081" s="12"/>
      <c r="P4081" s="34"/>
      <c r="Q4081" s="37"/>
      <c r="R4081" s="47"/>
      <c r="S4081" s="46"/>
    </row>
    <row r="4082" spans="1:19" ht="15.6" hidden="1" customHeight="1" thickBot="1" x14ac:dyDescent="0.3">
      <c r="A4082" t="s">
        <v>23</v>
      </c>
      <c r="B4082" s="60" t="str">
        <f t="shared" si="2923"/>
        <v>hide</v>
      </c>
      <c r="D4082" s="48" t="str">
        <f>D4081</f>
        <v>52644</v>
      </c>
      <c r="E4082" s="7"/>
      <c r="F4082" s="27">
        <v>0</v>
      </c>
      <c r="G4082" s="27">
        <v>0</v>
      </c>
      <c r="H4082" s="27">
        <v>0</v>
      </c>
      <c r="I4082" s="27">
        <v>0</v>
      </c>
      <c r="J4082" s="27">
        <v>0</v>
      </c>
      <c r="K4082" s="63">
        <f>AVERAGE(I4082:J4082)</f>
        <v>0</v>
      </c>
      <c r="L4082" s="56" t="str">
        <f>"SW-RISER-PACK"</f>
        <v>SW-RISER-PACK</v>
      </c>
      <c r="M4082" s="14"/>
      <c r="N4082" s="15"/>
      <c r="O4082" s="12"/>
      <c r="P4082" s="34"/>
      <c r="Q4082" s="37"/>
      <c r="R4082" s="47"/>
      <c r="S4082" s="46"/>
    </row>
    <row r="4083" spans="1:19" ht="12" hidden="1" customHeight="1" x14ac:dyDescent="0.3">
      <c r="A4083" s="35" t="s">
        <v>908</v>
      </c>
      <c r="B4083" s="49" t="str">
        <f>B4079</f>
        <v>hide</v>
      </c>
      <c r="N4083"/>
      <c r="Q4083" s="33"/>
    </row>
    <row r="4084" spans="1:19" ht="13.8" hidden="1" thickBot="1" x14ac:dyDescent="0.3">
      <c r="A4084" t="s">
        <v>23</v>
      </c>
      <c r="B4084" s="49" t="str">
        <f t="shared" ref="B4084" si="2924">B4083</f>
        <v>hide</v>
      </c>
      <c r="D4084" s="58"/>
      <c r="E4084" s="58"/>
      <c r="F4084" s="52">
        <f>SUM(F4079:F4083)</f>
        <v>0</v>
      </c>
      <c r="G4084" s="52">
        <f>SUM(G4079:G4083)</f>
        <v>0</v>
      </c>
      <c r="H4084" s="52">
        <f>SUM(H4079:H4083)</f>
        <v>0</v>
      </c>
      <c r="I4084" s="52">
        <f>SUM(I4079:I4083)</f>
        <v>0</v>
      </c>
      <c r="J4084" s="52">
        <f>SUM(J4079:J4083)</f>
        <v>0</v>
      </c>
      <c r="K4084" s="52"/>
      <c r="L4084" s="51" t="s">
        <v>4</v>
      </c>
      <c r="M4084" s="58"/>
      <c r="N4084" s="58"/>
      <c r="O4084" s="58"/>
      <c r="P4084" s="58"/>
      <c r="Q4084" s="58"/>
      <c r="R4084" s="58"/>
      <c r="S4084" s="58"/>
    </row>
    <row r="4085" spans="1:19" s="59" customFormat="1" ht="18.75" customHeight="1" thickBot="1" x14ac:dyDescent="0.3">
      <c r="A4085" s="59" t="s">
        <v>23</v>
      </c>
      <c r="B4085" s="60" t="str">
        <f t="shared" ref="B4085:B4086" si="2925">IF(K4085=0,"hide","")</f>
        <v/>
      </c>
      <c r="D4085" s="61" t="str">
        <f>"52675"</f>
        <v>52675</v>
      </c>
      <c r="E4085" s="62" t="str">
        <f>"6"</f>
        <v>6</v>
      </c>
      <c r="F4085" s="63">
        <v>1776.0833333333333</v>
      </c>
      <c r="G4085" s="63">
        <v>1664.9166666666667</v>
      </c>
      <c r="H4085" s="63">
        <v>2435.75</v>
      </c>
      <c r="I4085" s="63">
        <v>1936.5833333333333</v>
      </c>
      <c r="J4085" s="63">
        <v>1431.8436144578313</v>
      </c>
      <c r="K4085" s="63">
        <f>AVERAGE(I4085:J4085)</f>
        <v>1684.2134738955824</v>
      </c>
      <c r="L4085" s="64" t="str">
        <f>"Smart Choice Banana LOAVES"</f>
        <v>Smart Choice Banana LOAVES</v>
      </c>
      <c r="M4085" s="65" t="str">
        <f>"48-3.6 oz. I.W."</f>
        <v>48-3.6 oz. I.W.</v>
      </c>
      <c r="N4085" s="66">
        <v>48</v>
      </c>
      <c r="O4085" s="67" t="str">
        <f>""</f>
        <v/>
      </c>
      <c r="P4085" s="68" t="e">
        <f>1/O4085</f>
        <v>#VALUE!</v>
      </c>
      <c r="Q4085" s="53">
        <v>1</v>
      </c>
      <c r="R4085" s="69">
        <f t="shared" ref="R4085" si="2926">1/Q4085</f>
        <v>1</v>
      </c>
      <c r="S4085" s="70">
        <f t="shared" ref="S4085" si="2927">R4085*N4085</f>
        <v>48</v>
      </c>
    </row>
    <row r="4086" spans="1:19" ht="15.6" hidden="1" customHeight="1" thickBot="1" x14ac:dyDescent="0.3">
      <c r="A4086" t="s">
        <v>23</v>
      </c>
      <c r="B4086" s="60" t="str">
        <f t="shared" si="2925"/>
        <v>hide</v>
      </c>
      <c r="D4086" s="48" t="str">
        <f>D4085</f>
        <v>52675</v>
      </c>
      <c r="E4086" s="7"/>
      <c r="F4086" s="27">
        <v>0</v>
      </c>
      <c r="G4086" s="27">
        <v>0</v>
      </c>
      <c r="H4086" s="27">
        <v>0</v>
      </c>
      <c r="I4086" s="27">
        <v>0</v>
      </c>
      <c r="J4086" s="27">
        <v>0</v>
      </c>
      <c r="K4086" s="63">
        <f>AVERAGE(I4086:J4086)</f>
        <v>0</v>
      </c>
      <c r="L4086" s="56" t="str">
        <f>"EQP-LAWPACK1"</f>
        <v>EQP-LAWPACK1</v>
      </c>
      <c r="M4086" s="14"/>
      <c r="N4086" s="15"/>
      <c r="O4086" s="12"/>
      <c r="P4086" s="34"/>
      <c r="Q4086" s="37"/>
      <c r="R4086" s="47"/>
      <c r="S4086" s="46"/>
    </row>
    <row r="4087" spans="1:19" ht="15.6" hidden="1" customHeight="1" thickBot="1" x14ac:dyDescent="0.3">
      <c r="A4087" t="s">
        <v>23</v>
      </c>
      <c r="B4087" s="60" t="str">
        <f t="shared" ref="B4087:B4089" si="2928">IF(K4087=0,"hide","")</f>
        <v>hide</v>
      </c>
      <c r="D4087" s="48" t="str">
        <f>D4086</f>
        <v>52675</v>
      </c>
      <c r="E4087" s="7"/>
      <c r="F4087" s="27">
        <v>0</v>
      </c>
      <c r="G4087" s="27">
        <v>0</v>
      </c>
      <c r="H4087" s="27">
        <v>0</v>
      </c>
      <c r="I4087" s="27">
        <v>0</v>
      </c>
      <c r="J4087" s="27">
        <v>0</v>
      </c>
      <c r="K4087" s="63">
        <f>AVERAGE(I4087:J4087)</f>
        <v>0</v>
      </c>
      <c r="L4087" s="56" t="str">
        <f>"EQP-LAWPACK2"</f>
        <v>EQP-LAWPACK2</v>
      </c>
      <c r="M4087" s="14"/>
      <c r="N4087" s="15"/>
      <c r="O4087" s="12"/>
      <c r="P4087" s="34"/>
      <c r="Q4087" s="37"/>
      <c r="R4087" s="47"/>
      <c r="S4087" s="46"/>
    </row>
    <row r="4088" spans="1:19" ht="15.6" hidden="1" customHeight="1" thickBot="1" x14ac:dyDescent="0.3">
      <c r="A4088" t="s">
        <v>23</v>
      </c>
      <c r="B4088" s="60" t="str">
        <f t="shared" si="2928"/>
        <v>hide</v>
      </c>
      <c r="D4088" s="48" t="str">
        <f>D4087</f>
        <v>52675</v>
      </c>
      <c r="E4088" s="7"/>
      <c r="F4088" s="27">
        <v>0</v>
      </c>
      <c r="G4088" s="27">
        <v>0</v>
      </c>
      <c r="H4088" s="27">
        <v>0</v>
      </c>
      <c r="I4088" s="27">
        <v>0</v>
      </c>
      <c r="J4088" s="27">
        <v>0</v>
      </c>
      <c r="K4088" s="63">
        <f>AVERAGE(I4088:J4088)</f>
        <v>0</v>
      </c>
      <c r="L4088" s="56" t="str">
        <f>"SW-COMAS-PACKL"</f>
        <v>SW-COMAS-PACKL</v>
      </c>
      <c r="M4088" s="14"/>
      <c r="N4088" s="15"/>
      <c r="O4088" s="12"/>
      <c r="P4088" s="34"/>
      <c r="Q4088" s="37"/>
      <c r="R4088" s="47"/>
      <c r="S4088" s="46"/>
    </row>
    <row r="4089" spans="1:19" ht="15.6" hidden="1" customHeight="1" thickBot="1" x14ac:dyDescent="0.3">
      <c r="A4089" t="s">
        <v>23</v>
      </c>
      <c r="B4089" s="60" t="str">
        <f t="shared" si="2928"/>
        <v>hide</v>
      </c>
      <c r="D4089" s="48" t="str">
        <f>D4088</f>
        <v>52675</v>
      </c>
      <c r="E4089" s="7"/>
      <c r="F4089" s="27">
        <v>0</v>
      </c>
      <c r="G4089" s="27">
        <v>0</v>
      </c>
      <c r="H4089" s="27">
        <v>0</v>
      </c>
      <c r="I4089" s="27">
        <v>0</v>
      </c>
      <c r="J4089" s="27">
        <v>0</v>
      </c>
      <c r="K4089" s="63">
        <f>AVERAGE(I4089:J4089)</f>
        <v>0</v>
      </c>
      <c r="L4089" s="56" t="str">
        <f>"SW-RISER-PACK"</f>
        <v>SW-RISER-PACK</v>
      </c>
      <c r="M4089" s="14"/>
      <c r="N4089" s="15"/>
      <c r="O4089" s="12"/>
      <c r="P4089" s="34"/>
      <c r="Q4089" s="37"/>
      <c r="R4089" s="47"/>
      <c r="S4089" s="46"/>
    </row>
    <row r="4090" spans="1:19" ht="12" hidden="1" customHeight="1" x14ac:dyDescent="0.3">
      <c r="A4090" s="35" t="s">
        <v>908</v>
      </c>
      <c r="B4090" s="49" t="str">
        <f>B4086</f>
        <v>hide</v>
      </c>
      <c r="N4090"/>
      <c r="Q4090" s="33"/>
    </row>
    <row r="4091" spans="1:19" ht="13.8" hidden="1" thickBot="1" x14ac:dyDescent="0.3">
      <c r="A4091" t="s">
        <v>23</v>
      </c>
      <c r="B4091" s="49" t="str">
        <f t="shared" ref="B4091" si="2929">B4090</f>
        <v>hide</v>
      </c>
      <c r="D4091" s="58"/>
      <c r="E4091" s="58"/>
      <c r="F4091" s="52">
        <f>SUM(F4086:F4090)</f>
        <v>0</v>
      </c>
      <c r="G4091" s="52">
        <f>SUM(G4086:G4090)</f>
        <v>0</v>
      </c>
      <c r="H4091" s="52">
        <f>SUM(H4086:H4090)</f>
        <v>0</v>
      </c>
      <c r="I4091" s="52">
        <f>SUM(I4086:I4090)</f>
        <v>0</v>
      </c>
      <c r="J4091" s="52">
        <f>SUM(J4086:J4090)</f>
        <v>0</v>
      </c>
      <c r="K4091" s="52"/>
      <c r="L4091" s="51" t="s">
        <v>4</v>
      </c>
      <c r="M4091" s="58"/>
      <c r="N4091" s="58"/>
      <c r="O4091" s="58"/>
      <c r="P4091" s="58"/>
      <c r="Q4091" s="58"/>
      <c r="R4091" s="58"/>
      <c r="S4091" s="58"/>
    </row>
    <row r="4092" spans="1:19" s="59" customFormat="1" ht="18.75" customHeight="1" thickBot="1" x14ac:dyDescent="0.3">
      <c r="A4092" s="59" t="s">
        <v>23</v>
      </c>
      <c r="B4092" s="60" t="str">
        <f t="shared" ref="B4092:B4093" si="2930">IF(K4092=0,"hide","")</f>
        <v/>
      </c>
      <c r="D4092" s="61" t="str">
        <f>"52688"</f>
        <v>52688</v>
      </c>
      <c r="E4092" s="62" t="str">
        <f>"8"</f>
        <v>8</v>
      </c>
      <c r="F4092" s="63">
        <v>176.16666666666666</v>
      </c>
      <c r="G4092" s="63">
        <v>44.5</v>
      </c>
      <c r="H4092" s="63">
        <v>79.166666666666657</v>
      </c>
      <c r="I4092" s="63">
        <v>116.41666666666667</v>
      </c>
      <c r="J4092" s="63">
        <v>31.232289156626507</v>
      </c>
      <c r="K4092" s="63">
        <f>AVERAGE(I4092:J4092)</f>
        <v>73.824477911646596</v>
      </c>
      <c r="L4092" s="64" t="str">
        <f>"Smart Choice Zucchini Loaves"</f>
        <v>Smart Choice Zucchini Loaves</v>
      </c>
      <c r="M4092" s="65" t="str">
        <f>"48-3.6 oz. I.W."</f>
        <v>48-3.6 oz. I.W.</v>
      </c>
      <c r="N4092" s="66">
        <v>48</v>
      </c>
      <c r="O4092" s="67" t="str">
        <f>""</f>
        <v/>
      </c>
      <c r="P4092" s="68" t="e">
        <f>1/O4092</f>
        <v>#VALUE!</v>
      </c>
      <c r="Q4092" s="53">
        <v>1</v>
      </c>
      <c r="R4092" s="69">
        <f t="shared" ref="R4092" si="2931">1/Q4092</f>
        <v>1</v>
      </c>
      <c r="S4092" s="70">
        <f t="shared" ref="S4092" si="2932">R4092*N4092</f>
        <v>48</v>
      </c>
    </row>
    <row r="4093" spans="1:19" ht="15.6" hidden="1" customHeight="1" thickBot="1" x14ac:dyDescent="0.3">
      <c r="A4093" t="s">
        <v>23</v>
      </c>
      <c r="B4093" s="60" t="str">
        <f t="shared" si="2930"/>
        <v>hide</v>
      </c>
      <c r="D4093" s="48" t="str">
        <f>D4092</f>
        <v>52688</v>
      </c>
      <c r="E4093" s="7"/>
      <c r="F4093" s="27">
        <v>0</v>
      </c>
      <c r="G4093" s="27">
        <v>0</v>
      </c>
      <c r="H4093" s="27">
        <v>0</v>
      </c>
      <c r="I4093" s="27">
        <v>0</v>
      </c>
      <c r="J4093" s="27">
        <v>0</v>
      </c>
      <c r="K4093" s="63">
        <f>AVERAGE(I4093:J4093)</f>
        <v>0</v>
      </c>
      <c r="L4093" s="56" t="str">
        <f>"EQP-LAWPACK1"</f>
        <v>EQP-LAWPACK1</v>
      </c>
      <c r="M4093" s="14"/>
      <c r="N4093" s="15"/>
      <c r="O4093" s="12"/>
      <c r="P4093" s="34"/>
      <c r="Q4093" s="37"/>
      <c r="R4093" s="47"/>
      <c r="S4093" s="46"/>
    </row>
    <row r="4094" spans="1:19" ht="15.6" hidden="1" customHeight="1" thickBot="1" x14ac:dyDescent="0.3">
      <c r="A4094" t="s">
        <v>23</v>
      </c>
      <c r="B4094" s="60" t="str">
        <f t="shared" ref="B4094:B4096" si="2933">IF(K4094=0,"hide","")</f>
        <v>hide</v>
      </c>
      <c r="D4094" s="48" t="str">
        <f>D4093</f>
        <v>52688</v>
      </c>
      <c r="E4094" s="7"/>
      <c r="F4094" s="27">
        <v>0</v>
      </c>
      <c r="G4094" s="27">
        <v>0</v>
      </c>
      <c r="H4094" s="27">
        <v>0</v>
      </c>
      <c r="I4094" s="27">
        <v>0</v>
      </c>
      <c r="J4094" s="27">
        <v>0</v>
      </c>
      <c r="K4094" s="63">
        <f>AVERAGE(I4094:J4094)</f>
        <v>0</v>
      </c>
      <c r="L4094" s="56" t="str">
        <f>"EQP-LAWPACK2"</f>
        <v>EQP-LAWPACK2</v>
      </c>
      <c r="M4094" s="14"/>
      <c r="N4094" s="15"/>
      <c r="O4094" s="12"/>
      <c r="P4094" s="34"/>
      <c r="Q4094" s="37"/>
      <c r="R4094" s="47"/>
      <c r="S4094" s="46"/>
    </row>
    <row r="4095" spans="1:19" ht="15.6" hidden="1" customHeight="1" thickBot="1" x14ac:dyDescent="0.3">
      <c r="A4095" t="s">
        <v>23</v>
      </c>
      <c r="B4095" s="60" t="str">
        <f t="shared" si="2933"/>
        <v>hide</v>
      </c>
      <c r="D4095" s="48" t="str">
        <f>D4094</f>
        <v>52688</v>
      </c>
      <c r="E4095" s="7"/>
      <c r="F4095" s="27">
        <v>0</v>
      </c>
      <c r="G4095" s="27">
        <v>0</v>
      </c>
      <c r="H4095" s="27">
        <v>0</v>
      </c>
      <c r="I4095" s="27">
        <v>0</v>
      </c>
      <c r="J4095" s="27">
        <v>0</v>
      </c>
      <c r="K4095" s="63">
        <f>AVERAGE(I4095:J4095)</f>
        <v>0</v>
      </c>
      <c r="L4095" s="56" t="str">
        <f>"SW-COMAS-PACKL"</f>
        <v>SW-COMAS-PACKL</v>
      </c>
      <c r="M4095" s="14"/>
      <c r="N4095" s="15"/>
      <c r="O4095" s="12"/>
      <c r="P4095" s="34"/>
      <c r="Q4095" s="37"/>
      <c r="R4095" s="47"/>
      <c r="S4095" s="46"/>
    </row>
    <row r="4096" spans="1:19" ht="15.6" hidden="1" customHeight="1" thickBot="1" x14ac:dyDescent="0.3">
      <c r="A4096" t="s">
        <v>23</v>
      </c>
      <c r="B4096" s="60" t="str">
        <f t="shared" si="2933"/>
        <v>hide</v>
      </c>
      <c r="D4096" s="48" t="str">
        <f>D4095</f>
        <v>52688</v>
      </c>
      <c r="E4096" s="7"/>
      <c r="F4096" s="27">
        <v>0</v>
      </c>
      <c r="G4096" s="27">
        <v>0</v>
      </c>
      <c r="H4096" s="27">
        <v>0</v>
      </c>
      <c r="I4096" s="27">
        <v>0</v>
      </c>
      <c r="J4096" s="27">
        <v>0</v>
      </c>
      <c r="K4096" s="63">
        <f>AVERAGE(I4096:J4096)</f>
        <v>0</v>
      </c>
      <c r="L4096" s="56" t="str">
        <f>"SW-RISER-PACK"</f>
        <v>SW-RISER-PACK</v>
      </c>
      <c r="M4096" s="14"/>
      <c r="N4096" s="15"/>
      <c r="O4096" s="12"/>
      <c r="P4096" s="34"/>
      <c r="Q4096" s="37"/>
      <c r="R4096" s="47"/>
      <c r="S4096" s="46"/>
    </row>
    <row r="4097" spans="1:19" ht="12" hidden="1" customHeight="1" x14ac:dyDescent="0.3">
      <c r="A4097" s="35" t="s">
        <v>908</v>
      </c>
      <c r="B4097" s="49" t="str">
        <f>B4093</f>
        <v>hide</v>
      </c>
      <c r="N4097"/>
      <c r="Q4097" s="33"/>
    </row>
    <row r="4098" spans="1:19" ht="13.8" hidden="1" thickBot="1" x14ac:dyDescent="0.3">
      <c r="A4098" t="s">
        <v>23</v>
      </c>
      <c r="B4098" s="49" t="str">
        <f t="shared" ref="B4098" si="2934">B4097</f>
        <v>hide</v>
      </c>
      <c r="D4098" s="58"/>
      <c r="E4098" s="58"/>
      <c r="F4098" s="52">
        <f>SUM(F4093:F4097)</f>
        <v>0</v>
      </c>
      <c r="G4098" s="52">
        <f>SUM(G4093:G4097)</f>
        <v>0</v>
      </c>
      <c r="H4098" s="52">
        <f>SUM(H4093:H4097)</f>
        <v>0</v>
      </c>
      <c r="I4098" s="52">
        <f>SUM(I4093:I4097)</f>
        <v>0</v>
      </c>
      <c r="J4098" s="52">
        <f>SUM(J4093:J4097)</f>
        <v>0</v>
      </c>
      <c r="K4098" s="52"/>
      <c r="L4098" s="51" t="s">
        <v>4</v>
      </c>
      <c r="M4098" s="58"/>
      <c r="N4098" s="58"/>
      <c r="O4098" s="58"/>
      <c r="P4098" s="58"/>
      <c r="Q4098" s="58"/>
      <c r="R4098" s="58"/>
      <c r="S4098" s="58"/>
    </row>
    <row r="4099" spans="1:19" s="59" customFormat="1" ht="18.75" hidden="1" customHeight="1" thickBot="1" x14ac:dyDescent="0.3">
      <c r="A4099" s="59" t="s">
        <v>23</v>
      </c>
      <c r="B4099" s="60" t="str">
        <f t="shared" ref="B4099:B4100" si="2935">IF(K4099=0,"hide","")</f>
        <v>hide</v>
      </c>
      <c r="D4099" s="61" t="str">
        <f>"52888"</f>
        <v>52888</v>
      </c>
      <c r="E4099" s="62" t="str">
        <f>"4"</f>
        <v>4</v>
      </c>
      <c r="F4099" s="63">
        <v>0</v>
      </c>
      <c r="G4099" s="63">
        <v>0</v>
      </c>
      <c r="H4099" s="63">
        <v>0</v>
      </c>
      <c r="I4099" s="63">
        <v>0</v>
      </c>
      <c r="J4099" s="63">
        <v>0</v>
      </c>
      <c r="K4099" s="63">
        <f>AVERAGE(I4099:J4099)</f>
        <v>0</v>
      </c>
      <c r="L4099" s="64" t="str">
        <f>"WG Zucchini Loaves"</f>
        <v>WG Zucchini Loaves</v>
      </c>
      <c r="M4099" s="65" t="str">
        <f>"48-3.6 oz. I.W."</f>
        <v>48-3.6 oz. I.W.</v>
      </c>
      <c r="N4099" s="66">
        <v>48</v>
      </c>
      <c r="O4099" s="67" t="str">
        <f>""</f>
        <v/>
      </c>
      <c r="P4099" s="68" t="e">
        <f>1/O4099</f>
        <v>#VALUE!</v>
      </c>
      <c r="Q4099" s="53">
        <v>1</v>
      </c>
      <c r="R4099" s="69">
        <f t="shared" ref="R4099" si="2936">1/Q4099</f>
        <v>1</v>
      </c>
      <c r="S4099" s="70">
        <f t="shared" ref="S4099" si="2937">R4099*N4099</f>
        <v>48</v>
      </c>
    </row>
    <row r="4100" spans="1:19" ht="15.6" hidden="1" customHeight="1" thickBot="1" x14ac:dyDescent="0.3">
      <c r="A4100" t="s">
        <v>23</v>
      </c>
      <c r="B4100" s="60" t="str">
        <f t="shared" si="2935"/>
        <v>hide</v>
      </c>
      <c r="D4100" s="48" t="str">
        <f>D4099</f>
        <v>52888</v>
      </c>
      <c r="E4100" s="7"/>
      <c r="F4100" s="27">
        <v>0</v>
      </c>
      <c r="G4100" s="27">
        <v>0</v>
      </c>
      <c r="H4100" s="27">
        <v>0</v>
      </c>
      <c r="I4100" s="27">
        <v>0</v>
      </c>
      <c r="J4100" s="27">
        <v>0</v>
      </c>
      <c r="K4100" s="63">
        <f>AVERAGE(I4100:J4100)</f>
        <v>0</v>
      </c>
      <c r="L4100" s="56" t="str">
        <f>"EQP-LAWPACK1"</f>
        <v>EQP-LAWPACK1</v>
      </c>
      <c r="M4100" s="14"/>
      <c r="N4100" s="15"/>
      <c r="O4100" s="12"/>
      <c r="P4100" s="34"/>
      <c r="Q4100" s="37"/>
      <c r="R4100" s="47"/>
      <c r="S4100" s="46"/>
    </row>
    <row r="4101" spans="1:19" ht="15.6" hidden="1" customHeight="1" thickBot="1" x14ac:dyDescent="0.3">
      <c r="A4101" t="s">
        <v>23</v>
      </c>
      <c r="B4101" s="60" t="str">
        <f t="shared" ref="B4101:B4103" si="2938">IF(K4101=0,"hide","")</f>
        <v>hide</v>
      </c>
      <c r="D4101" s="48" t="str">
        <f>D4100</f>
        <v>52888</v>
      </c>
      <c r="E4101" s="7"/>
      <c r="F4101" s="27">
        <v>0</v>
      </c>
      <c r="G4101" s="27">
        <v>0</v>
      </c>
      <c r="H4101" s="27">
        <v>0</v>
      </c>
      <c r="I4101" s="27">
        <v>0</v>
      </c>
      <c r="J4101" s="27">
        <v>0</v>
      </c>
      <c r="K4101" s="63">
        <f>AVERAGE(I4101:J4101)</f>
        <v>0</v>
      </c>
      <c r="L4101" s="56" t="str">
        <f>"EQP-LAWPACK2"</f>
        <v>EQP-LAWPACK2</v>
      </c>
      <c r="M4101" s="14"/>
      <c r="N4101" s="15"/>
      <c r="O4101" s="12"/>
      <c r="P4101" s="34"/>
      <c r="Q4101" s="37"/>
      <c r="R4101" s="47"/>
      <c r="S4101" s="46"/>
    </row>
    <row r="4102" spans="1:19" ht="15.6" hidden="1" customHeight="1" thickBot="1" x14ac:dyDescent="0.3">
      <c r="A4102" t="s">
        <v>23</v>
      </c>
      <c r="B4102" s="60" t="str">
        <f t="shared" si="2938"/>
        <v>hide</v>
      </c>
      <c r="D4102" s="48" t="str">
        <f>D4101</f>
        <v>52888</v>
      </c>
      <c r="E4102" s="7"/>
      <c r="F4102" s="27">
        <v>0</v>
      </c>
      <c r="G4102" s="27">
        <v>0</v>
      </c>
      <c r="H4102" s="27">
        <v>0</v>
      </c>
      <c r="I4102" s="27">
        <v>0</v>
      </c>
      <c r="J4102" s="27">
        <v>0</v>
      </c>
      <c r="K4102" s="63">
        <f>AVERAGE(I4102:J4102)</f>
        <v>0</v>
      </c>
      <c r="L4102" s="56" t="str">
        <f>"SW-COMAS-PACKL"</f>
        <v>SW-COMAS-PACKL</v>
      </c>
      <c r="M4102" s="14"/>
      <c r="N4102" s="15"/>
      <c r="O4102" s="12"/>
      <c r="P4102" s="34"/>
      <c r="Q4102" s="37"/>
      <c r="R4102" s="47"/>
      <c r="S4102" s="46"/>
    </row>
    <row r="4103" spans="1:19" ht="15.6" hidden="1" customHeight="1" thickBot="1" x14ac:dyDescent="0.3">
      <c r="A4103" t="s">
        <v>23</v>
      </c>
      <c r="B4103" s="60" t="str">
        <f t="shared" si="2938"/>
        <v>hide</v>
      </c>
      <c r="D4103" s="48" t="str">
        <f>D4102</f>
        <v>52888</v>
      </c>
      <c r="E4103" s="7"/>
      <c r="F4103" s="27">
        <v>0</v>
      </c>
      <c r="G4103" s="27">
        <v>0</v>
      </c>
      <c r="H4103" s="27">
        <v>0</v>
      </c>
      <c r="I4103" s="27">
        <v>0</v>
      </c>
      <c r="J4103" s="27">
        <v>0</v>
      </c>
      <c r="K4103" s="63">
        <f>AVERAGE(I4103:J4103)</f>
        <v>0</v>
      </c>
      <c r="L4103" s="56" t="str">
        <f>"SW-RISER-PACK"</f>
        <v>SW-RISER-PACK</v>
      </c>
      <c r="M4103" s="14"/>
      <c r="N4103" s="15"/>
      <c r="O4103" s="12"/>
      <c r="P4103" s="34"/>
      <c r="Q4103" s="37"/>
      <c r="R4103" s="47"/>
      <c r="S4103" s="46"/>
    </row>
    <row r="4104" spans="1:19" ht="12" hidden="1" customHeight="1" x14ac:dyDescent="0.3">
      <c r="A4104" s="35" t="s">
        <v>908</v>
      </c>
      <c r="B4104" s="49" t="str">
        <f>B4100</f>
        <v>hide</v>
      </c>
      <c r="N4104"/>
      <c r="Q4104" s="33"/>
    </row>
    <row r="4105" spans="1:19" ht="13.8" hidden="1" thickBot="1" x14ac:dyDescent="0.3">
      <c r="A4105" t="s">
        <v>23</v>
      </c>
      <c r="B4105" s="49" t="str">
        <f t="shared" ref="B4105" si="2939">B4104</f>
        <v>hide</v>
      </c>
      <c r="D4105" s="58"/>
      <c r="E4105" s="58"/>
      <c r="F4105" s="52">
        <f>SUM(F4100:F4104)</f>
        <v>0</v>
      </c>
      <c r="G4105" s="52">
        <f>SUM(G4100:G4104)</f>
        <v>0</v>
      </c>
      <c r="H4105" s="52">
        <f>SUM(H4100:H4104)</f>
        <v>0</v>
      </c>
      <c r="I4105" s="52">
        <f>SUM(I4100:I4104)</f>
        <v>0</v>
      </c>
      <c r="J4105" s="52">
        <f>SUM(J4100:J4104)</f>
        <v>0</v>
      </c>
      <c r="K4105" s="52"/>
      <c r="L4105" s="51" t="s">
        <v>4</v>
      </c>
      <c r="M4105" s="58"/>
      <c r="N4105" s="58"/>
      <c r="O4105" s="58"/>
      <c r="P4105" s="58"/>
      <c r="Q4105" s="58"/>
      <c r="R4105" s="58"/>
      <c r="S4105" s="58"/>
    </row>
    <row r="4106" spans="1:19" s="59" customFormat="1" ht="18.75" customHeight="1" thickBot="1" x14ac:dyDescent="0.3">
      <c r="A4106" s="59" t="s">
        <v>23</v>
      </c>
      <c r="B4106" s="60" t="str">
        <f t="shared" ref="B4106:B4107" si="2940">IF(K4106=0,"hide","")</f>
        <v/>
      </c>
      <c r="D4106" s="61" t="str">
        <f>"52936"</f>
        <v>52936</v>
      </c>
      <c r="E4106" s="62" t="str">
        <f>"1"</f>
        <v>1</v>
      </c>
      <c r="F4106" s="63">
        <v>0</v>
      </c>
      <c r="G4106" s="63">
        <v>0</v>
      </c>
      <c r="H4106" s="63">
        <v>0</v>
      </c>
      <c r="I4106" s="63">
        <v>147.91666666666666</v>
      </c>
      <c r="J4106" s="63">
        <v>722.09325301204819</v>
      </c>
      <c r="K4106" s="63">
        <f>AVERAGE(I4106:J4106)</f>
        <v>435.00495983935741</v>
      </c>
      <c r="L4106" s="64" t="str">
        <f>"438 Loaf, WG, Cinnamon Crumb, IW "</f>
        <v xml:space="preserve">438 Loaf, WG, Cinnamon Crumb, IW </v>
      </c>
      <c r="M4106" s="65" t="str">
        <f>"48-3.6 oz. I.W."</f>
        <v>48-3.6 oz. I.W.</v>
      </c>
      <c r="N4106" s="66">
        <v>48</v>
      </c>
      <c r="O4106" s="67" t="str">
        <f>""</f>
        <v/>
      </c>
      <c r="P4106" s="68" t="e">
        <f>1/O4106</f>
        <v>#VALUE!</v>
      </c>
      <c r="Q4106" s="53">
        <v>1</v>
      </c>
      <c r="R4106" s="69">
        <f t="shared" ref="R4106" si="2941">1/Q4106</f>
        <v>1</v>
      </c>
      <c r="S4106" s="70">
        <f t="shared" ref="S4106" si="2942">R4106*N4106</f>
        <v>48</v>
      </c>
    </row>
    <row r="4107" spans="1:19" ht="15.6" hidden="1" customHeight="1" thickBot="1" x14ac:dyDescent="0.3">
      <c r="A4107" t="s">
        <v>23</v>
      </c>
      <c r="B4107" s="60" t="str">
        <f t="shared" si="2940"/>
        <v>hide</v>
      </c>
      <c r="D4107" s="48" t="str">
        <f>D4106</f>
        <v>52936</v>
      </c>
      <c r="E4107" s="7"/>
      <c r="F4107" s="27">
        <v>0</v>
      </c>
      <c r="G4107" s="27">
        <v>0</v>
      </c>
      <c r="H4107" s="27">
        <v>0</v>
      </c>
      <c r="I4107" s="27">
        <v>0</v>
      </c>
      <c r="J4107" s="27">
        <v>0</v>
      </c>
      <c r="K4107" s="63">
        <f>AVERAGE(I4107:J4107)</f>
        <v>0</v>
      </c>
      <c r="L4107" s="56" t="str">
        <f>"EQP-LAWPACK1"</f>
        <v>EQP-LAWPACK1</v>
      </c>
      <c r="M4107" s="14"/>
      <c r="N4107" s="15"/>
      <c r="O4107" s="12"/>
      <c r="P4107" s="34"/>
      <c r="Q4107" s="37"/>
      <c r="R4107" s="47"/>
      <c r="S4107" s="46"/>
    </row>
    <row r="4108" spans="1:19" ht="15.6" hidden="1" customHeight="1" thickBot="1" x14ac:dyDescent="0.3">
      <c r="A4108" t="s">
        <v>23</v>
      </c>
      <c r="B4108" s="60" t="str">
        <f t="shared" ref="B4108:B4110" si="2943">IF(K4108=0,"hide","")</f>
        <v>hide</v>
      </c>
      <c r="D4108" s="48" t="str">
        <f>D4107</f>
        <v>52936</v>
      </c>
      <c r="E4108" s="7"/>
      <c r="F4108" s="27">
        <v>0</v>
      </c>
      <c r="G4108" s="27">
        <v>0</v>
      </c>
      <c r="H4108" s="27">
        <v>0</v>
      </c>
      <c r="I4108" s="27">
        <v>0</v>
      </c>
      <c r="J4108" s="27">
        <v>0</v>
      </c>
      <c r="K4108" s="63">
        <f>AVERAGE(I4108:J4108)</f>
        <v>0</v>
      </c>
      <c r="L4108" s="56" t="str">
        <f>"EQP-LAWPACK2"</f>
        <v>EQP-LAWPACK2</v>
      </c>
      <c r="M4108" s="14"/>
      <c r="N4108" s="15"/>
      <c r="O4108" s="12"/>
      <c r="P4108" s="34"/>
      <c r="Q4108" s="37"/>
      <c r="R4108" s="47"/>
      <c r="S4108" s="46"/>
    </row>
    <row r="4109" spans="1:19" ht="15.6" hidden="1" customHeight="1" thickBot="1" x14ac:dyDescent="0.3">
      <c r="A4109" t="s">
        <v>23</v>
      </c>
      <c r="B4109" s="60" t="str">
        <f t="shared" si="2943"/>
        <v>hide</v>
      </c>
      <c r="D4109" s="48" t="str">
        <f>D4108</f>
        <v>52936</v>
      </c>
      <c r="E4109" s="7"/>
      <c r="F4109" s="27">
        <v>0</v>
      </c>
      <c r="G4109" s="27">
        <v>0</v>
      </c>
      <c r="H4109" s="27">
        <v>0</v>
      </c>
      <c r="I4109" s="27">
        <v>0</v>
      </c>
      <c r="J4109" s="27">
        <v>0</v>
      </c>
      <c r="K4109" s="63">
        <f>AVERAGE(I4109:J4109)</f>
        <v>0</v>
      </c>
      <c r="L4109" s="56" t="str">
        <f>"SW-COMAS-PACKL"</f>
        <v>SW-COMAS-PACKL</v>
      </c>
      <c r="M4109" s="14"/>
      <c r="N4109" s="15"/>
      <c r="O4109" s="12"/>
      <c r="P4109" s="34"/>
      <c r="Q4109" s="37"/>
      <c r="R4109" s="47"/>
      <c r="S4109" s="46"/>
    </row>
    <row r="4110" spans="1:19" ht="15.6" hidden="1" customHeight="1" thickBot="1" x14ac:dyDescent="0.3">
      <c r="A4110" t="s">
        <v>23</v>
      </c>
      <c r="B4110" s="60" t="str">
        <f t="shared" si="2943"/>
        <v>hide</v>
      </c>
      <c r="D4110" s="48" t="str">
        <f>D4109</f>
        <v>52936</v>
      </c>
      <c r="E4110" s="7"/>
      <c r="F4110" s="27">
        <v>0</v>
      </c>
      <c r="G4110" s="27">
        <v>0</v>
      </c>
      <c r="H4110" s="27">
        <v>0</v>
      </c>
      <c r="I4110" s="27">
        <v>0</v>
      </c>
      <c r="J4110" s="27">
        <v>0</v>
      </c>
      <c r="K4110" s="63">
        <f>AVERAGE(I4110:J4110)</f>
        <v>0</v>
      </c>
      <c r="L4110" s="56" t="str">
        <f>"SW-RISER-PACK"</f>
        <v>SW-RISER-PACK</v>
      </c>
      <c r="M4110" s="14"/>
      <c r="N4110" s="15"/>
      <c r="O4110" s="12"/>
      <c r="P4110" s="34"/>
      <c r="Q4110" s="37"/>
      <c r="R4110" s="47"/>
      <c r="S4110" s="46"/>
    </row>
    <row r="4111" spans="1:19" ht="12" hidden="1" customHeight="1" x14ac:dyDescent="0.3">
      <c r="A4111" s="35" t="s">
        <v>908</v>
      </c>
      <c r="B4111" s="49" t="str">
        <f>B4107</f>
        <v>hide</v>
      </c>
      <c r="N4111"/>
      <c r="Q4111" s="33"/>
    </row>
    <row r="4112" spans="1:19" ht="13.8" hidden="1" thickBot="1" x14ac:dyDescent="0.3">
      <c r="A4112" t="s">
        <v>23</v>
      </c>
      <c r="B4112" s="49" t="str">
        <f t="shared" ref="B4112" si="2944">B4111</f>
        <v>hide</v>
      </c>
      <c r="D4112" s="58"/>
      <c r="E4112" s="58"/>
      <c r="F4112" s="52">
        <f>SUM(F4107:F4111)</f>
        <v>0</v>
      </c>
      <c r="G4112" s="52">
        <f>SUM(G4107:G4111)</f>
        <v>0</v>
      </c>
      <c r="H4112" s="52">
        <f>SUM(H4107:H4111)</f>
        <v>0</v>
      </c>
      <c r="I4112" s="52">
        <f>SUM(I4107:I4111)</f>
        <v>0</v>
      </c>
      <c r="J4112" s="52">
        <f>SUM(J4107:J4111)</f>
        <v>0</v>
      </c>
      <c r="K4112" s="52"/>
      <c r="L4112" s="51" t="s">
        <v>4</v>
      </c>
      <c r="M4112" s="58"/>
      <c r="N4112" s="58"/>
      <c r="O4112" s="58"/>
      <c r="P4112" s="58"/>
      <c r="Q4112" s="58"/>
      <c r="R4112" s="58"/>
      <c r="S4112" s="58"/>
    </row>
    <row r="4113" spans="1:19" s="59" customFormat="1" ht="18.75" customHeight="1" thickBot="1" x14ac:dyDescent="0.3">
      <c r="A4113" s="59" t="s">
        <v>23</v>
      </c>
      <c r="B4113" s="60" t="str">
        <f t="shared" ref="B4113:B4114" si="2945">IF(K4113=0,"hide","")</f>
        <v/>
      </c>
      <c r="D4113" s="61" t="str">
        <f>"52975"</f>
        <v>52975</v>
      </c>
      <c r="E4113" s="62" t="str">
        <f>"1"</f>
        <v>1</v>
      </c>
      <c r="F4113" s="63">
        <v>0</v>
      </c>
      <c r="G4113" s="63">
        <v>0</v>
      </c>
      <c r="H4113" s="63">
        <v>0</v>
      </c>
      <c r="I4113" s="63">
        <v>69.999999999999986</v>
      </c>
      <c r="J4113" s="63">
        <v>410.17951807228917</v>
      </c>
      <c r="K4113" s="63">
        <f>AVERAGE(I4113:J4113)</f>
        <v>240.08975903614459</v>
      </c>
      <c r="L4113" s="64" t="str">
        <f>"437 Banana Loaf 3.6 oz"</f>
        <v>437 Banana Loaf 3.6 oz</v>
      </c>
      <c r="M4113" s="65" t="str">
        <f>"48-3.6 oz. I.W."</f>
        <v>48-3.6 oz. I.W.</v>
      </c>
      <c r="N4113" s="66">
        <v>48</v>
      </c>
      <c r="O4113" s="67" t="str">
        <f>""</f>
        <v/>
      </c>
      <c r="P4113" s="68" t="e">
        <f>1/O4113</f>
        <v>#VALUE!</v>
      </c>
      <c r="Q4113" s="53">
        <v>1</v>
      </c>
      <c r="R4113" s="69">
        <f t="shared" ref="R4113" si="2946">1/Q4113</f>
        <v>1</v>
      </c>
      <c r="S4113" s="70">
        <f t="shared" ref="S4113" si="2947">R4113*N4113</f>
        <v>48</v>
      </c>
    </row>
    <row r="4114" spans="1:19" ht="15.6" hidden="1" customHeight="1" thickBot="1" x14ac:dyDescent="0.3">
      <c r="A4114" t="s">
        <v>23</v>
      </c>
      <c r="B4114" s="60" t="str">
        <f t="shared" si="2945"/>
        <v>hide</v>
      </c>
      <c r="D4114" s="48" t="str">
        <f>D4113</f>
        <v>52975</v>
      </c>
      <c r="E4114" s="7"/>
      <c r="F4114" s="27">
        <v>0</v>
      </c>
      <c r="G4114" s="27">
        <v>0</v>
      </c>
      <c r="H4114" s="27">
        <v>0</v>
      </c>
      <c r="I4114" s="27">
        <v>0</v>
      </c>
      <c r="J4114" s="27">
        <v>0</v>
      </c>
      <c r="K4114" s="63">
        <f>AVERAGE(I4114:J4114)</f>
        <v>0</v>
      </c>
      <c r="L4114" s="56" t="str">
        <f>"EQP-LAWPACK1"</f>
        <v>EQP-LAWPACK1</v>
      </c>
      <c r="M4114" s="14"/>
      <c r="N4114" s="15"/>
      <c r="O4114" s="12"/>
      <c r="P4114" s="34"/>
      <c r="Q4114" s="37"/>
      <c r="R4114" s="47"/>
      <c r="S4114" s="46"/>
    </row>
    <row r="4115" spans="1:19" ht="15.6" hidden="1" customHeight="1" thickBot="1" x14ac:dyDescent="0.3">
      <c r="A4115" t="s">
        <v>23</v>
      </c>
      <c r="B4115" s="60" t="str">
        <f t="shared" ref="B4115:B4117" si="2948">IF(K4115=0,"hide","")</f>
        <v>hide</v>
      </c>
      <c r="D4115" s="48" t="str">
        <f>D4114</f>
        <v>52975</v>
      </c>
      <c r="E4115" s="7"/>
      <c r="F4115" s="27">
        <v>0</v>
      </c>
      <c r="G4115" s="27">
        <v>0</v>
      </c>
      <c r="H4115" s="27">
        <v>0</v>
      </c>
      <c r="I4115" s="27">
        <v>0</v>
      </c>
      <c r="J4115" s="27">
        <v>0</v>
      </c>
      <c r="K4115" s="63">
        <f>AVERAGE(I4115:J4115)</f>
        <v>0</v>
      </c>
      <c r="L4115" s="56" t="str">
        <f>"EQP-LAWPACK2"</f>
        <v>EQP-LAWPACK2</v>
      </c>
      <c r="M4115" s="14"/>
      <c r="N4115" s="15"/>
      <c r="O4115" s="12"/>
      <c r="P4115" s="34"/>
      <c r="Q4115" s="37"/>
      <c r="R4115" s="47"/>
      <c r="S4115" s="46"/>
    </row>
    <row r="4116" spans="1:19" ht="15.6" hidden="1" customHeight="1" thickBot="1" x14ac:dyDescent="0.3">
      <c r="A4116" t="s">
        <v>23</v>
      </c>
      <c r="B4116" s="60" t="str">
        <f t="shared" si="2948"/>
        <v>hide</v>
      </c>
      <c r="D4116" s="48" t="str">
        <f>D4115</f>
        <v>52975</v>
      </c>
      <c r="E4116" s="7"/>
      <c r="F4116" s="27">
        <v>0</v>
      </c>
      <c r="G4116" s="27">
        <v>0</v>
      </c>
      <c r="H4116" s="27">
        <v>0</v>
      </c>
      <c r="I4116" s="27">
        <v>0</v>
      </c>
      <c r="J4116" s="27">
        <v>0</v>
      </c>
      <c r="K4116" s="63">
        <f>AVERAGE(I4116:J4116)</f>
        <v>0</v>
      </c>
      <c r="L4116" s="56" t="str">
        <f>"SW-COMAS-PACKL"</f>
        <v>SW-COMAS-PACKL</v>
      </c>
      <c r="M4116" s="14"/>
      <c r="N4116" s="15"/>
      <c r="O4116" s="12"/>
      <c r="P4116" s="34"/>
      <c r="Q4116" s="37"/>
      <c r="R4116" s="47"/>
      <c r="S4116" s="46"/>
    </row>
    <row r="4117" spans="1:19" ht="15.6" hidden="1" customHeight="1" thickBot="1" x14ac:dyDescent="0.3">
      <c r="A4117" t="s">
        <v>23</v>
      </c>
      <c r="B4117" s="60" t="str">
        <f t="shared" si="2948"/>
        <v>hide</v>
      </c>
      <c r="D4117" s="48" t="str">
        <f>D4116</f>
        <v>52975</v>
      </c>
      <c r="E4117" s="7"/>
      <c r="F4117" s="27">
        <v>0</v>
      </c>
      <c r="G4117" s="27">
        <v>0</v>
      </c>
      <c r="H4117" s="27">
        <v>0</v>
      </c>
      <c r="I4117" s="27">
        <v>0</v>
      </c>
      <c r="J4117" s="27">
        <v>0</v>
      </c>
      <c r="K4117" s="63">
        <f>AVERAGE(I4117:J4117)</f>
        <v>0</v>
      </c>
      <c r="L4117" s="56" t="str">
        <f>"SW-RISER-PACK"</f>
        <v>SW-RISER-PACK</v>
      </c>
      <c r="M4117" s="14"/>
      <c r="N4117" s="15"/>
      <c r="O4117" s="12"/>
      <c r="P4117" s="34"/>
      <c r="Q4117" s="37"/>
      <c r="R4117" s="47"/>
      <c r="S4117" s="46"/>
    </row>
    <row r="4118" spans="1:19" ht="12" hidden="1" customHeight="1" x14ac:dyDescent="0.3">
      <c r="A4118" s="35" t="s">
        <v>908</v>
      </c>
      <c r="B4118" s="49" t="str">
        <f>B4114</f>
        <v>hide</v>
      </c>
      <c r="N4118"/>
      <c r="Q4118" s="33"/>
    </row>
    <row r="4119" spans="1:19" ht="13.8" hidden="1" thickBot="1" x14ac:dyDescent="0.3">
      <c r="A4119" t="s">
        <v>23</v>
      </c>
      <c r="B4119" s="49" t="str">
        <f t="shared" ref="B4119" si="2949">B4118</f>
        <v>hide</v>
      </c>
      <c r="D4119" s="58"/>
      <c r="E4119" s="58"/>
      <c r="F4119" s="52">
        <f>SUM(F4114:F4118)</f>
        <v>0</v>
      </c>
      <c r="G4119" s="52">
        <f>SUM(G4114:G4118)</f>
        <v>0</v>
      </c>
      <c r="H4119" s="52">
        <f>SUM(H4114:H4118)</f>
        <v>0</v>
      </c>
      <c r="I4119" s="52">
        <f>SUM(I4114:I4118)</f>
        <v>0</v>
      </c>
      <c r="J4119" s="52">
        <f>SUM(J4114:J4118)</f>
        <v>0</v>
      </c>
      <c r="K4119" s="52"/>
      <c r="L4119" s="51" t="s">
        <v>4</v>
      </c>
      <c r="M4119" s="58"/>
      <c r="N4119" s="58"/>
      <c r="O4119" s="58"/>
      <c r="P4119" s="58"/>
      <c r="Q4119" s="58"/>
      <c r="R4119" s="58"/>
      <c r="S4119" s="58"/>
    </row>
    <row r="4120" spans="1:19" s="59" customFormat="1" ht="18.75" hidden="1" customHeight="1" thickBot="1" x14ac:dyDescent="0.3">
      <c r="A4120" s="59" t="s">
        <v>23</v>
      </c>
      <c r="B4120" s="60" t="str">
        <f t="shared" ref="B4120:B4121" si="2950">IF(K4120=0,"hide","")</f>
        <v>hide</v>
      </c>
      <c r="D4120" s="61" t="str">
        <f>"57001"</f>
        <v>57001</v>
      </c>
      <c r="E4120" s="62" t="str">
        <f>"1"</f>
        <v>1</v>
      </c>
      <c r="F4120" s="63">
        <v>0</v>
      </c>
      <c r="G4120" s="63">
        <v>0</v>
      </c>
      <c r="H4120" s="63">
        <v>0</v>
      </c>
      <c r="I4120" s="63">
        <v>0</v>
      </c>
      <c r="J4120" s="63">
        <v>0</v>
      </c>
      <c r="K4120" s="63">
        <f>AVERAGE(I4120:J4120)</f>
        <v>0</v>
      </c>
      <c r="L4120" s="64" t="str">
        <f>"Choc Vita Brownie"</f>
        <v>Choc Vita Brownie</v>
      </c>
      <c r="M4120" s="65" t="str">
        <f>"32-2 oz."</f>
        <v>32-2 oz.</v>
      </c>
      <c r="N4120" s="66">
        <v>32</v>
      </c>
      <c r="O4120" s="67" t="str">
        <f>""</f>
        <v/>
      </c>
      <c r="P4120" s="68" t="e">
        <f>1/O4120</f>
        <v>#VALUE!</v>
      </c>
      <c r="Q4120" s="53">
        <v>1</v>
      </c>
      <c r="R4120" s="69">
        <f t="shared" ref="R4120" si="2951">1/Q4120</f>
        <v>1</v>
      </c>
      <c r="S4120" s="70">
        <f t="shared" ref="S4120" si="2952">R4120*N4120</f>
        <v>32</v>
      </c>
    </row>
    <row r="4121" spans="1:19" ht="15.6" hidden="1" customHeight="1" thickBot="1" x14ac:dyDescent="0.3">
      <c r="A4121" t="s">
        <v>23</v>
      </c>
      <c r="B4121" s="60" t="str">
        <f t="shared" si="2950"/>
        <v>hide</v>
      </c>
      <c r="D4121" s="48" t="str">
        <f>D4120</f>
        <v>57001</v>
      </c>
      <c r="E4121" s="7"/>
      <c r="F4121" s="27">
        <v>0</v>
      </c>
      <c r="G4121" s="27">
        <v>0</v>
      </c>
      <c r="H4121" s="27">
        <v>0</v>
      </c>
      <c r="I4121" s="27">
        <v>0</v>
      </c>
      <c r="J4121" s="27">
        <v>0</v>
      </c>
      <c r="K4121" s="63">
        <f>AVERAGE(I4121:J4121)</f>
        <v>0</v>
      </c>
      <c r="L4121" s="56" t="str">
        <f>"EQP-LAWPACK1"</f>
        <v>EQP-LAWPACK1</v>
      </c>
      <c r="M4121" s="14"/>
      <c r="N4121" s="15"/>
      <c r="O4121" s="12"/>
      <c r="P4121" s="34"/>
      <c r="Q4121" s="37"/>
      <c r="R4121" s="47"/>
      <c r="S4121" s="46"/>
    </row>
    <row r="4122" spans="1:19" ht="15.6" hidden="1" customHeight="1" thickBot="1" x14ac:dyDescent="0.3">
      <c r="A4122" t="s">
        <v>23</v>
      </c>
      <c r="B4122" s="60" t="str">
        <f t="shared" ref="B4122:B4124" si="2953">IF(K4122=0,"hide","")</f>
        <v>hide</v>
      </c>
      <c r="D4122" s="48" t="str">
        <f>D4121</f>
        <v>57001</v>
      </c>
      <c r="E4122" s="7"/>
      <c r="F4122" s="27">
        <v>0</v>
      </c>
      <c r="G4122" s="27">
        <v>0</v>
      </c>
      <c r="H4122" s="27">
        <v>0</v>
      </c>
      <c r="I4122" s="27">
        <v>0</v>
      </c>
      <c r="J4122" s="27">
        <v>0</v>
      </c>
      <c r="K4122" s="63">
        <f>AVERAGE(I4122:J4122)</f>
        <v>0</v>
      </c>
      <c r="L4122" s="56" t="str">
        <f>"EQP-LAWPACK2"</f>
        <v>EQP-LAWPACK2</v>
      </c>
      <c r="M4122" s="14"/>
      <c r="N4122" s="15"/>
      <c r="O4122" s="12"/>
      <c r="P4122" s="34"/>
      <c r="Q4122" s="37"/>
      <c r="R4122" s="47"/>
      <c r="S4122" s="46"/>
    </row>
    <row r="4123" spans="1:19" ht="15.6" hidden="1" customHeight="1" thickBot="1" x14ac:dyDescent="0.3">
      <c r="A4123" t="s">
        <v>23</v>
      </c>
      <c r="B4123" s="60" t="str">
        <f t="shared" si="2953"/>
        <v>hide</v>
      </c>
      <c r="D4123" s="48" t="str">
        <f>D4122</f>
        <v>57001</v>
      </c>
      <c r="E4123" s="7"/>
      <c r="F4123" s="27">
        <v>0</v>
      </c>
      <c r="G4123" s="27">
        <v>0</v>
      </c>
      <c r="H4123" s="27">
        <v>0</v>
      </c>
      <c r="I4123" s="27">
        <v>0</v>
      </c>
      <c r="J4123" s="27">
        <v>0</v>
      </c>
      <c r="K4123" s="63">
        <f>AVERAGE(I4123:J4123)</f>
        <v>0</v>
      </c>
      <c r="L4123" s="56" t="str">
        <f>"SW-COMAS-PACKL"</f>
        <v>SW-COMAS-PACKL</v>
      </c>
      <c r="M4123" s="14"/>
      <c r="N4123" s="15"/>
      <c r="O4123" s="12"/>
      <c r="P4123" s="34"/>
      <c r="Q4123" s="37"/>
      <c r="R4123" s="47"/>
      <c r="S4123" s="46"/>
    </row>
    <row r="4124" spans="1:19" ht="15.6" hidden="1" customHeight="1" thickBot="1" x14ac:dyDescent="0.3">
      <c r="A4124" t="s">
        <v>23</v>
      </c>
      <c r="B4124" s="60" t="str">
        <f t="shared" si="2953"/>
        <v>hide</v>
      </c>
      <c r="D4124" s="48" t="str">
        <f>D4123</f>
        <v>57001</v>
      </c>
      <c r="E4124" s="7"/>
      <c r="F4124" s="27">
        <v>0</v>
      </c>
      <c r="G4124" s="27">
        <v>0</v>
      </c>
      <c r="H4124" s="27">
        <v>0</v>
      </c>
      <c r="I4124" s="27">
        <v>0</v>
      </c>
      <c r="J4124" s="27">
        <v>0</v>
      </c>
      <c r="K4124" s="63">
        <f>AVERAGE(I4124:J4124)</f>
        <v>0</v>
      </c>
      <c r="L4124" s="56" t="str">
        <f>"SW-RISER-PACK"</f>
        <v>SW-RISER-PACK</v>
      </c>
      <c r="M4124" s="14"/>
      <c r="N4124" s="15"/>
      <c r="O4124" s="12"/>
      <c r="P4124" s="34"/>
      <c r="Q4124" s="37"/>
      <c r="R4124" s="47"/>
      <c r="S4124" s="46"/>
    </row>
    <row r="4125" spans="1:19" ht="12" hidden="1" customHeight="1" x14ac:dyDescent="0.3">
      <c r="A4125" s="35" t="s">
        <v>908</v>
      </c>
      <c r="B4125" s="49" t="str">
        <f>B4121</f>
        <v>hide</v>
      </c>
      <c r="N4125"/>
      <c r="Q4125" s="33"/>
    </row>
    <row r="4126" spans="1:19" ht="13.8" hidden="1" thickBot="1" x14ac:dyDescent="0.3">
      <c r="A4126" t="s">
        <v>23</v>
      </c>
      <c r="B4126" s="49" t="str">
        <f t="shared" ref="B4126" si="2954">B4125</f>
        <v>hide</v>
      </c>
      <c r="D4126" s="58"/>
      <c r="E4126" s="58"/>
      <c r="F4126" s="52">
        <f>SUM(F4121:F4125)</f>
        <v>0</v>
      </c>
      <c r="G4126" s="52">
        <f>SUM(G4121:G4125)</f>
        <v>0</v>
      </c>
      <c r="H4126" s="52">
        <f>SUM(H4121:H4125)</f>
        <v>0</v>
      </c>
      <c r="I4126" s="52">
        <f>SUM(I4121:I4125)</f>
        <v>0</v>
      </c>
      <c r="J4126" s="52">
        <f>SUM(J4121:J4125)</f>
        <v>0</v>
      </c>
      <c r="K4126" s="52"/>
      <c r="L4126" s="51" t="s">
        <v>4</v>
      </c>
      <c r="M4126" s="58"/>
      <c r="N4126" s="58"/>
      <c r="O4126" s="58"/>
      <c r="P4126" s="58"/>
      <c r="Q4126" s="58"/>
      <c r="R4126" s="58"/>
      <c r="S4126" s="58"/>
    </row>
    <row r="4127" spans="1:19" s="59" customFormat="1" ht="18.75" hidden="1" customHeight="1" thickBot="1" x14ac:dyDescent="0.3">
      <c r="A4127" s="59" t="s">
        <v>23</v>
      </c>
      <c r="B4127" s="60" t="str">
        <f t="shared" ref="B4127:B4128" si="2955">IF(K4127=0,"hide","")</f>
        <v>hide</v>
      </c>
      <c r="D4127" s="61" t="str">
        <f>"57124"</f>
        <v>57124</v>
      </c>
      <c r="E4127" s="62" t="str">
        <f>"10"</f>
        <v>10</v>
      </c>
      <c r="F4127" s="63">
        <v>199</v>
      </c>
      <c r="G4127" s="63">
        <v>303.49999999999994</v>
      </c>
      <c r="H4127" s="63">
        <v>174.33333333333334</v>
      </c>
      <c r="I4127" s="63">
        <v>0</v>
      </c>
      <c r="J4127" s="63">
        <v>0</v>
      </c>
      <c r="K4127" s="63">
        <f>AVERAGE(I4127:J4127)</f>
        <v>0</v>
      </c>
      <c r="L4127" s="64" t="str">
        <f>"CranBranTops"</f>
        <v>CranBranTops</v>
      </c>
      <c r="M4127" s="65" t="str">
        <f>"24-2 oz."</f>
        <v>24-2 oz.</v>
      </c>
      <c r="N4127" s="66">
        <v>24</v>
      </c>
      <c r="O4127" s="67" t="str">
        <f>""</f>
        <v/>
      </c>
      <c r="P4127" s="68" t="e">
        <f>1/O4127</f>
        <v>#VALUE!</v>
      </c>
      <c r="Q4127" s="53">
        <v>1</v>
      </c>
      <c r="R4127" s="69">
        <f t="shared" ref="R4127" si="2956">1/Q4127</f>
        <v>1</v>
      </c>
      <c r="S4127" s="70">
        <f t="shared" ref="S4127" si="2957">R4127*N4127</f>
        <v>24</v>
      </c>
    </row>
    <row r="4128" spans="1:19" ht="15.6" hidden="1" customHeight="1" thickBot="1" x14ac:dyDescent="0.3">
      <c r="A4128" t="s">
        <v>23</v>
      </c>
      <c r="B4128" s="60" t="str">
        <f t="shared" si="2955"/>
        <v>hide</v>
      </c>
      <c r="D4128" s="48" t="str">
        <f>D4127</f>
        <v>57124</v>
      </c>
      <c r="E4128" s="7"/>
      <c r="F4128" s="27">
        <v>0</v>
      </c>
      <c r="G4128" s="27">
        <v>0</v>
      </c>
      <c r="H4128" s="27">
        <v>0</v>
      </c>
      <c r="I4128" s="27">
        <v>0</v>
      </c>
      <c r="J4128" s="27">
        <v>0</v>
      </c>
      <c r="K4128" s="63">
        <f>AVERAGE(I4128:J4128)</f>
        <v>0</v>
      </c>
      <c r="L4128" s="56" t="str">
        <f>"EQP-LAWPACK1"</f>
        <v>EQP-LAWPACK1</v>
      </c>
      <c r="M4128" s="14"/>
      <c r="N4128" s="15"/>
      <c r="O4128" s="12"/>
      <c r="P4128" s="34"/>
      <c r="Q4128" s="37"/>
      <c r="R4128" s="47"/>
      <c r="S4128" s="46"/>
    </row>
    <row r="4129" spans="1:19" ht="15.6" hidden="1" customHeight="1" thickBot="1" x14ac:dyDescent="0.3">
      <c r="A4129" t="s">
        <v>23</v>
      </c>
      <c r="B4129" s="60" t="str">
        <f t="shared" ref="B4129:B4131" si="2958">IF(K4129=0,"hide","")</f>
        <v>hide</v>
      </c>
      <c r="D4129" s="48" t="str">
        <f>D4128</f>
        <v>57124</v>
      </c>
      <c r="E4129" s="7"/>
      <c r="F4129" s="27">
        <v>0</v>
      </c>
      <c r="G4129" s="27">
        <v>0</v>
      </c>
      <c r="H4129" s="27">
        <v>0</v>
      </c>
      <c r="I4129" s="27">
        <v>0</v>
      </c>
      <c r="J4129" s="27">
        <v>0</v>
      </c>
      <c r="K4129" s="63">
        <f>AVERAGE(I4129:J4129)</f>
        <v>0</v>
      </c>
      <c r="L4129" s="56" t="str">
        <f>"EQP-LAWPACK2"</f>
        <v>EQP-LAWPACK2</v>
      </c>
      <c r="M4129" s="14"/>
      <c r="N4129" s="15"/>
      <c r="O4129" s="12"/>
      <c r="P4129" s="34"/>
      <c r="Q4129" s="37"/>
      <c r="R4129" s="47"/>
      <c r="S4129" s="46"/>
    </row>
    <row r="4130" spans="1:19" ht="15.6" hidden="1" customHeight="1" thickBot="1" x14ac:dyDescent="0.3">
      <c r="A4130" t="s">
        <v>23</v>
      </c>
      <c r="B4130" s="60" t="str">
        <f t="shared" si="2958"/>
        <v>hide</v>
      </c>
      <c r="D4130" s="48" t="str">
        <f>D4129</f>
        <v>57124</v>
      </c>
      <c r="E4130" s="7"/>
      <c r="F4130" s="27">
        <v>0</v>
      </c>
      <c r="G4130" s="27">
        <v>0</v>
      </c>
      <c r="H4130" s="27">
        <v>0</v>
      </c>
      <c r="I4130" s="27">
        <v>0</v>
      </c>
      <c r="J4130" s="27">
        <v>0</v>
      </c>
      <c r="K4130" s="63">
        <f>AVERAGE(I4130:J4130)</f>
        <v>0</v>
      </c>
      <c r="L4130" s="56" t="str">
        <f>"SW-COMAS-PACKL"</f>
        <v>SW-COMAS-PACKL</v>
      </c>
      <c r="M4130" s="14"/>
      <c r="N4130" s="15"/>
      <c r="O4130" s="12"/>
      <c r="P4130" s="34"/>
      <c r="Q4130" s="37"/>
      <c r="R4130" s="47"/>
      <c r="S4130" s="46"/>
    </row>
    <row r="4131" spans="1:19" ht="15.6" hidden="1" customHeight="1" thickBot="1" x14ac:dyDescent="0.3">
      <c r="A4131" t="s">
        <v>23</v>
      </c>
      <c r="B4131" s="60" t="str">
        <f t="shared" si="2958"/>
        <v>hide</v>
      </c>
      <c r="D4131" s="48" t="str">
        <f>D4130</f>
        <v>57124</v>
      </c>
      <c r="E4131" s="7"/>
      <c r="F4131" s="27">
        <v>0</v>
      </c>
      <c r="G4131" s="27">
        <v>0</v>
      </c>
      <c r="H4131" s="27">
        <v>0</v>
      </c>
      <c r="I4131" s="27">
        <v>0</v>
      </c>
      <c r="J4131" s="27">
        <v>0</v>
      </c>
      <c r="K4131" s="63">
        <f>AVERAGE(I4131:J4131)</f>
        <v>0</v>
      </c>
      <c r="L4131" s="56" t="str">
        <f>"SW-RISER-PACK"</f>
        <v>SW-RISER-PACK</v>
      </c>
      <c r="M4131" s="14"/>
      <c r="N4131" s="15"/>
      <c r="O4131" s="12"/>
      <c r="P4131" s="34"/>
      <c r="Q4131" s="37"/>
      <c r="R4131" s="47"/>
      <c r="S4131" s="46"/>
    </row>
    <row r="4132" spans="1:19" ht="12" hidden="1" customHeight="1" x14ac:dyDescent="0.3">
      <c r="A4132" s="35" t="s">
        <v>908</v>
      </c>
      <c r="B4132" s="49" t="str">
        <f>B4128</f>
        <v>hide</v>
      </c>
      <c r="N4132"/>
      <c r="Q4132" s="33"/>
    </row>
    <row r="4133" spans="1:19" ht="13.8" hidden="1" thickBot="1" x14ac:dyDescent="0.3">
      <c r="A4133" t="s">
        <v>23</v>
      </c>
      <c r="B4133" s="49" t="str">
        <f t="shared" ref="B4133" si="2959">B4132</f>
        <v>hide</v>
      </c>
      <c r="D4133" s="58"/>
      <c r="E4133" s="58"/>
      <c r="F4133" s="52">
        <f>SUM(F4128:F4132)</f>
        <v>0</v>
      </c>
      <c r="G4133" s="52">
        <f>SUM(G4128:G4132)</f>
        <v>0</v>
      </c>
      <c r="H4133" s="52">
        <f>SUM(H4128:H4132)</f>
        <v>0</v>
      </c>
      <c r="I4133" s="52">
        <f>SUM(I4128:I4132)</f>
        <v>0</v>
      </c>
      <c r="J4133" s="52">
        <f>SUM(J4128:J4132)</f>
        <v>0</v>
      </c>
      <c r="K4133" s="52"/>
      <c r="L4133" s="51" t="s">
        <v>4</v>
      </c>
      <c r="M4133" s="58"/>
      <c r="N4133" s="58"/>
      <c r="O4133" s="58"/>
      <c r="P4133" s="58"/>
      <c r="Q4133" s="58"/>
      <c r="R4133" s="58"/>
      <c r="S4133" s="58"/>
    </row>
    <row r="4134" spans="1:19" s="59" customFormat="1" ht="18.75" hidden="1" customHeight="1" thickBot="1" x14ac:dyDescent="0.3">
      <c r="A4134" s="59" t="s">
        <v>23</v>
      </c>
      <c r="B4134" s="60" t="str">
        <f t="shared" ref="B4134:B4135" si="2960">IF(K4134=0,"hide","")</f>
        <v>hide</v>
      </c>
      <c r="D4134" s="61" t="str">
        <f>"57134"</f>
        <v>57134</v>
      </c>
      <c r="E4134" s="62" t="str">
        <f>"9"</f>
        <v>9</v>
      </c>
      <c r="F4134" s="63">
        <v>70.416666666666671</v>
      </c>
      <c r="G4134" s="63">
        <v>0</v>
      </c>
      <c r="H4134" s="63">
        <v>0</v>
      </c>
      <c r="I4134" s="63">
        <v>0</v>
      </c>
      <c r="J4134" s="63">
        <v>0</v>
      </c>
      <c r="K4134" s="63">
        <f>AVERAGE(I4134:J4134)</f>
        <v>0</v>
      </c>
      <c r="L4134" s="64" t="str">
        <f>"Corn Tops"</f>
        <v>Corn Tops</v>
      </c>
      <c r="M4134" s="65" t="str">
        <f>"24-2 oz."</f>
        <v>24-2 oz.</v>
      </c>
      <c r="N4134" s="66">
        <v>24</v>
      </c>
      <c r="O4134" s="67" t="str">
        <f>""</f>
        <v/>
      </c>
      <c r="P4134" s="68" t="e">
        <f>1/O4134</f>
        <v>#VALUE!</v>
      </c>
      <c r="Q4134" s="53">
        <v>1</v>
      </c>
      <c r="R4134" s="69">
        <f t="shared" ref="R4134" si="2961">1/Q4134</f>
        <v>1</v>
      </c>
      <c r="S4134" s="70">
        <f t="shared" ref="S4134" si="2962">R4134*N4134</f>
        <v>24</v>
      </c>
    </row>
    <row r="4135" spans="1:19" ht="15.6" hidden="1" customHeight="1" thickBot="1" x14ac:dyDescent="0.3">
      <c r="A4135" t="s">
        <v>23</v>
      </c>
      <c r="B4135" s="60" t="str">
        <f t="shared" si="2960"/>
        <v>hide</v>
      </c>
      <c r="D4135" s="48" t="str">
        <f>D4134</f>
        <v>57134</v>
      </c>
      <c r="E4135" s="7"/>
      <c r="F4135" s="27">
        <v>0</v>
      </c>
      <c r="G4135" s="27">
        <v>0</v>
      </c>
      <c r="H4135" s="27">
        <v>0</v>
      </c>
      <c r="I4135" s="27">
        <v>0</v>
      </c>
      <c r="J4135" s="27">
        <v>0</v>
      </c>
      <c r="K4135" s="63">
        <f>AVERAGE(I4135:J4135)</f>
        <v>0</v>
      </c>
      <c r="L4135" s="56" t="str">
        <f>"EQP-LAWPACK1"</f>
        <v>EQP-LAWPACK1</v>
      </c>
      <c r="M4135" s="14"/>
      <c r="N4135" s="15"/>
      <c r="O4135" s="12"/>
      <c r="P4135" s="34"/>
      <c r="Q4135" s="37"/>
      <c r="R4135" s="47"/>
      <c r="S4135" s="46"/>
    </row>
    <row r="4136" spans="1:19" ht="15.6" hidden="1" customHeight="1" thickBot="1" x14ac:dyDescent="0.3">
      <c r="A4136" t="s">
        <v>23</v>
      </c>
      <c r="B4136" s="60" t="str">
        <f t="shared" ref="B4136:B4138" si="2963">IF(K4136=0,"hide","")</f>
        <v>hide</v>
      </c>
      <c r="D4136" s="48" t="str">
        <f>D4135</f>
        <v>57134</v>
      </c>
      <c r="E4136" s="7"/>
      <c r="F4136" s="27">
        <v>0</v>
      </c>
      <c r="G4136" s="27">
        <v>0</v>
      </c>
      <c r="H4136" s="27">
        <v>0</v>
      </c>
      <c r="I4136" s="27">
        <v>0</v>
      </c>
      <c r="J4136" s="27">
        <v>0</v>
      </c>
      <c r="K4136" s="63">
        <f>AVERAGE(I4136:J4136)</f>
        <v>0</v>
      </c>
      <c r="L4136" s="56" t="str">
        <f>"EQP-LAWPACK2"</f>
        <v>EQP-LAWPACK2</v>
      </c>
      <c r="M4136" s="14"/>
      <c r="N4136" s="15"/>
      <c r="O4136" s="12"/>
      <c r="P4136" s="34"/>
      <c r="Q4136" s="37"/>
      <c r="R4136" s="47"/>
      <c r="S4136" s="46"/>
    </row>
    <row r="4137" spans="1:19" ht="15.6" hidden="1" customHeight="1" thickBot="1" x14ac:dyDescent="0.3">
      <c r="A4137" t="s">
        <v>23</v>
      </c>
      <c r="B4137" s="60" t="str">
        <f t="shared" si="2963"/>
        <v>hide</v>
      </c>
      <c r="D4137" s="48" t="str">
        <f>D4136</f>
        <v>57134</v>
      </c>
      <c r="E4137" s="7"/>
      <c r="F4137" s="27">
        <v>0</v>
      </c>
      <c r="G4137" s="27">
        <v>0</v>
      </c>
      <c r="H4137" s="27">
        <v>0</v>
      </c>
      <c r="I4137" s="27">
        <v>0</v>
      </c>
      <c r="J4137" s="27">
        <v>0</v>
      </c>
      <c r="K4137" s="63">
        <f>AVERAGE(I4137:J4137)</f>
        <v>0</v>
      </c>
      <c r="L4137" s="56" t="str">
        <f>"SW-COMAS-PACKL"</f>
        <v>SW-COMAS-PACKL</v>
      </c>
      <c r="M4137" s="14"/>
      <c r="N4137" s="15"/>
      <c r="O4137" s="12"/>
      <c r="P4137" s="34"/>
      <c r="Q4137" s="37"/>
      <c r="R4137" s="47"/>
      <c r="S4137" s="46"/>
    </row>
    <row r="4138" spans="1:19" ht="15.6" hidden="1" customHeight="1" thickBot="1" x14ac:dyDescent="0.3">
      <c r="A4138" t="s">
        <v>23</v>
      </c>
      <c r="B4138" s="60" t="str">
        <f t="shared" si="2963"/>
        <v>hide</v>
      </c>
      <c r="D4138" s="48" t="str">
        <f>D4137</f>
        <v>57134</v>
      </c>
      <c r="E4138" s="7"/>
      <c r="F4138" s="27">
        <v>0</v>
      </c>
      <c r="G4138" s="27">
        <v>0</v>
      </c>
      <c r="H4138" s="27">
        <v>0</v>
      </c>
      <c r="I4138" s="27">
        <v>0</v>
      </c>
      <c r="J4138" s="27">
        <v>0</v>
      </c>
      <c r="K4138" s="63">
        <f>AVERAGE(I4138:J4138)</f>
        <v>0</v>
      </c>
      <c r="L4138" s="56" t="str">
        <f>"SW-RISER-PACK"</f>
        <v>SW-RISER-PACK</v>
      </c>
      <c r="M4138" s="14"/>
      <c r="N4138" s="15"/>
      <c r="O4138" s="12"/>
      <c r="P4138" s="34"/>
      <c r="Q4138" s="37"/>
      <c r="R4138" s="47"/>
      <c r="S4138" s="46"/>
    </row>
    <row r="4139" spans="1:19" ht="12" hidden="1" customHeight="1" x14ac:dyDescent="0.3">
      <c r="A4139" s="35" t="s">
        <v>908</v>
      </c>
      <c r="B4139" s="49" t="str">
        <f>B4135</f>
        <v>hide</v>
      </c>
      <c r="N4139"/>
      <c r="Q4139" s="33"/>
    </row>
    <row r="4140" spans="1:19" ht="13.8" hidden="1" thickBot="1" x14ac:dyDescent="0.3">
      <c r="A4140" t="s">
        <v>23</v>
      </c>
      <c r="B4140" s="49" t="str">
        <f t="shared" ref="B4140" si="2964">B4139</f>
        <v>hide</v>
      </c>
      <c r="D4140" s="58"/>
      <c r="E4140" s="58"/>
      <c r="F4140" s="52">
        <f>SUM(F4135:F4139)</f>
        <v>0</v>
      </c>
      <c r="G4140" s="52">
        <f>SUM(G4135:G4139)</f>
        <v>0</v>
      </c>
      <c r="H4140" s="52">
        <f>SUM(H4135:H4139)</f>
        <v>0</v>
      </c>
      <c r="I4140" s="52">
        <f>SUM(I4135:I4139)</f>
        <v>0</v>
      </c>
      <c r="J4140" s="52">
        <f>SUM(J4135:J4139)</f>
        <v>0</v>
      </c>
      <c r="K4140" s="52"/>
      <c r="L4140" s="51" t="s">
        <v>4</v>
      </c>
      <c r="M4140" s="58"/>
      <c r="N4140" s="58"/>
      <c r="O4140" s="58"/>
      <c r="P4140" s="58"/>
      <c r="Q4140" s="58"/>
      <c r="R4140" s="58"/>
      <c r="S4140" s="58"/>
    </row>
    <row r="4141" spans="1:19" s="59" customFormat="1" ht="18.75" hidden="1" customHeight="1" thickBot="1" x14ac:dyDescent="0.3">
      <c r="A4141" s="59" t="s">
        <v>23</v>
      </c>
      <c r="B4141" s="60" t="str">
        <f t="shared" ref="B4141:B4142" si="2965">IF(K4141=0,"hide","")</f>
        <v>hide</v>
      </c>
      <c r="D4141" s="61" t="str">
        <f>"57154"</f>
        <v>57154</v>
      </c>
      <c r="E4141" s="62" t="str">
        <f>"11"</f>
        <v>11</v>
      </c>
      <c r="F4141" s="63">
        <v>42.666666666666664</v>
      </c>
      <c r="G4141" s="63">
        <v>0</v>
      </c>
      <c r="H4141" s="63">
        <v>0</v>
      </c>
      <c r="I4141" s="63">
        <v>0</v>
      </c>
      <c r="J4141" s="63">
        <v>0</v>
      </c>
      <c r="K4141" s="63">
        <f>AVERAGE(I4141:J4141)</f>
        <v>0</v>
      </c>
      <c r="L4141" s="64" t="str">
        <f>"Apple Crump Tops"</f>
        <v>Apple Crump Tops</v>
      </c>
      <c r="M4141" s="65" t="str">
        <f>"24-2 oz."</f>
        <v>24-2 oz.</v>
      </c>
      <c r="N4141" s="66">
        <v>24</v>
      </c>
      <c r="O4141" s="67" t="str">
        <f>""</f>
        <v/>
      </c>
      <c r="P4141" s="68" t="e">
        <f>1/O4141</f>
        <v>#VALUE!</v>
      </c>
      <c r="Q4141" s="53">
        <v>1</v>
      </c>
      <c r="R4141" s="69">
        <f t="shared" ref="R4141" si="2966">1/Q4141</f>
        <v>1</v>
      </c>
      <c r="S4141" s="70">
        <f t="shared" ref="S4141" si="2967">R4141*N4141</f>
        <v>24</v>
      </c>
    </row>
    <row r="4142" spans="1:19" ht="15.6" hidden="1" customHeight="1" thickBot="1" x14ac:dyDescent="0.3">
      <c r="A4142" t="s">
        <v>23</v>
      </c>
      <c r="B4142" s="60" t="str">
        <f t="shared" si="2965"/>
        <v>hide</v>
      </c>
      <c r="D4142" s="48" t="str">
        <f>D4141</f>
        <v>57154</v>
      </c>
      <c r="E4142" s="7"/>
      <c r="F4142" s="27">
        <v>0</v>
      </c>
      <c r="G4142" s="27">
        <v>0</v>
      </c>
      <c r="H4142" s="27">
        <v>0</v>
      </c>
      <c r="I4142" s="27">
        <v>0</v>
      </c>
      <c r="J4142" s="27">
        <v>0</v>
      </c>
      <c r="K4142" s="63">
        <f>AVERAGE(I4142:J4142)</f>
        <v>0</v>
      </c>
      <c r="L4142" s="56" t="str">
        <f>"EQP-LAWPACK1"</f>
        <v>EQP-LAWPACK1</v>
      </c>
      <c r="M4142" s="14"/>
      <c r="N4142" s="15"/>
      <c r="O4142" s="12"/>
      <c r="P4142" s="34"/>
      <c r="Q4142" s="37"/>
      <c r="R4142" s="47"/>
      <c r="S4142" s="46"/>
    </row>
    <row r="4143" spans="1:19" ht="15.6" hidden="1" customHeight="1" thickBot="1" x14ac:dyDescent="0.3">
      <c r="A4143" t="s">
        <v>23</v>
      </c>
      <c r="B4143" s="60" t="str">
        <f t="shared" ref="B4143:B4145" si="2968">IF(K4143=0,"hide","")</f>
        <v>hide</v>
      </c>
      <c r="D4143" s="48" t="str">
        <f>D4142</f>
        <v>57154</v>
      </c>
      <c r="E4143" s="7"/>
      <c r="F4143" s="27">
        <v>0</v>
      </c>
      <c r="G4143" s="27">
        <v>0</v>
      </c>
      <c r="H4143" s="27">
        <v>0</v>
      </c>
      <c r="I4143" s="27">
        <v>0</v>
      </c>
      <c r="J4143" s="27">
        <v>0</v>
      </c>
      <c r="K4143" s="63">
        <f>AVERAGE(I4143:J4143)</f>
        <v>0</v>
      </c>
      <c r="L4143" s="56" t="str">
        <f>"EQP-LAWPACK2"</f>
        <v>EQP-LAWPACK2</v>
      </c>
      <c r="M4143" s="14"/>
      <c r="N4143" s="15"/>
      <c r="O4143" s="12"/>
      <c r="P4143" s="34"/>
      <c r="Q4143" s="37"/>
      <c r="R4143" s="47"/>
      <c r="S4143" s="46"/>
    </row>
    <row r="4144" spans="1:19" ht="15.6" hidden="1" customHeight="1" thickBot="1" x14ac:dyDescent="0.3">
      <c r="A4144" t="s">
        <v>23</v>
      </c>
      <c r="B4144" s="60" t="str">
        <f t="shared" si="2968"/>
        <v>hide</v>
      </c>
      <c r="D4144" s="48" t="str">
        <f>D4143</f>
        <v>57154</v>
      </c>
      <c r="E4144" s="7"/>
      <c r="F4144" s="27">
        <v>0</v>
      </c>
      <c r="G4144" s="27">
        <v>0</v>
      </c>
      <c r="H4144" s="27">
        <v>0</v>
      </c>
      <c r="I4144" s="27">
        <v>0</v>
      </c>
      <c r="J4144" s="27">
        <v>0</v>
      </c>
      <c r="K4144" s="63">
        <f>AVERAGE(I4144:J4144)</f>
        <v>0</v>
      </c>
      <c r="L4144" s="56" t="str">
        <f>"SW-COMAS-PACKL"</f>
        <v>SW-COMAS-PACKL</v>
      </c>
      <c r="M4144" s="14"/>
      <c r="N4144" s="15"/>
      <c r="O4144" s="12"/>
      <c r="P4144" s="34"/>
      <c r="Q4144" s="37"/>
      <c r="R4144" s="47"/>
      <c r="S4144" s="46"/>
    </row>
    <row r="4145" spans="1:19" ht="15.6" hidden="1" customHeight="1" thickBot="1" x14ac:dyDescent="0.3">
      <c r="A4145" t="s">
        <v>23</v>
      </c>
      <c r="B4145" s="60" t="str">
        <f t="shared" si="2968"/>
        <v>hide</v>
      </c>
      <c r="D4145" s="48" t="str">
        <f>D4144</f>
        <v>57154</v>
      </c>
      <c r="E4145" s="7"/>
      <c r="F4145" s="27">
        <v>0</v>
      </c>
      <c r="G4145" s="27">
        <v>0</v>
      </c>
      <c r="H4145" s="27">
        <v>0</v>
      </c>
      <c r="I4145" s="27">
        <v>0</v>
      </c>
      <c r="J4145" s="27">
        <v>0</v>
      </c>
      <c r="K4145" s="63">
        <f>AVERAGE(I4145:J4145)</f>
        <v>0</v>
      </c>
      <c r="L4145" s="56" t="str">
        <f>"SW-RISER-PACK"</f>
        <v>SW-RISER-PACK</v>
      </c>
      <c r="M4145" s="14"/>
      <c r="N4145" s="15"/>
      <c r="O4145" s="12"/>
      <c r="P4145" s="34"/>
      <c r="Q4145" s="37"/>
      <c r="R4145" s="47"/>
      <c r="S4145" s="46"/>
    </row>
    <row r="4146" spans="1:19" ht="12" hidden="1" customHeight="1" x14ac:dyDescent="0.3">
      <c r="A4146" s="35" t="s">
        <v>908</v>
      </c>
      <c r="B4146" s="49" t="str">
        <f>B4142</f>
        <v>hide</v>
      </c>
      <c r="N4146"/>
      <c r="Q4146" s="33"/>
    </row>
    <row r="4147" spans="1:19" ht="13.8" hidden="1" thickBot="1" x14ac:dyDescent="0.3">
      <c r="A4147" t="s">
        <v>23</v>
      </c>
      <c r="B4147" s="49" t="str">
        <f t="shared" ref="B4147" si="2969">B4146</f>
        <v>hide</v>
      </c>
      <c r="D4147" s="58"/>
      <c r="E4147" s="58"/>
      <c r="F4147" s="52">
        <f>SUM(F4142:F4146)</f>
        <v>0</v>
      </c>
      <c r="G4147" s="52">
        <f>SUM(G4142:G4146)</f>
        <v>0</v>
      </c>
      <c r="H4147" s="52">
        <f>SUM(H4142:H4146)</f>
        <v>0</v>
      </c>
      <c r="I4147" s="52">
        <f>SUM(I4142:I4146)</f>
        <v>0</v>
      </c>
      <c r="J4147" s="52">
        <f>SUM(J4142:J4146)</f>
        <v>0</v>
      </c>
      <c r="K4147" s="52"/>
      <c r="L4147" s="51" t="s">
        <v>4</v>
      </c>
      <c r="M4147" s="58"/>
      <c r="N4147" s="58"/>
      <c r="O4147" s="58"/>
      <c r="P4147" s="58"/>
      <c r="Q4147" s="58"/>
      <c r="R4147" s="58"/>
      <c r="S4147" s="58"/>
    </row>
    <row r="4148" spans="1:19" s="59" customFormat="1" ht="18.75" hidden="1" customHeight="1" thickBot="1" x14ac:dyDescent="0.3">
      <c r="A4148" s="59" t="s">
        <v>23</v>
      </c>
      <c r="B4148" s="60" t="str">
        <f t="shared" ref="B4148:B4149" si="2970">IF(K4148=0,"hide","")</f>
        <v>hide</v>
      </c>
      <c r="D4148" s="61" t="str">
        <f>"57164"</f>
        <v>57164</v>
      </c>
      <c r="E4148" s="62" t="str">
        <f>"3"</f>
        <v>3</v>
      </c>
      <c r="F4148" s="63">
        <v>0</v>
      </c>
      <c r="G4148" s="63">
        <v>0</v>
      </c>
      <c r="H4148" s="63">
        <v>0</v>
      </c>
      <c r="I4148" s="63">
        <v>0</v>
      </c>
      <c r="J4148" s="63">
        <v>0</v>
      </c>
      <c r="K4148" s="63">
        <f>AVERAGE(I4148:J4148)</f>
        <v>0</v>
      </c>
      <c r="L4148" s="64" t="str">
        <f>"Banana Nut Tops"</f>
        <v>Banana Nut Tops</v>
      </c>
      <c r="M4148" s="65" t="str">
        <f>"24-2 oz."</f>
        <v>24-2 oz.</v>
      </c>
      <c r="N4148" s="66">
        <v>24</v>
      </c>
      <c r="O4148" s="67" t="str">
        <f>""</f>
        <v/>
      </c>
      <c r="P4148" s="68" t="e">
        <f>1/O4148</f>
        <v>#VALUE!</v>
      </c>
      <c r="Q4148" s="53">
        <v>1</v>
      </c>
      <c r="R4148" s="69">
        <f t="shared" ref="R4148" si="2971">1/Q4148</f>
        <v>1</v>
      </c>
      <c r="S4148" s="70">
        <f t="shared" ref="S4148" si="2972">R4148*N4148</f>
        <v>24</v>
      </c>
    </row>
    <row r="4149" spans="1:19" ht="15.6" hidden="1" customHeight="1" thickBot="1" x14ac:dyDescent="0.3">
      <c r="A4149" t="s">
        <v>23</v>
      </c>
      <c r="B4149" s="60" t="str">
        <f t="shared" si="2970"/>
        <v>hide</v>
      </c>
      <c r="D4149" s="48" t="str">
        <f>D4148</f>
        <v>57164</v>
      </c>
      <c r="E4149" s="7"/>
      <c r="F4149" s="27">
        <v>0</v>
      </c>
      <c r="G4149" s="27">
        <v>0</v>
      </c>
      <c r="H4149" s="27">
        <v>0</v>
      </c>
      <c r="I4149" s="27">
        <v>0</v>
      </c>
      <c r="J4149" s="27">
        <v>0</v>
      </c>
      <c r="K4149" s="63">
        <f>AVERAGE(I4149:J4149)</f>
        <v>0</v>
      </c>
      <c r="L4149" s="56" t="str">
        <f>"EQP-LAWPACK1"</f>
        <v>EQP-LAWPACK1</v>
      </c>
      <c r="M4149" s="14"/>
      <c r="N4149" s="15"/>
      <c r="O4149" s="12"/>
      <c r="P4149" s="34"/>
      <c r="Q4149" s="37"/>
      <c r="R4149" s="47"/>
      <c r="S4149" s="46"/>
    </row>
    <row r="4150" spans="1:19" ht="15.6" hidden="1" customHeight="1" thickBot="1" x14ac:dyDescent="0.3">
      <c r="A4150" t="s">
        <v>23</v>
      </c>
      <c r="B4150" s="60" t="str">
        <f t="shared" ref="B4150:B4152" si="2973">IF(K4150=0,"hide","")</f>
        <v>hide</v>
      </c>
      <c r="D4150" s="48" t="str">
        <f>D4149</f>
        <v>57164</v>
      </c>
      <c r="E4150" s="7"/>
      <c r="F4150" s="27">
        <v>0</v>
      </c>
      <c r="G4150" s="27">
        <v>0</v>
      </c>
      <c r="H4150" s="27">
        <v>0</v>
      </c>
      <c r="I4150" s="27">
        <v>0</v>
      </c>
      <c r="J4150" s="27">
        <v>0</v>
      </c>
      <c r="K4150" s="63">
        <f>AVERAGE(I4150:J4150)</f>
        <v>0</v>
      </c>
      <c r="L4150" s="56" t="str">
        <f>"EQP-LAWPACK2"</f>
        <v>EQP-LAWPACK2</v>
      </c>
      <c r="M4150" s="14"/>
      <c r="N4150" s="15"/>
      <c r="O4150" s="12"/>
      <c r="P4150" s="34"/>
      <c r="Q4150" s="37"/>
      <c r="R4150" s="47"/>
      <c r="S4150" s="46"/>
    </row>
    <row r="4151" spans="1:19" ht="15.6" hidden="1" customHeight="1" thickBot="1" x14ac:dyDescent="0.3">
      <c r="A4151" t="s">
        <v>23</v>
      </c>
      <c r="B4151" s="60" t="str">
        <f t="shared" si="2973"/>
        <v>hide</v>
      </c>
      <c r="D4151" s="48" t="str">
        <f>D4150</f>
        <v>57164</v>
      </c>
      <c r="E4151" s="7"/>
      <c r="F4151" s="27">
        <v>0</v>
      </c>
      <c r="G4151" s="27">
        <v>0</v>
      </c>
      <c r="H4151" s="27">
        <v>0</v>
      </c>
      <c r="I4151" s="27">
        <v>0</v>
      </c>
      <c r="J4151" s="27">
        <v>0</v>
      </c>
      <c r="K4151" s="63">
        <f>AVERAGE(I4151:J4151)</f>
        <v>0</v>
      </c>
      <c r="L4151" s="56" t="str">
        <f>"SW-COMAS-PACKL"</f>
        <v>SW-COMAS-PACKL</v>
      </c>
      <c r="M4151" s="14"/>
      <c r="N4151" s="15"/>
      <c r="O4151" s="12"/>
      <c r="P4151" s="34"/>
      <c r="Q4151" s="37"/>
      <c r="R4151" s="47"/>
      <c r="S4151" s="46"/>
    </row>
    <row r="4152" spans="1:19" ht="15.6" hidden="1" customHeight="1" thickBot="1" x14ac:dyDescent="0.3">
      <c r="A4152" t="s">
        <v>23</v>
      </c>
      <c r="B4152" s="60" t="str">
        <f t="shared" si="2973"/>
        <v>hide</v>
      </c>
      <c r="D4152" s="48" t="str">
        <f>D4151</f>
        <v>57164</v>
      </c>
      <c r="E4152" s="7"/>
      <c r="F4152" s="27">
        <v>0</v>
      </c>
      <c r="G4152" s="27">
        <v>0</v>
      </c>
      <c r="H4152" s="27">
        <v>0</v>
      </c>
      <c r="I4152" s="27">
        <v>0</v>
      </c>
      <c r="J4152" s="27">
        <v>0</v>
      </c>
      <c r="K4152" s="63">
        <f>AVERAGE(I4152:J4152)</f>
        <v>0</v>
      </c>
      <c r="L4152" s="56" t="str">
        <f>"SW-RISER-PACK"</f>
        <v>SW-RISER-PACK</v>
      </c>
      <c r="M4152" s="14"/>
      <c r="N4152" s="15"/>
      <c r="O4152" s="12"/>
      <c r="P4152" s="34"/>
      <c r="Q4152" s="37"/>
      <c r="R4152" s="47"/>
      <c r="S4152" s="46"/>
    </row>
    <row r="4153" spans="1:19" ht="12" hidden="1" customHeight="1" x14ac:dyDescent="0.3">
      <c r="A4153" s="35" t="s">
        <v>908</v>
      </c>
      <c r="B4153" s="49" t="str">
        <f>B4149</f>
        <v>hide</v>
      </c>
      <c r="N4153"/>
      <c r="Q4153" s="33"/>
    </row>
    <row r="4154" spans="1:19" ht="13.8" hidden="1" thickBot="1" x14ac:dyDescent="0.3">
      <c r="A4154" t="s">
        <v>23</v>
      </c>
      <c r="B4154" s="49" t="str">
        <f t="shared" ref="B4154" si="2974">B4153</f>
        <v>hide</v>
      </c>
      <c r="D4154" s="58"/>
      <c r="E4154" s="58"/>
      <c r="F4154" s="52">
        <f>SUM(F4149:F4153)</f>
        <v>0</v>
      </c>
      <c r="G4154" s="52">
        <f>SUM(G4149:G4153)</f>
        <v>0</v>
      </c>
      <c r="H4154" s="52">
        <f>SUM(H4149:H4153)</f>
        <v>0</v>
      </c>
      <c r="I4154" s="52">
        <f>SUM(I4149:I4153)</f>
        <v>0</v>
      </c>
      <c r="J4154" s="52">
        <f>SUM(J4149:J4153)</f>
        <v>0</v>
      </c>
      <c r="K4154" s="52"/>
      <c r="L4154" s="51" t="s">
        <v>4</v>
      </c>
      <c r="M4154" s="58"/>
      <c r="N4154" s="58"/>
      <c r="O4154" s="58"/>
      <c r="P4154" s="58"/>
      <c r="Q4154" s="58"/>
      <c r="R4154" s="58"/>
      <c r="S4154" s="58"/>
    </row>
    <row r="4155" spans="1:19" s="59" customFormat="1" ht="18.75" hidden="1" customHeight="1" thickBot="1" x14ac:dyDescent="0.3">
      <c r="A4155" s="59" t="s">
        <v>23</v>
      </c>
      <c r="B4155" s="60" t="str">
        <f t="shared" ref="B4155:B4156" si="2975">IF(K4155=0,"hide","")</f>
        <v>hide</v>
      </c>
      <c r="D4155" s="61" t="str">
        <f>"57174"</f>
        <v>57174</v>
      </c>
      <c r="E4155" s="62" t="str">
        <f>"13"</f>
        <v>13</v>
      </c>
      <c r="F4155" s="63">
        <v>593.75000000000011</v>
      </c>
      <c r="G4155" s="63">
        <v>1426.8333333333333</v>
      </c>
      <c r="H4155" s="63">
        <v>501.91666666666669</v>
      </c>
      <c r="I4155" s="63">
        <v>0</v>
      </c>
      <c r="J4155" s="63">
        <v>0</v>
      </c>
      <c r="K4155" s="63">
        <f>AVERAGE(I4155:J4155)</f>
        <v>0</v>
      </c>
      <c r="L4155" s="64" t="str">
        <f>"Deep Chocolate Tops"</f>
        <v>Deep Chocolate Tops</v>
      </c>
      <c r="M4155" s="65" t="str">
        <f>"24-2 oz."</f>
        <v>24-2 oz.</v>
      </c>
      <c r="N4155" s="66">
        <v>24</v>
      </c>
      <c r="O4155" s="67" t="str">
        <f>""</f>
        <v/>
      </c>
      <c r="P4155" s="68" t="e">
        <f>1/O4155</f>
        <v>#VALUE!</v>
      </c>
      <c r="Q4155" s="53">
        <v>1</v>
      </c>
      <c r="R4155" s="69">
        <f t="shared" ref="R4155" si="2976">1/Q4155</f>
        <v>1</v>
      </c>
      <c r="S4155" s="70">
        <f t="shared" ref="S4155" si="2977">R4155*N4155</f>
        <v>24</v>
      </c>
    </row>
    <row r="4156" spans="1:19" ht="15.6" hidden="1" customHeight="1" thickBot="1" x14ac:dyDescent="0.3">
      <c r="A4156" t="s">
        <v>23</v>
      </c>
      <c r="B4156" s="60" t="str">
        <f t="shared" si="2975"/>
        <v>hide</v>
      </c>
      <c r="D4156" s="48" t="str">
        <f>D4155</f>
        <v>57174</v>
      </c>
      <c r="E4156" s="7"/>
      <c r="F4156" s="27">
        <v>0</v>
      </c>
      <c r="G4156" s="27">
        <v>0</v>
      </c>
      <c r="H4156" s="27">
        <v>0</v>
      </c>
      <c r="I4156" s="27">
        <v>0</v>
      </c>
      <c r="J4156" s="27">
        <v>0</v>
      </c>
      <c r="K4156" s="63">
        <f>AVERAGE(I4156:J4156)</f>
        <v>0</v>
      </c>
      <c r="L4156" s="56" t="str">
        <f>"EQP-LAWPACK1"</f>
        <v>EQP-LAWPACK1</v>
      </c>
      <c r="M4156" s="14"/>
      <c r="N4156" s="15"/>
      <c r="O4156" s="12"/>
      <c r="P4156" s="34"/>
      <c r="Q4156" s="37"/>
      <c r="R4156" s="47"/>
      <c r="S4156" s="46"/>
    </row>
    <row r="4157" spans="1:19" ht="15.6" hidden="1" customHeight="1" thickBot="1" x14ac:dyDescent="0.3">
      <c r="A4157" t="s">
        <v>23</v>
      </c>
      <c r="B4157" s="60" t="str">
        <f t="shared" ref="B4157:B4159" si="2978">IF(K4157=0,"hide","")</f>
        <v>hide</v>
      </c>
      <c r="D4157" s="48" t="str">
        <f>D4156</f>
        <v>57174</v>
      </c>
      <c r="E4157" s="7"/>
      <c r="F4157" s="27">
        <v>0</v>
      </c>
      <c r="G4157" s="27">
        <v>0</v>
      </c>
      <c r="H4157" s="27">
        <v>0</v>
      </c>
      <c r="I4157" s="27">
        <v>0</v>
      </c>
      <c r="J4157" s="27">
        <v>0</v>
      </c>
      <c r="K4157" s="63">
        <f>AVERAGE(I4157:J4157)</f>
        <v>0</v>
      </c>
      <c r="L4157" s="56" t="str">
        <f>"EQP-LAWPACK2"</f>
        <v>EQP-LAWPACK2</v>
      </c>
      <c r="M4157" s="14"/>
      <c r="N4157" s="15"/>
      <c r="O4157" s="12"/>
      <c r="P4157" s="34"/>
      <c r="Q4157" s="37"/>
      <c r="R4157" s="47"/>
      <c r="S4157" s="46"/>
    </row>
    <row r="4158" spans="1:19" ht="15.6" hidden="1" customHeight="1" thickBot="1" x14ac:dyDescent="0.3">
      <c r="A4158" t="s">
        <v>23</v>
      </c>
      <c r="B4158" s="60" t="str">
        <f t="shared" si="2978"/>
        <v>hide</v>
      </c>
      <c r="D4158" s="48" t="str">
        <f>D4157</f>
        <v>57174</v>
      </c>
      <c r="E4158" s="7"/>
      <c r="F4158" s="27">
        <v>0</v>
      </c>
      <c r="G4158" s="27">
        <v>0</v>
      </c>
      <c r="H4158" s="27">
        <v>0</v>
      </c>
      <c r="I4158" s="27">
        <v>0</v>
      </c>
      <c r="J4158" s="27">
        <v>0</v>
      </c>
      <c r="K4158" s="63">
        <f>AVERAGE(I4158:J4158)</f>
        <v>0</v>
      </c>
      <c r="L4158" s="56" t="str">
        <f>"SW-COMAS-PACKL"</f>
        <v>SW-COMAS-PACKL</v>
      </c>
      <c r="M4158" s="14"/>
      <c r="N4158" s="15"/>
      <c r="O4158" s="12"/>
      <c r="P4158" s="34"/>
      <c r="Q4158" s="37"/>
      <c r="R4158" s="47"/>
      <c r="S4158" s="46"/>
    </row>
    <row r="4159" spans="1:19" ht="15.6" hidden="1" customHeight="1" thickBot="1" x14ac:dyDescent="0.3">
      <c r="A4159" t="s">
        <v>23</v>
      </c>
      <c r="B4159" s="60" t="str">
        <f t="shared" si="2978"/>
        <v>hide</v>
      </c>
      <c r="D4159" s="48" t="str">
        <f>D4158</f>
        <v>57174</v>
      </c>
      <c r="E4159" s="7"/>
      <c r="F4159" s="27">
        <v>0</v>
      </c>
      <c r="G4159" s="27">
        <v>0</v>
      </c>
      <c r="H4159" s="27">
        <v>0</v>
      </c>
      <c r="I4159" s="27">
        <v>0</v>
      </c>
      <c r="J4159" s="27">
        <v>0</v>
      </c>
      <c r="K4159" s="63">
        <f>AVERAGE(I4159:J4159)</f>
        <v>0</v>
      </c>
      <c r="L4159" s="56" t="str">
        <f>"SW-RISER-PACK"</f>
        <v>SW-RISER-PACK</v>
      </c>
      <c r="M4159" s="14"/>
      <c r="N4159" s="15"/>
      <c r="O4159" s="12"/>
      <c r="P4159" s="34"/>
      <c r="Q4159" s="37"/>
      <c r="R4159" s="47"/>
      <c r="S4159" s="46"/>
    </row>
    <row r="4160" spans="1:19" ht="12" hidden="1" customHeight="1" x14ac:dyDescent="0.3">
      <c r="A4160" s="35" t="s">
        <v>908</v>
      </c>
      <c r="B4160" s="49" t="str">
        <f>B4156</f>
        <v>hide</v>
      </c>
      <c r="N4160"/>
      <c r="Q4160" s="33"/>
    </row>
    <row r="4161" spans="1:19" ht="13.8" hidden="1" thickBot="1" x14ac:dyDescent="0.3">
      <c r="A4161" t="s">
        <v>23</v>
      </c>
      <c r="B4161" s="49" t="str">
        <f t="shared" ref="B4161" si="2979">B4160</f>
        <v>hide</v>
      </c>
      <c r="D4161" s="58"/>
      <c r="E4161" s="58"/>
      <c r="F4161" s="52">
        <f>SUM(F4156:F4160)</f>
        <v>0</v>
      </c>
      <c r="G4161" s="52">
        <f>SUM(G4156:G4160)</f>
        <v>0</v>
      </c>
      <c r="H4161" s="52">
        <f>SUM(H4156:H4160)</f>
        <v>0</v>
      </c>
      <c r="I4161" s="52">
        <f>SUM(I4156:I4160)</f>
        <v>0</v>
      </c>
      <c r="J4161" s="52">
        <f>SUM(J4156:J4160)</f>
        <v>0</v>
      </c>
      <c r="K4161" s="52"/>
      <c r="L4161" s="51" t="s">
        <v>4</v>
      </c>
      <c r="M4161" s="58"/>
      <c r="N4161" s="58"/>
      <c r="O4161" s="58"/>
      <c r="P4161" s="58"/>
      <c r="Q4161" s="58"/>
      <c r="R4161" s="58"/>
      <c r="S4161" s="58"/>
    </row>
    <row r="4162" spans="1:19" s="59" customFormat="1" ht="18.75" hidden="1" customHeight="1" thickBot="1" x14ac:dyDescent="0.3">
      <c r="A4162" s="59" t="s">
        <v>23</v>
      </c>
      <c r="B4162" s="60" t="str">
        <f t="shared" ref="B4162:B4163" si="2980">IF(K4162=0,"hide","")</f>
        <v>hide</v>
      </c>
      <c r="D4162" s="61" t="str">
        <f>"57194"</f>
        <v>57194</v>
      </c>
      <c r="E4162" s="62" t="str">
        <f>"5"</f>
        <v>5</v>
      </c>
      <c r="F4162" s="63">
        <v>0</v>
      </c>
      <c r="G4162" s="63">
        <v>0</v>
      </c>
      <c r="H4162" s="63">
        <v>0</v>
      </c>
      <c r="I4162" s="63">
        <v>0</v>
      </c>
      <c r="J4162" s="63">
        <v>0</v>
      </c>
      <c r="K4162" s="63">
        <f>AVERAGE(I4162:J4162)</f>
        <v>0</v>
      </c>
      <c r="L4162" s="64" t="str">
        <f>"Chocolate Chip Tops"</f>
        <v>Chocolate Chip Tops</v>
      </c>
      <c r="M4162" s="65" t="str">
        <f>"24-2 oz."</f>
        <v>24-2 oz.</v>
      </c>
      <c r="N4162" s="66">
        <v>24</v>
      </c>
      <c r="O4162" s="67">
        <v>1E-3</v>
      </c>
      <c r="P4162" s="68">
        <f>1/O4162</f>
        <v>1000</v>
      </c>
      <c r="Q4162" s="53">
        <v>2.8800000000000002E-3</v>
      </c>
      <c r="R4162" s="69">
        <f t="shared" ref="R4162" si="2981">1/Q4162</f>
        <v>347.22222222222223</v>
      </c>
      <c r="S4162" s="70">
        <f t="shared" ref="S4162" si="2982">R4162*N4162</f>
        <v>8333.3333333333339</v>
      </c>
    </row>
    <row r="4163" spans="1:19" ht="15.6" hidden="1" customHeight="1" thickBot="1" x14ac:dyDescent="0.3">
      <c r="A4163" t="s">
        <v>23</v>
      </c>
      <c r="B4163" s="60" t="str">
        <f t="shared" si="2980"/>
        <v>hide</v>
      </c>
      <c r="D4163" s="48" t="str">
        <f>D4162</f>
        <v>57194</v>
      </c>
      <c r="E4163" s="7"/>
      <c r="F4163" s="27">
        <v>0</v>
      </c>
      <c r="G4163" s="27">
        <v>0</v>
      </c>
      <c r="H4163" s="27">
        <v>0</v>
      </c>
      <c r="I4163" s="27">
        <v>0</v>
      </c>
      <c r="J4163" s="27">
        <v>0</v>
      </c>
      <c r="K4163" s="63">
        <f>AVERAGE(I4163:J4163)</f>
        <v>0</v>
      </c>
      <c r="L4163" s="56" t="str">
        <f>"EQP-LAWPACK1"</f>
        <v>EQP-LAWPACK1</v>
      </c>
      <c r="M4163" s="14"/>
      <c r="N4163" s="15"/>
      <c r="O4163" s="12"/>
      <c r="P4163" s="34"/>
      <c r="Q4163" s="37"/>
      <c r="R4163" s="47"/>
      <c r="S4163" s="46"/>
    </row>
    <row r="4164" spans="1:19" ht="15.6" hidden="1" customHeight="1" thickBot="1" x14ac:dyDescent="0.3">
      <c r="A4164" t="s">
        <v>23</v>
      </c>
      <c r="B4164" s="60" t="str">
        <f t="shared" ref="B4164:B4166" si="2983">IF(K4164=0,"hide","")</f>
        <v>hide</v>
      </c>
      <c r="D4164" s="48" t="str">
        <f>D4163</f>
        <v>57194</v>
      </c>
      <c r="E4164" s="7"/>
      <c r="F4164" s="27">
        <v>0</v>
      </c>
      <c r="G4164" s="27">
        <v>0</v>
      </c>
      <c r="H4164" s="27">
        <v>0</v>
      </c>
      <c r="I4164" s="27">
        <v>0</v>
      </c>
      <c r="J4164" s="27">
        <v>0</v>
      </c>
      <c r="K4164" s="63">
        <f>AVERAGE(I4164:J4164)</f>
        <v>0</v>
      </c>
      <c r="L4164" s="56" t="str">
        <f>"EQP-LAWPACK2"</f>
        <v>EQP-LAWPACK2</v>
      </c>
      <c r="M4164" s="14"/>
      <c r="N4164" s="15"/>
      <c r="O4164" s="12"/>
      <c r="P4164" s="34"/>
      <c r="Q4164" s="37"/>
      <c r="R4164" s="47"/>
      <c r="S4164" s="46"/>
    </row>
    <row r="4165" spans="1:19" ht="15.6" hidden="1" customHeight="1" thickBot="1" x14ac:dyDescent="0.3">
      <c r="A4165" t="s">
        <v>23</v>
      </c>
      <c r="B4165" s="60" t="str">
        <f t="shared" si="2983"/>
        <v>hide</v>
      </c>
      <c r="D4165" s="48" t="str">
        <f>D4164</f>
        <v>57194</v>
      </c>
      <c r="E4165" s="7"/>
      <c r="F4165" s="27">
        <v>0</v>
      </c>
      <c r="G4165" s="27">
        <v>0</v>
      </c>
      <c r="H4165" s="27">
        <v>0</v>
      </c>
      <c r="I4165" s="27">
        <v>0</v>
      </c>
      <c r="J4165" s="27">
        <v>0</v>
      </c>
      <c r="K4165" s="63">
        <f>AVERAGE(I4165:J4165)</f>
        <v>0</v>
      </c>
      <c r="L4165" s="56" t="str">
        <f>"SW-COMAS-PACKL"</f>
        <v>SW-COMAS-PACKL</v>
      </c>
      <c r="M4165" s="14"/>
      <c r="N4165" s="15"/>
      <c r="O4165" s="12"/>
      <c r="P4165" s="34"/>
      <c r="Q4165" s="37"/>
      <c r="R4165" s="47"/>
      <c r="S4165" s="46"/>
    </row>
    <row r="4166" spans="1:19" ht="15.6" hidden="1" customHeight="1" thickBot="1" x14ac:dyDescent="0.3">
      <c r="A4166" t="s">
        <v>23</v>
      </c>
      <c r="B4166" s="60" t="str">
        <f t="shared" si="2983"/>
        <v>hide</v>
      </c>
      <c r="D4166" s="48" t="str">
        <f>D4165</f>
        <v>57194</v>
      </c>
      <c r="E4166" s="7"/>
      <c r="F4166" s="27">
        <v>0</v>
      </c>
      <c r="G4166" s="27">
        <v>0</v>
      </c>
      <c r="H4166" s="27">
        <v>0</v>
      </c>
      <c r="I4166" s="27">
        <v>0</v>
      </c>
      <c r="J4166" s="27">
        <v>0</v>
      </c>
      <c r="K4166" s="63">
        <f>AVERAGE(I4166:J4166)</f>
        <v>0</v>
      </c>
      <c r="L4166" s="56" t="str">
        <f>"SW-RISER-PACK"</f>
        <v>SW-RISER-PACK</v>
      </c>
      <c r="M4166" s="14"/>
      <c r="N4166" s="15"/>
      <c r="O4166" s="12"/>
      <c r="P4166" s="34"/>
      <c r="Q4166" s="37"/>
      <c r="R4166" s="47"/>
      <c r="S4166" s="46"/>
    </row>
    <row r="4167" spans="1:19" ht="12" hidden="1" customHeight="1" x14ac:dyDescent="0.3">
      <c r="A4167" s="35" t="s">
        <v>908</v>
      </c>
      <c r="B4167" s="49" t="str">
        <f>B4163</f>
        <v>hide</v>
      </c>
      <c r="N4167"/>
      <c r="Q4167" s="33"/>
    </row>
    <row r="4168" spans="1:19" ht="13.8" hidden="1" thickBot="1" x14ac:dyDescent="0.3">
      <c r="A4168" t="s">
        <v>23</v>
      </c>
      <c r="B4168" s="49" t="str">
        <f t="shared" ref="B4168" si="2984">B4167</f>
        <v>hide</v>
      </c>
      <c r="D4168" s="58"/>
      <c r="E4168" s="58"/>
      <c r="F4168" s="52">
        <f>SUM(F4163:F4167)</f>
        <v>0</v>
      </c>
      <c r="G4168" s="52">
        <f>SUM(G4163:G4167)</f>
        <v>0</v>
      </c>
      <c r="H4168" s="52">
        <f>SUM(H4163:H4167)</f>
        <v>0</v>
      </c>
      <c r="I4168" s="52">
        <f>SUM(I4163:I4167)</f>
        <v>0</v>
      </c>
      <c r="J4168" s="52">
        <f>SUM(J4163:J4167)</f>
        <v>0</v>
      </c>
      <c r="K4168" s="52"/>
      <c r="L4168" s="51" t="s">
        <v>4</v>
      </c>
      <c r="M4168" s="58"/>
      <c r="N4168" s="58"/>
      <c r="O4168" s="58"/>
      <c r="P4168" s="58"/>
      <c r="Q4168" s="58"/>
      <c r="R4168" s="58"/>
      <c r="S4168" s="58"/>
    </row>
    <row r="4169" spans="1:19" s="59" customFormat="1" ht="18.75" hidden="1" customHeight="1" thickBot="1" x14ac:dyDescent="0.3">
      <c r="A4169" s="59" t="s">
        <v>23</v>
      </c>
      <c r="B4169" s="60" t="str">
        <f t="shared" ref="B4169:B4170" si="2985">IF(K4169=0,"hide","")</f>
        <v>hide</v>
      </c>
      <c r="D4169" s="61" t="str">
        <f>"57197"</f>
        <v>57197</v>
      </c>
      <c r="E4169" s="62" t="str">
        <f>"8"</f>
        <v>8</v>
      </c>
      <c r="F4169" s="63">
        <v>150.08333333333334</v>
      </c>
      <c r="G4169" s="63">
        <v>232.91666666666666</v>
      </c>
      <c r="H4169" s="63">
        <v>135.91666666666666</v>
      </c>
      <c r="I4169" s="63">
        <v>0</v>
      </c>
      <c r="J4169" s="63">
        <v>0</v>
      </c>
      <c r="K4169" s="63">
        <f>AVERAGE(I4169:J4169)</f>
        <v>0</v>
      </c>
      <c r="L4169" s="64" t="str">
        <f>"Protein Banana Vitatop"</f>
        <v>Protein Banana Vitatop</v>
      </c>
      <c r="M4169" s="65" t="str">
        <f>"24-2 oz."</f>
        <v>24-2 oz.</v>
      </c>
      <c r="N4169" s="66">
        <v>24</v>
      </c>
      <c r="O4169" s="67" t="str">
        <f>""</f>
        <v/>
      </c>
      <c r="P4169" s="68" t="e">
        <f>1/O4169</f>
        <v>#VALUE!</v>
      </c>
      <c r="Q4169" s="53">
        <v>1</v>
      </c>
      <c r="R4169" s="69">
        <f t="shared" ref="R4169" si="2986">1/Q4169</f>
        <v>1</v>
      </c>
      <c r="S4169" s="70">
        <f t="shared" ref="S4169" si="2987">R4169*N4169</f>
        <v>24</v>
      </c>
    </row>
    <row r="4170" spans="1:19" ht="15.6" hidden="1" customHeight="1" thickBot="1" x14ac:dyDescent="0.3">
      <c r="A4170" t="s">
        <v>23</v>
      </c>
      <c r="B4170" s="60" t="str">
        <f t="shared" si="2985"/>
        <v>hide</v>
      </c>
      <c r="D4170" s="48" t="str">
        <f>D4169</f>
        <v>57197</v>
      </c>
      <c r="E4170" s="7"/>
      <c r="F4170" s="27">
        <v>0</v>
      </c>
      <c r="G4170" s="27">
        <v>0</v>
      </c>
      <c r="H4170" s="27">
        <v>0</v>
      </c>
      <c r="I4170" s="27">
        <v>0</v>
      </c>
      <c r="J4170" s="27">
        <v>0</v>
      </c>
      <c r="K4170" s="63">
        <f>AVERAGE(I4170:J4170)</f>
        <v>0</v>
      </c>
      <c r="L4170" s="56" t="str">
        <f>"EQP-LAWPACK1"</f>
        <v>EQP-LAWPACK1</v>
      </c>
      <c r="M4170" s="14"/>
      <c r="N4170" s="15"/>
      <c r="O4170" s="12"/>
      <c r="P4170" s="34"/>
      <c r="Q4170" s="37"/>
      <c r="R4170" s="47"/>
      <c r="S4170" s="46"/>
    </row>
    <row r="4171" spans="1:19" ht="15.6" hidden="1" customHeight="1" thickBot="1" x14ac:dyDescent="0.3">
      <c r="A4171" t="s">
        <v>23</v>
      </c>
      <c r="B4171" s="60" t="str">
        <f t="shared" ref="B4171:B4173" si="2988">IF(K4171=0,"hide","")</f>
        <v>hide</v>
      </c>
      <c r="D4171" s="48" t="str">
        <f>D4170</f>
        <v>57197</v>
      </c>
      <c r="E4171" s="7"/>
      <c r="F4171" s="27">
        <v>0</v>
      </c>
      <c r="G4171" s="27">
        <v>0</v>
      </c>
      <c r="H4171" s="27">
        <v>0</v>
      </c>
      <c r="I4171" s="27">
        <v>0</v>
      </c>
      <c r="J4171" s="27">
        <v>0</v>
      </c>
      <c r="K4171" s="63">
        <f>AVERAGE(I4171:J4171)</f>
        <v>0</v>
      </c>
      <c r="L4171" s="56" t="str">
        <f>"EQP-LAWPACK2"</f>
        <v>EQP-LAWPACK2</v>
      </c>
      <c r="M4171" s="14"/>
      <c r="N4171" s="15"/>
      <c r="O4171" s="12"/>
      <c r="P4171" s="34"/>
      <c r="Q4171" s="37"/>
      <c r="R4171" s="47"/>
      <c r="S4171" s="46"/>
    </row>
    <row r="4172" spans="1:19" ht="15.6" hidden="1" customHeight="1" thickBot="1" x14ac:dyDescent="0.3">
      <c r="A4172" t="s">
        <v>23</v>
      </c>
      <c r="B4172" s="60" t="str">
        <f t="shared" si="2988"/>
        <v>hide</v>
      </c>
      <c r="D4172" s="48" t="str">
        <f>D4171</f>
        <v>57197</v>
      </c>
      <c r="E4172" s="7"/>
      <c r="F4172" s="27">
        <v>0</v>
      </c>
      <c r="G4172" s="27">
        <v>0</v>
      </c>
      <c r="H4172" s="27">
        <v>0</v>
      </c>
      <c r="I4172" s="27">
        <v>0</v>
      </c>
      <c r="J4172" s="27">
        <v>0</v>
      </c>
      <c r="K4172" s="63">
        <f>AVERAGE(I4172:J4172)</f>
        <v>0</v>
      </c>
      <c r="L4172" s="56" t="str">
        <f>"SW-COMAS-PACKL"</f>
        <v>SW-COMAS-PACKL</v>
      </c>
      <c r="M4172" s="14"/>
      <c r="N4172" s="15"/>
      <c r="O4172" s="12"/>
      <c r="P4172" s="34"/>
      <c r="Q4172" s="37"/>
      <c r="R4172" s="47"/>
      <c r="S4172" s="46"/>
    </row>
    <row r="4173" spans="1:19" ht="15.6" hidden="1" customHeight="1" thickBot="1" x14ac:dyDescent="0.3">
      <c r="A4173" t="s">
        <v>23</v>
      </c>
      <c r="B4173" s="60" t="str">
        <f t="shared" si="2988"/>
        <v>hide</v>
      </c>
      <c r="D4173" s="48" t="str">
        <f>D4172</f>
        <v>57197</v>
      </c>
      <c r="E4173" s="7"/>
      <c r="F4173" s="27">
        <v>0</v>
      </c>
      <c r="G4173" s="27">
        <v>0</v>
      </c>
      <c r="H4173" s="27">
        <v>0</v>
      </c>
      <c r="I4173" s="27">
        <v>0</v>
      </c>
      <c r="J4173" s="27">
        <v>0</v>
      </c>
      <c r="K4173" s="63">
        <f>AVERAGE(I4173:J4173)</f>
        <v>0</v>
      </c>
      <c r="L4173" s="56" t="str">
        <f>"SW-RISER-PACK"</f>
        <v>SW-RISER-PACK</v>
      </c>
      <c r="M4173" s="14"/>
      <c r="N4173" s="15"/>
      <c r="O4173" s="12"/>
      <c r="P4173" s="34"/>
      <c r="Q4173" s="37"/>
      <c r="R4173" s="47"/>
      <c r="S4173" s="46"/>
    </row>
    <row r="4174" spans="1:19" ht="12" hidden="1" customHeight="1" x14ac:dyDescent="0.3">
      <c r="A4174" s="35" t="s">
        <v>908</v>
      </c>
      <c r="B4174" s="49" t="str">
        <f>B4170</f>
        <v>hide</v>
      </c>
      <c r="N4174"/>
      <c r="Q4174" s="33"/>
    </row>
    <row r="4175" spans="1:19" ht="13.8" hidden="1" thickBot="1" x14ac:dyDescent="0.3">
      <c r="A4175" t="s">
        <v>23</v>
      </c>
      <c r="B4175" s="49" t="str">
        <f t="shared" ref="B4175" si="2989">B4174</f>
        <v>hide</v>
      </c>
      <c r="D4175" s="58"/>
      <c r="E4175" s="58"/>
      <c r="F4175" s="52">
        <f>SUM(F4170:F4174)</f>
        <v>0</v>
      </c>
      <c r="G4175" s="52">
        <f>SUM(G4170:G4174)</f>
        <v>0</v>
      </c>
      <c r="H4175" s="52">
        <f>SUM(H4170:H4174)</f>
        <v>0</v>
      </c>
      <c r="I4175" s="52">
        <f>SUM(I4170:I4174)</f>
        <v>0</v>
      </c>
      <c r="J4175" s="52">
        <f>SUM(J4170:J4174)</f>
        <v>0</v>
      </c>
      <c r="K4175" s="52"/>
      <c r="L4175" s="51" t="s">
        <v>4</v>
      </c>
      <c r="M4175" s="58"/>
      <c r="N4175" s="58"/>
      <c r="O4175" s="58"/>
      <c r="P4175" s="58"/>
      <c r="Q4175" s="58"/>
      <c r="R4175" s="58"/>
      <c r="S4175" s="58"/>
    </row>
    <row r="4176" spans="1:19" s="59" customFormat="1" ht="18.75" hidden="1" customHeight="1" thickBot="1" x14ac:dyDescent="0.3">
      <c r="A4176" s="59" t="s">
        <v>23</v>
      </c>
      <c r="B4176" s="60" t="str">
        <f t="shared" ref="B4176:B4177" si="2990">IF(K4176=0,"hide","")</f>
        <v>hide</v>
      </c>
      <c r="D4176" s="61" t="str">
        <f>"57199"</f>
        <v>57199</v>
      </c>
      <c r="E4176" s="62" t="str">
        <f>"13"</f>
        <v>13</v>
      </c>
      <c r="F4176" s="63">
        <v>328.00000000000006</v>
      </c>
      <c r="G4176" s="63">
        <v>343.75</v>
      </c>
      <c r="H4176" s="63">
        <v>209.75</v>
      </c>
      <c r="I4176" s="63">
        <v>0</v>
      </c>
      <c r="J4176" s="63">
        <v>0</v>
      </c>
      <c r="K4176" s="63">
        <f>AVERAGE(I4176:J4176)</f>
        <v>0</v>
      </c>
      <c r="L4176" s="64" t="str">
        <f>"ORGANIC Wild Blue TOPS"</f>
        <v>ORGANIC Wild Blue TOPS</v>
      </c>
      <c r="M4176" s="65" t="str">
        <f>"24-2 oz."</f>
        <v>24-2 oz.</v>
      </c>
      <c r="N4176" s="66">
        <v>24</v>
      </c>
      <c r="O4176" s="67">
        <v>5.8999999999999999E-3</v>
      </c>
      <c r="P4176" s="68">
        <f>1/O4176</f>
        <v>169.49152542372883</v>
      </c>
      <c r="Q4176" s="53">
        <v>2.0799999999999998E-3</v>
      </c>
      <c r="R4176" s="69">
        <f t="shared" ref="R4176" si="2991">1/Q4176</f>
        <v>480.76923076923083</v>
      </c>
      <c r="S4176" s="70">
        <f t="shared" ref="S4176" si="2992">R4176*N4176</f>
        <v>11538.461538461539</v>
      </c>
    </row>
    <row r="4177" spans="1:19" ht="15.6" hidden="1" customHeight="1" thickBot="1" x14ac:dyDescent="0.3">
      <c r="A4177" t="s">
        <v>23</v>
      </c>
      <c r="B4177" s="60" t="str">
        <f t="shared" si="2990"/>
        <v>hide</v>
      </c>
      <c r="D4177" s="48" t="str">
        <f>D4176</f>
        <v>57199</v>
      </c>
      <c r="E4177" s="7"/>
      <c r="F4177" s="27">
        <v>-325.20833333333331</v>
      </c>
      <c r="G4177" s="27">
        <v>-351.25</v>
      </c>
      <c r="H4177" s="27">
        <v>-218.83333333333334</v>
      </c>
      <c r="I4177" s="27">
        <v>0</v>
      </c>
      <c r="J4177" s="27">
        <v>0</v>
      </c>
      <c r="K4177" s="63">
        <f>AVERAGE(I4177:J4177)</f>
        <v>0</v>
      </c>
      <c r="L4177" s="56" t="str">
        <f>"EQP-LAWPACK1"</f>
        <v>EQP-LAWPACK1</v>
      </c>
      <c r="M4177" s="14"/>
      <c r="N4177" s="15"/>
      <c r="O4177" s="12"/>
      <c r="P4177" s="34"/>
      <c r="Q4177" s="37"/>
      <c r="R4177" s="47"/>
      <c r="S4177" s="46"/>
    </row>
    <row r="4178" spans="1:19" ht="15.6" hidden="1" customHeight="1" thickBot="1" x14ac:dyDescent="0.3">
      <c r="A4178" t="s">
        <v>23</v>
      </c>
      <c r="B4178" s="60" t="str">
        <f t="shared" ref="B4178:B4180" si="2993">IF(K4178=0,"hide","")</f>
        <v>hide</v>
      </c>
      <c r="D4178" s="48" t="str">
        <f>D4177</f>
        <v>57199</v>
      </c>
      <c r="E4178" s="7"/>
      <c r="F4178" s="27">
        <v>0</v>
      </c>
      <c r="G4178" s="27">
        <v>0</v>
      </c>
      <c r="H4178" s="27">
        <v>0</v>
      </c>
      <c r="I4178" s="27">
        <v>0</v>
      </c>
      <c r="J4178" s="27">
        <v>0</v>
      </c>
      <c r="K4178" s="63">
        <f>AVERAGE(I4178:J4178)</f>
        <v>0</v>
      </c>
      <c r="L4178" s="56" t="str">
        <f>"EQP-LAWPACK2"</f>
        <v>EQP-LAWPACK2</v>
      </c>
      <c r="M4178" s="14"/>
      <c r="N4178" s="15"/>
      <c r="O4178" s="12"/>
      <c r="P4178" s="34"/>
      <c r="Q4178" s="37"/>
      <c r="R4178" s="47"/>
      <c r="S4178" s="46"/>
    </row>
    <row r="4179" spans="1:19" ht="15.6" hidden="1" customHeight="1" thickBot="1" x14ac:dyDescent="0.3">
      <c r="A4179" t="s">
        <v>23</v>
      </c>
      <c r="B4179" s="60" t="str">
        <f t="shared" si="2993"/>
        <v>hide</v>
      </c>
      <c r="D4179" s="48" t="str">
        <f>D4178</f>
        <v>57199</v>
      </c>
      <c r="E4179" s="7"/>
      <c r="F4179" s="27">
        <v>0</v>
      </c>
      <c r="G4179" s="27">
        <v>0</v>
      </c>
      <c r="H4179" s="27">
        <v>0</v>
      </c>
      <c r="I4179" s="27">
        <v>0</v>
      </c>
      <c r="J4179" s="27">
        <v>0</v>
      </c>
      <c r="K4179" s="63">
        <f>AVERAGE(I4179:J4179)</f>
        <v>0</v>
      </c>
      <c r="L4179" s="56" t="str">
        <f>"SW-COMAS-PACKL"</f>
        <v>SW-COMAS-PACKL</v>
      </c>
      <c r="M4179" s="14"/>
      <c r="N4179" s="15"/>
      <c r="O4179" s="12"/>
      <c r="P4179" s="34"/>
      <c r="Q4179" s="37"/>
      <c r="R4179" s="47"/>
      <c r="S4179" s="46"/>
    </row>
    <row r="4180" spans="1:19" ht="15.6" hidden="1" customHeight="1" thickBot="1" x14ac:dyDescent="0.3">
      <c r="A4180" t="s">
        <v>23</v>
      </c>
      <c r="B4180" s="60" t="str">
        <f t="shared" si="2993"/>
        <v>hide</v>
      </c>
      <c r="D4180" s="48" t="str">
        <f>D4179</f>
        <v>57199</v>
      </c>
      <c r="E4180" s="7"/>
      <c r="F4180" s="27">
        <v>0</v>
      </c>
      <c r="G4180" s="27">
        <v>0</v>
      </c>
      <c r="H4180" s="27">
        <v>0</v>
      </c>
      <c r="I4180" s="27">
        <v>0</v>
      </c>
      <c r="J4180" s="27">
        <v>0</v>
      </c>
      <c r="K4180" s="63">
        <f>AVERAGE(I4180:J4180)</f>
        <v>0</v>
      </c>
      <c r="L4180" s="56" t="str">
        <f>"SW-RISER-PACK"</f>
        <v>SW-RISER-PACK</v>
      </c>
      <c r="M4180" s="14"/>
      <c r="N4180" s="15"/>
      <c r="O4180" s="12"/>
      <c r="P4180" s="34"/>
      <c r="Q4180" s="37"/>
      <c r="R4180" s="47"/>
      <c r="S4180" s="46"/>
    </row>
    <row r="4181" spans="1:19" ht="12" hidden="1" customHeight="1" x14ac:dyDescent="0.3">
      <c r="A4181" s="35" t="s">
        <v>908</v>
      </c>
      <c r="B4181" s="49" t="str">
        <f>B4177</f>
        <v>hide</v>
      </c>
      <c r="N4181"/>
      <c r="Q4181" s="33"/>
    </row>
    <row r="4182" spans="1:19" ht="13.8" hidden="1" thickBot="1" x14ac:dyDescent="0.3">
      <c r="A4182" t="s">
        <v>23</v>
      </c>
      <c r="B4182" s="49" t="str">
        <f t="shared" ref="B4182" si="2994">B4181</f>
        <v>hide</v>
      </c>
      <c r="D4182" s="58"/>
      <c r="E4182" s="58"/>
      <c r="F4182" s="52">
        <f>SUM(F4177:F4181)</f>
        <v>-325.20833333333331</v>
      </c>
      <c r="G4182" s="52">
        <f>SUM(G4177:G4181)</f>
        <v>-351.25</v>
      </c>
      <c r="H4182" s="52">
        <f>SUM(H4177:H4181)</f>
        <v>-218.83333333333334</v>
      </c>
      <c r="I4182" s="52">
        <f>SUM(I4177:I4181)</f>
        <v>0</v>
      </c>
      <c r="J4182" s="52">
        <f>SUM(J4177:J4181)</f>
        <v>0</v>
      </c>
      <c r="K4182" s="52"/>
      <c r="L4182" s="51" t="s">
        <v>4</v>
      </c>
      <c r="M4182" s="58"/>
      <c r="N4182" s="58"/>
      <c r="O4182" s="58"/>
      <c r="P4182" s="58"/>
      <c r="Q4182" s="58"/>
      <c r="R4182" s="58"/>
      <c r="S4182" s="58"/>
    </row>
    <row r="4183" spans="1:19" s="59" customFormat="1" ht="18.75" hidden="1" customHeight="1" thickBot="1" x14ac:dyDescent="0.3">
      <c r="A4183" s="59" t="s">
        <v>23</v>
      </c>
      <c r="B4183" s="60" t="str">
        <f t="shared" ref="B4183:B4184" si="2995">IF(K4183=0,"hide","")</f>
        <v>hide</v>
      </c>
      <c r="D4183" s="61" t="str">
        <f>"57253"</f>
        <v>57253</v>
      </c>
      <c r="E4183" s="62" t="str">
        <f>"7"</f>
        <v>7</v>
      </c>
      <c r="F4183" s="63">
        <v>78.333333333333329</v>
      </c>
      <c r="G4183" s="63">
        <v>0</v>
      </c>
      <c r="H4183" s="63">
        <v>0</v>
      </c>
      <c r="I4183" s="63">
        <v>0</v>
      </c>
      <c r="J4183" s="63">
        <v>0</v>
      </c>
      <c r="K4183" s="63">
        <f>AVERAGE(I4183:J4183)</f>
        <v>0</v>
      </c>
      <c r="L4183" s="64" t="str">
        <f>"SugarFree Choc. Tops"</f>
        <v>SugarFree Choc. Tops</v>
      </c>
      <c r="M4183" s="65" t="str">
        <f>"24-2 oz."</f>
        <v>24-2 oz.</v>
      </c>
      <c r="N4183" s="66">
        <v>24</v>
      </c>
      <c r="O4183" s="67">
        <v>2E-3</v>
      </c>
      <c r="P4183" s="68">
        <f>1/O4183</f>
        <v>500</v>
      </c>
      <c r="Q4183" s="53">
        <v>2.8800000000000002E-3</v>
      </c>
      <c r="R4183" s="69">
        <f t="shared" ref="R4183" si="2996">1/Q4183</f>
        <v>347.22222222222223</v>
      </c>
      <c r="S4183" s="70">
        <f t="shared" ref="S4183" si="2997">R4183*N4183</f>
        <v>8333.3333333333339</v>
      </c>
    </row>
    <row r="4184" spans="1:19" ht="15.6" hidden="1" customHeight="1" thickBot="1" x14ac:dyDescent="0.3">
      <c r="A4184" t="s">
        <v>23</v>
      </c>
      <c r="B4184" s="60" t="str">
        <f t="shared" si="2995"/>
        <v>hide</v>
      </c>
      <c r="D4184" s="48" t="str">
        <f>D4183</f>
        <v>57253</v>
      </c>
      <c r="E4184" s="7"/>
      <c r="F4184" s="27">
        <v>0</v>
      </c>
      <c r="G4184" s="27">
        <v>0</v>
      </c>
      <c r="H4184" s="27">
        <v>0</v>
      </c>
      <c r="I4184" s="27">
        <v>0</v>
      </c>
      <c r="J4184" s="27">
        <v>0</v>
      </c>
      <c r="K4184" s="63">
        <f>AVERAGE(I4184:J4184)</f>
        <v>0</v>
      </c>
      <c r="L4184" s="56" t="str">
        <f>"EQP-LAWPACK1"</f>
        <v>EQP-LAWPACK1</v>
      </c>
      <c r="M4184" s="14"/>
      <c r="N4184" s="15"/>
      <c r="O4184" s="12"/>
      <c r="P4184" s="34"/>
      <c r="Q4184" s="37"/>
      <c r="R4184" s="47"/>
      <c r="S4184" s="46"/>
    </row>
    <row r="4185" spans="1:19" ht="15.6" hidden="1" customHeight="1" thickBot="1" x14ac:dyDescent="0.3">
      <c r="A4185" t="s">
        <v>23</v>
      </c>
      <c r="B4185" s="60" t="str">
        <f t="shared" ref="B4185:B4187" si="2998">IF(K4185=0,"hide","")</f>
        <v>hide</v>
      </c>
      <c r="D4185" s="48" t="str">
        <f>D4184</f>
        <v>57253</v>
      </c>
      <c r="E4185" s="7"/>
      <c r="F4185" s="27">
        <v>0</v>
      </c>
      <c r="G4185" s="27">
        <v>0</v>
      </c>
      <c r="H4185" s="27">
        <v>0</v>
      </c>
      <c r="I4185" s="27">
        <v>0</v>
      </c>
      <c r="J4185" s="27">
        <v>0</v>
      </c>
      <c r="K4185" s="63">
        <f>AVERAGE(I4185:J4185)</f>
        <v>0</v>
      </c>
      <c r="L4185" s="56" t="str">
        <f>"EQP-LAWPACK2"</f>
        <v>EQP-LAWPACK2</v>
      </c>
      <c r="M4185" s="14"/>
      <c r="N4185" s="15"/>
      <c r="O4185" s="12"/>
      <c r="P4185" s="34"/>
      <c r="Q4185" s="37"/>
      <c r="R4185" s="47"/>
      <c r="S4185" s="46"/>
    </row>
    <row r="4186" spans="1:19" ht="15.6" hidden="1" customHeight="1" thickBot="1" x14ac:dyDescent="0.3">
      <c r="A4186" t="s">
        <v>23</v>
      </c>
      <c r="B4186" s="60" t="str">
        <f t="shared" si="2998"/>
        <v>hide</v>
      </c>
      <c r="D4186" s="48" t="str">
        <f>D4185</f>
        <v>57253</v>
      </c>
      <c r="E4186" s="7"/>
      <c r="F4186" s="27">
        <v>0</v>
      </c>
      <c r="G4186" s="27">
        <v>0</v>
      </c>
      <c r="H4186" s="27">
        <v>0</v>
      </c>
      <c r="I4186" s="27">
        <v>0</v>
      </c>
      <c r="J4186" s="27">
        <v>0</v>
      </c>
      <c r="K4186" s="63">
        <f>AVERAGE(I4186:J4186)</f>
        <v>0</v>
      </c>
      <c r="L4186" s="56" t="str">
        <f>"SW-COMAS-PACKL"</f>
        <v>SW-COMAS-PACKL</v>
      </c>
      <c r="M4186" s="14"/>
      <c r="N4186" s="15"/>
      <c r="O4186" s="12"/>
      <c r="P4186" s="34"/>
      <c r="Q4186" s="37"/>
      <c r="R4186" s="47"/>
      <c r="S4186" s="46"/>
    </row>
    <row r="4187" spans="1:19" ht="15.6" hidden="1" customHeight="1" thickBot="1" x14ac:dyDescent="0.3">
      <c r="A4187" t="s">
        <v>23</v>
      </c>
      <c r="B4187" s="60" t="str">
        <f t="shared" si="2998"/>
        <v>hide</v>
      </c>
      <c r="D4187" s="48" t="str">
        <f>D4186</f>
        <v>57253</v>
      </c>
      <c r="E4187" s="7"/>
      <c r="F4187" s="27">
        <v>0</v>
      </c>
      <c r="G4187" s="27">
        <v>0</v>
      </c>
      <c r="H4187" s="27">
        <v>0</v>
      </c>
      <c r="I4187" s="27">
        <v>0</v>
      </c>
      <c r="J4187" s="27">
        <v>0</v>
      </c>
      <c r="K4187" s="63">
        <f>AVERAGE(I4187:J4187)</f>
        <v>0</v>
      </c>
      <c r="L4187" s="56" t="str">
        <f>"SW-RISER-PACK"</f>
        <v>SW-RISER-PACK</v>
      </c>
      <c r="M4187" s="14"/>
      <c r="N4187" s="15"/>
      <c r="O4187" s="12"/>
      <c r="P4187" s="34"/>
      <c r="Q4187" s="37"/>
      <c r="R4187" s="47"/>
      <c r="S4187" s="46"/>
    </row>
    <row r="4188" spans="1:19" ht="12" hidden="1" customHeight="1" x14ac:dyDescent="0.3">
      <c r="A4188" s="35" t="s">
        <v>908</v>
      </c>
      <c r="B4188" s="49" t="str">
        <f>B4184</f>
        <v>hide</v>
      </c>
      <c r="N4188"/>
      <c r="Q4188" s="33"/>
    </row>
    <row r="4189" spans="1:19" ht="13.8" hidden="1" thickBot="1" x14ac:dyDescent="0.3">
      <c r="A4189" t="s">
        <v>23</v>
      </c>
      <c r="B4189" s="49" t="str">
        <f t="shared" ref="B4189" si="2999">B4188</f>
        <v>hide</v>
      </c>
      <c r="D4189" s="58"/>
      <c r="E4189" s="58"/>
      <c r="F4189" s="52">
        <f>SUM(F4184:F4188)</f>
        <v>0</v>
      </c>
      <c r="G4189" s="52">
        <f>SUM(G4184:G4188)</f>
        <v>0</v>
      </c>
      <c r="H4189" s="52">
        <f>SUM(H4184:H4188)</f>
        <v>0</v>
      </c>
      <c r="I4189" s="52">
        <f>SUM(I4184:I4188)</f>
        <v>0</v>
      </c>
      <c r="J4189" s="52">
        <f>SUM(J4184:J4188)</f>
        <v>0</v>
      </c>
      <c r="K4189" s="52"/>
      <c r="L4189" s="51" t="s">
        <v>4</v>
      </c>
      <c r="M4189" s="58"/>
      <c r="N4189" s="58"/>
      <c r="O4189" s="58"/>
      <c r="P4189" s="58"/>
      <c r="Q4189" s="58"/>
      <c r="R4189" s="58"/>
      <c r="S4189" s="58"/>
    </row>
    <row r="4190" spans="1:19" s="59" customFormat="1" ht="18.75" hidden="1" customHeight="1" thickBot="1" x14ac:dyDescent="0.3">
      <c r="A4190" s="59" t="s">
        <v>23</v>
      </c>
      <c r="B4190" s="60" t="str">
        <f t="shared" ref="B4190:B4191" si="3000">IF(K4190=0,"hide","")</f>
        <v>hide</v>
      </c>
      <c r="D4190" s="61" t="str">
        <f>"57340"</f>
        <v>57340</v>
      </c>
      <c r="E4190" s="62" t="str">
        <f>"6"</f>
        <v>6</v>
      </c>
      <c r="F4190" s="63">
        <v>191.75</v>
      </c>
      <c r="G4190" s="63">
        <v>342.75</v>
      </c>
      <c r="H4190" s="63">
        <v>203.66666666666666</v>
      </c>
      <c r="I4190" s="63">
        <v>0</v>
      </c>
      <c r="J4190" s="63">
        <v>0</v>
      </c>
      <c r="K4190" s="63">
        <f>AVERAGE(I4190:J4190)</f>
        <v>0</v>
      </c>
      <c r="L4190" s="64" t="str">
        <f>"Triple Choc Tops"</f>
        <v>Triple Choc Tops</v>
      </c>
      <c r="M4190" s="65" t="str">
        <f>"24-2 oz."</f>
        <v>24-2 oz.</v>
      </c>
      <c r="N4190" s="66">
        <v>24</v>
      </c>
      <c r="O4190" s="67" t="str">
        <f>""</f>
        <v/>
      </c>
      <c r="P4190" s="68" t="e">
        <f>1/O4190</f>
        <v>#VALUE!</v>
      </c>
      <c r="Q4190" s="53">
        <v>1</v>
      </c>
      <c r="R4190" s="69">
        <f t="shared" ref="R4190" si="3001">1/Q4190</f>
        <v>1</v>
      </c>
      <c r="S4190" s="70">
        <f t="shared" ref="S4190" si="3002">R4190*N4190</f>
        <v>24</v>
      </c>
    </row>
    <row r="4191" spans="1:19" ht="15.6" hidden="1" customHeight="1" thickBot="1" x14ac:dyDescent="0.3">
      <c r="A4191" t="s">
        <v>23</v>
      </c>
      <c r="B4191" s="60" t="str">
        <f t="shared" si="3000"/>
        <v>hide</v>
      </c>
      <c r="D4191" s="48" t="str">
        <f>D4190</f>
        <v>57340</v>
      </c>
      <c r="E4191" s="7"/>
      <c r="F4191" s="27">
        <v>0</v>
      </c>
      <c r="G4191" s="27">
        <v>0</v>
      </c>
      <c r="H4191" s="27">
        <v>0</v>
      </c>
      <c r="I4191" s="27">
        <v>0</v>
      </c>
      <c r="J4191" s="27">
        <v>0</v>
      </c>
      <c r="K4191" s="63">
        <f>AVERAGE(I4191:J4191)</f>
        <v>0</v>
      </c>
      <c r="L4191" s="56" t="str">
        <f>"EQP-LAWPACK1"</f>
        <v>EQP-LAWPACK1</v>
      </c>
      <c r="M4191" s="14"/>
      <c r="N4191" s="15"/>
      <c r="O4191" s="12"/>
      <c r="P4191" s="34"/>
      <c r="Q4191" s="37"/>
      <c r="R4191" s="47"/>
      <c r="S4191" s="46"/>
    </row>
    <row r="4192" spans="1:19" ht="15.6" hidden="1" customHeight="1" thickBot="1" x14ac:dyDescent="0.3">
      <c r="A4192" t="s">
        <v>23</v>
      </c>
      <c r="B4192" s="60" t="str">
        <f t="shared" ref="B4192:B4194" si="3003">IF(K4192=0,"hide","")</f>
        <v>hide</v>
      </c>
      <c r="D4192" s="48" t="str">
        <f>D4191</f>
        <v>57340</v>
      </c>
      <c r="E4192" s="7"/>
      <c r="F4192" s="27">
        <v>0</v>
      </c>
      <c r="G4192" s="27">
        <v>0</v>
      </c>
      <c r="H4192" s="27">
        <v>0</v>
      </c>
      <c r="I4192" s="27">
        <v>0</v>
      </c>
      <c r="J4192" s="27">
        <v>0</v>
      </c>
      <c r="K4192" s="63">
        <f>AVERAGE(I4192:J4192)</f>
        <v>0</v>
      </c>
      <c r="L4192" s="56" t="str">
        <f>"EQP-LAWPACK2"</f>
        <v>EQP-LAWPACK2</v>
      </c>
      <c r="M4192" s="14"/>
      <c r="N4192" s="15"/>
      <c r="O4192" s="12"/>
      <c r="P4192" s="34"/>
      <c r="Q4192" s="37"/>
      <c r="R4192" s="47"/>
      <c r="S4192" s="46"/>
    </row>
    <row r="4193" spans="1:19" ht="15.6" hidden="1" customHeight="1" thickBot="1" x14ac:dyDescent="0.3">
      <c r="A4193" t="s">
        <v>23</v>
      </c>
      <c r="B4193" s="60" t="str">
        <f t="shared" si="3003"/>
        <v>hide</v>
      </c>
      <c r="D4193" s="48" t="str">
        <f>D4192</f>
        <v>57340</v>
      </c>
      <c r="E4193" s="7"/>
      <c r="F4193" s="27">
        <v>0</v>
      </c>
      <c r="G4193" s="27">
        <v>0</v>
      </c>
      <c r="H4193" s="27">
        <v>0</v>
      </c>
      <c r="I4193" s="27">
        <v>0</v>
      </c>
      <c r="J4193" s="27">
        <v>0</v>
      </c>
      <c r="K4193" s="63">
        <f>AVERAGE(I4193:J4193)</f>
        <v>0</v>
      </c>
      <c r="L4193" s="56" t="str">
        <f>"SW-COMAS-PACKL"</f>
        <v>SW-COMAS-PACKL</v>
      </c>
      <c r="M4193" s="14"/>
      <c r="N4193" s="15"/>
      <c r="O4193" s="12"/>
      <c r="P4193" s="34"/>
      <c r="Q4193" s="37"/>
      <c r="R4193" s="47"/>
      <c r="S4193" s="46"/>
    </row>
    <row r="4194" spans="1:19" ht="15.6" hidden="1" customHeight="1" thickBot="1" x14ac:dyDescent="0.3">
      <c r="A4194" t="s">
        <v>23</v>
      </c>
      <c r="B4194" s="60" t="str">
        <f t="shared" si="3003"/>
        <v>hide</v>
      </c>
      <c r="D4194" s="48" t="str">
        <f>D4193</f>
        <v>57340</v>
      </c>
      <c r="E4194" s="7"/>
      <c r="F4194" s="27">
        <v>0</v>
      </c>
      <c r="G4194" s="27">
        <v>0</v>
      </c>
      <c r="H4194" s="27">
        <v>0</v>
      </c>
      <c r="I4194" s="27">
        <v>0</v>
      </c>
      <c r="J4194" s="27">
        <v>0</v>
      </c>
      <c r="K4194" s="63">
        <f>AVERAGE(I4194:J4194)</f>
        <v>0</v>
      </c>
      <c r="L4194" s="56" t="str">
        <f>"SW-RISER-PACK"</f>
        <v>SW-RISER-PACK</v>
      </c>
      <c r="M4194" s="14"/>
      <c r="N4194" s="15"/>
      <c r="O4194" s="12"/>
      <c r="P4194" s="34"/>
      <c r="Q4194" s="37"/>
      <c r="R4194" s="47"/>
      <c r="S4194" s="46"/>
    </row>
    <row r="4195" spans="1:19" ht="12" hidden="1" customHeight="1" x14ac:dyDescent="0.3">
      <c r="A4195" s="35" t="s">
        <v>908</v>
      </c>
      <c r="B4195" s="49" t="str">
        <f>B4191</f>
        <v>hide</v>
      </c>
      <c r="N4195"/>
      <c r="Q4195" s="33"/>
    </row>
    <row r="4196" spans="1:19" ht="13.8" hidden="1" thickBot="1" x14ac:dyDescent="0.3">
      <c r="A4196" t="s">
        <v>23</v>
      </c>
      <c r="B4196" s="49" t="str">
        <f t="shared" ref="B4196" si="3004">B4195</f>
        <v>hide</v>
      </c>
      <c r="D4196" s="58"/>
      <c r="E4196" s="58"/>
      <c r="F4196" s="52">
        <f>SUM(F4191:F4195)</f>
        <v>0</v>
      </c>
      <c r="G4196" s="52">
        <f>SUM(G4191:G4195)</f>
        <v>0</v>
      </c>
      <c r="H4196" s="52">
        <f>SUM(H4191:H4195)</f>
        <v>0</v>
      </c>
      <c r="I4196" s="52">
        <f>SUM(I4191:I4195)</f>
        <v>0</v>
      </c>
      <c r="J4196" s="52">
        <f>SUM(J4191:J4195)</f>
        <v>0</v>
      </c>
      <c r="K4196" s="52"/>
      <c r="L4196" s="51" t="s">
        <v>4</v>
      </c>
      <c r="M4196" s="58"/>
      <c r="N4196" s="58"/>
      <c r="O4196" s="58"/>
      <c r="P4196" s="58"/>
      <c r="Q4196" s="58"/>
      <c r="R4196" s="58"/>
      <c r="S4196" s="58"/>
    </row>
    <row r="4197" spans="1:19" s="59" customFormat="1" ht="18.75" hidden="1" customHeight="1" thickBot="1" x14ac:dyDescent="0.3">
      <c r="A4197" s="59" t="s">
        <v>23</v>
      </c>
      <c r="B4197" s="60" t="str">
        <f t="shared" ref="B4197:B4198" si="3005">IF(K4197=0,"hide","")</f>
        <v>hide</v>
      </c>
      <c r="D4197" s="61" t="str">
        <f>"57360"</f>
        <v>57360</v>
      </c>
      <c r="E4197" s="62" t="str">
        <f>"5"</f>
        <v>5</v>
      </c>
      <c r="F4197" s="63">
        <v>80.499999999999986</v>
      </c>
      <c r="G4197" s="63">
        <v>112.41666666666667</v>
      </c>
      <c r="H4197" s="63">
        <v>72</v>
      </c>
      <c r="I4197" s="63">
        <v>0</v>
      </c>
      <c r="J4197" s="63">
        <v>0</v>
      </c>
      <c r="K4197" s="63">
        <f>AVERAGE(I4197:J4197)</f>
        <v>0</v>
      </c>
      <c r="L4197" s="64" t="str">
        <f>"Chocolate Mint Tops"</f>
        <v>Chocolate Mint Tops</v>
      </c>
      <c r="M4197" s="65" t="str">
        <f>"24-2 oz."</f>
        <v>24-2 oz.</v>
      </c>
      <c r="N4197" s="66">
        <v>24</v>
      </c>
      <c r="O4197" s="67" t="str">
        <f>""</f>
        <v/>
      </c>
      <c r="P4197" s="68" t="e">
        <f>1/O4197</f>
        <v>#VALUE!</v>
      </c>
      <c r="Q4197" s="53">
        <v>1</v>
      </c>
      <c r="R4197" s="69">
        <f t="shared" ref="R4197" si="3006">1/Q4197</f>
        <v>1</v>
      </c>
      <c r="S4197" s="70">
        <f t="shared" ref="S4197" si="3007">R4197*N4197</f>
        <v>24</v>
      </c>
    </row>
    <row r="4198" spans="1:19" ht="15.6" hidden="1" customHeight="1" thickBot="1" x14ac:dyDescent="0.3">
      <c r="A4198" t="s">
        <v>23</v>
      </c>
      <c r="B4198" s="60" t="str">
        <f t="shared" si="3005"/>
        <v>hide</v>
      </c>
      <c r="D4198" s="48" t="str">
        <f>D4197</f>
        <v>57360</v>
      </c>
      <c r="E4198" s="7"/>
      <c r="F4198" s="27">
        <v>0</v>
      </c>
      <c r="G4198" s="27">
        <v>0</v>
      </c>
      <c r="H4198" s="27">
        <v>0</v>
      </c>
      <c r="I4198" s="27">
        <v>0</v>
      </c>
      <c r="J4198" s="27">
        <v>0</v>
      </c>
      <c r="K4198" s="63">
        <f>AVERAGE(I4198:J4198)</f>
        <v>0</v>
      </c>
      <c r="L4198" s="56" t="str">
        <f>"EQP-LAWPACK1"</f>
        <v>EQP-LAWPACK1</v>
      </c>
      <c r="M4198" s="14"/>
      <c r="N4198" s="15"/>
      <c r="O4198" s="12"/>
      <c r="P4198" s="34"/>
      <c r="Q4198" s="37"/>
      <c r="R4198" s="47"/>
      <c r="S4198" s="46"/>
    </row>
    <row r="4199" spans="1:19" ht="15.6" hidden="1" customHeight="1" thickBot="1" x14ac:dyDescent="0.3">
      <c r="A4199" t="s">
        <v>23</v>
      </c>
      <c r="B4199" s="60" t="str">
        <f t="shared" ref="B4199:B4201" si="3008">IF(K4199=0,"hide","")</f>
        <v>hide</v>
      </c>
      <c r="D4199" s="48" t="str">
        <f>D4198</f>
        <v>57360</v>
      </c>
      <c r="E4199" s="7"/>
      <c r="F4199" s="27">
        <v>0</v>
      </c>
      <c r="G4199" s="27">
        <v>0</v>
      </c>
      <c r="H4199" s="27">
        <v>0</v>
      </c>
      <c r="I4199" s="27">
        <v>0</v>
      </c>
      <c r="J4199" s="27">
        <v>0</v>
      </c>
      <c r="K4199" s="63">
        <f>AVERAGE(I4199:J4199)</f>
        <v>0</v>
      </c>
      <c r="L4199" s="56" t="str">
        <f>"EQP-LAWPACK2"</f>
        <v>EQP-LAWPACK2</v>
      </c>
      <c r="M4199" s="14"/>
      <c r="N4199" s="15"/>
      <c r="O4199" s="12"/>
      <c r="P4199" s="34"/>
      <c r="Q4199" s="37"/>
      <c r="R4199" s="47"/>
      <c r="S4199" s="46"/>
    </row>
    <row r="4200" spans="1:19" ht="15.6" hidden="1" customHeight="1" thickBot="1" x14ac:dyDescent="0.3">
      <c r="A4200" t="s">
        <v>23</v>
      </c>
      <c r="B4200" s="60" t="str">
        <f t="shared" si="3008"/>
        <v>hide</v>
      </c>
      <c r="D4200" s="48" t="str">
        <f>D4199</f>
        <v>57360</v>
      </c>
      <c r="E4200" s="7"/>
      <c r="F4200" s="27">
        <v>0</v>
      </c>
      <c r="G4200" s="27">
        <v>0</v>
      </c>
      <c r="H4200" s="27">
        <v>0</v>
      </c>
      <c r="I4200" s="27">
        <v>0</v>
      </c>
      <c r="J4200" s="27">
        <v>0</v>
      </c>
      <c r="K4200" s="63">
        <f>AVERAGE(I4200:J4200)</f>
        <v>0</v>
      </c>
      <c r="L4200" s="56" t="str">
        <f>"SW-COMAS-PACKL"</f>
        <v>SW-COMAS-PACKL</v>
      </c>
      <c r="M4200" s="14"/>
      <c r="N4200" s="15"/>
      <c r="O4200" s="12"/>
      <c r="P4200" s="34"/>
      <c r="Q4200" s="37"/>
      <c r="R4200" s="47"/>
      <c r="S4200" s="46"/>
    </row>
    <row r="4201" spans="1:19" ht="15.6" hidden="1" customHeight="1" thickBot="1" x14ac:dyDescent="0.3">
      <c r="A4201" t="s">
        <v>23</v>
      </c>
      <c r="B4201" s="60" t="str">
        <f t="shared" si="3008"/>
        <v>hide</v>
      </c>
      <c r="D4201" s="48" t="str">
        <f>D4200</f>
        <v>57360</v>
      </c>
      <c r="E4201" s="7"/>
      <c r="F4201" s="27">
        <v>0</v>
      </c>
      <c r="G4201" s="27">
        <v>0</v>
      </c>
      <c r="H4201" s="27">
        <v>0</v>
      </c>
      <c r="I4201" s="27">
        <v>0</v>
      </c>
      <c r="J4201" s="27">
        <v>0</v>
      </c>
      <c r="K4201" s="63">
        <f>AVERAGE(I4201:J4201)</f>
        <v>0</v>
      </c>
      <c r="L4201" s="56" t="str">
        <f>"SW-RISER-PACK"</f>
        <v>SW-RISER-PACK</v>
      </c>
      <c r="M4201" s="14"/>
      <c r="N4201" s="15"/>
      <c r="O4201" s="12"/>
      <c r="P4201" s="34"/>
      <c r="Q4201" s="37"/>
      <c r="R4201" s="47"/>
      <c r="S4201" s="46"/>
    </row>
    <row r="4202" spans="1:19" ht="12" hidden="1" customHeight="1" x14ac:dyDescent="0.3">
      <c r="A4202" s="35" t="s">
        <v>908</v>
      </c>
      <c r="B4202" s="49" t="str">
        <f>B4198</f>
        <v>hide</v>
      </c>
      <c r="N4202"/>
      <c r="Q4202" s="33"/>
    </row>
    <row r="4203" spans="1:19" ht="13.8" hidden="1" thickBot="1" x14ac:dyDescent="0.3">
      <c r="A4203" t="s">
        <v>23</v>
      </c>
      <c r="B4203" s="49" t="str">
        <f t="shared" ref="B4203" si="3009">B4202</f>
        <v>hide</v>
      </c>
      <c r="D4203" s="58"/>
      <c r="E4203" s="58"/>
      <c r="F4203" s="52">
        <f>SUM(F4198:F4202)</f>
        <v>0</v>
      </c>
      <c r="G4203" s="52">
        <f>SUM(G4198:G4202)</f>
        <v>0</v>
      </c>
      <c r="H4203" s="52">
        <f>SUM(H4198:H4202)</f>
        <v>0</v>
      </c>
      <c r="I4203" s="52">
        <f>SUM(I4198:I4202)</f>
        <v>0</v>
      </c>
      <c r="J4203" s="52">
        <f>SUM(J4198:J4202)</f>
        <v>0</v>
      </c>
      <c r="K4203" s="52"/>
      <c r="L4203" s="51" t="s">
        <v>4</v>
      </c>
      <c r="M4203" s="58"/>
      <c r="N4203" s="58"/>
      <c r="O4203" s="58"/>
      <c r="P4203" s="58"/>
      <c r="Q4203" s="58"/>
      <c r="R4203" s="58"/>
      <c r="S4203" s="58"/>
    </row>
    <row r="4204" spans="1:19" s="59" customFormat="1" ht="18.75" hidden="1" customHeight="1" thickBot="1" x14ac:dyDescent="0.3">
      <c r="A4204" s="59" t="s">
        <v>23</v>
      </c>
      <c r="B4204" s="60" t="str">
        <f t="shared" ref="B4204:B4205" si="3010">IF(K4204=0,"hide","")</f>
        <v>hide</v>
      </c>
      <c r="D4204" s="61" t="str">
        <f>"57534"</f>
        <v>57534</v>
      </c>
      <c r="E4204" s="62" t="str">
        <f>"5"</f>
        <v>5</v>
      </c>
      <c r="F4204" s="63">
        <v>0</v>
      </c>
      <c r="G4204" s="63">
        <v>0</v>
      </c>
      <c r="H4204" s="63">
        <v>0</v>
      </c>
      <c r="I4204" s="63">
        <v>0</v>
      </c>
      <c r="J4204" s="63">
        <v>0</v>
      </c>
      <c r="K4204" s="63">
        <f>AVERAGE(I4204:J4204)</f>
        <v>0</v>
      </c>
      <c r="L4204" s="64" t="str">
        <f>"Harvest Corn Energy Loaf"</f>
        <v>Harvest Corn Energy Loaf</v>
      </c>
      <c r="M4204" s="65" t="str">
        <f>"24-1.9 oz."</f>
        <v>24-1.9 oz.</v>
      </c>
      <c r="N4204" s="66">
        <v>24</v>
      </c>
      <c r="O4204" s="67" t="str">
        <f>""</f>
        <v/>
      </c>
      <c r="P4204" s="68" t="e">
        <f>1/O4204</f>
        <v>#VALUE!</v>
      </c>
      <c r="Q4204" s="53">
        <v>1</v>
      </c>
      <c r="R4204" s="69">
        <f t="shared" ref="R4204" si="3011">1/Q4204</f>
        <v>1</v>
      </c>
      <c r="S4204" s="70">
        <f t="shared" ref="S4204" si="3012">R4204*N4204</f>
        <v>24</v>
      </c>
    </row>
    <row r="4205" spans="1:19" ht="15.6" hidden="1" customHeight="1" thickBot="1" x14ac:dyDescent="0.3">
      <c r="A4205" t="s">
        <v>23</v>
      </c>
      <c r="B4205" s="60" t="str">
        <f t="shared" si="3010"/>
        <v>hide</v>
      </c>
      <c r="D4205" s="48" t="str">
        <f>D4204</f>
        <v>57534</v>
      </c>
      <c r="E4205" s="7"/>
      <c r="F4205" s="27">
        <v>0</v>
      </c>
      <c r="G4205" s="27">
        <v>0</v>
      </c>
      <c r="H4205" s="27">
        <v>0</v>
      </c>
      <c r="I4205" s="27">
        <v>0</v>
      </c>
      <c r="J4205" s="27">
        <v>0</v>
      </c>
      <c r="K4205" s="63">
        <f>AVERAGE(I4205:J4205)</f>
        <v>0</v>
      </c>
      <c r="L4205" s="56" t="str">
        <f>"EQP-LAWPACK1"</f>
        <v>EQP-LAWPACK1</v>
      </c>
      <c r="M4205" s="14"/>
      <c r="N4205" s="15"/>
      <c r="O4205" s="12"/>
      <c r="P4205" s="34"/>
      <c r="Q4205" s="37"/>
      <c r="R4205" s="47"/>
      <c r="S4205" s="46"/>
    </row>
    <row r="4206" spans="1:19" ht="15.6" hidden="1" customHeight="1" thickBot="1" x14ac:dyDescent="0.3">
      <c r="A4206" t="s">
        <v>23</v>
      </c>
      <c r="B4206" s="60" t="str">
        <f t="shared" ref="B4206:B4208" si="3013">IF(K4206=0,"hide","")</f>
        <v>hide</v>
      </c>
      <c r="D4206" s="48" t="str">
        <f>D4205</f>
        <v>57534</v>
      </c>
      <c r="E4206" s="7"/>
      <c r="F4206" s="27">
        <v>0</v>
      </c>
      <c r="G4206" s="27">
        <v>0</v>
      </c>
      <c r="H4206" s="27">
        <v>0</v>
      </c>
      <c r="I4206" s="27">
        <v>0</v>
      </c>
      <c r="J4206" s="27">
        <v>0</v>
      </c>
      <c r="K4206" s="63">
        <f>AVERAGE(I4206:J4206)</f>
        <v>0</v>
      </c>
      <c r="L4206" s="56" t="str">
        <f>"EQP-LAWPACK2"</f>
        <v>EQP-LAWPACK2</v>
      </c>
      <c r="M4206" s="14"/>
      <c r="N4206" s="15"/>
      <c r="O4206" s="12"/>
      <c r="P4206" s="34"/>
      <c r="Q4206" s="37"/>
      <c r="R4206" s="47"/>
      <c r="S4206" s="46"/>
    </row>
    <row r="4207" spans="1:19" ht="15.6" hidden="1" customHeight="1" thickBot="1" x14ac:dyDescent="0.3">
      <c r="A4207" t="s">
        <v>23</v>
      </c>
      <c r="B4207" s="60" t="str">
        <f t="shared" si="3013"/>
        <v>hide</v>
      </c>
      <c r="D4207" s="48" t="str">
        <f>D4206</f>
        <v>57534</v>
      </c>
      <c r="E4207" s="7"/>
      <c r="F4207" s="27">
        <v>0</v>
      </c>
      <c r="G4207" s="27">
        <v>0</v>
      </c>
      <c r="H4207" s="27">
        <v>0</v>
      </c>
      <c r="I4207" s="27">
        <v>0</v>
      </c>
      <c r="J4207" s="27">
        <v>0</v>
      </c>
      <c r="K4207" s="63">
        <f>AVERAGE(I4207:J4207)</f>
        <v>0</v>
      </c>
      <c r="L4207" s="56" t="str">
        <f>"SW-COMAS-PACKL"</f>
        <v>SW-COMAS-PACKL</v>
      </c>
      <c r="M4207" s="14"/>
      <c r="N4207" s="15"/>
      <c r="O4207" s="12"/>
      <c r="P4207" s="34"/>
      <c r="Q4207" s="37"/>
      <c r="R4207" s="47"/>
      <c r="S4207" s="46"/>
    </row>
    <row r="4208" spans="1:19" ht="15.6" hidden="1" customHeight="1" thickBot="1" x14ac:dyDescent="0.3">
      <c r="A4208" t="s">
        <v>23</v>
      </c>
      <c r="B4208" s="60" t="str">
        <f t="shared" si="3013"/>
        <v>hide</v>
      </c>
      <c r="D4208" s="48" t="str">
        <f>D4207</f>
        <v>57534</v>
      </c>
      <c r="E4208" s="7"/>
      <c r="F4208" s="27">
        <v>0</v>
      </c>
      <c r="G4208" s="27">
        <v>0</v>
      </c>
      <c r="H4208" s="27">
        <v>0</v>
      </c>
      <c r="I4208" s="27">
        <v>0</v>
      </c>
      <c r="J4208" s="27">
        <v>0</v>
      </c>
      <c r="K4208" s="63">
        <f>AVERAGE(I4208:J4208)</f>
        <v>0</v>
      </c>
      <c r="L4208" s="56" t="str">
        <f>"SW-RISER-PACK"</f>
        <v>SW-RISER-PACK</v>
      </c>
      <c r="M4208" s="14"/>
      <c r="N4208" s="15"/>
      <c r="O4208" s="12"/>
      <c r="P4208" s="34"/>
      <c r="Q4208" s="37"/>
      <c r="R4208" s="47"/>
      <c r="S4208" s="46"/>
    </row>
    <row r="4209" spans="1:19" ht="12" hidden="1" customHeight="1" x14ac:dyDescent="0.3">
      <c r="A4209" s="35" t="s">
        <v>908</v>
      </c>
      <c r="B4209" s="49" t="str">
        <f>B4205</f>
        <v>hide</v>
      </c>
      <c r="N4209"/>
      <c r="Q4209" s="33"/>
    </row>
    <row r="4210" spans="1:19" ht="13.8" hidden="1" thickBot="1" x14ac:dyDescent="0.3">
      <c r="A4210" t="s">
        <v>23</v>
      </c>
      <c r="B4210" s="49" t="str">
        <f t="shared" ref="B4210" si="3014">B4209</f>
        <v>hide</v>
      </c>
      <c r="D4210" s="58"/>
      <c r="E4210" s="58"/>
      <c r="F4210" s="52">
        <f>SUM(F4205:F4209)</f>
        <v>0</v>
      </c>
      <c r="G4210" s="52">
        <f>SUM(G4205:G4209)</f>
        <v>0</v>
      </c>
      <c r="H4210" s="52">
        <f>SUM(H4205:H4209)</f>
        <v>0</v>
      </c>
      <c r="I4210" s="52">
        <f>SUM(I4205:I4209)</f>
        <v>0</v>
      </c>
      <c r="J4210" s="52">
        <f>SUM(J4205:J4209)</f>
        <v>0</v>
      </c>
      <c r="K4210" s="52"/>
      <c r="L4210" s="51" t="s">
        <v>4</v>
      </c>
      <c r="M4210" s="58"/>
      <c r="N4210" s="58"/>
      <c r="O4210" s="58"/>
      <c r="P4210" s="58"/>
      <c r="Q4210" s="58"/>
      <c r="R4210" s="58"/>
      <c r="S4210" s="58"/>
    </row>
    <row r="4211" spans="1:19" s="59" customFormat="1" ht="18.75" hidden="1" customHeight="1" thickBot="1" x14ac:dyDescent="0.3">
      <c r="A4211" s="59" t="s">
        <v>23</v>
      </c>
      <c r="B4211" s="60" t="str">
        <f t="shared" ref="B4211:B4212" si="3015">IF(K4211=0,"hide","")</f>
        <v>hide</v>
      </c>
      <c r="D4211" s="61" t="str">
        <f>"57554"</f>
        <v>57554</v>
      </c>
      <c r="E4211" s="62" t="str">
        <f>"8"</f>
        <v>8</v>
      </c>
      <c r="F4211" s="63">
        <v>0</v>
      </c>
      <c r="G4211" s="63">
        <v>0</v>
      </c>
      <c r="H4211" s="63">
        <v>0</v>
      </c>
      <c r="I4211" s="63">
        <v>0</v>
      </c>
      <c r="J4211" s="63">
        <v>0</v>
      </c>
      <c r="K4211" s="63">
        <f>AVERAGE(I4211:J4211)</f>
        <v>0</v>
      </c>
      <c r="L4211" s="64" t="str">
        <f>"Apple Cinn. Crumb Energy Loaf"</f>
        <v>Apple Cinn. Crumb Energy Loaf</v>
      </c>
      <c r="M4211" s="65" t="str">
        <f>"24-1.9 oz."</f>
        <v>24-1.9 oz.</v>
      </c>
      <c r="N4211" s="66">
        <v>24</v>
      </c>
      <c r="O4211" s="67" t="str">
        <f>""</f>
        <v/>
      </c>
      <c r="P4211" s="68" t="e">
        <f>1/O4211</f>
        <v>#VALUE!</v>
      </c>
      <c r="Q4211" s="53">
        <v>1</v>
      </c>
      <c r="R4211" s="69">
        <f t="shared" ref="R4211" si="3016">1/Q4211</f>
        <v>1</v>
      </c>
      <c r="S4211" s="70">
        <f t="shared" ref="S4211" si="3017">R4211*N4211</f>
        <v>24</v>
      </c>
    </row>
    <row r="4212" spans="1:19" ht="15.6" hidden="1" customHeight="1" thickBot="1" x14ac:dyDescent="0.3">
      <c r="A4212" t="s">
        <v>23</v>
      </c>
      <c r="B4212" s="60" t="str">
        <f t="shared" si="3015"/>
        <v>hide</v>
      </c>
      <c r="D4212" s="48" t="str">
        <f>D4211</f>
        <v>57554</v>
      </c>
      <c r="E4212" s="7"/>
      <c r="F4212" s="27">
        <v>0</v>
      </c>
      <c r="G4212" s="27">
        <v>0</v>
      </c>
      <c r="H4212" s="27">
        <v>0</v>
      </c>
      <c r="I4212" s="27">
        <v>0</v>
      </c>
      <c r="J4212" s="27">
        <v>0</v>
      </c>
      <c r="K4212" s="63">
        <f>AVERAGE(I4212:J4212)</f>
        <v>0</v>
      </c>
      <c r="L4212" s="56" t="str">
        <f>"EQP-LAWPACK1"</f>
        <v>EQP-LAWPACK1</v>
      </c>
      <c r="M4212" s="14"/>
      <c r="N4212" s="15"/>
      <c r="O4212" s="12"/>
      <c r="P4212" s="34"/>
      <c r="Q4212" s="37"/>
      <c r="R4212" s="47"/>
      <c r="S4212" s="46"/>
    </row>
    <row r="4213" spans="1:19" ht="15.6" hidden="1" customHeight="1" thickBot="1" x14ac:dyDescent="0.3">
      <c r="A4213" t="s">
        <v>23</v>
      </c>
      <c r="B4213" s="60" t="str">
        <f t="shared" ref="B4213:B4215" si="3018">IF(K4213=0,"hide","")</f>
        <v>hide</v>
      </c>
      <c r="D4213" s="48" t="str">
        <f>D4212</f>
        <v>57554</v>
      </c>
      <c r="E4213" s="7"/>
      <c r="F4213" s="27">
        <v>0</v>
      </c>
      <c r="G4213" s="27">
        <v>0</v>
      </c>
      <c r="H4213" s="27">
        <v>0</v>
      </c>
      <c r="I4213" s="27">
        <v>0</v>
      </c>
      <c r="J4213" s="27">
        <v>0</v>
      </c>
      <c r="K4213" s="63">
        <f>AVERAGE(I4213:J4213)</f>
        <v>0</v>
      </c>
      <c r="L4213" s="56" t="str">
        <f>"EQP-LAWPACK2"</f>
        <v>EQP-LAWPACK2</v>
      </c>
      <c r="M4213" s="14"/>
      <c r="N4213" s="15"/>
      <c r="O4213" s="12"/>
      <c r="P4213" s="34"/>
      <c r="Q4213" s="37"/>
      <c r="R4213" s="47"/>
      <c r="S4213" s="46"/>
    </row>
    <row r="4214" spans="1:19" ht="15.6" hidden="1" customHeight="1" thickBot="1" x14ac:dyDescent="0.3">
      <c r="A4214" t="s">
        <v>23</v>
      </c>
      <c r="B4214" s="60" t="str">
        <f t="shared" si="3018"/>
        <v>hide</v>
      </c>
      <c r="D4214" s="48" t="str">
        <f>D4213</f>
        <v>57554</v>
      </c>
      <c r="E4214" s="7"/>
      <c r="F4214" s="27">
        <v>0</v>
      </c>
      <c r="G4214" s="27">
        <v>0</v>
      </c>
      <c r="H4214" s="27">
        <v>0</v>
      </c>
      <c r="I4214" s="27">
        <v>0</v>
      </c>
      <c r="J4214" s="27">
        <v>0</v>
      </c>
      <c r="K4214" s="63">
        <f>AVERAGE(I4214:J4214)</f>
        <v>0</v>
      </c>
      <c r="L4214" s="56" t="str">
        <f>"SW-COMAS-PACKL"</f>
        <v>SW-COMAS-PACKL</v>
      </c>
      <c r="M4214" s="14"/>
      <c r="N4214" s="15"/>
      <c r="O4214" s="12"/>
      <c r="P4214" s="34"/>
      <c r="Q4214" s="37"/>
      <c r="R4214" s="47"/>
      <c r="S4214" s="46"/>
    </row>
    <row r="4215" spans="1:19" ht="15.6" hidden="1" customHeight="1" thickBot="1" x14ac:dyDescent="0.3">
      <c r="A4215" t="s">
        <v>23</v>
      </c>
      <c r="B4215" s="60" t="str">
        <f t="shared" si="3018"/>
        <v>hide</v>
      </c>
      <c r="D4215" s="48" t="str">
        <f>D4214</f>
        <v>57554</v>
      </c>
      <c r="E4215" s="7"/>
      <c r="F4215" s="27">
        <v>0</v>
      </c>
      <c r="G4215" s="27">
        <v>0</v>
      </c>
      <c r="H4215" s="27">
        <v>0</v>
      </c>
      <c r="I4215" s="27">
        <v>0</v>
      </c>
      <c r="J4215" s="27">
        <v>0</v>
      </c>
      <c r="K4215" s="63">
        <f>AVERAGE(I4215:J4215)</f>
        <v>0</v>
      </c>
      <c r="L4215" s="56" t="str">
        <f>"SW-RISER-PACK"</f>
        <v>SW-RISER-PACK</v>
      </c>
      <c r="M4215" s="14"/>
      <c r="N4215" s="15"/>
      <c r="O4215" s="12"/>
      <c r="P4215" s="34"/>
      <c r="Q4215" s="37"/>
      <c r="R4215" s="47"/>
      <c r="S4215" s="46"/>
    </row>
    <row r="4216" spans="1:19" ht="12" hidden="1" customHeight="1" x14ac:dyDescent="0.3">
      <c r="A4216" s="35" t="s">
        <v>908</v>
      </c>
      <c r="B4216" s="49" t="str">
        <f>B4212</f>
        <v>hide</v>
      </c>
      <c r="N4216"/>
      <c r="Q4216" s="33"/>
    </row>
    <row r="4217" spans="1:19" ht="13.8" hidden="1" thickBot="1" x14ac:dyDescent="0.3">
      <c r="A4217" t="s">
        <v>23</v>
      </c>
      <c r="B4217" s="49" t="str">
        <f t="shared" ref="B4217" si="3019">B4216</f>
        <v>hide</v>
      </c>
      <c r="D4217" s="58"/>
      <c r="E4217" s="58"/>
      <c r="F4217" s="52">
        <f>SUM(F4212:F4216)</f>
        <v>0</v>
      </c>
      <c r="G4217" s="52">
        <f>SUM(G4212:G4216)</f>
        <v>0</v>
      </c>
      <c r="H4217" s="52">
        <f>SUM(H4212:H4216)</f>
        <v>0</v>
      </c>
      <c r="I4217" s="52">
        <f>SUM(I4212:I4216)</f>
        <v>0</v>
      </c>
      <c r="J4217" s="52">
        <f>SUM(J4212:J4216)</f>
        <v>0</v>
      </c>
      <c r="K4217" s="52"/>
      <c r="L4217" s="51" t="s">
        <v>4</v>
      </c>
      <c r="M4217" s="58"/>
      <c r="N4217" s="58"/>
      <c r="O4217" s="58"/>
      <c r="P4217" s="58"/>
      <c r="Q4217" s="58"/>
      <c r="R4217" s="58"/>
      <c r="S4217" s="58"/>
    </row>
    <row r="4218" spans="1:19" s="59" customFormat="1" ht="18.75" hidden="1" customHeight="1" thickBot="1" x14ac:dyDescent="0.3">
      <c r="A4218" s="59" t="s">
        <v>23</v>
      </c>
      <c r="B4218" s="60" t="str">
        <f t="shared" ref="B4218:B4219" si="3020">IF(K4218=0,"hide","")</f>
        <v>hide</v>
      </c>
      <c r="D4218" s="61" t="str">
        <f>"57564"</f>
        <v>57564</v>
      </c>
      <c r="E4218" s="62" t="str">
        <f>"2"</f>
        <v>2</v>
      </c>
      <c r="F4218" s="63">
        <v>0</v>
      </c>
      <c r="G4218" s="63">
        <v>0</v>
      </c>
      <c r="H4218" s="63">
        <v>0</v>
      </c>
      <c r="I4218" s="63">
        <v>0</v>
      </c>
      <c r="J4218" s="63">
        <v>0</v>
      </c>
      <c r="K4218" s="63">
        <f>AVERAGE(I4218:J4218)</f>
        <v>0</v>
      </c>
      <c r="L4218" s="64" t="str">
        <f>"Banana Nut Energy Loaf"</f>
        <v>Banana Nut Energy Loaf</v>
      </c>
      <c r="M4218" s="65" t="str">
        <f>"24-1.9 oz."</f>
        <v>24-1.9 oz.</v>
      </c>
      <c r="N4218" s="66">
        <v>24</v>
      </c>
      <c r="O4218" s="67" t="str">
        <f>""</f>
        <v/>
      </c>
      <c r="P4218" s="68" t="e">
        <f>1/O4218</f>
        <v>#VALUE!</v>
      </c>
      <c r="Q4218" s="53">
        <v>1</v>
      </c>
      <c r="R4218" s="69">
        <f t="shared" ref="R4218" si="3021">1/Q4218</f>
        <v>1</v>
      </c>
      <c r="S4218" s="70">
        <f t="shared" ref="S4218" si="3022">R4218*N4218</f>
        <v>24</v>
      </c>
    </row>
    <row r="4219" spans="1:19" ht="15.6" hidden="1" customHeight="1" thickBot="1" x14ac:dyDescent="0.3">
      <c r="A4219" t="s">
        <v>23</v>
      </c>
      <c r="B4219" s="60" t="str">
        <f t="shared" si="3020"/>
        <v>hide</v>
      </c>
      <c r="D4219" s="48" t="str">
        <f>D4218</f>
        <v>57564</v>
      </c>
      <c r="E4219" s="7"/>
      <c r="F4219" s="27">
        <v>0</v>
      </c>
      <c r="G4219" s="27">
        <v>0</v>
      </c>
      <c r="H4219" s="27">
        <v>0</v>
      </c>
      <c r="I4219" s="27">
        <v>0</v>
      </c>
      <c r="J4219" s="27">
        <v>0</v>
      </c>
      <c r="K4219" s="63">
        <f>AVERAGE(I4219:J4219)</f>
        <v>0</v>
      </c>
      <c r="L4219" s="56" t="str">
        <f>"EQP-LAWPACK1"</f>
        <v>EQP-LAWPACK1</v>
      </c>
      <c r="M4219" s="14"/>
      <c r="N4219" s="15"/>
      <c r="O4219" s="12"/>
      <c r="P4219" s="34"/>
      <c r="Q4219" s="37"/>
      <c r="R4219" s="47"/>
      <c r="S4219" s="46"/>
    </row>
    <row r="4220" spans="1:19" ht="15.6" hidden="1" customHeight="1" thickBot="1" x14ac:dyDescent="0.3">
      <c r="A4220" t="s">
        <v>23</v>
      </c>
      <c r="B4220" s="60" t="str">
        <f t="shared" ref="B4220:B4222" si="3023">IF(K4220=0,"hide","")</f>
        <v>hide</v>
      </c>
      <c r="D4220" s="48" t="str">
        <f>D4219</f>
        <v>57564</v>
      </c>
      <c r="E4220" s="7"/>
      <c r="F4220" s="27">
        <v>0</v>
      </c>
      <c r="G4220" s="27">
        <v>0</v>
      </c>
      <c r="H4220" s="27">
        <v>0</v>
      </c>
      <c r="I4220" s="27">
        <v>0</v>
      </c>
      <c r="J4220" s="27">
        <v>0</v>
      </c>
      <c r="K4220" s="63">
        <f>AVERAGE(I4220:J4220)</f>
        <v>0</v>
      </c>
      <c r="L4220" s="56" t="str">
        <f>"EQP-LAWPACK2"</f>
        <v>EQP-LAWPACK2</v>
      </c>
      <c r="M4220" s="14"/>
      <c r="N4220" s="15"/>
      <c r="O4220" s="12"/>
      <c r="P4220" s="34"/>
      <c r="Q4220" s="37"/>
      <c r="R4220" s="47"/>
      <c r="S4220" s="46"/>
    </row>
    <row r="4221" spans="1:19" ht="15.6" hidden="1" customHeight="1" thickBot="1" x14ac:dyDescent="0.3">
      <c r="A4221" t="s">
        <v>23</v>
      </c>
      <c r="B4221" s="60" t="str">
        <f t="shared" si="3023"/>
        <v>hide</v>
      </c>
      <c r="D4221" s="48" t="str">
        <f>D4220</f>
        <v>57564</v>
      </c>
      <c r="E4221" s="7"/>
      <c r="F4221" s="27">
        <v>0</v>
      </c>
      <c r="G4221" s="27">
        <v>0</v>
      </c>
      <c r="H4221" s="27">
        <v>0</v>
      </c>
      <c r="I4221" s="27">
        <v>0</v>
      </c>
      <c r="J4221" s="27">
        <v>0</v>
      </c>
      <c r="K4221" s="63">
        <f>AVERAGE(I4221:J4221)</f>
        <v>0</v>
      </c>
      <c r="L4221" s="56" t="str">
        <f>"SW-COMAS-PACKL"</f>
        <v>SW-COMAS-PACKL</v>
      </c>
      <c r="M4221" s="14"/>
      <c r="N4221" s="15"/>
      <c r="O4221" s="12"/>
      <c r="P4221" s="34"/>
      <c r="Q4221" s="37"/>
      <c r="R4221" s="47"/>
      <c r="S4221" s="46"/>
    </row>
    <row r="4222" spans="1:19" ht="15.6" hidden="1" customHeight="1" thickBot="1" x14ac:dyDescent="0.3">
      <c r="A4222" t="s">
        <v>23</v>
      </c>
      <c r="B4222" s="60" t="str">
        <f t="shared" si="3023"/>
        <v>hide</v>
      </c>
      <c r="D4222" s="48" t="str">
        <f>D4221</f>
        <v>57564</v>
      </c>
      <c r="E4222" s="7"/>
      <c r="F4222" s="27">
        <v>0</v>
      </c>
      <c r="G4222" s="27">
        <v>0</v>
      </c>
      <c r="H4222" s="27">
        <v>0</v>
      </c>
      <c r="I4222" s="27">
        <v>0</v>
      </c>
      <c r="J4222" s="27">
        <v>0</v>
      </c>
      <c r="K4222" s="63">
        <f>AVERAGE(I4222:J4222)</f>
        <v>0</v>
      </c>
      <c r="L4222" s="56" t="str">
        <f>"SW-RISER-PACK"</f>
        <v>SW-RISER-PACK</v>
      </c>
      <c r="M4222" s="14"/>
      <c r="N4222" s="15"/>
      <c r="O4222" s="12"/>
      <c r="P4222" s="34"/>
      <c r="Q4222" s="37"/>
      <c r="R4222" s="47"/>
      <c r="S4222" s="46"/>
    </row>
    <row r="4223" spans="1:19" ht="12" hidden="1" customHeight="1" x14ac:dyDescent="0.3">
      <c r="A4223" s="35" t="s">
        <v>908</v>
      </c>
      <c r="B4223" s="49" t="str">
        <f>B4219</f>
        <v>hide</v>
      </c>
      <c r="N4223"/>
      <c r="Q4223" s="33"/>
    </row>
    <row r="4224" spans="1:19" ht="13.8" hidden="1" thickBot="1" x14ac:dyDescent="0.3">
      <c r="A4224" t="s">
        <v>23</v>
      </c>
      <c r="B4224" s="49" t="str">
        <f t="shared" ref="B4224" si="3024">B4223</f>
        <v>hide</v>
      </c>
      <c r="D4224" s="58"/>
      <c r="E4224" s="58"/>
      <c r="F4224" s="52">
        <f>SUM(F4219:F4223)</f>
        <v>0</v>
      </c>
      <c r="G4224" s="52">
        <f>SUM(G4219:G4223)</f>
        <v>0</v>
      </c>
      <c r="H4224" s="52">
        <f>SUM(H4219:H4223)</f>
        <v>0</v>
      </c>
      <c r="I4224" s="52">
        <f>SUM(I4219:I4223)</f>
        <v>0</v>
      </c>
      <c r="J4224" s="52">
        <f>SUM(J4219:J4223)</f>
        <v>0</v>
      </c>
      <c r="K4224" s="52"/>
      <c r="L4224" s="51" t="s">
        <v>4</v>
      </c>
      <c r="M4224" s="58"/>
      <c r="N4224" s="58"/>
      <c r="O4224" s="58"/>
      <c r="P4224" s="58"/>
      <c r="Q4224" s="58"/>
      <c r="R4224" s="58"/>
      <c r="S4224" s="58"/>
    </row>
    <row r="4225" spans="1:19" s="59" customFormat="1" ht="18.75" hidden="1" customHeight="1" thickBot="1" x14ac:dyDescent="0.3">
      <c r="A4225" s="59" t="s">
        <v>23</v>
      </c>
      <c r="B4225" s="60" t="str">
        <f t="shared" ref="B4225:B4226" si="3025">IF(K4225=0,"hide","")</f>
        <v>hide</v>
      </c>
      <c r="D4225" s="61" t="str">
        <f>"57576"</f>
        <v>57576</v>
      </c>
      <c r="E4225" s="62" t="str">
        <f>"1"</f>
        <v>1</v>
      </c>
      <c r="F4225" s="63">
        <v>0</v>
      </c>
      <c r="G4225" s="63">
        <v>0</v>
      </c>
      <c r="H4225" s="63">
        <v>0</v>
      </c>
      <c r="I4225" s="63">
        <v>0</v>
      </c>
      <c r="J4225" s="63">
        <v>0</v>
      </c>
      <c r="K4225" s="63">
        <f>AVERAGE(I4225:J4225)</f>
        <v>0</v>
      </c>
      <c r="L4225" s="64" t="str">
        <f>""</f>
        <v/>
      </c>
      <c r="M4225" s="65" t="str">
        <f>""</f>
        <v/>
      </c>
      <c r="N4225" s="66" t="str">
        <f>""</f>
        <v/>
      </c>
      <c r="O4225" s="67" t="str">
        <f>""</f>
        <v/>
      </c>
      <c r="P4225" s="68" t="e">
        <f>1/O4225</f>
        <v>#VALUE!</v>
      </c>
      <c r="Q4225" s="53">
        <v>1</v>
      </c>
      <c r="R4225" s="69">
        <f t="shared" ref="R4225" si="3026">1/Q4225</f>
        <v>1</v>
      </c>
      <c r="S4225" s="70" t="e">
        <f t="shared" ref="S4225" si="3027">R4225*N4225</f>
        <v>#VALUE!</v>
      </c>
    </row>
    <row r="4226" spans="1:19" ht="15.6" hidden="1" customHeight="1" thickBot="1" x14ac:dyDescent="0.3">
      <c r="A4226" t="s">
        <v>23</v>
      </c>
      <c r="B4226" s="60" t="str">
        <f t="shared" si="3025"/>
        <v>hide</v>
      </c>
      <c r="D4226" s="48" t="str">
        <f>D4225</f>
        <v>57576</v>
      </c>
      <c r="E4226" s="7"/>
      <c r="F4226" s="27">
        <v>0</v>
      </c>
      <c r="G4226" s="27">
        <v>0</v>
      </c>
      <c r="H4226" s="27">
        <v>0</v>
      </c>
      <c r="I4226" s="27">
        <v>0</v>
      </c>
      <c r="J4226" s="27">
        <v>0</v>
      </c>
      <c r="K4226" s="63">
        <f>AVERAGE(I4226:J4226)</f>
        <v>0</v>
      </c>
      <c r="L4226" s="56" t="str">
        <f>"EQP-LAWPACK1"</f>
        <v>EQP-LAWPACK1</v>
      </c>
      <c r="M4226" s="14"/>
      <c r="N4226" s="15"/>
      <c r="O4226" s="12"/>
      <c r="P4226" s="34"/>
      <c r="Q4226" s="37"/>
      <c r="R4226" s="47"/>
      <c r="S4226" s="46"/>
    </row>
    <row r="4227" spans="1:19" ht="15.6" hidden="1" customHeight="1" thickBot="1" x14ac:dyDescent="0.3">
      <c r="A4227" t="s">
        <v>23</v>
      </c>
      <c r="B4227" s="60" t="str">
        <f t="shared" ref="B4227:B4229" si="3028">IF(K4227=0,"hide","")</f>
        <v>hide</v>
      </c>
      <c r="D4227" s="48" t="str">
        <f>D4226</f>
        <v>57576</v>
      </c>
      <c r="E4227" s="7"/>
      <c r="F4227" s="27">
        <v>0</v>
      </c>
      <c r="G4227" s="27">
        <v>0</v>
      </c>
      <c r="H4227" s="27">
        <v>0</v>
      </c>
      <c r="I4227" s="27">
        <v>0</v>
      </c>
      <c r="J4227" s="27">
        <v>0</v>
      </c>
      <c r="K4227" s="63">
        <f>AVERAGE(I4227:J4227)</f>
        <v>0</v>
      </c>
      <c r="L4227" s="56" t="str">
        <f>"EQP-LAWPACK2"</f>
        <v>EQP-LAWPACK2</v>
      </c>
      <c r="M4227" s="14"/>
      <c r="N4227" s="15"/>
      <c r="O4227" s="12"/>
      <c r="P4227" s="34"/>
      <c r="Q4227" s="37"/>
      <c r="R4227" s="47"/>
      <c r="S4227" s="46"/>
    </row>
    <row r="4228" spans="1:19" ht="15.6" hidden="1" customHeight="1" thickBot="1" x14ac:dyDescent="0.3">
      <c r="A4228" t="s">
        <v>23</v>
      </c>
      <c r="B4228" s="60" t="str">
        <f t="shared" si="3028"/>
        <v>hide</v>
      </c>
      <c r="D4228" s="48" t="str">
        <f>D4227</f>
        <v>57576</v>
      </c>
      <c r="E4228" s="7"/>
      <c r="F4228" s="27">
        <v>0</v>
      </c>
      <c r="G4228" s="27">
        <v>0</v>
      </c>
      <c r="H4228" s="27">
        <v>0</v>
      </c>
      <c r="I4228" s="27">
        <v>0</v>
      </c>
      <c r="J4228" s="27">
        <v>0</v>
      </c>
      <c r="K4228" s="63">
        <f>AVERAGE(I4228:J4228)</f>
        <v>0</v>
      </c>
      <c r="L4228" s="56" t="str">
        <f>"SW-COMAS-PACKL"</f>
        <v>SW-COMAS-PACKL</v>
      </c>
      <c r="M4228" s="14"/>
      <c r="N4228" s="15"/>
      <c r="O4228" s="12"/>
      <c r="P4228" s="34"/>
      <c r="Q4228" s="37"/>
      <c r="R4228" s="47"/>
      <c r="S4228" s="46"/>
    </row>
    <row r="4229" spans="1:19" ht="15.6" hidden="1" customHeight="1" thickBot="1" x14ac:dyDescent="0.3">
      <c r="A4229" t="s">
        <v>23</v>
      </c>
      <c r="B4229" s="60" t="str">
        <f t="shared" si="3028"/>
        <v>hide</v>
      </c>
      <c r="D4229" s="48" t="str">
        <f>D4228</f>
        <v>57576</v>
      </c>
      <c r="E4229" s="7"/>
      <c r="F4229" s="27">
        <v>0</v>
      </c>
      <c r="G4229" s="27">
        <v>0</v>
      </c>
      <c r="H4229" s="27">
        <v>0</v>
      </c>
      <c r="I4229" s="27">
        <v>0</v>
      </c>
      <c r="J4229" s="27">
        <v>0</v>
      </c>
      <c r="K4229" s="63">
        <f>AVERAGE(I4229:J4229)</f>
        <v>0</v>
      </c>
      <c r="L4229" s="56" t="str">
        <f>"SW-RISER-PACK"</f>
        <v>SW-RISER-PACK</v>
      </c>
      <c r="M4229" s="14"/>
      <c r="N4229" s="15"/>
      <c r="O4229" s="12"/>
      <c r="P4229" s="34"/>
      <c r="Q4229" s="37"/>
      <c r="R4229" s="47"/>
      <c r="S4229" s="46"/>
    </row>
    <row r="4230" spans="1:19" ht="12" hidden="1" customHeight="1" x14ac:dyDescent="0.3">
      <c r="A4230" s="35" t="s">
        <v>908</v>
      </c>
      <c r="B4230" s="49" t="str">
        <f>B4226</f>
        <v>hide</v>
      </c>
      <c r="N4230"/>
      <c r="Q4230" s="33"/>
    </row>
    <row r="4231" spans="1:19" ht="13.8" hidden="1" thickBot="1" x14ac:dyDescent="0.3">
      <c r="A4231" t="s">
        <v>23</v>
      </c>
      <c r="B4231" s="49" t="str">
        <f t="shared" ref="B4231" si="3029">B4230</f>
        <v>hide</v>
      </c>
      <c r="D4231" s="58"/>
      <c r="E4231" s="58"/>
      <c r="F4231" s="52">
        <f>SUM(F4226:F4230)</f>
        <v>0</v>
      </c>
      <c r="G4231" s="52">
        <f>SUM(G4226:G4230)</f>
        <v>0</v>
      </c>
      <c r="H4231" s="52">
        <f>SUM(H4226:H4230)</f>
        <v>0</v>
      </c>
      <c r="I4231" s="52">
        <f>SUM(I4226:I4230)</f>
        <v>0</v>
      </c>
      <c r="J4231" s="52">
        <f>SUM(J4226:J4230)</f>
        <v>0</v>
      </c>
      <c r="K4231" s="52"/>
      <c r="L4231" s="51" t="s">
        <v>4</v>
      </c>
      <c r="M4231" s="58"/>
      <c r="N4231" s="58"/>
      <c r="O4231" s="58"/>
      <c r="P4231" s="58"/>
      <c r="Q4231" s="58"/>
      <c r="R4231" s="58"/>
      <c r="S4231" s="58"/>
    </row>
    <row r="4232" spans="1:19" s="59" customFormat="1" ht="18.75" hidden="1" customHeight="1" thickBot="1" x14ac:dyDescent="0.3">
      <c r="A4232" s="59" t="s">
        <v>23</v>
      </c>
      <c r="B4232" s="60" t="str">
        <f t="shared" ref="B4232:B4233" si="3030">IF(K4232=0,"hide","")</f>
        <v>hide</v>
      </c>
      <c r="D4232" s="61" t="str">
        <f>"57619"</f>
        <v>57619</v>
      </c>
      <c r="E4232" s="62" t="str">
        <f>"9"</f>
        <v>9</v>
      </c>
      <c r="F4232" s="63">
        <v>2.9166666666666665</v>
      </c>
      <c r="G4232" s="63">
        <v>10.833333333333334</v>
      </c>
      <c r="H4232" s="63">
        <v>1</v>
      </c>
      <c r="I4232" s="63">
        <v>0</v>
      </c>
      <c r="J4232" s="63">
        <v>0</v>
      </c>
      <c r="K4232" s="63">
        <f>AVERAGE(I4232:J4232)</f>
        <v>0</v>
      </c>
      <c r="L4232" s="64" t="str">
        <f>"Smart Choice Orange Crumb TOPS"</f>
        <v>Smart Choice Orange Crumb TOPS</v>
      </c>
      <c r="M4232" s="65" t="str">
        <f>"60-2 oz. I.W."</f>
        <v>60-2 oz. I.W.</v>
      </c>
      <c r="N4232" s="66">
        <v>60</v>
      </c>
      <c r="O4232" s="67" t="str">
        <f>""</f>
        <v/>
      </c>
      <c r="P4232" s="68" t="e">
        <f>1/O4232</f>
        <v>#VALUE!</v>
      </c>
      <c r="Q4232" s="53">
        <v>1</v>
      </c>
      <c r="R4232" s="69">
        <f t="shared" ref="R4232" si="3031">1/Q4232</f>
        <v>1</v>
      </c>
      <c r="S4232" s="70">
        <f t="shared" ref="S4232" si="3032">R4232*N4232</f>
        <v>60</v>
      </c>
    </row>
    <row r="4233" spans="1:19" ht="15.6" hidden="1" customHeight="1" thickBot="1" x14ac:dyDescent="0.3">
      <c r="A4233" t="s">
        <v>23</v>
      </c>
      <c r="B4233" s="60" t="str">
        <f t="shared" si="3030"/>
        <v>hide</v>
      </c>
      <c r="D4233" s="48" t="str">
        <f>D4232</f>
        <v>57619</v>
      </c>
      <c r="E4233" s="7"/>
      <c r="F4233" s="27">
        <v>0</v>
      </c>
      <c r="G4233" s="27">
        <v>0</v>
      </c>
      <c r="H4233" s="27">
        <v>0</v>
      </c>
      <c r="I4233" s="27">
        <v>0</v>
      </c>
      <c r="J4233" s="27">
        <v>0</v>
      </c>
      <c r="K4233" s="63">
        <f>AVERAGE(I4233:J4233)</f>
        <v>0</v>
      </c>
      <c r="L4233" s="56" t="str">
        <f>"EQP-LAWPACK1"</f>
        <v>EQP-LAWPACK1</v>
      </c>
      <c r="M4233" s="14"/>
      <c r="N4233" s="15"/>
      <c r="O4233" s="12"/>
      <c r="P4233" s="34"/>
      <c r="Q4233" s="37"/>
      <c r="R4233" s="47"/>
      <c r="S4233" s="46"/>
    </row>
    <row r="4234" spans="1:19" ht="15.6" hidden="1" customHeight="1" thickBot="1" x14ac:dyDescent="0.3">
      <c r="A4234" t="s">
        <v>23</v>
      </c>
      <c r="B4234" s="60" t="str">
        <f t="shared" ref="B4234:B4236" si="3033">IF(K4234=0,"hide","")</f>
        <v>hide</v>
      </c>
      <c r="D4234" s="48" t="str">
        <f>D4233</f>
        <v>57619</v>
      </c>
      <c r="E4234" s="7"/>
      <c r="F4234" s="27">
        <v>0</v>
      </c>
      <c r="G4234" s="27">
        <v>0</v>
      </c>
      <c r="H4234" s="27">
        <v>0</v>
      </c>
      <c r="I4234" s="27">
        <v>0</v>
      </c>
      <c r="J4234" s="27">
        <v>0</v>
      </c>
      <c r="K4234" s="63">
        <f>AVERAGE(I4234:J4234)</f>
        <v>0</v>
      </c>
      <c r="L4234" s="56" t="str">
        <f>"EQP-LAWPACK2"</f>
        <v>EQP-LAWPACK2</v>
      </c>
      <c r="M4234" s="14"/>
      <c r="N4234" s="15"/>
      <c r="O4234" s="12"/>
      <c r="P4234" s="34"/>
      <c r="Q4234" s="37"/>
      <c r="R4234" s="47"/>
      <c r="S4234" s="46"/>
    </row>
    <row r="4235" spans="1:19" ht="15.6" hidden="1" customHeight="1" thickBot="1" x14ac:dyDescent="0.3">
      <c r="A4235" t="s">
        <v>23</v>
      </c>
      <c r="B4235" s="60" t="str">
        <f t="shared" si="3033"/>
        <v>hide</v>
      </c>
      <c r="D4235" s="48" t="str">
        <f>D4234</f>
        <v>57619</v>
      </c>
      <c r="E4235" s="7"/>
      <c r="F4235" s="27">
        <v>0</v>
      </c>
      <c r="G4235" s="27">
        <v>0</v>
      </c>
      <c r="H4235" s="27">
        <v>0</v>
      </c>
      <c r="I4235" s="27">
        <v>0</v>
      </c>
      <c r="J4235" s="27">
        <v>0</v>
      </c>
      <c r="K4235" s="63">
        <f>AVERAGE(I4235:J4235)</f>
        <v>0</v>
      </c>
      <c r="L4235" s="56" t="str">
        <f>"SW-COMAS-PACKL"</f>
        <v>SW-COMAS-PACKL</v>
      </c>
      <c r="M4235" s="14"/>
      <c r="N4235" s="15"/>
      <c r="O4235" s="12"/>
      <c r="P4235" s="34"/>
      <c r="Q4235" s="37"/>
      <c r="R4235" s="47"/>
      <c r="S4235" s="46"/>
    </row>
    <row r="4236" spans="1:19" ht="15.6" hidden="1" customHeight="1" thickBot="1" x14ac:dyDescent="0.3">
      <c r="A4236" t="s">
        <v>23</v>
      </c>
      <c r="B4236" s="60" t="str">
        <f t="shared" si="3033"/>
        <v>hide</v>
      </c>
      <c r="D4236" s="48" t="str">
        <f>D4235</f>
        <v>57619</v>
      </c>
      <c r="E4236" s="7"/>
      <c r="F4236" s="27">
        <v>0</v>
      </c>
      <c r="G4236" s="27">
        <v>0</v>
      </c>
      <c r="H4236" s="27">
        <v>0</v>
      </c>
      <c r="I4236" s="27">
        <v>0</v>
      </c>
      <c r="J4236" s="27">
        <v>0</v>
      </c>
      <c r="K4236" s="63">
        <f>AVERAGE(I4236:J4236)</f>
        <v>0</v>
      </c>
      <c r="L4236" s="56" t="str">
        <f>"SW-RISER-PACK"</f>
        <v>SW-RISER-PACK</v>
      </c>
      <c r="M4236" s="14"/>
      <c r="N4236" s="15"/>
      <c r="O4236" s="12"/>
      <c r="P4236" s="34"/>
      <c r="Q4236" s="37"/>
      <c r="R4236" s="47"/>
      <c r="S4236" s="46"/>
    </row>
    <row r="4237" spans="1:19" ht="12" hidden="1" customHeight="1" x14ac:dyDescent="0.3">
      <c r="A4237" s="35" t="s">
        <v>908</v>
      </c>
      <c r="B4237" s="49" t="str">
        <f>B4233</f>
        <v>hide</v>
      </c>
      <c r="N4237"/>
      <c r="Q4237" s="33"/>
    </row>
    <row r="4238" spans="1:19" ht="13.8" hidden="1" thickBot="1" x14ac:dyDescent="0.3">
      <c r="A4238" t="s">
        <v>23</v>
      </c>
      <c r="B4238" s="49" t="str">
        <f t="shared" ref="B4238" si="3034">B4237</f>
        <v>hide</v>
      </c>
      <c r="D4238" s="58"/>
      <c r="E4238" s="58"/>
      <c r="F4238" s="52">
        <f>SUM(F4233:F4237)</f>
        <v>0</v>
      </c>
      <c r="G4238" s="52">
        <f>SUM(G4233:G4237)</f>
        <v>0</v>
      </c>
      <c r="H4238" s="52">
        <f>SUM(H4233:H4237)</f>
        <v>0</v>
      </c>
      <c r="I4238" s="52">
        <f>SUM(I4233:I4237)</f>
        <v>0</v>
      </c>
      <c r="J4238" s="52">
        <f>SUM(J4233:J4237)</f>
        <v>0</v>
      </c>
      <c r="K4238" s="52"/>
      <c r="L4238" s="51" t="s">
        <v>4</v>
      </c>
      <c r="M4238" s="58"/>
      <c r="N4238" s="58"/>
      <c r="O4238" s="58"/>
      <c r="P4238" s="58"/>
      <c r="Q4238" s="58"/>
      <c r="R4238" s="58"/>
      <c r="S4238" s="58"/>
    </row>
    <row r="4239" spans="1:19" s="59" customFormat="1" ht="18.75" customHeight="1" thickBot="1" x14ac:dyDescent="0.3">
      <c r="A4239" s="59" t="s">
        <v>23</v>
      </c>
      <c r="B4239" s="60" t="str">
        <f t="shared" ref="B4239:B4240" si="3035">IF(K4239=0,"hide","")</f>
        <v/>
      </c>
      <c r="D4239" s="61" t="str">
        <f>"57633"</f>
        <v>57633</v>
      </c>
      <c r="E4239" s="62" t="str">
        <f>"6"</f>
        <v>6</v>
      </c>
      <c r="F4239" s="63">
        <v>475.91666666666669</v>
      </c>
      <c r="G4239" s="63">
        <v>340</v>
      </c>
      <c r="H4239" s="63">
        <v>481.5</v>
      </c>
      <c r="I4239" s="63">
        <v>457.66666666666669</v>
      </c>
      <c r="J4239" s="63">
        <v>646.26289156626513</v>
      </c>
      <c r="K4239" s="63">
        <f>AVERAGE(I4239:J4239)</f>
        <v>551.96477911646593</v>
      </c>
      <c r="L4239" s="64" t="str">
        <f>"Smart Choice Choc.Choc Ch TOP"</f>
        <v>Smart Choice Choc.Choc Ch TOP</v>
      </c>
      <c r="M4239" s="65" t="str">
        <f>"60-2 oz. I.W."</f>
        <v>60-2 oz. I.W.</v>
      </c>
      <c r="N4239" s="66">
        <v>60</v>
      </c>
      <c r="O4239" s="67">
        <v>1E-3</v>
      </c>
      <c r="P4239" s="68">
        <f>1/O4239</f>
        <v>1000</v>
      </c>
      <c r="Q4239" s="53">
        <v>2.8800000000000002E-3</v>
      </c>
      <c r="R4239" s="69">
        <f t="shared" ref="R4239" si="3036">1/Q4239</f>
        <v>347.22222222222223</v>
      </c>
      <c r="S4239" s="70">
        <f t="shared" ref="S4239" si="3037">R4239*N4239</f>
        <v>20833.333333333332</v>
      </c>
    </row>
    <row r="4240" spans="1:19" ht="15.6" hidden="1" customHeight="1" thickBot="1" x14ac:dyDescent="0.3">
      <c r="A4240" t="s">
        <v>23</v>
      </c>
      <c r="B4240" s="60" t="str">
        <f t="shared" si="3035"/>
        <v>hide</v>
      </c>
      <c r="D4240" s="48" t="str">
        <f>D4239</f>
        <v>57633</v>
      </c>
      <c r="E4240" s="7"/>
      <c r="F4240" s="27">
        <v>-29.93416666666667</v>
      </c>
      <c r="G4240" s="27">
        <v>0</v>
      </c>
      <c r="H4240" s="27">
        <v>0</v>
      </c>
      <c r="I4240" s="27">
        <v>0</v>
      </c>
      <c r="J4240" s="27">
        <v>0</v>
      </c>
      <c r="K4240" s="63">
        <f>AVERAGE(I4240:J4240)</f>
        <v>0</v>
      </c>
      <c r="L4240" s="56" t="str">
        <f>"EQP-LAWPACK1"</f>
        <v>EQP-LAWPACK1</v>
      </c>
      <c r="M4240" s="14"/>
      <c r="N4240" s="15"/>
      <c r="O4240" s="12"/>
      <c r="P4240" s="34"/>
      <c r="Q4240" s="37"/>
      <c r="R4240" s="47"/>
      <c r="S4240" s="46"/>
    </row>
    <row r="4241" spans="1:19" ht="15.6" hidden="1" customHeight="1" thickBot="1" x14ac:dyDescent="0.3">
      <c r="A4241" t="s">
        <v>23</v>
      </c>
      <c r="B4241" s="60" t="str">
        <f t="shared" ref="B4241:B4243" si="3038">IF(K4241=0,"hide","")</f>
        <v>hide</v>
      </c>
      <c r="D4241" s="48" t="str">
        <f>D4240</f>
        <v>57633</v>
      </c>
      <c r="E4241" s="7"/>
      <c r="F4241" s="27">
        <v>0</v>
      </c>
      <c r="G4241" s="27">
        <v>0</v>
      </c>
      <c r="H4241" s="27">
        <v>0</v>
      </c>
      <c r="I4241" s="27">
        <v>0</v>
      </c>
      <c r="J4241" s="27">
        <v>0</v>
      </c>
      <c r="K4241" s="63">
        <f>AVERAGE(I4241:J4241)</f>
        <v>0</v>
      </c>
      <c r="L4241" s="56" t="str">
        <f>"EQP-LAWPACK2"</f>
        <v>EQP-LAWPACK2</v>
      </c>
      <c r="M4241" s="14"/>
      <c r="N4241" s="15"/>
      <c r="O4241" s="12"/>
      <c r="P4241" s="34"/>
      <c r="Q4241" s="37"/>
      <c r="R4241" s="47"/>
      <c r="S4241" s="46"/>
    </row>
    <row r="4242" spans="1:19" ht="15.6" hidden="1" customHeight="1" thickBot="1" x14ac:dyDescent="0.3">
      <c r="A4242" t="s">
        <v>23</v>
      </c>
      <c r="B4242" s="60" t="str">
        <f t="shared" si="3038"/>
        <v>hide</v>
      </c>
      <c r="D4242" s="48" t="str">
        <f>D4241</f>
        <v>57633</v>
      </c>
      <c r="E4242" s="7"/>
      <c r="F4242" s="27">
        <v>0</v>
      </c>
      <c r="G4242" s="27">
        <v>0</v>
      </c>
      <c r="H4242" s="27">
        <v>0</v>
      </c>
      <c r="I4242" s="27">
        <v>0</v>
      </c>
      <c r="J4242" s="27">
        <v>0</v>
      </c>
      <c r="K4242" s="63">
        <f>AVERAGE(I4242:J4242)</f>
        <v>0</v>
      </c>
      <c r="L4242" s="56" t="str">
        <f>"SW-COMAS-PACKL"</f>
        <v>SW-COMAS-PACKL</v>
      </c>
      <c r="M4242" s="14"/>
      <c r="N4242" s="15"/>
      <c r="O4242" s="12"/>
      <c r="P4242" s="34"/>
      <c r="Q4242" s="37"/>
      <c r="R4242" s="47"/>
      <c r="S4242" s="46"/>
    </row>
    <row r="4243" spans="1:19" ht="15.6" hidden="1" customHeight="1" thickBot="1" x14ac:dyDescent="0.3">
      <c r="A4243" t="s">
        <v>23</v>
      </c>
      <c r="B4243" s="60" t="str">
        <f t="shared" si="3038"/>
        <v>hide</v>
      </c>
      <c r="D4243" s="48" t="str">
        <f>D4242</f>
        <v>57633</v>
      </c>
      <c r="E4243" s="7"/>
      <c r="F4243" s="27">
        <v>0</v>
      </c>
      <c r="G4243" s="27">
        <v>0</v>
      </c>
      <c r="H4243" s="27">
        <v>0</v>
      </c>
      <c r="I4243" s="27">
        <v>0</v>
      </c>
      <c r="J4243" s="27">
        <v>0</v>
      </c>
      <c r="K4243" s="63">
        <f>AVERAGE(I4243:J4243)</f>
        <v>0</v>
      </c>
      <c r="L4243" s="56" t="str">
        <f>"SW-RISER-PACK"</f>
        <v>SW-RISER-PACK</v>
      </c>
      <c r="M4243" s="14"/>
      <c r="N4243" s="15"/>
      <c r="O4243" s="12"/>
      <c r="P4243" s="34"/>
      <c r="Q4243" s="37"/>
      <c r="R4243" s="47"/>
      <c r="S4243" s="46"/>
    </row>
    <row r="4244" spans="1:19" ht="12" hidden="1" customHeight="1" x14ac:dyDescent="0.3">
      <c r="A4244" s="35" t="s">
        <v>908</v>
      </c>
      <c r="B4244" s="49" t="str">
        <f>B4240</f>
        <v>hide</v>
      </c>
      <c r="N4244"/>
      <c r="Q4244" s="33"/>
    </row>
    <row r="4245" spans="1:19" ht="13.8" hidden="1" thickBot="1" x14ac:dyDescent="0.3">
      <c r="A4245" t="s">
        <v>23</v>
      </c>
      <c r="B4245" s="49" t="str">
        <f t="shared" ref="B4245" si="3039">B4244</f>
        <v>hide</v>
      </c>
      <c r="D4245" s="58"/>
      <c r="E4245" s="58"/>
      <c r="F4245" s="52">
        <f>SUM(F4240:F4244)</f>
        <v>-29.93416666666667</v>
      </c>
      <c r="G4245" s="52">
        <f>SUM(G4240:G4244)</f>
        <v>0</v>
      </c>
      <c r="H4245" s="52">
        <f>SUM(H4240:H4244)</f>
        <v>0</v>
      </c>
      <c r="I4245" s="52">
        <f>SUM(I4240:I4244)</f>
        <v>0</v>
      </c>
      <c r="J4245" s="52">
        <f>SUM(J4240:J4244)</f>
        <v>0</v>
      </c>
      <c r="K4245" s="52"/>
      <c r="L4245" s="51" t="s">
        <v>4</v>
      </c>
      <c r="M4245" s="58"/>
      <c r="N4245" s="58"/>
      <c r="O4245" s="58"/>
      <c r="P4245" s="58"/>
      <c r="Q4245" s="58"/>
      <c r="R4245" s="58"/>
      <c r="S4245" s="58"/>
    </row>
    <row r="4246" spans="1:19" s="59" customFormat="1" ht="18.75" customHeight="1" thickBot="1" x14ac:dyDescent="0.3">
      <c r="A4246" s="59" t="s">
        <v>23</v>
      </c>
      <c r="B4246" s="60" t="str">
        <f t="shared" ref="B4246:B4247" si="3040">IF(K4246=0,"hide","")</f>
        <v/>
      </c>
      <c r="D4246" s="61" t="str">
        <f>"57661"</f>
        <v>57661</v>
      </c>
      <c r="E4246" s="62" t="str">
        <f>"6"</f>
        <v>6</v>
      </c>
      <c r="F4246" s="63">
        <v>948.33333333333337</v>
      </c>
      <c r="G4246" s="63">
        <v>787</v>
      </c>
      <c r="H4246" s="63">
        <v>999.91666666666663</v>
      </c>
      <c r="I4246" s="63">
        <v>1215.8333333333335</v>
      </c>
      <c r="J4246" s="63">
        <v>995.68265060240969</v>
      </c>
      <c r="K4246" s="63">
        <f>AVERAGE(I4246:J4246)</f>
        <v>1105.7579919678715</v>
      </c>
      <c r="L4246" s="64" t="str">
        <f>"Smart Choice Blueberry TOPS"</f>
        <v>Smart Choice Blueberry TOPS</v>
      </c>
      <c r="M4246" s="65" t="str">
        <f>"60-2 oz. I.W."</f>
        <v>60-2 oz. I.W.</v>
      </c>
      <c r="N4246" s="66">
        <v>60</v>
      </c>
      <c r="O4246" s="67">
        <v>1E-3</v>
      </c>
      <c r="P4246" s="68">
        <f>1/O4246</f>
        <v>1000</v>
      </c>
      <c r="Q4246" s="53">
        <v>2.8800000000000002E-3</v>
      </c>
      <c r="R4246" s="69">
        <f t="shared" ref="R4246" si="3041">1/Q4246</f>
        <v>347.22222222222223</v>
      </c>
      <c r="S4246" s="70">
        <f t="shared" ref="S4246" si="3042">R4246*N4246</f>
        <v>20833.333333333332</v>
      </c>
    </row>
    <row r="4247" spans="1:19" ht="15.6" hidden="1" customHeight="1" thickBot="1" x14ac:dyDescent="0.3">
      <c r="A4247" t="s">
        <v>23</v>
      </c>
      <c r="B4247" s="60" t="str">
        <f t="shared" si="3040"/>
        <v>hide</v>
      </c>
      <c r="D4247" s="48" t="str">
        <f>D4246</f>
        <v>57661</v>
      </c>
      <c r="E4247" s="7"/>
      <c r="F4247" s="27">
        <v>-225.16583333333335</v>
      </c>
      <c r="G4247" s="27">
        <v>-54.364166666666669</v>
      </c>
      <c r="H4247" s="27">
        <v>0</v>
      </c>
      <c r="I4247" s="27">
        <v>0</v>
      </c>
      <c r="J4247" s="27">
        <v>0</v>
      </c>
      <c r="K4247" s="63">
        <f>AVERAGE(I4247:J4247)</f>
        <v>0</v>
      </c>
      <c r="L4247" s="56" t="str">
        <f>"EQP-LAWPACK1"</f>
        <v>EQP-LAWPACK1</v>
      </c>
      <c r="M4247" s="14"/>
      <c r="N4247" s="15"/>
      <c r="O4247" s="12"/>
      <c r="P4247" s="34"/>
      <c r="Q4247" s="37"/>
      <c r="R4247" s="47"/>
      <c r="S4247" s="46"/>
    </row>
    <row r="4248" spans="1:19" ht="15.6" hidden="1" customHeight="1" thickBot="1" x14ac:dyDescent="0.3">
      <c r="A4248" t="s">
        <v>23</v>
      </c>
      <c r="B4248" s="60" t="str">
        <f t="shared" ref="B4248:B4250" si="3043">IF(K4248=0,"hide","")</f>
        <v>hide</v>
      </c>
      <c r="D4248" s="48" t="str">
        <f>D4247</f>
        <v>57661</v>
      </c>
      <c r="E4248" s="7"/>
      <c r="F4248" s="27">
        <v>0</v>
      </c>
      <c r="G4248" s="27">
        <v>0</v>
      </c>
      <c r="H4248" s="27">
        <v>0</v>
      </c>
      <c r="I4248" s="27">
        <v>0</v>
      </c>
      <c r="J4248" s="27">
        <v>0</v>
      </c>
      <c r="K4248" s="63">
        <f>AVERAGE(I4248:J4248)</f>
        <v>0</v>
      </c>
      <c r="L4248" s="56" t="str">
        <f>"EQP-LAWPACK2"</f>
        <v>EQP-LAWPACK2</v>
      </c>
      <c r="M4248" s="14"/>
      <c r="N4248" s="15"/>
      <c r="O4248" s="12"/>
      <c r="P4248" s="34"/>
      <c r="Q4248" s="37"/>
      <c r="R4248" s="47"/>
      <c r="S4248" s="46"/>
    </row>
    <row r="4249" spans="1:19" ht="15.6" hidden="1" customHeight="1" thickBot="1" x14ac:dyDescent="0.3">
      <c r="A4249" t="s">
        <v>23</v>
      </c>
      <c r="B4249" s="60" t="str">
        <f t="shared" si="3043"/>
        <v>hide</v>
      </c>
      <c r="D4249" s="48" t="str">
        <f>D4248</f>
        <v>57661</v>
      </c>
      <c r="E4249" s="7"/>
      <c r="F4249" s="27">
        <v>0</v>
      </c>
      <c r="G4249" s="27">
        <v>0</v>
      </c>
      <c r="H4249" s="27">
        <v>0</v>
      </c>
      <c r="I4249" s="27">
        <v>0</v>
      </c>
      <c r="J4249" s="27">
        <v>0</v>
      </c>
      <c r="K4249" s="63">
        <f>AVERAGE(I4249:J4249)</f>
        <v>0</v>
      </c>
      <c r="L4249" s="56" t="str">
        <f>"SW-COMAS-PACKL"</f>
        <v>SW-COMAS-PACKL</v>
      </c>
      <c r="M4249" s="14"/>
      <c r="N4249" s="15"/>
      <c r="O4249" s="12"/>
      <c r="P4249" s="34"/>
      <c r="Q4249" s="37"/>
      <c r="R4249" s="47"/>
      <c r="S4249" s="46"/>
    </row>
    <row r="4250" spans="1:19" ht="15.6" hidden="1" customHeight="1" thickBot="1" x14ac:dyDescent="0.3">
      <c r="A4250" t="s">
        <v>23</v>
      </c>
      <c r="B4250" s="60" t="str">
        <f t="shared" si="3043"/>
        <v>hide</v>
      </c>
      <c r="D4250" s="48" t="str">
        <f>D4249</f>
        <v>57661</v>
      </c>
      <c r="E4250" s="7"/>
      <c r="F4250" s="27">
        <v>0</v>
      </c>
      <c r="G4250" s="27">
        <v>0</v>
      </c>
      <c r="H4250" s="27">
        <v>0</v>
      </c>
      <c r="I4250" s="27">
        <v>0</v>
      </c>
      <c r="J4250" s="27">
        <v>0</v>
      </c>
      <c r="K4250" s="63">
        <f>AVERAGE(I4250:J4250)</f>
        <v>0</v>
      </c>
      <c r="L4250" s="56" t="str">
        <f>"SW-RISER-PACK"</f>
        <v>SW-RISER-PACK</v>
      </c>
      <c r="M4250" s="14"/>
      <c r="N4250" s="15"/>
      <c r="O4250" s="12"/>
      <c r="P4250" s="34"/>
      <c r="Q4250" s="37"/>
      <c r="R4250" s="47"/>
      <c r="S4250" s="46"/>
    </row>
    <row r="4251" spans="1:19" ht="12" hidden="1" customHeight="1" x14ac:dyDescent="0.3">
      <c r="A4251" s="35" t="s">
        <v>908</v>
      </c>
      <c r="B4251" s="49" t="str">
        <f>B4247</f>
        <v>hide</v>
      </c>
      <c r="N4251"/>
      <c r="Q4251" s="33"/>
    </row>
    <row r="4252" spans="1:19" ht="13.8" hidden="1" thickBot="1" x14ac:dyDescent="0.3">
      <c r="A4252" t="s">
        <v>23</v>
      </c>
      <c r="B4252" s="49" t="str">
        <f t="shared" ref="B4252" si="3044">B4251</f>
        <v>hide</v>
      </c>
      <c r="D4252" s="58"/>
      <c r="E4252" s="58"/>
      <c r="F4252" s="52">
        <f>SUM(F4247:F4251)</f>
        <v>-225.16583333333335</v>
      </c>
      <c r="G4252" s="52">
        <f>SUM(G4247:G4251)</f>
        <v>-54.364166666666669</v>
      </c>
      <c r="H4252" s="52">
        <f>SUM(H4247:H4251)</f>
        <v>0</v>
      </c>
      <c r="I4252" s="52">
        <f>SUM(I4247:I4251)</f>
        <v>0</v>
      </c>
      <c r="J4252" s="52">
        <f>SUM(J4247:J4251)</f>
        <v>0</v>
      </c>
      <c r="K4252" s="52"/>
      <c r="L4252" s="51" t="s">
        <v>4</v>
      </c>
      <c r="M4252" s="58"/>
      <c r="N4252" s="58"/>
      <c r="O4252" s="58"/>
      <c r="P4252" s="58"/>
      <c r="Q4252" s="58"/>
      <c r="R4252" s="58"/>
      <c r="S4252" s="58"/>
    </row>
    <row r="4253" spans="1:19" s="59" customFormat="1" ht="18.75" customHeight="1" thickBot="1" x14ac:dyDescent="0.3">
      <c r="A4253" s="59" t="s">
        <v>23</v>
      </c>
      <c r="B4253" s="60" t="str">
        <f t="shared" ref="B4253:B4254" si="3045">IF(K4253=0,"hide","")</f>
        <v/>
      </c>
      <c r="D4253" s="61" t="str">
        <f>"57666"</f>
        <v>57666</v>
      </c>
      <c r="E4253" s="62" t="str">
        <f>"9"</f>
        <v>9</v>
      </c>
      <c r="F4253" s="63">
        <v>1099.1666666666667</v>
      </c>
      <c r="G4253" s="63">
        <v>772.91666666666663</v>
      </c>
      <c r="H4253" s="63">
        <v>1088.75</v>
      </c>
      <c r="I4253" s="63">
        <v>1237.1666666666667</v>
      </c>
      <c r="J4253" s="63">
        <v>1054.6012048192772</v>
      </c>
      <c r="K4253" s="63">
        <f>AVERAGE(I4253:J4253)</f>
        <v>1145.883935742972</v>
      </c>
      <c r="L4253" s="64" t="str">
        <f>"Smart Choice Apple TOPS"</f>
        <v>Smart Choice Apple TOPS</v>
      </c>
      <c r="M4253" s="65" t="str">
        <f>"60-2 oz. I.W."</f>
        <v>60-2 oz. I.W.</v>
      </c>
      <c r="N4253" s="66">
        <v>60</v>
      </c>
      <c r="O4253" s="67">
        <v>1E-3</v>
      </c>
      <c r="P4253" s="68">
        <f>1/O4253</f>
        <v>1000</v>
      </c>
      <c r="Q4253" s="53">
        <v>2.8800000000000002E-3</v>
      </c>
      <c r="R4253" s="69">
        <f t="shared" ref="R4253" si="3046">1/Q4253</f>
        <v>347.22222222222223</v>
      </c>
      <c r="S4253" s="70">
        <f t="shared" ref="S4253" si="3047">R4253*N4253</f>
        <v>20833.333333333332</v>
      </c>
    </row>
    <row r="4254" spans="1:19" ht="15.6" hidden="1" customHeight="1" thickBot="1" x14ac:dyDescent="0.3">
      <c r="A4254" t="s">
        <v>23</v>
      </c>
      <c r="B4254" s="60" t="str">
        <f t="shared" si="3045"/>
        <v>hide</v>
      </c>
      <c r="D4254" s="48" t="str">
        <f>D4253</f>
        <v>57666</v>
      </c>
      <c r="E4254" s="7"/>
      <c r="F4254" s="27">
        <v>-50.619166666666665</v>
      </c>
      <c r="G4254" s="27">
        <v>0</v>
      </c>
      <c r="H4254" s="27">
        <v>0</v>
      </c>
      <c r="I4254" s="27">
        <v>0</v>
      </c>
      <c r="J4254" s="27">
        <v>0</v>
      </c>
      <c r="K4254" s="63">
        <f>AVERAGE(I4254:J4254)</f>
        <v>0</v>
      </c>
      <c r="L4254" s="56" t="str">
        <f>"EQP-LAWPACK1"</f>
        <v>EQP-LAWPACK1</v>
      </c>
      <c r="M4254" s="14"/>
      <c r="N4254" s="15"/>
      <c r="O4254" s="12"/>
      <c r="P4254" s="34"/>
      <c r="Q4254" s="37"/>
      <c r="R4254" s="47"/>
      <c r="S4254" s="46"/>
    </row>
    <row r="4255" spans="1:19" ht="15.6" hidden="1" customHeight="1" thickBot="1" x14ac:dyDescent="0.3">
      <c r="A4255" t="s">
        <v>23</v>
      </c>
      <c r="B4255" s="60" t="str">
        <f t="shared" ref="B4255:B4257" si="3048">IF(K4255=0,"hide","")</f>
        <v>hide</v>
      </c>
      <c r="D4255" s="48" t="str">
        <f>D4254</f>
        <v>57666</v>
      </c>
      <c r="E4255" s="7"/>
      <c r="F4255" s="27">
        <v>0</v>
      </c>
      <c r="G4255" s="27">
        <v>0</v>
      </c>
      <c r="H4255" s="27">
        <v>0</v>
      </c>
      <c r="I4255" s="27">
        <v>0</v>
      </c>
      <c r="J4255" s="27">
        <v>0</v>
      </c>
      <c r="K4255" s="63">
        <f>AVERAGE(I4255:J4255)</f>
        <v>0</v>
      </c>
      <c r="L4255" s="56" t="str">
        <f>"EQP-LAWPACK2"</f>
        <v>EQP-LAWPACK2</v>
      </c>
      <c r="M4255" s="14"/>
      <c r="N4255" s="15"/>
      <c r="O4255" s="12"/>
      <c r="P4255" s="34"/>
      <c r="Q4255" s="37"/>
      <c r="R4255" s="47"/>
      <c r="S4255" s="46"/>
    </row>
    <row r="4256" spans="1:19" ht="15.6" hidden="1" customHeight="1" thickBot="1" x14ac:dyDescent="0.3">
      <c r="A4256" t="s">
        <v>23</v>
      </c>
      <c r="B4256" s="60" t="str">
        <f t="shared" si="3048"/>
        <v>hide</v>
      </c>
      <c r="D4256" s="48" t="str">
        <f>D4255</f>
        <v>57666</v>
      </c>
      <c r="E4256" s="7"/>
      <c r="F4256" s="27">
        <v>0</v>
      </c>
      <c r="G4256" s="27">
        <v>0</v>
      </c>
      <c r="H4256" s="27">
        <v>0</v>
      </c>
      <c r="I4256" s="27">
        <v>0</v>
      </c>
      <c r="J4256" s="27">
        <v>0</v>
      </c>
      <c r="K4256" s="63">
        <f>AVERAGE(I4256:J4256)</f>
        <v>0</v>
      </c>
      <c r="L4256" s="56" t="str">
        <f>"SW-COMAS-PACKL"</f>
        <v>SW-COMAS-PACKL</v>
      </c>
      <c r="M4256" s="14"/>
      <c r="N4256" s="15"/>
      <c r="O4256" s="12"/>
      <c r="P4256" s="34"/>
      <c r="Q4256" s="37"/>
      <c r="R4256" s="47"/>
      <c r="S4256" s="46"/>
    </row>
    <row r="4257" spans="1:19" ht="15.6" hidden="1" customHeight="1" thickBot="1" x14ac:dyDescent="0.3">
      <c r="A4257" t="s">
        <v>23</v>
      </c>
      <c r="B4257" s="60" t="str">
        <f t="shared" si="3048"/>
        <v>hide</v>
      </c>
      <c r="D4257" s="48" t="str">
        <f>D4256</f>
        <v>57666</v>
      </c>
      <c r="E4257" s="7"/>
      <c r="F4257" s="27">
        <v>0</v>
      </c>
      <c r="G4257" s="27">
        <v>0</v>
      </c>
      <c r="H4257" s="27">
        <v>0</v>
      </c>
      <c r="I4257" s="27">
        <v>0</v>
      </c>
      <c r="J4257" s="27">
        <v>0</v>
      </c>
      <c r="K4257" s="63">
        <f>AVERAGE(I4257:J4257)</f>
        <v>0</v>
      </c>
      <c r="L4257" s="56" t="str">
        <f>"SW-RISER-PACK"</f>
        <v>SW-RISER-PACK</v>
      </c>
      <c r="M4257" s="14"/>
      <c r="N4257" s="15"/>
      <c r="O4257" s="12"/>
      <c r="P4257" s="34"/>
      <c r="Q4257" s="37"/>
      <c r="R4257" s="47"/>
      <c r="S4257" s="46"/>
    </row>
    <row r="4258" spans="1:19" ht="12" hidden="1" customHeight="1" x14ac:dyDescent="0.3">
      <c r="A4258" s="35" t="s">
        <v>908</v>
      </c>
      <c r="B4258" s="49" t="str">
        <f>B4254</f>
        <v>hide</v>
      </c>
      <c r="N4258"/>
      <c r="Q4258" s="33"/>
    </row>
    <row r="4259" spans="1:19" ht="13.8" hidden="1" thickBot="1" x14ac:dyDescent="0.3">
      <c r="A4259" t="s">
        <v>23</v>
      </c>
      <c r="B4259" s="49" t="str">
        <f t="shared" ref="B4259" si="3049">B4258</f>
        <v>hide</v>
      </c>
      <c r="D4259" s="58"/>
      <c r="E4259" s="58"/>
      <c r="F4259" s="52">
        <f>SUM(F4254:F4258)</f>
        <v>-50.619166666666665</v>
      </c>
      <c r="G4259" s="52">
        <f>SUM(G4254:G4258)</f>
        <v>0</v>
      </c>
      <c r="H4259" s="52">
        <f>SUM(H4254:H4258)</f>
        <v>0</v>
      </c>
      <c r="I4259" s="52">
        <f>SUM(I4254:I4258)</f>
        <v>0</v>
      </c>
      <c r="J4259" s="52">
        <f>SUM(J4254:J4258)</f>
        <v>0</v>
      </c>
      <c r="K4259" s="52"/>
      <c r="L4259" s="51" t="s">
        <v>4</v>
      </c>
      <c r="M4259" s="58"/>
      <c r="N4259" s="58"/>
      <c r="O4259" s="58"/>
      <c r="P4259" s="58"/>
      <c r="Q4259" s="58"/>
      <c r="R4259" s="58"/>
      <c r="S4259" s="58"/>
    </row>
    <row r="4260" spans="1:19" s="59" customFormat="1" ht="18.75" customHeight="1" thickBot="1" x14ac:dyDescent="0.3">
      <c r="A4260" s="59" t="s">
        <v>23</v>
      </c>
      <c r="B4260" s="60" t="str">
        <f t="shared" ref="B4260:B4261" si="3050">IF(K4260=0,"hide","")</f>
        <v/>
      </c>
      <c r="D4260" s="61" t="str">
        <f>"57670"</f>
        <v>57670</v>
      </c>
      <c r="E4260" s="62" t="str">
        <f>"6"</f>
        <v>6</v>
      </c>
      <c r="F4260" s="63">
        <v>1762.75</v>
      </c>
      <c r="G4260" s="63">
        <v>1617</v>
      </c>
      <c r="H4260" s="63">
        <v>2138.083333333333</v>
      </c>
      <c r="I4260" s="63">
        <v>2727.4999999999995</v>
      </c>
      <c r="J4260" s="63">
        <v>2534.5207228915665</v>
      </c>
      <c r="K4260" s="63">
        <f>AVERAGE(I4260:J4260)</f>
        <v>2631.010361445783</v>
      </c>
      <c r="L4260" s="64" t="str">
        <f>"Smart Choice Choc Chip TOP"</f>
        <v>Smart Choice Choc Chip TOP</v>
      </c>
      <c r="M4260" s="65" t="str">
        <f>"60-2 oz. I.W."</f>
        <v>60-2 oz. I.W.</v>
      </c>
      <c r="N4260" s="66">
        <v>60</v>
      </c>
      <c r="O4260" s="67">
        <v>1E-3</v>
      </c>
      <c r="P4260" s="68">
        <f>1/O4260</f>
        <v>1000</v>
      </c>
      <c r="Q4260" s="53">
        <v>2.9199999999999999E-3</v>
      </c>
      <c r="R4260" s="69">
        <f t="shared" ref="R4260" si="3051">1/Q4260</f>
        <v>342.46575342465758</v>
      </c>
      <c r="S4260" s="70">
        <f t="shared" ref="S4260" si="3052">R4260*N4260</f>
        <v>20547.945205479453</v>
      </c>
    </row>
    <row r="4261" spans="1:19" ht="15.6" hidden="1" customHeight="1" thickBot="1" x14ac:dyDescent="0.3">
      <c r="A4261" t="s">
        <v>23</v>
      </c>
      <c r="B4261" s="60" t="str">
        <f t="shared" si="3050"/>
        <v>hide</v>
      </c>
      <c r="D4261" s="48" t="str">
        <f>D4260</f>
        <v>57670</v>
      </c>
      <c r="E4261" s="7"/>
      <c r="F4261" s="27">
        <v>-330.40666666666669</v>
      </c>
      <c r="G4261" s="27">
        <v>-271.53249999999997</v>
      </c>
      <c r="H4261" s="27">
        <v>0</v>
      </c>
      <c r="I4261" s="27">
        <v>0</v>
      </c>
      <c r="J4261" s="27">
        <v>0</v>
      </c>
      <c r="K4261" s="63">
        <f>AVERAGE(I4261:J4261)</f>
        <v>0</v>
      </c>
      <c r="L4261" s="56" t="str">
        <f>"EQP-LAWPACK1"</f>
        <v>EQP-LAWPACK1</v>
      </c>
      <c r="M4261" s="14"/>
      <c r="N4261" s="15"/>
      <c r="O4261" s="12"/>
      <c r="P4261" s="34"/>
      <c r="Q4261" s="37"/>
      <c r="R4261" s="47"/>
      <c r="S4261" s="46"/>
    </row>
    <row r="4262" spans="1:19" ht="15.6" hidden="1" customHeight="1" thickBot="1" x14ac:dyDescent="0.3">
      <c r="A4262" t="s">
        <v>23</v>
      </c>
      <c r="B4262" s="60" t="str">
        <f t="shared" ref="B4262:B4264" si="3053">IF(K4262=0,"hide","")</f>
        <v>hide</v>
      </c>
      <c r="D4262" s="48" t="str">
        <f>D4261</f>
        <v>57670</v>
      </c>
      <c r="E4262" s="7"/>
      <c r="F4262" s="27">
        <v>0</v>
      </c>
      <c r="G4262" s="27">
        <v>0</v>
      </c>
      <c r="H4262" s="27">
        <v>0</v>
      </c>
      <c r="I4262" s="27">
        <v>0</v>
      </c>
      <c r="J4262" s="27">
        <v>0</v>
      </c>
      <c r="K4262" s="63">
        <f>AVERAGE(I4262:J4262)</f>
        <v>0</v>
      </c>
      <c r="L4262" s="56" t="str">
        <f>"EQP-LAWPACK2"</f>
        <v>EQP-LAWPACK2</v>
      </c>
      <c r="M4262" s="14"/>
      <c r="N4262" s="15"/>
      <c r="O4262" s="12"/>
      <c r="P4262" s="34"/>
      <c r="Q4262" s="37"/>
      <c r="R4262" s="47"/>
      <c r="S4262" s="46"/>
    </row>
    <row r="4263" spans="1:19" ht="15.6" hidden="1" customHeight="1" thickBot="1" x14ac:dyDescent="0.3">
      <c r="A4263" t="s">
        <v>23</v>
      </c>
      <c r="B4263" s="60" t="str">
        <f t="shared" si="3053"/>
        <v>hide</v>
      </c>
      <c r="D4263" s="48" t="str">
        <f>D4262</f>
        <v>57670</v>
      </c>
      <c r="E4263" s="7"/>
      <c r="F4263" s="27">
        <v>0</v>
      </c>
      <c r="G4263" s="27">
        <v>0</v>
      </c>
      <c r="H4263" s="27">
        <v>0</v>
      </c>
      <c r="I4263" s="27">
        <v>0</v>
      </c>
      <c r="J4263" s="27">
        <v>0</v>
      </c>
      <c r="K4263" s="63">
        <f>AVERAGE(I4263:J4263)</f>
        <v>0</v>
      </c>
      <c r="L4263" s="56" t="str">
        <f>"SW-COMAS-PACKL"</f>
        <v>SW-COMAS-PACKL</v>
      </c>
      <c r="M4263" s="14"/>
      <c r="N4263" s="15"/>
      <c r="O4263" s="12"/>
      <c r="P4263" s="34"/>
      <c r="Q4263" s="37"/>
      <c r="R4263" s="47"/>
      <c r="S4263" s="46"/>
    </row>
    <row r="4264" spans="1:19" ht="15.6" hidden="1" customHeight="1" thickBot="1" x14ac:dyDescent="0.3">
      <c r="A4264" t="s">
        <v>23</v>
      </c>
      <c r="B4264" s="60" t="str">
        <f t="shared" si="3053"/>
        <v>hide</v>
      </c>
      <c r="D4264" s="48" t="str">
        <f>D4263</f>
        <v>57670</v>
      </c>
      <c r="E4264" s="7"/>
      <c r="F4264" s="27">
        <v>0</v>
      </c>
      <c r="G4264" s="27">
        <v>0</v>
      </c>
      <c r="H4264" s="27">
        <v>0</v>
      </c>
      <c r="I4264" s="27">
        <v>0</v>
      </c>
      <c r="J4264" s="27">
        <v>0</v>
      </c>
      <c r="K4264" s="63">
        <f>AVERAGE(I4264:J4264)</f>
        <v>0</v>
      </c>
      <c r="L4264" s="56" t="str">
        <f>"SW-RISER-PACK"</f>
        <v>SW-RISER-PACK</v>
      </c>
      <c r="M4264" s="14"/>
      <c r="N4264" s="15"/>
      <c r="O4264" s="12"/>
      <c r="P4264" s="34"/>
      <c r="Q4264" s="37"/>
      <c r="R4264" s="47"/>
      <c r="S4264" s="46"/>
    </row>
    <row r="4265" spans="1:19" ht="12" hidden="1" customHeight="1" x14ac:dyDescent="0.3">
      <c r="A4265" s="35" t="s">
        <v>908</v>
      </c>
      <c r="B4265" s="49" t="str">
        <f>B4261</f>
        <v>hide</v>
      </c>
      <c r="N4265"/>
      <c r="Q4265" s="33"/>
    </row>
    <row r="4266" spans="1:19" ht="13.8" hidden="1" thickBot="1" x14ac:dyDescent="0.3">
      <c r="A4266" t="s">
        <v>23</v>
      </c>
      <c r="B4266" s="49" t="str">
        <f t="shared" ref="B4266" si="3054">B4265</f>
        <v>hide</v>
      </c>
      <c r="D4266" s="58"/>
      <c r="E4266" s="58"/>
      <c r="F4266" s="52">
        <f>SUM(F4261:F4265)</f>
        <v>-330.40666666666669</v>
      </c>
      <c r="G4266" s="52">
        <f>SUM(G4261:G4265)</f>
        <v>-271.53249999999997</v>
      </c>
      <c r="H4266" s="52">
        <f>SUM(H4261:H4265)</f>
        <v>0</v>
      </c>
      <c r="I4266" s="52">
        <f>SUM(I4261:I4265)</f>
        <v>0</v>
      </c>
      <c r="J4266" s="52">
        <f>SUM(J4261:J4265)</f>
        <v>0</v>
      </c>
      <c r="K4266" s="52"/>
      <c r="L4266" s="51" t="s">
        <v>4</v>
      </c>
      <c r="M4266" s="58"/>
      <c r="N4266" s="58"/>
      <c r="O4266" s="58"/>
      <c r="P4266" s="58"/>
      <c r="Q4266" s="58"/>
      <c r="R4266" s="58"/>
      <c r="S4266" s="58"/>
    </row>
    <row r="4267" spans="1:19" s="59" customFormat="1" ht="18.75" customHeight="1" thickBot="1" x14ac:dyDescent="0.3">
      <c r="A4267" s="59" t="s">
        <v>23</v>
      </c>
      <c r="B4267" s="60" t="str">
        <f t="shared" ref="B4267:B4268" si="3055">IF(K4267=0,"hide","")</f>
        <v/>
      </c>
      <c r="D4267" s="61" t="str">
        <f>"57675"</f>
        <v>57675</v>
      </c>
      <c r="E4267" s="62" t="str">
        <f>"6"</f>
        <v>6</v>
      </c>
      <c r="F4267" s="63">
        <v>334.16666666666669</v>
      </c>
      <c r="G4267" s="63">
        <v>283.50000000000006</v>
      </c>
      <c r="H4267" s="63">
        <v>333.25</v>
      </c>
      <c r="I4267" s="63">
        <v>435.5</v>
      </c>
      <c r="J4267" s="63">
        <v>398.24578313253016</v>
      </c>
      <c r="K4267" s="63">
        <f>AVERAGE(I4267:J4267)</f>
        <v>416.87289156626508</v>
      </c>
      <c r="L4267" s="64" t="str">
        <f>"Smart Choice Banana TOP"</f>
        <v>Smart Choice Banana TOP</v>
      </c>
      <c r="M4267" s="65" t="str">
        <f>"60-2 oz. I.W."</f>
        <v>60-2 oz. I.W.</v>
      </c>
      <c r="N4267" s="66">
        <v>60</v>
      </c>
      <c r="O4267" s="67">
        <v>1E-3</v>
      </c>
      <c r="P4267" s="68">
        <f>1/O4267</f>
        <v>1000</v>
      </c>
      <c r="Q4267" s="53">
        <v>2.8800000000000002E-3</v>
      </c>
      <c r="R4267" s="69">
        <f t="shared" ref="R4267" si="3056">1/Q4267</f>
        <v>347.22222222222223</v>
      </c>
      <c r="S4267" s="70">
        <f t="shared" ref="S4267" si="3057">R4267*N4267</f>
        <v>20833.333333333332</v>
      </c>
    </row>
    <row r="4268" spans="1:19" ht="15.6" hidden="1" customHeight="1" thickBot="1" x14ac:dyDescent="0.3">
      <c r="A4268" t="s">
        <v>23</v>
      </c>
      <c r="B4268" s="60" t="str">
        <f t="shared" si="3055"/>
        <v>hide</v>
      </c>
      <c r="D4268" s="48" t="str">
        <f>D4267</f>
        <v>57675</v>
      </c>
      <c r="E4268" s="7"/>
      <c r="F4268" s="27">
        <v>0</v>
      </c>
      <c r="G4268" s="27">
        <v>0</v>
      </c>
      <c r="H4268" s="27">
        <v>0</v>
      </c>
      <c r="I4268" s="27">
        <v>0</v>
      </c>
      <c r="J4268" s="27">
        <v>0</v>
      </c>
      <c r="K4268" s="63">
        <f>AVERAGE(I4268:J4268)</f>
        <v>0</v>
      </c>
      <c r="L4268" s="56" t="str">
        <f>"EQP-LAWPACK1"</f>
        <v>EQP-LAWPACK1</v>
      </c>
      <c r="M4268" s="14"/>
      <c r="N4268" s="15"/>
      <c r="O4268" s="12"/>
      <c r="P4268" s="34"/>
      <c r="Q4268" s="37"/>
      <c r="R4268" s="47"/>
      <c r="S4268" s="46"/>
    </row>
    <row r="4269" spans="1:19" ht="15.6" hidden="1" customHeight="1" thickBot="1" x14ac:dyDescent="0.3">
      <c r="A4269" t="s">
        <v>23</v>
      </c>
      <c r="B4269" s="60" t="str">
        <f t="shared" ref="B4269:B4271" si="3058">IF(K4269=0,"hide","")</f>
        <v>hide</v>
      </c>
      <c r="D4269" s="48" t="str">
        <f>D4268</f>
        <v>57675</v>
      </c>
      <c r="E4269" s="7"/>
      <c r="F4269" s="27">
        <v>0</v>
      </c>
      <c r="G4269" s="27">
        <v>0</v>
      </c>
      <c r="H4269" s="27">
        <v>0</v>
      </c>
      <c r="I4269" s="27">
        <v>0</v>
      </c>
      <c r="J4269" s="27">
        <v>0</v>
      </c>
      <c r="K4269" s="63">
        <f>AVERAGE(I4269:J4269)</f>
        <v>0</v>
      </c>
      <c r="L4269" s="56" t="str">
        <f>"EQP-LAWPACK2"</f>
        <v>EQP-LAWPACK2</v>
      </c>
      <c r="M4269" s="14"/>
      <c r="N4269" s="15"/>
      <c r="O4269" s="12"/>
      <c r="P4269" s="34"/>
      <c r="Q4269" s="37"/>
      <c r="R4269" s="47"/>
      <c r="S4269" s="46"/>
    </row>
    <row r="4270" spans="1:19" ht="15.6" hidden="1" customHeight="1" thickBot="1" x14ac:dyDescent="0.3">
      <c r="A4270" t="s">
        <v>23</v>
      </c>
      <c r="B4270" s="60" t="str">
        <f t="shared" si="3058"/>
        <v>hide</v>
      </c>
      <c r="D4270" s="48" t="str">
        <f>D4269</f>
        <v>57675</v>
      </c>
      <c r="E4270" s="7"/>
      <c r="F4270" s="27">
        <v>0</v>
      </c>
      <c r="G4270" s="27">
        <v>0</v>
      </c>
      <c r="H4270" s="27">
        <v>0</v>
      </c>
      <c r="I4270" s="27">
        <v>0</v>
      </c>
      <c r="J4270" s="27">
        <v>0</v>
      </c>
      <c r="K4270" s="63">
        <f>AVERAGE(I4270:J4270)</f>
        <v>0</v>
      </c>
      <c r="L4270" s="56" t="str">
        <f>"SW-COMAS-PACKL"</f>
        <v>SW-COMAS-PACKL</v>
      </c>
      <c r="M4270" s="14"/>
      <c r="N4270" s="15"/>
      <c r="O4270" s="12"/>
      <c r="P4270" s="34"/>
      <c r="Q4270" s="37"/>
      <c r="R4270" s="47"/>
      <c r="S4270" s="46"/>
    </row>
    <row r="4271" spans="1:19" ht="15.6" hidden="1" customHeight="1" thickBot="1" x14ac:dyDescent="0.3">
      <c r="A4271" t="s">
        <v>23</v>
      </c>
      <c r="B4271" s="60" t="str">
        <f t="shared" si="3058"/>
        <v>hide</v>
      </c>
      <c r="D4271" s="48" t="str">
        <f>D4270</f>
        <v>57675</v>
      </c>
      <c r="E4271" s="7"/>
      <c r="F4271" s="27">
        <v>0</v>
      </c>
      <c r="G4271" s="27">
        <v>0</v>
      </c>
      <c r="H4271" s="27">
        <v>0</v>
      </c>
      <c r="I4271" s="27">
        <v>0</v>
      </c>
      <c r="J4271" s="27">
        <v>0</v>
      </c>
      <c r="K4271" s="63">
        <f>AVERAGE(I4271:J4271)</f>
        <v>0</v>
      </c>
      <c r="L4271" s="56" t="str">
        <f>"SW-RISER-PACK"</f>
        <v>SW-RISER-PACK</v>
      </c>
      <c r="M4271" s="14"/>
      <c r="N4271" s="15"/>
      <c r="O4271" s="12"/>
      <c r="P4271" s="34"/>
      <c r="Q4271" s="37"/>
      <c r="R4271" s="47"/>
      <c r="S4271" s="46"/>
    </row>
    <row r="4272" spans="1:19" ht="12" hidden="1" customHeight="1" x14ac:dyDescent="0.3">
      <c r="A4272" s="35" t="s">
        <v>908</v>
      </c>
      <c r="B4272" s="49" t="str">
        <f>B4268</f>
        <v>hide</v>
      </c>
      <c r="N4272"/>
      <c r="Q4272" s="33"/>
    </row>
    <row r="4273" spans="1:19" ht="13.8" hidden="1" thickBot="1" x14ac:dyDescent="0.3">
      <c r="A4273" t="s">
        <v>23</v>
      </c>
      <c r="B4273" s="49" t="str">
        <f t="shared" ref="B4273" si="3059">B4272</f>
        <v>hide</v>
      </c>
      <c r="D4273" s="58"/>
      <c r="E4273" s="58"/>
      <c r="F4273" s="52">
        <f>SUM(F4268:F4272)</f>
        <v>0</v>
      </c>
      <c r="G4273" s="52">
        <f>SUM(G4268:G4272)</f>
        <v>0</v>
      </c>
      <c r="H4273" s="52">
        <f>SUM(H4268:H4272)</f>
        <v>0</v>
      </c>
      <c r="I4273" s="52">
        <f>SUM(I4268:I4272)</f>
        <v>0</v>
      </c>
      <c r="J4273" s="52">
        <f>SUM(J4268:J4272)</f>
        <v>0</v>
      </c>
      <c r="K4273" s="52"/>
      <c r="L4273" s="51" t="s">
        <v>4</v>
      </c>
      <c r="M4273" s="58"/>
      <c r="N4273" s="58"/>
      <c r="O4273" s="58"/>
      <c r="P4273" s="58"/>
      <c r="Q4273" s="58"/>
      <c r="R4273" s="58"/>
      <c r="S4273" s="58"/>
    </row>
    <row r="4274" spans="1:19" s="59" customFormat="1" ht="18.75" customHeight="1" thickBot="1" x14ac:dyDescent="0.3">
      <c r="A4274" s="59" t="s">
        <v>23</v>
      </c>
      <c r="B4274" s="60" t="str">
        <f t="shared" ref="B4274:B4275" si="3060">IF(K4274=0,"hide","")</f>
        <v/>
      </c>
      <c r="D4274" s="61" t="str">
        <f>"57961"</f>
        <v>57961</v>
      </c>
      <c r="E4274" s="62" t="str">
        <f>"1"</f>
        <v>1</v>
      </c>
      <c r="F4274" s="63">
        <v>0</v>
      </c>
      <c r="G4274" s="63">
        <v>0</v>
      </c>
      <c r="H4274" s="63">
        <v>0</v>
      </c>
      <c r="I4274" s="63">
        <v>11.916666666666666</v>
      </c>
      <c r="J4274" s="63">
        <v>65.396867469879524</v>
      </c>
      <c r="K4274" s="63">
        <f>AVERAGE(I4274:J4274)</f>
        <v>38.656767068273098</v>
      </c>
      <c r="L4274" s="64" t="str">
        <f>"1238 WG Blueberry Muffin Top"</f>
        <v>1238 WG Blueberry Muffin Top</v>
      </c>
      <c r="M4274" s="65" t="str">
        <f>"60-2 oz. I.W."</f>
        <v>60-2 oz. I.W.</v>
      </c>
      <c r="N4274" s="66">
        <v>60</v>
      </c>
      <c r="O4274" s="67">
        <v>0</v>
      </c>
      <c r="P4274" s="68" t="e">
        <f>1/O4274</f>
        <v>#DIV/0!</v>
      </c>
      <c r="Q4274" s="53">
        <v>2.8800000000000002E-3</v>
      </c>
      <c r="R4274" s="69">
        <f t="shared" ref="R4274" si="3061">1/Q4274</f>
        <v>347.22222222222223</v>
      </c>
      <c r="S4274" s="70">
        <f t="shared" ref="S4274" si="3062">R4274*N4274</f>
        <v>20833.333333333332</v>
      </c>
    </row>
    <row r="4275" spans="1:19" ht="15.6" hidden="1" customHeight="1" thickBot="1" x14ac:dyDescent="0.3">
      <c r="A4275" t="s">
        <v>23</v>
      </c>
      <c r="B4275" s="60" t="str">
        <f t="shared" si="3060"/>
        <v>hide</v>
      </c>
      <c r="D4275" s="48" t="str">
        <f>D4274</f>
        <v>57961</v>
      </c>
      <c r="E4275" s="7"/>
      <c r="F4275" s="27">
        <v>0</v>
      </c>
      <c r="G4275" s="27">
        <v>0</v>
      </c>
      <c r="H4275" s="27">
        <v>0</v>
      </c>
      <c r="I4275" s="27">
        <v>0</v>
      </c>
      <c r="J4275" s="27">
        <v>0</v>
      </c>
      <c r="K4275" s="63">
        <f>AVERAGE(I4275:J4275)</f>
        <v>0</v>
      </c>
      <c r="L4275" s="56" t="str">
        <f>"EQP-LAWPACK1"</f>
        <v>EQP-LAWPACK1</v>
      </c>
      <c r="M4275" s="14"/>
      <c r="N4275" s="15"/>
      <c r="O4275" s="12"/>
      <c r="P4275" s="34"/>
      <c r="Q4275" s="37"/>
      <c r="R4275" s="47"/>
      <c r="S4275" s="46"/>
    </row>
    <row r="4276" spans="1:19" ht="15.6" hidden="1" customHeight="1" thickBot="1" x14ac:dyDescent="0.3">
      <c r="A4276" t="s">
        <v>23</v>
      </c>
      <c r="B4276" s="60" t="str">
        <f t="shared" ref="B4276:B4278" si="3063">IF(K4276=0,"hide","")</f>
        <v>hide</v>
      </c>
      <c r="D4276" s="48" t="str">
        <f>D4275</f>
        <v>57961</v>
      </c>
      <c r="E4276" s="7"/>
      <c r="F4276" s="27">
        <v>0</v>
      </c>
      <c r="G4276" s="27">
        <v>0</v>
      </c>
      <c r="H4276" s="27">
        <v>0</v>
      </c>
      <c r="I4276" s="27">
        <v>0</v>
      </c>
      <c r="J4276" s="27">
        <v>0</v>
      </c>
      <c r="K4276" s="63">
        <f>AVERAGE(I4276:J4276)</f>
        <v>0</v>
      </c>
      <c r="L4276" s="56" t="str">
        <f>"EQP-LAWPACK2"</f>
        <v>EQP-LAWPACK2</v>
      </c>
      <c r="M4276" s="14"/>
      <c r="N4276" s="15"/>
      <c r="O4276" s="12"/>
      <c r="P4276" s="34"/>
      <c r="Q4276" s="37"/>
      <c r="R4276" s="47"/>
      <c r="S4276" s="46"/>
    </row>
    <row r="4277" spans="1:19" ht="15.6" hidden="1" customHeight="1" thickBot="1" x14ac:dyDescent="0.3">
      <c r="A4277" t="s">
        <v>23</v>
      </c>
      <c r="B4277" s="60" t="str">
        <f t="shared" si="3063"/>
        <v>hide</v>
      </c>
      <c r="D4277" s="48" t="str">
        <f>D4276</f>
        <v>57961</v>
      </c>
      <c r="E4277" s="7"/>
      <c r="F4277" s="27">
        <v>0</v>
      </c>
      <c r="G4277" s="27">
        <v>0</v>
      </c>
      <c r="H4277" s="27">
        <v>0</v>
      </c>
      <c r="I4277" s="27">
        <v>0</v>
      </c>
      <c r="J4277" s="27">
        <v>0</v>
      </c>
      <c r="K4277" s="63">
        <f>AVERAGE(I4277:J4277)</f>
        <v>0</v>
      </c>
      <c r="L4277" s="56" t="str">
        <f>"SW-COMAS-PACKL"</f>
        <v>SW-COMAS-PACKL</v>
      </c>
      <c r="M4277" s="14"/>
      <c r="N4277" s="15"/>
      <c r="O4277" s="12"/>
      <c r="P4277" s="34"/>
      <c r="Q4277" s="37"/>
      <c r="R4277" s="47"/>
      <c r="S4277" s="46"/>
    </row>
    <row r="4278" spans="1:19" ht="15.6" hidden="1" customHeight="1" thickBot="1" x14ac:dyDescent="0.3">
      <c r="A4278" t="s">
        <v>23</v>
      </c>
      <c r="B4278" s="60" t="str">
        <f t="shared" si="3063"/>
        <v>hide</v>
      </c>
      <c r="D4278" s="48" t="str">
        <f>D4277</f>
        <v>57961</v>
      </c>
      <c r="E4278" s="7"/>
      <c r="F4278" s="27">
        <v>0</v>
      </c>
      <c r="G4278" s="27">
        <v>0</v>
      </c>
      <c r="H4278" s="27">
        <v>0</v>
      </c>
      <c r="I4278" s="27">
        <v>0</v>
      </c>
      <c r="J4278" s="27">
        <v>0</v>
      </c>
      <c r="K4278" s="63">
        <f>AVERAGE(I4278:J4278)</f>
        <v>0</v>
      </c>
      <c r="L4278" s="56" t="str">
        <f>"SW-RISER-PACK"</f>
        <v>SW-RISER-PACK</v>
      </c>
      <c r="M4278" s="14"/>
      <c r="N4278" s="15"/>
      <c r="O4278" s="12"/>
      <c r="P4278" s="34"/>
      <c r="Q4278" s="37"/>
      <c r="R4278" s="47"/>
      <c r="S4278" s="46"/>
    </row>
    <row r="4279" spans="1:19" ht="12" hidden="1" customHeight="1" x14ac:dyDescent="0.3">
      <c r="A4279" s="35" t="s">
        <v>908</v>
      </c>
      <c r="B4279" s="49" t="str">
        <f>B4275</f>
        <v>hide</v>
      </c>
      <c r="N4279"/>
      <c r="Q4279" s="33"/>
    </row>
    <row r="4280" spans="1:19" ht="13.8" hidden="1" thickBot="1" x14ac:dyDescent="0.3">
      <c r="A4280" t="s">
        <v>23</v>
      </c>
      <c r="B4280" s="49" t="str">
        <f t="shared" ref="B4280" si="3064">B4279</f>
        <v>hide</v>
      </c>
      <c r="D4280" s="58"/>
      <c r="E4280" s="58"/>
      <c r="F4280" s="52">
        <f>SUM(F4275:F4279)</f>
        <v>0</v>
      </c>
      <c r="G4280" s="52">
        <f>SUM(G4275:G4279)</f>
        <v>0</v>
      </c>
      <c r="H4280" s="52">
        <f>SUM(H4275:H4279)</f>
        <v>0</v>
      </c>
      <c r="I4280" s="52">
        <f>SUM(I4275:I4279)</f>
        <v>0</v>
      </c>
      <c r="J4280" s="52">
        <f>SUM(J4275:J4279)</f>
        <v>0</v>
      </c>
      <c r="K4280" s="52"/>
      <c r="L4280" s="51" t="s">
        <v>4</v>
      </c>
      <c r="M4280" s="58"/>
      <c r="N4280" s="58"/>
      <c r="O4280" s="58"/>
      <c r="P4280" s="58"/>
      <c r="Q4280" s="58"/>
      <c r="R4280" s="58"/>
      <c r="S4280" s="58"/>
    </row>
    <row r="4281" spans="1:19" s="59" customFormat="1" ht="18.75" customHeight="1" thickBot="1" x14ac:dyDescent="0.3">
      <c r="A4281" s="59" t="s">
        <v>23</v>
      </c>
      <c r="B4281" s="60" t="str">
        <f t="shared" ref="B4281:B4282" si="3065">IF(K4281=0,"hide","")</f>
        <v/>
      </c>
      <c r="D4281" s="61" t="str">
        <f>"57970"</f>
        <v>57970</v>
      </c>
      <c r="E4281" s="62" t="str">
        <f>"1"</f>
        <v>1</v>
      </c>
      <c r="F4281" s="63">
        <v>0</v>
      </c>
      <c r="G4281" s="63">
        <v>0</v>
      </c>
      <c r="H4281" s="63">
        <v>0</v>
      </c>
      <c r="I4281" s="63">
        <v>10.916666666666666</v>
      </c>
      <c r="J4281" s="63">
        <v>83.672530120481937</v>
      </c>
      <c r="K4281" s="63">
        <f>AVERAGE(I4281:J4281)</f>
        <v>47.294598393574304</v>
      </c>
      <c r="L4281" s="64" t="str">
        <f>"1239 Smart Choice Choc Chip Top"</f>
        <v>1239 Smart Choice Choc Chip Top</v>
      </c>
      <c r="M4281" s="65" t="str">
        <f>"60-2 oz. I.W."</f>
        <v>60-2 oz. I.W.</v>
      </c>
      <c r="N4281" s="66">
        <v>60</v>
      </c>
      <c r="O4281" s="67">
        <v>0</v>
      </c>
      <c r="P4281" s="68" t="e">
        <f>1/O4281</f>
        <v>#DIV/0!</v>
      </c>
      <c r="Q4281" s="53">
        <v>2.8800000000000002E-3</v>
      </c>
      <c r="R4281" s="69">
        <f t="shared" ref="R4281" si="3066">1/Q4281</f>
        <v>347.22222222222223</v>
      </c>
      <c r="S4281" s="70">
        <f t="shared" ref="S4281" si="3067">R4281*N4281</f>
        <v>20833.333333333332</v>
      </c>
    </row>
    <row r="4282" spans="1:19" ht="15.6" hidden="1" customHeight="1" thickBot="1" x14ac:dyDescent="0.3">
      <c r="A4282" t="s">
        <v>23</v>
      </c>
      <c r="B4282" s="60" t="str">
        <f t="shared" si="3065"/>
        <v>hide</v>
      </c>
      <c r="D4282" s="48" t="str">
        <f>D4281</f>
        <v>57970</v>
      </c>
      <c r="E4282" s="7"/>
      <c r="F4282" s="27">
        <v>0</v>
      </c>
      <c r="G4282" s="27">
        <v>0</v>
      </c>
      <c r="H4282" s="27">
        <v>0</v>
      </c>
      <c r="I4282" s="27">
        <v>0</v>
      </c>
      <c r="J4282" s="27">
        <v>0</v>
      </c>
      <c r="K4282" s="63">
        <f>AVERAGE(I4282:J4282)</f>
        <v>0</v>
      </c>
      <c r="L4282" s="56" t="str">
        <f>"EQP-LAWPACK1"</f>
        <v>EQP-LAWPACK1</v>
      </c>
      <c r="M4282" s="14"/>
      <c r="N4282" s="15"/>
      <c r="O4282" s="12"/>
      <c r="P4282" s="34"/>
      <c r="Q4282" s="37"/>
      <c r="R4282" s="47"/>
      <c r="S4282" s="46"/>
    </row>
    <row r="4283" spans="1:19" ht="15.6" hidden="1" customHeight="1" thickBot="1" x14ac:dyDescent="0.3">
      <c r="A4283" t="s">
        <v>23</v>
      </c>
      <c r="B4283" s="60" t="str">
        <f t="shared" ref="B4283:B4285" si="3068">IF(K4283=0,"hide","")</f>
        <v>hide</v>
      </c>
      <c r="D4283" s="48" t="str">
        <f>D4282</f>
        <v>57970</v>
      </c>
      <c r="E4283" s="7"/>
      <c r="F4283" s="27">
        <v>0</v>
      </c>
      <c r="G4283" s="27">
        <v>0</v>
      </c>
      <c r="H4283" s="27">
        <v>0</v>
      </c>
      <c r="I4283" s="27">
        <v>0</v>
      </c>
      <c r="J4283" s="27">
        <v>0</v>
      </c>
      <c r="K4283" s="63">
        <f>AVERAGE(I4283:J4283)</f>
        <v>0</v>
      </c>
      <c r="L4283" s="56" t="str">
        <f>"EQP-LAWPACK2"</f>
        <v>EQP-LAWPACK2</v>
      </c>
      <c r="M4283" s="14"/>
      <c r="N4283" s="15"/>
      <c r="O4283" s="12"/>
      <c r="P4283" s="34"/>
      <c r="Q4283" s="37"/>
      <c r="R4283" s="47"/>
      <c r="S4283" s="46"/>
    </row>
    <row r="4284" spans="1:19" ht="15.6" hidden="1" customHeight="1" thickBot="1" x14ac:dyDescent="0.3">
      <c r="A4284" t="s">
        <v>23</v>
      </c>
      <c r="B4284" s="60" t="str">
        <f t="shared" si="3068"/>
        <v>hide</v>
      </c>
      <c r="D4284" s="48" t="str">
        <f>D4283</f>
        <v>57970</v>
      </c>
      <c r="E4284" s="7"/>
      <c r="F4284" s="27">
        <v>0</v>
      </c>
      <c r="G4284" s="27">
        <v>0</v>
      </c>
      <c r="H4284" s="27">
        <v>0</v>
      </c>
      <c r="I4284" s="27">
        <v>0</v>
      </c>
      <c r="J4284" s="27">
        <v>0</v>
      </c>
      <c r="K4284" s="63">
        <f>AVERAGE(I4284:J4284)</f>
        <v>0</v>
      </c>
      <c r="L4284" s="56" t="str">
        <f>"SW-COMAS-PACKL"</f>
        <v>SW-COMAS-PACKL</v>
      </c>
      <c r="M4284" s="14"/>
      <c r="N4284" s="15"/>
      <c r="O4284" s="12"/>
      <c r="P4284" s="34"/>
      <c r="Q4284" s="37"/>
      <c r="R4284" s="47"/>
      <c r="S4284" s="46"/>
    </row>
    <row r="4285" spans="1:19" ht="15.6" hidden="1" customHeight="1" thickBot="1" x14ac:dyDescent="0.3">
      <c r="A4285" t="s">
        <v>23</v>
      </c>
      <c r="B4285" s="60" t="str">
        <f t="shared" si="3068"/>
        <v>hide</v>
      </c>
      <c r="D4285" s="48" t="str">
        <f>D4284</f>
        <v>57970</v>
      </c>
      <c r="E4285" s="7"/>
      <c r="F4285" s="27">
        <v>0</v>
      </c>
      <c r="G4285" s="27">
        <v>0</v>
      </c>
      <c r="H4285" s="27">
        <v>0</v>
      </c>
      <c r="I4285" s="27">
        <v>0</v>
      </c>
      <c r="J4285" s="27">
        <v>0</v>
      </c>
      <c r="K4285" s="63">
        <f>AVERAGE(I4285:J4285)</f>
        <v>0</v>
      </c>
      <c r="L4285" s="56" t="str">
        <f>"SW-RISER-PACK"</f>
        <v>SW-RISER-PACK</v>
      </c>
      <c r="M4285" s="14"/>
      <c r="N4285" s="15"/>
      <c r="O4285" s="12"/>
      <c r="P4285" s="34"/>
      <c r="Q4285" s="37"/>
      <c r="R4285" s="47"/>
      <c r="S4285" s="46"/>
    </row>
    <row r="4286" spans="1:19" ht="12" hidden="1" customHeight="1" x14ac:dyDescent="0.3">
      <c r="A4286" s="35" t="s">
        <v>908</v>
      </c>
      <c r="B4286" s="49" t="str">
        <f>B4282</f>
        <v>hide</v>
      </c>
      <c r="N4286"/>
      <c r="Q4286" s="33"/>
    </row>
    <row r="4287" spans="1:19" ht="13.8" hidden="1" thickBot="1" x14ac:dyDescent="0.3">
      <c r="A4287" t="s">
        <v>23</v>
      </c>
      <c r="B4287" s="49" t="str">
        <f t="shared" ref="B4287" si="3069">B4286</f>
        <v>hide</v>
      </c>
      <c r="D4287" s="58"/>
      <c r="E4287" s="58"/>
      <c r="F4287" s="52">
        <f>SUM(F4282:F4286)</f>
        <v>0</v>
      </c>
      <c r="G4287" s="52">
        <f>SUM(G4282:G4286)</f>
        <v>0</v>
      </c>
      <c r="H4287" s="52">
        <f>SUM(H4282:H4286)</f>
        <v>0</v>
      </c>
      <c r="I4287" s="52">
        <f>SUM(I4282:I4286)</f>
        <v>0</v>
      </c>
      <c r="J4287" s="52">
        <f>SUM(J4282:J4286)</f>
        <v>0</v>
      </c>
      <c r="K4287" s="52"/>
      <c r="L4287" s="51" t="s">
        <v>4</v>
      </c>
      <c r="M4287" s="58"/>
      <c r="N4287" s="58"/>
      <c r="O4287" s="58"/>
      <c r="P4287" s="58"/>
      <c r="Q4287" s="58"/>
      <c r="R4287" s="58"/>
      <c r="S4287" s="58"/>
    </row>
    <row r="4288" spans="1:19" s="59" customFormat="1" ht="18.75" hidden="1" customHeight="1" thickBot="1" x14ac:dyDescent="0.3">
      <c r="A4288" s="59" t="s">
        <v>23</v>
      </c>
      <c r="B4288" s="60" t="str">
        <f t="shared" ref="B4288:B4289" si="3070">IF(K4288=0,"hide","")</f>
        <v>hide</v>
      </c>
      <c r="D4288" s="61" t="str">
        <f>"58174"</f>
        <v>58174</v>
      </c>
      <c r="E4288" s="62" t="str">
        <f>"9"</f>
        <v>9</v>
      </c>
      <c r="F4288" s="63">
        <v>23.333333333333332</v>
      </c>
      <c r="G4288" s="63">
        <v>0</v>
      </c>
      <c r="H4288" s="63">
        <v>0</v>
      </c>
      <c r="I4288" s="63">
        <v>0</v>
      </c>
      <c r="J4288" s="63">
        <v>0</v>
      </c>
      <c r="K4288" s="63">
        <f>AVERAGE(I4288:J4288)</f>
        <v>0</v>
      </c>
      <c r="L4288" s="64" t="str">
        <f>"Fudgy Choc VitaCake"</f>
        <v>Fudgy Choc VitaCake</v>
      </c>
      <c r="M4288" s="65" t="str">
        <f>"48-1.1 oz."</f>
        <v>48-1.1 oz.</v>
      </c>
      <c r="N4288" s="66">
        <v>48</v>
      </c>
      <c r="O4288" s="67" t="str">
        <f>""</f>
        <v/>
      </c>
      <c r="P4288" s="68" t="e">
        <f>1/O4288</f>
        <v>#VALUE!</v>
      </c>
      <c r="Q4288" s="53">
        <v>1</v>
      </c>
      <c r="R4288" s="69">
        <f t="shared" ref="R4288" si="3071">1/Q4288</f>
        <v>1</v>
      </c>
      <c r="S4288" s="70">
        <f t="shared" ref="S4288" si="3072">R4288*N4288</f>
        <v>48</v>
      </c>
    </row>
    <row r="4289" spans="1:19" ht="15.6" hidden="1" customHeight="1" thickBot="1" x14ac:dyDescent="0.3">
      <c r="A4289" t="s">
        <v>23</v>
      </c>
      <c r="B4289" s="60" t="str">
        <f t="shared" si="3070"/>
        <v>hide</v>
      </c>
      <c r="D4289" s="48" t="str">
        <f>D4288</f>
        <v>58174</v>
      </c>
      <c r="E4289" s="7"/>
      <c r="F4289" s="27">
        <v>0</v>
      </c>
      <c r="G4289" s="27">
        <v>0</v>
      </c>
      <c r="H4289" s="27">
        <v>0</v>
      </c>
      <c r="I4289" s="27">
        <v>0</v>
      </c>
      <c r="J4289" s="27">
        <v>0</v>
      </c>
      <c r="K4289" s="63">
        <f>AVERAGE(I4289:J4289)</f>
        <v>0</v>
      </c>
      <c r="L4289" s="56" t="str">
        <f>"EQP-LAWPACK1"</f>
        <v>EQP-LAWPACK1</v>
      </c>
      <c r="M4289" s="14"/>
      <c r="N4289" s="15"/>
      <c r="O4289" s="12"/>
      <c r="P4289" s="34"/>
      <c r="Q4289" s="37"/>
      <c r="R4289" s="47"/>
      <c r="S4289" s="46"/>
    </row>
    <row r="4290" spans="1:19" ht="15.6" hidden="1" customHeight="1" thickBot="1" x14ac:dyDescent="0.3">
      <c r="A4290" t="s">
        <v>23</v>
      </c>
      <c r="B4290" s="60" t="str">
        <f t="shared" ref="B4290:B4292" si="3073">IF(K4290=0,"hide","")</f>
        <v>hide</v>
      </c>
      <c r="D4290" s="48" t="str">
        <f>D4289</f>
        <v>58174</v>
      </c>
      <c r="E4290" s="7"/>
      <c r="F4290" s="27">
        <v>0</v>
      </c>
      <c r="G4290" s="27">
        <v>0</v>
      </c>
      <c r="H4290" s="27">
        <v>0</v>
      </c>
      <c r="I4290" s="27">
        <v>0</v>
      </c>
      <c r="J4290" s="27">
        <v>0</v>
      </c>
      <c r="K4290" s="63">
        <f>AVERAGE(I4290:J4290)</f>
        <v>0</v>
      </c>
      <c r="L4290" s="56" t="str">
        <f>"EQP-LAWPACK2"</f>
        <v>EQP-LAWPACK2</v>
      </c>
      <c r="M4290" s="14"/>
      <c r="N4290" s="15"/>
      <c r="O4290" s="12"/>
      <c r="P4290" s="34"/>
      <c r="Q4290" s="37"/>
      <c r="R4290" s="47"/>
      <c r="S4290" s="46"/>
    </row>
    <row r="4291" spans="1:19" ht="15.6" hidden="1" customHeight="1" thickBot="1" x14ac:dyDescent="0.3">
      <c r="A4291" t="s">
        <v>23</v>
      </c>
      <c r="B4291" s="60" t="str">
        <f t="shared" si="3073"/>
        <v>hide</v>
      </c>
      <c r="D4291" s="48" t="str">
        <f>D4290</f>
        <v>58174</v>
      </c>
      <c r="E4291" s="7"/>
      <c r="F4291" s="27">
        <v>0</v>
      </c>
      <c r="G4291" s="27">
        <v>0</v>
      </c>
      <c r="H4291" s="27">
        <v>0</v>
      </c>
      <c r="I4291" s="27">
        <v>0</v>
      </c>
      <c r="J4291" s="27">
        <v>0</v>
      </c>
      <c r="K4291" s="63">
        <f>AVERAGE(I4291:J4291)</f>
        <v>0</v>
      </c>
      <c r="L4291" s="56" t="str">
        <f>"SW-COMAS-PACKL"</f>
        <v>SW-COMAS-PACKL</v>
      </c>
      <c r="M4291" s="14"/>
      <c r="N4291" s="15"/>
      <c r="O4291" s="12"/>
      <c r="P4291" s="34"/>
      <c r="Q4291" s="37"/>
      <c r="R4291" s="47"/>
      <c r="S4291" s="46"/>
    </row>
    <row r="4292" spans="1:19" ht="15.6" hidden="1" customHeight="1" thickBot="1" x14ac:dyDescent="0.3">
      <c r="A4292" t="s">
        <v>23</v>
      </c>
      <c r="B4292" s="60" t="str">
        <f t="shared" si="3073"/>
        <v>hide</v>
      </c>
      <c r="D4292" s="48" t="str">
        <f>D4291</f>
        <v>58174</v>
      </c>
      <c r="E4292" s="7"/>
      <c r="F4292" s="27">
        <v>0</v>
      </c>
      <c r="G4292" s="27">
        <v>0</v>
      </c>
      <c r="H4292" s="27">
        <v>0</v>
      </c>
      <c r="I4292" s="27">
        <v>0</v>
      </c>
      <c r="J4292" s="27">
        <v>0</v>
      </c>
      <c r="K4292" s="63">
        <f>AVERAGE(I4292:J4292)</f>
        <v>0</v>
      </c>
      <c r="L4292" s="56" t="str">
        <f>"SW-RISER-PACK"</f>
        <v>SW-RISER-PACK</v>
      </c>
      <c r="M4292" s="14"/>
      <c r="N4292" s="15"/>
      <c r="O4292" s="12"/>
      <c r="P4292" s="34"/>
      <c r="Q4292" s="37"/>
      <c r="R4292" s="47"/>
      <c r="S4292" s="46"/>
    </row>
    <row r="4293" spans="1:19" ht="12" hidden="1" customHeight="1" x14ac:dyDescent="0.3">
      <c r="A4293" s="35" t="s">
        <v>908</v>
      </c>
      <c r="B4293" s="49" t="str">
        <f>B4289</f>
        <v>hide</v>
      </c>
      <c r="N4293"/>
      <c r="Q4293" s="33"/>
    </row>
    <row r="4294" spans="1:19" ht="13.8" hidden="1" thickBot="1" x14ac:dyDescent="0.3">
      <c r="A4294" t="s">
        <v>23</v>
      </c>
      <c r="B4294" s="49" t="str">
        <f t="shared" ref="B4294" si="3074">B4293</f>
        <v>hide</v>
      </c>
      <c r="D4294" s="58"/>
      <c r="E4294" s="58"/>
      <c r="F4294" s="52">
        <f>SUM(F4289:F4293)</f>
        <v>0</v>
      </c>
      <c r="G4294" s="52">
        <f>SUM(G4289:G4293)</f>
        <v>0</v>
      </c>
      <c r="H4294" s="52">
        <f>SUM(H4289:H4293)</f>
        <v>0</v>
      </c>
      <c r="I4294" s="52">
        <f>SUM(I4289:I4293)</f>
        <v>0</v>
      </c>
      <c r="J4294" s="52">
        <f>SUM(J4289:J4293)</f>
        <v>0</v>
      </c>
      <c r="K4294" s="52"/>
      <c r="L4294" s="51" t="s">
        <v>4</v>
      </c>
      <c r="M4294" s="58"/>
      <c r="N4294" s="58"/>
      <c r="O4294" s="58"/>
      <c r="P4294" s="58"/>
      <c r="Q4294" s="58"/>
      <c r="R4294" s="58"/>
      <c r="S4294" s="58"/>
    </row>
    <row r="4295" spans="1:19" s="59" customFormat="1" ht="18.75" customHeight="1" thickBot="1" x14ac:dyDescent="0.3">
      <c r="A4295" s="59" t="s">
        <v>23</v>
      </c>
      <c r="B4295" s="60" t="str">
        <f t="shared" ref="B4295:B4296" si="3075">IF(K4295=0,"hide","")</f>
        <v/>
      </c>
      <c r="D4295" s="61" t="str">
        <f>"58374"</f>
        <v>58374</v>
      </c>
      <c r="E4295" s="62" t="str">
        <f>"1"</f>
        <v>1</v>
      </c>
      <c r="F4295" s="63">
        <v>0</v>
      </c>
      <c r="G4295" s="63">
        <v>0</v>
      </c>
      <c r="H4295" s="63">
        <v>0</v>
      </c>
      <c r="I4295" s="63">
        <v>0</v>
      </c>
      <c r="J4295" s="63">
        <v>4.023373493975904</v>
      </c>
      <c r="K4295" s="63">
        <f>AVERAGE(I4295:J4295)</f>
        <v>2.011686746987952</v>
      </c>
      <c r="L4295" s="64" t="str">
        <f>"Smart Choice Cinnamon Toast"</f>
        <v>Smart Choice Cinnamon Toast</v>
      </c>
      <c r="M4295" s="65" t="str">
        <f>"90-2.4 oz. IW"</f>
        <v>90-2.4 oz. IW</v>
      </c>
      <c r="N4295" s="66">
        <v>90</v>
      </c>
      <c r="O4295" s="67" t="str">
        <f>""</f>
        <v/>
      </c>
      <c r="P4295" s="68" t="e">
        <f>1/O4295</f>
        <v>#VALUE!</v>
      </c>
      <c r="Q4295" s="53">
        <v>1</v>
      </c>
      <c r="R4295" s="69">
        <f t="shared" ref="R4295" si="3076">1/Q4295</f>
        <v>1</v>
      </c>
      <c r="S4295" s="70">
        <f t="shared" ref="S4295" si="3077">R4295*N4295</f>
        <v>90</v>
      </c>
    </row>
    <row r="4296" spans="1:19" ht="15.6" hidden="1" customHeight="1" thickBot="1" x14ac:dyDescent="0.3">
      <c r="A4296" t="s">
        <v>23</v>
      </c>
      <c r="B4296" s="60" t="str">
        <f t="shared" si="3075"/>
        <v>hide</v>
      </c>
      <c r="D4296" s="48" t="str">
        <f>D4295</f>
        <v>58374</v>
      </c>
      <c r="E4296" s="7"/>
      <c r="F4296" s="27">
        <v>0</v>
      </c>
      <c r="G4296" s="27">
        <v>0</v>
      </c>
      <c r="H4296" s="27">
        <v>0</v>
      </c>
      <c r="I4296" s="27">
        <v>0</v>
      </c>
      <c r="J4296" s="27">
        <v>0</v>
      </c>
      <c r="K4296" s="63">
        <f>AVERAGE(I4296:J4296)</f>
        <v>0</v>
      </c>
      <c r="L4296" s="56" t="str">
        <f>"EQP-LAWPACK1"</f>
        <v>EQP-LAWPACK1</v>
      </c>
      <c r="M4296" s="14"/>
      <c r="N4296" s="15"/>
      <c r="O4296" s="12"/>
      <c r="P4296" s="34"/>
      <c r="Q4296" s="37"/>
      <c r="R4296" s="47"/>
      <c r="S4296" s="46"/>
    </row>
    <row r="4297" spans="1:19" ht="15.6" hidden="1" customHeight="1" thickBot="1" x14ac:dyDescent="0.3">
      <c r="A4297" t="s">
        <v>23</v>
      </c>
      <c r="B4297" s="60" t="str">
        <f t="shared" ref="B4297:B4299" si="3078">IF(K4297=0,"hide","")</f>
        <v>hide</v>
      </c>
      <c r="D4297" s="48" t="str">
        <f>D4296</f>
        <v>58374</v>
      </c>
      <c r="E4297" s="7"/>
      <c r="F4297" s="27">
        <v>0</v>
      </c>
      <c r="G4297" s="27">
        <v>0</v>
      </c>
      <c r="H4297" s="27">
        <v>0</v>
      </c>
      <c r="I4297" s="27">
        <v>0</v>
      </c>
      <c r="J4297" s="27">
        <v>0</v>
      </c>
      <c r="K4297" s="63">
        <f>AVERAGE(I4297:J4297)</f>
        <v>0</v>
      </c>
      <c r="L4297" s="56" t="str">
        <f>"EQP-LAWPACK2"</f>
        <v>EQP-LAWPACK2</v>
      </c>
      <c r="M4297" s="14"/>
      <c r="N4297" s="15"/>
      <c r="O4297" s="12"/>
      <c r="P4297" s="34"/>
      <c r="Q4297" s="37"/>
      <c r="R4297" s="47"/>
      <c r="S4297" s="46"/>
    </row>
    <row r="4298" spans="1:19" ht="15.6" hidden="1" customHeight="1" thickBot="1" x14ac:dyDescent="0.3">
      <c r="A4298" t="s">
        <v>23</v>
      </c>
      <c r="B4298" s="60" t="str">
        <f t="shared" si="3078"/>
        <v>hide</v>
      </c>
      <c r="D4298" s="48" t="str">
        <f>D4297</f>
        <v>58374</v>
      </c>
      <c r="E4298" s="7"/>
      <c r="F4298" s="27">
        <v>0</v>
      </c>
      <c r="G4298" s="27">
        <v>0</v>
      </c>
      <c r="H4298" s="27">
        <v>0</v>
      </c>
      <c r="I4298" s="27">
        <v>0</v>
      </c>
      <c r="J4298" s="27">
        <v>0</v>
      </c>
      <c r="K4298" s="63">
        <f>AVERAGE(I4298:J4298)</f>
        <v>0</v>
      </c>
      <c r="L4298" s="56" t="str">
        <f>"SW-COMAS-PACKL"</f>
        <v>SW-COMAS-PACKL</v>
      </c>
      <c r="M4298" s="14"/>
      <c r="N4298" s="15"/>
      <c r="O4298" s="12"/>
      <c r="P4298" s="34"/>
      <c r="Q4298" s="37"/>
      <c r="R4298" s="47"/>
      <c r="S4298" s="46"/>
    </row>
    <row r="4299" spans="1:19" ht="15.6" hidden="1" customHeight="1" thickBot="1" x14ac:dyDescent="0.3">
      <c r="A4299" t="s">
        <v>23</v>
      </c>
      <c r="B4299" s="60" t="str">
        <f t="shared" si="3078"/>
        <v>hide</v>
      </c>
      <c r="D4299" s="48" t="str">
        <f>D4298</f>
        <v>58374</v>
      </c>
      <c r="E4299" s="7"/>
      <c r="F4299" s="27">
        <v>0</v>
      </c>
      <c r="G4299" s="27">
        <v>0</v>
      </c>
      <c r="H4299" s="27">
        <v>0</v>
      </c>
      <c r="I4299" s="27">
        <v>0</v>
      </c>
      <c r="J4299" s="27">
        <v>0</v>
      </c>
      <c r="K4299" s="63">
        <f>AVERAGE(I4299:J4299)</f>
        <v>0</v>
      </c>
      <c r="L4299" s="56" t="str">
        <f>"SW-RISER-PACK"</f>
        <v>SW-RISER-PACK</v>
      </c>
      <c r="M4299" s="14"/>
      <c r="N4299" s="15"/>
      <c r="O4299" s="12"/>
      <c r="P4299" s="34"/>
      <c r="Q4299" s="37"/>
      <c r="R4299" s="47"/>
      <c r="S4299" s="46"/>
    </row>
    <row r="4300" spans="1:19" ht="12" hidden="1" customHeight="1" x14ac:dyDescent="0.3">
      <c r="A4300" s="35" t="s">
        <v>908</v>
      </c>
      <c r="B4300" s="49" t="str">
        <f>B4296</f>
        <v>hide</v>
      </c>
      <c r="N4300"/>
      <c r="Q4300" s="33"/>
    </row>
    <row r="4301" spans="1:19" ht="13.8" hidden="1" thickBot="1" x14ac:dyDescent="0.3">
      <c r="A4301" t="s">
        <v>23</v>
      </c>
      <c r="B4301" s="49" t="str">
        <f t="shared" ref="B4301" si="3079">B4300</f>
        <v>hide</v>
      </c>
      <c r="D4301" s="58"/>
      <c r="E4301" s="58"/>
      <c r="F4301" s="52">
        <f>SUM(F4296:F4300)</f>
        <v>0</v>
      </c>
      <c r="G4301" s="52">
        <f>SUM(G4296:G4300)</f>
        <v>0</v>
      </c>
      <c r="H4301" s="52">
        <f>SUM(H4296:H4300)</f>
        <v>0</v>
      </c>
      <c r="I4301" s="52">
        <f>SUM(I4296:I4300)</f>
        <v>0</v>
      </c>
      <c r="J4301" s="52">
        <f>SUM(J4296:J4300)</f>
        <v>0</v>
      </c>
      <c r="K4301" s="52"/>
      <c r="L4301" s="51" t="s">
        <v>4</v>
      </c>
      <c r="M4301" s="58"/>
      <c r="N4301" s="58"/>
      <c r="O4301" s="58"/>
      <c r="P4301" s="58"/>
      <c r="Q4301" s="58"/>
      <c r="R4301" s="58"/>
      <c r="S4301" s="58"/>
    </row>
    <row r="4302" spans="1:19" s="59" customFormat="1" ht="18.75" customHeight="1" thickBot="1" x14ac:dyDescent="0.3">
      <c r="A4302" s="59" t="s">
        <v>23</v>
      </c>
      <c r="B4302" s="60" t="str">
        <f t="shared" ref="B4302:B4303" si="3080">IF(K4302=0,"hide","")</f>
        <v/>
      </c>
      <c r="D4302" s="61" t="str">
        <f>"59601"</f>
        <v>59601</v>
      </c>
      <c r="E4302" s="62" t="str">
        <f>"3"</f>
        <v>3</v>
      </c>
      <c r="F4302" s="63">
        <v>350</v>
      </c>
      <c r="G4302" s="63">
        <v>322.75</v>
      </c>
      <c r="H4302" s="63">
        <v>382.16666666666669</v>
      </c>
      <c r="I4302" s="63">
        <v>358.08333333333331</v>
      </c>
      <c r="J4302" s="63">
        <v>284.0910843373494</v>
      </c>
      <c r="K4302" s="63">
        <f>AVERAGE(I4302:J4302)</f>
        <v>321.08720883534136</v>
      </c>
      <c r="L4302" s="64" t="str">
        <f>"BLUEBERRY MUFFINS"</f>
        <v>BLUEBERRY MUFFINS</v>
      </c>
      <c r="M4302" s="65" t="str">
        <f>"36-5 oz. 18-2 pack"</f>
        <v>36-5 oz. 18-2 pack</v>
      </c>
      <c r="N4302" s="66">
        <v>36</v>
      </c>
      <c r="O4302" s="67" t="str">
        <f>""</f>
        <v/>
      </c>
      <c r="P4302" s="68" t="e">
        <f>1/O4302</f>
        <v>#VALUE!</v>
      </c>
      <c r="Q4302" s="53">
        <v>1</v>
      </c>
      <c r="R4302" s="69">
        <f t="shared" ref="R4302" si="3081">1/Q4302</f>
        <v>1</v>
      </c>
      <c r="S4302" s="70">
        <f t="shared" ref="S4302" si="3082">R4302*N4302</f>
        <v>36</v>
      </c>
    </row>
    <row r="4303" spans="1:19" ht="15.6" hidden="1" customHeight="1" thickBot="1" x14ac:dyDescent="0.3">
      <c r="A4303" t="s">
        <v>23</v>
      </c>
      <c r="B4303" s="60" t="str">
        <f t="shared" si="3080"/>
        <v>hide</v>
      </c>
      <c r="D4303" s="48" t="str">
        <f>D4302</f>
        <v>59601</v>
      </c>
      <c r="E4303" s="7"/>
      <c r="F4303" s="27">
        <v>0</v>
      </c>
      <c r="G4303" s="27">
        <v>0</v>
      </c>
      <c r="H4303" s="27">
        <v>0</v>
      </c>
      <c r="I4303" s="27">
        <v>0</v>
      </c>
      <c r="J4303" s="27">
        <v>0</v>
      </c>
      <c r="K4303" s="63">
        <f>AVERAGE(I4303:J4303)</f>
        <v>0</v>
      </c>
      <c r="L4303" s="56" t="str">
        <f>"EQP-LAWPACK1"</f>
        <v>EQP-LAWPACK1</v>
      </c>
      <c r="M4303" s="14"/>
      <c r="N4303" s="15"/>
      <c r="O4303" s="12"/>
      <c r="P4303" s="34"/>
      <c r="Q4303" s="37"/>
      <c r="R4303" s="47"/>
      <c r="S4303" s="46"/>
    </row>
    <row r="4304" spans="1:19" ht="15.6" hidden="1" customHeight="1" thickBot="1" x14ac:dyDescent="0.3">
      <c r="A4304" t="s">
        <v>23</v>
      </c>
      <c r="B4304" s="60" t="str">
        <f t="shared" ref="B4304:B4306" si="3083">IF(K4304=0,"hide","")</f>
        <v>hide</v>
      </c>
      <c r="D4304" s="48" t="str">
        <f>D4303</f>
        <v>59601</v>
      </c>
      <c r="E4304" s="7"/>
      <c r="F4304" s="27">
        <v>0</v>
      </c>
      <c r="G4304" s="27">
        <v>0</v>
      </c>
      <c r="H4304" s="27">
        <v>0</v>
      </c>
      <c r="I4304" s="27">
        <v>0</v>
      </c>
      <c r="J4304" s="27">
        <v>0</v>
      </c>
      <c r="K4304" s="63">
        <f>AVERAGE(I4304:J4304)</f>
        <v>0</v>
      </c>
      <c r="L4304" s="56" t="str">
        <f>"EQP-LAWPACK2"</f>
        <v>EQP-LAWPACK2</v>
      </c>
      <c r="M4304" s="14"/>
      <c r="N4304" s="15"/>
      <c r="O4304" s="12"/>
      <c r="P4304" s="34"/>
      <c r="Q4304" s="37"/>
      <c r="R4304" s="47"/>
      <c r="S4304" s="46"/>
    </row>
    <row r="4305" spans="1:19" ht="15.6" hidden="1" customHeight="1" thickBot="1" x14ac:dyDescent="0.3">
      <c r="A4305" t="s">
        <v>23</v>
      </c>
      <c r="B4305" s="60" t="str">
        <f t="shared" si="3083"/>
        <v>hide</v>
      </c>
      <c r="D4305" s="48" t="str">
        <f>D4304</f>
        <v>59601</v>
      </c>
      <c r="E4305" s="7"/>
      <c r="F4305" s="27">
        <v>0</v>
      </c>
      <c r="G4305" s="27">
        <v>0</v>
      </c>
      <c r="H4305" s="27">
        <v>0</v>
      </c>
      <c r="I4305" s="27">
        <v>0</v>
      </c>
      <c r="J4305" s="27">
        <v>0</v>
      </c>
      <c r="K4305" s="63">
        <f>AVERAGE(I4305:J4305)</f>
        <v>0</v>
      </c>
      <c r="L4305" s="56" t="str">
        <f>"SW-COMAS-PACKL"</f>
        <v>SW-COMAS-PACKL</v>
      </c>
      <c r="M4305" s="14"/>
      <c r="N4305" s="15"/>
      <c r="O4305" s="12"/>
      <c r="P4305" s="34"/>
      <c r="Q4305" s="37"/>
      <c r="R4305" s="47"/>
      <c r="S4305" s="46"/>
    </row>
    <row r="4306" spans="1:19" ht="15.6" hidden="1" customHeight="1" thickBot="1" x14ac:dyDescent="0.3">
      <c r="A4306" t="s">
        <v>23</v>
      </c>
      <c r="B4306" s="60" t="str">
        <f t="shared" si="3083"/>
        <v>hide</v>
      </c>
      <c r="D4306" s="48" t="str">
        <f>D4305</f>
        <v>59601</v>
      </c>
      <c r="E4306" s="7"/>
      <c r="F4306" s="27">
        <v>0</v>
      </c>
      <c r="G4306" s="27">
        <v>0</v>
      </c>
      <c r="H4306" s="27">
        <v>0</v>
      </c>
      <c r="I4306" s="27">
        <v>0</v>
      </c>
      <c r="J4306" s="27">
        <v>0</v>
      </c>
      <c r="K4306" s="63">
        <f>AVERAGE(I4306:J4306)</f>
        <v>0</v>
      </c>
      <c r="L4306" s="56" t="str">
        <f>"SW-RISER-PACK"</f>
        <v>SW-RISER-PACK</v>
      </c>
      <c r="M4306" s="14"/>
      <c r="N4306" s="15"/>
      <c r="O4306" s="12"/>
      <c r="P4306" s="34"/>
      <c r="Q4306" s="37"/>
      <c r="R4306" s="47"/>
      <c r="S4306" s="46"/>
    </row>
    <row r="4307" spans="1:19" ht="12" hidden="1" customHeight="1" x14ac:dyDescent="0.3">
      <c r="A4307" s="35" t="s">
        <v>908</v>
      </c>
      <c r="B4307" s="49" t="str">
        <f>B4303</f>
        <v>hide</v>
      </c>
      <c r="N4307"/>
      <c r="Q4307" s="33"/>
    </row>
    <row r="4308" spans="1:19" ht="13.8" hidden="1" thickBot="1" x14ac:dyDescent="0.3">
      <c r="A4308" t="s">
        <v>23</v>
      </c>
      <c r="B4308" s="49" t="str">
        <f t="shared" ref="B4308" si="3084">B4307</f>
        <v>hide</v>
      </c>
      <c r="D4308" s="58"/>
      <c r="E4308" s="58"/>
      <c r="F4308" s="52">
        <f>SUM(F4303:F4307)</f>
        <v>0</v>
      </c>
      <c r="G4308" s="52">
        <f>SUM(G4303:G4307)</f>
        <v>0</v>
      </c>
      <c r="H4308" s="52">
        <f>SUM(H4303:H4307)</f>
        <v>0</v>
      </c>
      <c r="I4308" s="52">
        <f>SUM(I4303:I4307)</f>
        <v>0</v>
      </c>
      <c r="J4308" s="52">
        <f>SUM(J4303:J4307)</f>
        <v>0</v>
      </c>
      <c r="K4308" s="52"/>
      <c r="L4308" s="51" t="s">
        <v>4</v>
      </c>
      <c r="M4308" s="58"/>
      <c r="N4308" s="58"/>
      <c r="O4308" s="58"/>
      <c r="P4308" s="58"/>
      <c r="Q4308" s="58"/>
      <c r="R4308" s="58"/>
      <c r="S4308" s="58"/>
    </row>
    <row r="4309" spans="1:19" s="59" customFormat="1" ht="18.75" customHeight="1" thickBot="1" x14ac:dyDescent="0.3">
      <c r="A4309" s="59" t="s">
        <v>23</v>
      </c>
      <c r="B4309" s="60" t="str">
        <f t="shared" ref="B4309:B4310" si="3085">IF(K4309=0,"hide","")</f>
        <v/>
      </c>
      <c r="D4309" s="61" t="str">
        <f>"59605"</f>
        <v>59605</v>
      </c>
      <c r="E4309" s="62" t="str">
        <f>"2"</f>
        <v>2</v>
      </c>
      <c r="F4309" s="63">
        <v>196</v>
      </c>
      <c r="G4309" s="63">
        <v>185.25</v>
      </c>
      <c r="H4309" s="63">
        <v>218.66666666666666</v>
      </c>
      <c r="I4309" s="63">
        <v>195.83333333333334</v>
      </c>
      <c r="J4309" s="63">
        <v>160.38939759036145</v>
      </c>
      <c r="K4309" s="63">
        <f>AVERAGE(I4309:J4309)</f>
        <v>178.11136546184741</v>
      </c>
      <c r="L4309" s="64" t="str">
        <f>"CORN MUFFINS"</f>
        <v>CORN MUFFINS</v>
      </c>
      <c r="M4309" s="65" t="str">
        <f>"36-5 oz. 18-2 pack"</f>
        <v>36-5 oz. 18-2 pack</v>
      </c>
      <c r="N4309" s="66">
        <v>36</v>
      </c>
      <c r="O4309" s="67">
        <v>0</v>
      </c>
      <c r="P4309" s="68" t="e">
        <f>1/O4309</f>
        <v>#DIV/0!</v>
      </c>
      <c r="Q4309" s="53">
        <v>0</v>
      </c>
      <c r="R4309" s="69" t="e">
        <f t="shared" ref="R4309" si="3086">1/Q4309</f>
        <v>#DIV/0!</v>
      </c>
      <c r="S4309" s="70" t="e">
        <f t="shared" ref="S4309" si="3087">R4309*N4309</f>
        <v>#DIV/0!</v>
      </c>
    </row>
    <row r="4310" spans="1:19" ht="15.6" hidden="1" customHeight="1" thickBot="1" x14ac:dyDescent="0.3">
      <c r="A4310" t="s">
        <v>23</v>
      </c>
      <c r="B4310" s="60" t="str">
        <f t="shared" si="3085"/>
        <v>hide</v>
      </c>
      <c r="D4310" s="48" t="str">
        <f>D4309</f>
        <v>59605</v>
      </c>
      <c r="E4310" s="7"/>
      <c r="F4310" s="27">
        <v>0</v>
      </c>
      <c r="G4310" s="27">
        <v>0</v>
      </c>
      <c r="H4310" s="27">
        <v>0</v>
      </c>
      <c r="I4310" s="27">
        <v>0</v>
      </c>
      <c r="J4310" s="27">
        <v>0</v>
      </c>
      <c r="K4310" s="63">
        <f>AVERAGE(I4310:J4310)</f>
        <v>0</v>
      </c>
      <c r="L4310" s="56" t="str">
        <f>"EQP-LAWPACK1"</f>
        <v>EQP-LAWPACK1</v>
      </c>
      <c r="M4310" s="14"/>
      <c r="N4310" s="15"/>
      <c r="O4310" s="12"/>
      <c r="P4310" s="34"/>
      <c r="Q4310" s="37"/>
      <c r="R4310" s="47"/>
      <c r="S4310" s="46"/>
    </row>
    <row r="4311" spans="1:19" ht="15.6" hidden="1" customHeight="1" thickBot="1" x14ac:dyDescent="0.3">
      <c r="A4311" t="s">
        <v>23</v>
      </c>
      <c r="B4311" s="60" t="str">
        <f t="shared" ref="B4311:B4313" si="3088">IF(K4311=0,"hide","")</f>
        <v>hide</v>
      </c>
      <c r="D4311" s="48" t="str">
        <f>D4310</f>
        <v>59605</v>
      </c>
      <c r="E4311" s="7"/>
      <c r="F4311" s="27">
        <v>0</v>
      </c>
      <c r="G4311" s="27">
        <v>0</v>
      </c>
      <c r="H4311" s="27">
        <v>0</v>
      </c>
      <c r="I4311" s="27">
        <v>0</v>
      </c>
      <c r="J4311" s="27">
        <v>0</v>
      </c>
      <c r="K4311" s="63">
        <f>AVERAGE(I4311:J4311)</f>
        <v>0</v>
      </c>
      <c r="L4311" s="56" t="str">
        <f>"EQP-LAWPACK2"</f>
        <v>EQP-LAWPACK2</v>
      </c>
      <c r="M4311" s="14"/>
      <c r="N4311" s="15"/>
      <c r="O4311" s="12"/>
      <c r="P4311" s="34"/>
      <c r="Q4311" s="37"/>
      <c r="R4311" s="47"/>
      <c r="S4311" s="46"/>
    </row>
    <row r="4312" spans="1:19" ht="15.6" hidden="1" customHeight="1" thickBot="1" x14ac:dyDescent="0.3">
      <c r="A4312" t="s">
        <v>23</v>
      </c>
      <c r="B4312" s="60" t="str">
        <f t="shared" si="3088"/>
        <v>hide</v>
      </c>
      <c r="D4312" s="48" t="str">
        <f>D4311</f>
        <v>59605</v>
      </c>
      <c r="E4312" s="7"/>
      <c r="F4312" s="27">
        <v>0</v>
      </c>
      <c r="G4312" s="27">
        <v>0</v>
      </c>
      <c r="H4312" s="27">
        <v>0</v>
      </c>
      <c r="I4312" s="27">
        <v>0</v>
      </c>
      <c r="J4312" s="27">
        <v>0</v>
      </c>
      <c r="K4312" s="63">
        <f>AVERAGE(I4312:J4312)</f>
        <v>0</v>
      </c>
      <c r="L4312" s="56" t="str">
        <f>"SW-COMAS-PACKL"</f>
        <v>SW-COMAS-PACKL</v>
      </c>
      <c r="M4312" s="14"/>
      <c r="N4312" s="15"/>
      <c r="O4312" s="12"/>
      <c r="P4312" s="34"/>
      <c r="Q4312" s="37"/>
      <c r="R4312" s="47"/>
      <c r="S4312" s="46"/>
    </row>
    <row r="4313" spans="1:19" ht="15.6" hidden="1" customHeight="1" thickBot="1" x14ac:dyDescent="0.3">
      <c r="A4313" t="s">
        <v>23</v>
      </c>
      <c r="B4313" s="60" t="str">
        <f t="shared" si="3088"/>
        <v>hide</v>
      </c>
      <c r="D4313" s="48" t="str">
        <f>D4312</f>
        <v>59605</v>
      </c>
      <c r="E4313" s="7"/>
      <c r="F4313" s="27">
        <v>0</v>
      </c>
      <c r="G4313" s="27">
        <v>0</v>
      </c>
      <c r="H4313" s="27">
        <v>0</v>
      </c>
      <c r="I4313" s="27">
        <v>0</v>
      </c>
      <c r="J4313" s="27">
        <v>0</v>
      </c>
      <c r="K4313" s="63">
        <f>AVERAGE(I4313:J4313)</f>
        <v>0</v>
      </c>
      <c r="L4313" s="56" t="str">
        <f>"SW-RISER-PACK"</f>
        <v>SW-RISER-PACK</v>
      </c>
      <c r="M4313" s="14"/>
      <c r="N4313" s="15"/>
      <c r="O4313" s="12"/>
      <c r="P4313" s="34"/>
      <c r="Q4313" s="37"/>
      <c r="R4313" s="47"/>
      <c r="S4313" s="46"/>
    </row>
    <row r="4314" spans="1:19" ht="12" hidden="1" customHeight="1" x14ac:dyDescent="0.3">
      <c r="A4314" s="35" t="s">
        <v>908</v>
      </c>
      <c r="B4314" s="49" t="str">
        <f>B4310</f>
        <v>hide</v>
      </c>
      <c r="N4314"/>
      <c r="Q4314" s="33"/>
    </row>
    <row r="4315" spans="1:19" ht="13.8" hidden="1" thickBot="1" x14ac:dyDescent="0.3">
      <c r="A4315" t="s">
        <v>23</v>
      </c>
      <c r="B4315" s="49" t="str">
        <f t="shared" ref="B4315" si="3089">B4314</f>
        <v>hide</v>
      </c>
      <c r="D4315" s="58"/>
      <c r="E4315" s="58"/>
      <c r="F4315" s="52">
        <f>SUM(F4310:F4314)</f>
        <v>0</v>
      </c>
      <c r="G4315" s="52">
        <f>SUM(G4310:G4314)</f>
        <v>0</v>
      </c>
      <c r="H4315" s="52">
        <f>SUM(H4310:H4314)</f>
        <v>0</v>
      </c>
      <c r="I4315" s="52">
        <f>SUM(I4310:I4314)</f>
        <v>0</v>
      </c>
      <c r="J4315" s="52">
        <f>SUM(J4310:J4314)</f>
        <v>0</v>
      </c>
      <c r="K4315" s="52"/>
      <c r="L4315" s="51" t="s">
        <v>4</v>
      </c>
      <c r="M4315" s="58"/>
      <c r="N4315" s="58"/>
      <c r="O4315" s="58"/>
      <c r="P4315" s="58"/>
      <c r="Q4315" s="58"/>
      <c r="R4315" s="58"/>
      <c r="S4315" s="58"/>
    </row>
    <row r="4316" spans="1:19" s="59" customFormat="1" ht="18.75" customHeight="1" thickBot="1" x14ac:dyDescent="0.3">
      <c r="A4316" s="59" t="s">
        <v>23</v>
      </c>
      <c r="B4316" s="60" t="str">
        <f t="shared" ref="B4316:B4317" si="3090">IF(K4316=0,"hide","")</f>
        <v/>
      </c>
      <c r="D4316" s="61" t="str">
        <f>"59609"</f>
        <v>59609</v>
      </c>
      <c r="E4316" s="62" t="str">
        <f>"2"</f>
        <v>2</v>
      </c>
      <c r="F4316" s="63">
        <v>205.25</v>
      </c>
      <c r="G4316" s="63">
        <v>198.75</v>
      </c>
      <c r="H4316" s="63">
        <v>226.75</v>
      </c>
      <c r="I4316" s="63">
        <v>189.66666666666666</v>
      </c>
      <c r="J4316" s="63">
        <v>143.20481927710844</v>
      </c>
      <c r="K4316" s="63">
        <f>AVERAGE(I4316:J4316)</f>
        <v>166.43574297188755</v>
      </c>
      <c r="L4316" s="64" t="str">
        <f>"RAISIN BRAN MUFFINS"</f>
        <v>RAISIN BRAN MUFFINS</v>
      </c>
      <c r="M4316" s="65" t="str">
        <f>"36-5 oz. 18-2 pack"</f>
        <v>36-5 oz. 18-2 pack</v>
      </c>
      <c r="N4316" s="66">
        <v>36</v>
      </c>
      <c r="O4316" s="67" t="str">
        <f>""</f>
        <v/>
      </c>
      <c r="P4316" s="68" t="e">
        <f>1/O4316</f>
        <v>#VALUE!</v>
      </c>
      <c r="Q4316" s="53">
        <v>1</v>
      </c>
      <c r="R4316" s="69">
        <f t="shared" ref="R4316" si="3091">1/Q4316</f>
        <v>1</v>
      </c>
      <c r="S4316" s="70">
        <f t="shared" ref="S4316" si="3092">R4316*N4316</f>
        <v>36</v>
      </c>
    </row>
    <row r="4317" spans="1:19" ht="15.6" hidden="1" customHeight="1" thickBot="1" x14ac:dyDescent="0.3">
      <c r="A4317" t="s">
        <v>23</v>
      </c>
      <c r="B4317" s="60" t="str">
        <f t="shared" si="3090"/>
        <v>hide</v>
      </c>
      <c r="D4317" s="48" t="str">
        <f>D4316</f>
        <v>59609</v>
      </c>
      <c r="E4317" s="7"/>
      <c r="F4317" s="27">
        <v>0</v>
      </c>
      <c r="G4317" s="27">
        <v>0</v>
      </c>
      <c r="H4317" s="27">
        <v>0</v>
      </c>
      <c r="I4317" s="27">
        <v>0</v>
      </c>
      <c r="J4317" s="27">
        <v>0</v>
      </c>
      <c r="K4317" s="63">
        <f>AVERAGE(I4317:J4317)</f>
        <v>0</v>
      </c>
      <c r="L4317" s="56" t="str">
        <f>"EQP-LAWPACK1"</f>
        <v>EQP-LAWPACK1</v>
      </c>
      <c r="M4317" s="14"/>
      <c r="N4317" s="15"/>
      <c r="O4317" s="12"/>
      <c r="P4317" s="34"/>
      <c r="Q4317" s="37"/>
      <c r="R4317" s="47"/>
      <c r="S4317" s="46"/>
    </row>
    <row r="4318" spans="1:19" ht="15.6" hidden="1" customHeight="1" thickBot="1" x14ac:dyDescent="0.3">
      <c r="A4318" t="s">
        <v>23</v>
      </c>
      <c r="B4318" s="60" t="str">
        <f t="shared" ref="B4318:B4320" si="3093">IF(K4318=0,"hide","")</f>
        <v>hide</v>
      </c>
      <c r="D4318" s="48" t="str">
        <f>D4317</f>
        <v>59609</v>
      </c>
      <c r="E4318" s="7"/>
      <c r="F4318" s="27">
        <v>0</v>
      </c>
      <c r="G4318" s="27">
        <v>0</v>
      </c>
      <c r="H4318" s="27">
        <v>0</v>
      </c>
      <c r="I4318" s="27">
        <v>0</v>
      </c>
      <c r="J4318" s="27">
        <v>0</v>
      </c>
      <c r="K4318" s="63">
        <f>AVERAGE(I4318:J4318)</f>
        <v>0</v>
      </c>
      <c r="L4318" s="56" t="str">
        <f>"EQP-LAWPACK2"</f>
        <v>EQP-LAWPACK2</v>
      </c>
      <c r="M4318" s="14"/>
      <c r="N4318" s="15"/>
      <c r="O4318" s="12"/>
      <c r="P4318" s="34"/>
      <c r="Q4318" s="37"/>
      <c r="R4318" s="47"/>
      <c r="S4318" s="46"/>
    </row>
    <row r="4319" spans="1:19" ht="15.6" hidden="1" customHeight="1" thickBot="1" x14ac:dyDescent="0.3">
      <c r="A4319" t="s">
        <v>23</v>
      </c>
      <c r="B4319" s="60" t="str">
        <f t="shared" si="3093"/>
        <v>hide</v>
      </c>
      <c r="D4319" s="48" t="str">
        <f>D4318</f>
        <v>59609</v>
      </c>
      <c r="E4319" s="7"/>
      <c r="F4319" s="27">
        <v>0</v>
      </c>
      <c r="G4319" s="27">
        <v>0</v>
      </c>
      <c r="H4319" s="27">
        <v>0</v>
      </c>
      <c r="I4319" s="27">
        <v>0</v>
      </c>
      <c r="J4319" s="27">
        <v>0</v>
      </c>
      <c r="K4319" s="63">
        <f>AVERAGE(I4319:J4319)</f>
        <v>0</v>
      </c>
      <c r="L4319" s="56" t="str">
        <f>"SW-COMAS-PACKL"</f>
        <v>SW-COMAS-PACKL</v>
      </c>
      <c r="M4319" s="14"/>
      <c r="N4319" s="15"/>
      <c r="O4319" s="12"/>
      <c r="P4319" s="34"/>
      <c r="Q4319" s="37"/>
      <c r="R4319" s="47"/>
      <c r="S4319" s="46"/>
    </row>
    <row r="4320" spans="1:19" ht="15.6" hidden="1" customHeight="1" thickBot="1" x14ac:dyDescent="0.3">
      <c r="A4320" t="s">
        <v>23</v>
      </c>
      <c r="B4320" s="60" t="str">
        <f t="shared" si="3093"/>
        <v>hide</v>
      </c>
      <c r="D4320" s="48" t="str">
        <f>D4319</f>
        <v>59609</v>
      </c>
      <c r="E4320" s="7"/>
      <c r="F4320" s="27">
        <v>0</v>
      </c>
      <c r="G4320" s="27">
        <v>0</v>
      </c>
      <c r="H4320" s="27">
        <v>0</v>
      </c>
      <c r="I4320" s="27">
        <v>0</v>
      </c>
      <c r="J4320" s="27">
        <v>0</v>
      </c>
      <c r="K4320" s="63">
        <f>AVERAGE(I4320:J4320)</f>
        <v>0</v>
      </c>
      <c r="L4320" s="56" t="str">
        <f>"SW-RISER-PACK"</f>
        <v>SW-RISER-PACK</v>
      </c>
      <c r="M4320" s="14"/>
      <c r="N4320" s="15"/>
      <c r="O4320" s="12"/>
      <c r="P4320" s="34"/>
      <c r="Q4320" s="37"/>
      <c r="R4320" s="47"/>
      <c r="S4320" s="46"/>
    </row>
    <row r="4321" spans="1:19" ht="12" hidden="1" customHeight="1" x14ac:dyDescent="0.3">
      <c r="A4321" s="35" t="s">
        <v>908</v>
      </c>
      <c r="B4321" s="49" t="str">
        <f>B4317</f>
        <v>hide</v>
      </c>
      <c r="N4321"/>
      <c r="Q4321" s="33"/>
    </row>
    <row r="4322" spans="1:19" ht="13.8" hidden="1" thickBot="1" x14ac:dyDescent="0.3">
      <c r="A4322" t="s">
        <v>23</v>
      </c>
      <c r="B4322" s="49" t="str">
        <f t="shared" ref="B4322" si="3094">B4321</f>
        <v>hide</v>
      </c>
      <c r="D4322" s="58"/>
      <c r="E4322" s="58"/>
      <c r="F4322" s="52">
        <f>SUM(F4317:F4321)</f>
        <v>0</v>
      </c>
      <c r="G4322" s="52">
        <f>SUM(G4317:G4321)</f>
        <v>0</v>
      </c>
      <c r="H4322" s="52">
        <f>SUM(H4317:H4321)</f>
        <v>0</v>
      </c>
      <c r="I4322" s="52">
        <f>SUM(I4317:I4321)</f>
        <v>0</v>
      </c>
      <c r="J4322" s="52">
        <f>SUM(J4317:J4321)</f>
        <v>0</v>
      </c>
      <c r="K4322" s="52"/>
      <c r="L4322" s="51" t="s">
        <v>4</v>
      </c>
      <c r="M4322" s="58"/>
      <c r="N4322" s="58"/>
      <c r="O4322" s="58"/>
      <c r="P4322" s="58"/>
      <c r="Q4322" s="58"/>
      <c r="R4322" s="58"/>
      <c r="S4322" s="58"/>
    </row>
    <row r="4323" spans="1:19" s="59" customFormat="1" ht="18.75" customHeight="1" thickBot="1" x14ac:dyDescent="0.3">
      <c r="A4323" s="59" t="s">
        <v>23</v>
      </c>
      <c r="B4323" s="60" t="str">
        <f t="shared" ref="B4323:B4324" si="3095">IF(K4323=0,"hide","")</f>
        <v/>
      </c>
      <c r="D4323" s="61" t="str">
        <f>"59636"</f>
        <v>59636</v>
      </c>
      <c r="E4323" s="62" t="str">
        <f>"3"</f>
        <v>3</v>
      </c>
      <c r="F4323" s="63">
        <v>234.5</v>
      </c>
      <c r="G4323" s="63">
        <v>199.41666666666666</v>
      </c>
      <c r="H4323" s="63">
        <v>242.25</v>
      </c>
      <c r="I4323" s="63">
        <v>225</v>
      </c>
      <c r="J4323" s="63">
        <v>180.43807228915662</v>
      </c>
      <c r="K4323" s="63">
        <f>AVERAGE(I4323:J4323)</f>
        <v>202.7190361445783</v>
      </c>
      <c r="L4323" s="64" t="str">
        <f>"COFFEE CAKE MUFFINS"</f>
        <v>COFFEE CAKE MUFFINS</v>
      </c>
      <c r="M4323" s="65" t="str">
        <f>"36-5 oz. 18-2 pack"</f>
        <v>36-5 oz. 18-2 pack</v>
      </c>
      <c r="N4323" s="66">
        <v>36</v>
      </c>
      <c r="O4323" s="67" t="str">
        <f>""</f>
        <v/>
      </c>
      <c r="P4323" s="68" t="e">
        <f>1/O4323</f>
        <v>#VALUE!</v>
      </c>
      <c r="Q4323" s="53">
        <v>1</v>
      </c>
      <c r="R4323" s="69">
        <f t="shared" ref="R4323" si="3096">1/Q4323</f>
        <v>1</v>
      </c>
      <c r="S4323" s="70">
        <f t="shared" ref="S4323" si="3097">R4323*N4323</f>
        <v>36</v>
      </c>
    </row>
    <row r="4324" spans="1:19" ht="15.6" hidden="1" customHeight="1" thickBot="1" x14ac:dyDescent="0.3">
      <c r="A4324" t="s">
        <v>23</v>
      </c>
      <c r="B4324" s="60" t="str">
        <f t="shared" si="3095"/>
        <v>hide</v>
      </c>
      <c r="D4324" s="48" t="str">
        <f>D4323</f>
        <v>59636</v>
      </c>
      <c r="E4324" s="7"/>
      <c r="F4324" s="27">
        <v>0</v>
      </c>
      <c r="G4324" s="27">
        <v>0</v>
      </c>
      <c r="H4324" s="27">
        <v>0</v>
      </c>
      <c r="I4324" s="27">
        <v>0</v>
      </c>
      <c r="J4324" s="27">
        <v>0</v>
      </c>
      <c r="K4324" s="63">
        <f>AVERAGE(I4324:J4324)</f>
        <v>0</v>
      </c>
      <c r="L4324" s="56" t="str">
        <f>"EQP-LAWPACK1"</f>
        <v>EQP-LAWPACK1</v>
      </c>
      <c r="M4324" s="14"/>
      <c r="N4324" s="15"/>
      <c r="O4324" s="12"/>
      <c r="P4324" s="34"/>
      <c r="Q4324" s="37"/>
      <c r="R4324" s="47"/>
      <c r="S4324" s="46"/>
    </row>
    <row r="4325" spans="1:19" ht="15.6" hidden="1" customHeight="1" thickBot="1" x14ac:dyDescent="0.3">
      <c r="A4325" t="s">
        <v>23</v>
      </c>
      <c r="B4325" s="60" t="str">
        <f t="shared" ref="B4325:B4327" si="3098">IF(K4325=0,"hide","")</f>
        <v>hide</v>
      </c>
      <c r="D4325" s="48" t="str">
        <f>D4324</f>
        <v>59636</v>
      </c>
      <c r="E4325" s="7"/>
      <c r="F4325" s="27">
        <v>0</v>
      </c>
      <c r="G4325" s="27">
        <v>0</v>
      </c>
      <c r="H4325" s="27">
        <v>0</v>
      </c>
      <c r="I4325" s="27">
        <v>0</v>
      </c>
      <c r="J4325" s="27">
        <v>0</v>
      </c>
      <c r="K4325" s="63">
        <f>AVERAGE(I4325:J4325)</f>
        <v>0</v>
      </c>
      <c r="L4325" s="56" t="str">
        <f>"EQP-LAWPACK2"</f>
        <v>EQP-LAWPACK2</v>
      </c>
      <c r="M4325" s="14"/>
      <c r="N4325" s="15"/>
      <c r="O4325" s="12"/>
      <c r="P4325" s="34"/>
      <c r="Q4325" s="37"/>
      <c r="R4325" s="47"/>
      <c r="S4325" s="46"/>
    </row>
    <row r="4326" spans="1:19" ht="15.6" hidden="1" customHeight="1" thickBot="1" x14ac:dyDescent="0.3">
      <c r="A4326" t="s">
        <v>23</v>
      </c>
      <c r="B4326" s="60" t="str">
        <f t="shared" si="3098"/>
        <v>hide</v>
      </c>
      <c r="D4326" s="48" t="str">
        <f>D4325</f>
        <v>59636</v>
      </c>
      <c r="E4326" s="7"/>
      <c r="F4326" s="27">
        <v>0</v>
      </c>
      <c r="G4326" s="27">
        <v>0</v>
      </c>
      <c r="H4326" s="27">
        <v>0</v>
      </c>
      <c r="I4326" s="27">
        <v>0</v>
      </c>
      <c r="J4326" s="27">
        <v>0</v>
      </c>
      <c r="K4326" s="63">
        <f>AVERAGE(I4326:J4326)</f>
        <v>0</v>
      </c>
      <c r="L4326" s="56" t="str">
        <f>"SW-COMAS-PACKL"</f>
        <v>SW-COMAS-PACKL</v>
      </c>
      <c r="M4326" s="14"/>
      <c r="N4326" s="15"/>
      <c r="O4326" s="12"/>
      <c r="P4326" s="34"/>
      <c r="Q4326" s="37"/>
      <c r="R4326" s="47"/>
      <c r="S4326" s="46"/>
    </row>
    <row r="4327" spans="1:19" ht="15.6" hidden="1" customHeight="1" thickBot="1" x14ac:dyDescent="0.3">
      <c r="A4327" t="s">
        <v>23</v>
      </c>
      <c r="B4327" s="60" t="str">
        <f t="shared" si="3098"/>
        <v>hide</v>
      </c>
      <c r="D4327" s="48" t="str">
        <f>D4326</f>
        <v>59636</v>
      </c>
      <c r="E4327" s="7"/>
      <c r="F4327" s="27">
        <v>0</v>
      </c>
      <c r="G4327" s="27">
        <v>0</v>
      </c>
      <c r="H4327" s="27">
        <v>0</v>
      </c>
      <c r="I4327" s="27">
        <v>0</v>
      </c>
      <c r="J4327" s="27">
        <v>0</v>
      </c>
      <c r="K4327" s="63">
        <f>AVERAGE(I4327:J4327)</f>
        <v>0</v>
      </c>
      <c r="L4327" s="56" t="str">
        <f>"SW-RISER-PACK"</f>
        <v>SW-RISER-PACK</v>
      </c>
      <c r="M4327" s="14"/>
      <c r="N4327" s="15"/>
      <c r="O4327" s="12"/>
      <c r="P4327" s="34"/>
      <c r="Q4327" s="37"/>
      <c r="R4327" s="47"/>
      <c r="S4327" s="46"/>
    </row>
    <row r="4328" spans="1:19" ht="12" hidden="1" customHeight="1" x14ac:dyDescent="0.3">
      <c r="A4328" s="35" t="s">
        <v>908</v>
      </c>
      <c r="B4328" s="49" t="str">
        <f>B4324</f>
        <v>hide</v>
      </c>
      <c r="N4328"/>
      <c r="Q4328" s="33"/>
    </row>
    <row r="4329" spans="1:19" ht="13.8" hidden="1" thickBot="1" x14ac:dyDescent="0.3">
      <c r="A4329" t="s">
        <v>23</v>
      </c>
      <c r="B4329" s="49" t="str">
        <f t="shared" ref="B4329" si="3099">B4328</f>
        <v>hide</v>
      </c>
      <c r="D4329" s="58"/>
      <c r="E4329" s="58"/>
      <c r="F4329" s="52">
        <f>SUM(F4324:F4328)</f>
        <v>0</v>
      </c>
      <c r="G4329" s="52">
        <f>SUM(G4324:G4328)</f>
        <v>0</v>
      </c>
      <c r="H4329" s="52">
        <f>SUM(H4324:H4328)</f>
        <v>0</v>
      </c>
      <c r="I4329" s="52">
        <f>SUM(I4324:I4328)</f>
        <v>0</v>
      </c>
      <c r="J4329" s="52">
        <f>SUM(J4324:J4328)</f>
        <v>0</v>
      </c>
      <c r="K4329" s="52"/>
      <c r="L4329" s="51" t="s">
        <v>4</v>
      </c>
      <c r="M4329" s="58"/>
      <c r="N4329" s="58"/>
      <c r="O4329" s="58"/>
      <c r="P4329" s="58"/>
      <c r="Q4329" s="58"/>
      <c r="R4329" s="58"/>
      <c r="S4329" s="58"/>
    </row>
    <row r="4330" spans="1:19" s="59" customFormat="1" ht="18.75" hidden="1" customHeight="1" thickBot="1" x14ac:dyDescent="0.3">
      <c r="A4330" s="59" t="s">
        <v>23</v>
      </c>
      <c r="B4330" s="60" t="str">
        <f t="shared" ref="B4330:B4331" si="3100">IF(K4330=0,"hide","")</f>
        <v>hide</v>
      </c>
      <c r="D4330" s="61" t="str">
        <f>"61103"</f>
        <v>61103</v>
      </c>
      <c r="E4330" s="62" t="str">
        <f>"1"</f>
        <v>1</v>
      </c>
      <c r="F4330" s="63">
        <v>0</v>
      </c>
      <c r="G4330" s="63">
        <v>710.83333333333337</v>
      </c>
      <c r="H4330" s="63">
        <v>0</v>
      </c>
      <c r="I4330" s="63">
        <v>0</v>
      </c>
      <c r="J4330" s="63">
        <v>0</v>
      </c>
      <c r="K4330" s="63">
        <f>AVERAGE(I4330:J4330)</f>
        <v>0</v>
      </c>
      <c r="L4330" s="64" t="str">
        <f>"ES Lucky Charms Breakfast Packs"</f>
        <v>ES Lucky Charms Breakfast Packs</v>
      </c>
      <c r="M4330" s="65" t="str">
        <f>"60 units IW"</f>
        <v>60 units IW</v>
      </c>
      <c r="N4330" s="66">
        <v>0</v>
      </c>
      <c r="O4330" s="67">
        <v>0</v>
      </c>
      <c r="P4330" s="68" t="e">
        <f>1/O4330</f>
        <v>#DIV/0!</v>
      </c>
      <c r="Q4330" s="53">
        <v>0</v>
      </c>
      <c r="R4330" s="69" t="e">
        <f t="shared" ref="R4330" si="3101">1/Q4330</f>
        <v>#DIV/0!</v>
      </c>
      <c r="S4330" s="70" t="e">
        <f t="shared" ref="S4330" si="3102">R4330*N4330</f>
        <v>#DIV/0!</v>
      </c>
    </row>
    <row r="4331" spans="1:19" ht="15.6" hidden="1" customHeight="1" thickBot="1" x14ac:dyDescent="0.3">
      <c r="A4331" t="s">
        <v>23</v>
      </c>
      <c r="B4331" s="60" t="str">
        <f t="shared" si="3100"/>
        <v>hide</v>
      </c>
      <c r="D4331" s="48" t="str">
        <f>D4330</f>
        <v>61103</v>
      </c>
      <c r="E4331" s="7"/>
      <c r="F4331" s="27">
        <v>0</v>
      </c>
      <c r="G4331" s="27">
        <v>-321.91666666666669</v>
      </c>
      <c r="H4331" s="27">
        <v>0</v>
      </c>
      <c r="I4331" s="27">
        <v>0</v>
      </c>
      <c r="J4331" s="27">
        <v>0</v>
      </c>
      <c r="K4331" s="63">
        <f>AVERAGE(I4331:J4331)</f>
        <v>0</v>
      </c>
      <c r="L4331" s="56" t="str">
        <f>"EQP-LAWPACK1"</f>
        <v>EQP-LAWPACK1</v>
      </c>
      <c r="M4331" s="14"/>
      <c r="N4331" s="15"/>
      <c r="O4331" s="12"/>
      <c r="P4331" s="34"/>
      <c r="Q4331" s="37"/>
      <c r="R4331" s="47"/>
      <c r="S4331" s="46"/>
    </row>
    <row r="4332" spans="1:19" ht="15.6" hidden="1" customHeight="1" thickBot="1" x14ac:dyDescent="0.3">
      <c r="A4332" t="s">
        <v>23</v>
      </c>
      <c r="B4332" s="60" t="str">
        <f t="shared" ref="B4332:B4334" si="3103">IF(K4332=0,"hide","")</f>
        <v>hide</v>
      </c>
      <c r="D4332" s="48" t="str">
        <f>D4331</f>
        <v>61103</v>
      </c>
      <c r="E4332" s="7"/>
      <c r="F4332" s="27">
        <v>0</v>
      </c>
      <c r="G4332" s="27">
        <v>0</v>
      </c>
      <c r="H4332" s="27">
        <v>0</v>
      </c>
      <c r="I4332" s="27">
        <v>0</v>
      </c>
      <c r="J4332" s="27">
        <v>0</v>
      </c>
      <c r="K4332" s="63">
        <f>AVERAGE(I4332:J4332)</f>
        <v>0</v>
      </c>
      <c r="L4332" s="56" t="str">
        <f>"EQP-LAWPACK2"</f>
        <v>EQP-LAWPACK2</v>
      </c>
      <c r="M4332" s="14"/>
      <c r="N4332" s="15"/>
      <c r="O4332" s="12"/>
      <c r="P4332" s="34"/>
      <c r="Q4332" s="37"/>
      <c r="R4332" s="47"/>
      <c r="S4332" s="46"/>
    </row>
    <row r="4333" spans="1:19" ht="15.6" hidden="1" customHeight="1" thickBot="1" x14ac:dyDescent="0.3">
      <c r="A4333" t="s">
        <v>23</v>
      </c>
      <c r="B4333" s="60" t="str">
        <f t="shared" si="3103"/>
        <v>hide</v>
      </c>
      <c r="D4333" s="48" t="str">
        <f>D4332</f>
        <v>61103</v>
      </c>
      <c r="E4333" s="7"/>
      <c r="F4333" s="27">
        <v>0</v>
      </c>
      <c r="G4333" s="27">
        <v>0</v>
      </c>
      <c r="H4333" s="27">
        <v>0</v>
      </c>
      <c r="I4333" s="27">
        <v>0</v>
      </c>
      <c r="J4333" s="27">
        <v>0</v>
      </c>
      <c r="K4333" s="63">
        <f>AVERAGE(I4333:J4333)</f>
        <v>0</v>
      </c>
      <c r="L4333" s="56" t="str">
        <f>"SW-COMAS-PACKL"</f>
        <v>SW-COMAS-PACKL</v>
      </c>
      <c r="M4333" s="14"/>
      <c r="N4333" s="15"/>
      <c r="O4333" s="12"/>
      <c r="P4333" s="34"/>
      <c r="Q4333" s="37"/>
      <c r="R4333" s="47"/>
      <c r="S4333" s="46"/>
    </row>
    <row r="4334" spans="1:19" ht="15.6" hidden="1" customHeight="1" thickBot="1" x14ac:dyDescent="0.3">
      <c r="A4334" t="s">
        <v>23</v>
      </c>
      <c r="B4334" s="60" t="str">
        <f t="shared" si="3103"/>
        <v>hide</v>
      </c>
      <c r="D4334" s="48" t="str">
        <f>D4333</f>
        <v>61103</v>
      </c>
      <c r="E4334" s="7"/>
      <c r="F4334" s="27">
        <v>0</v>
      </c>
      <c r="G4334" s="27">
        <v>0</v>
      </c>
      <c r="H4334" s="27">
        <v>0</v>
      </c>
      <c r="I4334" s="27">
        <v>0</v>
      </c>
      <c r="J4334" s="27">
        <v>0</v>
      </c>
      <c r="K4334" s="63">
        <f>AVERAGE(I4334:J4334)</f>
        <v>0</v>
      </c>
      <c r="L4334" s="56" t="str">
        <f>"SW-RISER-PACK"</f>
        <v>SW-RISER-PACK</v>
      </c>
      <c r="M4334" s="14"/>
      <c r="N4334" s="15"/>
      <c r="O4334" s="12"/>
      <c r="P4334" s="34"/>
      <c r="Q4334" s="37"/>
      <c r="R4334" s="47"/>
      <c r="S4334" s="46"/>
    </row>
    <row r="4335" spans="1:19" ht="12" hidden="1" customHeight="1" x14ac:dyDescent="0.3">
      <c r="A4335" s="35" t="s">
        <v>908</v>
      </c>
      <c r="B4335" s="49" t="str">
        <f>B4331</f>
        <v>hide</v>
      </c>
      <c r="N4335"/>
      <c r="Q4335" s="33"/>
    </row>
    <row r="4336" spans="1:19" ht="13.8" hidden="1" thickBot="1" x14ac:dyDescent="0.3">
      <c r="A4336" t="s">
        <v>23</v>
      </c>
      <c r="B4336" s="49" t="str">
        <f t="shared" ref="B4336" si="3104">B4335</f>
        <v>hide</v>
      </c>
      <c r="D4336" s="58"/>
      <c r="E4336" s="58"/>
      <c r="F4336" s="52">
        <f>SUM(F4331:F4335)</f>
        <v>0</v>
      </c>
      <c r="G4336" s="52">
        <f>SUM(G4331:G4335)</f>
        <v>-321.91666666666669</v>
      </c>
      <c r="H4336" s="52">
        <f>SUM(H4331:H4335)</f>
        <v>0</v>
      </c>
      <c r="I4336" s="52">
        <f>SUM(I4331:I4335)</f>
        <v>0</v>
      </c>
      <c r="J4336" s="52">
        <f>SUM(J4331:J4335)</f>
        <v>0</v>
      </c>
      <c r="K4336" s="52"/>
      <c r="L4336" s="51" t="s">
        <v>4</v>
      </c>
      <c r="M4336" s="58"/>
      <c r="N4336" s="58"/>
      <c r="O4336" s="58"/>
      <c r="P4336" s="58"/>
      <c r="Q4336" s="58"/>
      <c r="R4336" s="58"/>
      <c r="S4336" s="58"/>
    </row>
    <row r="4337" spans="1:19" s="59" customFormat="1" ht="18.75" hidden="1" customHeight="1" thickBot="1" x14ac:dyDescent="0.3">
      <c r="A4337" s="59" t="s">
        <v>23</v>
      </c>
      <c r="B4337" s="60" t="str">
        <f t="shared" ref="B4337:B4338" si="3105">IF(K4337=0,"hide","")</f>
        <v>hide</v>
      </c>
      <c r="D4337" s="61" t="str">
        <f>"61114"</f>
        <v>61114</v>
      </c>
      <c r="E4337" s="62" t="str">
        <f>"1"</f>
        <v>1</v>
      </c>
      <c r="F4337" s="63">
        <v>0</v>
      </c>
      <c r="G4337" s="63">
        <v>742.91666666666663</v>
      </c>
      <c r="H4337" s="63">
        <v>0</v>
      </c>
      <c r="I4337" s="63">
        <v>0</v>
      </c>
      <c r="J4337" s="63">
        <v>0</v>
      </c>
      <c r="K4337" s="63">
        <f>AVERAGE(I4337:J4337)</f>
        <v>0</v>
      </c>
      <c r="L4337" s="64" t="str">
        <f>"ES Trix Breakfast Break"</f>
        <v>ES Trix Breakfast Break</v>
      </c>
      <c r="M4337" s="65" t="str">
        <f>"60 units IW"</f>
        <v>60 units IW</v>
      </c>
      <c r="N4337" s="66">
        <v>0</v>
      </c>
      <c r="O4337" s="67">
        <v>0</v>
      </c>
      <c r="P4337" s="68" t="e">
        <f>1/O4337</f>
        <v>#DIV/0!</v>
      </c>
      <c r="Q4337" s="53">
        <v>0</v>
      </c>
      <c r="R4337" s="69" t="e">
        <f t="shared" ref="R4337" si="3106">1/Q4337</f>
        <v>#DIV/0!</v>
      </c>
      <c r="S4337" s="70" t="e">
        <f t="shared" ref="S4337" si="3107">R4337*N4337</f>
        <v>#DIV/0!</v>
      </c>
    </row>
    <row r="4338" spans="1:19" ht="15.6" hidden="1" customHeight="1" thickBot="1" x14ac:dyDescent="0.3">
      <c r="A4338" t="s">
        <v>23</v>
      </c>
      <c r="B4338" s="60" t="str">
        <f t="shared" si="3105"/>
        <v>hide</v>
      </c>
      <c r="D4338" s="48" t="str">
        <f>D4337</f>
        <v>61114</v>
      </c>
      <c r="E4338" s="7"/>
      <c r="F4338" s="27">
        <v>0</v>
      </c>
      <c r="G4338" s="27">
        <v>-174.58333333333334</v>
      </c>
      <c r="H4338" s="27">
        <v>0</v>
      </c>
      <c r="I4338" s="27">
        <v>0</v>
      </c>
      <c r="J4338" s="27">
        <v>0</v>
      </c>
      <c r="K4338" s="63">
        <f>AVERAGE(I4338:J4338)</f>
        <v>0</v>
      </c>
      <c r="L4338" s="56" t="str">
        <f>"EQP-LAWPACK1"</f>
        <v>EQP-LAWPACK1</v>
      </c>
      <c r="M4338" s="14"/>
      <c r="N4338" s="15"/>
      <c r="O4338" s="12"/>
      <c r="P4338" s="34"/>
      <c r="Q4338" s="37"/>
      <c r="R4338" s="47"/>
      <c r="S4338" s="46"/>
    </row>
    <row r="4339" spans="1:19" ht="15.6" hidden="1" customHeight="1" thickBot="1" x14ac:dyDescent="0.3">
      <c r="A4339" t="s">
        <v>23</v>
      </c>
      <c r="B4339" s="60" t="str">
        <f t="shared" ref="B4339:B4341" si="3108">IF(K4339=0,"hide","")</f>
        <v>hide</v>
      </c>
      <c r="D4339" s="48" t="str">
        <f>D4338</f>
        <v>61114</v>
      </c>
      <c r="E4339" s="7"/>
      <c r="F4339" s="27">
        <v>0</v>
      </c>
      <c r="G4339" s="27">
        <v>0</v>
      </c>
      <c r="H4339" s="27">
        <v>0</v>
      </c>
      <c r="I4339" s="27">
        <v>0</v>
      </c>
      <c r="J4339" s="27">
        <v>0</v>
      </c>
      <c r="K4339" s="63">
        <f>AVERAGE(I4339:J4339)</f>
        <v>0</v>
      </c>
      <c r="L4339" s="56" t="str">
        <f>"EQP-LAWPACK2"</f>
        <v>EQP-LAWPACK2</v>
      </c>
      <c r="M4339" s="14"/>
      <c r="N4339" s="15"/>
      <c r="O4339" s="12"/>
      <c r="P4339" s="34"/>
      <c r="Q4339" s="37"/>
      <c r="R4339" s="47"/>
      <c r="S4339" s="46"/>
    </row>
    <row r="4340" spans="1:19" ht="15.6" hidden="1" customHeight="1" thickBot="1" x14ac:dyDescent="0.3">
      <c r="A4340" t="s">
        <v>23</v>
      </c>
      <c r="B4340" s="60" t="str">
        <f t="shared" si="3108"/>
        <v>hide</v>
      </c>
      <c r="D4340" s="48" t="str">
        <f>D4339</f>
        <v>61114</v>
      </c>
      <c r="E4340" s="7"/>
      <c r="F4340" s="27">
        <v>0</v>
      </c>
      <c r="G4340" s="27">
        <v>0</v>
      </c>
      <c r="H4340" s="27">
        <v>0</v>
      </c>
      <c r="I4340" s="27">
        <v>0</v>
      </c>
      <c r="J4340" s="27">
        <v>0</v>
      </c>
      <c r="K4340" s="63">
        <f>AVERAGE(I4340:J4340)</f>
        <v>0</v>
      </c>
      <c r="L4340" s="56" t="str">
        <f>"SW-COMAS-PACKL"</f>
        <v>SW-COMAS-PACKL</v>
      </c>
      <c r="M4340" s="14"/>
      <c r="N4340" s="15"/>
      <c r="O4340" s="12"/>
      <c r="P4340" s="34"/>
      <c r="Q4340" s="37"/>
      <c r="R4340" s="47"/>
      <c r="S4340" s="46"/>
    </row>
    <row r="4341" spans="1:19" ht="15.6" hidden="1" customHeight="1" thickBot="1" x14ac:dyDescent="0.3">
      <c r="A4341" t="s">
        <v>23</v>
      </c>
      <c r="B4341" s="60" t="str">
        <f t="shared" si="3108"/>
        <v>hide</v>
      </c>
      <c r="D4341" s="48" t="str">
        <f>D4340</f>
        <v>61114</v>
      </c>
      <c r="E4341" s="7"/>
      <c r="F4341" s="27">
        <v>0</v>
      </c>
      <c r="G4341" s="27">
        <v>0</v>
      </c>
      <c r="H4341" s="27">
        <v>0</v>
      </c>
      <c r="I4341" s="27">
        <v>0</v>
      </c>
      <c r="J4341" s="27">
        <v>0</v>
      </c>
      <c r="K4341" s="63">
        <f>AVERAGE(I4341:J4341)</f>
        <v>0</v>
      </c>
      <c r="L4341" s="56" t="str">
        <f>"SW-RISER-PACK"</f>
        <v>SW-RISER-PACK</v>
      </c>
      <c r="M4341" s="14"/>
      <c r="N4341" s="15"/>
      <c r="O4341" s="12"/>
      <c r="P4341" s="34"/>
      <c r="Q4341" s="37"/>
      <c r="R4341" s="47"/>
      <c r="S4341" s="46"/>
    </row>
    <row r="4342" spans="1:19" ht="12" hidden="1" customHeight="1" x14ac:dyDescent="0.3">
      <c r="A4342" s="35" t="s">
        <v>908</v>
      </c>
      <c r="B4342" s="49" t="str">
        <f>B4338</f>
        <v>hide</v>
      </c>
      <c r="N4342"/>
      <c r="Q4342" s="33"/>
    </row>
    <row r="4343" spans="1:19" ht="13.8" hidden="1" thickBot="1" x14ac:dyDescent="0.3">
      <c r="A4343" t="s">
        <v>23</v>
      </c>
      <c r="B4343" s="49" t="str">
        <f t="shared" ref="B4343" si="3109">B4342</f>
        <v>hide</v>
      </c>
      <c r="D4343" s="58"/>
      <c r="E4343" s="58"/>
      <c r="F4343" s="52">
        <f>SUM(F4338:F4342)</f>
        <v>0</v>
      </c>
      <c r="G4343" s="52">
        <f>SUM(G4338:G4342)</f>
        <v>-174.58333333333334</v>
      </c>
      <c r="H4343" s="52">
        <f>SUM(H4338:H4342)</f>
        <v>0</v>
      </c>
      <c r="I4343" s="52">
        <f>SUM(I4338:I4342)</f>
        <v>0</v>
      </c>
      <c r="J4343" s="52">
        <f>SUM(J4338:J4342)</f>
        <v>0</v>
      </c>
      <c r="K4343" s="52"/>
      <c r="L4343" s="51" t="s">
        <v>4</v>
      </c>
      <c r="M4343" s="58"/>
      <c r="N4343" s="58"/>
      <c r="O4343" s="58"/>
      <c r="P4343" s="58"/>
      <c r="Q4343" s="58"/>
      <c r="R4343" s="58"/>
      <c r="S4343" s="58"/>
    </row>
    <row r="4344" spans="1:19" s="59" customFormat="1" ht="18.75" hidden="1" customHeight="1" thickBot="1" x14ac:dyDescent="0.3">
      <c r="A4344" s="59" t="s">
        <v>23</v>
      </c>
      <c r="B4344" s="60" t="str">
        <f t="shared" ref="B4344:B4345" si="3110">IF(K4344=0,"hide","")</f>
        <v>hide</v>
      </c>
      <c r="D4344" s="61" t="str">
        <f>"61152"</f>
        <v>61152</v>
      </c>
      <c r="E4344" s="62" t="str">
        <f>"1"</f>
        <v>1</v>
      </c>
      <c r="F4344" s="63">
        <v>0</v>
      </c>
      <c r="G4344" s="63">
        <v>60</v>
      </c>
      <c r="H4344" s="63">
        <v>0</v>
      </c>
      <c r="I4344" s="63">
        <v>0</v>
      </c>
      <c r="J4344" s="63">
        <v>0</v>
      </c>
      <c r="K4344" s="63">
        <f>AVERAGE(I4344:J4344)</f>
        <v>0</v>
      </c>
      <c r="L4344" s="64" t="str">
        <f>"ESE Thaw &amp; Serve WG Chocolate Chip Muffin Breakfas"</f>
        <v>ESE Thaw &amp; Serve WG Chocolate Chip Muffin Breakfas</v>
      </c>
      <c r="M4344" s="65" t="str">
        <f>"48 units IW"</f>
        <v>48 units IW</v>
      </c>
      <c r="N4344" s="66">
        <v>48</v>
      </c>
      <c r="O4344" s="67">
        <v>0</v>
      </c>
      <c r="P4344" s="68" t="e">
        <f>1/O4344</f>
        <v>#DIV/0!</v>
      </c>
      <c r="Q4344" s="53">
        <v>0</v>
      </c>
      <c r="R4344" s="69" t="e">
        <f t="shared" ref="R4344" si="3111">1/Q4344</f>
        <v>#DIV/0!</v>
      </c>
      <c r="S4344" s="70" t="e">
        <f t="shared" ref="S4344" si="3112">R4344*N4344</f>
        <v>#DIV/0!</v>
      </c>
    </row>
    <row r="4345" spans="1:19" ht="15.6" hidden="1" customHeight="1" thickBot="1" x14ac:dyDescent="0.3">
      <c r="A4345" t="s">
        <v>23</v>
      </c>
      <c r="B4345" s="60" t="str">
        <f t="shared" si="3110"/>
        <v>hide</v>
      </c>
      <c r="D4345" s="48" t="str">
        <f>D4344</f>
        <v>61152</v>
      </c>
      <c r="E4345" s="7"/>
      <c r="F4345" s="27">
        <v>0</v>
      </c>
      <c r="G4345" s="27">
        <v>-88.333333333333329</v>
      </c>
      <c r="H4345" s="27">
        <v>0</v>
      </c>
      <c r="I4345" s="27">
        <v>0</v>
      </c>
      <c r="J4345" s="27">
        <v>0</v>
      </c>
      <c r="K4345" s="63">
        <f>AVERAGE(I4345:J4345)</f>
        <v>0</v>
      </c>
      <c r="L4345" s="56" t="str">
        <f>"EQP-LAWPACK1"</f>
        <v>EQP-LAWPACK1</v>
      </c>
      <c r="M4345" s="14"/>
      <c r="N4345" s="15"/>
      <c r="O4345" s="12"/>
      <c r="P4345" s="34"/>
      <c r="Q4345" s="37"/>
      <c r="R4345" s="47"/>
      <c r="S4345" s="46"/>
    </row>
    <row r="4346" spans="1:19" ht="15.6" hidden="1" customHeight="1" thickBot="1" x14ac:dyDescent="0.3">
      <c r="A4346" t="s">
        <v>23</v>
      </c>
      <c r="B4346" s="60" t="str">
        <f t="shared" ref="B4346:B4348" si="3113">IF(K4346=0,"hide","")</f>
        <v>hide</v>
      </c>
      <c r="D4346" s="48" t="str">
        <f>D4345</f>
        <v>61152</v>
      </c>
      <c r="E4346" s="7"/>
      <c r="F4346" s="27">
        <v>0</v>
      </c>
      <c r="G4346" s="27">
        <v>0</v>
      </c>
      <c r="H4346" s="27">
        <v>0</v>
      </c>
      <c r="I4346" s="27">
        <v>0</v>
      </c>
      <c r="J4346" s="27">
        <v>0</v>
      </c>
      <c r="K4346" s="63">
        <f>AVERAGE(I4346:J4346)</f>
        <v>0</v>
      </c>
      <c r="L4346" s="56" t="str">
        <f>"EQP-LAWPACK2"</f>
        <v>EQP-LAWPACK2</v>
      </c>
      <c r="M4346" s="14"/>
      <c r="N4346" s="15"/>
      <c r="O4346" s="12"/>
      <c r="P4346" s="34"/>
      <c r="Q4346" s="37"/>
      <c r="R4346" s="47"/>
      <c r="S4346" s="46"/>
    </row>
    <row r="4347" spans="1:19" ht="15.6" hidden="1" customHeight="1" thickBot="1" x14ac:dyDescent="0.3">
      <c r="A4347" t="s">
        <v>23</v>
      </c>
      <c r="B4347" s="60" t="str">
        <f t="shared" si="3113"/>
        <v>hide</v>
      </c>
      <c r="D4347" s="48" t="str">
        <f>D4346</f>
        <v>61152</v>
      </c>
      <c r="E4347" s="7"/>
      <c r="F4347" s="27">
        <v>0</v>
      </c>
      <c r="G4347" s="27">
        <v>0</v>
      </c>
      <c r="H4347" s="27">
        <v>0</v>
      </c>
      <c r="I4347" s="27">
        <v>0</v>
      </c>
      <c r="J4347" s="27">
        <v>0</v>
      </c>
      <c r="K4347" s="63">
        <f>AVERAGE(I4347:J4347)</f>
        <v>0</v>
      </c>
      <c r="L4347" s="56" t="str">
        <f>"SW-COMAS-PACKL"</f>
        <v>SW-COMAS-PACKL</v>
      </c>
      <c r="M4347" s="14"/>
      <c r="N4347" s="15"/>
      <c r="O4347" s="12"/>
      <c r="P4347" s="34"/>
      <c r="Q4347" s="37"/>
      <c r="R4347" s="47"/>
      <c r="S4347" s="46"/>
    </row>
    <row r="4348" spans="1:19" ht="15.6" hidden="1" customHeight="1" thickBot="1" x14ac:dyDescent="0.3">
      <c r="A4348" t="s">
        <v>23</v>
      </c>
      <c r="B4348" s="60" t="str">
        <f t="shared" si="3113"/>
        <v>hide</v>
      </c>
      <c r="D4348" s="48" t="str">
        <f>D4347</f>
        <v>61152</v>
      </c>
      <c r="E4348" s="7"/>
      <c r="F4348" s="27">
        <v>0</v>
      </c>
      <c r="G4348" s="27">
        <v>0</v>
      </c>
      <c r="H4348" s="27">
        <v>0</v>
      </c>
      <c r="I4348" s="27">
        <v>0</v>
      </c>
      <c r="J4348" s="27">
        <v>0</v>
      </c>
      <c r="K4348" s="63">
        <f>AVERAGE(I4348:J4348)</f>
        <v>0</v>
      </c>
      <c r="L4348" s="56" t="str">
        <f>"SW-RISER-PACK"</f>
        <v>SW-RISER-PACK</v>
      </c>
      <c r="M4348" s="14"/>
      <c r="N4348" s="15"/>
      <c r="O4348" s="12"/>
      <c r="P4348" s="34"/>
      <c r="Q4348" s="37"/>
      <c r="R4348" s="47"/>
      <c r="S4348" s="46"/>
    </row>
    <row r="4349" spans="1:19" ht="12" hidden="1" customHeight="1" x14ac:dyDescent="0.3">
      <c r="A4349" s="35" t="s">
        <v>908</v>
      </c>
      <c r="B4349" s="49" t="str">
        <f>B4345</f>
        <v>hide</v>
      </c>
      <c r="N4349"/>
      <c r="Q4349" s="33"/>
    </row>
    <row r="4350" spans="1:19" ht="13.8" hidden="1" thickBot="1" x14ac:dyDescent="0.3">
      <c r="A4350" t="s">
        <v>23</v>
      </c>
      <c r="B4350" s="49" t="str">
        <f t="shared" ref="B4350" si="3114">B4349</f>
        <v>hide</v>
      </c>
      <c r="D4350" s="58"/>
      <c r="E4350" s="58"/>
      <c r="F4350" s="52">
        <f>SUM(F4345:F4349)</f>
        <v>0</v>
      </c>
      <c r="G4350" s="52">
        <f>SUM(G4345:G4349)</f>
        <v>-88.333333333333329</v>
      </c>
      <c r="H4350" s="52">
        <f>SUM(H4345:H4349)</f>
        <v>0</v>
      </c>
      <c r="I4350" s="52">
        <f>SUM(I4345:I4349)</f>
        <v>0</v>
      </c>
      <c r="J4350" s="52">
        <f>SUM(J4345:J4349)</f>
        <v>0</v>
      </c>
      <c r="K4350" s="52"/>
      <c r="L4350" s="51" t="s">
        <v>4</v>
      </c>
      <c r="M4350" s="58"/>
      <c r="N4350" s="58"/>
      <c r="O4350" s="58"/>
      <c r="P4350" s="58"/>
      <c r="Q4350" s="58"/>
      <c r="R4350" s="58"/>
      <c r="S4350" s="58"/>
    </row>
    <row r="4351" spans="1:19" s="59" customFormat="1" ht="18.75" hidden="1" customHeight="1" thickBot="1" x14ac:dyDescent="0.3">
      <c r="A4351" s="59" t="s">
        <v>23</v>
      </c>
      <c r="B4351" s="60" t="str">
        <f t="shared" ref="B4351:B4352" si="3115">IF(K4351=0,"hide","")</f>
        <v>hide</v>
      </c>
      <c r="D4351" s="61" t="str">
        <f>"61153"</f>
        <v>61153</v>
      </c>
      <c r="E4351" s="62" t="str">
        <f>"1"</f>
        <v>1</v>
      </c>
      <c r="F4351" s="63">
        <v>0</v>
      </c>
      <c r="G4351" s="63">
        <v>73.75</v>
      </c>
      <c r="H4351" s="63">
        <v>0</v>
      </c>
      <c r="I4351" s="63">
        <v>0</v>
      </c>
      <c r="J4351" s="63">
        <v>0</v>
      </c>
      <c r="K4351" s="63">
        <f>AVERAGE(I4351:J4351)</f>
        <v>0</v>
      </c>
      <c r="L4351" s="64" t="str">
        <f>"ESE Thaw &amp; Serve WG SC Blueberry Muffin Breakfast"</f>
        <v>ESE Thaw &amp; Serve WG SC Blueberry Muffin Breakfast</v>
      </c>
      <c r="M4351" s="65" t="str">
        <f>"48 units IW"</f>
        <v>48 units IW</v>
      </c>
      <c r="N4351" s="66">
        <v>48</v>
      </c>
      <c r="O4351" s="67">
        <v>0</v>
      </c>
      <c r="P4351" s="68" t="e">
        <f>1/O4351</f>
        <v>#DIV/0!</v>
      </c>
      <c r="Q4351" s="53">
        <v>0</v>
      </c>
      <c r="R4351" s="69" t="e">
        <f t="shared" ref="R4351" si="3116">1/Q4351</f>
        <v>#DIV/0!</v>
      </c>
      <c r="S4351" s="70" t="e">
        <f t="shared" ref="S4351" si="3117">R4351*N4351</f>
        <v>#DIV/0!</v>
      </c>
    </row>
    <row r="4352" spans="1:19" ht="15.6" hidden="1" customHeight="1" thickBot="1" x14ac:dyDescent="0.3">
      <c r="A4352" t="s">
        <v>23</v>
      </c>
      <c r="B4352" s="60" t="str">
        <f t="shared" si="3115"/>
        <v>hide</v>
      </c>
      <c r="D4352" s="48" t="str">
        <f>D4351</f>
        <v>61153</v>
      </c>
      <c r="E4352" s="7"/>
      <c r="F4352" s="27">
        <v>0</v>
      </c>
      <c r="G4352" s="27">
        <v>-90.416666666666671</v>
      </c>
      <c r="H4352" s="27">
        <v>0</v>
      </c>
      <c r="I4352" s="27">
        <v>0</v>
      </c>
      <c r="J4352" s="27">
        <v>0</v>
      </c>
      <c r="K4352" s="63">
        <f>AVERAGE(I4352:J4352)</f>
        <v>0</v>
      </c>
      <c r="L4352" s="56" t="str">
        <f>"EQP-LAWPACK1"</f>
        <v>EQP-LAWPACK1</v>
      </c>
      <c r="M4352" s="14"/>
      <c r="N4352" s="15"/>
      <c r="O4352" s="12"/>
      <c r="P4352" s="34"/>
      <c r="Q4352" s="37"/>
      <c r="R4352" s="47"/>
      <c r="S4352" s="46"/>
    </row>
    <row r="4353" spans="1:19" ht="15.6" hidden="1" customHeight="1" thickBot="1" x14ac:dyDescent="0.3">
      <c r="A4353" t="s">
        <v>23</v>
      </c>
      <c r="B4353" s="60" t="str">
        <f t="shared" ref="B4353:B4355" si="3118">IF(K4353=0,"hide","")</f>
        <v>hide</v>
      </c>
      <c r="D4353" s="48" t="str">
        <f>D4352</f>
        <v>61153</v>
      </c>
      <c r="E4353" s="7"/>
      <c r="F4353" s="27">
        <v>0</v>
      </c>
      <c r="G4353" s="27">
        <v>0</v>
      </c>
      <c r="H4353" s="27">
        <v>0</v>
      </c>
      <c r="I4353" s="27">
        <v>0</v>
      </c>
      <c r="J4353" s="27">
        <v>0</v>
      </c>
      <c r="K4353" s="63">
        <f>AVERAGE(I4353:J4353)</f>
        <v>0</v>
      </c>
      <c r="L4353" s="56" t="str">
        <f>"EQP-LAWPACK2"</f>
        <v>EQP-LAWPACK2</v>
      </c>
      <c r="M4353" s="14"/>
      <c r="N4353" s="15"/>
      <c r="O4353" s="12"/>
      <c r="P4353" s="34"/>
      <c r="Q4353" s="37"/>
      <c r="R4353" s="47"/>
      <c r="S4353" s="46"/>
    </row>
    <row r="4354" spans="1:19" ht="15.6" hidden="1" customHeight="1" thickBot="1" x14ac:dyDescent="0.3">
      <c r="A4354" t="s">
        <v>23</v>
      </c>
      <c r="B4354" s="60" t="str">
        <f t="shared" si="3118"/>
        <v>hide</v>
      </c>
      <c r="D4354" s="48" t="str">
        <f>D4353</f>
        <v>61153</v>
      </c>
      <c r="E4354" s="7"/>
      <c r="F4354" s="27">
        <v>0</v>
      </c>
      <c r="G4354" s="27">
        <v>0</v>
      </c>
      <c r="H4354" s="27">
        <v>0</v>
      </c>
      <c r="I4354" s="27">
        <v>0</v>
      </c>
      <c r="J4354" s="27">
        <v>0</v>
      </c>
      <c r="K4354" s="63">
        <f>AVERAGE(I4354:J4354)</f>
        <v>0</v>
      </c>
      <c r="L4354" s="56" t="str">
        <f>"SW-COMAS-PACKL"</f>
        <v>SW-COMAS-PACKL</v>
      </c>
      <c r="M4354" s="14"/>
      <c r="N4354" s="15"/>
      <c r="O4354" s="12"/>
      <c r="P4354" s="34"/>
      <c r="Q4354" s="37"/>
      <c r="R4354" s="47"/>
      <c r="S4354" s="46"/>
    </row>
    <row r="4355" spans="1:19" ht="15.6" hidden="1" customHeight="1" thickBot="1" x14ac:dyDescent="0.3">
      <c r="A4355" t="s">
        <v>23</v>
      </c>
      <c r="B4355" s="60" t="str">
        <f t="shared" si="3118"/>
        <v>hide</v>
      </c>
      <c r="D4355" s="48" t="str">
        <f>D4354</f>
        <v>61153</v>
      </c>
      <c r="E4355" s="7"/>
      <c r="F4355" s="27">
        <v>0</v>
      </c>
      <c r="G4355" s="27">
        <v>0</v>
      </c>
      <c r="H4355" s="27">
        <v>0</v>
      </c>
      <c r="I4355" s="27">
        <v>0</v>
      </c>
      <c r="J4355" s="27">
        <v>0</v>
      </c>
      <c r="K4355" s="63">
        <f>AVERAGE(I4355:J4355)</f>
        <v>0</v>
      </c>
      <c r="L4355" s="56" t="str">
        <f>"SW-RISER-PACK"</f>
        <v>SW-RISER-PACK</v>
      </c>
      <c r="M4355" s="14"/>
      <c r="N4355" s="15"/>
      <c r="O4355" s="12"/>
      <c r="P4355" s="34"/>
      <c r="Q4355" s="37"/>
      <c r="R4355" s="47"/>
      <c r="S4355" s="46"/>
    </row>
    <row r="4356" spans="1:19" ht="12" hidden="1" customHeight="1" x14ac:dyDescent="0.3">
      <c r="A4356" s="35" t="s">
        <v>908</v>
      </c>
      <c r="B4356" s="49" t="str">
        <f>B4352</f>
        <v>hide</v>
      </c>
      <c r="N4356"/>
      <c r="Q4356" s="33"/>
    </row>
    <row r="4357" spans="1:19" ht="13.8" hidden="1" thickBot="1" x14ac:dyDescent="0.3">
      <c r="A4357" t="s">
        <v>23</v>
      </c>
      <c r="B4357" s="49" t="str">
        <f t="shared" ref="B4357" si="3119">B4356</f>
        <v>hide</v>
      </c>
      <c r="D4357" s="58"/>
      <c r="E4357" s="58"/>
      <c r="F4357" s="52">
        <f>SUM(F4352:F4356)</f>
        <v>0</v>
      </c>
      <c r="G4357" s="52">
        <f>SUM(G4352:G4356)</f>
        <v>-90.416666666666671</v>
      </c>
      <c r="H4357" s="52">
        <f>SUM(H4352:H4356)</f>
        <v>0</v>
      </c>
      <c r="I4357" s="52">
        <f>SUM(I4352:I4356)</f>
        <v>0</v>
      </c>
      <c r="J4357" s="52">
        <f>SUM(J4352:J4356)</f>
        <v>0</v>
      </c>
      <c r="K4357" s="52"/>
      <c r="L4357" s="51" t="s">
        <v>4</v>
      </c>
      <c r="M4357" s="58"/>
      <c r="N4357" s="58"/>
      <c r="O4357" s="58"/>
      <c r="P4357" s="58"/>
      <c r="Q4357" s="58"/>
      <c r="R4357" s="58"/>
      <c r="S4357" s="58"/>
    </row>
    <row r="4358" spans="1:19" s="59" customFormat="1" ht="18.75" hidden="1" customHeight="1" thickBot="1" x14ac:dyDescent="0.3">
      <c r="A4358" s="59" t="s">
        <v>23</v>
      </c>
      <c r="B4358" s="60" t="str">
        <f t="shared" ref="B4358:B4359" si="3120">IF(K4358=0,"hide","")</f>
        <v>hide</v>
      </c>
      <c r="D4358" s="61" t="str">
        <f>"61457"</f>
        <v>61457</v>
      </c>
      <c r="E4358" s="62" t="str">
        <f>"1"</f>
        <v>1</v>
      </c>
      <c r="F4358" s="63">
        <v>0</v>
      </c>
      <c r="G4358" s="63">
        <v>0</v>
      </c>
      <c r="H4358" s="63">
        <v>0</v>
      </c>
      <c r="I4358" s="63">
        <v>0</v>
      </c>
      <c r="J4358" s="63">
        <v>0</v>
      </c>
      <c r="K4358" s="63">
        <f>AVERAGE(I4358:J4358)</f>
        <v>0</v>
      </c>
      <c r="L4358" s="64" t="str">
        <f>"Cran.Org Pumpkin MUFFINS"</f>
        <v>Cran.Org Pumpkin MUFFINS</v>
      </c>
      <c r="M4358" s="65" t="str">
        <f>"288-.75oz. 8 Tubs of 36"</f>
        <v>288-.75oz. 8 Tubs of 36</v>
      </c>
      <c r="N4358" s="66">
        <v>288</v>
      </c>
      <c r="O4358" s="67" t="str">
        <f>""</f>
        <v/>
      </c>
      <c r="P4358" s="68" t="e">
        <f>1/O4358</f>
        <v>#VALUE!</v>
      </c>
      <c r="Q4358" s="53">
        <v>1</v>
      </c>
      <c r="R4358" s="69">
        <f t="shared" ref="R4358" si="3121">1/Q4358</f>
        <v>1</v>
      </c>
      <c r="S4358" s="70">
        <f t="shared" ref="S4358" si="3122">R4358*N4358</f>
        <v>288</v>
      </c>
    </row>
    <row r="4359" spans="1:19" ht="15.6" hidden="1" customHeight="1" thickBot="1" x14ac:dyDescent="0.3">
      <c r="A4359" t="s">
        <v>23</v>
      </c>
      <c r="B4359" s="60" t="str">
        <f t="shared" si="3120"/>
        <v>hide</v>
      </c>
      <c r="D4359" s="48" t="str">
        <f>D4358</f>
        <v>61457</v>
      </c>
      <c r="E4359" s="7"/>
      <c r="F4359" s="27">
        <v>0</v>
      </c>
      <c r="G4359" s="27">
        <v>0</v>
      </c>
      <c r="H4359" s="27">
        <v>0</v>
      </c>
      <c r="I4359" s="27">
        <v>0</v>
      </c>
      <c r="J4359" s="27">
        <v>0</v>
      </c>
      <c r="K4359" s="63">
        <f>AVERAGE(I4359:J4359)</f>
        <v>0</v>
      </c>
      <c r="L4359" s="56" t="str">
        <f>"EQP-LAWPACK1"</f>
        <v>EQP-LAWPACK1</v>
      </c>
      <c r="M4359" s="14"/>
      <c r="N4359" s="15"/>
      <c r="O4359" s="12"/>
      <c r="P4359" s="34"/>
      <c r="Q4359" s="37"/>
      <c r="R4359" s="47"/>
      <c r="S4359" s="46"/>
    </row>
    <row r="4360" spans="1:19" ht="15.6" hidden="1" customHeight="1" thickBot="1" x14ac:dyDescent="0.3">
      <c r="A4360" t="s">
        <v>23</v>
      </c>
      <c r="B4360" s="60" t="str">
        <f t="shared" ref="B4360:B4362" si="3123">IF(K4360=0,"hide","")</f>
        <v>hide</v>
      </c>
      <c r="D4360" s="48" t="str">
        <f>D4359</f>
        <v>61457</v>
      </c>
      <c r="E4360" s="7"/>
      <c r="F4360" s="27">
        <v>0</v>
      </c>
      <c r="G4360" s="27">
        <v>0</v>
      </c>
      <c r="H4360" s="27">
        <v>0</v>
      </c>
      <c r="I4360" s="27">
        <v>0</v>
      </c>
      <c r="J4360" s="27">
        <v>0</v>
      </c>
      <c r="K4360" s="63">
        <f>AVERAGE(I4360:J4360)</f>
        <v>0</v>
      </c>
      <c r="L4360" s="56" t="str">
        <f>"EQP-LAWPACK2"</f>
        <v>EQP-LAWPACK2</v>
      </c>
      <c r="M4360" s="14"/>
      <c r="N4360" s="15"/>
      <c r="O4360" s="12"/>
      <c r="P4360" s="34"/>
      <c r="Q4360" s="37"/>
      <c r="R4360" s="47"/>
      <c r="S4360" s="46"/>
    </row>
    <row r="4361" spans="1:19" ht="15.6" hidden="1" customHeight="1" thickBot="1" x14ac:dyDescent="0.3">
      <c r="A4361" t="s">
        <v>23</v>
      </c>
      <c r="B4361" s="60" t="str">
        <f t="shared" si="3123"/>
        <v>hide</v>
      </c>
      <c r="D4361" s="48" t="str">
        <f>D4360</f>
        <v>61457</v>
      </c>
      <c r="E4361" s="7"/>
      <c r="F4361" s="27">
        <v>0</v>
      </c>
      <c r="G4361" s="27">
        <v>0</v>
      </c>
      <c r="H4361" s="27">
        <v>0</v>
      </c>
      <c r="I4361" s="27">
        <v>0</v>
      </c>
      <c r="J4361" s="27">
        <v>0</v>
      </c>
      <c r="K4361" s="63">
        <f>AVERAGE(I4361:J4361)</f>
        <v>0</v>
      </c>
      <c r="L4361" s="56" t="str">
        <f>"SW-COMAS-PACKL"</f>
        <v>SW-COMAS-PACKL</v>
      </c>
      <c r="M4361" s="14"/>
      <c r="N4361" s="15"/>
      <c r="O4361" s="12"/>
      <c r="P4361" s="34"/>
      <c r="Q4361" s="37"/>
      <c r="R4361" s="47"/>
      <c r="S4361" s="46"/>
    </row>
    <row r="4362" spans="1:19" ht="15.6" hidden="1" customHeight="1" thickBot="1" x14ac:dyDescent="0.3">
      <c r="A4362" t="s">
        <v>23</v>
      </c>
      <c r="B4362" s="60" t="str">
        <f t="shared" si="3123"/>
        <v>hide</v>
      </c>
      <c r="D4362" s="48" t="str">
        <f>D4361</f>
        <v>61457</v>
      </c>
      <c r="E4362" s="7"/>
      <c r="F4362" s="27">
        <v>0</v>
      </c>
      <c r="G4362" s="27">
        <v>0</v>
      </c>
      <c r="H4362" s="27">
        <v>0</v>
      </c>
      <c r="I4362" s="27">
        <v>0</v>
      </c>
      <c r="J4362" s="27">
        <v>0</v>
      </c>
      <c r="K4362" s="63">
        <f>AVERAGE(I4362:J4362)</f>
        <v>0</v>
      </c>
      <c r="L4362" s="56" t="str">
        <f>"SW-RISER-PACK"</f>
        <v>SW-RISER-PACK</v>
      </c>
      <c r="M4362" s="14"/>
      <c r="N4362" s="15"/>
      <c r="O4362" s="12"/>
      <c r="P4362" s="34"/>
      <c r="Q4362" s="37"/>
      <c r="R4362" s="47"/>
      <c r="S4362" s="46"/>
    </row>
    <row r="4363" spans="1:19" ht="12" hidden="1" customHeight="1" x14ac:dyDescent="0.3">
      <c r="A4363" s="35" t="s">
        <v>908</v>
      </c>
      <c r="B4363" s="49" t="str">
        <f>B4359</f>
        <v>hide</v>
      </c>
      <c r="N4363"/>
      <c r="Q4363" s="33"/>
    </row>
    <row r="4364" spans="1:19" ht="13.8" hidden="1" thickBot="1" x14ac:dyDescent="0.3">
      <c r="A4364" t="s">
        <v>23</v>
      </c>
      <c r="B4364" s="49" t="str">
        <f t="shared" ref="B4364" si="3124">B4363</f>
        <v>hide</v>
      </c>
      <c r="D4364" s="58"/>
      <c r="E4364" s="58"/>
      <c r="F4364" s="52">
        <f>SUM(F4359:F4363)</f>
        <v>0</v>
      </c>
      <c r="G4364" s="52">
        <f>SUM(G4359:G4363)</f>
        <v>0</v>
      </c>
      <c r="H4364" s="52">
        <f>SUM(H4359:H4363)</f>
        <v>0</v>
      </c>
      <c r="I4364" s="52">
        <f>SUM(I4359:I4363)</f>
        <v>0</v>
      </c>
      <c r="J4364" s="52">
        <f>SUM(J4359:J4363)</f>
        <v>0</v>
      </c>
      <c r="K4364" s="52"/>
      <c r="L4364" s="51" t="s">
        <v>4</v>
      </c>
      <c r="M4364" s="58"/>
      <c r="N4364" s="58"/>
      <c r="O4364" s="58"/>
      <c r="P4364" s="58"/>
      <c r="Q4364" s="58"/>
      <c r="R4364" s="58"/>
      <c r="S4364" s="58"/>
    </row>
    <row r="4365" spans="1:19" s="59" customFormat="1" ht="18.75" hidden="1" customHeight="1" thickBot="1" x14ac:dyDescent="0.3">
      <c r="A4365" s="59" t="s">
        <v>23</v>
      </c>
      <c r="B4365" s="60" t="str">
        <f t="shared" ref="B4365:B4366" si="3125">IF(K4365=0,"hide","")</f>
        <v>hide</v>
      </c>
      <c r="D4365" s="61" t="str">
        <f>"61949"</f>
        <v>61949</v>
      </c>
      <c r="E4365" s="62" t="str">
        <f>"1"</f>
        <v>1</v>
      </c>
      <c r="F4365" s="63">
        <v>0</v>
      </c>
      <c r="G4365" s="63">
        <v>32.249999999999993</v>
      </c>
      <c r="H4365" s="63">
        <v>0</v>
      </c>
      <c r="I4365" s="63">
        <v>0</v>
      </c>
      <c r="J4365" s="63">
        <v>0</v>
      </c>
      <c r="K4365" s="63">
        <f>AVERAGE(I4365:J4365)</f>
        <v>0</v>
      </c>
      <c r="L4365" s="64" t="str">
        <f>"Sunbutter Grape Sandwich Meal"</f>
        <v>Sunbutter Grape Sandwich Meal</v>
      </c>
      <c r="M4365" s="65" t="str">
        <f>"30 units IW"</f>
        <v>30 units IW</v>
      </c>
      <c r="N4365" s="66">
        <v>30</v>
      </c>
      <c r="O4365" s="67">
        <v>0</v>
      </c>
      <c r="P4365" s="68" t="e">
        <f>1/O4365</f>
        <v>#DIV/0!</v>
      </c>
      <c r="Q4365" s="53">
        <v>0</v>
      </c>
      <c r="R4365" s="69" t="e">
        <f t="shared" ref="R4365" si="3126">1/Q4365</f>
        <v>#DIV/0!</v>
      </c>
      <c r="S4365" s="70" t="e">
        <f t="shared" ref="S4365" si="3127">R4365*N4365</f>
        <v>#DIV/0!</v>
      </c>
    </row>
    <row r="4366" spans="1:19" ht="15.6" hidden="1" customHeight="1" thickBot="1" x14ac:dyDescent="0.3">
      <c r="A4366" t="s">
        <v>23</v>
      </c>
      <c r="B4366" s="60" t="str">
        <f t="shared" si="3125"/>
        <v>hide</v>
      </c>
      <c r="D4366" s="48" t="str">
        <f>D4365</f>
        <v>61949</v>
      </c>
      <c r="E4366" s="7"/>
      <c r="F4366" s="27">
        <v>0</v>
      </c>
      <c r="G4366" s="27">
        <v>-33.333333333333336</v>
      </c>
      <c r="H4366" s="27">
        <v>0</v>
      </c>
      <c r="I4366" s="27">
        <v>0</v>
      </c>
      <c r="J4366" s="27">
        <v>0</v>
      </c>
      <c r="K4366" s="63">
        <f>AVERAGE(I4366:J4366)</f>
        <v>0</v>
      </c>
      <c r="L4366" s="56" t="str">
        <f>"EQP-LAWPACK1"</f>
        <v>EQP-LAWPACK1</v>
      </c>
      <c r="M4366" s="14"/>
      <c r="N4366" s="15"/>
      <c r="O4366" s="12"/>
      <c r="P4366" s="34"/>
      <c r="Q4366" s="37"/>
      <c r="R4366" s="47"/>
      <c r="S4366" s="46"/>
    </row>
    <row r="4367" spans="1:19" ht="15.6" hidden="1" customHeight="1" thickBot="1" x14ac:dyDescent="0.3">
      <c r="A4367" t="s">
        <v>23</v>
      </c>
      <c r="B4367" s="60" t="str">
        <f t="shared" ref="B4367:B4369" si="3128">IF(K4367=0,"hide","")</f>
        <v>hide</v>
      </c>
      <c r="D4367" s="48" t="str">
        <f>D4366</f>
        <v>61949</v>
      </c>
      <c r="E4367" s="7"/>
      <c r="F4367" s="27">
        <v>0</v>
      </c>
      <c r="G4367" s="27">
        <v>0</v>
      </c>
      <c r="H4367" s="27">
        <v>0</v>
      </c>
      <c r="I4367" s="27">
        <v>0</v>
      </c>
      <c r="J4367" s="27">
        <v>0</v>
      </c>
      <c r="K4367" s="63">
        <f>AVERAGE(I4367:J4367)</f>
        <v>0</v>
      </c>
      <c r="L4367" s="56" t="str">
        <f>"EQP-LAWPACK2"</f>
        <v>EQP-LAWPACK2</v>
      </c>
      <c r="M4367" s="14"/>
      <c r="N4367" s="15"/>
      <c r="O4367" s="12"/>
      <c r="P4367" s="34"/>
      <c r="Q4367" s="37"/>
      <c r="R4367" s="47"/>
      <c r="S4367" s="46"/>
    </row>
    <row r="4368" spans="1:19" ht="15.6" hidden="1" customHeight="1" thickBot="1" x14ac:dyDescent="0.3">
      <c r="A4368" t="s">
        <v>23</v>
      </c>
      <c r="B4368" s="60" t="str">
        <f t="shared" si="3128"/>
        <v>hide</v>
      </c>
      <c r="D4368" s="48" t="str">
        <f>D4367</f>
        <v>61949</v>
      </c>
      <c r="E4368" s="7"/>
      <c r="F4368" s="27">
        <v>0</v>
      </c>
      <c r="G4368" s="27">
        <v>0</v>
      </c>
      <c r="H4368" s="27">
        <v>0</v>
      </c>
      <c r="I4368" s="27">
        <v>0</v>
      </c>
      <c r="J4368" s="27">
        <v>0</v>
      </c>
      <c r="K4368" s="63">
        <f>AVERAGE(I4368:J4368)</f>
        <v>0</v>
      </c>
      <c r="L4368" s="56" t="str">
        <f>"SW-COMAS-PACKL"</f>
        <v>SW-COMAS-PACKL</v>
      </c>
      <c r="M4368" s="14"/>
      <c r="N4368" s="15"/>
      <c r="O4368" s="12"/>
      <c r="P4368" s="34"/>
      <c r="Q4368" s="37"/>
      <c r="R4368" s="47"/>
      <c r="S4368" s="46"/>
    </row>
    <row r="4369" spans="1:19" ht="15.6" hidden="1" customHeight="1" thickBot="1" x14ac:dyDescent="0.3">
      <c r="A4369" t="s">
        <v>23</v>
      </c>
      <c r="B4369" s="60" t="str">
        <f t="shared" si="3128"/>
        <v>hide</v>
      </c>
      <c r="D4369" s="48" t="str">
        <f>D4368</f>
        <v>61949</v>
      </c>
      <c r="E4369" s="7"/>
      <c r="F4369" s="27">
        <v>0</v>
      </c>
      <c r="G4369" s="27">
        <v>0</v>
      </c>
      <c r="H4369" s="27">
        <v>0</v>
      </c>
      <c r="I4369" s="27">
        <v>0</v>
      </c>
      <c r="J4369" s="27">
        <v>0</v>
      </c>
      <c r="K4369" s="63">
        <f>AVERAGE(I4369:J4369)</f>
        <v>0</v>
      </c>
      <c r="L4369" s="56" t="str">
        <f>"SW-RISER-PACK"</f>
        <v>SW-RISER-PACK</v>
      </c>
      <c r="M4369" s="14"/>
      <c r="N4369" s="15"/>
      <c r="O4369" s="12"/>
      <c r="P4369" s="34"/>
      <c r="Q4369" s="37"/>
      <c r="R4369" s="47"/>
      <c r="S4369" s="46"/>
    </row>
    <row r="4370" spans="1:19" ht="12" hidden="1" customHeight="1" x14ac:dyDescent="0.3">
      <c r="A4370" s="35" t="s">
        <v>908</v>
      </c>
      <c r="B4370" s="49" t="str">
        <f>B4366</f>
        <v>hide</v>
      </c>
      <c r="N4370"/>
      <c r="Q4370" s="33"/>
    </row>
    <row r="4371" spans="1:19" ht="13.8" hidden="1" thickBot="1" x14ac:dyDescent="0.3">
      <c r="A4371" t="s">
        <v>23</v>
      </c>
      <c r="B4371" s="49" t="str">
        <f t="shared" ref="B4371" si="3129">B4370</f>
        <v>hide</v>
      </c>
      <c r="D4371" s="58"/>
      <c r="E4371" s="58"/>
      <c r="F4371" s="52">
        <f>SUM(F4366:F4370)</f>
        <v>0</v>
      </c>
      <c r="G4371" s="52">
        <f>SUM(G4366:G4370)</f>
        <v>-33.333333333333336</v>
      </c>
      <c r="H4371" s="52">
        <f>SUM(H4366:H4370)</f>
        <v>0</v>
      </c>
      <c r="I4371" s="52">
        <f>SUM(I4366:I4370)</f>
        <v>0</v>
      </c>
      <c r="J4371" s="52">
        <f>SUM(J4366:J4370)</f>
        <v>0</v>
      </c>
      <c r="K4371" s="52"/>
      <c r="L4371" s="51" t="s">
        <v>4</v>
      </c>
      <c r="M4371" s="58"/>
      <c r="N4371" s="58"/>
      <c r="O4371" s="58"/>
      <c r="P4371" s="58"/>
      <c r="Q4371" s="58"/>
      <c r="R4371" s="58"/>
      <c r="S4371" s="58"/>
    </row>
    <row r="4372" spans="1:19" s="59" customFormat="1" ht="18.75" customHeight="1" thickBot="1" x14ac:dyDescent="0.3">
      <c r="A4372" s="59" t="s">
        <v>23</v>
      </c>
      <c r="B4372" s="60" t="str">
        <f t="shared" ref="B4372:B4373" si="3130">IF(K4372=0,"hide","")</f>
        <v/>
      </c>
      <c r="D4372" s="61" t="str">
        <f>"633-NSC"</f>
        <v>633-NSC</v>
      </c>
      <c r="E4372" s="62" t="str">
        <f>"16"</f>
        <v>16</v>
      </c>
      <c r="F4372" s="63">
        <v>19123</v>
      </c>
      <c r="G4372" s="63">
        <v>18719.276666666668</v>
      </c>
      <c r="H4372" s="63">
        <v>37173.278333333335</v>
      </c>
      <c r="I4372" s="63">
        <v>36157.51666666667</v>
      </c>
      <c r="J4372" s="63">
        <v>36437.64795180723</v>
      </c>
      <c r="K4372" s="63">
        <f>AVERAGE(I4372:J4372)</f>
        <v>36297.582309236954</v>
      </c>
      <c r="L4372" s="64" t="str">
        <f>"NEW SC Choc Choc Chip"</f>
        <v>NEW SC Choc Choc Chip</v>
      </c>
      <c r="M4372" s="65" t="str">
        <f>""</f>
        <v/>
      </c>
      <c r="N4372" s="66">
        <v>0</v>
      </c>
      <c r="O4372" s="67" t="str">
        <f>""</f>
        <v/>
      </c>
      <c r="P4372" s="68" t="e">
        <f>1/O4372</f>
        <v>#VALUE!</v>
      </c>
      <c r="Q4372" s="53">
        <v>1</v>
      </c>
      <c r="R4372" s="69">
        <f t="shared" ref="R4372" si="3131">1/Q4372</f>
        <v>1</v>
      </c>
      <c r="S4372" s="70">
        <f t="shared" ref="S4372" si="3132">R4372*N4372</f>
        <v>0</v>
      </c>
    </row>
    <row r="4373" spans="1:19" ht="15.6" hidden="1" customHeight="1" thickBot="1" x14ac:dyDescent="0.3">
      <c r="A4373" t="s">
        <v>23</v>
      </c>
      <c r="B4373" s="60" t="str">
        <f t="shared" si="3130"/>
        <v>hide</v>
      </c>
      <c r="D4373" s="48" t="str">
        <f>D4372</f>
        <v>633-NSC</v>
      </c>
      <c r="E4373" s="7"/>
      <c r="F4373" s="27">
        <v>0</v>
      </c>
      <c r="G4373" s="27">
        <v>0</v>
      </c>
      <c r="H4373" s="27">
        <v>0</v>
      </c>
      <c r="I4373" s="27">
        <v>0</v>
      </c>
      <c r="J4373" s="27">
        <v>0</v>
      </c>
      <c r="K4373" s="63">
        <f>AVERAGE(I4373:J4373)</f>
        <v>0</v>
      </c>
      <c r="L4373" s="56" t="str">
        <f>"EQP-LAWPACK1"</f>
        <v>EQP-LAWPACK1</v>
      </c>
      <c r="M4373" s="14"/>
      <c r="N4373" s="15"/>
      <c r="O4373" s="12"/>
      <c r="P4373" s="34"/>
      <c r="Q4373" s="37"/>
      <c r="R4373" s="47"/>
      <c r="S4373" s="46"/>
    </row>
    <row r="4374" spans="1:19" ht="15.6" hidden="1" customHeight="1" thickBot="1" x14ac:dyDescent="0.3">
      <c r="A4374" t="s">
        <v>23</v>
      </c>
      <c r="B4374" s="60" t="str">
        <f t="shared" ref="B4374:B4376" si="3133">IF(K4374=0,"hide","")</f>
        <v>hide</v>
      </c>
      <c r="D4374" s="48" t="str">
        <f>D4373</f>
        <v>633-NSC</v>
      </c>
      <c r="E4374" s="7"/>
      <c r="F4374" s="27">
        <v>0</v>
      </c>
      <c r="G4374" s="27">
        <v>0</v>
      </c>
      <c r="H4374" s="27">
        <v>0</v>
      </c>
      <c r="I4374" s="27">
        <v>0</v>
      </c>
      <c r="J4374" s="27">
        <v>0</v>
      </c>
      <c r="K4374" s="63">
        <f>AVERAGE(I4374:J4374)</f>
        <v>0</v>
      </c>
      <c r="L4374" s="56" t="str">
        <f>"EQP-LAWPACK2"</f>
        <v>EQP-LAWPACK2</v>
      </c>
      <c r="M4374" s="14"/>
      <c r="N4374" s="15"/>
      <c r="O4374" s="12"/>
      <c r="P4374" s="34"/>
      <c r="Q4374" s="37"/>
      <c r="R4374" s="47"/>
      <c r="S4374" s="46"/>
    </row>
    <row r="4375" spans="1:19" ht="15.6" hidden="1" customHeight="1" thickBot="1" x14ac:dyDescent="0.3">
      <c r="A4375" t="s">
        <v>23</v>
      </c>
      <c r="B4375" s="60" t="str">
        <f t="shared" si="3133"/>
        <v>hide</v>
      </c>
      <c r="D4375" s="48" t="str">
        <f>D4374</f>
        <v>633-NSC</v>
      </c>
      <c r="E4375" s="7"/>
      <c r="F4375" s="27">
        <v>0</v>
      </c>
      <c r="G4375" s="27">
        <v>0</v>
      </c>
      <c r="H4375" s="27">
        <v>0</v>
      </c>
      <c r="I4375" s="27">
        <v>0</v>
      </c>
      <c r="J4375" s="27">
        <v>0</v>
      </c>
      <c r="K4375" s="63">
        <f>AVERAGE(I4375:J4375)</f>
        <v>0</v>
      </c>
      <c r="L4375" s="56" t="str">
        <f>"SW-COMAS-PACKL"</f>
        <v>SW-COMAS-PACKL</v>
      </c>
      <c r="M4375" s="14"/>
      <c r="N4375" s="15"/>
      <c r="O4375" s="12"/>
      <c r="P4375" s="34"/>
      <c r="Q4375" s="37"/>
      <c r="R4375" s="47"/>
      <c r="S4375" s="46"/>
    </row>
    <row r="4376" spans="1:19" ht="15.6" hidden="1" customHeight="1" thickBot="1" x14ac:dyDescent="0.3">
      <c r="A4376" t="s">
        <v>23</v>
      </c>
      <c r="B4376" s="60" t="str">
        <f t="shared" si="3133"/>
        <v>hide</v>
      </c>
      <c r="D4376" s="48" t="str">
        <f>D4375</f>
        <v>633-NSC</v>
      </c>
      <c r="E4376" s="7"/>
      <c r="F4376" s="27">
        <v>0</v>
      </c>
      <c r="G4376" s="27">
        <v>0</v>
      </c>
      <c r="H4376" s="27">
        <v>0</v>
      </c>
      <c r="I4376" s="27">
        <v>0</v>
      </c>
      <c r="J4376" s="27">
        <v>0</v>
      </c>
      <c r="K4376" s="63">
        <f>AVERAGE(I4376:J4376)</f>
        <v>0</v>
      </c>
      <c r="L4376" s="56" t="str">
        <f>"SW-RISER-PACK"</f>
        <v>SW-RISER-PACK</v>
      </c>
      <c r="M4376" s="14"/>
      <c r="N4376" s="15"/>
      <c r="O4376" s="12"/>
      <c r="P4376" s="34"/>
      <c r="Q4376" s="37"/>
      <c r="R4376" s="47"/>
      <c r="S4376" s="46"/>
    </row>
    <row r="4377" spans="1:19" ht="12" hidden="1" customHeight="1" x14ac:dyDescent="0.3">
      <c r="A4377" s="35" t="s">
        <v>908</v>
      </c>
      <c r="B4377" s="49" t="str">
        <f>B4373</f>
        <v>hide</v>
      </c>
      <c r="N4377"/>
      <c r="Q4377" s="33"/>
    </row>
    <row r="4378" spans="1:19" ht="13.8" hidden="1" thickBot="1" x14ac:dyDescent="0.3">
      <c r="A4378" t="s">
        <v>23</v>
      </c>
      <c r="B4378" s="49" t="str">
        <f t="shared" ref="B4378" si="3134">B4377</f>
        <v>hide</v>
      </c>
      <c r="D4378" s="58"/>
      <c r="E4378" s="58"/>
      <c r="F4378" s="52">
        <f>SUM(F4373:F4377)</f>
        <v>0</v>
      </c>
      <c r="G4378" s="52">
        <f>SUM(G4373:G4377)</f>
        <v>0</v>
      </c>
      <c r="H4378" s="52">
        <f>SUM(H4373:H4377)</f>
        <v>0</v>
      </c>
      <c r="I4378" s="52">
        <f>SUM(I4373:I4377)</f>
        <v>0</v>
      </c>
      <c r="J4378" s="52">
        <f>SUM(J4373:J4377)</f>
        <v>0</v>
      </c>
      <c r="K4378" s="52"/>
      <c r="L4378" s="51" t="s">
        <v>4</v>
      </c>
      <c r="M4378" s="58"/>
      <c r="N4378" s="58"/>
      <c r="O4378" s="58"/>
      <c r="P4378" s="58"/>
      <c r="Q4378" s="58"/>
      <c r="R4378" s="58"/>
      <c r="S4378" s="58"/>
    </row>
    <row r="4379" spans="1:19" s="59" customFormat="1" ht="18.75" hidden="1" customHeight="1" thickBot="1" x14ac:dyDescent="0.3">
      <c r="A4379" s="59" t="s">
        <v>23</v>
      </c>
      <c r="B4379" s="60" t="str">
        <f t="shared" ref="B4379:B4380" si="3135">IF(K4379=0,"hide","")</f>
        <v>hide</v>
      </c>
      <c r="D4379" s="61" t="str">
        <f>"63401"</f>
        <v>63401</v>
      </c>
      <c r="E4379" s="62" t="str">
        <f>"3"</f>
        <v>3</v>
      </c>
      <c r="F4379" s="63">
        <v>0</v>
      </c>
      <c r="G4379" s="63">
        <v>0</v>
      </c>
      <c r="H4379" s="63">
        <v>0</v>
      </c>
      <c r="I4379" s="63">
        <v>0</v>
      </c>
      <c r="J4379" s="63">
        <v>0</v>
      </c>
      <c r="K4379" s="63">
        <f>AVERAGE(I4379:J4379)</f>
        <v>0</v>
      </c>
      <c r="L4379" s="64" t="str">
        <f>"BLUEBERRY MINI MUFFINS"</f>
        <v>BLUEBERRY MINI MUFFINS</v>
      </c>
      <c r="M4379" s="65" t="str">
        <f>"224-.9oz. 8 Tubs of 28"</f>
        <v>224-.9oz. 8 Tubs of 28</v>
      </c>
      <c r="N4379" s="66">
        <v>224</v>
      </c>
      <c r="O4379" s="67" t="str">
        <f>""</f>
        <v/>
      </c>
      <c r="P4379" s="68" t="e">
        <f>1/O4379</f>
        <v>#VALUE!</v>
      </c>
      <c r="Q4379" s="53">
        <v>1</v>
      </c>
      <c r="R4379" s="69">
        <f t="shared" ref="R4379" si="3136">1/Q4379</f>
        <v>1</v>
      </c>
      <c r="S4379" s="70">
        <f t="shared" ref="S4379" si="3137">R4379*N4379</f>
        <v>224</v>
      </c>
    </row>
    <row r="4380" spans="1:19" ht="15.6" hidden="1" customHeight="1" thickBot="1" x14ac:dyDescent="0.3">
      <c r="A4380" t="s">
        <v>23</v>
      </c>
      <c r="B4380" s="60" t="str">
        <f t="shared" si="3135"/>
        <v>hide</v>
      </c>
      <c r="D4380" s="48" t="str">
        <f>D4379</f>
        <v>63401</v>
      </c>
      <c r="E4380" s="7"/>
      <c r="F4380" s="27">
        <v>0</v>
      </c>
      <c r="G4380" s="27">
        <v>0</v>
      </c>
      <c r="H4380" s="27">
        <v>0</v>
      </c>
      <c r="I4380" s="27">
        <v>0</v>
      </c>
      <c r="J4380" s="27">
        <v>0</v>
      </c>
      <c r="K4380" s="63">
        <f>AVERAGE(I4380:J4380)</f>
        <v>0</v>
      </c>
      <c r="L4380" s="56" t="str">
        <f>"EQP-LAWPACK1"</f>
        <v>EQP-LAWPACK1</v>
      </c>
      <c r="M4380" s="14"/>
      <c r="N4380" s="15"/>
      <c r="O4380" s="12"/>
      <c r="P4380" s="34"/>
      <c r="Q4380" s="37"/>
      <c r="R4380" s="47"/>
      <c r="S4380" s="46"/>
    </row>
    <row r="4381" spans="1:19" ht="15.6" hidden="1" customHeight="1" thickBot="1" x14ac:dyDescent="0.3">
      <c r="A4381" t="s">
        <v>23</v>
      </c>
      <c r="B4381" s="60" t="str">
        <f t="shared" ref="B4381:B4383" si="3138">IF(K4381=0,"hide","")</f>
        <v>hide</v>
      </c>
      <c r="D4381" s="48" t="str">
        <f>D4380</f>
        <v>63401</v>
      </c>
      <c r="E4381" s="7"/>
      <c r="F4381" s="27">
        <v>0</v>
      </c>
      <c r="G4381" s="27">
        <v>0</v>
      </c>
      <c r="H4381" s="27">
        <v>0</v>
      </c>
      <c r="I4381" s="27">
        <v>0</v>
      </c>
      <c r="J4381" s="27">
        <v>0</v>
      </c>
      <c r="K4381" s="63">
        <f>AVERAGE(I4381:J4381)</f>
        <v>0</v>
      </c>
      <c r="L4381" s="56" t="str">
        <f>"EQP-LAWPACK2"</f>
        <v>EQP-LAWPACK2</v>
      </c>
      <c r="M4381" s="14"/>
      <c r="N4381" s="15"/>
      <c r="O4381" s="12"/>
      <c r="P4381" s="34"/>
      <c r="Q4381" s="37"/>
      <c r="R4381" s="47"/>
      <c r="S4381" s="46"/>
    </row>
    <row r="4382" spans="1:19" ht="15.6" hidden="1" customHeight="1" thickBot="1" x14ac:dyDescent="0.3">
      <c r="A4382" t="s">
        <v>23</v>
      </c>
      <c r="B4382" s="60" t="str">
        <f t="shared" si="3138"/>
        <v>hide</v>
      </c>
      <c r="D4382" s="48" t="str">
        <f>D4381</f>
        <v>63401</v>
      </c>
      <c r="E4382" s="7"/>
      <c r="F4382" s="27">
        <v>0</v>
      </c>
      <c r="G4382" s="27">
        <v>0</v>
      </c>
      <c r="H4382" s="27">
        <v>0</v>
      </c>
      <c r="I4382" s="27">
        <v>0</v>
      </c>
      <c r="J4382" s="27">
        <v>0</v>
      </c>
      <c r="K4382" s="63">
        <f>AVERAGE(I4382:J4382)</f>
        <v>0</v>
      </c>
      <c r="L4382" s="56" t="str">
        <f>"SW-COMAS-PACKL"</f>
        <v>SW-COMAS-PACKL</v>
      </c>
      <c r="M4382" s="14"/>
      <c r="N4382" s="15"/>
      <c r="O4382" s="12"/>
      <c r="P4382" s="34"/>
      <c r="Q4382" s="37"/>
      <c r="R4382" s="47"/>
      <c r="S4382" s="46"/>
    </row>
    <row r="4383" spans="1:19" ht="15.6" hidden="1" customHeight="1" thickBot="1" x14ac:dyDescent="0.3">
      <c r="A4383" t="s">
        <v>23</v>
      </c>
      <c r="B4383" s="60" t="str">
        <f t="shared" si="3138"/>
        <v>hide</v>
      </c>
      <c r="D4383" s="48" t="str">
        <f>D4382</f>
        <v>63401</v>
      </c>
      <c r="E4383" s="7"/>
      <c r="F4383" s="27">
        <v>0</v>
      </c>
      <c r="G4383" s="27">
        <v>0</v>
      </c>
      <c r="H4383" s="27">
        <v>0</v>
      </c>
      <c r="I4383" s="27">
        <v>0</v>
      </c>
      <c r="J4383" s="27">
        <v>0</v>
      </c>
      <c r="K4383" s="63">
        <f>AVERAGE(I4383:J4383)</f>
        <v>0</v>
      </c>
      <c r="L4383" s="56" t="str">
        <f>"SW-RISER-PACK"</f>
        <v>SW-RISER-PACK</v>
      </c>
      <c r="M4383" s="14"/>
      <c r="N4383" s="15"/>
      <c r="O4383" s="12"/>
      <c r="P4383" s="34"/>
      <c r="Q4383" s="37"/>
      <c r="R4383" s="47"/>
      <c r="S4383" s="46"/>
    </row>
    <row r="4384" spans="1:19" ht="12" hidden="1" customHeight="1" x14ac:dyDescent="0.3">
      <c r="A4384" s="35" t="s">
        <v>908</v>
      </c>
      <c r="B4384" s="49" t="str">
        <f>B4380</f>
        <v>hide</v>
      </c>
      <c r="N4384"/>
      <c r="Q4384" s="33"/>
    </row>
    <row r="4385" spans="1:19" ht="13.8" hidden="1" thickBot="1" x14ac:dyDescent="0.3">
      <c r="A4385" t="s">
        <v>23</v>
      </c>
      <c r="B4385" s="49" t="str">
        <f t="shared" ref="B4385" si="3139">B4384</f>
        <v>hide</v>
      </c>
      <c r="D4385" s="58"/>
      <c r="E4385" s="58"/>
      <c r="F4385" s="52">
        <f>SUM(F4380:F4384)</f>
        <v>0</v>
      </c>
      <c r="G4385" s="52">
        <f>SUM(G4380:G4384)</f>
        <v>0</v>
      </c>
      <c r="H4385" s="52">
        <f>SUM(H4380:H4384)</f>
        <v>0</v>
      </c>
      <c r="I4385" s="52">
        <f>SUM(I4380:I4384)</f>
        <v>0</v>
      </c>
      <c r="J4385" s="52">
        <f>SUM(J4380:J4384)</f>
        <v>0</v>
      </c>
      <c r="K4385" s="52"/>
      <c r="L4385" s="51" t="s">
        <v>4</v>
      </c>
      <c r="M4385" s="58"/>
      <c r="N4385" s="58"/>
      <c r="O4385" s="58"/>
      <c r="P4385" s="58"/>
      <c r="Q4385" s="58"/>
      <c r="R4385" s="58"/>
      <c r="S4385" s="58"/>
    </row>
    <row r="4386" spans="1:19" s="59" customFormat="1" ht="18.75" hidden="1" customHeight="1" thickBot="1" x14ac:dyDescent="0.3">
      <c r="A4386" s="59" t="s">
        <v>23</v>
      </c>
      <c r="B4386" s="60" t="str">
        <f t="shared" ref="B4386:B4387" si="3140">IF(K4386=0,"hide","")</f>
        <v>hide</v>
      </c>
      <c r="D4386" s="61" t="str">
        <f>"63405"</f>
        <v>63405</v>
      </c>
      <c r="E4386" s="62" t="str">
        <f>"4"</f>
        <v>4</v>
      </c>
      <c r="F4386" s="63">
        <v>0</v>
      </c>
      <c r="G4386" s="63">
        <v>0</v>
      </c>
      <c r="H4386" s="63">
        <v>0</v>
      </c>
      <c r="I4386" s="63">
        <v>0</v>
      </c>
      <c r="J4386" s="63">
        <v>0</v>
      </c>
      <c r="K4386" s="63">
        <f>AVERAGE(I4386:J4386)</f>
        <v>0</v>
      </c>
      <c r="L4386" s="64" t="str">
        <f>"CORN MINI MUFFINS"</f>
        <v>CORN MINI MUFFINS</v>
      </c>
      <c r="M4386" s="65" t="str">
        <f>"224-.9oz. 8 Tubs of 28"</f>
        <v>224-.9oz. 8 Tubs of 28</v>
      </c>
      <c r="N4386" s="66">
        <v>224</v>
      </c>
      <c r="O4386" s="67" t="str">
        <f>""</f>
        <v/>
      </c>
      <c r="P4386" s="68" t="e">
        <f>1/O4386</f>
        <v>#VALUE!</v>
      </c>
      <c r="Q4386" s="53">
        <v>1</v>
      </c>
      <c r="R4386" s="69">
        <f t="shared" ref="R4386" si="3141">1/Q4386</f>
        <v>1</v>
      </c>
      <c r="S4386" s="70">
        <f t="shared" ref="S4386" si="3142">R4386*N4386</f>
        <v>224</v>
      </c>
    </row>
    <row r="4387" spans="1:19" ht="15.6" hidden="1" customHeight="1" thickBot="1" x14ac:dyDescent="0.3">
      <c r="A4387" t="s">
        <v>23</v>
      </c>
      <c r="B4387" s="60" t="str">
        <f t="shared" si="3140"/>
        <v>hide</v>
      </c>
      <c r="D4387" s="48" t="str">
        <f>D4386</f>
        <v>63405</v>
      </c>
      <c r="E4387" s="7"/>
      <c r="F4387" s="27">
        <v>0</v>
      </c>
      <c r="G4387" s="27">
        <v>0</v>
      </c>
      <c r="H4387" s="27">
        <v>0</v>
      </c>
      <c r="I4387" s="27">
        <v>0</v>
      </c>
      <c r="J4387" s="27">
        <v>0</v>
      </c>
      <c r="K4387" s="63">
        <f>AVERAGE(I4387:J4387)</f>
        <v>0</v>
      </c>
      <c r="L4387" s="56" t="str">
        <f>"EQP-LAWPACK1"</f>
        <v>EQP-LAWPACK1</v>
      </c>
      <c r="M4387" s="14"/>
      <c r="N4387" s="15"/>
      <c r="O4387" s="12"/>
      <c r="P4387" s="34"/>
      <c r="Q4387" s="37"/>
      <c r="R4387" s="47"/>
      <c r="S4387" s="46"/>
    </row>
    <row r="4388" spans="1:19" ht="15.6" hidden="1" customHeight="1" thickBot="1" x14ac:dyDescent="0.3">
      <c r="A4388" t="s">
        <v>23</v>
      </c>
      <c r="B4388" s="60" t="str">
        <f t="shared" ref="B4388:B4390" si="3143">IF(K4388=0,"hide","")</f>
        <v>hide</v>
      </c>
      <c r="D4388" s="48" t="str">
        <f>D4387</f>
        <v>63405</v>
      </c>
      <c r="E4388" s="7"/>
      <c r="F4388" s="27">
        <v>0</v>
      </c>
      <c r="G4388" s="27">
        <v>0</v>
      </c>
      <c r="H4388" s="27">
        <v>0</v>
      </c>
      <c r="I4388" s="27">
        <v>0</v>
      </c>
      <c r="J4388" s="27">
        <v>0</v>
      </c>
      <c r="K4388" s="63">
        <f>AVERAGE(I4388:J4388)</f>
        <v>0</v>
      </c>
      <c r="L4388" s="56" t="str">
        <f>"EQP-LAWPACK2"</f>
        <v>EQP-LAWPACK2</v>
      </c>
      <c r="M4388" s="14"/>
      <c r="N4388" s="15"/>
      <c r="O4388" s="12"/>
      <c r="P4388" s="34"/>
      <c r="Q4388" s="37"/>
      <c r="R4388" s="47"/>
      <c r="S4388" s="46"/>
    </row>
    <row r="4389" spans="1:19" ht="15.6" hidden="1" customHeight="1" thickBot="1" x14ac:dyDescent="0.3">
      <c r="A4389" t="s">
        <v>23</v>
      </c>
      <c r="B4389" s="60" t="str">
        <f t="shared" si="3143"/>
        <v>hide</v>
      </c>
      <c r="D4389" s="48" t="str">
        <f>D4388</f>
        <v>63405</v>
      </c>
      <c r="E4389" s="7"/>
      <c r="F4389" s="27">
        <v>0</v>
      </c>
      <c r="G4389" s="27">
        <v>0</v>
      </c>
      <c r="H4389" s="27">
        <v>0</v>
      </c>
      <c r="I4389" s="27">
        <v>0</v>
      </c>
      <c r="J4389" s="27">
        <v>0</v>
      </c>
      <c r="K4389" s="63">
        <f>AVERAGE(I4389:J4389)</f>
        <v>0</v>
      </c>
      <c r="L4389" s="56" t="str">
        <f>"SW-COMAS-PACKL"</f>
        <v>SW-COMAS-PACKL</v>
      </c>
      <c r="M4389" s="14"/>
      <c r="N4389" s="15"/>
      <c r="O4389" s="12"/>
      <c r="P4389" s="34"/>
      <c r="Q4389" s="37"/>
      <c r="R4389" s="47"/>
      <c r="S4389" s="46"/>
    </row>
    <row r="4390" spans="1:19" ht="15.6" hidden="1" customHeight="1" thickBot="1" x14ac:dyDescent="0.3">
      <c r="A4390" t="s">
        <v>23</v>
      </c>
      <c r="B4390" s="60" t="str">
        <f t="shared" si="3143"/>
        <v>hide</v>
      </c>
      <c r="D4390" s="48" t="str">
        <f>D4389</f>
        <v>63405</v>
      </c>
      <c r="E4390" s="7"/>
      <c r="F4390" s="27">
        <v>0</v>
      </c>
      <c r="G4390" s="27">
        <v>0</v>
      </c>
      <c r="H4390" s="27">
        <v>0</v>
      </c>
      <c r="I4390" s="27">
        <v>0</v>
      </c>
      <c r="J4390" s="27">
        <v>0</v>
      </c>
      <c r="K4390" s="63">
        <f>AVERAGE(I4390:J4390)</f>
        <v>0</v>
      </c>
      <c r="L4390" s="56" t="str">
        <f>"SW-RISER-PACK"</f>
        <v>SW-RISER-PACK</v>
      </c>
      <c r="M4390" s="14"/>
      <c r="N4390" s="15"/>
      <c r="O4390" s="12"/>
      <c r="P4390" s="34"/>
      <c r="Q4390" s="37"/>
      <c r="R4390" s="47"/>
      <c r="S4390" s="46"/>
    </row>
    <row r="4391" spans="1:19" ht="12" hidden="1" customHeight="1" x14ac:dyDescent="0.3">
      <c r="A4391" s="35" t="s">
        <v>908</v>
      </c>
      <c r="B4391" s="49" t="str">
        <f>B4387</f>
        <v>hide</v>
      </c>
      <c r="N4391"/>
      <c r="Q4391" s="33"/>
    </row>
    <row r="4392" spans="1:19" ht="13.8" hidden="1" thickBot="1" x14ac:dyDescent="0.3">
      <c r="A4392" t="s">
        <v>23</v>
      </c>
      <c r="B4392" s="49" t="str">
        <f t="shared" ref="B4392" si="3144">B4391</f>
        <v>hide</v>
      </c>
      <c r="D4392" s="58"/>
      <c r="E4392" s="58"/>
      <c r="F4392" s="52">
        <f>SUM(F4387:F4391)</f>
        <v>0</v>
      </c>
      <c r="G4392" s="52">
        <f>SUM(G4387:G4391)</f>
        <v>0</v>
      </c>
      <c r="H4392" s="52">
        <f>SUM(H4387:H4391)</f>
        <v>0</v>
      </c>
      <c r="I4392" s="52">
        <f>SUM(I4387:I4391)</f>
        <v>0</v>
      </c>
      <c r="J4392" s="52">
        <f>SUM(J4387:J4391)</f>
        <v>0</v>
      </c>
      <c r="K4392" s="52"/>
      <c r="L4392" s="51" t="s">
        <v>4</v>
      </c>
      <c r="M4392" s="58"/>
      <c r="N4392" s="58"/>
      <c r="O4392" s="58"/>
      <c r="P4392" s="58"/>
      <c r="Q4392" s="58"/>
      <c r="R4392" s="58"/>
      <c r="S4392" s="58"/>
    </row>
    <row r="4393" spans="1:19" s="59" customFormat="1" ht="18.75" hidden="1" customHeight="1" thickBot="1" x14ac:dyDescent="0.3">
      <c r="A4393" s="59" t="s">
        <v>23</v>
      </c>
      <c r="B4393" s="60" t="str">
        <f t="shared" ref="B4393:B4394" si="3145">IF(K4393=0,"hide","")</f>
        <v>hide</v>
      </c>
      <c r="D4393" s="61" t="str">
        <f>"63410"</f>
        <v>63410</v>
      </c>
      <c r="E4393" s="62" t="str">
        <f>"4"</f>
        <v>4</v>
      </c>
      <c r="F4393" s="63">
        <v>0</v>
      </c>
      <c r="G4393" s="63">
        <v>0</v>
      </c>
      <c r="H4393" s="63">
        <v>0</v>
      </c>
      <c r="I4393" s="63">
        <v>0</v>
      </c>
      <c r="J4393" s="63">
        <v>0</v>
      </c>
      <c r="K4393" s="63">
        <f>AVERAGE(I4393:J4393)</f>
        <v>0</v>
      </c>
      <c r="L4393" s="64" t="str">
        <f>"CHOCOLATE CHIP MINI MUFFINS"</f>
        <v>CHOCOLATE CHIP MINI MUFFINS</v>
      </c>
      <c r="M4393" s="65" t="str">
        <f>"224-.9oz. 8 Tubs of 28"</f>
        <v>224-.9oz. 8 Tubs of 28</v>
      </c>
      <c r="N4393" s="66">
        <v>224</v>
      </c>
      <c r="O4393" s="67" t="str">
        <f>""</f>
        <v/>
      </c>
      <c r="P4393" s="68" t="e">
        <f>1/O4393</f>
        <v>#VALUE!</v>
      </c>
      <c r="Q4393" s="53">
        <v>1</v>
      </c>
      <c r="R4393" s="69">
        <f t="shared" ref="R4393" si="3146">1/Q4393</f>
        <v>1</v>
      </c>
      <c r="S4393" s="70">
        <f t="shared" ref="S4393" si="3147">R4393*N4393</f>
        <v>224</v>
      </c>
    </row>
    <row r="4394" spans="1:19" ht="15.6" hidden="1" customHeight="1" thickBot="1" x14ac:dyDescent="0.3">
      <c r="A4394" t="s">
        <v>23</v>
      </c>
      <c r="B4394" s="60" t="str">
        <f t="shared" si="3145"/>
        <v>hide</v>
      </c>
      <c r="D4394" s="48" t="str">
        <f>D4393</f>
        <v>63410</v>
      </c>
      <c r="E4394" s="7"/>
      <c r="F4394" s="27">
        <v>0</v>
      </c>
      <c r="G4394" s="27">
        <v>0</v>
      </c>
      <c r="H4394" s="27">
        <v>0</v>
      </c>
      <c r="I4394" s="27">
        <v>0</v>
      </c>
      <c r="J4394" s="27">
        <v>0</v>
      </c>
      <c r="K4394" s="63">
        <f>AVERAGE(I4394:J4394)</f>
        <v>0</v>
      </c>
      <c r="L4394" s="56" t="str">
        <f>"EQP-LAWPACK1"</f>
        <v>EQP-LAWPACK1</v>
      </c>
      <c r="M4394" s="14"/>
      <c r="N4394" s="15"/>
      <c r="O4394" s="12"/>
      <c r="P4394" s="34"/>
      <c r="Q4394" s="37"/>
      <c r="R4394" s="47"/>
      <c r="S4394" s="46"/>
    </row>
    <row r="4395" spans="1:19" ht="15.6" hidden="1" customHeight="1" thickBot="1" x14ac:dyDescent="0.3">
      <c r="A4395" t="s">
        <v>23</v>
      </c>
      <c r="B4395" s="60" t="str">
        <f t="shared" ref="B4395:B4397" si="3148">IF(K4395=0,"hide","")</f>
        <v>hide</v>
      </c>
      <c r="D4395" s="48" t="str">
        <f>D4394</f>
        <v>63410</v>
      </c>
      <c r="E4395" s="7"/>
      <c r="F4395" s="27">
        <v>0</v>
      </c>
      <c r="G4395" s="27">
        <v>0</v>
      </c>
      <c r="H4395" s="27">
        <v>0</v>
      </c>
      <c r="I4395" s="27">
        <v>0</v>
      </c>
      <c r="J4395" s="27">
        <v>0</v>
      </c>
      <c r="K4395" s="63">
        <f>AVERAGE(I4395:J4395)</f>
        <v>0</v>
      </c>
      <c r="L4395" s="56" t="str">
        <f>"EQP-LAWPACK2"</f>
        <v>EQP-LAWPACK2</v>
      </c>
      <c r="M4395" s="14"/>
      <c r="N4395" s="15"/>
      <c r="O4395" s="12"/>
      <c r="P4395" s="34"/>
      <c r="Q4395" s="37"/>
      <c r="R4395" s="47"/>
      <c r="S4395" s="46"/>
    </row>
    <row r="4396" spans="1:19" ht="15.6" hidden="1" customHeight="1" thickBot="1" x14ac:dyDescent="0.3">
      <c r="A4396" t="s">
        <v>23</v>
      </c>
      <c r="B4396" s="60" t="str">
        <f t="shared" si="3148"/>
        <v>hide</v>
      </c>
      <c r="D4396" s="48" t="str">
        <f>D4395</f>
        <v>63410</v>
      </c>
      <c r="E4396" s="7"/>
      <c r="F4396" s="27">
        <v>0</v>
      </c>
      <c r="G4396" s="27">
        <v>0</v>
      </c>
      <c r="H4396" s="27">
        <v>0</v>
      </c>
      <c r="I4396" s="27">
        <v>0</v>
      </c>
      <c r="J4396" s="27">
        <v>0</v>
      </c>
      <c r="K4396" s="63">
        <f>AVERAGE(I4396:J4396)</f>
        <v>0</v>
      </c>
      <c r="L4396" s="56" t="str">
        <f>"SW-COMAS-PACKL"</f>
        <v>SW-COMAS-PACKL</v>
      </c>
      <c r="M4396" s="14"/>
      <c r="N4396" s="15"/>
      <c r="O4396" s="12"/>
      <c r="P4396" s="34"/>
      <c r="Q4396" s="37"/>
      <c r="R4396" s="47"/>
      <c r="S4396" s="46"/>
    </row>
    <row r="4397" spans="1:19" ht="15.6" hidden="1" customHeight="1" thickBot="1" x14ac:dyDescent="0.3">
      <c r="A4397" t="s">
        <v>23</v>
      </c>
      <c r="B4397" s="60" t="str">
        <f t="shared" si="3148"/>
        <v>hide</v>
      </c>
      <c r="D4397" s="48" t="str">
        <f>D4396</f>
        <v>63410</v>
      </c>
      <c r="E4397" s="7"/>
      <c r="F4397" s="27">
        <v>0</v>
      </c>
      <c r="G4397" s="27">
        <v>0</v>
      </c>
      <c r="H4397" s="27">
        <v>0</v>
      </c>
      <c r="I4397" s="27">
        <v>0</v>
      </c>
      <c r="J4397" s="27">
        <v>0</v>
      </c>
      <c r="K4397" s="63">
        <f>AVERAGE(I4397:J4397)</f>
        <v>0</v>
      </c>
      <c r="L4397" s="56" t="str">
        <f>"SW-RISER-PACK"</f>
        <v>SW-RISER-PACK</v>
      </c>
      <c r="M4397" s="14"/>
      <c r="N4397" s="15"/>
      <c r="O4397" s="12"/>
      <c r="P4397" s="34"/>
      <c r="Q4397" s="37"/>
      <c r="R4397" s="47"/>
      <c r="S4397" s="46"/>
    </row>
    <row r="4398" spans="1:19" ht="12" hidden="1" customHeight="1" x14ac:dyDescent="0.3">
      <c r="A4398" s="35" t="s">
        <v>908</v>
      </c>
      <c r="B4398" s="49" t="str">
        <f>B4394</f>
        <v>hide</v>
      </c>
      <c r="N4398"/>
      <c r="Q4398" s="33"/>
    </row>
    <row r="4399" spans="1:19" ht="13.8" hidden="1" thickBot="1" x14ac:dyDescent="0.3">
      <c r="A4399" t="s">
        <v>23</v>
      </c>
      <c r="B4399" s="49" t="str">
        <f t="shared" ref="B4399" si="3149">B4398</f>
        <v>hide</v>
      </c>
      <c r="D4399" s="58"/>
      <c r="E4399" s="58"/>
      <c r="F4399" s="52">
        <f>SUM(F4394:F4398)</f>
        <v>0</v>
      </c>
      <c r="G4399" s="52">
        <f>SUM(G4394:G4398)</f>
        <v>0</v>
      </c>
      <c r="H4399" s="52">
        <f>SUM(H4394:H4398)</f>
        <v>0</v>
      </c>
      <c r="I4399" s="52">
        <f>SUM(I4394:I4398)</f>
        <v>0</v>
      </c>
      <c r="J4399" s="52">
        <f>SUM(J4394:J4398)</f>
        <v>0</v>
      </c>
      <c r="K4399" s="52"/>
      <c r="L4399" s="51" t="s">
        <v>4</v>
      </c>
      <c r="M4399" s="58"/>
      <c r="N4399" s="58"/>
      <c r="O4399" s="58"/>
      <c r="P4399" s="58"/>
      <c r="Q4399" s="58"/>
      <c r="R4399" s="58"/>
      <c r="S4399" s="58"/>
    </row>
    <row r="4400" spans="1:19" s="59" customFormat="1" ht="18.75" hidden="1" customHeight="1" thickBot="1" x14ac:dyDescent="0.3">
      <c r="A4400" s="59" t="s">
        <v>23</v>
      </c>
      <c r="B4400" s="60" t="str">
        <f t="shared" ref="B4400:B4401" si="3150">IF(K4400=0,"hide","")</f>
        <v>hide</v>
      </c>
      <c r="D4400" s="61" t="str">
        <f>"64139"</f>
        <v>64139</v>
      </c>
      <c r="E4400" s="62" t="str">
        <f>"3"</f>
        <v>3</v>
      </c>
      <c r="F4400" s="63">
        <v>0</v>
      </c>
      <c r="G4400" s="63">
        <v>0</v>
      </c>
      <c r="H4400" s="63">
        <v>0</v>
      </c>
      <c r="I4400" s="63">
        <v>0</v>
      </c>
      <c r="J4400" s="63">
        <v>0</v>
      </c>
      <c r="K4400" s="63">
        <f>AVERAGE(I4400:J4400)</f>
        <v>0</v>
      </c>
      <c r="L4400" s="64" t="str">
        <f>"ANGEL FOOD CAKE"</f>
        <v>ANGEL FOOD CAKE</v>
      </c>
      <c r="M4400" s="65" t="str">
        <f>"2-20 oz. Overwrapped"</f>
        <v>2-20 oz. Overwrapped</v>
      </c>
      <c r="N4400" s="66">
        <v>2</v>
      </c>
      <c r="O4400" s="67" t="str">
        <f>""</f>
        <v/>
      </c>
      <c r="P4400" s="68" t="e">
        <f>1/O4400</f>
        <v>#VALUE!</v>
      </c>
      <c r="Q4400" s="53">
        <v>1</v>
      </c>
      <c r="R4400" s="69">
        <f t="shared" ref="R4400" si="3151">1/Q4400</f>
        <v>1</v>
      </c>
      <c r="S4400" s="70">
        <f t="shared" ref="S4400" si="3152">R4400*N4400</f>
        <v>2</v>
      </c>
    </row>
    <row r="4401" spans="1:19" ht="15.6" hidden="1" customHeight="1" thickBot="1" x14ac:dyDescent="0.3">
      <c r="A4401" t="s">
        <v>23</v>
      </c>
      <c r="B4401" s="60" t="str">
        <f t="shared" si="3150"/>
        <v>hide</v>
      </c>
      <c r="D4401" s="48" t="str">
        <f>D4400</f>
        <v>64139</v>
      </c>
      <c r="E4401" s="7"/>
      <c r="F4401" s="27">
        <v>0</v>
      </c>
      <c r="G4401" s="27">
        <v>0</v>
      </c>
      <c r="H4401" s="27">
        <v>0</v>
      </c>
      <c r="I4401" s="27">
        <v>0</v>
      </c>
      <c r="J4401" s="27">
        <v>0</v>
      </c>
      <c r="K4401" s="63">
        <f>AVERAGE(I4401:J4401)</f>
        <v>0</v>
      </c>
      <c r="L4401" s="56" t="str">
        <f>"EQP-LAWPACK1"</f>
        <v>EQP-LAWPACK1</v>
      </c>
      <c r="M4401" s="14"/>
      <c r="N4401" s="15"/>
      <c r="O4401" s="12"/>
      <c r="P4401" s="34"/>
      <c r="Q4401" s="37"/>
      <c r="R4401" s="47"/>
      <c r="S4401" s="46"/>
    </row>
    <row r="4402" spans="1:19" ht="15.6" hidden="1" customHeight="1" thickBot="1" x14ac:dyDescent="0.3">
      <c r="A4402" t="s">
        <v>23</v>
      </c>
      <c r="B4402" s="60" t="str">
        <f t="shared" ref="B4402:B4404" si="3153">IF(K4402=0,"hide","")</f>
        <v>hide</v>
      </c>
      <c r="D4402" s="48" t="str">
        <f>D4401</f>
        <v>64139</v>
      </c>
      <c r="E4402" s="7"/>
      <c r="F4402" s="27">
        <v>0</v>
      </c>
      <c r="G4402" s="27">
        <v>0</v>
      </c>
      <c r="H4402" s="27">
        <v>0</v>
      </c>
      <c r="I4402" s="27">
        <v>0</v>
      </c>
      <c r="J4402" s="27">
        <v>0</v>
      </c>
      <c r="K4402" s="63">
        <f>AVERAGE(I4402:J4402)</f>
        <v>0</v>
      </c>
      <c r="L4402" s="56" t="str">
        <f>"EQP-LAWPACK2"</f>
        <v>EQP-LAWPACK2</v>
      </c>
      <c r="M4402" s="14"/>
      <c r="N4402" s="15"/>
      <c r="O4402" s="12"/>
      <c r="P4402" s="34"/>
      <c r="Q4402" s="37"/>
      <c r="R4402" s="47"/>
      <c r="S4402" s="46"/>
    </row>
    <row r="4403" spans="1:19" ht="15.6" hidden="1" customHeight="1" thickBot="1" x14ac:dyDescent="0.3">
      <c r="A4403" t="s">
        <v>23</v>
      </c>
      <c r="B4403" s="60" t="str">
        <f t="shared" si="3153"/>
        <v>hide</v>
      </c>
      <c r="D4403" s="48" t="str">
        <f>D4402</f>
        <v>64139</v>
      </c>
      <c r="E4403" s="7"/>
      <c r="F4403" s="27">
        <v>0</v>
      </c>
      <c r="G4403" s="27">
        <v>0</v>
      </c>
      <c r="H4403" s="27">
        <v>0</v>
      </c>
      <c r="I4403" s="27">
        <v>0</v>
      </c>
      <c r="J4403" s="27">
        <v>0</v>
      </c>
      <c r="K4403" s="63">
        <f>AVERAGE(I4403:J4403)</f>
        <v>0</v>
      </c>
      <c r="L4403" s="56" t="str">
        <f>"SW-COMAS-PACKL"</f>
        <v>SW-COMAS-PACKL</v>
      </c>
      <c r="M4403" s="14"/>
      <c r="N4403" s="15"/>
      <c r="O4403" s="12"/>
      <c r="P4403" s="34"/>
      <c r="Q4403" s="37"/>
      <c r="R4403" s="47"/>
      <c r="S4403" s="46"/>
    </row>
    <row r="4404" spans="1:19" ht="15.6" hidden="1" customHeight="1" thickBot="1" x14ac:dyDescent="0.3">
      <c r="A4404" t="s">
        <v>23</v>
      </c>
      <c r="B4404" s="60" t="str">
        <f t="shared" si="3153"/>
        <v>hide</v>
      </c>
      <c r="D4404" s="48" t="str">
        <f>D4403</f>
        <v>64139</v>
      </c>
      <c r="E4404" s="7"/>
      <c r="F4404" s="27">
        <v>0</v>
      </c>
      <c r="G4404" s="27">
        <v>0</v>
      </c>
      <c r="H4404" s="27">
        <v>0</v>
      </c>
      <c r="I4404" s="27">
        <v>0</v>
      </c>
      <c r="J4404" s="27">
        <v>0</v>
      </c>
      <c r="K4404" s="63">
        <f>AVERAGE(I4404:J4404)</f>
        <v>0</v>
      </c>
      <c r="L4404" s="56" t="str">
        <f>"SW-RISER-PACK"</f>
        <v>SW-RISER-PACK</v>
      </c>
      <c r="M4404" s="14"/>
      <c r="N4404" s="15"/>
      <c r="O4404" s="12"/>
      <c r="P4404" s="34"/>
      <c r="Q4404" s="37"/>
      <c r="R4404" s="47"/>
      <c r="S4404" s="46"/>
    </row>
    <row r="4405" spans="1:19" ht="12" hidden="1" customHeight="1" x14ac:dyDescent="0.3">
      <c r="A4405" s="35" t="s">
        <v>908</v>
      </c>
      <c r="B4405" s="49" t="str">
        <f>B4401</f>
        <v>hide</v>
      </c>
      <c r="N4405"/>
      <c r="Q4405" s="33"/>
    </row>
    <row r="4406" spans="1:19" ht="13.8" hidden="1" thickBot="1" x14ac:dyDescent="0.3">
      <c r="A4406" t="s">
        <v>23</v>
      </c>
      <c r="B4406" s="49" t="str">
        <f t="shared" ref="B4406" si="3154">B4405</f>
        <v>hide</v>
      </c>
      <c r="D4406" s="58"/>
      <c r="E4406" s="58"/>
      <c r="F4406" s="52">
        <f>SUM(F4401:F4405)</f>
        <v>0</v>
      </c>
      <c r="G4406" s="52">
        <f>SUM(G4401:G4405)</f>
        <v>0</v>
      </c>
      <c r="H4406" s="52">
        <f>SUM(H4401:H4405)</f>
        <v>0</v>
      </c>
      <c r="I4406" s="52">
        <f>SUM(I4401:I4405)</f>
        <v>0</v>
      </c>
      <c r="J4406" s="52">
        <f>SUM(J4401:J4405)</f>
        <v>0</v>
      </c>
      <c r="K4406" s="52"/>
      <c r="L4406" s="51" t="s">
        <v>4</v>
      </c>
      <c r="M4406" s="58"/>
      <c r="N4406" s="58"/>
      <c r="O4406" s="58"/>
      <c r="P4406" s="58"/>
      <c r="Q4406" s="58"/>
      <c r="R4406" s="58"/>
      <c r="S4406" s="58"/>
    </row>
    <row r="4407" spans="1:19" s="59" customFormat="1" ht="18.75" hidden="1" customHeight="1" thickBot="1" x14ac:dyDescent="0.3">
      <c r="A4407" s="59" t="s">
        <v>23</v>
      </c>
      <c r="B4407" s="60" t="str">
        <f t="shared" ref="B4407:B4408" si="3155">IF(K4407=0,"hide","")</f>
        <v>hide</v>
      </c>
      <c r="D4407" s="61" t="str">
        <f>"64501"</f>
        <v>64501</v>
      </c>
      <c r="E4407" s="62" t="str">
        <f>"4"</f>
        <v>4</v>
      </c>
      <c r="F4407" s="63">
        <v>0</v>
      </c>
      <c r="G4407" s="63">
        <v>0</v>
      </c>
      <c r="H4407" s="63">
        <v>0</v>
      </c>
      <c r="I4407" s="63">
        <v>0</v>
      </c>
      <c r="J4407" s="63">
        <v>0</v>
      </c>
      <c r="K4407" s="63">
        <f>AVERAGE(I4407:J4407)</f>
        <v>0</v>
      </c>
      <c r="L4407" s="64" t="str">
        <f>"Blueberry Muffin Tops"</f>
        <v>Blueberry Muffin Tops</v>
      </c>
      <c r="M4407" s="65" t="str">
        <f>"90-2.25 oz. I.W."</f>
        <v>90-2.25 oz. I.W.</v>
      </c>
      <c r="N4407" s="66">
        <v>90</v>
      </c>
      <c r="O4407" s="67" t="str">
        <f>""</f>
        <v/>
      </c>
      <c r="P4407" s="68" t="e">
        <f>1/O4407</f>
        <v>#VALUE!</v>
      </c>
      <c r="Q4407" s="53">
        <v>1</v>
      </c>
      <c r="R4407" s="69">
        <f t="shared" ref="R4407" si="3156">1/Q4407</f>
        <v>1</v>
      </c>
      <c r="S4407" s="70">
        <f t="shared" ref="S4407" si="3157">R4407*N4407</f>
        <v>90</v>
      </c>
    </row>
    <row r="4408" spans="1:19" ht="15.6" hidden="1" customHeight="1" thickBot="1" x14ac:dyDescent="0.3">
      <c r="A4408" t="s">
        <v>23</v>
      </c>
      <c r="B4408" s="60" t="str">
        <f t="shared" si="3155"/>
        <v>hide</v>
      </c>
      <c r="D4408" s="48" t="str">
        <f>D4407</f>
        <v>64501</v>
      </c>
      <c r="E4408" s="7"/>
      <c r="F4408" s="27">
        <v>0</v>
      </c>
      <c r="G4408" s="27">
        <v>0</v>
      </c>
      <c r="H4408" s="27">
        <v>0</v>
      </c>
      <c r="I4408" s="27">
        <v>0</v>
      </c>
      <c r="J4408" s="27">
        <v>0</v>
      </c>
      <c r="K4408" s="63">
        <f>AVERAGE(I4408:J4408)</f>
        <v>0</v>
      </c>
      <c r="L4408" s="56" t="str">
        <f>"EQP-LAWPACK1"</f>
        <v>EQP-LAWPACK1</v>
      </c>
      <c r="M4408" s="14"/>
      <c r="N4408" s="15"/>
      <c r="O4408" s="12"/>
      <c r="P4408" s="34"/>
      <c r="Q4408" s="37"/>
      <c r="R4408" s="47"/>
      <c r="S4408" s="46"/>
    </row>
    <row r="4409" spans="1:19" ht="15.6" hidden="1" customHeight="1" thickBot="1" x14ac:dyDescent="0.3">
      <c r="A4409" t="s">
        <v>23</v>
      </c>
      <c r="B4409" s="60" t="str">
        <f t="shared" ref="B4409:B4411" si="3158">IF(K4409=0,"hide","")</f>
        <v>hide</v>
      </c>
      <c r="D4409" s="48" t="str">
        <f>D4408</f>
        <v>64501</v>
      </c>
      <c r="E4409" s="7"/>
      <c r="F4409" s="27">
        <v>0</v>
      </c>
      <c r="G4409" s="27">
        <v>0</v>
      </c>
      <c r="H4409" s="27">
        <v>0</v>
      </c>
      <c r="I4409" s="27">
        <v>0</v>
      </c>
      <c r="J4409" s="27">
        <v>0</v>
      </c>
      <c r="K4409" s="63">
        <f>AVERAGE(I4409:J4409)</f>
        <v>0</v>
      </c>
      <c r="L4409" s="56" t="str">
        <f>"EQP-LAWPACK2"</f>
        <v>EQP-LAWPACK2</v>
      </c>
      <c r="M4409" s="14"/>
      <c r="N4409" s="15"/>
      <c r="O4409" s="12"/>
      <c r="P4409" s="34"/>
      <c r="Q4409" s="37"/>
      <c r="R4409" s="47"/>
      <c r="S4409" s="46"/>
    </row>
    <row r="4410" spans="1:19" ht="15.6" hidden="1" customHeight="1" thickBot="1" x14ac:dyDescent="0.3">
      <c r="A4410" t="s">
        <v>23</v>
      </c>
      <c r="B4410" s="60" t="str">
        <f t="shared" si="3158"/>
        <v>hide</v>
      </c>
      <c r="D4410" s="48" t="str">
        <f>D4409</f>
        <v>64501</v>
      </c>
      <c r="E4410" s="7"/>
      <c r="F4410" s="27">
        <v>0</v>
      </c>
      <c r="G4410" s="27">
        <v>0</v>
      </c>
      <c r="H4410" s="27">
        <v>0</v>
      </c>
      <c r="I4410" s="27">
        <v>0</v>
      </c>
      <c r="J4410" s="27">
        <v>0</v>
      </c>
      <c r="K4410" s="63">
        <f>AVERAGE(I4410:J4410)</f>
        <v>0</v>
      </c>
      <c r="L4410" s="56" t="str">
        <f>"SW-COMAS-PACKL"</f>
        <v>SW-COMAS-PACKL</v>
      </c>
      <c r="M4410" s="14"/>
      <c r="N4410" s="15"/>
      <c r="O4410" s="12"/>
      <c r="P4410" s="34"/>
      <c r="Q4410" s="37"/>
      <c r="R4410" s="47"/>
      <c r="S4410" s="46"/>
    </row>
    <row r="4411" spans="1:19" ht="15.6" hidden="1" customHeight="1" thickBot="1" x14ac:dyDescent="0.3">
      <c r="A4411" t="s">
        <v>23</v>
      </c>
      <c r="B4411" s="60" t="str">
        <f t="shared" si="3158"/>
        <v>hide</v>
      </c>
      <c r="D4411" s="48" t="str">
        <f>D4410</f>
        <v>64501</v>
      </c>
      <c r="E4411" s="7"/>
      <c r="F4411" s="27">
        <v>0</v>
      </c>
      <c r="G4411" s="27">
        <v>0</v>
      </c>
      <c r="H4411" s="27">
        <v>0</v>
      </c>
      <c r="I4411" s="27">
        <v>0</v>
      </c>
      <c r="J4411" s="27">
        <v>0</v>
      </c>
      <c r="K4411" s="63">
        <f>AVERAGE(I4411:J4411)</f>
        <v>0</v>
      </c>
      <c r="L4411" s="56" t="str">
        <f>"SW-RISER-PACK"</f>
        <v>SW-RISER-PACK</v>
      </c>
      <c r="M4411" s="14"/>
      <c r="N4411" s="15"/>
      <c r="O4411" s="12"/>
      <c r="P4411" s="34"/>
      <c r="Q4411" s="37"/>
      <c r="R4411" s="47"/>
      <c r="S4411" s="46"/>
    </row>
    <row r="4412" spans="1:19" ht="12" hidden="1" customHeight="1" x14ac:dyDescent="0.3">
      <c r="A4412" s="35" t="s">
        <v>908</v>
      </c>
      <c r="B4412" s="49" t="str">
        <f>B4408</f>
        <v>hide</v>
      </c>
      <c r="N4412"/>
      <c r="Q4412" s="33"/>
    </row>
    <row r="4413" spans="1:19" ht="13.8" hidden="1" thickBot="1" x14ac:dyDescent="0.3">
      <c r="A4413" t="s">
        <v>23</v>
      </c>
      <c r="B4413" s="49" t="str">
        <f t="shared" ref="B4413" si="3159">B4412</f>
        <v>hide</v>
      </c>
      <c r="D4413" s="58"/>
      <c r="E4413" s="58"/>
      <c r="F4413" s="52">
        <f>SUM(F4408:F4412)</f>
        <v>0</v>
      </c>
      <c r="G4413" s="52">
        <f>SUM(G4408:G4412)</f>
        <v>0</v>
      </c>
      <c r="H4413" s="52">
        <f>SUM(H4408:H4412)</f>
        <v>0</v>
      </c>
      <c r="I4413" s="52">
        <f>SUM(I4408:I4412)</f>
        <v>0</v>
      </c>
      <c r="J4413" s="52">
        <f>SUM(J4408:J4412)</f>
        <v>0</v>
      </c>
      <c r="K4413" s="52"/>
      <c r="L4413" s="51" t="s">
        <v>4</v>
      </c>
      <c r="M4413" s="58"/>
      <c r="N4413" s="58"/>
      <c r="O4413" s="58"/>
      <c r="P4413" s="58"/>
      <c r="Q4413" s="58"/>
      <c r="R4413" s="58"/>
      <c r="S4413" s="58"/>
    </row>
    <row r="4414" spans="1:19" s="59" customFormat="1" ht="18.75" hidden="1" customHeight="1" thickBot="1" x14ac:dyDescent="0.3">
      <c r="A4414" s="59" t="s">
        <v>23</v>
      </c>
      <c r="B4414" s="60" t="str">
        <f t="shared" ref="B4414:B4415" si="3160">IF(K4414=0,"hide","")</f>
        <v>hide</v>
      </c>
      <c r="D4414" s="61" t="str">
        <f>"64701"</f>
        <v>64701</v>
      </c>
      <c r="E4414" s="62" t="str">
        <f>"6"</f>
        <v>6</v>
      </c>
      <c r="F4414" s="63">
        <v>12.833333333333334</v>
      </c>
      <c r="G4414" s="63">
        <v>0</v>
      </c>
      <c r="H4414" s="63">
        <v>0</v>
      </c>
      <c r="I4414" s="63">
        <v>0</v>
      </c>
      <c r="J4414" s="63">
        <v>0</v>
      </c>
      <c r="K4414" s="63">
        <f>AVERAGE(I4414:J4414)</f>
        <v>0</v>
      </c>
      <c r="L4414" s="64" t="str">
        <f>"Blueberry Crumb Tops"</f>
        <v>Blueberry Crumb Tops</v>
      </c>
      <c r="M4414" s="65" t="str">
        <f>"90-2.25 oz. I.W. Ovenable"</f>
        <v>90-2.25 oz. I.W. Ovenable</v>
      </c>
      <c r="N4414" s="66">
        <v>90</v>
      </c>
      <c r="O4414" s="67" t="str">
        <f>""</f>
        <v/>
      </c>
      <c r="P4414" s="68" t="e">
        <f>1/O4414</f>
        <v>#VALUE!</v>
      </c>
      <c r="Q4414" s="53">
        <v>1</v>
      </c>
      <c r="R4414" s="69">
        <f t="shared" ref="R4414" si="3161">1/Q4414</f>
        <v>1</v>
      </c>
      <c r="S4414" s="70">
        <f t="shared" ref="S4414" si="3162">R4414*N4414</f>
        <v>90</v>
      </c>
    </row>
    <row r="4415" spans="1:19" ht="15.6" hidden="1" customHeight="1" thickBot="1" x14ac:dyDescent="0.3">
      <c r="A4415" t="s">
        <v>23</v>
      </c>
      <c r="B4415" s="60" t="str">
        <f t="shared" si="3160"/>
        <v>hide</v>
      </c>
      <c r="D4415" s="48" t="str">
        <f>D4414</f>
        <v>64701</v>
      </c>
      <c r="E4415" s="7"/>
      <c r="F4415" s="27">
        <v>0</v>
      </c>
      <c r="G4415" s="27">
        <v>0</v>
      </c>
      <c r="H4415" s="27">
        <v>0</v>
      </c>
      <c r="I4415" s="27">
        <v>0</v>
      </c>
      <c r="J4415" s="27">
        <v>0</v>
      </c>
      <c r="K4415" s="63">
        <f>AVERAGE(I4415:J4415)</f>
        <v>0</v>
      </c>
      <c r="L4415" s="56" t="str">
        <f>"EQP-LAWPACK1"</f>
        <v>EQP-LAWPACK1</v>
      </c>
      <c r="M4415" s="14"/>
      <c r="N4415" s="15"/>
      <c r="O4415" s="12"/>
      <c r="P4415" s="34"/>
      <c r="Q4415" s="37"/>
      <c r="R4415" s="47"/>
      <c r="S4415" s="46"/>
    </row>
    <row r="4416" spans="1:19" ht="15.6" hidden="1" customHeight="1" thickBot="1" x14ac:dyDescent="0.3">
      <c r="A4416" t="s">
        <v>23</v>
      </c>
      <c r="B4416" s="60" t="str">
        <f t="shared" ref="B4416:B4418" si="3163">IF(K4416=0,"hide","")</f>
        <v>hide</v>
      </c>
      <c r="D4416" s="48" t="str">
        <f>D4415</f>
        <v>64701</v>
      </c>
      <c r="E4416" s="7"/>
      <c r="F4416" s="27">
        <v>0</v>
      </c>
      <c r="G4416" s="27">
        <v>0</v>
      </c>
      <c r="H4416" s="27">
        <v>0</v>
      </c>
      <c r="I4416" s="27">
        <v>0</v>
      </c>
      <c r="J4416" s="27">
        <v>0</v>
      </c>
      <c r="K4416" s="63">
        <f>AVERAGE(I4416:J4416)</f>
        <v>0</v>
      </c>
      <c r="L4416" s="56" t="str">
        <f>"EQP-LAWPACK2"</f>
        <v>EQP-LAWPACK2</v>
      </c>
      <c r="M4416" s="14"/>
      <c r="N4416" s="15"/>
      <c r="O4416" s="12"/>
      <c r="P4416" s="34"/>
      <c r="Q4416" s="37"/>
      <c r="R4416" s="47"/>
      <c r="S4416" s="46"/>
    </row>
    <row r="4417" spans="1:19" ht="15.6" hidden="1" customHeight="1" thickBot="1" x14ac:dyDescent="0.3">
      <c r="A4417" t="s">
        <v>23</v>
      </c>
      <c r="B4417" s="60" t="str">
        <f t="shared" si="3163"/>
        <v>hide</v>
      </c>
      <c r="D4417" s="48" t="str">
        <f>D4416</f>
        <v>64701</v>
      </c>
      <c r="E4417" s="7"/>
      <c r="F4417" s="27">
        <v>0</v>
      </c>
      <c r="G4417" s="27">
        <v>0</v>
      </c>
      <c r="H4417" s="27">
        <v>0</v>
      </c>
      <c r="I4417" s="27">
        <v>0</v>
      </c>
      <c r="J4417" s="27">
        <v>0</v>
      </c>
      <c r="K4417" s="63">
        <f>AVERAGE(I4417:J4417)</f>
        <v>0</v>
      </c>
      <c r="L4417" s="56" t="str">
        <f>"SW-COMAS-PACKL"</f>
        <v>SW-COMAS-PACKL</v>
      </c>
      <c r="M4417" s="14"/>
      <c r="N4417" s="15"/>
      <c r="O4417" s="12"/>
      <c r="P4417" s="34"/>
      <c r="Q4417" s="37"/>
      <c r="R4417" s="47"/>
      <c r="S4417" s="46"/>
    </row>
    <row r="4418" spans="1:19" ht="15.6" hidden="1" customHeight="1" thickBot="1" x14ac:dyDescent="0.3">
      <c r="A4418" t="s">
        <v>23</v>
      </c>
      <c r="B4418" s="60" t="str">
        <f t="shared" si="3163"/>
        <v>hide</v>
      </c>
      <c r="D4418" s="48" t="str">
        <f>D4417</f>
        <v>64701</v>
      </c>
      <c r="E4418" s="7"/>
      <c r="F4418" s="27">
        <v>0</v>
      </c>
      <c r="G4418" s="27">
        <v>0</v>
      </c>
      <c r="H4418" s="27">
        <v>0</v>
      </c>
      <c r="I4418" s="27">
        <v>0</v>
      </c>
      <c r="J4418" s="27">
        <v>0</v>
      </c>
      <c r="K4418" s="63">
        <f>AVERAGE(I4418:J4418)</f>
        <v>0</v>
      </c>
      <c r="L4418" s="56" t="str">
        <f>"SW-RISER-PACK"</f>
        <v>SW-RISER-PACK</v>
      </c>
      <c r="M4418" s="14"/>
      <c r="N4418" s="15"/>
      <c r="O4418" s="12"/>
      <c r="P4418" s="34"/>
      <c r="Q4418" s="37"/>
      <c r="R4418" s="47"/>
      <c r="S4418" s="46"/>
    </row>
    <row r="4419" spans="1:19" ht="12" hidden="1" customHeight="1" x14ac:dyDescent="0.3">
      <c r="A4419" s="35" t="s">
        <v>908</v>
      </c>
      <c r="B4419" s="49" t="str">
        <f>B4415</f>
        <v>hide</v>
      </c>
      <c r="N4419"/>
      <c r="Q4419" s="33"/>
    </row>
    <row r="4420" spans="1:19" ht="13.8" hidden="1" thickBot="1" x14ac:dyDescent="0.3">
      <c r="A4420" t="s">
        <v>23</v>
      </c>
      <c r="B4420" s="49" t="str">
        <f t="shared" ref="B4420" si="3164">B4419</f>
        <v>hide</v>
      </c>
      <c r="D4420" s="58"/>
      <c r="E4420" s="58"/>
      <c r="F4420" s="52">
        <f>SUM(F4415:F4419)</f>
        <v>0</v>
      </c>
      <c r="G4420" s="52">
        <f>SUM(G4415:G4419)</f>
        <v>0</v>
      </c>
      <c r="H4420" s="52">
        <f>SUM(H4415:H4419)</f>
        <v>0</v>
      </c>
      <c r="I4420" s="52">
        <f>SUM(I4415:I4419)</f>
        <v>0</v>
      </c>
      <c r="J4420" s="52">
        <f>SUM(J4415:J4419)</f>
        <v>0</v>
      </c>
      <c r="K4420" s="52"/>
      <c r="L4420" s="51" t="s">
        <v>4</v>
      </c>
      <c r="M4420" s="58"/>
      <c r="N4420" s="58"/>
      <c r="O4420" s="58"/>
      <c r="P4420" s="58"/>
      <c r="Q4420" s="58"/>
      <c r="R4420" s="58"/>
      <c r="S4420" s="58"/>
    </row>
    <row r="4421" spans="1:19" s="59" customFormat="1" ht="18.75" hidden="1" customHeight="1" thickBot="1" x14ac:dyDescent="0.3">
      <c r="A4421" s="59" t="s">
        <v>23</v>
      </c>
      <c r="B4421" s="60" t="str">
        <f t="shared" ref="B4421:B4422" si="3165">IF(K4421=0,"hide","")</f>
        <v>hide</v>
      </c>
      <c r="D4421" s="61" t="str">
        <f>"64703"</f>
        <v>64703</v>
      </c>
      <c r="E4421" s="62" t="str">
        <f>"4"</f>
        <v>4</v>
      </c>
      <c r="F4421" s="63">
        <v>245.16666666666666</v>
      </c>
      <c r="G4421" s="63">
        <v>0</v>
      </c>
      <c r="H4421" s="63">
        <v>0</v>
      </c>
      <c r="I4421" s="63">
        <v>0</v>
      </c>
      <c r="J4421" s="63">
        <v>0</v>
      </c>
      <c r="K4421" s="63">
        <f>AVERAGE(I4421:J4421)</f>
        <v>0</v>
      </c>
      <c r="L4421" s="64" t="str">
        <f>"Cranberry Org. Crumb Tops"</f>
        <v>Cranberry Org. Crumb Tops</v>
      </c>
      <c r="M4421" s="65" t="str">
        <f>"90-2.25 oz. I.W. Ovenable"</f>
        <v>90-2.25 oz. I.W. Ovenable</v>
      </c>
      <c r="N4421" s="66">
        <v>90</v>
      </c>
      <c r="O4421" s="67" t="str">
        <f>""</f>
        <v/>
      </c>
      <c r="P4421" s="68" t="e">
        <f>1/O4421</f>
        <v>#VALUE!</v>
      </c>
      <c r="Q4421" s="53">
        <v>1</v>
      </c>
      <c r="R4421" s="69">
        <f t="shared" ref="R4421" si="3166">1/Q4421</f>
        <v>1</v>
      </c>
      <c r="S4421" s="70">
        <f t="shared" ref="S4421" si="3167">R4421*N4421</f>
        <v>90</v>
      </c>
    </row>
    <row r="4422" spans="1:19" ht="15.6" hidden="1" customHeight="1" thickBot="1" x14ac:dyDescent="0.3">
      <c r="A4422" t="s">
        <v>23</v>
      </c>
      <c r="B4422" s="60" t="str">
        <f t="shared" si="3165"/>
        <v>hide</v>
      </c>
      <c r="D4422" s="48" t="str">
        <f>D4421</f>
        <v>64703</v>
      </c>
      <c r="E4422" s="7"/>
      <c r="F4422" s="27">
        <v>0</v>
      </c>
      <c r="G4422" s="27">
        <v>0</v>
      </c>
      <c r="H4422" s="27">
        <v>0</v>
      </c>
      <c r="I4422" s="27">
        <v>0</v>
      </c>
      <c r="J4422" s="27">
        <v>0</v>
      </c>
      <c r="K4422" s="63">
        <f>AVERAGE(I4422:J4422)</f>
        <v>0</v>
      </c>
      <c r="L4422" s="56" t="str">
        <f>"EQP-LAWPACK1"</f>
        <v>EQP-LAWPACK1</v>
      </c>
      <c r="M4422" s="14"/>
      <c r="N4422" s="15"/>
      <c r="O4422" s="12"/>
      <c r="P4422" s="34"/>
      <c r="Q4422" s="37"/>
      <c r="R4422" s="47"/>
      <c r="S4422" s="46"/>
    </row>
    <row r="4423" spans="1:19" ht="15.6" hidden="1" customHeight="1" thickBot="1" x14ac:dyDescent="0.3">
      <c r="A4423" t="s">
        <v>23</v>
      </c>
      <c r="B4423" s="60" t="str">
        <f t="shared" ref="B4423:B4425" si="3168">IF(K4423=0,"hide","")</f>
        <v>hide</v>
      </c>
      <c r="D4423" s="48" t="str">
        <f>D4422</f>
        <v>64703</v>
      </c>
      <c r="E4423" s="7"/>
      <c r="F4423" s="27">
        <v>0</v>
      </c>
      <c r="G4423" s="27">
        <v>0</v>
      </c>
      <c r="H4423" s="27">
        <v>0</v>
      </c>
      <c r="I4423" s="27">
        <v>0</v>
      </c>
      <c r="J4423" s="27">
        <v>0</v>
      </c>
      <c r="K4423" s="63">
        <f>AVERAGE(I4423:J4423)</f>
        <v>0</v>
      </c>
      <c r="L4423" s="56" t="str">
        <f>"EQP-LAWPACK2"</f>
        <v>EQP-LAWPACK2</v>
      </c>
      <c r="M4423" s="14"/>
      <c r="N4423" s="15"/>
      <c r="O4423" s="12"/>
      <c r="P4423" s="34"/>
      <c r="Q4423" s="37"/>
      <c r="R4423" s="47"/>
      <c r="S4423" s="46"/>
    </row>
    <row r="4424" spans="1:19" ht="15.6" hidden="1" customHeight="1" thickBot="1" x14ac:dyDescent="0.3">
      <c r="A4424" t="s">
        <v>23</v>
      </c>
      <c r="B4424" s="60" t="str">
        <f t="shared" si="3168"/>
        <v>hide</v>
      </c>
      <c r="D4424" s="48" t="str">
        <f>D4423</f>
        <v>64703</v>
      </c>
      <c r="E4424" s="7"/>
      <c r="F4424" s="27">
        <v>0</v>
      </c>
      <c r="G4424" s="27">
        <v>0</v>
      </c>
      <c r="H4424" s="27">
        <v>0</v>
      </c>
      <c r="I4424" s="27">
        <v>0</v>
      </c>
      <c r="J4424" s="27">
        <v>0</v>
      </c>
      <c r="K4424" s="63">
        <f>AVERAGE(I4424:J4424)</f>
        <v>0</v>
      </c>
      <c r="L4424" s="56" t="str">
        <f>"SW-COMAS-PACKL"</f>
        <v>SW-COMAS-PACKL</v>
      </c>
      <c r="M4424" s="14"/>
      <c r="N4424" s="15"/>
      <c r="O4424" s="12"/>
      <c r="P4424" s="34"/>
      <c r="Q4424" s="37"/>
      <c r="R4424" s="47"/>
      <c r="S4424" s="46"/>
    </row>
    <row r="4425" spans="1:19" ht="15.6" hidden="1" customHeight="1" thickBot="1" x14ac:dyDescent="0.3">
      <c r="A4425" t="s">
        <v>23</v>
      </c>
      <c r="B4425" s="60" t="str">
        <f t="shared" si="3168"/>
        <v>hide</v>
      </c>
      <c r="D4425" s="48" t="str">
        <f>D4424</f>
        <v>64703</v>
      </c>
      <c r="E4425" s="7"/>
      <c r="F4425" s="27">
        <v>0</v>
      </c>
      <c r="G4425" s="27">
        <v>0</v>
      </c>
      <c r="H4425" s="27">
        <v>0</v>
      </c>
      <c r="I4425" s="27">
        <v>0</v>
      </c>
      <c r="J4425" s="27">
        <v>0</v>
      </c>
      <c r="K4425" s="63">
        <f>AVERAGE(I4425:J4425)</f>
        <v>0</v>
      </c>
      <c r="L4425" s="56" t="str">
        <f>"SW-RISER-PACK"</f>
        <v>SW-RISER-PACK</v>
      </c>
      <c r="M4425" s="14"/>
      <c r="N4425" s="15"/>
      <c r="O4425" s="12"/>
      <c r="P4425" s="34"/>
      <c r="Q4425" s="37"/>
      <c r="R4425" s="47"/>
      <c r="S4425" s="46"/>
    </row>
    <row r="4426" spans="1:19" ht="12" hidden="1" customHeight="1" x14ac:dyDescent="0.3">
      <c r="A4426" s="35" t="s">
        <v>908</v>
      </c>
      <c r="B4426" s="49" t="str">
        <f>B4422</f>
        <v>hide</v>
      </c>
      <c r="N4426"/>
      <c r="Q4426" s="33"/>
    </row>
    <row r="4427" spans="1:19" ht="13.8" hidden="1" thickBot="1" x14ac:dyDescent="0.3">
      <c r="A4427" t="s">
        <v>23</v>
      </c>
      <c r="B4427" s="49" t="str">
        <f t="shared" ref="B4427" si="3169">B4426</f>
        <v>hide</v>
      </c>
      <c r="D4427" s="58"/>
      <c r="E4427" s="58"/>
      <c r="F4427" s="52">
        <f>SUM(F4422:F4426)</f>
        <v>0</v>
      </c>
      <c r="G4427" s="52">
        <f>SUM(G4422:G4426)</f>
        <v>0</v>
      </c>
      <c r="H4427" s="52">
        <f>SUM(H4422:H4426)</f>
        <v>0</v>
      </c>
      <c r="I4427" s="52">
        <f>SUM(I4422:I4426)</f>
        <v>0</v>
      </c>
      <c r="J4427" s="52">
        <f>SUM(J4422:J4426)</f>
        <v>0</v>
      </c>
      <c r="K4427" s="52"/>
      <c r="L4427" s="51" t="s">
        <v>4</v>
      </c>
      <c r="M4427" s="58"/>
      <c r="N4427" s="58"/>
      <c r="O4427" s="58"/>
      <c r="P4427" s="58"/>
      <c r="Q4427" s="58"/>
      <c r="R4427" s="58"/>
      <c r="S4427" s="58"/>
    </row>
    <row r="4428" spans="1:19" s="59" customFormat="1" ht="18.75" hidden="1" customHeight="1" thickBot="1" x14ac:dyDescent="0.3">
      <c r="A4428" s="59" t="s">
        <v>23</v>
      </c>
      <c r="B4428" s="60" t="str">
        <f t="shared" ref="B4428:B4429" si="3170">IF(K4428=0,"hide","")</f>
        <v>hide</v>
      </c>
      <c r="D4428" s="61" t="str">
        <f>"64704"</f>
        <v>64704</v>
      </c>
      <c r="E4428" s="62" t="str">
        <f>"4"</f>
        <v>4</v>
      </c>
      <c r="F4428" s="63">
        <v>70.583333333333329</v>
      </c>
      <c r="G4428" s="63">
        <v>0</v>
      </c>
      <c r="H4428" s="63">
        <v>0</v>
      </c>
      <c r="I4428" s="63">
        <v>0</v>
      </c>
      <c r="J4428" s="63">
        <v>0</v>
      </c>
      <c r="K4428" s="63">
        <f>AVERAGE(I4428:J4428)</f>
        <v>0</v>
      </c>
      <c r="L4428" s="64" t="str">
        <f>"Mixed Berry Crumb Tops"</f>
        <v>Mixed Berry Crumb Tops</v>
      </c>
      <c r="M4428" s="65" t="str">
        <f>"90-2.25 oz. I.W. Ovenable"</f>
        <v>90-2.25 oz. I.W. Ovenable</v>
      </c>
      <c r="N4428" s="66">
        <v>90</v>
      </c>
      <c r="O4428" s="67" t="str">
        <f>""</f>
        <v/>
      </c>
      <c r="P4428" s="68" t="e">
        <f>1/O4428</f>
        <v>#VALUE!</v>
      </c>
      <c r="Q4428" s="53">
        <v>1</v>
      </c>
      <c r="R4428" s="69">
        <f t="shared" ref="R4428" si="3171">1/Q4428</f>
        <v>1</v>
      </c>
      <c r="S4428" s="70">
        <f t="shared" ref="S4428" si="3172">R4428*N4428</f>
        <v>90</v>
      </c>
    </row>
    <row r="4429" spans="1:19" ht="15.6" hidden="1" customHeight="1" thickBot="1" x14ac:dyDescent="0.3">
      <c r="A4429" t="s">
        <v>23</v>
      </c>
      <c r="B4429" s="60" t="str">
        <f t="shared" si="3170"/>
        <v>hide</v>
      </c>
      <c r="D4429" s="48" t="str">
        <f>D4428</f>
        <v>64704</v>
      </c>
      <c r="E4429" s="7"/>
      <c r="F4429" s="27">
        <v>0</v>
      </c>
      <c r="G4429" s="27">
        <v>0</v>
      </c>
      <c r="H4429" s="27">
        <v>0</v>
      </c>
      <c r="I4429" s="27">
        <v>0</v>
      </c>
      <c r="J4429" s="27">
        <v>0</v>
      </c>
      <c r="K4429" s="63">
        <f>AVERAGE(I4429:J4429)</f>
        <v>0</v>
      </c>
      <c r="L4429" s="56" t="str">
        <f>"EQP-LAWPACK1"</f>
        <v>EQP-LAWPACK1</v>
      </c>
      <c r="M4429" s="14"/>
      <c r="N4429" s="15"/>
      <c r="O4429" s="12"/>
      <c r="P4429" s="34"/>
      <c r="Q4429" s="37"/>
      <c r="R4429" s="47"/>
      <c r="S4429" s="46"/>
    </row>
    <row r="4430" spans="1:19" ht="15.6" hidden="1" customHeight="1" thickBot="1" x14ac:dyDescent="0.3">
      <c r="A4430" t="s">
        <v>23</v>
      </c>
      <c r="B4430" s="60" t="str">
        <f t="shared" ref="B4430:B4432" si="3173">IF(K4430=0,"hide","")</f>
        <v>hide</v>
      </c>
      <c r="D4430" s="48" t="str">
        <f>D4429</f>
        <v>64704</v>
      </c>
      <c r="E4430" s="7"/>
      <c r="F4430" s="27">
        <v>0</v>
      </c>
      <c r="G4430" s="27">
        <v>0</v>
      </c>
      <c r="H4430" s="27">
        <v>0</v>
      </c>
      <c r="I4430" s="27">
        <v>0</v>
      </c>
      <c r="J4430" s="27">
        <v>0</v>
      </c>
      <c r="K4430" s="63">
        <f>AVERAGE(I4430:J4430)</f>
        <v>0</v>
      </c>
      <c r="L4430" s="56" t="str">
        <f>"EQP-LAWPACK2"</f>
        <v>EQP-LAWPACK2</v>
      </c>
      <c r="M4430" s="14"/>
      <c r="N4430" s="15"/>
      <c r="O4430" s="12"/>
      <c r="P4430" s="34"/>
      <c r="Q4430" s="37"/>
      <c r="R4430" s="47"/>
      <c r="S4430" s="46"/>
    </row>
    <row r="4431" spans="1:19" ht="15.6" hidden="1" customHeight="1" thickBot="1" x14ac:dyDescent="0.3">
      <c r="A4431" t="s">
        <v>23</v>
      </c>
      <c r="B4431" s="60" t="str">
        <f t="shared" si="3173"/>
        <v>hide</v>
      </c>
      <c r="D4431" s="48" t="str">
        <f>D4430</f>
        <v>64704</v>
      </c>
      <c r="E4431" s="7"/>
      <c r="F4431" s="27">
        <v>0</v>
      </c>
      <c r="G4431" s="27">
        <v>0</v>
      </c>
      <c r="H4431" s="27">
        <v>0</v>
      </c>
      <c r="I4431" s="27">
        <v>0</v>
      </c>
      <c r="J4431" s="27">
        <v>0</v>
      </c>
      <c r="K4431" s="63">
        <f>AVERAGE(I4431:J4431)</f>
        <v>0</v>
      </c>
      <c r="L4431" s="56" t="str">
        <f>"SW-COMAS-PACKL"</f>
        <v>SW-COMAS-PACKL</v>
      </c>
      <c r="M4431" s="14"/>
      <c r="N4431" s="15"/>
      <c r="O4431" s="12"/>
      <c r="P4431" s="34"/>
      <c r="Q4431" s="37"/>
      <c r="R4431" s="47"/>
      <c r="S4431" s="46"/>
    </row>
    <row r="4432" spans="1:19" ht="15.6" hidden="1" customHeight="1" thickBot="1" x14ac:dyDescent="0.3">
      <c r="A4432" t="s">
        <v>23</v>
      </c>
      <c r="B4432" s="60" t="str">
        <f t="shared" si="3173"/>
        <v>hide</v>
      </c>
      <c r="D4432" s="48" t="str">
        <f>D4431</f>
        <v>64704</v>
      </c>
      <c r="E4432" s="7"/>
      <c r="F4432" s="27">
        <v>0</v>
      </c>
      <c r="G4432" s="27">
        <v>0</v>
      </c>
      <c r="H4432" s="27">
        <v>0</v>
      </c>
      <c r="I4432" s="27">
        <v>0</v>
      </c>
      <c r="J4432" s="27">
        <v>0</v>
      </c>
      <c r="K4432" s="63">
        <f>AVERAGE(I4432:J4432)</f>
        <v>0</v>
      </c>
      <c r="L4432" s="56" t="str">
        <f>"SW-RISER-PACK"</f>
        <v>SW-RISER-PACK</v>
      </c>
      <c r="M4432" s="14"/>
      <c r="N4432" s="15"/>
      <c r="O4432" s="12"/>
      <c r="P4432" s="34"/>
      <c r="Q4432" s="37"/>
      <c r="R4432" s="47"/>
      <c r="S4432" s="46"/>
    </row>
    <row r="4433" spans="1:19" ht="12" hidden="1" customHeight="1" x14ac:dyDescent="0.3">
      <c r="A4433" s="35" t="s">
        <v>908</v>
      </c>
      <c r="B4433" s="49" t="str">
        <f>B4429</f>
        <v>hide</v>
      </c>
      <c r="N4433"/>
      <c r="Q4433" s="33"/>
    </row>
    <row r="4434" spans="1:19" ht="13.8" hidden="1" thickBot="1" x14ac:dyDescent="0.3">
      <c r="A4434" t="s">
        <v>23</v>
      </c>
      <c r="B4434" s="49" t="str">
        <f t="shared" ref="B4434" si="3174">B4433</f>
        <v>hide</v>
      </c>
      <c r="D4434" s="58"/>
      <c r="E4434" s="58"/>
      <c r="F4434" s="52">
        <f>SUM(F4429:F4433)</f>
        <v>0</v>
      </c>
      <c r="G4434" s="52">
        <f>SUM(G4429:G4433)</f>
        <v>0</v>
      </c>
      <c r="H4434" s="52">
        <f>SUM(H4429:H4433)</f>
        <v>0</v>
      </c>
      <c r="I4434" s="52">
        <f>SUM(I4429:I4433)</f>
        <v>0</v>
      </c>
      <c r="J4434" s="52">
        <f>SUM(J4429:J4433)</f>
        <v>0</v>
      </c>
      <c r="K4434" s="52"/>
      <c r="L4434" s="51" t="s">
        <v>4</v>
      </c>
      <c r="M4434" s="58"/>
      <c r="N4434" s="58"/>
      <c r="O4434" s="58"/>
      <c r="P4434" s="58"/>
      <c r="Q4434" s="58"/>
      <c r="R4434" s="58"/>
      <c r="S4434" s="58"/>
    </row>
    <row r="4435" spans="1:19" s="59" customFormat="1" ht="18.75" hidden="1" customHeight="1" thickBot="1" x14ac:dyDescent="0.3">
      <c r="A4435" s="59" t="s">
        <v>23</v>
      </c>
      <c r="B4435" s="60" t="str">
        <f t="shared" ref="B4435:B4436" si="3175">IF(K4435=0,"hide","")</f>
        <v>hide</v>
      </c>
      <c r="D4435" s="61" t="str">
        <f>"64706"</f>
        <v>64706</v>
      </c>
      <c r="E4435" s="62" t="str">
        <f>"4"</f>
        <v>4</v>
      </c>
      <c r="F4435" s="63">
        <v>70.583333333333329</v>
      </c>
      <c r="G4435" s="63">
        <v>0</v>
      </c>
      <c r="H4435" s="63">
        <v>0</v>
      </c>
      <c r="I4435" s="63">
        <v>0</v>
      </c>
      <c r="J4435" s="63">
        <v>0</v>
      </c>
      <c r="K4435" s="63">
        <f>AVERAGE(I4435:J4435)</f>
        <v>0</v>
      </c>
      <c r="L4435" s="64" t="str">
        <f>"Apple Cinnamon Crumb Tops"</f>
        <v>Apple Cinnamon Crumb Tops</v>
      </c>
      <c r="M4435" s="65" t="str">
        <f>"90-2.25 oz. I.W. Ovenable"</f>
        <v>90-2.25 oz. I.W. Ovenable</v>
      </c>
      <c r="N4435" s="66">
        <v>90</v>
      </c>
      <c r="O4435" s="67" t="str">
        <f>""</f>
        <v/>
      </c>
      <c r="P4435" s="68" t="e">
        <f>1/O4435</f>
        <v>#VALUE!</v>
      </c>
      <c r="Q4435" s="53">
        <v>1</v>
      </c>
      <c r="R4435" s="69">
        <f t="shared" ref="R4435" si="3176">1/Q4435</f>
        <v>1</v>
      </c>
      <c r="S4435" s="70">
        <f t="shared" ref="S4435" si="3177">R4435*N4435</f>
        <v>90</v>
      </c>
    </row>
    <row r="4436" spans="1:19" ht="15.6" hidden="1" customHeight="1" thickBot="1" x14ac:dyDescent="0.3">
      <c r="A4436" t="s">
        <v>23</v>
      </c>
      <c r="B4436" s="60" t="str">
        <f t="shared" si="3175"/>
        <v>hide</v>
      </c>
      <c r="D4436" s="48" t="str">
        <f>D4435</f>
        <v>64706</v>
      </c>
      <c r="E4436" s="7"/>
      <c r="F4436" s="27">
        <v>0</v>
      </c>
      <c r="G4436" s="27">
        <v>0</v>
      </c>
      <c r="H4436" s="27">
        <v>0</v>
      </c>
      <c r="I4436" s="27">
        <v>0</v>
      </c>
      <c r="J4436" s="27">
        <v>0</v>
      </c>
      <c r="K4436" s="63">
        <f>AVERAGE(I4436:J4436)</f>
        <v>0</v>
      </c>
      <c r="L4436" s="56" t="str">
        <f>"EQP-LAWPACK1"</f>
        <v>EQP-LAWPACK1</v>
      </c>
      <c r="M4436" s="14"/>
      <c r="N4436" s="15"/>
      <c r="O4436" s="12"/>
      <c r="P4436" s="34"/>
      <c r="Q4436" s="37"/>
      <c r="R4436" s="47"/>
      <c r="S4436" s="46"/>
    </row>
    <row r="4437" spans="1:19" ht="15.6" hidden="1" customHeight="1" thickBot="1" x14ac:dyDescent="0.3">
      <c r="A4437" t="s">
        <v>23</v>
      </c>
      <c r="B4437" s="60" t="str">
        <f t="shared" ref="B4437:B4439" si="3178">IF(K4437=0,"hide","")</f>
        <v>hide</v>
      </c>
      <c r="D4437" s="48" t="str">
        <f>D4436</f>
        <v>64706</v>
      </c>
      <c r="E4437" s="7"/>
      <c r="F4437" s="27">
        <v>0</v>
      </c>
      <c r="G4437" s="27">
        <v>0</v>
      </c>
      <c r="H4437" s="27">
        <v>0</v>
      </c>
      <c r="I4437" s="27">
        <v>0</v>
      </c>
      <c r="J4437" s="27">
        <v>0</v>
      </c>
      <c r="K4437" s="63">
        <f>AVERAGE(I4437:J4437)</f>
        <v>0</v>
      </c>
      <c r="L4437" s="56" t="str">
        <f>"EQP-LAWPACK2"</f>
        <v>EQP-LAWPACK2</v>
      </c>
      <c r="M4437" s="14"/>
      <c r="N4437" s="15"/>
      <c r="O4437" s="12"/>
      <c r="P4437" s="34"/>
      <c r="Q4437" s="37"/>
      <c r="R4437" s="47"/>
      <c r="S4437" s="46"/>
    </row>
    <row r="4438" spans="1:19" ht="15.6" hidden="1" customHeight="1" thickBot="1" x14ac:dyDescent="0.3">
      <c r="A4438" t="s">
        <v>23</v>
      </c>
      <c r="B4438" s="60" t="str">
        <f t="shared" si="3178"/>
        <v>hide</v>
      </c>
      <c r="D4438" s="48" t="str">
        <f>D4437</f>
        <v>64706</v>
      </c>
      <c r="E4438" s="7"/>
      <c r="F4438" s="27">
        <v>0</v>
      </c>
      <c r="G4438" s="27">
        <v>0</v>
      </c>
      <c r="H4438" s="27">
        <v>0</v>
      </c>
      <c r="I4438" s="27">
        <v>0</v>
      </c>
      <c r="J4438" s="27">
        <v>0</v>
      </c>
      <c r="K4438" s="63">
        <f>AVERAGE(I4438:J4438)</f>
        <v>0</v>
      </c>
      <c r="L4438" s="56" t="str">
        <f>"SW-COMAS-PACKL"</f>
        <v>SW-COMAS-PACKL</v>
      </c>
      <c r="M4438" s="14"/>
      <c r="N4438" s="15"/>
      <c r="O4438" s="12"/>
      <c r="P4438" s="34"/>
      <c r="Q4438" s="37"/>
      <c r="R4438" s="47"/>
      <c r="S4438" s="46"/>
    </row>
    <row r="4439" spans="1:19" ht="15.6" hidden="1" customHeight="1" thickBot="1" x14ac:dyDescent="0.3">
      <c r="A4439" t="s">
        <v>23</v>
      </c>
      <c r="B4439" s="60" t="str">
        <f t="shared" si="3178"/>
        <v>hide</v>
      </c>
      <c r="D4439" s="48" t="str">
        <f>D4438</f>
        <v>64706</v>
      </c>
      <c r="E4439" s="7"/>
      <c r="F4439" s="27">
        <v>0</v>
      </c>
      <c r="G4439" s="27">
        <v>0</v>
      </c>
      <c r="H4439" s="27">
        <v>0</v>
      </c>
      <c r="I4439" s="27">
        <v>0</v>
      </c>
      <c r="J4439" s="27">
        <v>0</v>
      </c>
      <c r="K4439" s="63">
        <f>AVERAGE(I4439:J4439)</f>
        <v>0</v>
      </c>
      <c r="L4439" s="56" t="str">
        <f>"SW-RISER-PACK"</f>
        <v>SW-RISER-PACK</v>
      </c>
      <c r="M4439" s="14"/>
      <c r="N4439" s="15"/>
      <c r="O4439" s="12"/>
      <c r="P4439" s="34"/>
      <c r="Q4439" s="37"/>
      <c r="R4439" s="47"/>
      <c r="S4439" s="46"/>
    </row>
    <row r="4440" spans="1:19" ht="12" hidden="1" customHeight="1" x14ac:dyDescent="0.3">
      <c r="A4440" s="35" t="s">
        <v>908</v>
      </c>
      <c r="B4440" s="49" t="str">
        <f>B4436</f>
        <v>hide</v>
      </c>
      <c r="N4440"/>
      <c r="Q4440" s="33"/>
    </row>
    <row r="4441" spans="1:19" ht="13.8" hidden="1" thickBot="1" x14ac:dyDescent="0.3">
      <c r="A4441" t="s">
        <v>23</v>
      </c>
      <c r="B4441" s="49" t="str">
        <f t="shared" ref="B4441" si="3179">B4440</f>
        <v>hide</v>
      </c>
      <c r="D4441" s="58"/>
      <c r="E4441" s="58"/>
      <c r="F4441" s="52">
        <f>SUM(F4436:F4440)</f>
        <v>0</v>
      </c>
      <c r="G4441" s="52">
        <f>SUM(G4436:G4440)</f>
        <v>0</v>
      </c>
      <c r="H4441" s="52">
        <f>SUM(H4436:H4440)</f>
        <v>0</v>
      </c>
      <c r="I4441" s="52">
        <f>SUM(I4436:I4440)</f>
        <v>0</v>
      </c>
      <c r="J4441" s="52">
        <f>SUM(J4436:J4440)</f>
        <v>0</v>
      </c>
      <c r="K4441" s="52"/>
      <c r="L4441" s="51" t="s">
        <v>4</v>
      </c>
      <c r="M4441" s="58"/>
      <c r="N4441" s="58"/>
      <c r="O4441" s="58"/>
      <c r="P4441" s="58"/>
      <c r="Q4441" s="58"/>
      <c r="R4441" s="58"/>
      <c r="S4441" s="58"/>
    </row>
    <row r="4442" spans="1:19" s="59" customFormat="1" ht="18.75" hidden="1" customHeight="1" thickBot="1" x14ac:dyDescent="0.3">
      <c r="A4442" s="59" t="s">
        <v>23</v>
      </c>
      <c r="B4442" s="60" t="str">
        <f t="shared" ref="B4442:B4443" si="3180">IF(K4442=0,"hide","")</f>
        <v>hide</v>
      </c>
      <c r="D4442" s="61" t="str">
        <f>"66208"</f>
        <v>66208</v>
      </c>
      <c r="E4442" s="62" t="str">
        <f>"3"</f>
        <v>3</v>
      </c>
      <c r="F4442" s="63">
        <v>0</v>
      </c>
      <c r="G4442" s="63">
        <v>0</v>
      </c>
      <c r="H4442" s="63">
        <v>0</v>
      </c>
      <c r="I4442" s="63">
        <v>0</v>
      </c>
      <c r="J4442" s="63">
        <v>0</v>
      </c>
      <c r="K4442" s="63">
        <f>AVERAGE(I4442:J4442)</f>
        <v>0</v>
      </c>
      <c r="L4442" s="64" t="str">
        <f>"Garden Lite GF Carrot"</f>
        <v>Garden Lite GF Carrot</v>
      </c>
      <c r="M4442" s="65" t="str">
        <f>"96-2oz. IW"</f>
        <v>96-2oz. IW</v>
      </c>
      <c r="N4442" s="66">
        <v>96</v>
      </c>
      <c r="O4442" s="67" t="str">
        <f>""</f>
        <v/>
      </c>
      <c r="P4442" s="68" t="e">
        <f>1/O4442</f>
        <v>#VALUE!</v>
      </c>
      <c r="Q4442" s="53">
        <v>1</v>
      </c>
      <c r="R4442" s="69">
        <f t="shared" ref="R4442" si="3181">1/Q4442</f>
        <v>1</v>
      </c>
      <c r="S4442" s="70">
        <f t="shared" ref="S4442" si="3182">R4442*N4442</f>
        <v>96</v>
      </c>
    </row>
    <row r="4443" spans="1:19" ht="15.6" hidden="1" customHeight="1" thickBot="1" x14ac:dyDescent="0.3">
      <c r="A4443" t="s">
        <v>23</v>
      </c>
      <c r="B4443" s="60" t="str">
        <f t="shared" si="3180"/>
        <v>hide</v>
      </c>
      <c r="D4443" s="48" t="str">
        <f>D4442</f>
        <v>66208</v>
      </c>
      <c r="E4443" s="7"/>
      <c r="F4443" s="27">
        <v>0</v>
      </c>
      <c r="G4443" s="27">
        <v>0</v>
      </c>
      <c r="H4443" s="27">
        <v>0</v>
      </c>
      <c r="I4443" s="27">
        <v>0</v>
      </c>
      <c r="J4443" s="27">
        <v>0</v>
      </c>
      <c r="K4443" s="63">
        <f>AVERAGE(I4443:J4443)</f>
        <v>0</v>
      </c>
      <c r="L4443" s="56" t="str">
        <f>"EQP-LAWPACK1"</f>
        <v>EQP-LAWPACK1</v>
      </c>
      <c r="M4443" s="14"/>
      <c r="N4443" s="15"/>
      <c r="O4443" s="12"/>
      <c r="P4443" s="34"/>
      <c r="Q4443" s="37"/>
      <c r="R4443" s="47"/>
      <c r="S4443" s="46"/>
    </row>
    <row r="4444" spans="1:19" ht="15.6" hidden="1" customHeight="1" thickBot="1" x14ac:dyDescent="0.3">
      <c r="A4444" t="s">
        <v>23</v>
      </c>
      <c r="B4444" s="60" t="str">
        <f t="shared" ref="B4444:B4446" si="3183">IF(K4444=0,"hide","")</f>
        <v>hide</v>
      </c>
      <c r="D4444" s="48" t="str">
        <f>D4443</f>
        <v>66208</v>
      </c>
      <c r="E4444" s="7"/>
      <c r="F4444" s="27">
        <v>0</v>
      </c>
      <c r="G4444" s="27">
        <v>0</v>
      </c>
      <c r="H4444" s="27">
        <v>0</v>
      </c>
      <c r="I4444" s="27">
        <v>0</v>
      </c>
      <c r="J4444" s="27">
        <v>0</v>
      </c>
      <c r="K4444" s="63">
        <f>AVERAGE(I4444:J4444)</f>
        <v>0</v>
      </c>
      <c r="L4444" s="56" t="str">
        <f>"EQP-LAWPACK2"</f>
        <v>EQP-LAWPACK2</v>
      </c>
      <c r="M4444" s="14"/>
      <c r="N4444" s="15"/>
      <c r="O4444" s="12"/>
      <c r="P4444" s="34"/>
      <c r="Q4444" s="37"/>
      <c r="R4444" s="47"/>
      <c r="S4444" s="46"/>
    </row>
    <row r="4445" spans="1:19" ht="15.6" hidden="1" customHeight="1" thickBot="1" x14ac:dyDescent="0.3">
      <c r="A4445" t="s">
        <v>23</v>
      </c>
      <c r="B4445" s="60" t="str">
        <f t="shared" si="3183"/>
        <v>hide</v>
      </c>
      <c r="D4445" s="48" t="str">
        <f>D4444</f>
        <v>66208</v>
      </c>
      <c r="E4445" s="7"/>
      <c r="F4445" s="27">
        <v>0</v>
      </c>
      <c r="G4445" s="27">
        <v>0</v>
      </c>
      <c r="H4445" s="27">
        <v>0</v>
      </c>
      <c r="I4445" s="27">
        <v>0</v>
      </c>
      <c r="J4445" s="27">
        <v>0</v>
      </c>
      <c r="K4445" s="63">
        <f>AVERAGE(I4445:J4445)</f>
        <v>0</v>
      </c>
      <c r="L4445" s="56" t="str">
        <f>"SW-COMAS-PACKL"</f>
        <v>SW-COMAS-PACKL</v>
      </c>
      <c r="M4445" s="14"/>
      <c r="N4445" s="15"/>
      <c r="O4445" s="12"/>
      <c r="P4445" s="34"/>
      <c r="Q4445" s="37"/>
      <c r="R4445" s="47"/>
      <c r="S4445" s="46"/>
    </row>
    <row r="4446" spans="1:19" ht="15.6" hidden="1" customHeight="1" thickBot="1" x14ac:dyDescent="0.3">
      <c r="A4446" t="s">
        <v>23</v>
      </c>
      <c r="B4446" s="60" t="str">
        <f t="shared" si="3183"/>
        <v>hide</v>
      </c>
      <c r="D4446" s="48" t="str">
        <f>D4445</f>
        <v>66208</v>
      </c>
      <c r="E4446" s="7"/>
      <c r="F4446" s="27">
        <v>0</v>
      </c>
      <c r="G4446" s="27">
        <v>0</v>
      </c>
      <c r="H4446" s="27">
        <v>0</v>
      </c>
      <c r="I4446" s="27">
        <v>0</v>
      </c>
      <c r="J4446" s="27">
        <v>0</v>
      </c>
      <c r="K4446" s="63">
        <f>AVERAGE(I4446:J4446)</f>
        <v>0</v>
      </c>
      <c r="L4446" s="56" t="str">
        <f>"SW-RISER-PACK"</f>
        <v>SW-RISER-PACK</v>
      </c>
      <c r="M4446" s="14"/>
      <c r="N4446" s="15"/>
      <c r="O4446" s="12"/>
      <c r="P4446" s="34"/>
      <c r="Q4446" s="37"/>
      <c r="R4446" s="47"/>
      <c r="S4446" s="46"/>
    </row>
    <row r="4447" spans="1:19" ht="12" hidden="1" customHeight="1" x14ac:dyDescent="0.3">
      <c r="A4447" s="35" t="s">
        <v>908</v>
      </c>
      <c r="B4447" s="49" t="str">
        <f>B4443</f>
        <v>hide</v>
      </c>
      <c r="N4447"/>
      <c r="Q4447" s="33"/>
    </row>
    <row r="4448" spans="1:19" ht="13.8" hidden="1" thickBot="1" x14ac:dyDescent="0.3">
      <c r="A4448" t="s">
        <v>23</v>
      </c>
      <c r="B4448" s="49" t="str">
        <f t="shared" ref="B4448" si="3184">B4447</f>
        <v>hide</v>
      </c>
      <c r="D4448" s="58"/>
      <c r="E4448" s="58"/>
      <c r="F4448" s="52">
        <f>SUM(F4443:F4447)</f>
        <v>0</v>
      </c>
      <c r="G4448" s="52">
        <f>SUM(G4443:G4447)</f>
        <v>0</v>
      </c>
      <c r="H4448" s="52">
        <f>SUM(H4443:H4447)</f>
        <v>0</v>
      </c>
      <c r="I4448" s="52">
        <f>SUM(I4443:I4447)</f>
        <v>0</v>
      </c>
      <c r="J4448" s="52">
        <f>SUM(J4443:J4447)</f>
        <v>0</v>
      </c>
      <c r="K4448" s="52"/>
      <c r="L4448" s="51" t="s">
        <v>4</v>
      </c>
      <c r="M4448" s="58"/>
      <c r="N4448" s="58"/>
      <c r="O4448" s="58"/>
      <c r="P4448" s="58"/>
      <c r="Q4448" s="58"/>
      <c r="R4448" s="58"/>
      <c r="S4448" s="58"/>
    </row>
    <row r="4449" spans="1:19" s="59" customFormat="1" ht="18.75" hidden="1" customHeight="1" thickBot="1" x14ac:dyDescent="0.3">
      <c r="A4449" s="59" t="s">
        <v>23</v>
      </c>
      <c r="B4449" s="60" t="str">
        <f t="shared" ref="B4449:B4450" si="3185">IF(K4449=0,"hide","")</f>
        <v>hide</v>
      </c>
      <c r="D4449" s="61" t="str">
        <f>"66308"</f>
        <v>66308</v>
      </c>
      <c r="E4449" s="62" t="str">
        <f>"3"</f>
        <v>3</v>
      </c>
      <c r="F4449" s="63">
        <v>0</v>
      </c>
      <c r="G4449" s="63">
        <v>0</v>
      </c>
      <c r="H4449" s="63">
        <v>0</v>
      </c>
      <c r="I4449" s="63">
        <v>0</v>
      </c>
      <c r="J4449" s="63">
        <v>0</v>
      </c>
      <c r="K4449" s="63">
        <f>AVERAGE(I4449:J4449)</f>
        <v>0</v>
      </c>
      <c r="L4449" s="64" t="str">
        <f>"Garden Lite GF Chocolate"</f>
        <v>Garden Lite GF Chocolate</v>
      </c>
      <c r="M4449" s="65" t="str">
        <f>"96-2oz. IW"</f>
        <v>96-2oz. IW</v>
      </c>
      <c r="N4449" s="66">
        <v>96</v>
      </c>
      <c r="O4449" s="67" t="str">
        <f>""</f>
        <v/>
      </c>
      <c r="P4449" s="68" t="e">
        <f>1/O4449</f>
        <v>#VALUE!</v>
      </c>
      <c r="Q4449" s="53">
        <v>1</v>
      </c>
      <c r="R4449" s="69">
        <f t="shared" ref="R4449" si="3186">1/Q4449</f>
        <v>1</v>
      </c>
      <c r="S4449" s="70">
        <f t="shared" ref="S4449" si="3187">R4449*N4449</f>
        <v>96</v>
      </c>
    </row>
    <row r="4450" spans="1:19" ht="15.6" hidden="1" customHeight="1" thickBot="1" x14ac:dyDescent="0.3">
      <c r="A4450" t="s">
        <v>23</v>
      </c>
      <c r="B4450" s="60" t="str">
        <f t="shared" si="3185"/>
        <v>hide</v>
      </c>
      <c r="D4450" s="48" t="str">
        <f>D4449</f>
        <v>66308</v>
      </c>
      <c r="E4450" s="7"/>
      <c r="F4450" s="27">
        <v>0</v>
      </c>
      <c r="G4450" s="27">
        <v>0</v>
      </c>
      <c r="H4450" s="27">
        <v>0</v>
      </c>
      <c r="I4450" s="27">
        <v>0</v>
      </c>
      <c r="J4450" s="27">
        <v>0</v>
      </c>
      <c r="K4450" s="63">
        <f>AVERAGE(I4450:J4450)</f>
        <v>0</v>
      </c>
      <c r="L4450" s="56" t="str">
        <f>"EQP-LAWPACK1"</f>
        <v>EQP-LAWPACK1</v>
      </c>
      <c r="M4450" s="14"/>
      <c r="N4450" s="15"/>
      <c r="O4450" s="12"/>
      <c r="P4450" s="34"/>
      <c r="Q4450" s="37"/>
      <c r="R4450" s="47"/>
      <c r="S4450" s="46"/>
    </row>
    <row r="4451" spans="1:19" ht="15.6" hidden="1" customHeight="1" thickBot="1" x14ac:dyDescent="0.3">
      <c r="A4451" t="s">
        <v>23</v>
      </c>
      <c r="B4451" s="60" t="str">
        <f t="shared" ref="B4451:B4453" si="3188">IF(K4451=0,"hide","")</f>
        <v>hide</v>
      </c>
      <c r="D4451" s="48" t="str">
        <f>D4450</f>
        <v>66308</v>
      </c>
      <c r="E4451" s="7"/>
      <c r="F4451" s="27">
        <v>0</v>
      </c>
      <c r="G4451" s="27">
        <v>0</v>
      </c>
      <c r="H4451" s="27">
        <v>0</v>
      </c>
      <c r="I4451" s="27">
        <v>0</v>
      </c>
      <c r="J4451" s="27">
        <v>0</v>
      </c>
      <c r="K4451" s="63">
        <f>AVERAGE(I4451:J4451)</f>
        <v>0</v>
      </c>
      <c r="L4451" s="56" t="str">
        <f>"EQP-LAWPACK2"</f>
        <v>EQP-LAWPACK2</v>
      </c>
      <c r="M4451" s="14"/>
      <c r="N4451" s="15"/>
      <c r="O4451" s="12"/>
      <c r="P4451" s="34"/>
      <c r="Q4451" s="37"/>
      <c r="R4451" s="47"/>
      <c r="S4451" s="46"/>
    </row>
    <row r="4452" spans="1:19" ht="15.6" hidden="1" customHeight="1" thickBot="1" x14ac:dyDescent="0.3">
      <c r="A4452" t="s">
        <v>23</v>
      </c>
      <c r="B4452" s="60" t="str">
        <f t="shared" si="3188"/>
        <v>hide</v>
      </c>
      <c r="D4452" s="48" t="str">
        <f>D4451</f>
        <v>66308</v>
      </c>
      <c r="E4452" s="7"/>
      <c r="F4452" s="27">
        <v>0</v>
      </c>
      <c r="G4452" s="27">
        <v>0</v>
      </c>
      <c r="H4452" s="27">
        <v>0</v>
      </c>
      <c r="I4452" s="27">
        <v>0</v>
      </c>
      <c r="J4452" s="27">
        <v>0</v>
      </c>
      <c r="K4452" s="63">
        <f>AVERAGE(I4452:J4452)</f>
        <v>0</v>
      </c>
      <c r="L4452" s="56" t="str">
        <f>"SW-COMAS-PACKL"</f>
        <v>SW-COMAS-PACKL</v>
      </c>
      <c r="M4452" s="14"/>
      <c r="N4452" s="15"/>
      <c r="O4452" s="12"/>
      <c r="P4452" s="34"/>
      <c r="Q4452" s="37"/>
      <c r="R4452" s="47"/>
      <c r="S4452" s="46"/>
    </row>
    <row r="4453" spans="1:19" ht="15.6" hidden="1" customHeight="1" thickBot="1" x14ac:dyDescent="0.3">
      <c r="A4453" t="s">
        <v>23</v>
      </c>
      <c r="B4453" s="60" t="str">
        <f t="shared" si="3188"/>
        <v>hide</v>
      </c>
      <c r="D4453" s="48" t="str">
        <f>D4452</f>
        <v>66308</v>
      </c>
      <c r="E4453" s="7"/>
      <c r="F4453" s="27">
        <v>0</v>
      </c>
      <c r="G4453" s="27">
        <v>0</v>
      </c>
      <c r="H4453" s="27">
        <v>0</v>
      </c>
      <c r="I4453" s="27">
        <v>0</v>
      </c>
      <c r="J4453" s="27">
        <v>0</v>
      </c>
      <c r="K4453" s="63">
        <f>AVERAGE(I4453:J4453)</f>
        <v>0</v>
      </c>
      <c r="L4453" s="56" t="str">
        <f>"SW-RISER-PACK"</f>
        <v>SW-RISER-PACK</v>
      </c>
      <c r="M4453" s="14"/>
      <c r="N4453" s="15"/>
      <c r="O4453" s="12"/>
      <c r="P4453" s="34"/>
      <c r="Q4453" s="37"/>
      <c r="R4453" s="47"/>
      <c r="S4453" s="46"/>
    </row>
    <row r="4454" spans="1:19" ht="12" hidden="1" customHeight="1" x14ac:dyDescent="0.3">
      <c r="A4454" s="35" t="s">
        <v>908</v>
      </c>
      <c r="B4454" s="49" t="str">
        <f>B4450</f>
        <v>hide</v>
      </c>
      <c r="N4454"/>
      <c r="Q4454" s="33"/>
    </row>
    <row r="4455" spans="1:19" ht="13.8" hidden="1" thickBot="1" x14ac:dyDescent="0.3">
      <c r="A4455" t="s">
        <v>23</v>
      </c>
      <c r="B4455" s="49" t="str">
        <f t="shared" ref="B4455" si="3189">B4454</f>
        <v>hide</v>
      </c>
      <c r="D4455" s="58"/>
      <c r="E4455" s="58"/>
      <c r="F4455" s="52">
        <f>SUM(F4450:F4454)</f>
        <v>0</v>
      </c>
      <c r="G4455" s="52">
        <f>SUM(G4450:G4454)</f>
        <v>0</v>
      </c>
      <c r="H4455" s="52">
        <f>SUM(H4450:H4454)</f>
        <v>0</v>
      </c>
      <c r="I4455" s="52">
        <f>SUM(I4450:I4454)</f>
        <v>0</v>
      </c>
      <c r="J4455" s="52">
        <f>SUM(J4450:J4454)</f>
        <v>0</v>
      </c>
      <c r="K4455" s="52"/>
      <c r="L4455" s="51" t="s">
        <v>4</v>
      </c>
      <c r="M4455" s="58"/>
      <c r="N4455" s="58"/>
      <c r="O4455" s="58"/>
      <c r="P4455" s="58"/>
      <c r="Q4455" s="58"/>
      <c r="R4455" s="58"/>
      <c r="S4455" s="58"/>
    </row>
    <row r="4456" spans="1:19" s="59" customFormat="1" ht="18.75" hidden="1" customHeight="1" thickBot="1" x14ac:dyDescent="0.3">
      <c r="A4456" s="59" t="s">
        <v>23</v>
      </c>
      <c r="B4456" s="60" t="str">
        <f t="shared" ref="B4456:B4457" si="3190">IF(K4456=0,"hide","")</f>
        <v>hide</v>
      </c>
      <c r="D4456" s="61" t="str">
        <f>"66488"</f>
        <v>66488</v>
      </c>
      <c r="E4456" s="62" t="str">
        <f>"3"</f>
        <v>3</v>
      </c>
      <c r="F4456" s="63">
        <v>0</v>
      </c>
      <c r="G4456" s="63">
        <v>0</v>
      </c>
      <c r="H4456" s="63">
        <v>0</v>
      </c>
      <c r="I4456" s="63">
        <v>0</v>
      </c>
      <c r="J4456" s="63">
        <v>0</v>
      </c>
      <c r="K4456" s="63">
        <f>AVERAGE(I4456:J4456)</f>
        <v>0</v>
      </c>
      <c r="L4456" s="64" t="str">
        <f>"Garden Lite GF BLUE"</f>
        <v>Garden Lite GF BLUE</v>
      </c>
      <c r="M4456" s="65" t="str">
        <f>"96-2oz. IW"</f>
        <v>96-2oz. IW</v>
      </c>
      <c r="N4456" s="66">
        <v>96</v>
      </c>
      <c r="O4456" s="67" t="str">
        <f>""</f>
        <v/>
      </c>
      <c r="P4456" s="68" t="e">
        <f>1/O4456</f>
        <v>#VALUE!</v>
      </c>
      <c r="Q4456" s="53">
        <v>1</v>
      </c>
      <c r="R4456" s="69">
        <f t="shared" ref="R4456" si="3191">1/Q4456</f>
        <v>1</v>
      </c>
      <c r="S4456" s="70">
        <f t="shared" ref="S4456" si="3192">R4456*N4456</f>
        <v>96</v>
      </c>
    </row>
    <row r="4457" spans="1:19" ht="15.6" hidden="1" customHeight="1" thickBot="1" x14ac:dyDescent="0.3">
      <c r="A4457" t="s">
        <v>23</v>
      </c>
      <c r="B4457" s="60" t="str">
        <f t="shared" si="3190"/>
        <v>hide</v>
      </c>
      <c r="D4457" s="48" t="str">
        <f>D4456</f>
        <v>66488</v>
      </c>
      <c r="E4457" s="7"/>
      <c r="F4457" s="27">
        <v>0</v>
      </c>
      <c r="G4457" s="27">
        <v>0</v>
      </c>
      <c r="H4457" s="27">
        <v>0</v>
      </c>
      <c r="I4457" s="27">
        <v>0</v>
      </c>
      <c r="J4457" s="27">
        <v>0</v>
      </c>
      <c r="K4457" s="63">
        <f>AVERAGE(I4457:J4457)</f>
        <v>0</v>
      </c>
      <c r="L4457" s="56" t="str">
        <f>"EQP-LAWPACK1"</f>
        <v>EQP-LAWPACK1</v>
      </c>
      <c r="M4457" s="14"/>
      <c r="N4457" s="15"/>
      <c r="O4457" s="12"/>
      <c r="P4457" s="34"/>
      <c r="Q4457" s="37"/>
      <c r="R4457" s="47"/>
      <c r="S4457" s="46"/>
    </row>
    <row r="4458" spans="1:19" ht="15.6" hidden="1" customHeight="1" thickBot="1" x14ac:dyDescent="0.3">
      <c r="A4458" t="s">
        <v>23</v>
      </c>
      <c r="B4458" s="60" t="str">
        <f t="shared" ref="B4458:B4460" si="3193">IF(K4458=0,"hide","")</f>
        <v>hide</v>
      </c>
      <c r="D4458" s="48" t="str">
        <f>D4457</f>
        <v>66488</v>
      </c>
      <c r="E4458" s="7"/>
      <c r="F4458" s="27">
        <v>0</v>
      </c>
      <c r="G4458" s="27">
        <v>0</v>
      </c>
      <c r="H4458" s="27">
        <v>0</v>
      </c>
      <c r="I4458" s="27">
        <v>0</v>
      </c>
      <c r="J4458" s="27">
        <v>0</v>
      </c>
      <c r="K4458" s="63">
        <f>AVERAGE(I4458:J4458)</f>
        <v>0</v>
      </c>
      <c r="L4458" s="56" t="str">
        <f>"EQP-LAWPACK2"</f>
        <v>EQP-LAWPACK2</v>
      </c>
      <c r="M4458" s="14"/>
      <c r="N4458" s="15"/>
      <c r="O4458" s="12"/>
      <c r="P4458" s="34"/>
      <c r="Q4458" s="37"/>
      <c r="R4458" s="47"/>
      <c r="S4458" s="46"/>
    </row>
    <row r="4459" spans="1:19" ht="15.6" hidden="1" customHeight="1" thickBot="1" x14ac:dyDescent="0.3">
      <c r="A4459" t="s">
        <v>23</v>
      </c>
      <c r="B4459" s="60" t="str">
        <f t="shared" si="3193"/>
        <v>hide</v>
      </c>
      <c r="D4459" s="48" t="str">
        <f>D4458</f>
        <v>66488</v>
      </c>
      <c r="E4459" s="7"/>
      <c r="F4459" s="27">
        <v>0</v>
      </c>
      <c r="G4459" s="27">
        <v>0</v>
      </c>
      <c r="H4459" s="27">
        <v>0</v>
      </c>
      <c r="I4459" s="27">
        <v>0</v>
      </c>
      <c r="J4459" s="27">
        <v>0</v>
      </c>
      <c r="K4459" s="63">
        <f>AVERAGE(I4459:J4459)</f>
        <v>0</v>
      </c>
      <c r="L4459" s="56" t="str">
        <f>"SW-COMAS-PACKL"</f>
        <v>SW-COMAS-PACKL</v>
      </c>
      <c r="M4459" s="14"/>
      <c r="N4459" s="15"/>
      <c r="O4459" s="12"/>
      <c r="P4459" s="34"/>
      <c r="Q4459" s="37"/>
      <c r="R4459" s="47"/>
      <c r="S4459" s="46"/>
    </row>
    <row r="4460" spans="1:19" ht="15.6" hidden="1" customHeight="1" thickBot="1" x14ac:dyDescent="0.3">
      <c r="A4460" t="s">
        <v>23</v>
      </c>
      <c r="B4460" s="60" t="str">
        <f t="shared" si="3193"/>
        <v>hide</v>
      </c>
      <c r="D4460" s="48" t="str">
        <f>D4459</f>
        <v>66488</v>
      </c>
      <c r="E4460" s="7"/>
      <c r="F4460" s="27">
        <v>0</v>
      </c>
      <c r="G4460" s="27">
        <v>0</v>
      </c>
      <c r="H4460" s="27">
        <v>0</v>
      </c>
      <c r="I4460" s="27">
        <v>0</v>
      </c>
      <c r="J4460" s="27">
        <v>0</v>
      </c>
      <c r="K4460" s="63">
        <f>AVERAGE(I4460:J4460)</f>
        <v>0</v>
      </c>
      <c r="L4460" s="56" t="str">
        <f>"SW-RISER-PACK"</f>
        <v>SW-RISER-PACK</v>
      </c>
      <c r="M4460" s="14"/>
      <c r="N4460" s="15"/>
      <c r="O4460" s="12"/>
      <c r="P4460" s="34"/>
      <c r="Q4460" s="37"/>
      <c r="R4460" s="47"/>
      <c r="S4460" s="46"/>
    </row>
    <row r="4461" spans="1:19" ht="12" hidden="1" customHeight="1" x14ac:dyDescent="0.3">
      <c r="A4461" s="35" t="s">
        <v>908</v>
      </c>
      <c r="B4461" s="49" t="str">
        <f>B4457</f>
        <v>hide</v>
      </c>
      <c r="N4461"/>
      <c r="Q4461" s="33"/>
    </row>
    <row r="4462" spans="1:19" ht="13.8" hidden="1" thickBot="1" x14ac:dyDescent="0.3">
      <c r="A4462" t="s">
        <v>23</v>
      </c>
      <c r="B4462" s="49" t="str">
        <f t="shared" ref="B4462" si="3194">B4461</f>
        <v>hide</v>
      </c>
      <c r="D4462" s="58"/>
      <c r="E4462" s="58"/>
      <c r="F4462" s="52">
        <f>SUM(F4457:F4461)</f>
        <v>0</v>
      </c>
      <c r="G4462" s="52">
        <f>SUM(G4457:G4461)</f>
        <v>0</v>
      </c>
      <c r="H4462" s="52">
        <f>SUM(H4457:H4461)</f>
        <v>0</v>
      </c>
      <c r="I4462" s="52">
        <f>SUM(I4457:I4461)</f>
        <v>0</v>
      </c>
      <c r="J4462" s="52">
        <f>SUM(J4457:J4461)</f>
        <v>0</v>
      </c>
      <c r="K4462" s="52"/>
      <c r="L4462" s="51" t="s">
        <v>4</v>
      </c>
      <c r="M4462" s="58"/>
      <c r="N4462" s="58"/>
      <c r="O4462" s="58"/>
      <c r="P4462" s="58"/>
      <c r="Q4462" s="58"/>
      <c r="R4462" s="58"/>
      <c r="S4462" s="58"/>
    </row>
    <row r="4463" spans="1:19" s="59" customFormat="1" ht="18.75" hidden="1" customHeight="1" thickBot="1" x14ac:dyDescent="0.3">
      <c r="A4463" s="59" t="s">
        <v>23</v>
      </c>
      <c r="B4463" s="60" t="str">
        <f t="shared" ref="B4463:B4464" si="3195">IF(K4463=0,"hide","")</f>
        <v>hide</v>
      </c>
      <c r="D4463" s="61" t="str">
        <f>"66508"</f>
        <v>66508</v>
      </c>
      <c r="E4463" s="62" t="str">
        <f>"3"</f>
        <v>3</v>
      </c>
      <c r="F4463" s="63">
        <v>0</v>
      </c>
      <c r="G4463" s="63">
        <v>0</v>
      </c>
      <c r="H4463" s="63">
        <v>0</v>
      </c>
      <c r="I4463" s="63">
        <v>0</v>
      </c>
      <c r="J4463" s="63">
        <v>0</v>
      </c>
      <c r="K4463" s="63">
        <f>AVERAGE(I4463:J4463)</f>
        <v>0</v>
      </c>
      <c r="L4463" s="64" t="str">
        <f>"Garden Lite GF Banana"</f>
        <v>Garden Lite GF Banana</v>
      </c>
      <c r="M4463" s="65" t="str">
        <f>"96-2oz. IW"</f>
        <v>96-2oz. IW</v>
      </c>
      <c r="N4463" s="66">
        <v>96</v>
      </c>
      <c r="O4463" s="67" t="str">
        <f>""</f>
        <v/>
      </c>
      <c r="P4463" s="68" t="e">
        <f>1/O4463</f>
        <v>#VALUE!</v>
      </c>
      <c r="Q4463" s="53">
        <v>1</v>
      </c>
      <c r="R4463" s="69">
        <f t="shared" ref="R4463" si="3196">1/Q4463</f>
        <v>1</v>
      </c>
      <c r="S4463" s="70">
        <f t="shared" ref="S4463" si="3197">R4463*N4463</f>
        <v>96</v>
      </c>
    </row>
    <row r="4464" spans="1:19" ht="15.6" hidden="1" customHeight="1" thickBot="1" x14ac:dyDescent="0.3">
      <c r="A4464" t="s">
        <v>23</v>
      </c>
      <c r="B4464" s="60" t="str">
        <f t="shared" si="3195"/>
        <v>hide</v>
      </c>
      <c r="D4464" s="48" t="str">
        <f>D4463</f>
        <v>66508</v>
      </c>
      <c r="E4464" s="7"/>
      <c r="F4464" s="27">
        <v>0</v>
      </c>
      <c r="G4464" s="27">
        <v>0</v>
      </c>
      <c r="H4464" s="27">
        <v>0</v>
      </c>
      <c r="I4464" s="27">
        <v>0</v>
      </c>
      <c r="J4464" s="27">
        <v>0</v>
      </c>
      <c r="K4464" s="63">
        <f>AVERAGE(I4464:J4464)</f>
        <v>0</v>
      </c>
      <c r="L4464" s="56" t="str">
        <f>"EQP-LAWPACK1"</f>
        <v>EQP-LAWPACK1</v>
      </c>
      <c r="M4464" s="14"/>
      <c r="N4464" s="15"/>
      <c r="O4464" s="12"/>
      <c r="P4464" s="34"/>
      <c r="Q4464" s="37"/>
      <c r="R4464" s="47"/>
      <c r="S4464" s="46"/>
    </row>
    <row r="4465" spans="1:19" ht="15.6" hidden="1" customHeight="1" thickBot="1" x14ac:dyDescent="0.3">
      <c r="A4465" t="s">
        <v>23</v>
      </c>
      <c r="B4465" s="60" t="str">
        <f t="shared" ref="B4465:B4467" si="3198">IF(K4465=0,"hide","")</f>
        <v>hide</v>
      </c>
      <c r="D4465" s="48" t="str">
        <f>D4464</f>
        <v>66508</v>
      </c>
      <c r="E4465" s="7"/>
      <c r="F4465" s="27">
        <v>0</v>
      </c>
      <c r="G4465" s="27">
        <v>0</v>
      </c>
      <c r="H4465" s="27">
        <v>0</v>
      </c>
      <c r="I4465" s="27">
        <v>0</v>
      </c>
      <c r="J4465" s="27">
        <v>0</v>
      </c>
      <c r="K4465" s="63">
        <f>AVERAGE(I4465:J4465)</f>
        <v>0</v>
      </c>
      <c r="L4465" s="56" t="str">
        <f>"EQP-LAWPACK2"</f>
        <v>EQP-LAWPACK2</v>
      </c>
      <c r="M4465" s="14"/>
      <c r="N4465" s="15"/>
      <c r="O4465" s="12"/>
      <c r="P4465" s="34"/>
      <c r="Q4465" s="37"/>
      <c r="R4465" s="47"/>
      <c r="S4465" s="46"/>
    </row>
    <row r="4466" spans="1:19" ht="15.6" hidden="1" customHeight="1" thickBot="1" x14ac:dyDescent="0.3">
      <c r="A4466" t="s">
        <v>23</v>
      </c>
      <c r="B4466" s="60" t="str">
        <f t="shared" si="3198"/>
        <v>hide</v>
      </c>
      <c r="D4466" s="48" t="str">
        <f>D4465</f>
        <v>66508</v>
      </c>
      <c r="E4466" s="7"/>
      <c r="F4466" s="27">
        <v>0</v>
      </c>
      <c r="G4466" s="27">
        <v>0</v>
      </c>
      <c r="H4466" s="27">
        <v>0</v>
      </c>
      <c r="I4466" s="27">
        <v>0</v>
      </c>
      <c r="J4466" s="27">
        <v>0</v>
      </c>
      <c r="K4466" s="63">
        <f>AVERAGE(I4466:J4466)</f>
        <v>0</v>
      </c>
      <c r="L4466" s="56" t="str">
        <f>"SW-COMAS-PACKL"</f>
        <v>SW-COMAS-PACKL</v>
      </c>
      <c r="M4466" s="14"/>
      <c r="N4466" s="15"/>
      <c r="O4466" s="12"/>
      <c r="P4466" s="34"/>
      <c r="Q4466" s="37"/>
      <c r="R4466" s="47"/>
      <c r="S4466" s="46"/>
    </row>
    <row r="4467" spans="1:19" ht="15.6" hidden="1" customHeight="1" thickBot="1" x14ac:dyDescent="0.3">
      <c r="A4467" t="s">
        <v>23</v>
      </c>
      <c r="B4467" s="60" t="str">
        <f t="shared" si="3198"/>
        <v>hide</v>
      </c>
      <c r="D4467" s="48" t="str">
        <f>D4466</f>
        <v>66508</v>
      </c>
      <c r="E4467" s="7"/>
      <c r="F4467" s="27">
        <v>0</v>
      </c>
      <c r="G4467" s="27">
        <v>0</v>
      </c>
      <c r="H4467" s="27">
        <v>0</v>
      </c>
      <c r="I4467" s="27">
        <v>0</v>
      </c>
      <c r="J4467" s="27">
        <v>0</v>
      </c>
      <c r="K4467" s="63">
        <f>AVERAGE(I4467:J4467)</f>
        <v>0</v>
      </c>
      <c r="L4467" s="56" t="str">
        <f>"SW-RISER-PACK"</f>
        <v>SW-RISER-PACK</v>
      </c>
      <c r="M4467" s="14"/>
      <c r="N4467" s="15"/>
      <c r="O4467" s="12"/>
      <c r="P4467" s="34"/>
      <c r="Q4467" s="37"/>
      <c r="R4467" s="47"/>
      <c r="S4467" s="46"/>
    </row>
    <row r="4468" spans="1:19" ht="12" hidden="1" customHeight="1" x14ac:dyDescent="0.3">
      <c r="A4468" s="35" t="s">
        <v>908</v>
      </c>
      <c r="B4468" s="49" t="str">
        <f>B4464</f>
        <v>hide</v>
      </c>
      <c r="N4468"/>
      <c r="Q4468" s="33"/>
    </row>
    <row r="4469" spans="1:19" ht="13.8" hidden="1" thickBot="1" x14ac:dyDescent="0.3">
      <c r="A4469" t="s">
        <v>23</v>
      </c>
      <c r="B4469" s="49" t="str">
        <f t="shared" ref="B4469" si="3199">B4468</f>
        <v>hide</v>
      </c>
      <c r="D4469" s="58"/>
      <c r="E4469" s="58"/>
      <c r="F4469" s="52">
        <f>SUM(F4464:F4468)</f>
        <v>0</v>
      </c>
      <c r="G4469" s="52">
        <f>SUM(G4464:G4468)</f>
        <v>0</v>
      </c>
      <c r="H4469" s="52">
        <f>SUM(H4464:H4468)</f>
        <v>0</v>
      </c>
      <c r="I4469" s="52">
        <f>SUM(I4464:I4468)</f>
        <v>0</v>
      </c>
      <c r="J4469" s="52">
        <f>SUM(J4464:J4468)</f>
        <v>0</v>
      </c>
      <c r="K4469" s="52"/>
      <c r="L4469" s="51" t="s">
        <v>4</v>
      </c>
      <c r="M4469" s="58"/>
      <c r="N4469" s="58"/>
      <c r="O4469" s="58"/>
      <c r="P4469" s="58"/>
      <c r="Q4469" s="58"/>
      <c r="R4469" s="58"/>
      <c r="S4469" s="58"/>
    </row>
    <row r="4470" spans="1:19" s="59" customFormat="1" ht="18.75" hidden="1" customHeight="1" thickBot="1" x14ac:dyDescent="0.3">
      <c r="A4470" s="59" t="s">
        <v>23</v>
      </c>
      <c r="B4470" s="60" t="str">
        <f t="shared" ref="B4470:B4471" si="3200">IF(K4470=0,"hide","")</f>
        <v>hide</v>
      </c>
      <c r="D4470" s="61" t="str">
        <f>"67822"</f>
        <v>67822</v>
      </c>
      <c r="E4470" s="62" t="str">
        <f>"1"</f>
        <v>1</v>
      </c>
      <c r="F4470" s="63">
        <v>0</v>
      </c>
      <c r="G4470" s="63">
        <v>0</v>
      </c>
      <c r="H4470" s="63">
        <v>0</v>
      </c>
      <c r="I4470" s="63">
        <v>0</v>
      </c>
      <c r="J4470" s="63">
        <v>0</v>
      </c>
      <c r="K4470" s="63">
        <f>AVERAGE(I4470:J4470)</f>
        <v>0</v>
      </c>
      <c r="L4470" s="64" t="str">
        <f>"LEMON POPPY MUFFINS"</f>
        <v>LEMON POPPY MUFFINS</v>
      </c>
      <c r="M4470" s="65" t="str">
        <f>"216-.9 oz. 18-12 pack"</f>
        <v>216-.9 oz. 18-12 pack</v>
      </c>
      <c r="N4470" s="66">
        <v>216</v>
      </c>
      <c r="O4470" s="67" t="str">
        <f>""</f>
        <v/>
      </c>
      <c r="P4470" s="68" t="e">
        <f>1/O4470</f>
        <v>#VALUE!</v>
      </c>
      <c r="Q4470" s="53">
        <v>1</v>
      </c>
      <c r="R4470" s="69">
        <f t="shared" ref="R4470" si="3201">1/Q4470</f>
        <v>1</v>
      </c>
      <c r="S4470" s="70">
        <f t="shared" ref="S4470" si="3202">R4470*N4470</f>
        <v>216</v>
      </c>
    </row>
    <row r="4471" spans="1:19" ht="15.6" hidden="1" customHeight="1" thickBot="1" x14ac:dyDescent="0.3">
      <c r="A4471" t="s">
        <v>23</v>
      </c>
      <c r="B4471" s="60" t="str">
        <f t="shared" si="3200"/>
        <v>hide</v>
      </c>
      <c r="D4471" s="48" t="str">
        <f>D4470</f>
        <v>67822</v>
      </c>
      <c r="E4471" s="7"/>
      <c r="F4471" s="27">
        <v>0</v>
      </c>
      <c r="G4471" s="27">
        <v>0</v>
      </c>
      <c r="H4471" s="27">
        <v>0</v>
      </c>
      <c r="I4471" s="27">
        <v>0</v>
      </c>
      <c r="J4471" s="27">
        <v>0</v>
      </c>
      <c r="K4471" s="63">
        <f>AVERAGE(I4471:J4471)</f>
        <v>0</v>
      </c>
      <c r="L4471" s="56" t="str">
        <f>"EQP-LAWPACK1"</f>
        <v>EQP-LAWPACK1</v>
      </c>
      <c r="M4471" s="14"/>
      <c r="N4471" s="15"/>
      <c r="O4471" s="12"/>
      <c r="P4471" s="34"/>
      <c r="Q4471" s="37"/>
      <c r="R4471" s="47"/>
      <c r="S4471" s="46"/>
    </row>
    <row r="4472" spans="1:19" ht="15.6" hidden="1" customHeight="1" thickBot="1" x14ac:dyDescent="0.3">
      <c r="A4472" t="s">
        <v>23</v>
      </c>
      <c r="B4472" s="60" t="str">
        <f t="shared" ref="B4472:B4474" si="3203">IF(K4472=0,"hide","")</f>
        <v>hide</v>
      </c>
      <c r="D4472" s="48" t="str">
        <f>D4471</f>
        <v>67822</v>
      </c>
      <c r="E4472" s="7"/>
      <c r="F4472" s="27">
        <v>0</v>
      </c>
      <c r="G4472" s="27">
        <v>0</v>
      </c>
      <c r="H4472" s="27">
        <v>0</v>
      </c>
      <c r="I4472" s="27">
        <v>0</v>
      </c>
      <c r="J4472" s="27">
        <v>0</v>
      </c>
      <c r="K4472" s="63">
        <f>AVERAGE(I4472:J4472)</f>
        <v>0</v>
      </c>
      <c r="L4472" s="56" t="str">
        <f>"EQP-LAWPACK2"</f>
        <v>EQP-LAWPACK2</v>
      </c>
      <c r="M4472" s="14"/>
      <c r="N4472" s="15"/>
      <c r="O4472" s="12"/>
      <c r="P4472" s="34"/>
      <c r="Q4472" s="37"/>
      <c r="R4472" s="47"/>
      <c r="S4472" s="46"/>
    </row>
    <row r="4473" spans="1:19" ht="15.6" hidden="1" customHeight="1" thickBot="1" x14ac:dyDescent="0.3">
      <c r="A4473" t="s">
        <v>23</v>
      </c>
      <c r="B4473" s="60" t="str">
        <f t="shared" si="3203"/>
        <v>hide</v>
      </c>
      <c r="D4473" s="48" t="str">
        <f>D4472</f>
        <v>67822</v>
      </c>
      <c r="E4473" s="7"/>
      <c r="F4473" s="27">
        <v>0</v>
      </c>
      <c r="G4473" s="27">
        <v>0</v>
      </c>
      <c r="H4473" s="27">
        <v>0</v>
      </c>
      <c r="I4473" s="27">
        <v>0</v>
      </c>
      <c r="J4473" s="27">
        <v>0</v>
      </c>
      <c r="K4473" s="63">
        <f>AVERAGE(I4473:J4473)</f>
        <v>0</v>
      </c>
      <c r="L4473" s="56" t="str">
        <f>"SW-COMAS-PACKL"</f>
        <v>SW-COMAS-PACKL</v>
      </c>
      <c r="M4473" s="14"/>
      <c r="N4473" s="15"/>
      <c r="O4473" s="12"/>
      <c r="P4473" s="34"/>
      <c r="Q4473" s="37"/>
      <c r="R4473" s="47"/>
      <c r="S4473" s="46"/>
    </row>
    <row r="4474" spans="1:19" ht="15.6" hidden="1" customHeight="1" thickBot="1" x14ac:dyDescent="0.3">
      <c r="A4474" t="s">
        <v>23</v>
      </c>
      <c r="B4474" s="60" t="str">
        <f t="shared" si="3203"/>
        <v>hide</v>
      </c>
      <c r="D4474" s="48" t="str">
        <f>D4473</f>
        <v>67822</v>
      </c>
      <c r="E4474" s="7"/>
      <c r="F4474" s="27">
        <v>0</v>
      </c>
      <c r="G4474" s="27">
        <v>0</v>
      </c>
      <c r="H4474" s="27">
        <v>0</v>
      </c>
      <c r="I4474" s="27">
        <v>0</v>
      </c>
      <c r="J4474" s="27">
        <v>0</v>
      </c>
      <c r="K4474" s="63">
        <f>AVERAGE(I4474:J4474)</f>
        <v>0</v>
      </c>
      <c r="L4474" s="56" t="str">
        <f>"SW-RISER-PACK"</f>
        <v>SW-RISER-PACK</v>
      </c>
      <c r="M4474" s="14"/>
      <c r="N4474" s="15"/>
      <c r="O4474" s="12"/>
      <c r="P4474" s="34"/>
      <c r="Q4474" s="37"/>
      <c r="R4474" s="47"/>
      <c r="S4474" s="46"/>
    </row>
    <row r="4475" spans="1:19" ht="12" hidden="1" customHeight="1" x14ac:dyDescent="0.3">
      <c r="A4475" s="35" t="s">
        <v>908</v>
      </c>
      <c r="B4475" s="49" t="str">
        <f>B4471</f>
        <v>hide</v>
      </c>
      <c r="N4475"/>
      <c r="Q4475" s="33"/>
    </row>
    <row r="4476" spans="1:19" ht="13.8" hidden="1" thickBot="1" x14ac:dyDescent="0.3">
      <c r="A4476" t="s">
        <v>23</v>
      </c>
      <c r="B4476" s="49" t="str">
        <f t="shared" ref="B4476" si="3204">B4475</f>
        <v>hide</v>
      </c>
      <c r="D4476" s="58"/>
      <c r="E4476" s="58"/>
      <c r="F4476" s="52">
        <f>SUM(F4471:F4475)</f>
        <v>0</v>
      </c>
      <c r="G4476" s="52">
        <f>SUM(G4471:G4475)</f>
        <v>0</v>
      </c>
      <c r="H4476" s="52">
        <f>SUM(H4471:H4475)</f>
        <v>0</v>
      </c>
      <c r="I4476" s="52">
        <f>SUM(I4471:I4475)</f>
        <v>0</v>
      </c>
      <c r="J4476" s="52">
        <f>SUM(J4471:J4475)</f>
        <v>0</v>
      </c>
      <c r="K4476" s="52"/>
      <c r="L4476" s="51" t="s">
        <v>4</v>
      </c>
      <c r="M4476" s="58"/>
      <c r="N4476" s="58"/>
      <c r="O4476" s="58"/>
      <c r="P4476" s="58"/>
      <c r="Q4476" s="58"/>
      <c r="R4476" s="58"/>
      <c r="S4476" s="58"/>
    </row>
    <row r="4477" spans="1:19" s="59" customFormat="1" ht="18.75" hidden="1" customHeight="1" thickBot="1" x14ac:dyDescent="0.3">
      <c r="A4477" s="59" t="s">
        <v>23</v>
      </c>
      <c r="B4477" s="60" t="str">
        <f t="shared" ref="B4477:B4478" si="3205">IF(K4477=0,"hide","")</f>
        <v>hide</v>
      </c>
      <c r="D4477" s="61" t="str">
        <f>"71501"</f>
        <v>71501</v>
      </c>
      <c r="E4477" s="62" t="str">
        <f>"1"</f>
        <v>1</v>
      </c>
      <c r="F4477" s="63">
        <v>0</v>
      </c>
      <c r="G4477" s="63">
        <v>0</v>
      </c>
      <c r="H4477" s="63">
        <v>0</v>
      </c>
      <c r="I4477" s="63">
        <v>0</v>
      </c>
      <c r="J4477" s="63">
        <v>0</v>
      </c>
      <c r="K4477" s="63">
        <f>AVERAGE(I4477:J4477)</f>
        <v>0</v>
      </c>
      <c r="L4477" s="64" t="str">
        <f>"Blueberry Mufifn TOPS"</f>
        <v>Blueberry Mufifn TOPS</v>
      </c>
      <c r="M4477" s="65" t="str">
        <f>"40-2oz. IW 8 packs of 5"</f>
        <v>40-2oz. IW 8 packs of 5</v>
      </c>
      <c r="N4477" s="66">
        <v>40</v>
      </c>
      <c r="O4477" s="67" t="str">
        <f>""</f>
        <v/>
      </c>
      <c r="P4477" s="68" t="e">
        <f>1/O4477</f>
        <v>#VALUE!</v>
      </c>
      <c r="Q4477" s="53">
        <v>1</v>
      </c>
      <c r="R4477" s="69">
        <f t="shared" ref="R4477" si="3206">1/Q4477</f>
        <v>1</v>
      </c>
      <c r="S4477" s="70">
        <f t="shared" ref="S4477" si="3207">R4477*N4477</f>
        <v>40</v>
      </c>
    </row>
    <row r="4478" spans="1:19" ht="15.6" hidden="1" customHeight="1" thickBot="1" x14ac:dyDescent="0.3">
      <c r="A4478" t="s">
        <v>23</v>
      </c>
      <c r="B4478" s="60" t="str">
        <f t="shared" si="3205"/>
        <v>hide</v>
      </c>
      <c r="D4478" s="48" t="str">
        <f>D4477</f>
        <v>71501</v>
      </c>
      <c r="E4478" s="7"/>
      <c r="F4478" s="27">
        <v>0</v>
      </c>
      <c r="G4478" s="27">
        <v>0</v>
      </c>
      <c r="H4478" s="27">
        <v>0</v>
      </c>
      <c r="I4478" s="27">
        <v>0</v>
      </c>
      <c r="J4478" s="27">
        <v>0</v>
      </c>
      <c r="K4478" s="63">
        <f>AVERAGE(I4478:J4478)</f>
        <v>0</v>
      </c>
      <c r="L4478" s="56" t="str">
        <f>"EQP-LAWPACK1"</f>
        <v>EQP-LAWPACK1</v>
      </c>
      <c r="M4478" s="14"/>
      <c r="N4478" s="15"/>
      <c r="O4478" s="12"/>
      <c r="P4478" s="34"/>
      <c r="Q4478" s="37"/>
      <c r="R4478" s="47"/>
      <c r="S4478" s="46"/>
    </row>
    <row r="4479" spans="1:19" ht="15.6" hidden="1" customHeight="1" thickBot="1" x14ac:dyDescent="0.3">
      <c r="A4479" t="s">
        <v>23</v>
      </c>
      <c r="B4479" s="60" t="str">
        <f t="shared" ref="B4479:B4481" si="3208">IF(K4479=0,"hide","")</f>
        <v>hide</v>
      </c>
      <c r="D4479" s="48" t="str">
        <f>D4478</f>
        <v>71501</v>
      </c>
      <c r="E4479" s="7"/>
      <c r="F4479" s="27">
        <v>0</v>
      </c>
      <c r="G4479" s="27">
        <v>0</v>
      </c>
      <c r="H4479" s="27">
        <v>0</v>
      </c>
      <c r="I4479" s="27">
        <v>0</v>
      </c>
      <c r="J4479" s="27">
        <v>0</v>
      </c>
      <c r="K4479" s="63">
        <f>AVERAGE(I4479:J4479)</f>
        <v>0</v>
      </c>
      <c r="L4479" s="56" t="str">
        <f>"EQP-LAWPACK2"</f>
        <v>EQP-LAWPACK2</v>
      </c>
      <c r="M4479" s="14"/>
      <c r="N4479" s="15"/>
      <c r="O4479" s="12"/>
      <c r="P4479" s="34"/>
      <c r="Q4479" s="37"/>
      <c r="R4479" s="47"/>
      <c r="S4479" s="46"/>
    </row>
    <row r="4480" spans="1:19" ht="15.6" hidden="1" customHeight="1" thickBot="1" x14ac:dyDescent="0.3">
      <c r="A4480" t="s">
        <v>23</v>
      </c>
      <c r="B4480" s="60" t="str">
        <f t="shared" si="3208"/>
        <v>hide</v>
      </c>
      <c r="D4480" s="48" t="str">
        <f>D4479</f>
        <v>71501</v>
      </c>
      <c r="E4480" s="7"/>
      <c r="F4480" s="27">
        <v>0</v>
      </c>
      <c r="G4480" s="27">
        <v>0</v>
      </c>
      <c r="H4480" s="27">
        <v>0</v>
      </c>
      <c r="I4480" s="27">
        <v>0</v>
      </c>
      <c r="J4480" s="27">
        <v>0</v>
      </c>
      <c r="K4480" s="63">
        <f>AVERAGE(I4480:J4480)</f>
        <v>0</v>
      </c>
      <c r="L4480" s="56" t="str">
        <f>"SW-COMAS-PACKL"</f>
        <v>SW-COMAS-PACKL</v>
      </c>
      <c r="M4480" s="14"/>
      <c r="N4480" s="15"/>
      <c r="O4480" s="12"/>
      <c r="P4480" s="34"/>
      <c r="Q4480" s="37"/>
      <c r="R4480" s="47"/>
      <c r="S4480" s="46"/>
    </row>
    <row r="4481" spans="1:19" ht="15.6" hidden="1" customHeight="1" thickBot="1" x14ac:dyDescent="0.3">
      <c r="A4481" t="s">
        <v>23</v>
      </c>
      <c r="B4481" s="60" t="str">
        <f t="shared" si="3208"/>
        <v>hide</v>
      </c>
      <c r="D4481" s="48" t="str">
        <f>D4480</f>
        <v>71501</v>
      </c>
      <c r="E4481" s="7"/>
      <c r="F4481" s="27">
        <v>0</v>
      </c>
      <c r="G4481" s="27">
        <v>0</v>
      </c>
      <c r="H4481" s="27">
        <v>0</v>
      </c>
      <c r="I4481" s="27">
        <v>0</v>
      </c>
      <c r="J4481" s="27">
        <v>0</v>
      </c>
      <c r="K4481" s="63">
        <f>AVERAGE(I4481:J4481)</f>
        <v>0</v>
      </c>
      <c r="L4481" s="56" t="str">
        <f>"SW-RISER-PACK"</f>
        <v>SW-RISER-PACK</v>
      </c>
      <c r="M4481" s="14"/>
      <c r="N4481" s="15"/>
      <c r="O4481" s="12"/>
      <c r="P4481" s="34"/>
      <c r="Q4481" s="37"/>
      <c r="R4481" s="47"/>
      <c r="S4481" s="46"/>
    </row>
    <row r="4482" spans="1:19" ht="12" hidden="1" customHeight="1" x14ac:dyDescent="0.3">
      <c r="A4482" s="35" t="s">
        <v>908</v>
      </c>
      <c r="B4482" s="49" t="str">
        <f>B4478</f>
        <v>hide</v>
      </c>
      <c r="N4482"/>
      <c r="Q4482" s="33"/>
    </row>
    <row r="4483" spans="1:19" ht="13.8" hidden="1" thickBot="1" x14ac:dyDescent="0.3">
      <c r="A4483" t="s">
        <v>23</v>
      </c>
      <c r="B4483" s="49" t="str">
        <f t="shared" ref="B4483" si="3209">B4482</f>
        <v>hide</v>
      </c>
      <c r="D4483" s="58"/>
      <c r="E4483" s="58"/>
      <c r="F4483" s="52">
        <f>SUM(F4478:F4482)</f>
        <v>0</v>
      </c>
      <c r="G4483" s="52">
        <f>SUM(G4478:G4482)</f>
        <v>0</v>
      </c>
      <c r="H4483" s="52">
        <f>SUM(H4478:H4482)</f>
        <v>0</v>
      </c>
      <c r="I4483" s="52">
        <f>SUM(I4478:I4482)</f>
        <v>0</v>
      </c>
      <c r="J4483" s="52">
        <f>SUM(J4478:J4482)</f>
        <v>0</v>
      </c>
      <c r="K4483" s="52"/>
      <c r="L4483" s="51" t="s">
        <v>4</v>
      </c>
      <c r="M4483" s="58"/>
      <c r="N4483" s="58"/>
      <c r="O4483" s="58"/>
      <c r="P4483" s="58"/>
      <c r="Q4483" s="58"/>
      <c r="R4483" s="58"/>
      <c r="S4483" s="58"/>
    </row>
    <row r="4484" spans="1:19" s="59" customFormat="1" ht="18.75" hidden="1" customHeight="1" thickBot="1" x14ac:dyDescent="0.3">
      <c r="A4484" s="59" t="s">
        <v>23</v>
      </c>
      <c r="B4484" s="60" t="str">
        <f t="shared" ref="B4484:B4485" si="3210">IF(K4484=0,"hide","")</f>
        <v>hide</v>
      </c>
      <c r="D4484" s="61" t="str">
        <f>"71505"</f>
        <v>71505</v>
      </c>
      <c r="E4484" s="62" t="str">
        <f>"1"</f>
        <v>1</v>
      </c>
      <c r="F4484" s="63">
        <v>0</v>
      </c>
      <c r="G4484" s="63">
        <v>0</v>
      </c>
      <c r="H4484" s="63">
        <v>0</v>
      </c>
      <c r="I4484" s="63">
        <v>0</v>
      </c>
      <c r="J4484" s="63">
        <v>0</v>
      </c>
      <c r="K4484" s="63">
        <f>AVERAGE(I4484:J4484)</f>
        <v>0</v>
      </c>
      <c r="L4484" s="64" t="str">
        <f>"Corn Muffin TOPS"</f>
        <v>Corn Muffin TOPS</v>
      </c>
      <c r="M4484" s="65" t="str">
        <f>"40-2oz. IW 8 packs of 5"</f>
        <v>40-2oz. IW 8 packs of 5</v>
      </c>
      <c r="N4484" s="66">
        <v>40</v>
      </c>
      <c r="O4484" s="67" t="str">
        <f>""</f>
        <v/>
      </c>
      <c r="P4484" s="68" t="e">
        <f>1/O4484</f>
        <v>#VALUE!</v>
      </c>
      <c r="Q4484" s="53">
        <v>1</v>
      </c>
      <c r="R4484" s="69">
        <f t="shared" ref="R4484" si="3211">1/Q4484</f>
        <v>1</v>
      </c>
      <c r="S4484" s="70">
        <f t="shared" ref="S4484" si="3212">R4484*N4484</f>
        <v>40</v>
      </c>
    </row>
    <row r="4485" spans="1:19" ht="15.6" hidden="1" customHeight="1" thickBot="1" x14ac:dyDescent="0.3">
      <c r="A4485" t="s">
        <v>23</v>
      </c>
      <c r="B4485" s="60" t="str">
        <f t="shared" si="3210"/>
        <v>hide</v>
      </c>
      <c r="D4485" s="48" t="str">
        <f>D4484</f>
        <v>71505</v>
      </c>
      <c r="E4485" s="7"/>
      <c r="F4485" s="27">
        <v>0</v>
      </c>
      <c r="G4485" s="27">
        <v>0</v>
      </c>
      <c r="H4485" s="27">
        <v>0</v>
      </c>
      <c r="I4485" s="27">
        <v>0</v>
      </c>
      <c r="J4485" s="27">
        <v>0</v>
      </c>
      <c r="K4485" s="63">
        <f>AVERAGE(I4485:J4485)</f>
        <v>0</v>
      </c>
      <c r="L4485" s="56" t="str">
        <f>"EQP-LAWPACK1"</f>
        <v>EQP-LAWPACK1</v>
      </c>
      <c r="M4485" s="14"/>
      <c r="N4485" s="15"/>
      <c r="O4485" s="12"/>
      <c r="P4485" s="34"/>
      <c r="Q4485" s="37"/>
      <c r="R4485" s="47"/>
      <c r="S4485" s="46"/>
    </row>
    <row r="4486" spans="1:19" ht="15.6" hidden="1" customHeight="1" thickBot="1" x14ac:dyDescent="0.3">
      <c r="A4486" t="s">
        <v>23</v>
      </c>
      <c r="B4486" s="60" t="str">
        <f t="shared" ref="B4486:B4488" si="3213">IF(K4486=0,"hide","")</f>
        <v>hide</v>
      </c>
      <c r="D4486" s="48" t="str">
        <f>D4485</f>
        <v>71505</v>
      </c>
      <c r="E4486" s="7"/>
      <c r="F4486" s="27">
        <v>0</v>
      </c>
      <c r="G4486" s="27">
        <v>0</v>
      </c>
      <c r="H4486" s="27">
        <v>0</v>
      </c>
      <c r="I4486" s="27">
        <v>0</v>
      </c>
      <c r="J4486" s="27">
        <v>0</v>
      </c>
      <c r="K4486" s="63">
        <f>AVERAGE(I4486:J4486)</f>
        <v>0</v>
      </c>
      <c r="L4486" s="56" t="str">
        <f>"EQP-LAWPACK2"</f>
        <v>EQP-LAWPACK2</v>
      </c>
      <c r="M4486" s="14"/>
      <c r="N4486" s="15"/>
      <c r="O4486" s="12"/>
      <c r="P4486" s="34"/>
      <c r="Q4486" s="37"/>
      <c r="R4486" s="47"/>
      <c r="S4486" s="46"/>
    </row>
    <row r="4487" spans="1:19" ht="15.6" hidden="1" customHeight="1" thickBot="1" x14ac:dyDescent="0.3">
      <c r="A4487" t="s">
        <v>23</v>
      </c>
      <c r="B4487" s="60" t="str">
        <f t="shared" si="3213"/>
        <v>hide</v>
      </c>
      <c r="D4487" s="48" t="str">
        <f>D4486</f>
        <v>71505</v>
      </c>
      <c r="E4487" s="7"/>
      <c r="F4487" s="27">
        <v>0</v>
      </c>
      <c r="G4487" s="27">
        <v>0</v>
      </c>
      <c r="H4487" s="27">
        <v>0</v>
      </c>
      <c r="I4487" s="27">
        <v>0</v>
      </c>
      <c r="J4487" s="27">
        <v>0</v>
      </c>
      <c r="K4487" s="63">
        <f>AVERAGE(I4487:J4487)</f>
        <v>0</v>
      </c>
      <c r="L4487" s="56" t="str">
        <f>"SW-COMAS-PACKL"</f>
        <v>SW-COMAS-PACKL</v>
      </c>
      <c r="M4487" s="14"/>
      <c r="N4487" s="15"/>
      <c r="O4487" s="12"/>
      <c r="P4487" s="34"/>
      <c r="Q4487" s="37"/>
      <c r="R4487" s="47"/>
      <c r="S4487" s="46"/>
    </row>
    <row r="4488" spans="1:19" ht="15.6" hidden="1" customHeight="1" thickBot="1" x14ac:dyDescent="0.3">
      <c r="A4488" t="s">
        <v>23</v>
      </c>
      <c r="B4488" s="60" t="str">
        <f t="shared" si="3213"/>
        <v>hide</v>
      </c>
      <c r="D4488" s="48" t="str">
        <f>D4487</f>
        <v>71505</v>
      </c>
      <c r="E4488" s="7"/>
      <c r="F4488" s="27">
        <v>0</v>
      </c>
      <c r="G4488" s="27">
        <v>0</v>
      </c>
      <c r="H4488" s="27">
        <v>0</v>
      </c>
      <c r="I4488" s="27">
        <v>0</v>
      </c>
      <c r="J4488" s="27">
        <v>0</v>
      </c>
      <c r="K4488" s="63">
        <f>AVERAGE(I4488:J4488)</f>
        <v>0</v>
      </c>
      <c r="L4488" s="56" t="str">
        <f>"SW-RISER-PACK"</f>
        <v>SW-RISER-PACK</v>
      </c>
      <c r="M4488" s="14"/>
      <c r="N4488" s="15"/>
      <c r="O4488" s="12"/>
      <c r="P4488" s="34"/>
      <c r="Q4488" s="37"/>
      <c r="R4488" s="47"/>
      <c r="S4488" s="46"/>
    </row>
    <row r="4489" spans="1:19" ht="12" hidden="1" customHeight="1" x14ac:dyDescent="0.3">
      <c r="A4489" s="35" t="s">
        <v>908</v>
      </c>
      <c r="B4489" s="49" t="str">
        <f>B4485</f>
        <v>hide</v>
      </c>
      <c r="N4489"/>
      <c r="Q4489" s="33"/>
    </row>
    <row r="4490" spans="1:19" ht="13.8" hidden="1" thickBot="1" x14ac:dyDescent="0.3">
      <c r="A4490" t="s">
        <v>23</v>
      </c>
      <c r="B4490" s="49" t="str">
        <f t="shared" ref="B4490" si="3214">B4489</f>
        <v>hide</v>
      </c>
      <c r="D4490" s="58"/>
      <c r="E4490" s="58"/>
      <c r="F4490" s="52">
        <f>SUM(F4485:F4489)</f>
        <v>0</v>
      </c>
      <c r="G4490" s="52">
        <f>SUM(G4485:G4489)</f>
        <v>0</v>
      </c>
      <c r="H4490" s="52">
        <f>SUM(H4485:H4489)</f>
        <v>0</v>
      </c>
      <c r="I4490" s="52">
        <f>SUM(I4485:I4489)</f>
        <v>0</v>
      </c>
      <c r="J4490" s="52">
        <f>SUM(J4485:J4489)</f>
        <v>0</v>
      </c>
      <c r="K4490" s="52"/>
      <c r="L4490" s="51" t="s">
        <v>4</v>
      </c>
      <c r="M4490" s="58"/>
      <c r="N4490" s="58"/>
      <c r="O4490" s="58"/>
      <c r="P4490" s="58"/>
      <c r="Q4490" s="58"/>
      <c r="R4490" s="58"/>
      <c r="S4490" s="58"/>
    </row>
    <row r="4491" spans="1:19" s="59" customFormat="1" ht="18.75" hidden="1" customHeight="1" thickBot="1" x14ac:dyDescent="0.3">
      <c r="A4491" s="59" t="s">
        <v>23</v>
      </c>
      <c r="B4491" s="60" t="str">
        <f t="shared" ref="B4491:B4492" si="3215">IF(K4491=0,"hide","")</f>
        <v>hide</v>
      </c>
      <c r="D4491" s="61" t="str">
        <f>"71510"</f>
        <v>71510</v>
      </c>
      <c r="E4491" s="62" t="str">
        <f>"1"</f>
        <v>1</v>
      </c>
      <c r="F4491" s="63">
        <v>0</v>
      </c>
      <c r="G4491" s="63">
        <v>0</v>
      </c>
      <c r="H4491" s="63">
        <v>0</v>
      </c>
      <c r="I4491" s="63">
        <v>0</v>
      </c>
      <c r="J4491" s="63">
        <v>0</v>
      </c>
      <c r="K4491" s="63">
        <f>AVERAGE(I4491:J4491)</f>
        <v>0</v>
      </c>
      <c r="L4491" s="64" t="str">
        <f>"Chocolate Chip Muffin TOPS"</f>
        <v>Chocolate Chip Muffin TOPS</v>
      </c>
      <c r="M4491" s="65" t="str">
        <f>"40-2oz. IW 8 packs of 5"</f>
        <v>40-2oz. IW 8 packs of 5</v>
      </c>
      <c r="N4491" s="66">
        <v>40</v>
      </c>
      <c r="O4491" s="67" t="str">
        <f>""</f>
        <v/>
      </c>
      <c r="P4491" s="68" t="e">
        <f>1/O4491</f>
        <v>#VALUE!</v>
      </c>
      <c r="Q4491" s="53">
        <v>1</v>
      </c>
      <c r="R4491" s="69">
        <f t="shared" ref="R4491" si="3216">1/Q4491</f>
        <v>1</v>
      </c>
      <c r="S4491" s="70">
        <f t="shared" ref="S4491" si="3217">R4491*N4491</f>
        <v>40</v>
      </c>
    </row>
    <row r="4492" spans="1:19" ht="15.6" hidden="1" customHeight="1" thickBot="1" x14ac:dyDescent="0.3">
      <c r="A4492" t="s">
        <v>23</v>
      </c>
      <c r="B4492" s="60" t="str">
        <f t="shared" si="3215"/>
        <v>hide</v>
      </c>
      <c r="D4492" s="48" t="str">
        <f>D4491</f>
        <v>71510</v>
      </c>
      <c r="E4492" s="7"/>
      <c r="F4492" s="27">
        <v>0</v>
      </c>
      <c r="G4492" s="27">
        <v>0</v>
      </c>
      <c r="H4492" s="27">
        <v>0</v>
      </c>
      <c r="I4492" s="27">
        <v>0</v>
      </c>
      <c r="J4492" s="27">
        <v>0</v>
      </c>
      <c r="K4492" s="63">
        <f>AVERAGE(I4492:J4492)</f>
        <v>0</v>
      </c>
      <c r="L4492" s="56" t="str">
        <f>"EQP-LAWPACK1"</f>
        <v>EQP-LAWPACK1</v>
      </c>
      <c r="M4492" s="14"/>
      <c r="N4492" s="15"/>
      <c r="O4492" s="12"/>
      <c r="P4492" s="34"/>
      <c r="Q4492" s="37"/>
      <c r="R4492" s="47"/>
      <c r="S4492" s="46"/>
    </row>
    <row r="4493" spans="1:19" ht="15.6" hidden="1" customHeight="1" thickBot="1" x14ac:dyDescent="0.3">
      <c r="A4493" t="s">
        <v>23</v>
      </c>
      <c r="B4493" s="60" t="str">
        <f t="shared" ref="B4493:B4495" si="3218">IF(K4493=0,"hide","")</f>
        <v>hide</v>
      </c>
      <c r="D4493" s="48" t="str">
        <f>D4492</f>
        <v>71510</v>
      </c>
      <c r="E4493" s="7"/>
      <c r="F4493" s="27">
        <v>0</v>
      </c>
      <c r="G4493" s="27">
        <v>0</v>
      </c>
      <c r="H4493" s="27">
        <v>0</v>
      </c>
      <c r="I4493" s="27">
        <v>0</v>
      </c>
      <c r="J4493" s="27">
        <v>0</v>
      </c>
      <c r="K4493" s="63">
        <f>AVERAGE(I4493:J4493)</f>
        <v>0</v>
      </c>
      <c r="L4493" s="56" t="str">
        <f>"EQP-LAWPACK2"</f>
        <v>EQP-LAWPACK2</v>
      </c>
      <c r="M4493" s="14"/>
      <c r="N4493" s="15"/>
      <c r="O4493" s="12"/>
      <c r="P4493" s="34"/>
      <c r="Q4493" s="37"/>
      <c r="R4493" s="47"/>
      <c r="S4493" s="46"/>
    </row>
    <row r="4494" spans="1:19" ht="15.6" hidden="1" customHeight="1" thickBot="1" x14ac:dyDescent="0.3">
      <c r="A4494" t="s">
        <v>23</v>
      </c>
      <c r="B4494" s="60" t="str">
        <f t="shared" si="3218"/>
        <v>hide</v>
      </c>
      <c r="D4494" s="48" t="str">
        <f>D4493</f>
        <v>71510</v>
      </c>
      <c r="E4494" s="7"/>
      <c r="F4494" s="27">
        <v>0</v>
      </c>
      <c r="G4494" s="27">
        <v>0</v>
      </c>
      <c r="H4494" s="27">
        <v>0</v>
      </c>
      <c r="I4494" s="27">
        <v>0</v>
      </c>
      <c r="J4494" s="27">
        <v>0</v>
      </c>
      <c r="K4494" s="63">
        <f>AVERAGE(I4494:J4494)</f>
        <v>0</v>
      </c>
      <c r="L4494" s="56" t="str">
        <f>"SW-COMAS-PACKL"</f>
        <v>SW-COMAS-PACKL</v>
      </c>
      <c r="M4494" s="14"/>
      <c r="N4494" s="15"/>
      <c r="O4494" s="12"/>
      <c r="P4494" s="34"/>
      <c r="Q4494" s="37"/>
      <c r="R4494" s="47"/>
      <c r="S4494" s="46"/>
    </row>
    <row r="4495" spans="1:19" ht="15.6" hidden="1" customHeight="1" thickBot="1" x14ac:dyDescent="0.3">
      <c r="A4495" t="s">
        <v>23</v>
      </c>
      <c r="B4495" s="60" t="str">
        <f t="shared" si="3218"/>
        <v>hide</v>
      </c>
      <c r="D4495" s="48" t="str">
        <f>D4494</f>
        <v>71510</v>
      </c>
      <c r="E4495" s="7"/>
      <c r="F4495" s="27">
        <v>0</v>
      </c>
      <c r="G4495" s="27">
        <v>0</v>
      </c>
      <c r="H4495" s="27">
        <v>0</v>
      </c>
      <c r="I4495" s="27">
        <v>0</v>
      </c>
      <c r="J4495" s="27">
        <v>0</v>
      </c>
      <c r="K4495" s="63">
        <f>AVERAGE(I4495:J4495)</f>
        <v>0</v>
      </c>
      <c r="L4495" s="56" t="str">
        <f>"SW-RISER-PACK"</f>
        <v>SW-RISER-PACK</v>
      </c>
      <c r="M4495" s="14"/>
      <c r="N4495" s="15"/>
      <c r="O4495" s="12"/>
      <c r="P4495" s="34"/>
      <c r="Q4495" s="37"/>
      <c r="R4495" s="47"/>
      <c r="S4495" s="46"/>
    </row>
    <row r="4496" spans="1:19" ht="12" hidden="1" customHeight="1" x14ac:dyDescent="0.3">
      <c r="A4496" s="35" t="s">
        <v>908</v>
      </c>
      <c r="B4496" s="49" t="str">
        <f>B4492</f>
        <v>hide</v>
      </c>
      <c r="N4496"/>
      <c r="Q4496" s="33"/>
    </row>
    <row r="4497" spans="1:19" ht="13.8" hidden="1" thickBot="1" x14ac:dyDescent="0.3">
      <c r="A4497" t="s">
        <v>23</v>
      </c>
      <c r="B4497" s="49" t="str">
        <f t="shared" ref="B4497" si="3219">B4496</f>
        <v>hide</v>
      </c>
      <c r="D4497" s="58"/>
      <c r="E4497" s="58"/>
      <c r="F4497" s="52">
        <f>SUM(F4492:F4496)</f>
        <v>0</v>
      </c>
      <c r="G4497" s="52">
        <f>SUM(G4492:G4496)</f>
        <v>0</v>
      </c>
      <c r="H4497" s="52">
        <f>SUM(H4492:H4496)</f>
        <v>0</v>
      </c>
      <c r="I4497" s="52">
        <f>SUM(I4492:I4496)</f>
        <v>0</v>
      </c>
      <c r="J4497" s="52">
        <f>SUM(J4492:J4496)</f>
        <v>0</v>
      </c>
      <c r="K4497" s="52"/>
      <c r="L4497" s="51" t="s">
        <v>4</v>
      </c>
      <c r="M4497" s="58"/>
      <c r="N4497" s="58"/>
      <c r="O4497" s="58"/>
      <c r="P4497" s="58"/>
      <c r="Q4497" s="58"/>
      <c r="R4497" s="58"/>
      <c r="S4497" s="58"/>
    </row>
    <row r="4498" spans="1:19" s="59" customFormat="1" ht="18.75" hidden="1" customHeight="1" thickBot="1" x14ac:dyDescent="0.3">
      <c r="A4498" s="59" t="s">
        <v>23</v>
      </c>
      <c r="B4498" s="60" t="str">
        <f t="shared" ref="B4498:B4499" si="3220">IF(K4498=0,"hide","")</f>
        <v>hide</v>
      </c>
      <c r="D4498" s="61" t="str">
        <f>"731701"</f>
        <v>731701</v>
      </c>
      <c r="E4498" s="62" t="str">
        <f>"3"</f>
        <v>3</v>
      </c>
      <c r="F4498" s="63">
        <v>0</v>
      </c>
      <c r="G4498" s="63">
        <v>0</v>
      </c>
      <c r="H4498" s="63">
        <v>0</v>
      </c>
      <c r="I4498" s="63">
        <v>0</v>
      </c>
      <c r="J4498" s="63">
        <v>0</v>
      </c>
      <c r="K4498" s="63">
        <f>AVERAGE(I4498:J4498)</f>
        <v>0</v>
      </c>
      <c r="L4498" s="64" t="str">
        <f>"BLUEBERRY MUFFIN ""Gluten Free"""</f>
        <v>BLUEBERRY MUFFIN "Gluten Free"</v>
      </c>
      <c r="M4498" s="65" t="str">
        <f>"96-2.5 oz. 16 packs of 6"</f>
        <v>96-2.5 oz. 16 packs of 6</v>
      </c>
      <c r="N4498" s="66">
        <v>96</v>
      </c>
      <c r="O4498" s="67" t="str">
        <f>""</f>
        <v/>
      </c>
      <c r="P4498" s="68" t="e">
        <f>1/O4498</f>
        <v>#VALUE!</v>
      </c>
      <c r="Q4498" s="53">
        <v>1</v>
      </c>
      <c r="R4498" s="69">
        <f t="shared" ref="R4498" si="3221">1/Q4498</f>
        <v>1</v>
      </c>
      <c r="S4498" s="70">
        <f t="shared" ref="S4498" si="3222">R4498*N4498</f>
        <v>96</v>
      </c>
    </row>
    <row r="4499" spans="1:19" ht="15.6" hidden="1" customHeight="1" thickBot="1" x14ac:dyDescent="0.3">
      <c r="A4499" t="s">
        <v>23</v>
      </c>
      <c r="B4499" s="60" t="str">
        <f t="shared" si="3220"/>
        <v>hide</v>
      </c>
      <c r="D4499" s="48" t="str">
        <f>D4498</f>
        <v>731701</v>
      </c>
      <c r="E4499" s="7"/>
      <c r="F4499" s="27">
        <v>0</v>
      </c>
      <c r="G4499" s="27">
        <v>0</v>
      </c>
      <c r="H4499" s="27">
        <v>0</v>
      </c>
      <c r="I4499" s="27">
        <v>0</v>
      </c>
      <c r="J4499" s="27">
        <v>0</v>
      </c>
      <c r="K4499" s="63">
        <f>AVERAGE(I4499:J4499)</f>
        <v>0</v>
      </c>
      <c r="L4499" s="56" t="str">
        <f>"EQP-LAWPACK1"</f>
        <v>EQP-LAWPACK1</v>
      </c>
      <c r="M4499" s="14"/>
      <c r="N4499" s="15"/>
      <c r="O4499" s="12"/>
      <c r="P4499" s="34"/>
      <c r="Q4499" s="37"/>
      <c r="R4499" s="47"/>
      <c r="S4499" s="46"/>
    </row>
    <row r="4500" spans="1:19" ht="15.6" hidden="1" customHeight="1" thickBot="1" x14ac:dyDescent="0.3">
      <c r="A4500" t="s">
        <v>23</v>
      </c>
      <c r="B4500" s="60" t="str">
        <f t="shared" ref="B4500:B4502" si="3223">IF(K4500=0,"hide","")</f>
        <v>hide</v>
      </c>
      <c r="D4500" s="48" t="str">
        <f>D4499</f>
        <v>731701</v>
      </c>
      <c r="E4500" s="7"/>
      <c r="F4500" s="27">
        <v>0</v>
      </c>
      <c r="G4500" s="27">
        <v>0</v>
      </c>
      <c r="H4500" s="27">
        <v>0</v>
      </c>
      <c r="I4500" s="27">
        <v>0</v>
      </c>
      <c r="J4500" s="27">
        <v>0</v>
      </c>
      <c r="K4500" s="63">
        <f>AVERAGE(I4500:J4500)</f>
        <v>0</v>
      </c>
      <c r="L4500" s="56" t="str">
        <f>"EQP-LAWPACK2"</f>
        <v>EQP-LAWPACK2</v>
      </c>
      <c r="M4500" s="14"/>
      <c r="N4500" s="15"/>
      <c r="O4500" s="12"/>
      <c r="P4500" s="34"/>
      <c r="Q4500" s="37"/>
      <c r="R4500" s="47"/>
      <c r="S4500" s="46"/>
    </row>
    <row r="4501" spans="1:19" ht="15.6" hidden="1" customHeight="1" thickBot="1" x14ac:dyDescent="0.3">
      <c r="A4501" t="s">
        <v>23</v>
      </c>
      <c r="B4501" s="60" t="str">
        <f t="shared" si="3223"/>
        <v>hide</v>
      </c>
      <c r="D4501" s="48" t="str">
        <f>D4500</f>
        <v>731701</v>
      </c>
      <c r="E4501" s="7"/>
      <c r="F4501" s="27">
        <v>0</v>
      </c>
      <c r="G4501" s="27">
        <v>0</v>
      </c>
      <c r="H4501" s="27">
        <v>0</v>
      </c>
      <c r="I4501" s="27">
        <v>0</v>
      </c>
      <c r="J4501" s="27">
        <v>0</v>
      </c>
      <c r="K4501" s="63">
        <f>AVERAGE(I4501:J4501)</f>
        <v>0</v>
      </c>
      <c r="L4501" s="56" t="str">
        <f>"SW-COMAS-PACKL"</f>
        <v>SW-COMAS-PACKL</v>
      </c>
      <c r="M4501" s="14"/>
      <c r="N4501" s="15"/>
      <c r="O4501" s="12"/>
      <c r="P4501" s="34"/>
      <c r="Q4501" s="37"/>
      <c r="R4501" s="47"/>
      <c r="S4501" s="46"/>
    </row>
    <row r="4502" spans="1:19" ht="15.6" hidden="1" customHeight="1" thickBot="1" x14ac:dyDescent="0.3">
      <c r="A4502" t="s">
        <v>23</v>
      </c>
      <c r="B4502" s="60" t="str">
        <f t="shared" si="3223"/>
        <v>hide</v>
      </c>
      <c r="D4502" s="48" t="str">
        <f>D4501</f>
        <v>731701</v>
      </c>
      <c r="E4502" s="7"/>
      <c r="F4502" s="27">
        <v>0</v>
      </c>
      <c r="G4502" s="27">
        <v>0</v>
      </c>
      <c r="H4502" s="27">
        <v>0</v>
      </c>
      <c r="I4502" s="27">
        <v>0</v>
      </c>
      <c r="J4502" s="27">
        <v>0</v>
      </c>
      <c r="K4502" s="63">
        <f>AVERAGE(I4502:J4502)</f>
        <v>0</v>
      </c>
      <c r="L4502" s="56" t="str">
        <f>"SW-RISER-PACK"</f>
        <v>SW-RISER-PACK</v>
      </c>
      <c r="M4502" s="14"/>
      <c r="N4502" s="15"/>
      <c r="O4502" s="12"/>
      <c r="P4502" s="34"/>
      <c r="Q4502" s="37"/>
      <c r="R4502" s="47"/>
      <c r="S4502" s="46"/>
    </row>
    <row r="4503" spans="1:19" ht="12" hidden="1" customHeight="1" x14ac:dyDescent="0.3">
      <c r="A4503" s="35" t="s">
        <v>908</v>
      </c>
      <c r="B4503" s="49" t="str">
        <f>B4499</f>
        <v>hide</v>
      </c>
      <c r="N4503"/>
      <c r="Q4503" s="33"/>
    </row>
    <row r="4504" spans="1:19" ht="13.8" hidden="1" thickBot="1" x14ac:dyDescent="0.3">
      <c r="A4504" t="s">
        <v>23</v>
      </c>
      <c r="B4504" s="49" t="str">
        <f t="shared" ref="B4504" si="3224">B4503</f>
        <v>hide</v>
      </c>
      <c r="D4504" s="58"/>
      <c r="E4504" s="58"/>
      <c r="F4504" s="52">
        <f>SUM(F4499:F4503)</f>
        <v>0</v>
      </c>
      <c r="G4504" s="52">
        <f>SUM(G4499:G4503)</f>
        <v>0</v>
      </c>
      <c r="H4504" s="52">
        <f>SUM(H4499:H4503)</f>
        <v>0</v>
      </c>
      <c r="I4504" s="52">
        <f>SUM(I4499:I4503)</f>
        <v>0</v>
      </c>
      <c r="J4504" s="52">
        <f>SUM(J4499:J4503)</f>
        <v>0</v>
      </c>
      <c r="K4504" s="52"/>
      <c r="L4504" s="51" t="s">
        <v>4</v>
      </c>
      <c r="M4504" s="58"/>
      <c r="N4504" s="58"/>
      <c r="O4504" s="58"/>
      <c r="P4504" s="58"/>
      <c r="Q4504" s="58"/>
      <c r="R4504" s="58"/>
      <c r="S4504" s="58"/>
    </row>
    <row r="4505" spans="1:19" s="59" customFormat="1" ht="18.75" hidden="1" customHeight="1" thickBot="1" x14ac:dyDescent="0.3">
      <c r="A4505" s="59" t="s">
        <v>23</v>
      </c>
      <c r="B4505" s="60" t="str">
        <f t="shared" ref="B4505:B4506" si="3225">IF(K4505=0,"hide","")</f>
        <v>hide</v>
      </c>
      <c r="D4505" s="61" t="str">
        <f>"731710"</f>
        <v>731710</v>
      </c>
      <c r="E4505" s="62" t="str">
        <f>"2"</f>
        <v>2</v>
      </c>
      <c r="F4505" s="63">
        <v>0</v>
      </c>
      <c r="G4505" s="63">
        <v>0</v>
      </c>
      <c r="H4505" s="63">
        <v>0</v>
      </c>
      <c r="I4505" s="63">
        <v>0</v>
      </c>
      <c r="J4505" s="63">
        <v>0</v>
      </c>
      <c r="K4505" s="63">
        <f>AVERAGE(I4505:J4505)</f>
        <v>0</v>
      </c>
      <c r="L4505" s="64" t="str">
        <f>"CHOC CHIP MUFFIN ""Gluten Free"""</f>
        <v>CHOC CHIP MUFFIN "Gluten Free"</v>
      </c>
      <c r="M4505" s="65" t="str">
        <f>"96-2.5 oz. 16 packs of 6"</f>
        <v>96-2.5 oz. 16 packs of 6</v>
      </c>
      <c r="N4505" s="66">
        <v>96</v>
      </c>
      <c r="O4505" s="67" t="str">
        <f>""</f>
        <v/>
      </c>
      <c r="P4505" s="68" t="e">
        <f>1/O4505</f>
        <v>#VALUE!</v>
      </c>
      <c r="Q4505" s="53">
        <v>1</v>
      </c>
      <c r="R4505" s="69">
        <f t="shared" ref="R4505" si="3226">1/Q4505</f>
        <v>1</v>
      </c>
      <c r="S4505" s="70">
        <f t="shared" ref="S4505" si="3227">R4505*N4505</f>
        <v>96</v>
      </c>
    </row>
    <row r="4506" spans="1:19" ht="15.6" hidden="1" customHeight="1" thickBot="1" x14ac:dyDescent="0.3">
      <c r="A4506" t="s">
        <v>23</v>
      </c>
      <c r="B4506" s="60" t="str">
        <f t="shared" si="3225"/>
        <v>hide</v>
      </c>
      <c r="D4506" s="48" t="str">
        <f>D4505</f>
        <v>731710</v>
      </c>
      <c r="E4506" s="7"/>
      <c r="F4506" s="27">
        <v>0</v>
      </c>
      <c r="G4506" s="27">
        <v>0</v>
      </c>
      <c r="H4506" s="27">
        <v>0</v>
      </c>
      <c r="I4506" s="27">
        <v>0</v>
      </c>
      <c r="J4506" s="27">
        <v>0</v>
      </c>
      <c r="K4506" s="63">
        <f>AVERAGE(I4506:J4506)</f>
        <v>0</v>
      </c>
      <c r="L4506" s="56" t="str">
        <f>"EQP-LAWPACK1"</f>
        <v>EQP-LAWPACK1</v>
      </c>
      <c r="M4506" s="14"/>
      <c r="N4506" s="15"/>
      <c r="O4506" s="12"/>
      <c r="P4506" s="34"/>
      <c r="Q4506" s="37"/>
      <c r="R4506" s="47"/>
      <c r="S4506" s="46"/>
    </row>
    <row r="4507" spans="1:19" ht="15.6" hidden="1" customHeight="1" thickBot="1" x14ac:dyDescent="0.3">
      <c r="A4507" t="s">
        <v>23</v>
      </c>
      <c r="B4507" s="60" t="str">
        <f t="shared" ref="B4507:B4509" si="3228">IF(K4507=0,"hide","")</f>
        <v>hide</v>
      </c>
      <c r="D4507" s="48" t="str">
        <f>D4506</f>
        <v>731710</v>
      </c>
      <c r="E4507" s="7"/>
      <c r="F4507" s="27">
        <v>0</v>
      </c>
      <c r="G4507" s="27">
        <v>0</v>
      </c>
      <c r="H4507" s="27">
        <v>0</v>
      </c>
      <c r="I4507" s="27">
        <v>0</v>
      </c>
      <c r="J4507" s="27">
        <v>0</v>
      </c>
      <c r="K4507" s="63">
        <f>AVERAGE(I4507:J4507)</f>
        <v>0</v>
      </c>
      <c r="L4507" s="56" t="str">
        <f>"EQP-LAWPACK2"</f>
        <v>EQP-LAWPACK2</v>
      </c>
      <c r="M4507" s="14"/>
      <c r="N4507" s="15"/>
      <c r="O4507" s="12"/>
      <c r="P4507" s="34"/>
      <c r="Q4507" s="37"/>
      <c r="R4507" s="47"/>
      <c r="S4507" s="46"/>
    </row>
    <row r="4508" spans="1:19" ht="15.6" hidden="1" customHeight="1" thickBot="1" x14ac:dyDescent="0.3">
      <c r="A4508" t="s">
        <v>23</v>
      </c>
      <c r="B4508" s="60" t="str">
        <f t="shared" si="3228"/>
        <v>hide</v>
      </c>
      <c r="D4508" s="48" t="str">
        <f>D4507</f>
        <v>731710</v>
      </c>
      <c r="E4508" s="7"/>
      <c r="F4508" s="27">
        <v>0</v>
      </c>
      <c r="G4508" s="27">
        <v>0</v>
      </c>
      <c r="H4508" s="27">
        <v>0</v>
      </c>
      <c r="I4508" s="27">
        <v>0</v>
      </c>
      <c r="J4508" s="27">
        <v>0</v>
      </c>
      <c r="K4508" s="63">
        <f>AVERAGE(I4508:J4508)</f>
        <v>0</v>
      </c>
      <c r="L4508" s="56" t="str">
        <f>"SW-COMAS-PACKL"</f>
        <v>SW-COMAS-PACKL</v>
      </c>
      <c r="M4508" s="14"/>
      <c r="N4508" s="15"/>
      <c r="O4508" s="12"/>
      <c r="P4508" s="34"/>
      <c r="Q4508" s="37"/>
      <c r="R4508" s="47"/>
      <c r="S4508" s="46"/>
    </row>
    <row r="4509" spans="1:19" ht="15.6" hidden="1" customHeight="1" thickBot="1" x14ac:dyDescent="0.3">
      <c r="A4509" t="s">
        <v>23</v>
      </c>
      <c r="B4509" s="60" t="str">
        <f t="shared" si="3228"/>
        <v>hide</v>
      </c>
      <c r="D4509" s="48" t="str">
        <f>D4508</f>
        <v>731710</v>
      </c>
      <c r="E4509" s="7"/>
      <c r="F4509" s="27">
        <v>0</v>
      </c>
      <c r="G4509" s="27">
        <v>0</v>
      </c>
      <c r="H4509" s="27">
        <v>0</v>
      </c>
      <c r="I4509" s="27">
        <v>0</v>
      </c>
      <c r="J4509" s="27">
        <v>0</v>
      </c>
      <c r="K4509" s="63">
        <f>AVERAGE(I4509:J4509)</f>
        <v>0</v>
      </c>
      <c r="L4509" s="56" t="str">
        <f>"SW-RISER-PACK"</f>
        <v>SW-RISER-PACK</v>
      </c>
      <c r="M4509" s="14"/>
      <c r="N4509" s="15"/>
      <c r="O4509" s="12"/>
      <c r="P4509" s="34"/>
      <c r="Q4509" s="37"/>
      <c r="R4509" s="47"/>
      <c r="S4509" s="46"/>
    </row>
    <row r="4510" spans="1:19" ht="12" hidden="1" customHeight="1" x14ac:dyDescent="0.3">
      <c r="A4510" s="35" t="s">
        <v>908</v>
      </c>
      <c r="B4510" s="49" t="str">
        <f>B4506</f>
        <v>hide</v>
      </c>
      <c r="N4510"/>
      <c r="Q4510" s="33"/>
    </row>
    <row r="4511" spans="1:19" ht="13.8" hidden="1" thickBot="1" x14ac:dyDescent="0.3">
      <c r="A4511" t="s">
        <v>23</v>
      </c>
      <c r="B4511" s="49" t="str">
        <f t="shared" ref="B4511" si="3229">B4510</f>
        <v>hide</v>
      </c>
      <c r="D4511" s="58"/>
      <c r="E4511" s="58"/>
      <c r="F4511" s="52">
        <f>SUM(F4506:F4510)</f>
        <v>0</v>
      </c>
      <c r="G4511" s="52">
        <f>SUM(G4506:G4510)</f>
        <v>0</v>
      </c>
      <c r="H4511" s="52">
        <f>SUM(H4506:H4510)</f>
        <v>0</v>
      </c>
      <c r="I4511" s="52">
        <f>SUM(I4506:I4510)</f>
        <v>0</v>
      </c>
      <c r="J4511" s="52">
        <f>SUM(J4506:J4510)</f>
        <v>0</v>
      </c>
      <c r="K4511" s="52"/>
      <c r="L4511" s="51" t="s">
        <v>4</v>
      </c>
      <c r="M4511" s="58"/>
      <c r="N4511" s="58"/>
      <c r="O4511" s="58"/>
      <c r="P4511" s="58"/>
      <c r="Q4511" s="58"/>
      <c r="R4511" s="58"/>
      <c r="S4511" s="58"/>
    </row>
    <row r="4512" spans="1:19" s="59" customFormat="1" ht="18.75" hidden="1" customHeight="1" thickBot="1" x14ac:dyDescent="0.3">
      <c r="A4512" s="59" t="s">
        <v>23</v>
      </c>
      <c r="B4512" s="60" t="str">
        <f t="shared" ref="B4512:B4513" si="3230">IF(K4512=0,"hide","")</f>
        <v>hide</v>
      </c>
      <c r="D4512" s="61" t="str">
        <f>"733701"</f>
        <v>733701</v>
      </c>
      <c r="E4512" s="62" t="str">
        <f>"4"</f>
        <v>4</v>
      </c>
      <c r="F4512" s="63">
        <v>0</v>
      </c>
      <c r="G4512" s="63">
        <v>0</v>
      </c>
      <c r="H4512" s="63">
        <v>0</v>
      </c>
      <c r="I4512" s="63">
        <v>0</v>
      </c>
      <c r="J4512" s="63">
        <v>0</v>
      </c>
      <c r="K4512" s="63">
        <f>AVERAGE(I4512:J4512)</f>
        <v>0</v>
      </c>
      <c r="L4512" s="64" t="str">
        <f>"BLUEBERRY LOAVES ""Gluten Free"""</f>
        <v>BLUEBERRY LOAVES "Gluten Free"</v>
      </c>
      <c r="M4512" s="65" t="str">
        <f>"96-2oz. 8oz. packs of 4"</f>
        <v>96-2oz. 8oz. packs of 4</v>
      </c>
      <c r="N4512" s="66">
        <v>96</v>
      </c>
      <c r="O4512" s="67" t="str">
        <f>""</f>
        <v/>
      </c>
      <c r="P4512" s="68" t="e">
        <f>1/O4512</f>
        <v>#VALUE!</v>
      </c>
      <c r="Q4512" s="53">
        <v>1</v>
      </c>
      <c r="R4512" s="69">
        <f t="shared" ref="R4512" si="3231">1/Q4512</f>
        <v>1</v>
      </c>
      <c r="S4512" s="70">
        <f t="shared" ref="S4512" si="3232">R4512*N4512</f>
        <v>96</v>
      </c>
    </row>
    <row r="4513" spans="1:19" ht="15.6" hidden="1" customHeight="1" thickBot="1" x14ac:dyDescent="0.3">
      <c r="A4513" t="s">
        <v>23</v>
      </c>
      <c r="B4513" s="60" t="str">
        <f t="shared" si="3230"/>
        <v>hide</v>
      </c>
      <c r="D4513" s="48" t="str">
        <f>D4512</f>
        <v>733701</v>
      </c>
      <c r="E4513" s="7"/>
      <c r="F4513" s="27">
        <v>0</v>
      </c>
      <c r="G4513" s="27">
        <v>0</v>
      </c>
      <c r="H4513" s="27">
        <v>0</v>
      </c>
      <c r="I4513" s="27">
        <v>0</v>
      </c>
      <c r="J4513" s="27">
        <v>0</v>
      </c>
      <c r="K4513" s="63">
        <f>AVERAGE(I4513:J4513)</f>
        <v>0</v>
      </c>
      <c r="L4513" s="56" t="str">
        <f>"EQP-LAWPACK1"</f>
        <v>EQP-LAWPACK1</v>
      </c>
      <c r="M4513" s="14"/>
      <c r="N4513" s="15"/>
      <c r="O4513" s="12"/>
      <c r="P4513" s="34"/>
      <c r="Q4513" s="37"/>
      <c r="R4513" s="47"/>
      <c r="S4513" s="46"/>
    </row>
    <row r="4514" spans="1:19" ht="15.6" hidden="1" customHeight="1" thickBot="1" x14ac:dyDescent="0.3">
      <c r="A4514" t="s">
        <v>23</v>
      </c>
      <c r="B4514" s="60" t="str">
        <f t="shared" ref="B4514:B4516" si="3233">IF(K4514=0,"hide","")</f>
        <v>hide</v>
      </c>
      <c r="D4514" s="48" t="str">
        <f>D4513</f>
        <v>733701</v>
      </c>
      <c r="E4514" s="7"/>
      <c r="F4514" s="27">
        <v>0</v>
      </c>
      <c r="G4514" s="27">
        <v>0</v>
      </c>
      <c r="H4514" s="27">
        <v>0</v>
      </c>
      <c r="I4514" s="27">
        <v>0</v>
      </c>
      <c r="J4514" s="27">
        <v>0</v>
      </c>
      <c r="K4514" s="63">
        <f>AVERAGE(I4514:J4514)</f>
        <v>0</v>
      </c>
      <c r="L4514" s="56" t="str">
        <f>"EQP-LAWPACK2"</f>
        <v>EQP-LAWPACK2</v>
      </c>
      <c r="M4514" s="14"/>
      <c r="N4514" s="15"/>
      <c r="O4514" s="12"/>
      <c r="P4514" s="34"/>
      <c r="Q4514" s="37"/>
      <c r="R4514" s="47"/>
      <c r="S4514" s="46"/>
    </row>
    <row r="4515" spans="1:19" ht="15.6" hidden="1" customHeight="1" thickBot="1" x14ac:dyDescent="0.3">
      <c r="A4515" t="s">
        <v>23</v>
      </c>
      <c r="B4515" s="60" t="str">
        <f t="shared" si="3233"/>
        <v>hide</v>
      </c>
      <c r="D4515" s="48" t="str">
        <f>D4514</f>
        <v>733701</v>
      </c>
      <c r="E4515" s="7"/>
      <c r="F4515" s="27">
        <v>0</v>
      </c>
      <c r="G4515" s="27">
        <v>0</v>
      </c>
      <c r="H4515" s="27">
        <v>0</v>
      </c>
      <c r="I4515" s="27">
        <v>0</v>
      </c>
      <c r="J4515" s="27">
        <v>0</v>
      </c>
      <c r="K4515" s="63">
        <f>AVERAGE(I4515:J4515)</f>
        <v>0</v>
      </c>
      <c r="L4515" s="56" t="str">
        <f>"SW-COMAS-PACKL"</f>
        <v>SW-COMAS-PACKL</v>
      </c>
      <c r="M4515" s="14"/>
      <c r="N4515" s="15"/>
      <c r="O4515" s="12"/>
      <c r="P4515" s="34"/>
      <c r="Q4515" s="37"/>
      <c r="R4515" s="47"/>
      <c r="S4515" s="46"/>
    </row>
    <row r="4516" spans="1:19" ht="15.6" hidden="1" customHeight="1" thickBot="1" x14ac:dyDescent="0.3">
      <c r="A4516" t="s">
        <v>23</v>
      </c>
      <c r="B4516" s="60" t="str">
        <f t="shared" si="3233"/>
        <v>hide</v>
      </c>
      <c r="D4516" s="48" t="str">
        <f>D4515</f>
        <v>733701</v>
      </c>
      <c r="E4516" s="7"/>
      <c r="F4516" s="27">
        <v>0</v>
      </c>
      <c r="G4516" s="27">
        <v>0</v>
      </c>
      <c r="H4516" s="27">
        <v>0</v>
      </c>
      <c r="I4516" s="27">
        <v>0</v>
      </c>
      <c r="J4516" s="27">
        <v>0</v>
      </c>
      <c r="K4516" s="63">
        <f>AVERAGE(I4516:J4516)</f>
        <v>0</v>
      </c>
      <c r="L4516" s="56" t="str">
        <f>"SW-RISER-PACK"</f>
        <v>SW-RISER-PACK</v>
      </c>
      <c r="M4516" s="14"/>
      <c r="N4516" s="15"/>
      <c r="O4516" s="12"/>
      <c r="P4516" s="34"/>
      <c r="Q4516" s="37"/>
      <c r="R4516" s="47"/>
      <c r="S4516" s="46"/>
    </row>
    <row r="4517" spans="1:19" ht="12" hidden="1" customHeight="1" x14ac:dyDescent="0.3">
      <c r="A4517" s="35" t="s">
        <v>908</v>
      </c>
      <c r="B4517" s="49" t="str">
        <f>B4513</f>
        <v>hide</v>
      </c>
      <c r="N4517"/>
      <c r="Q4517" s="33"/>
    </row>
    <row r="4518" spans="1:19" ht="13.8" hidden="1" thickBot="1" x14ac:dyDescent="0.3">
      <c r="A4518" t="s">
        <v>23</v>
      </c>
      <c r="B4518" s="49" t="str">
        <f t="shared" ref="B4518" si="3234">B4517</f>
        <v>hide</v>
      </c>
      <c r="D4518" s="58"/>
      <c r="E4518" s="58"/>
      <c r="F4518" s="52">
        <f>SUM(F4513:F4517)</f>
        <v>0</v>
      </c>
      <c r="G4518" s="52">
        <f>SUM(G4513:G4517)</f>
        <v>0</v>
      </c>
      <c r="H4518" s="52">
        <f>SUM(H4513:H4517)</f>
        <v>0</v>
      </c>
      <c r="I4518" s="52">
        <f>SUM(I4513:I4517)</f>
        <v>0</v>
      </c>
      <c r="J4518" s="52">
        <f>SUM(J4513:J4517)</f>
        <v>0</v>
      </c>
      <c r="K4518" s="52"/>
      <c r="L4518" s="51" t="s">
        <v>4</v>
      </c>
      <c r="M4518" s="58"/>
      <c r="N4518" s="58"/>
      <c r="O4518" s="58"/>
      <c r="P4518" s="58"/>
      <c r="Q4518" s="58"/>
      <c r="R4518" s="58"/>
      <c r="S4518" s="58"/>
    </row>
    <row r="4519" spans="1:19" s="59" customFormat="1" ht="18.75" hidden="1" customHeight="1" thickBot="1" x14ac:dyDescent="0.3">
      <c r="A4519" s="59" t="s">
        <v>23</v>
      </c>
      <c r="B4519" s="60" t="str">
        <f t="shared" ref="B4519:B4520" si="3235">IF(K4519=0,"hide","")</f>
        <v>hide</v>
      </c>
      <c r="D4519" s="61" t="str">
        <f>"733736"</f>
        <v>733736</v>
      </c>
      <c r="E4519" s="62" t="str">
        <f>"2"</f>
        <v>2</v>
      </c>
      <c r="F4519" s="63">
        <v>0</v>
      </c>
      <c r="G4519" s="63">
        <v>0</v>
      </c>
      <c r="H4519" s="63">
        <v>0</v>
      </c>
      <c r="I4519" s="63">
        <v>0</v>
      </c>
      <c r="J4519" s="63">
        <v>0</v>
      </c>
      <c r="K4519" s="63">
        <f>AVERAGE(I4519:J4519)</f>
        <v>0</v>
      </c>
      <c r="L4519" s="64" t="str">
        <f>"COFFEE CAKE LOAF ""Gluten Free"""</f>
        <v>COFFEE CAKE LOAF "Gluten Free"</v>
      </c>
      <c r="M4519" s="65" t="str">
        <f>"96-2oz. 8oz. packs of 4"</f>
        <v>96-2oz. 8oz. packs of 4</v>
      </c>
      <c r="N4519" s="66">
        <v>96</v>
      </c>
      <c r="O4519" s="67" t="str">
        <f>""</f>
        <v/>
      </c>
      <c r="P4519" s="68" t="e">
        <f>1/O4519</f>
        <v>#VALUE!</v>
      </c>
      <c r="Q4519" s="53">
        <v>1</v>
      </c>
      <c r="R4519" s="69">
        <f t="shared" ref="R4519" si="3236">1/Q4519</f>
        <v>1</v>
      </c>
      <c r="S4519" s="70">
        <f t="shared" ref="S4519" si="3237">R4519*N4519</f>
        <v>96</v>
      </c>
    </row>
    <row r="4520" spans="1:19" ht="15.6" hidden="1" customHeight="1" thickBot="1" x14ac:dyDescent="0.3">
      <c r="A4520" t="s">
        <v>23</v>
      </c>
      <c r="B4520" s="60" t="str">
        <f t="shared" si="3235"/>
        <v>hide</v>
      </c>
      <c r="D4520" s="48" t="str">
        <f>D4519</f>
        <v>733736</v>
      </c>
      <c r="E4520" s="7"/>
      <c r="F4520" s="27">
        <v>0</v>
      </c>
      <c r="G4520" s="27">
        <v>0</v>
      </c>
      <c r="H4520" s="27">
        <v>0</v>
      </c>
      <c r="I4520" s="27">
        <v>0</v>
      </c>
      <c r="J4520" s="27">
        <v>0</v>
      </c>
      <c r="K4520" s="63">
        <f>AVERAGE(I4520:J4520)</f>
        <v>0</v>
      </c>
      <c r="L4520" s="56" t="str">
        <f>"EQP-LAWPACK1"</f>
        <v>EQP-LAWPACK1</v>
      </c>
      <c r="M4520" s="14"/>
      <c r="N4520" s="15"/>
      <c r="O4520" s="12"/>
      <c r="P4520" s="34"/>
      <c r="Q4520" s="37"/>
      <c r="R4520" s="47"/>
      <c r="S4520" s="46"/>
    </row>
    <row r="4521" spans="1:19" ht="15.6" hidden="1" customHeight="1" thickBot="1" x14ac:dyDescent="0.3">
      <c r="A4521" t="s">
        <v>23</v>
      </c>
      <c r="B4521" s="60" t="str">
        <f t="shared" ref="B4521:B4523" si="3238">IF(K4521=0,"hide","")</f>
        <v>hide</v>
      </c>
      <c r="D4521" s="48" t="str">
        <f>D4520</f>
        <v>733736</v>
      </c>
      <c r="E4521" s="7"/>
      <c r="F4521" s="27">
        <v>0</v>
      </c>
      <c r="G4521" s="27">
        <v>0</v>
      </c>
      <c r="H4521" s="27">
        <v>0</v>
      </c>
      <c r="I4521" s="27">
        <v>0</v>
      </c>
      <c r="J4521" s="27">
        <v>0</v>
      </c>
      <c r="K4521" s="63">
        <f>AVERAGE(I4521:J4521)</f>
        <v>0</v>
      </c>
      <c r="L4521" s="56" t="str">
        <f>"EQP-LAWPACK2"</f>
        <v>EQP-LAWPACK2</v>
      </c>
      <c r="M4521" s="14"/>
      <c r="N4521" s="15"/>
      <c r="O4521" s="12"/>
      <c r="P4521" s="34"/>
      <c r="Q4521" s="37"/>
      <c r="R4521" s="47"/>
      <c r="S4521" s="46"/>
    </row>
    <row r="4522" spans="1:19" ht="15.6" hidden="1" customHeight="1" thickBot="1" x14ac:dyDescent="0.3">
      <c r="A4522" t="s">
        <v>23</v>
      </c>
      <c r="B4522" s="60" t="str">
        <f t="shared" si="3238"/>
        <v>hide</v>
      </c>
      <c r="D4522" s="48" t="str">
        <f>D4521</f>
        <v>733736</v>
      </c>
      <c r="E4522" s="7"/>
      <c r="F4522" s="27">
        <v>0</v>
      </c>
      <c r="G4522" s="27">
        <v>0</v>
      </c>
      <c r="H4522" s="27">
        <v>0</v>
      </c>
      <c r="I4522" s="27">
        <v>0</v>
      </c>
      <c r="J4522" s="27">
        <v>0</v>
      </c>
      <c r="K4522" s="63">
        <f>AVERAGE(I4522:J4522)</f>
        <v>0</v>
      </c>
      <c r="L4522" s="56" t="str">
        <f>"SW-COMAS-PACKL"</f>
        <v>SW-COMAS-PACKL</v>
      </c>
      <c r="M4522" s="14"/>
      <c r="N4522" s="15"/>
      <c r="O4522" s="12"/>
      <c r="P4522" s="34"/>
      <c r="Q4522" s="37"/>
      <c r="R4522" s="47"/>
      <c r="S4522" s="46"/>
    </row>
    <row r="4523" spans="1:19" ht="15.6" hidden="1" customHeight="1" thickBot="1" x14ac:dyDescent="0.3">
      <c r="A4523" t="s">
        <v>23</v>
      </c>
      <c r="B4523" s="60" t="str">
        <f t="shared" si="3238"/>
        <v>hide</v>
      </c>
      <c r="D4523" s="48" t="str">
        <f>D4522</f>
        <v>733736</v>
      </c>
      <c r="E4523" s="7"/>
      <c r="F4523" s="27">
        <v>0</v>
      </c>
      <c r="G4523" s="27">
        <v>0</v>
      </c>
      <c r="H4523" s="27">
        <v>0</v>
      </c>
      <c r="I4523" s="27">
        <v>0</v>
      </c>
      <c r="J4523" s="27">
        <v>0</v>
      </c>
      <c r="K4523" s="63">
        <f>AVERAGE(I4523:J4523)</f>
        <v>0</v>
      </c>
      <c r="L4523" s="56" t="str">
        <f>"SW-RISER-PACK"</f>
        <v>SW-RISER-PACK</v>
      </c>
      <c r="M4523" s="14"/>
      <c r="N4523" s="15"/>
      <c r="O4523" s="12"/>
      <c r="P4523" s="34"/>
      <c r="Q4523" s="37"/>
      <c r="R4523" s="47"/>
      <c r="S4523" s="46"/>
    </row>
    <row r="4524" spans="1:19" ht="12" hidden="1" customHeight="1" x14ac:dyDescent="0.3">
      <c r="A4524" s="35" t="s">
        <v>908</v>
      </c>
      <c r="B4524" s="49" t="str">
        <f>B4520</f>
        <v>hide</v>
      </c>
      <c r="N4524"/>
      <c r="Q4524" s="33"/>
    </row>
    <row r="4525" spans="1:19" ht="13.8" hidden="1" thickBot="1" x14ac:dyDescent="0.3">
      <c r="A4525" t="s">
        <v>23</v>
      </c>
      <c r="B4525" s="49" t="str">
        <f t="shared" ref="B4525" si="3239">B4524</f>
        <v>hide</v>
      </c>
      <c r="D4525" s="58"/>
      <c r="E4525" s="58"/>
      <c r="F4525" s="52">
        <f>SUM(F4520:F4524)</f>
        <v>0</v>
      </c>
      <c r="G4525" s="52">
        <f>SUM(G4520:G4524)</f>
        <v>0</v>
      </c>
      <c r="H4525" s="52">
        <f>SUM(H4520:H4524)</f>
        <v>0</v>
      </c>
      <c r="I4525" s="52">
        <f>SUM(I4520:I4524)</f>
        <v>0</v>
      </c>
      <c r="J4525" s="52">
        <f>SUM(J4520:J4524)</f>
        <v>0</v>
      </c>
      <c r="K4525" s="52"/>
      <c r="L4525" s="51" t="s">
        <v>4</v>
      </c>
      <c r="M4525" s="58"/>
      <c r="N4525" s="58"/>
      <c r="O4525" s="58"/>
      <c r="P4525" s="58"/>
      <c r="Q4525" s="58"/>
      <c r="R4525" s="58"/>
      <c r="S4525" s="58"/>
    </row>
    <row r="4526" spans="1:19" s="59" customFormat="1" ht="18.75" hidden="1" customHeight="1" thickBot="1" x14ac:dyDescent="0.3">
      <c r="A4526" s="59" t="s">
        <v>23</v>
      </c>
      <c r="B4526" s="60" t="str">
        <f t="shared" ref="B4526:B4527" si="3240">IF(K4526=0,"hide","")</f>
        <v>hide</v>
      </c>
      <c r="D4526" s="61" t="str">
        <f>"73405"</f>
        <v>73405</v>
      </c>
      <c r="E4526" s="62" t="str">
        <f>"3"</f>
        <v>3</v>
      </c>
      <c r="F4526" s="63">
        <v>0</v>
      </c>
      <c r="G4526" s="63">
        <v>0</v>
      </c>
      <c r="H4526" s="63">
        <v>0</v>
      </c>
      <c r="I4526" s="63">
        <v>0</v>
      </c>
      <c r="J4526" s="63">
        <v>0</v>
      </c>
      <c r="K4526" s="63">
        <f>AVERAGE(I4526:J4526)</f>
        <v>0</v>
      </c>
      <c r="L4526" s="64" t="str">
        <f>"CORNBREAD LOAVES"</f>
        <v>CORNBREAD LOAVES</v>
      </c>
      <c r="M4526" s="65" t="str">
        <f>"12-15 oz. Dome Covered"</f>
        <v>12-15 oz. Dome Covered</v>
      </c>
      <c r="N4526" s="66">
        <v>12</v>
      </c>
      <c r="O4526" s="67" t="str">
        <f>""</f>
        <v/>
      </c>
      <c r="P4526" s="68" t="e">
        <f>1/O4526</f>
        <v>#VALUE!</v>
      </c>
      <c r="Q4526" s="53">
        <v>1</v>
      </c>
      <c r="R4526" s="69">
        <f t="shared" ref="R4526" si="3241">1/Q4526</f>
        <v>1</v>
      </c>
      <c r="S4526" s="70">
        <f t="shared" ref="S4526" si="3242">R4526*N4526</f>
        <v>12</v>
      </c>
    </row>
    <row r="4527" spans="1:19" ht="15.6" hidden="1" customHeight="1" thickBot="1" x14ac:dyDescent="0.3">
      <c r="A4527" t="s">
        <v>23</v>
      </c>
      <c r="B4527" s="60" t="str">
        <f t="shared" si="3240"/>
        <v>hide</v>
      </c>
      <c r="D4527" s="48" t="str">
        <f>D4526</f>
        <v>73405</v>
      </c>
      <c r="E4527" s="7"/>
      <c r="F4527" s="27">
        <v>0</v>
      </c>
      <c r="G4527" s="27">
        <v>0</v>
      </c>
      <c r="H4527" s="27">
        <v>0</v>
      </c>
      <c r="I4527" s="27">
        <v>0</v>
      </c>
      <c r="J4527" s="27">
        <v>0</v>
      </c>
      <c r="K4527" s="63">
        <f>AVERAGE(I4527:J4527)</f>
        <v>0</v>
      </c>
      <c r="L4527" s="56" t="str">
        <f>"EQP-LAWPACK1"</f>
        <v>EQP-LAWPACK1</v>
      </c>
      <c r="M4527" s="14"/>
      <c r="N4527" s="15"/>
      <c r="O4527" s="12"/>
      <c r="P4527" s="34"/>
      <c r="Q4527" s="37"/>
      <c r="R4527" s="47"/>
      <c r="S4527" s="46"/>
    </row>
    <row r="4528" spans="1:19" ht="15.6" hidden="1" customHeight="1" thickBot="1" x14ac:dyDescent="0.3">
      <c r="A4528" t="s">
        <v>23</v>
      </c>
      <c r="B4528" s="60" t="str">
        <f t="shared" ref="B4528:B4530" si="3243">IF(K4528=0,"hide","")</f>
        <v>hide</v>
      </c>
      <c r="D4528" s="48" t="str">
        <f>D4527</f>
        <v>73405</v>
      </c>
      <c r="E4528" s="7"/>
      <c r="F4528" s="27">
        <v>0</v>
      </c>
      <c r="G4528" s="27">
        <v>0</v>
      </c>
      <c r="H4528" s="27">
        <v>0</v>
      </c>
      <c r="I4528" s="27">
        <v>0</v>
      </c>
      <c r="J4528" s="27">
        <v>0</v>
      </c>
      <c r="K4528" s="63">
        <f>AVERAGE(I4528:J4528)</f>
        <v>0</v>
      </c>
      <c r="L4528" s="56" t="str">
        <f>"EQP-LAWPACK2"</f>
        <v>EQP-LAWPACK2</v>
      </c>
      <c r="M4528" s="14"/>
      <c r="N4528" s="15"/>
      <c r="O4528" s="12"/>
      <c r="P4528" s="34"/>
      <c r="Q4528" s="37"/>
      <c r="R4528" s="47"/>
      <c r="S4528" s="46"/>
    </row>
    <row r="4529" spans="1:19" ht="15.6" hidden="1" customHeight="1" thickBot="1" x14ac:dyDescent="0.3">
      <c r="A4529" t="s">
        <v>23</v>
      </c>
      <c r="B4529" s="60" t="str">
        <f t="shared" si="3243"/>
        <v>hide</v>
      </c>
      <c r="D4529" s="48" t="str">
        <f>D4528</f>
        <v>73405</v>
      </c>
      <c r="E4529" s="7"/>
      <c r="F4529" s="27">
        <v>0</v>
      </c>
      <c r="G4529" s="27">
        <v>0</v>
      </c>
      <c r="H4529" s="27">
        <v>0</v>
      </c>
      <c r="I4529" s="27">
        <v>0</v>
      </c>
      <c r="J4529" s="27">
        <v>0</v>
      </c>
      <c r="K4529" s="63">
        <f>AVERAGE(I4529:J4529)</f>
        <v>0</v>
      </c>
      <c r="L4529" s="56" t="str">
        <f>"SW-COMAS-PACKL"</f>
        <v>SW-COMAS-PACKL</v>
      </c>
      <c r="M4529" s="14"/>
      <c r="N4529" s="15"/>
      <c r="O4529" s="12"/>
      <c r="P4529" s="34"/>
      <c r="Q4529" s="37"/>
      <c r="R4529" s="47"/>
      <c r="S4529" s="46"/>
    </row>
    <row r="4530" spans="1:19" ht="15.6" hidden="1" customHeight="1" thickBot="1" x14ac:dyDescent="0.3">
      <c r="A4530" t="s">
        <v>23</v>
      </c>
      <c r="B4530" s="60" t="str">
        <f t="shared" si="3243"/>
        <v>hide</v>
      </c>
      <c r="D4530" s="48" t="str">
        <f>D4529</f>
        <v>73405</v>
      </c>
      <c r="E4530" s="7"/>
      <c r="F4530" s="27">
        <v>0</v>
      </c>
      <c r="G4530" s="27">
        <v>0</v>
      </c>
      <c r="H4530" s="27">
        <v>0</v>
      </c>
      <c r="I4530" s="27">
        <v>0</v>
      </c>
      <c r="J4530" s="27">
        <v>0</v>
      </c>
      <c r="K4530" s="63">
        <f>AVERAGE(I4530:J4530)</f>
        <v>0</v>
      </c>
      <c r="L4530" s="56" t="str">
        <f>"SW-RISER-PACK"</f>
        <v>SW-RISER-PACK</v>
      </c>
      <c r="M4530" s="14"/>
      <c r="N4530" s="15"/>
      <c r="O4530" s="12"/>
      <c r="P4530" s="34"/>
      <c r="Q4530" s="37"/>
      <c r="R4530" s="47"/>
      <c r="S4530" s="46"/>
    </row>
    <row r="4531" spans="1:19" ht="12" hidden="1" customHeight="1" x14ac:dyDescent="0.3">
      <c r="A4531" s="35" t="s">
        <v>908</v>
      </c>
      <c r="B4531" s="49" t="str">
        <f>B4527</f>
        <v>hide</v>
      </c>
      <c r="N4531"/>
      <c r="Q4531" s="33"/>
    </row>
    <row r="4532" spans="1:19" ht="13.8" hidden="1" thickBot="1" x14ac:dyDescent="0.3">
      <c r="A4532" t="s">
        <v>23</v>
      </c>
      <c r="B4532" s="49" t="str">
        <f t="shared" ref="B4532" si="3244">B4531</f>
        <v>hide</v>
      </c>
      <c r="D4532" s="58"/>
      <c r="E4532" s="58"/>
      <c r="F4532" s="52">
        <f>SUM(F4527:F4531)</f>
        <v>0</v>
      </c>
      <c r="G4532" s="52">
        <f>SUM(G4527:G4531)</f>
        <v>0</v>
      </c>
      <c r="H4532" s="52">
        <f>SUM(H4527:H4531)</f>
        <v>0</v>
      </c>
      <c r="I4532" s="52">
        <f>SUM(I4527:I4531)</f>
        <v>0</v>
      </c>
      <c r="J4532" s="52">
        <f>SUM(J4527:J4531)</f>
        <v>0</v>
      </c>
      <c r="K4532" s="52"/>
      <c r="L4532" s="51" t="s">
        <v>4</v>
      </c>
      <c r="M4532" s="58"/>
      <c r="N4532" s="58"/>
      <c r="O4532" s="58"/>
      <c r="P4532" s="58"/>
      <c r="Q4532" s="58"/>
      <c r="R4532" s="58"/>
      <c r="S4532" s="58"/>
    </row>
    <row r="4533" spans="1:19" s="59" customFormat="1" ht="18.75" hidden="1" customHeight="1" thickBot="1" x14ac:dyDescent="0.3">
      <c r="A4533" s="59" t="s">
        <v>23</v>
      </c>
      <c r="B4533" s="60" t="str">
        <f t="shared" ref="B4533:B4534" si="3245">IF(K4533=0,"hide","")</f>
        <v>hide</v>
      </c>
      <c r="D4533" s="61" t="str">
        <f>"73605"</f>
        <v>73605</v>
      </c>
      <c r="E4533" s="62" t="str">
        <f>"1"</f>
        <v>1</v>
      </c>
      <c r="F4533" s="63">
        <v>0</v>
      </c>
      <c r="G4533" s="63">
        <v>0</v>
      </c>
      <c r="H4533" s="63">
        <v>0</v>
      </c>
      <c r="I4533" s="63">
        <v>0</v>
      </c>
      <c r="J4533" s="63">
        <v>0</v>
      </c>
      <c r="K4533" s="63">
        <f>AVERAGE(I4533:J4533)</f>
        <v>0</v>
      </c>
      <c r="L4533" s="64" t="str">
        <f>""</f>
        <v/>
      </c>
      <c r="M4533" s="65" t="str">
        <f>""</f>
        <v/>
      </c>
      <c r="N4533" s="66" t="str">
        <f>""</f>
        <v/>
      </c>
      <c r="O4533" s="67" t="str">
        <f>""</f>
        <v/>
      </c>
      <c r="P4533" s="68" t="e">
        <f>1/O4533</f>
        <v>#VALUE!</v>
      </c>
      <c r="Q4533" s="53">
        <v>1</v>
      </c>
      <c r="R4533" s="69">
        <f t="shared" ref="R4533" si="3246">1/Q4533</f>
        <v>1</v>
      </c>
      <c r="S4533" s="70" t="e">
        <f t="shared" ref="S4533" si="3247">R4533*N4533</f>
        <v>#VALUE!</v>
      </c>
    </row>
    <row r="4534" spans="1:19" ht="15.6" hidden="1" customHeight="1" thickBot="1" x14ac:dyDescent="0.3">
      <c r="A4534" t="s">
        <v>23</v>
      </c>
      <c r="B4534" s="60" t="str">
        <f t="shared" si="3245"/>
        <v>hide</v>
      </c>
      <c r="D4534" s="48" t="str">
        <f>D4533</f>
        <v>73605</v>
      </c>
      <c r="E4534" s="7"/>
      <c r="F4534" s="27">
        <v>0</v>
      </c>
      <c r="G4534" s="27">
        <v>0</v>
      </c>
      <c r="H4534" s="27">
        <v>0</v>
      </c>
      <c r="I4534" s="27">
        <v>0</v>
      </c>
      <c r="J4534" s="27">
        <v>0</v>
      </c>
      <c r="K4534" s="63">
        <f>AVERAGE(I4534:J4534)</f>
        <v>0</v>
      </c>
      <c r="L4534" s="56" t="str">
        <f>"EQP-LAWPACK1"</f>
        <v>EQP-LAWPACK1</v>
      </c>
      <c r="M4534" s="14"/>
      <c r="N4534" s="15"/>
      <c r="O4534" s="12"/>
      <c r="P4534" s="34"/>
      <c r="Q4534" s="37"/>
      <c r="R4534" s="47"/>
      <c r="S4534" s="46"/>
    </row>
    <row r="4535" spans="1:19" ht="15.6" hidden="1" customHeight="1" thickBot="1" x14ac:dyDescent="0.3">
      <c r="A4535" t="s">
        <v>23</v>
      </c>
      <c r="B4535" s="60" t="str">
        <f t="shared" ref="B4535:B4537" si="3248">IF(K4535=0,"hide","")</f>
        <v>hide</v>
      </c>
      <c r="D4535" s="48" t="str">
        <f>D4534</f>
        <v>73605</v>
      </c>
      <c r="E4535" s="7"/>
      <c r="F4535" s="27">
        <v>0</v>
      </c>
      <c r="G4535" s="27">
        <v>0</v>
      </c>
      <c r="H4535" s="27">
        <v>0</v>
      </c>
      <c r="I4535" s="27">
        <v>0</v>
      </c>
      <c r="J4535" s="27">
        <v>0</v>
      </c>
      <c r="K4535" s="63">
        <f>AVERAGE(I4535:J4535)</f>
        <v>0</v>
      </c>
      <c r="L4535" s="56" t="str">
        <f>"EQP-LAWPACK2"</f>
        <v>EQP-LAWPACK2</v>
      </c>
      <c r="M4535" s="14"/>
      <c r="N4535" s="15"/>
      <c r="O4535" s="12"/>
      <c r="P4535" s="34"/>
      <c r="Q4535" s="37"/>
      <c r="R4535" s="47"/>
      <c r="S4535" s="46"/>
    </row>
    <row r="4536" spans="1:19" ht="15.6" hidden="1" customHeight="1" thickBot="1" x14ac:dyDescent="0.3">
      <c r="A4536" t="s">
        <v>23</v>
      </c>
      <c r="B4536" s="60" t="str">
        <f t="shared" si="3248"/>
        <v>hide</v>
      </c>
      <c r="D4536" s="48" t="str">
        <f>D4535</f>
        <v>73605</v>
      </c>
      <c r="E4536" s="7"/>
      <c r="F4536" s="27">
        <v>0</v>
      </c>
      <c r="G4536" s="27">
        <v>0</v>
      </c>
      <c r="H4536" s="27">
        <v>0</v>
      </c>
      <c r="I4536" s="27">
        <v>0</v>
      </c>
      <c r="J4536" s="27">
        <v>0</v>
      </c>
      <c r="K4536" s="63">
        <f>AVERAGE(I4536:J4536)</f>
        <v>0</v>
      </c>
      <c r="L4536" s="56" t="str">
        <f>"SW-COMAS-PACKL"</f>
        <v>SW-COMAS-PACKL</v>
      </c>
      <c r="M4536" s="14"/>
      <c r="N4536" s="15"/>
      <c r="O4536" s="12"/>
      <c r="P4536" s="34"/>
      <c r="Q4536" s="37"/>
      <c r="R4536" s="47"/>
      <c r="S4536" s="46"/>
    </row>
    <row r="4537" spans="1:19" ht="15.6" hidden="1" customHeight="1" thickBot="1" x14ac:dyDescent="0.3">
      <c r="A4537" t="s">
        <v>23</v>
      </c>
      <c r="B4537" s="60" t="str">
        <f t="shared" si="3248"/>
        <v>hide</v>
      </c>
      <c r="D4537" s="48" t="str">
        <f>D4536</f>
        <v>73605</v>
      </c>
      <c r="E4537" s="7"/>
      <c r="F4537" s="27">
        <v>0</v>
      </c>
      <c r="G4537" s="27">
        <v>0</v>
      </c>
      <c r="H4537" s="27">
        <v>0</v>
      </c>
      <c r="I4537" s="27">
        <v>0</v>
      </c>
      <c r="J4537" s="27">
        <v>0</v>
      </c>
      <c r="K4537" s="63">
        <f>AVERAGE(I4537:J4537)</f>
        <v>0</v>
      </c>
      <c r="L4537" s="56" t="str">
        <f>"SW-RISER-PACK"</f>
        <v>SW-RISER-PACK</v>
      </c>
      <c r="M4537" s="14"/>
      <c r="N4537" s="15"/>
      <c r="O4537" s="12"/>
      <c r="P4537" s="34"/>
      <c r="Q4537" s="37"/>
      <c r="R4537" s="47"/>
      <c r="S4537" s="46"/>
    </row>
    <row r="4538" spans="1:19" ht="12" hidden="1" customHeight="1" x14ac:dyDescent="0.3">
      <c r="A4538" s="35" t="s">
        <v>908</v>
      </c>
      <c r="B4538" s="49" t="str">
        <f>B4534</f>
        <v>hide</v>
      </c>
      <c r="N4538"/>
      <c r="Q4538" s="33"/>
    </row>
    <row r="4539" spans="1:19" ht="13.8" hidden="1" thickBot="1" x14ac:dyDescent="0.3">
      <c r="A4539" t="s">
        <v>23</v>
      </c>
      <c r="B4539" s="49" t="str">
        <f t="shared" ref="B4539" si="3249">B4538</f>
        <v>hide</v>
      </c>
      <c r="D4539" s="58"/>
      <c r="E4539" s="58"/>
      <c r="F4539" s="52">
        <f>SUM(F4534:F4538)</f>
        <v>0</v>
      </c>
      <c r="G4539" s="52">
        <f>SUM(G4534:G4538)</f>
        <v>0</v>
      </c>
      <c r="H4539" s="52">
        <f>SUM(H4534:H4538)</f>
        <v>0</v>
      </c>
      <c r="I4539" s="52">
        <f>SUM(I4534:I4538)</f>
        <v>0</v>
      </c>
      <c r="J4539" s="52">
        <f>SUM(J4534:J4538)</f>
        <v>0</v>
      </c>
      <c r="K4539" s="52"/>
      <c r="L4539" s="51" t="s">
        <v>4</v>
      </c>
      <c r="M4539" s="58"/>
      <c r="N4539" s="58"/>
      <c r="O4539" s="58"/>
      <c r="P4539" s="58"/>
      <c r="Q4539" s="58"/>
      <c r="R4539" s="58"/>
      <c r="S4539" s="58"/>
    </row>
    <row r="4540" spans="1:19" s="59" customFormat="1" ht="18.75" hidden="1" customHeight="1" thickBot="1" x14ac:dyDescent="0.3">
      <c r="A4540" s="59" t="s">
        <v>23</v>
      </c>
      <c r="B4540" s="60" t="str">
        <f t="shared" ref="B4540:B4541" si="3250">IF(K4540=0,"hide","")</f>
        <v>hide</v>
      </c>
      <c r="D4540" s="61" t="str">
        <f>"751701"</f>
        <v>751701</v>
      </c>
      <c r="E4540" s="62" t="str">
        <f>"3"</f>
        <v>3</v>
      </c>
      <c r="F4540" s="63">
        <v>0</v>
      </c>
      <c r="G4540" s="63">
        <v>0</v>
      </c>
      <c r="H4540" s="63">
        <v>0</v>
      </c>
      <c r="I4540" s="63">
        <v>0</v>
      </c>
      <c r="J4540" s="63">
        <v>0</v>
      </c>
      <c r="K4540" s="63">
        <f>AVERAGE(I4540:J4540)</f>
        <v>0</v>
      </c>
      <c r="L4540" s="64" t="str">
        <f>"Gluten Free Blueberry Mini Loaf"</f>
        <v>Gluten Free Blueberry Mini Loaf</v>
      </c>
      <c r="M4540" s="65" t="str">
        <f>"72-2oz. I.W."</f>
        <v>72-2oz. I.W.</v>
      </c>
      <c r="N4540" s="66">
        <v>72</v>
      </c>
      <c r="O4540" s="67">
        <v>1E-3</v>
      </c>
      <c r="P4540" s="68">
        <f>1/O4540</f>
        <v>1000</v>
      </c>
      <c r="Q4540" s="53">
        <v>2.2699999999999999E-3</v>
      </c>
      <c r="R4540" s="69">
        <f t="shared" ref="R4540" si="3251">1/Q4540</f>
        <v>440.52863436123351</v>
      </c>
      <c r="S4540" s="70">
        <f t="shared" ref="S4540" si="3252">R4540*N4540</f>
        <v>31718.061674008812</v>
      </c>
    </row>
    <row r="4541" spans="1:19" ht="15.6" hidden="1" customHeight="1" thickBot="1" x14ac:dyDescent="0.3">
      <c r="A4541" t="s">
        <v>23</v>
      </c>
      <c r="B4541" s="60" t="str">
        <f t="shared" si="3250"/>
        <v>hide</v>
      </c>
      <c r="D4541" s="48" t="str">
        <f>D4540</f>
        <v>751701</v>
      </c>
      <c r="E4541" s="7"/>
      <c r="F4541" s="27">
        <v>0</v>
      </c>
      <c r="G4541" s="27">
        <v>0</v>
      </c>
      <c r="H4541" s="27">
        <v>0</v>
      </c>
      <c r="I4541" s="27">
        <v>0</v>
      </c>
      <c r="J4541" s="27">
        <v>0</v>
      </c>
      <c r="K4541" s="63">
        <f>AVERAGE(I4541:J4541)</f>
        <v>0</v>
      </c>
      <c r="L4541" s="56" t="str">
        <f>"EQP-LAWPACK1"</f>
        <v>EQP-LAWPACK1</v>
      </c>
      <c r="M4541" s="14"/>
      <c r="N4541" s="15"/>
      <c r="O4541" s="12"/>
      <c r="P4541" s="34"/>
      <c r="Q4541" s="37"/>
      <c r="R4541" s="47"/>
      <c r="S4541" s="46"/>
    </row>
    <row r="4542" spans="1:19" ht="15.6" hidden="1" customHeight="1" thickBot="1" x14ac:dyDescent="0.3">
      <c r="A4542" t="s">
        <v>23</v>
      </c>
      <c r="B4542" s="60" t="str">
        <f t="shared" ref="B4542:B4544" si="3253">IF(K4542=0,"hide","")</f>
        <v>hide</v>
      </c>
      <c r="D4542" s="48" t="str">
        <f>D4541</f>
        <v>751701</v>
      </c>
      <c r="E4542" s="7"/>
      <c r="F4542" s="27">
        <v>0</v>
      </c>
      <c r="G4542" s="27">
        <v>0</v>
      </c>
      <c r="H4542" s="27">
        <v>0</v>
      </c>
      <c r="I4542" s="27">
        <v>0</v>
      </c>
      <c r="J4542" s="27">
        <v>0</v>
      </c>
      <c r="K4542" s="63">
        <f>AVERAGE(I4542:J4542)</f>
        <v>0</v>
      </c>
      <c r="L4542" s="56" t="str">
        <f>"EQP-LAWPACK2"</f>
        <v>EQP-LAWPACK2</v>
      </c>
      <c r="M4542" s="14"/>
      <c r="N4542" s="15"/>
      <c r="O4542" s="12"/>
      <c r="P4542" s="34"/>
      <c r="Q4542" s="37"/>
      <c r="R4542" s="47"/>
      <c r="S4542" s="46"/>
    </row>
    <row r="4543" spans="1:19" ht="15.6" hidden="1" customHeight="1" thickBot="1" x14ac:dyDescent="0.3">
      <c r="A4543" t="s">
        <v>23</v>
      </c>
      <c r="B4543" s="60" t="str">
        <f t="shared" si="3253"/>
        <v>hide</v>
      </c>
      <c r="D4543" s="48" t="str">
        <f>D4542</f>
        <v>751701</v>
      </c>
      <c r="E4543" s="7"/>
      <c r="F4543" s="27">
        <v>0</v>
      </c>
      <c r="G4543" s="27">
        <v>0</v>
      </c>
      <c r="H4543" s="27">
        <v>0</v>
      </c>
      <c r="I4543" s="27">
        <v>0</v>
      </c>
      <c r="J4543" s="27">
        <v>0</v>
      </c>
      <c r="K4543" s="63">
        <f>AVERAGE(I4543:J4543)</f>
        <v>0</v>
      </c>
      <c r="L4543" s="56" t="str">
        <f>"SW-COMAS-PACKL"</f>
        <v>SW-COMAS-PACKL</v>
      </c>
      <c r="M4543" s="14"/>
      <c r="N4543" s="15"/>
      <c r="O4543" s="12"/>
      <c r="P4543" s="34"/>
      <c r="Q4543" s="37"/>
      <c r="R4543" s="47"/>
      <c r="S4543" s="46"/>
    </row>
    <row r="4544" spans="1:19" ht="15.6" hidden="1" customHeight="1" thickBot="1" x14ac:dyDescent="0.3">
      <c r="A4544" t="s">
        <v>23</v>
      </c>
      <c r="B4544" s="60" t="str">
        <f t="shared" si="3253"/>
        <v>hide</v>
      </c>
      <c r="D4544" s="48" t="str">
        <f>D4543</f>
        <v>751701</v>
      </c>
      <c r="E4544" s="7"/>
      <c r="F4544" s="27">
        <v>0</v>
      </c>
      <c r="G4544" s="27">
        <v>0</v>
      </c>
      <c r="H4544" s="27">
        <v>0</v>
      </c>
      <c r="I4544" s="27">
        <v>0</v>
      </c>
      <c r="J4544" s="27">
        <v>0</v>
      </c>
      <c r="K4544" s="63">
        <f>AVERAGE(I4544:J4544)</f>
        <v>0</v>
      </c>
      <c r="L4544" s="56" t="str">
        <f>"SW-RISER-PACK"</f>
        <v>SW-RISER-PACK</v>
      </c>
      <c r="M4544" s="14"/>
      <c r="N4544" s="15"/>
      <c r="O4544" s="12"/>
      <c r="P4544" s="34"/>
      <c r="Q4544" s="37"/>
      <c r="R4544" s="47"/>
      <c r="S4544" s="46"/>
    </row>
    <row r="4545" spans="1:19" ht="12" hidden="1" customHeight="1" x14ac:dyDescent="0.3">
      <c r="A4545" s="35" t="s">
        <v>908</v>
      </c>
      <c r="B4545" s="49" t="str">
        <f>B4541</f>
        <v>hide</v>
      </c>
      <c r="N4545"/>
      <c r="Q4545" s="33"/>
    </row>
    <row r="4546" spans="1:19" ht="13.8" hidden="1" thickBot="1" x14ac:dyDescent="0.3">
      <c r="A4546" t="s">
        <v>23</v>
      </c>
      <c r="B4546" s="49" t="str">
        <f t="shared" ref="B4546" si="3254">B4545</f>
        <v>hide</v>
      </c>
      <c r="D4546" s="58"/>
      <c r="E4546" s="58"/>
      <c r="F4546" s="52">
        <f>SUM(F4541:F4545)</f>
        <v>0</v>
      </c>
      <c r="G4546" s="52">
        <f>SUM(G4541:G4545)</f>
        <v>0</v>
      </c>
      <c r="H4546" s="52">
        <f>SUM(H4541:H4545)</f>
        <v>0</v>
      </c>
      <c r="I4546" s="52">
        <f>SUM(I4541:I4545)</f>
        <v>0</v>
      </c>
      <c r="J4546" s="52">
        <f>SUM(J4541:J4545)</f>
        <v>0</v>
      </c>
      <c r="K4546" s="52"/>
      <c r="L4546" s="51" t="s">
        <v>4</v>
      </c>
      <c r="M4546" s="58"/>
      <c r="N4546" s="58"/>
      <c r="O4546" s="58"/>
      <c r="P4546" s="58"/>
      <c r="Q4546" s="58"/>
      <c r="R4546" s="58"/>
      <c r="S4546" s="58"/>
    </row>
    <row r="4547" spans="1:19" s="59" customFormat="1" ht="18.75" hidden="1" customHeight="1" thickBot="1" x14ac:dyDescent="0.3">
      <c r="A4547" s="59" t="s">
        <v>23</v>
      </c>
      <c r="B4547" s="60" t="str">
        <f t="shared" ref="B4547:B4548" si="3255">IF(K4547=0,"hide","")</f>
        <v>hide</v>
      </c>
      <c r="D4547" s="61" t="str">
        <f>"751710"</f>
        <v>751710</v>
      </c>
      <c r="E4547" s="62" t="str">
        <f>"3"</f>
        <v>3</v>
      </c>
      <c r="F4547" s="63">
        <v>0</v>
      </c>
      <c r="G4547" s="63">
        <v>0</v>
      </c>
      <c r="H4547" s="63">
        <v>0</v>
      </c>
      <c r="I4547" s="63">
        <v>0</v>
      </c>
      <c r="J4547" s="63">
        <v>0</v>
      </c>
      <c r="K4547" s="63">
        <f>AVERAGE(I4547:J4547)</f>
        <v>0</v>
      </c>
      <c r="L4547" s="64" t="str">
        <f>"Gluten Free Chocolate Chip Mini Loaf"</f>
        <v>Gluten Free Chocolate Chip Mini Loaf</v>
      </c>
      <c r="M4547" s="65" t="str">
        <f>"72-2oz. I.W."</f>
        <v>72-2oz. I.W.</v>
      </c>
      <c r="N4547" s="66">
        <v>72</v>
      </c>
      <c r="O4547" s="67">
        <v>1E-3</v>
      </c>
      <c r="P4547" s="68">
        <f>1/O4547</f>
        <v>1000</v>
      </c>
      <c r="Q4547" s="53">
        <v>2.2699999999999999E-3</v>
      </c>
      <c r="R4547" s="69">
        <f t="shared" ref="R4547" si="3256">1/Q4547</f>
        <v>440.52863436123351</v>
      </c>
      <c r="S4547" s="70">
        <f t="shared" ref="S4547" si="3257">R4547*N4547</f>
        <v>31718.061674008812</v>
      </c>
    </row>
    <row r="4548" spans="1:19" ht="15.6" hidden="1" customHeight="1" thickBot="1" x14ac:dyDescent="0.3">
      <c r="A4548" t="s">
        <v>23</v>
      </c>
      <c r="B4548" s="60" t="str">
        <f t="shared" si="3255"/>
        <v>hide</v>
      </c>
      <c r="D4548" s="48" t="str">
        <f>D4547</f>
        <v>751710</v>
      </c>
      <c r="E4548" s="7"/>
      <c r="F4548" s="27">
        <v>0</v>
      </c>
      <c r="G4548" s="27">
        <v>0</v>
      </c>
      <c r="H4548" s="27">
        <v>0</v>
      </c>
      <c r="I4548" s="27">
        <v>0</v>
      </c>
      <c r="J4548" s="27">
        <v>0</v>
      </c>
      <c r="K4548" s="63">
        <f>AVERAGE(I4548:J4548)</f>
        <v>0</v>
      </c>
      <c r="L4548" s="56" t="str">
        <f>"EQP-LAWPACK1"</f>
        <v>EQP-LAWPACK1</v>
      </c>
      <c r="M4548" s="14"/>
      <c r="N4548" s="15"/>
      <c r="O4548" s="12"/>
      <c r="P4548" s="34"/>
      <c r="Q4548" s="37"/>
      <c r="R4548" s="47"/>
      <c r="S4548" s="46"/>
    </row>
    <row r="4549" spans="1:19" ht="15.6" hidden="1" customHeight="1" thickBot="1" x14ac:dyDescent="0.3">
      <c r="A4549" t="s">
        <v>23</v>
      </c>
      <c r="B4549" s="60" t="str">
        <f t="shared" ref="B4549:B4551" si="3258">IF(K4549=0,"hide","")</f>
        <v>hide</v>
      </c>
      <c r="D4549" s="48" t="str">
        <f>D4548</f>
        <v>751710</v>
      </c>
      <c r="E4549" s="7"/>
      <c r="F4549" s="27">
        <v>0</v>
      </c>
      <c r="G4549" s="27">
        <v>0</v>
      </c>
      <c r="H4549" s="27">
        <v>0</v>
      </c>
      <c r="I4549" s="27">
        <v>0</v>
      </c>
      <c r="J4549" s="27">
        <v>0</v>
      </c>
      <c r="K4549" s="63">
        <f>AVERAGE(I4549:J4549)</f>
        <v>0</v>
      </c>
      <c r="L4549" s="56" t="str">
        <f>"EQP-LAWPACK2"</f>
        <v>EQP-LAWPACK2</v>
      </c>
      <c r="M4549" s="14"/>
      <c r="N4549" s="15"/>
      <c r="O4549" s="12"/>
      <c r="P4549" s="34"/>
      <c r="Q4549" s="37"/>
      <c r="R4549" s="47"/>
      <c r="S4549" s="46"/>
    </row>
    <row r="4550" spans="1:19" ht="15.6" hidden="1" customHeight="1" thickBot="1" x14ac:dyDescent="0.3">
      <c r="A4550" t="s">
        <v>23</v>
      </c>
      <c r="B4550" s="60" t="str">
        <f t="shared" si="3258"/>
        <v>hide</v>
      </c>
      <c r="D4550" s="48" t="str">
        <f>D4549</f>
        <v>751710</v>
      </c>
      <c r="E4550" s="7"/>
      <c r="F4550" s="27">
        <v>0</v>
      </c>
      <c r="G4550" s="27">
        <v>0</v>
      </c>
      <c r="H4550" s="27">
        <v>0</v>
      </c>
      <c r="I4550" s="27">
        <v>0</v>
      </c>
      <c r="J4550" s="27">
        <v>0</v>
      </c>
      <c r="K4550" s="63">
        <f>AVERAGE(I4550:J4550)</f>
        <v>0</v>
      </c>
      <c r="L4550" s="56" t="str">
        <f>"SW-COMAS-PACKL"</f>
        <v>SW-COMAS-PACKL</v>
      </c>
      <c r="M4550" s="14"/>
      <c r="N4550" s="15"/>
      <c r="O4550" s="12"/>
      <c r="P4550" s="34"/>
      <c r="Q4550" s="37"/>
      <c r="R4550" s="47"/>
      <c r="S4550" s="46"/>
    </row>
    <row r="4551" spans="1:19" ht="15.6" hidden="1" customHeight="1" thickBot="1" x14ac:dyDescent="0.3">
      <c r="A4551" t="s">
        <v>23</v>
      </c>
      <c r="B4551" s="60" t="str">
        <f t="shared" si="3258"/>
        <v>hide</v>
      </c>
      <c r="D4551" s="48" t="str">
        <f>D4550</f>
        <v>751710</v>
      </c>
      <c r="E4551" s="7"/>
      <c r="F4551" s="27">
        <v>0</v>
      </c>
      <c r="G4551" s="27">
        <v>0</v>
      </c>
      <c r="H4551" s="27">
        <v>0</v>
      </c>
      <c r="I4551" s="27">
        <v>0</v>
      </c>
      <c r="J4551" s="27">
        <v>0</v>
      </c>
      <c r="K4551" s="63">
        <f>AVERAGE(I4551:J4551)</f>
        <v>0</v>
      </c>
      <c r="L4551" s="56" t="str">
        <f>"SW-RISER-PACK"</f>
        <v>SW-RISER-PACK</v>
      </c>
      <c r="M4551" s="14"/>
      <c r="N4551" s="15"/>
      <c r="O4551" s="12"/>
      <c r="P4551" s="34"/>
      <c r="Q4551" s="37"/>
      <c r="R4551" s="47"/>
      <c r="S4551" s="46"/>
    </row>
    <row r="4552" spans="1:19" ht="12" hidden="1" customHeight="1" x14ac:dyDescent="0.3">
      <c r="A4552" s="35" t="s">
        <v>908</v>
      </c>
      <c r="B4552" s="49" t="str">
        <f>B4548</f>
        <v>hide</v>
      </c>
      <c r="N4552"/>
      <c r="Q4552" s="33"/>
    </row>
    <row r="4553" spans="1:19" ht="13.8" hidden="1" thickBot="1" x14ac:dyDescent="0.3">
      <c r="A4553" t="s">
        <v>23</v>
      </c>
      <c r="B4553" s="49" t="str">
        <f t="shared" ref="B4553" si="3259">B4552</f>
        <v>hide</v>
      </c>
      <c r="D4553" s="58"/>
      <c r="E4553" s="58"/>
      <c r="F4553" s="52">
        <f>SUM(F4548:F4552)</f>
        <v>0</v>
      </c>
      <c r="G4553" s="52">
        <f>SUM(G4548:G4552)</f>
        <v>0</v>
      </c>
      <c r="H4553" s="52">
        <f>SUM(H4548:H4552)</f>
        <v>0</v>
      </c>
      <c r="I4553" s="52">
        <f>SUM(I4548:I4552)</f>
        <v>0</v>
      </c>
      <c r="J4553" s="52">
        <f>SUM(J4548:J4552)</f>
        <v>0</v>
      </c>
      <c r="K4553" s="52"/>
      <c r="L4553" s="51" t="s">
        <v>4</v>
      </c>
      <c r="M4553" s="58"/>
      <c r="N4553" s="58"/>
      <c r="O4553" s="58"/>
      <c r="P4553" s="58"/>
      <c r="Q4553" s="58"/>
      <c r="R4553" s="58"/>
      <c r="S4553" s="58"/>
    </row>
    <row r="4554" spans="1:19" s="59" customFormat="1" ht="18.75" hidden="1" customHeight="1" thickBot="1" x14ac:dyDescent="0.3">
      <c r="A4554" s="59" t="s">
        <v>23</v>
      </c>
      <c r="B4554" s="60" t="str">
        <f t="shared" ref="B4554:B4555" si="3260">IF(K4554=0,"hide","")</f>
        <v>hide</v>
      </c>
      <c r="D4554" s="61" t="str">
        <f>"751736"</f>
        <v>751736</v>
      </c>
      <c r="E4554" s="62" t="str">
        <f>"4"</f>
        <v>4</v>
      </c>
      <c r="F4554" s="63">
        <v>0</v>
      </c>
      <c r="G4554" s="63">
        <v>0</v>
      </c>
      <c r="H4554" s="63">
        <v>0</v>
      </c>
      <c r="I4554" s="63">
        <v>0</v>
      </c>
      <c r="J4554" s="63">
        <v>0</v>
      </c>
      <c r="K4554" s="63">
        <f>AVERAGE(I4554:J4554)</f>
        <v>0</v>
      </c>
      <c r="L4554" s="64" t="str">
        <f>"Gluten Free Coffee Cake  Mini Loaf"</f>
        <v>Gluten Free Coffee Cake  Mini Loaf</v>
      </c>
      <c r="M4554" s="65" t="str">
        <f>"72-2 oz. Ind. Wrapped"</f>
        <v>72-2 oz. Ind. Wrapped</v>
      </c>
      <c r="N4554" s="66">
        <v>72</v>
      </c>
      <c r="O4554" s="67" t="str">
        <f>""</f>
        <v/>
      </c>
      <c r="P4554" s="68" t="e">
        <f>1/O4554</f>
        <v>#VALUE!</v>
      </c>
      <c r="Q4554" s="53">
        <v>1</v>
      </c>
      <c r="R4554" s="69">
        <f t="shared" ref="R4554" si="3261">1/Q4554</f>
        <v>1</v>
      </c>
      <c r="S4554" s="70">
        <f t="shared" ref="S4554" si="3262">R4554*N4554</f>
        <v>72</v>
      </c>
    </row>
    <row r="4555" spans="1:19" ht="15.6" hidden="1" customHeight="1" thickBot="1" x14ac:dyDescent="0.3">
      <c r="A4555" t="s">
        <v>23</v>
      </c>
      <c r="B4555" s="60" t="str">
        <f t="shared" si="3260"/>
        <v>hide</v>
      </c>
      <c r="D4555" s="48" t="str">
        <f>D4554</f>
        <v>751736</v>
      </c>
      <c r="E4555" s="7"/>
      <c r="F4555" s="27">
        <v>0</v>
      </c>
      <c r="G4555" s="27">
        <v>0</v>
      </c>
      <c r="H4555" s="27">
        <v>0</v>
      </c>
      <c r="I4555" s="27">
        <v>0</v>
      </c>
      <c r="J4555" s="27">
        <v>0</v>
      </c>
      <c r="K4555" s="63">
        <f>AVERAGE(I4555:J4555)</f>
        <v>0</v>
      </c>
      <c r="L4555" s="56" t="str">
        <f>"EQP-LAWPACK1"</f>
        <v>EQP-LAWPACK1</v>
      </c>
      <c r="M4555" s="14"/>
      <c r="N4555" s="15"/>
      <c r="O4555" s="12"/>
      <c r="P4555" s="34"/>
      <c r="Q4555" s="37"/>
      <c r="R4555" s="47"/>
      <c r="S4555" s="46"/>
    </row>
    <row r="4556" spans="1:19" ht="15.6" hidden="1" customHeight="1" thickBot="1" x14ac:dyDescent="0.3">
      <c r="A4556" t="s">
        <v>23</v>
      </c>
      <c r="B4556" s="60" t="str">
        <f t="shared" ref="B4556:B4558" si="3263">IF(K4556=0,"hide","")</f>
        <v>hide</v>
      </c>
      <c r="D4556" s="48" t="str">
        <f>D4555</f>
        <v>751736</v>
      </c>
      <c r="E4556" s="7"/>
      <c r="F4556" s="27">
        <v>0</v>
      </c>
      <c r="G4556" s="27">
        <v>0</v>
      </c>
      <c r="H4556" s="27">
        <v>0</v>
      </c>
      <c r="I4556" s="27">
        <v>0</v>
      </c>
      <c r="J4556" s="27">
        <v>0</v>
      </c>
      <c r="K4556" s="63">
        <f>AVERAGE(I4556:J4556)</f>
        <v>0</v>
      </c>
      <c r="L4556" s="56" t="str">
        <f>"EQP-LAWPACK2"</f>
        <v>EQP-LAWPACK2</v>
      </c>
      <c r="M4556" s="14"/>
      <c r="N4556" s="15"/>
      <c r="O4556" s="12"/>
      <c r="P4556" s="34"/>
      <c r="Q4556" s="37"/>
      <c r="R4556" s="47"/>
      <c r="S4556" s="46"/>
    </row>
    <row r="4557" spans="1:19" ht="15.6" hidden="1" customHeight="1" thickBot="1" x14ac:dyDescent="0.3">
      <c r="A4557" t="s">
        <v>23</v>
      </c>
      <c r="B4557" s="60" t="str">
        <f t="shared" si="3263"/>
        <v>hide</v>
      </c>
      <c r="D4557" s="48" t="str">
        <f>D4556</f>
        <v>751736</v>
      </c>
      <c r="E4557" s="7"/>
      <c r="F4557" s="27">
        <v>0</v>
      </c>
      <c r="G4557" s="27">
        <v>0</v>
      </c>
      <c r="H4557" s="27">
        <v>0</v>
      </c>
      <c r="I4557" s="27">
        <v>0</v>
      </c>
      <c r="J4557" s="27">
        <v>0</v>
      </c>
      <c r="K4557" s="63">
        <f>AVERAGE(I4557:J4557)</f>
        <v>0</v>
      </c>
      <c r="L4557" s="56" t="str">
        <f>"SW-COMAS-PACKL"</f>
        <v>SW-COMAS-PACKL</v>
      </c>
      <c r="M4557" s="14"/>
      <c r="N4557" s="15"/>
      <c r="O4557" s="12"/>
      <c r="P4557" s="34"/>
      <c r="Q4557" s="37"/>
      <c r="R4557" s="47"/>
      <c r="S4557" s="46"/>
    </row>
    <row r="4558" spans="1:19" ht="15.6" hidden="1" customHeight="1" thickBot="1" x14ac:dyDescent="0.3">
      <c r="A4558" t="s">
        <v>23</v>
      </c>
      <c r="B4558" s="60" t="str">
        <f t="shared" si="3263"/>
        <v>hide</v>
      </c>
      <c r="D4558" s="48" t="str">
        <f>D4557</f>
        <v>751736</v>
      </c>
      <c r="E4558" s="7"/>
      <c r="F4558" s="27">
        <v>0</v>
      </c>
      <c r="G4558" s="27">
        <v>0</v>
      </c>
      <c r="H4558" s="27">
        <v>0</v>
      </c>
      <c r="I4558" s="27">
        <v>0</v>
      </c>
      <c r="J4558" s="27">
        <v>0</v>
      </c>
      <c r="K4558" s="63">
        <f>AVERAGE(I4558:J4558)</f>
        <v>0</v>
      </c>
      <c r="L4558" s="56" t="str">
        <f>"SW-RISER-PACK"</f>
        <v>SW-RISER-PACK</v>
      </c>
      <c r="M4558" s="14"/>
      <c r="N4558" s="15"/>
      <c r="O4558" s="12"/>
      <c r="P4558" s="34"/>
      <c r="Q4558" s="37"/>
      <c r="R4558" s="47"/>
      <c r="S4558" s="46"/>
    </row>
    <row r="4559" spans="1:19" ht="12" hidden="1" customHeight="1" x14ac:dyDescent="0.3">
      <c r="A4559" s="35" t="s">
        <v>908</v>
      </c>
      <c r="B4559" s="49" t="str">
        <f>B4555</f>
        <v>hide</v>
      </c>
      <c r="N4559"/>
      <c r="Q4559" s="33"/>
    </row>
    <row r="4560" spans="1:19" ht="13.8" hidden="1" thickBot="1" x14ac:dyDescent="0.3">
      <c r="A4560" t="s">
        <v>23</v>
      </c>
      <c r="B4560" s="49" t="str">
        <f t="shared" ref="B4560" si="3264">B4559</f>
        <v>hide</v>
      </c>
      <c r="D4560" s="58"/>
      <c r="E4560" s="58"/>
      <c r="F4560" s="52">
        <f>SUM(F4555:F4559)</f>
        <v>0</v>
      </c>
      <c r="G4560" s="52">
        <f>SUM(G4555:G4559)</f>
        <v>0</v>
      </c>
      <c r="H4560" s="52">
        <f>SUM(H4555:H4559)</f>
        <v>0</v>
      </c>
      <c r="I4560" s="52">
        <f>SUM(I4555:I4559)</f>
        <v>0</v>
      </c>
      <c r="J4560" s="52">
        <f>SUM(J4555:J4559)</f>
        <v>0</v>
      </c>
      <c r="K4560" s="52"/>
      <c r="L4560" s="51" t="s">
        <v>4</v>
      </c>
      <c r="M4560" s="58"/>
      <c r="N4560" s="58"/>
      <c r="O4560" s="58"/>
      <c r="P4560" s="58"/>
      <c r="Q4560" s="58"/>
      <c r="R4560" s="58"/>
      <c r="S4560" s="58"/>
    </row>
    <row r="4561" spans="1:19" s="59" customFormat="1" ht="18.75" hidden="1" customHeight="1" thickBot="1" x14ac:dyDescent="0.3">
      <c r="A4561" s="59" t="s">
        <v>23</v>
      </c>
      <c r="B4561" s="60" t="str">
        <f t="shared" ref="B4561:B4562" si="3265">IF(K4561=0,"hide","")</f>
        <v>hide</v>
      </c>
      <c r="D4561" s="61" t="str">
        <f>"77301"</f>
        <v>77301</v>
      </c>
      <c r="E4561" s="62" t="str">
        <f>"1"</f>
        <v>1</v>
      </c>
      <c r="F4561" s="63">
        <v>0</v>
      </c>
      <c r="G4561" s="63">
        <v>0</v>
      </c>
      <c r="H4561" s="63">
        <v>0</v>
      </c>
      <c r="I4561" s="63">
        <v>0</v>
      </c>
      <c r="J4561" s="63">
        <v>0</v>
      </c>
      <c r="K4561" s="63">
        <f>AVERAGE(I4561:J4561)</f>
        <v>0</v>
      </c>
      <c r="L4561" s="64" t="str">
        <f>"Blueberry Muffins"</f>
        <v>Blueberry Muffins</v>
      </c>
      <c r="M4561" s="65" t="str">
        <f>"24-3.5 oz. 2-12 packs"</f>
        <v>24-3.5 oz. 2-12 packs</v>
      </c>
      <c r="N4561" s="66">
        <v>24</v>
      </c>
      <c r="O4561" s="67" t="str">
        <f>""</f>
        <v/>
      </c>
      <c r="P4561" s="68" t="e">
        <f>1/O4561</f>
        <v>#VALUE!</v>
      </c>
      <c r="Q4561" s="53">
        <v>1</v>
      </c>
      <c r="R4561" s="69">
        <f t="shared" ref="R4561" si="3266">1/Q4561</f>
        <v>1</v>
      </c>
      <c r="S4561" s="70">
        <f t="shared" ref="S4561" si="3267">R4561*N4561</f>
        <v>24</v>
      </c>
    </row>
    <row r="4562" spans="1:19" ht="15.6" hidden="1" customHeight="1" thickBot="1" x14ac:dyDescent="0.3">
      <c r="A4562" t="s">
        <v>23</v>
      </c>
      <c r="B4562" s="60" t="str">
        <f t="shared" si="3265"/>
        <v>hide</v>
      </c>
      <c r="D4562" s="48" t="str">
        <f>D4561</f>
        <v>77301</v>
      </c>
      <c r="E4562" s="7"/>
      <c r="F4562" s="27">
        <v>0</v>
      </c>
      <c r="G4562" s="27">
        <v>0</v>
      </c>
      <c r="H4562" s="27">
        <v>0</v>
      </c>
      <c r="I4562" s="27">
        <v>0</v>
      </c>
      <c r="J4562" s="27">
        <v>0</v>
      </c>
      <c r="K4562" s="63">
        <f>AVERAGE(I4562:J4562)</f>
        <v>0</v>
      </c>
      <c r="L4562" s="56" t="str">
        <f>"EQP-LAWPACK1"</f>
        <v>EQP-LAWPACK1</v>
      </c>
      <c r="M4562" s="14"/>
      <c r="N4562" s="15"/>
      <c r="O4562" s="12"/>
      <c r="P4562" s="34"/>
      <c r="Q4562" s="37"/>
      <c r="R4562" s="47"/>
      <c r="S4562" s="46"/>
    </row>
    <row r="4563" spans="1:19" ht="15.6" hidden="1" customHeight="1" thickBot="1" x14ac:dyDescent="0.3">
      <c r="A4563" t="s">
        <v>23</v>
      </c>
      <c r="B4563" s="60" t="str">
        <f t="shared" ref="B4563:B4565" si="3268">IF(K4563=0,"hide","")</f>
        <v>hide</v>
      </c>
      <c r="D4563" s="48" t="str">
        <f>D4562</f>
        <v>77301</v>
      </c>
      <c r="E4563" s="7"/>
      <c r="F4563" s="27">
        <v>0</v>
      </c>
      <c r="G4563" s="27">
        <v>0</v>
      </c>
      <c r="H4563" s="27">
        <v>0</v>
      </c>
      <c r="I4563" s="27">
        <v>0</v>
      </c>
      <c r="J4563" s="27">
        <v>0</v>
      </c>
      <c r="K4563" s="63">
        <f>AVERAGE(I4563:J4563)</f>
        <v>0</v>
      </c>
      <c r="L4563" s="56" t="str">
        <f>"EQP-LAWPACK2"</f>
        <v>EQP-LAWPACK2</v>
      </c>
      <c r="M4563" s="14"/>
      <c r="N4563" s="15"/>
      <c r="O4563" s="12"/>
      <c r="P4563" s="34"/>
      <c r="Q4563" s="37"/>
      <c r="R4563" s="47"/>
      <c r="S4563" s="46"/>
    </row>
    <row r="4564" spans="1:19" ht="15.6" hidden="1" customHeight="1" thickBot="1" x14ac:dyDescent="0.3">
      <c r="A4564" t="s">
        <v>23</v>
      </c>
      <c r="B4564" s="60" t="str">
        <f t="shared" si="3268"/>
        <v>hide</v>
      </c>
      <c r="D4564" s="48" t="str">
        <f>D4563</f>
        <v>77301</v>
      </c>
      <c r="E4564" s="7"/>
      <c r="F4564" s="27">
        <v>0</v>
      </c>
      <c r="G4564" s="27">
        <v>0</v>
      </c>
      <c r="H4564" s="27">
        <v>0</v>
      </c>
      <c r="I4564" s="27">
        <v>0</v>
      </c>
      <c r="J4564" s="27">
        <v>0</v>
      </c>
      <c r="K4564" s="63">
        <f>AVERAGE(I4564:J4564)</f>
        <v>0</v>
      </c>
      <c r="L4564" s="56" t="str">
        <f>"SW-COMAS-PACKL"</f>
        <v>SW-COMAS-PACKL</v>
      </c>
      <c r="M4564" s="14"/>
      <c r="N4564" s="15"/>
      <c r="O4564" s="12"/>
      <c r="P4564" s="34"/>
      <c r="Q4564" s="37"/>
      <c r="R4564" s="47"/>
      <c r="S4564" s="46"/>
    </row>
    <row r="4565" spans="1:19" ht="15.6" hidden="1" customHeight="1" thickBot="1" x14ac:dyDescent="0.3">
      <c r="A4565" t="s">
        <v>23</v>
      </c>
      <c r="B4565" s="60" t="str">
        <f t="shared" si="3268"/>
        <v>hide</v>
      </c>
      <c r="D4565" s="48" t="str">
        <f>D4564</f>
        <v>77301</v>
      </c>
      <c r="E4565" s="7"/>
      <c r="F4565" s="27">
        <v>0</v>
      </c>
      <c r="G4565" s="27">
        <v>0</v>
      </c>
      <c r="H4565" s="27">
        <v>0</v>
      </c>
      <c r="I4565" s="27">
        <v>0</v>
      </c>
      <c r="J4565" s="27">
        <v>0</v>
      </c>
      <c r="K4565" s="63">
        <f>AVERAGE(I4565:J4565)</f>
        <v>0</v>
      </c>
      <c r="L4565" s="56" t="str">
        <f>"SW-RISER-PACK"</f>
        <v>SW-RISER-PACK</v>
      </c>
      <c r="M4565" s="14"/>
      <c r="N4565" s="15"/>
      <c r="O4565" s="12"/>
      <c r="P4565" s="34"/>
      <c r="Q4565" s="37"/>
      <c r="R4565" s="47"/>
      <c r="S4565" s="46"/>
    </row>
    <row r="4566" spans="1:19" ht="12" hidden="1" customHeight="1" x14ac:dyDescent="0.3">
      <c r="A4566" s="35" t="s">
        <v>908</v>
      </c>
      <c r="B4566" s="49" t="str">
        <f>B4562</f>
        <v>hide</v>
      </c>
      <c r="N4566"/>
      <c r="Q4566" s="33"/>
    </row>
    <row r="4567" spans="1:19" ht="13.8" hidden="1" thickBot="1" x14ac:dyDescent="0.3">
      <c r="A4567" t="s">
        <v>23</v>
      </c>
      <c r="B4567" s="49" t="str">
        <f t="shared" ref="B4567" si="3269">B4566</f>
        <v>hide</v>
      </c>
      <c r="D4567" s="58"/>
      <c r="E4567" s="58"/>
      <c r="F4567" s="52">
        <f>SUM(F4562:F4566)</f>
        <v>0</v>
      </c>
      <c r="G4567" s="52">
        <f>SUM(G4562:G4566)</f>
        <v>0</v>
      </c>
      <c r="H4567" s="52">
        <f>SUM(H4562:H4566)</f>
        <v>0</v>
      </c>
      <c r="I4567" s="52">
        <f>SUM(I4562:I4566)</f>
        <v>0</v>
      </c>
      <c r="J4567" s="52">
        <f>SUM(J4562:J4566)</f>
        <v>0</v>
      </c>
      <c r="K4567" s="52"/>
      <c r="L4567" s="51" t="s">
        <v>4</v>
      </c>
      <c r="M4567" s="58"/>
      <c r="N4567" s="58"/>
      <c r="O4567" s="58"/>
      <c r="P4567" s="58"/>
      <c r="Q4567" s="58"/>
      <c r="R4567" s="58"/>
      <c r="S4567" s="58"/>
    </row>
    <row r="4568" spans="1:19" s="59" customFormat="1" ht="18.75" hidden="1" customHeight="1" thickBot="1" x14ac:dyDescent="0.3">
      <c r="A4568" s="59" t="s">
        <v>23</v>
      </c>
      <c r="B4568" s="60" t="str">
        <f t="shared" ref="B4568:B4569" si="3270">IF(K4568=0,"hide","")</f>
        <v>hide</v>
      </c>
      <c r="D4568" s="61" t="str">
        <f>"77361"</f>
        <v>77361</v>
      </c>
      <c r="E4568" s="62" t="str">
        <f>"4"</f>
        <v>4</v>
      </c>
      <c r="F4568" s="63">
        <v>107.33333333333333</v>
      </c>
      <c r="G4568" s="63">
        <v>51.416666666666664</v>
      </c>
      <c r="H4568" s="63">
        <v>21.166666666666668</v>
      </c>
      <c r="I4568" s="63">
        <v>0</v>
      </c>
      <c r="J4568" s="63">
        <v>0</v>
      </c>
      <c r="K4568" s="63">
        <f>AVERAGE(I4568:J4568)</f>
        <v>0</v>
      </c>
      <c r="L4568" s="64" t="str">
        <f>"LF BLUEBERRY MUFFINS"</f>
        <v>LF BLUEBERRY MUFFINS</v>
      </c>
      <c r="M4568" s="65" t="str">
        <f>"24-5 oz. 2-12 pack"</f>
        <v>24-5 oz. 2-12 pack</v>
      </c>
      <c r="N4568" s="66">
        <v>24</v>
      </c>
      <c r="O4568" s="67" t="str">
        <f>""</f>
        <v/>
      </c>
      <c r="P4568" s="68" t="e">
        <f>1/O4568</f>
        <v>#VALUE!</v>
      </c>
      <c r="Q4568" s="53">
        <v>1</v>
      </c>
      <c r="R4568" s="69">
        <f t="shared" ref="R4568" si="3271">1/Q4568</f>
        <v>1</v>
      </c>
      <c r="S4568" s="70">
        <f t="shared" ref="S4568" si="3272">R4568*N4568</f>
        <v>24</v>
      </c>
    </row>
    <row r="4569" spans="1:19" ht="15.6" hidden="1" customHeight="1" thickBot="1" x14ac:dyDescent="0.3">
      <c r="A4569" t="s">
        <v>23</v>
      </c>
      <c r="B4569" s="60" t="str">
        <f t="shared" si="3270"/>
        <v>hide</v>
      </c>
      <c r="D4569" s="48" t="str">
        <f>D4568</f>
        <v>77361</v>
      </c>
      <c r="E4569" s="7"/>
      <c r="F4569" s="27">
        <v>0</v>
      </c>
      <c r="G4569" s="27">
        <v>0</v>
      </c>
      <c r="H4569" s="27">
        <v>0</v>
      </c>
      <c r="I4569" s="27">
        <v>0</v>
      </c>
      <c r="J4569" s="27">
        <v>0</v>
      </c>
      <c r="K4569" s="63">
        <f>AVERAGE(I4569:J4569)</f>
        <v>0</v>
      </c>
      <c r="L4569" s="56" t="str">
        <f>"EQP-LAWPACK1"</f>
        <v>EQP-LAWPACK1</v>
      </c>
      <c r="M4569" s="14"/>
      <c r="N4569" s="15"/>
      <c r="O4569" s="12"/>
      <c r="P4569" s="34"/>
      <c r="Q4569" s="37"/>
      <c r="R4569" s="47"/>
      <c r="S4569" s="46"/>
    </row>
    <row r="4570" spans="1:19" ht="15.6" hidden="1" customHeight="1" thickBot="1" x14ac:dyDescent="0.3">
      <c r="A4570" t="s">
        <v>23</v>
      </c>
      <c r="B4570" s="60" t="str">
        <f t="shared" ref="B4570:B4572" si="3273">IF(K4570=0,"hide","")</f>
        <v>hide</v>
      </c>
      <c r="D4570" s="48" t="str">
        <f>D4569</f>
        <v>77361</v>
      </c>
      <c r="E4570" s="7"/>
      <c r="F4570" s="27">
        <v>0</v>
      </c>
      <c r="G4570" s="27">
        <v>0</v>
      </c>
      <c r="H4570" s="27">
        <v>0</v>
      </c>
      <c r="I4570" s="27">
        <v>0</v>
      </c>
      <c r="J4570" s="27">
        <v>0</v>
      </c>
      <c r="K4570" s="63">
        <f>AVERAGE(I4570:J4570)</f>
        <v>0</v>
      </c>
      <c r="L4570" s="56" t="str">
        <f>"EQP-LAWPACK2"</f>
        <v>EQP-LAWPACK2</v>
      </c>
      <c r="M4570" s="14"/>
      <c r="N4570" s="15"/>
      <c r="O4570" s="12"/>
      <c r="P4570" s="34"/>
      <c r="Q4570" s="37"/>
      <c r="R4570" s="47"/>
      <c r="S4570" s="46"/>
    </row>
    <row r="4571" spans="1:19" ht="15.6" hidden="1" customHeight="1" thickBot="1" x14ac:dyDescent="0.3">
      <c r="A4571" t="s">
        <v>23</v>
      </c>
      <c r="B4571" s="60" t="str">
        <f t="shared" si="3273"/>
        <v>hide</v>
      </c>
      <c r="D4571" s="48" t="str">
        <f>D4570</f>
        <v>77361</v>
      </c>
      <c r="E4571" s="7"/>
      <c r="F4571" s="27">
        <v>0</v>
      </c>
      <c r="G4571" s="27">
        <v>0</v>
      </c>
      <c r="H4571" s="27">
        <v>0</v>
      </c>
      <c r="I4571" s="27">
        <v>0</v>
      </c>
      <c r="J4571" s="27">
        <v>0</v>
      </c>
      <c r="K4571" s="63">
        <f>AVERAGE(I4571:J4571)</f>
        <v>0</v>
      </c>
      <c r="L4571" s="56" t="str">
        <f>"SW-COMAS-PACKL"</f>
        <v>SW-COMAS-PACKL</v>
      </c>
      <c r="M4571" s="14"/>
      <c r="N4571" s="15"/>
      <c r="O4571" s="12"/>
      <c r="P4571" s="34"/>
      <c r="Q4571" s="37"/>
      <c r="R4571" s="47"/>
      <c r="S4571" s="46"/>
    </row>
    <row r="4572" spans="1:19" ht="15.6" hidden="1" customHeight="1" thickBot="1" x14ac:dyDescent="0.3">
      <c r="A4572" t="s">
        <v>23</v>
      </c>
      <c r="B4572" s="60" t="str">
        <f t="shared" si="3273"/>
        <v>hide</v>
      </c>
      <c r="D4572" s="48" t="str">
        <f>D4571</f>
        <v>77361</v>
      </c>
      <c r="E4572" s="7"/>
      <c r="F4572" s="27">
        <v>0</v>
      </c>
      <c r="G4572" s="27">
        <v>0</v>
      </c>
      <c r="H4572" s="27">
        <v>0</v>
      </c>
      <c r="I4572" s="27">
        <v>0</v>
      </c>
      <c r="J4572" s="27">
        <v>0</v>
      </c>
      <c r="K4572" s="63">
        <f>AVERAGE(I4572:J4572)</f>
        <v>0</v>
      </c>
      <c r="L4572" s="56" t="str">
        <f>"SW-RISER-PACK"</f>
        <v>SW-RISER-PACK</v>
      </c>
      <c r="M4572" s="14"/>
      <c r="N4572" s="15"/>
      <c r="O4572" s="12"/>
      <c r="P4572" s="34"/>
      <c r="Q4572" s="37"/>
      <c r="R4572" s="47"/>
      <c r="S4572" s="46"/>
    </row>
    <row r="4573" spans="1:19" ht="12" hidden="1" customHeight="1" x14ac:dyDescent="0.3">
      <c r="A4573" s="35" t="s">
        <v>908</v>
      </c>
      <c r="B4573" s="49" t="str">
        <f>B4569</f>
        <v>hide</v>
      </c>
      <c r="N4573"/>
      <c r="Q4573" s="33"/>
    </row>
    <row r="4574" spans="1:19" ht="13.8" hidden="1" thickBot="1" x14ac:dyDescent="0.3">
      <c r="A4574" t="s">
        <v>23</v>
      </c>
      <c r="B4574" s="49" t="str">
        <f t="shared" ref="B4574" si="3274">B4573</f>
        <v>hide</v>
      </c>
      <c r="D4574" s="58"/>
      <c r="E4574" s="58"/>
      <c r="F4574" s="52">
        <f>SUM(F4569:F4573)</f>
        <v>0</v>
      </c>
      <c r="G4574" s="52">
        <f>SUM(G4569:G4573)</f>
        <v>0</v>
      </c>
      <c r="H4574" s="52">
        <f>SUM(H4569:H4573)</f>
        <v>0</v>
      </c>
      <c r="I4574" s="52">
        <f>SUM(I4569:I4573)</f>
        <v>0</v>
      </c>
      <c r="J4574" s="52">
        <f>SUM(J4569:J4573)</f>
        <v>0</v>
      </c>
      <c r="K4574" s="52"/>
      <c r="L4574" s="51" t="s">
        <v>4</v>
      </c>
      <c r="M4574" s="58"/>
      <c r="N4574" s="58"/>
      <c r="O4574" s="58"/>
      <c r="P4574" s="58"/>
      <c r="Q4574" s="58"/>
      <c r="R4574" s="58"/>
      <c r="S4574" s="58"/>
    </row>
    <row r="4575" spans="1:19" s="59" customFormat="1" ht="18.75" hidden="1" customHeight="1" thickBot="1" x14ac:dyDescent="0.3">
      <c r="A4575" s="59" t="s">
        <v>23</v>
      </c>
      <c r="B4575" s="60" t="str">
        <f t="shared" ref="B4575:B4576" si="3275">IF(K4575=0,"hide","")</f>
        <v>hide</v>
      </c>
      <c r="D4575" s="61" t="str">
        <f>"77362"</f>
        <v>77362</v>
      </c>
      <c r="E4575" s="62" t="str">
        <f>"4"</f>
        <v>4</v>
      </c>
      <c r="F4575" s="63">
        <v>74.666666666666671</v>
      </c>
      <c r="G4575" s="63">
        <v>44.416666666666664</v>
      </c>
      <c r="H4575" s="63">
        <v>3.75</v>
      </c>
      <c r="I4575" s="63">
        <v>0</v>
      </c>
      <c r="J4575" s="63">
        <v>0</v>
      </c>
      <c r="K4575" s="63">
        <f>AVERAGE(I4575:J4575)</f>
        <v>0</v>
      </c>
      <c r="L4575" s="64" t="str">
        <f>"LF CRANBERRY MUFFINS"</f>
        <v>LF CRANBERRY MUFFINS</v>
      </c>
      <c r="M4575" s="65" t="str">
        <f>"24-5 oz. 2-12 pack"</f>
        <v>24-5 oz. 2-12 pack</v>
      </c>
      <c r="N4575" s="66">
        <v>24</v>
      </c>
      <c r="O4575" s="67" t="str">
        <f>""</f>
        <v/>
      </c>
      <c r="P4575" s="68" t="e">
        <f>1/O4575</f>
        <v>#VALUE!</v>
      </c>
      <c r="Q4575" s="53">
        <v>1</v>
      </c>
      <c r="R4575" s="69">
        <f t="shared" ref="R4575" si="3276">1/Q4575</f>
        <v>1</v>
      </c>
      <c r="S4575" s="70">
        <f t="shared" ref="S4575" si="3277">R4575*N4575</f>
        <v>24</v>
      </c>
    </row>
    <row r="4576" spans="1:19" ht="15.6" hidden="1" customHeight="1" thickBot="1" x14ac:dyDescent="0.3">
      <c r="A4576" t="s">
        <v>23</v>
      </c>
      <c r="B4576" s="60" t="str">
        <f t="shared" si="3275"/>
        <v>hide</v>
      </c>
      <c r="D4576" s="48" t="str">
        <f>D4575</f>
        <v>77362</v>
      </c>
      <c r="E4576" s="7"/>
      <c r="F4576" s="27">
        <v>0</v>
      </c>
      <c r="G4576" s="27">
        <v>0</v>
      </c>
      <c r="H4576" s="27">
        <v>0</v>
      </c>
      <c r="I4576" s="27">
        <v>0</v>
      </c>
      <c r="J4576" s="27">
        <v>0</v>
      </c>
      <c r="K4576" s="63">
        <f>AVERAGE(I4576:J4576)</f>
        <v>0</v>
      </c>
      <c r="L4576" s="56" t="str">
        <f>"EQP-LAWPACK1"</f>
        <v>EQP-LAWPACK1</v>
      </c>
      <c r="M4576" s="14"/>
      <c r="N4576" s="15"/>
      <c r="O4576" s="12"/>
      <c r="P4576" s="34"/>
      <c r="Q4576" s="37"/>
      <c r="R4576" s="47"/>
      <c r="S4576" s="46"/>
    </row>
    <row r="4577" spans="1:19" ht="15.6" hidden="1" customHeight="1" thickBot="1" x14ac:dyDescent="0.3">
      <c r="A4577" t="s">
        <v>23</v>
      </c>
      <c r="B4577" s="60" t="str">
        <f t="shared" ref="B4577:B4579" si="3278">IF(K4577=0,"hide","")</f>
        <v>hide</v>
      </c>
      <c r="D4577" s="48" t="str">
        <f>D4576</f>
        <v>77362</v>
      </c>
      <c r="E4577" s="7"/>
      <c r="F4577" s="27">
        <v>0</v>
      </c>
      <c r="G4577" s="27">
        <v>0</v>
      </c>
      <c r="H4577" s="27">
        <v>0</v>
      </c>
      <c r="I4577" s="27">
        <v>0</v>
      </c>
      <c r="J4577" s="27">
        <v>0</v>
      </c>
      <c r="K4577" s="63">
        <f>AVERAGE(I4577:J4577)</f>
        <v>0</v>
      </c>
      <c r="L4577" s="56" t="str">
        <f>"EQP-LAWPACK2"</f>
        <v>EQP-LAWPACK2</v>
      </c>
      <c r="M4577" s="14"/>
      <c r="N4577" s="15"/>
      <c r="O4577" s="12"/>
      <c r="P4577" s="34"/>
      <c r="Q4577" s="37"/>
      <c r="R4577" s="47"/>
      <c r="S4577" s="46"/>
    </row>
    <row r="4578" spans="1:19" ht="15.6" hidden="1" customHeight="1" thickBot="1" x14ac:dyDescent="0.3">
      <c r="A4578" t="s">
        <v>23</v>
      </c>
      <c r="B4578" s="60" t="str">
        <f t="shared" si="3278"/>
        <v>hide</v>
      </c>
      <c r="D4578" s="48" t="str">
        <f>D4577</f>
        <v>77362</v>
      </c>
      <c r="E4578" s="7"/>
      <c r="F4578" s="27">
        <v>0</v>
      </c>
      <c r="G4578" s="27">
        <v>0</v>
      </c>
      <c r="H4578" s="27">
        <v>0</v>
      </c>
      <c r="I4578" s="27">
        <v>0</v>
      </c>
      <c r="J4578" s="27">
        <v>0</v>
      </c>
      <c r="K4578" s="63">
        <f>AVERAGE(I4578:J4578)</f>
        <v>0</v>
      </c>
      <c r="L4578" s="56" t="str">
        <f>"SW-COMAS-PACKL"</f>
        <v>SW-COMAS-PACKL</v>
      </c>
      <c r="M4578" s="14"/>
      <c r="N4578" s="15"/>
      <c r="O4578" s="12"/>
      <c r="P4578" s="34"/>
      <c r="Q4578" s="37"/>
      <c r="R4578" s="47"/>
      <c r="S4578" s="46"/>
    </row>
    <row r="4579" spans="1:19" ht="15.6" hidden="1" customHeight="1" thickBot="1" x14ac:dyDescent="0.3">
      <c r="A4579" t="s">
        <v>23</v>
      </c>
      <c r="B4579" s="60" t="str">
        <f t="shared" si="3278"/>
        <v>hide</v>
      </c>
      <c r="D4579" s="48" t="str">
        <f>D4578</f>
        <v>77362</v>
      </c>
      <c r="E4579" s="7"/>
      <c r="F4579" s="27">
        <v>0</v>
      </c>
      <c r="G4579" s="27">
        <v>0</v>
      </c>
      <c r="H4579" s="27">
        <v>0</v>
      </c>
      <c r="I4579" s="27">
        <v>0</v>
      </c>
      <c r="J4579" s="27">
        <v>0</v>
      </c>
      <c r="K4579" s="63">
        <f>AVERAGE(I4579:J4579)</f>
        <v>0</v>
      </c>
      <c r="L4579" s="56" t="str">
        <f>"SW-RISER-PACK"</f>
        <v>SW-RISER-PACK</v>
      </c>
      <c r="M4579" s="14"/>
      <c r="N4579" s="15"/>
      <c r="O4579" s="12"/>
      <c r="P4579" s="34"/>
      <c r="Q4579" s="37"/>
      <c r="R4579" s="47"/>
      <c r="S4579" s="46"/>
    </row>
    <row r="4580" spans="1:19" ht="12" hidden="1" customHeight="1" x14ac:dyDescent="0.3">
      <c r="A4580" s="35" t="s">
        <v>908</v>
      </c>
      <c r="B4580" s="49" t="str">
        <f>B4576</f>
        <v>hide</v>
      </c>
      <c r="N4580"/>
      <c r="Q4580" s="33"/>
    </row>
    <row r="4581" spans="1:19" ht="13.8" hidden="1" thickBot="1" x14ac:dyDescent="0.3">
      <c r="A4581" t="s">
        <v>23</v>
      </c>
      <c r="B4581" s="49" t="str">
        <f t="shared" ref="B4581" si="3279">B4580</f>
        <v>hide</v>
      </c>
      <c r="D4581" s="58"/>
      <c r="E4581" s="58"/>
      <c r="F4581" s="52">
        <f>SUM(F4576:F4580)</f>
        <v>0</v>
      </c>
      <c r="G4581" s="52">
        <f>SUM(G4576:G4580)</f>
        <v>0</v>
      </c>
      <c r="H4581" s="52">
        <f>SUM(H4576:H4580)</f>
        <v>0</v>
      </c>
      <c r="I4581" s="52">
        <f>SUM(I4576:I4580)</f>
        <v>0</v>
      </c>
      <c r="J4581" s="52">
        <f>SUM(J4576:J4580)</f>
        <v>0</v>
      </c>
      <c r="K4581" s="52"/>
      <c r="L4581" s="51" t="s">
        <v>4</v>
      </c>
      <c r="M4581" s="58"/>
      <c r="N4581" s="58"/>
      <c r="O4581" s="58"/>
      <c r="P4581" s="58"/>
      <c r="Q4581" s="58"/>
      <c r="R4581" s="58"/>
      <c r="S4581" s="58"/>
    </row>
    <row r="4582" spans="1:19" s="59" customFormat="1" ht="18.75" hidden="1" customHeight="1" thickBot="1" x14ac:dyDescent="0.3">
      <c r="A4582" s="59" t="s">
        <v>23</v>
      </c>
      <c r="B4582" s="60" t="str">
        <f t="shared" ref="B4582:B4583" si="3280">IF(K4582=0,"hide","")</f>
        <v>hide</v>
      </c>
      <c r="D4582" s="61" t="str">
        <f>"77365"</f>
        <v>77365</v>
      </c>
      <c r="E4582" s="62" t="str">
        <f>"4"</f>
        <v>4</v>
      </c>
      <c r="F4582" s="63">
        <v>79.416666666666671</v>
      </c>
      <c r="G4582" s="63">
        <v>42</v>
      </c>
      <c r="H4582" s="63">
        <v>2.5</v>
      </c>
      <c r="I4582" s="63">
        <v>0</v>
      </c>
      <c r="J4582" s="63">
        <v>0</v>
      </c>
      <c r="K4582" s="63">
        <f>AVERAGE(I4582:J4582)</f>
        <v>0</v>
      </c>
      <c r="L4582" s="64" t="str">
        <f>"LF CORN MUFFINS"</f>
        <v>LF CORN MUFFINS</v>
      </c>
      <c r="M4582" s="65" t="str">
        <f>"24-5 oz. 2-12 pack"</f>
        <v>24-5 oz. 2-12 pack</v>
      </c>
      <c r="N4582" s="66">
        <v>24</v>
      </c>
      <c r="O4582" s="67" t="str">
        <f>""</f>
        <v/>
      </c>
      <c r="P4582" s="68" t="e">
        <f>1/O4582</f>
        <v>#VALUE!</v>
      </c>
      <c r="Q4582" s="53">
        <v>1</v>
      </c>
      <c r="R4582" s="69">
        <f t="shared" ref="R4582" si="3281">1/Q4582</f>
        <v>1</v>
      </c>
      <c r="S4582" s="70">
        <f t="shared" ref="S4582" si="3282">R4582*N4582</f>
        <v>24</v>
      </c>
    </row>
    <row r="4583" spans="1:19" ht="15.6" hidden="1" customHeight="1" thickBot="1" x14ac:dyDescent="0.3">
      <c r="A4583" t="s">
        <v>23</v>
      </c>
      <c r="B4583" s="60" t="str">
        <f t="shared" si="3280"/>
        <v>hide</v>
      </c>
      <c r="D4583" s="48" t="str">
        <f>D4582</f>
        <v>77365</v>
      </c>
      <c r="E4583" s="7"/>
      <c r="F4583" s="27">
        <v>0</v>
      </c>
      <c r="G4583" s="27">
        <v>0</v>
      </c>
      <c r="H4583" s="27">
        <v>0</v>
      </c>
      <c r="I4583" s="27">
        <v>0</v>
      </c>
      <c r="J4583" s="27">
        <v>0</v>
      </c>
      <c r="K4583" s="63">
        <f>AVERAGE(I4583:J4583)</f>
        <v>0</v>
      </c>
      <c r="L4583" s="56" t="str">
        <f>"EQP-LAWPACK1"</f>
        <v>EQP-LAWPACK1</v>
      </c>
      <c r="M4583" s="14"/>
      <c r="N4583" s="15"/>
      <c r="O4583" s="12"/>
      <c r="P4583" s="34"/>
      <c r="Q4583" s="37"/>
      <c r="R4583" s="47"/>
      <c r="S4583" s="46"/>
    </row>
    <row r="4584" spans="1:19" ht="15.6" hidden="1" customHeight="1" thickBot="1" x14ac:dyDescent="0.3">
      <c r="A4584" t="s">
        <v>23</v>
      </c>
      <c r="B4584" s="60" t="str">
        <f t="shared" ref="B4584:B4586" si="3283">IF(K4584=0,"hide","")</f>
        <v>hide</v>
      </c>
      <c r="D4584" s="48" t="str">
        <f>D4583</f>
        <v>77365</v>
      </c>
      <c r="E4584" s="7"/>
      <c r="F4584" s="27">
        <v>0</v>
      </c>
      <c r="G4584" s="27">
        <v>0</v>
      </c>
      <c r="H4584" s="27">
        <v>0</v>
      </c>
      <c r="I4584" s="27">
        <v>0</v>
      </c>
      <c r="J4584" s="27">
        <v>0</v>
      </c>
      <c r="K4584" s="63">
        <f>AVERAGE(I4584:J4584)</f>
        <v>0</v>
      </c>
      <c r="L4584" s="56" t="str">
        <f>"EQP-LAWPACK2"</f>
        <v>EQP-LAWPACK2</v>
      </c>
      <c r="M4584" s="14"/>
      <c r="N4584" s="15"/>
      <c r="O4584" s="12"/>
      <c r="P4584" s="34"/>
      <c r="Q4584" s="37"/>
      <c r="R4584" s="47"/>
      <c r="S4584" s="46"/>
    </row>
    <row r="4585" spans="1:19" ht="15.6" hidden="1" customHeight="1" thickBot="1" x14ac:dyDescent="0.3">
      <c r="A4585" t="s">
        <v>23</v>
      </c>
      <c r="B4585" s="60" t="str">
        <f t="shared" si="3283"/>
        <v>hide</v>
      </c>
      <c r="D4585" s="48" t="str">
        <f>D4584</f>
        <v>77365</v>
      </c>
      <c r="E4585" s="7"/>
      <c r="F4585" s="27">
        <v>0</v>
      </c>
      <c r="G4585" s="27">
        <v>0</v>
      </c>
      <c r="H4585" s="27">
        <v>0</v>
      </c>
      <c r="I4585" s="27">
        <v>0</v>
      </c>
      <c r="J4585" s="27">
        <v>0</v>
      </c>
      <c r="K4585" s="63">
        <f>AVERAGE(I4585:J4585)</f>
        <v>0</v>
      </c>
      <c r="L4585" s="56" t="str">
        <f>"SW-COMAS-PACKL"</f>
        <v>SW-COMAS-PACKL</v>
      </c>
      <c r="M4585" s="14"/>
      <c r="N4585" s="15"/>
      <c r="O4585" s="12"/>
      <c r="P4585" s="34"/>
      <c r="Q4585" s="37"/>
      <c r="R4585" s="47"/>
      <c r="S4585" s="46"/>
    </row>
    <row r="4586" spans="1:19" ht="15.6" hidden="1" customHeight="1" thickBot="1" x14ac:dyDescent="0.3">
      <c r="A4586" t="s">
        <v>23</v>
      </c>
      <c r="B4586" s="60" t="str">
        <f t="shared" si="3283"/>
        <v>hide</v>
      </c>
      <c r="D4586" s="48" t="str">
        <f>D4585</f>
        <v>77365</v>
      </c>
      <c r="E4586" s="7"/>
      <c r="F4586" s="27">
        <v>0</v>
      </c>
      <c r="G4586" s="27">
        <v>0</v>
      </c>
      <c r="H4586" s="27">
        <v>0</v>
      </c>
      <c r="I4586" s="27">
        <v>0</v>
      </c>
      <c r="J4586" s="27">
        <v>0</v>
      </c>
      <c r="K4586" s="63">
        <f>AVERAGE(I4586:J4586)</f>
        <v>0</v>
      </c>
      <c r="L4586" s="56" t="str">
        <f>"SW-RISER-PACK"</f>
        <v>SW-RISER-PACK</v>
      </c>
      <c r="M4586" s="14"/>
      <c r="N4586" s="15"/>
      <c r="O4586" s="12"/>
      <c r="P4586" s="34"/>
      <c r="Q4586" s="37"/>
      <c r="R4586" s="47"/>
      <c r="S4586" s="46"/>
    </row>
    <row r="4587" spans="1:19" ht="12" hidden="1" customHeight="1" x14ac:dyDescent="0.3">
      <c r="A4587" s="35" t="s">
        <v>908</v>
      </c>
      <c r="B4587" s="49" t="str">
        <f>B4583</f>
        <v>hide</v>
      </c>
      <c r="N4587"/>
      <c r="Q4587" s="33"/>
    </row>
    <row r="4588" spans="1:19" ht="13.8" hidden="1" thickBot="1" x14ac:dyDescent="0.3">
      <c r="A4588" t="s">
        <v>23</v>
      </c>
      <c r="B4588" s="49" t="str">
        <f t="shared" ref="B4588" si="3284">B4587</f>
        <v>hide</v>
      </c>
      <c r="D4588" s="58"/>
      <c r="E4588" s="58"/>
      <c r="F4588" s="52">
        <f>SUM(F4583:F4587)</f>
        <v>0</v>
      </c>
      <c r="G4588" s="52">
        <f>SUM(G4583:G4587)</f>
        <v>0</v>
      </c>
      <c r="H4588" s="52">
        <f>SUM(H4583:H4587)</f>
        <v>0</v>
      </c>
      <c r="I4588" s="52">
        <f>SUM(I4583:I4587)</f>
        <v>0</v>
      </c>
      <c r="J4588" s="52">
        <f>SUM(J4583:J4587)</f>
        <v>0</v>
      </c>
      <c r="K4588" s="52"/>
      <c r="L4588" s="51" t="s">
        <v>4</v>
      </c>
      <c r="M4588" s="58"/>
      <c r="N4588" s="58"/>
      <c r="O4588" s="58"/>
      <c r="P4588" s="58"/>
      <c r="Q4588" s="58"/>
      <c r="R4588" s="58"/>
      <c r="S4588" s="58"/>
    </row>
    <row r="4589" spans="1:19" s="59" customFormat="1" ht="18.75" hidden="1" customHeight="1" thickBot="1" x14ac:dyDescent="0.3">
      <c r="A4589" s="59" t="s">
        <v>23</v>
      </c>
      <c r="B4589" s="60" t="str">
        <f t="shared" ref="B4589:B4590" si="3285">IF(K4589=0,"hide","")</f>
        <v>hide</v>
      </c>
      <c r="D4589" s="61" t="str">
        <f>"77372"</f>
        <v>77372</v>
      </c>
      <c r="E4589" s="62" t="str">
        <f>"4"</f>
        <v>4</v>
      </c>
      <c r="F4589" s="63">
        <v>98.5</v>
      </c>
      <c r="G4589" s="63">
        <v>39.166666666666664</v>
      </c>
      <c r="H4589" s="63">
        <v>14</v>
      </c>
      <c r="I4589" s="63">
        <v>0</v>
      </c>
      <c r="J4589" s="63">
        <v>0</v>
      </c>
      <c r="K4589" s="63">
        <f>AVERAGE(I4589:J4589)</f>
        <v>0</v>
      </c>
      <c r="L4589" s="64" t="str">
        <f>"LF RAISIN BRAN MUFFINS"</f>
        <v>LF RAISIN BRAN MUFFINS</v>
      </c>
      <c r="M4589" s="65" t="str">
        <f>"24-5 oz. 2-12 pack"</f>
        <v>24-5 oz. 2-12 pack</v>
      </c>
      <c r="N4589" s="66">
        <v>24</v>
      </c>
      <c r="O4589" s="67" t="str">
        <f>""</f>
        <v/>
      </c>
      <c r="P4589" s="68" t="e">
        <f>1/O4589</f>
        <v>#VALUE!</v>
      </c>
      <c r="Q4589" s="53">
        <v>1</v>
      </c>
      <c r="R4589" s="69">
        <f t="shared" ref="R4589" si="3286">1/Q4589</f>
        <v>1</v>
      </c>
      <c r="S4589" s="70">
        <f t="shared" ref="S4589" si="3287">R4589*N4589</f>
        <v>24</v>
      </c>
    </row>
    <row r="4590" spans="1:19" ht="15.6" hidden="1" customHeight="1" thickBot="1" x14ac:dyDescent="0.3">
      <c r="A4590" t="s">
        <v>23</v>
      </c>
      <c r="B4590" s="60" t="str">
        <f t="shared" si="3285"/>
        <v>hide</v>
      </c>
      <c r="D4590" s="48" t="str">
        <f>D4589</f>
        <v>77372</v>
      </c>
      <c r="E4590" s="7"/>
      <c r="F4590" s="27">
        <v>0</v>
      </c>
      <c r="G4590" s="27">
        <v>0</v>
      </c>
      <c r="H4590" s="27">
        <v>0</v>
      </c>
      <c r="I4590" s="27">
        <v>0</v>
      </c>
      <c r="J4590" s="27">
        <v>0</v>
      </c>
      <c r="K4590" s="63">
        <f>AVERAGE(I4590:J4590)</f>
        <v>0</v>
      </c>
      <c r="L4590" s="56" t="str">
        <f>"EQP-LAWPACK1"</f>
        <v>EQP-LAWPACK1</v>
      </c>
      <c r="M4590" s="14"/>
      <c r="N4590" s="15"/>
      <c r="O4590" s="12"/>
      <c r="P4590" s="34"/>
      <c r="Q4590" s="37"/>
      <c r="R4590" s="47"/>
      <c r="S4590" s="46"/>
    </row>
    <row r="4591" spans="1:19" ht="15.6" hidden="1" customHeight="1" thickBot="1" x14ac:dyDescent="0.3">
      <c r="A4591" t="s">
        <v>23</v>
      </c>
      <c r="B4591" s="60" t="str">
        <f t="shared" ref="B4591:B4593" si="3288">IF(K4591=0,"hide","")</f>
        <v>hide</v>
      </c>
      <c r="D4591" s="48" t="str">
        <f>D4590</f>
        <v>77372</v>
      </c>
      <c r="E4591" s="7"/>
      <c r="F4591" s="27">
        <v>0</v>
      </c>
      <c r="G4591" s="27">
        <v>0</v>
      </c>
      <c r="H4591" s="27">
        <v>0</v>
      </c>
      <c r="I4591" s="27">
        <v>0</v>
      </c>
      <c r="J4591" s="27">
        <v>0</v>
      </c>
      <c r="K4591" s="63">
        <f>AVERAGE(I4591:J4591)</f>
        <v>0</v>
      </c>
      <c r="L4591" s="56" t="str">
        <f>"EQP-LAWPACK2"</f>
        <v>EQP-LAWPACK2</v>
      </c>
      <c r="M4591" s="14"/>
      <c r="N4591" s="15"/>
      <c r="O4591" s="12"/>
      <c r="P4591" s="34"/>
      <c r="Q4591" s="37"/>
      <c r="R4591" s="47"/>
      <c r="S4591" s="46"/>
    </row>
    <row r="4592" spans="1:19" ht="15.6" hidden="1" customHeight="1" thickBot="1" x14ac:dyDescent="0.3">
      <c r="A4592" t="s">
        <v>23</v>
      </c>
      <c r="B4592" s="60" t="str">
        <f t="shared" si="3288"/>
        <v>hide</v>
      </c>
      <c r="D4592" s="48" t="str">
        <f>D4591</f>
        <v>77372</v>
      </c>
      <c r="E4592" s="7"/>
      <c r="F4592" s="27">
        <v>0</v>
      </c>
      <c r="G4592" s="27">
        <v>0</v>
      </c>
      <c r="H4592" s="27">
        <v>0</v>
      </c>
      <c r="I4592" s="27">
        <v>0</v>
      </c>
      <c r="J4592" s="27">
        <v>0</v>
      </c>
      <c r="K4592" s="63">
        <f>AVERAGE(I4592:J4592)</f>
        <v>0</v>
      </c>
      <c r="L4592" s="56" t="str">
        <f>"SW-COMAS-PACKL"</f>
        <v>SW-COMAS-PACKL</v>
      </c>
      <c r="M4592" s="14"/>
      <c r="N4592" s="15"/>
      <c r="O4592" s="12"/>
      <c r="P4592" s="34"/>
      <c r="Q4592" s="37"/>
      <c r="R4592" s="47"/>
      <c r="S4592" s="46"/>
    </row>
    <row r="4593" spans="1:19" ht="15.6" hidden="1" customHeight="1" thickBot="1" x14ac:dyDescent="0.3">
      <c r="A4593" t="s">
        <v>23</v>
      </c>
      <c r="B4593" s="60" t="str">
        <f t="shared" si="3288"/>
        <v>hide</v>
      </c>
      <c r="D4593" s="48" t="str">
        <f>D4592</f>
        <v>77372</v>
      </c>
      <c r="E4593" s="7"/>
      <c r="F4593" s="27">
        <v>0</v>
      </c>
      <c r="G4593" s="27">
        <v>0</v>
      </c>
      <c r="H4593" s="27">
        <v>0</v>
      </c>
      <c r="I4593" s="27">
        <v>0</v>
      </c>
      <c r="J4593" s="27">
        <v>0</v>
      </c>
      <c r="K4593" s="63">
        <f>AVERAGE(I4593:J4593)</f>
        <v>0</v>
      </c>
      <c r="L4593" s="56" t="str">
        <f>"SW-RISER-PACK"</f>
        <v>SW-RISER-PACK</v>
      </c>
      <c r="M4593" s="14"/>
      <c r="N4593" s="15"/>
      <c r="O4593" s="12"/>
      <c r="P4593" s="34"/>
      <c r="Q4593" s="37"/>
      <c r="R4593" s="47"/>
      <c r="S4593" s="46"/>
    </row>
    <row r="4594" spans="1:19" ht="12" hidden="1" customHeight="1" x14ac:dyDescent="0.3">
      <c r="A4594" s="35" t="s">
        <v>908</v>
      </c>
      <c r="B4594" s="49" t="str">
        <f>B4590</f>
        <v>hide</v>
      </c>
      <c r="N4594"/>
      <c r="Q4594" s="33"/>
    </row>
    <row r="4595" spans="1:19" ht="13.8" hidden="1" thickBot="1" x14ac:dyDescent="0.3">
      <c r="A4595" t="s">
        <v>23</v>
      </c>
      <c r="B4595" s="49" t="str">
        <f t="shared" ref="B4595" si="3289">B4594</f>
        <v>hide</v>
      </c>
      <c r="D4595" s="58"/>
      <c r="E4595" s="58"/>
      <c r="F4595" s="52">
        <f>SUM(F4590:F4594)</f>
        <v>0</v>
      </c>
      <c r="G4595" s="52">
        <f>SUM(G4590:G4594)</f>
        <v>0</v>
      </c>
      <c r="H4595" s="52">
        <f>SUM(H4590:H4594)</f>
        <v>0</v>
      </c>
      <c r="I4595" s="52">
        <f>SUM(I4590:I4594)</f>
        <v>0</v>
      </c>
      <c r="J4595" s="52">
        <f>SUM(J4590:J4594)</f>
        <v>0</v>
      </c>
      <c r="K4595" s="52"/>
      <c r="L4595" s="51" t="s">
        <v>4</v>
      </c>
      <c r="M4595" s="58"/>
      <c r="N4595" s="58"/>
      <c r="O4595" s="58"/>
      <c r="P4595" s="58"/>
      <c r="Q4595" s="58"/>
      <c r="R4595" s="58"/>
      <c r="S4595" s="58"/>
    </row>
    <row r="4596" spans="1:19" s="59" customFormat="1" ht="18.75" customHeight="1" thickBot="1" x14ac:dyDescent="0.3">
      <c r="A4596" s="59" t="s">
        <v>23</v>
      </c>
      <c r="B4596" s="60" t="str">
        <f t="shared" ref="B4596:B4597" si="3290">IF(K4596=0,"hide","")</f>
        <v/>
      </c>
      <c r="D4596" s="61" t="str">
        <f>"77401"</f>
        <v>77401</v>
      </c>
      <c r="E4596" s="62" t="str">
        <f>"11"</f>
        <v>11</v>
      </c>
      <c r="F4596" s="63">
        <v>191.58333333333334</v>
      </c>
      <c r="G4596" s="63">
        <v>107.25</v>
      </c>
      <c r="H4596" s="63">
        <v>162.75000000000003</v>
      </c>
      <c r="I4596" s="63">
        <v>172.58333333333334</v>
      </c>
      <c r="J4596" s="63">
        <v>57.213734939759028</v>
      </c>
      <c r="K4596" s="63">
        <f>AVERAGE(I4596:J4596)</f>
        <v>114.89853413654619</v>
      </c>
      <c r="L4596" s="64" t="str">
        <f>"BLUEBERRY MUFFINS"</f>
        <v>BLUEBERRY MUFFINS</v>
      </c>
      <c r="M4596" s="65" t="str">
        <f>"24-5 oz. 2-12 pack"</f>
        <v>24-5 oz. 2-12 pack</v>
      </c>
      <c r="N4596" s="66">
        <v>24</v>
      </c>
      <c r="O4596" s="67" t="str">
        <f>""</f>
        <v/>
      </c>
      <c r="P4596" s="68" t="e">
        <f>1/O4596</f>
        <v>#VALUE!</v>
      </c>
      <c r="Q4596" s="53">
        <v>1</v>
      </c>
      <c r="R4596" s="69">
        <f t="shared" ref="R4596" si="3291">1/Q4596</f>
        <v>1</v>
      </c>
      <c r="S4596" s="70">
        <f t="shared" ref="S4596" si="3292">R4596*N4596</f>
        <v>24</v>
      </c>
    </row>
    <row r="4597" spans="1:19" ht="15.6" hidden="1" customHeight="1" thickBot="1" x14ac:dyDescent="0.3">
      <c r="A4597" t="s">
        <v>23</v>
      </c>
      <c r="B4597" s="60" t="str">
        <f t="shared" si="3290"/>
        <v>hide</v>
      </c>
      <c r="D4597" s="48" t="str">
        <f>D4596</f>
        <v>77401</v>
      </c>
      <c r="E4597" s="7"/>
      <c r="F4597" s="27">
        <v>0</v>
      </c>
      <c r="G4597" s="27">
        <v>0</v>
      </c>
      <c r="H4597" s="27">
        <v>0</v>
      </c>
      <c r="I4597" s="27">
        <v>0</v>
      </c>
      <c r="J4597" s="27">
        <v>0</v>
      </c>
      <c r="K4597" s="63">
        <f>AVERAGE(I4597:J4597)</f>
        <v>0</v>
      </c>
      <c r="L4597" s="56" t="str">
        <f>"EQP-LAWPACK1"</f>
        <v>EQP-LAWPACK1</v>
      </c>
      <c r="M4597" s="14"/>
      <c r="N4597" s="15"/>
      <c r="O4597" s="12"/>
      <c r="P4597" s="34"/>
      <c r="Q4597" s="37"/>
      <c r="R4597" s="47"/>
      <c r="S4597" s="46"/>
    </row>
    <row r="4598" spans="1:19" ht="15.6" hidden="1" customHeight="1" thickBot="1" x14ac:dyDescent="0.3">
      <c r="A4598" t="s">
        <v>23</v>
      </c>
      <c r="B4598" s="60" t="str">
        <f t="shared" ref="B4598:B4600" si="3293">IF(K4598=0,"hide","")</f>
        <v>hide</v>
      </c>
      <c r="D4598" s="48" t="str">
        <f>D4597</f>
        <v>77401</v>
      </c>
      <c r="E4598" s="7"/>
      <c r="F4598" s="27">
        <v>0</v>
      </c>
      <c r="G4598" s="27">
        <v>0</v>
      </c>
      <c r="H4598" s="27">
        <v>0</v>
      </c>
      <c r="I4598" s="27">
        <v>0</v>
      </c>
      <c r="J4598" s="27">
        <v>0</v>
      </c>
      <c r="K4598" s="63">
        <f>AVERAGE(I4598:J4598)</f>
        <v>0</v>
      </c>
      <c r="L4598" s="56" t="str">
        <f>"EQP-LAWPACK2"</f>
        <v>EQP-LAWPACK2</v>
      </c>
      <c r="M4598" s="14"/>
      <c r="N4598" s="15"/>
      <c r="O4598" s="12"/>
      <c r="P4598" s="34"/>
      <c r="Q4598" s="37"/>
      <c r="R4598" s="47"/>
      <c r="S4598" s="46"/>
    </row>
    <row r="4599" spans="1:19" ht="15.6" hidden="1" customHeight="1" thickBot="1" x14ac:dyDescent="0.3">
      <c r="A4599" t="s">
        <v>23</v>
      </c>
      <c r="B4599" s="60" t="str">
        <f t="shared" si="3293"/>
        <v>hide</v>
      </c>
      <c r="D4599" s="48" t="str">
        <f>D4598</f>
        <v>77401</v>
      </c>
      <c r="E4599" s="7"/>
      <c r="F4599" s="27">
        <v>0</v>
      </c>
      <c r="G4599" s="27">
        <v>0</v>
      </c>
      <c r="H4599" s="27">
        <v>0</v>
      </c>
      <c r="I4599" s="27">
        <v>0</v>
      </c>
      <c r="J4599" s="27">
        <v>0</v>
      </c>
      <c r="K4599" s="63">
        <f>AVERAGE(I4599:J4599)</f>
        <v>0</v>
      </c>
      <c r="L4599" s="56" t="str">
        <f>"SW-COMAS-PACKL"</f>
        <v>SW-COMAS-PACKL</v>
      </c>
      <c r="M4599" s="14"/>
      <c r="N4599" s="15"/>
      <c r="O4599" s="12"/>
      <c r="P4599" s="34"/>
      <c r="Q4599" s="37"/>
      <c r="R4599" s="47"/>
      <c r="S4599" s="46"/>
    </row>
    <row r="4600" spans="1:19" ht="15.6" hidden="1" customHeight="1" thickBot="1" x14ac:dyDescent="0.3">
      <c r="A4600" t="s">
        <v>23</v>
      </c>
      <c r="B4600" s="60" t="str">
        <f t="shared" si="3293"/>
        <v>hide</v>
      </c>
      <c r="D4600" s="48" t="str">
        <f>D4599</f>
        <v>77401</v>
      </c>
      <c r="E4600" s="7"/>
      <c r="F4600" s="27">
        <v>0</v>
      </c>
      <c r="G4600" s="27">
        <v>0</v>
      </c>
      <c r="H4600" s="27">
        <v>0</v>
      </c>
      <c r="I4600" s="27">
        <v>0</v>
      </c>
      <c r="J4600" s="27">
        <v>0</v>
      </c>
      <c r="K4600" s="63">
        <f>AVERAGE(I4600:J4600)</f>
        <v>0</v>
      </c>
      <c r="L4600" s="56" t="str">
        <f>"SW-RISER-PACK"</f>
        <v>SW-RISER-PACK</v>
      </c>
      <c r="M4600" s="14"/>
      <c r="N4600" s="15"/>
      <c r="O4600" s="12"/>
      <c r="P4600" s="34"/>
      <c r="Q4600" s="37"/>
      <c r="R4600" s="47"/>
      <c r="S4600" s="46"/>
    </row>
    <row r="4601" spans="1:19" ht="12" hidden="1" customHeight="1" x14ac:dyDescent="0.3">
      <c r="A4601" s="35" t="s">
        <v>908</v>
      </c>
      <c r="B4601" s="49" t="str">
        <f>B4597</f>
        <v>hide</v>
      </c>
      <c r="N4601"/>
      <c r="Q4601" s="33"/>
    </row>
    <row r="4602" spans="1:19" ht="13.8" hidden="1" thickBot="1" x14ac:dyDescent="0.3">
      <c r="A4602" t="s">
        <v>23</v>
      </c>
      <c r="B4602" s="49" t="str">
        <f t="shared" ref="B4602" si="3294">B4601</f>
        <v>hide</v>
      </c>
      <c r="D4602" s="58"/>
      <c r="E4602" s="58"/>
      <c r="F4602" s="52">
        <f>SUM(F4597:F4601)</f>
        <v>0</v>
      </c>
      <c r="G4602" s="52">
        <f>SUM(G4597:G4601)</f>
        <v>0</v>
      </c>
      <c r="H4602" s="52">
        <f>SUM(H4597:H4601)</f>
        <v>0</v>
      </c>
      <c r="I4602" s="52">
        <f>SUM(I4597:I4601)</f>
        <v>0</v>
      </c>
      <c r="J4602" s="52">
        <f>SUM(J4597:J4601)</f>
        <v>0</v>
      </c>
      <c r="K4602" s="52"/>
      <c r="L4602" s="51" t="s">
        <v>4</v>
      </c>
      <c r="M4602" s="58"/>
      <c r="N4602" s="58"/>
      <c r="O4602" s="58"/>
      <c r="P4602" s="58"/>
      <c r="Q4602" s="58"/>
      <c r="R4602" s="58"/>
      <c r="S4602" s="58"/>
    </row>
    <row r="4603" spans="1:19" s="59" customFormat="1" ht="18.75" customHeight="1" thickBot="1" x14ac:dyDescent="0.3">
      <c r="A4603" s="59" t="s">
        <v>23</v>
      </c>
      <c r="B4603" s="60" t="str">
        <f t="shared" ref="B4603:B4604" si="3295">IF(K4603=0,"hide","")</f>
        <v/>
      </c>
      <c r="D4603" s="61" t="str">
        <f>"77405"</f>
        <v>77405</v>
      </c>
      <c r="E4603" s="62" t="str">
        <f>"5"</f>
        <v>5</v>
      </c>
      <c r="F4603" s="63">
        <v>35.916666666666664</v>
      </c>
      <c r="G4603" s="63">
        <v>26</v>
      </c>
      <c r="H4603" s="63">
        <v>27.833333333333332</v>
      </c>
      <c r="I4603" s="63">
        <v>20</v>
      </c>
      <c r="J4603" s="63">
        <v>21.821686746987954</v>
      </c>
      <c r="K4603" s="63">
        <f>AVERAGE(I4603:J4603)</f>
        <v>20.910843373493975</v>
      </c>
      <c r="L4603" s="64" t="str">
        <f>"CORN MUFFINS"</f>
        <v>CORN MUFFINS</v>
      </c>
      <c r="M4603" s="65" t="str">
        <f>"24-5 oz. 2-12 pack"</f>
        <v>24-5 oz. 2-12 pack</v>
      </c>
      <c r="N4603" s="66">
        <v>24</v>
      </c>
      <c r="O4603" s="67" t="str">
        <f>""</f>
        <v/>
      </c>
      <c r="P4603" s="68" t="e">
        <f>1/O4603</f>
        <v>#VALUE!</v>
      </c>
      <c r="Q4603" s="53">
        <v>1</v>
      </c>
      <c r="R4603" s="69">
        <f t="shared" ref="R4603" si="3296">1/Q4603</f>
        <v>1</v>
      </c>
      <c r="S4603" s="70">
        <f t="shared" ref="S4603" si="3297">R4603*N4603</f>
        <v>24</v>
      </c>
    </row>
    <row r="4604" spans="1:19" ht="15.6" hidden="1" customHeight="1" thickBot="1" x14ac:dyDescent="0.3">
      <c r="A4604" t="s">
        <v>23</v>
      </c>
      <c r="B4604" s="60" t="str">
        <f t="shared" si="3295"/>
        <v>hide</v>
      </c>
      <c r="D4604" s="48" t="str">
        <f>D4603</f>
        <v>77405</v>
      </c>
      <c r="E4604" s="7"/>
      <c r="F4604" s="27">
        <v>0</v>
      </c>
      <c r="G4604" s="27">
        <v>0</v>
      </c>
      <c r="H4604" s="27">
        <v>0</v>
      </c>
      <c r="I4604" s="27">
        <v>0</v>
      </c>
      <c r="J4604" s="27">
        <v>0</v>
      </c>
      <c r="K4604" s="63">
        <f>AVERAGE(I4604:J4604)</f>
        <v>0</v>
      </c>
      <c r="L4604" s="56" t="str">
        <f>"EQP-LAWPACK1"</f>
        <v>EQP-LAWPACK1</v>
      </c>
      <c r="M4604" s="14"/>
      <c r="N4604" s="15"/>
      <c r="O4604" s="12"/>
      <c r="P4604" s="34"/>
      <c r="Q4604" s="37"/>
      <c r="R4604" s="47"/>
      <c r="S4604" s="46"/>
    </row>
    <row r="4605" spans="1:19" ht="15.6" hidden="1" customHeight="1" thickBot="1" x14ac:dyDescent="0.3">
      <c r="A4605" t="s">
        <v>23</v>
      </c>
      <c r="B4605" s="60" t="str">
        <f t="shared" ref="B4605:B4607" si="3298">IF(K4605=0,"hide","")</f>
        <v>hide</v>
      </c>
      <c r="D4605" s="48" t="str">
        <f>D4604</f>
        <v>77405</v>
      </c>
      <c r="E4605" s="7"/>
      <c r="F4605" s="27">
        <v>0</v>
      </c>
      <c r="G4605" s="27">
        <v>0</v>
      </c>
      <c r="H4605" s="27">
        <v>0</v>
      </c>
      <c r="I4605" s="27">
        <v>0</v>
      </c>
      <c r="J4605" s="27">
        <v>0</v>
      </c>
      <c r="K4605" s="63">
        <f>AVERAGE(I4605:J4605)</f>
        <v>0</v>
      </c>
      <c r="L4605" s="56" t="str">
        <f>"EQP-LAWPACK2"</f>
        <v>EQP-LAWPACK2</v>
      </c>
      <c r="M4605" s="14"/>
      <c r="N4605" s="15"/>
      <c r="O4605" s="12"/>
      <c r="P4605" s="34"/>
      <c r="Q4605" s="37"/>
      <c r="R4605" s="47"/>
      <c r="S4605" s="46"/>
    </row>
    <row r="4606" spans="1:19" ht="15.6" hidden="1" customHeight="1" thickBot="1" x14ac:dyDescent="0.3">
      <c r="A4606" t="s">
        <v>23</v>
      </c>
      <c r="B4606" s="60" t="str">
        <f t="shared" si="3298"/>
        <v>hide</v>
      </c>
      <c r="D4606" s="48" t="str">
        <f>D4605</f>
        <v>77405</v>
      </c>
      <c r="E4606" s="7"/>
      <c r="F4606" s="27">
        <v>0</v>
      </c>
      <c r="G4606" s="27">
        <v>0</v>
      </c>
      <c r="H4606" s="27">
        <v>0</v>
      </c>
      <c r="I4606" s="27">
        <v>0</v>
      </c>
      <c r="J4606" s="27">
        <v>0</v>
      </c>
      <c r="K4606" s="63">
        <f>AVERAGE(I4606:J4606)</f>
        <v>0</v>
      </c>
      <c r="L4606" s="56" t="str">
        <f>"SW-COMAS-PACKL"</f>
        <v>SW-COMAS-PACKL</v>
      </c>
      <c r="M4606" s="14"/>
      <c r="N4606" s="15"/>
      <c r="O4606" s="12"/>
      <c r="P4606" s="34"/>
      <c r="Q4606" s="37"/>
      <c r="R4606" s="47"/>
      <c r="S4606" s="46"/>
    </row>
    <row r="4607" spans="1:19" ht="15.6" hidden="1" customHeight="1" thickBot="1" x14ac:dyDescent="0.3">
      <c r="A4607" t="s">
        <v>23</v>
      </c>
      <c r="B4607" s="60" t="str">
        <f t="shared" si="3298"/>
        <v>hide</v>
      </c>
      <c r="D4607" s="48" t="str">
        <f>D4606</f>
        <v>77405</v>
      </c>
      <c r="E4607" s="7"/>
      <c r="F4607" s="27">
        <v>0</v>
      </c>
      <c r="G4607" s="27">
        <v>0</v>
      </c>
      <c r="H4607" s="27">
        <v>0</v>
      </c>
      <c r="I4607" s="27">
        <v>0</v>
      </c>
      <c r="J4607" s="27">
        <v>0</v>
      </c>
      <c r="K4607" s="63">
        <f>AVERAGE(I4607:J4607)</f>
        <v>0</v>
      </c>
      <c r="L4607" s="56" t="str">
        <f>"SW-RISER-PACK"</f>
        <v>SW-RISER-PACK</v>
      </c>
      <c r="M4607" s="14"/>
      <c r="N4607" s="15"/>
      <c r="O4607" s="12"/>
      <c r="P4607" s="34"/>
      <c r="Q4607" s="37"/>
      <c r="R4607" s="47"/>
      <c r="S4607" s="46"/>
    </row>
    <row r="4608" spans="1:19" ht="12" hidden="1" customHeight="1" x14ac:dyDescent="0.3">
      <c r="A4608" s="35" t="s">
        <v>908</v>
      </c>
      <c r="B4608" s="49" t="str">
        <f>B4604</f>
        <v>hide</v>
      </c>
      <c r="N4608"/>
      <c r="Q4608" s="33"/>
    </row>
    <row r="4609" spans="1:19" ht="13.8" hidden="1" thickBot="1" x14ac:dyDescent="0.3">
      <c r="A4609" t="s">
        <v>23</v>
      </c>
      <c r="B4609" s="49" t="str">
        <f t="shared" ref="B4609" si="3299">B4608</f>
        <v>hide</v>
      </c>
      <c r="D4609" s="58"/>
      <c r="E4609" s="58"/>
      <c r="F4609" s="52">
        <f>SUM(F4604:F4608)</f>
        <v>0</v>
      </c>
      <c r="G4609" s="52">
        <f>SUM(G4604:G4608)</f>
        <v>0</v>
      </c>
      <c r="H4609" s="52">
        <f>SUM(H4604:H4608)</f>
        <v>0</v>
      </c>
      <c r="I4609" s="52">
        <f>SUM(I4604:I4608)</f>
        <v>0</v>
      </c>
      <c r="J4609" s="52">
        <f>SUM(J4604:J4608)</f>
        <v>0</v>
      </c>
      <c r="K4609" s="52"/>
      <c r="L4609" s="51" t="s">
        <v>4</v>
      </c>
      <c r="M4609" s="58"/>
      <c r="N4609" s="58"/>
      <c r="O4609" s="58"/>
      <c r="P4609" s="58"/>
      <c r="Q4609" s="58"/>
      <c r="R4609" s="58"/>
      <c r="S4609" s="58"/>
    </row>
    <row r="4610" spans="1:19" s="59" customFormat="1" ht="18.75" hidden="1" customHeight="1" thickBot="1" x14ac:dyDescent="0.3">
      <c r="A4610" s="59" t="s">
        <v>23</v>
      </c>
      <c r="B4610" s="60" t="str">
        <f t="shared" ref="B4610:B4612" si="3300">IF(K4610=0,"hide","")</f>
        <v>hide</v>
      </c>
      <c r="D4610" s="61" t="str">
        <f>"77407"</f>
        <v>77407</v>
      </c>
      <c r="E4610" s="62" t="str">
        <f>"1"</f>
        <v>1</v>
      </c>
      <c r="F4610" s="63">
        <v>0</v>
      </c>
      <c r="G4610" s="63">
        <v>0</v>
      </c>
      <c r="H4610" s="63">
        <v>0</v>
      </c>
      <c r="I4610" s="63">
        <v>0</v>
      </c>
      <c r="J4610" s="63">
        <v>0</v>
      </c>
      <c r="K4610" s="63">
        <f t="shared" ref="K4610:K4615" si="3301">AVERAGE(I4610:J4610)</f>
        <v>0</v>
      </c>
      <c r="L4610" s="64" t="str">
        <f>"BANANA WALNUT MUFFINS"</f>
        <v>BANANA WALNUT MUFFINS</v>
      </c>
      <c r="M4610" s="65" t="str">
        <f>"24-5 oz. 2-12 pack"</f>
        <v>24-5 oz. 2-12 pack</v>
      </c>
      <c r="N4610" s="66">
        <v>24</v>
      </c>
      <c r="O4610" s="67" t="str">
        <f>""</f>
        <v/>
      </c>
      <c r="P4610" s="68" t="e">
        <f>1/O4610</f>
        <v>#VALUE!</v>
      </c>
      <c r="Q4610" s="53">
        <v>1</v>
      </c>
      <c r="R4610" s="69">
        <f t="shared" ref="R4610:R4611" si="3302">1/Q4610</f>
        <v>1</v>
      </c>
      <c r="S4610" s="70">
        <f t="shared" ref="S4610" si="3303">R4610*N4610</f>
        <v>24</v>
      </c>
    </row>
    <row r="4611" spans="1:19" s="59" customFormat="1" ht="18.75" hidden="1" customHeight="1" thickBot="1" x14ac:dyDescent="0.3">
      <c r="A4611" s="59" t="s">
        <v>23</v>
      </c>
      <c r="B4611" s="60" t="str">
        <f t="shared" ref="B4611" si="3304">IF(K4611=0,"hide","")</f>
        <v>hide</v>
      </c>
      <c r="D4611" s="61" t="str">
        <f>"77407"</f>
        <v>77407</v>
      </c>
      <c r="E4611" s="62" t="str">
        <f>"3"</f>
        <v>3</v>
      </c>
      <c r="F4611" s="63">
        <v>0</v>
      </c>
      <c r="G4611" s="63">
        <v>0</v>
      </c>
      <c r="H4611" s="63">
        <v>0</v>
      </c>
      <c r="I4611" s="63">
        <v>0</v>
      </c>
      <c r="J4611" s="63">
        <v>0</v>
      </c>
      <c r="K4611" s="63">
        <f t="shared" si="3301"/>
        <v>0</v>
      </c>
      <c r="L4611" s="64" t="str">
        <f>"BANANA WALNUT MUFFINS"</f>
        <v>BANANA WALNUT MUFFINS</v>
      </c>
      <c r="M4611" s="65" t="str">
        <f>"24-5 oz. 2-12 pack"</f>
        <v>24-5 oz. 2-12 pack</v>
      </c>
      <c r="N4611" s="66">
        <v>24</v>
      </c>
      <c r="O4611" s="67" t="str">
        <f>""</f>
        <v/>
      </c>
      <c r="P4611" s="68" t="e">
        <f>1/O4611</f>
        <v>#VALUE!</v>
      </c>
      <c r="Q4611" s="53">
        <v>1</v>
      </c>
      <c r="R4611" s="69">
        <f t="shared" si="3302"/>
        <v>1</v>
      </c>
      <c r="S4611" s="70">
        <f t="shared" ref="S4611" si="3305">R4611*N4611</f>
        <v>24</v>
      </c>
    </row>
    <row r="4612" spans="1:19" ht="15.6" hidden="1" customHeight="1" thickBot="1" x14ac:dyDescent="0.3">
      <c r="A4612" t="s">
        <v>23</v>
      </c>
      <c r="B4612" s="60" t="str">
        <f t="shared" si="3300"/>
        <v>hide</v>
      </c>
      <c r="D4612" s="48" t="str">
        <f>D4610</f>
        <v>77407</v>
      </c>
      <c r="E4612" s="7"/>
      <c r="F4612" s="27">
        <v>0</v>
      </c>
      <c r="G4612" s="27">
        <v>0</v>
      </c>
      <c r="H4612" s="27">
        <v>0</v>
      </c>
      <c r="I4612" s="27">
        <v>0</v>
      </c>
      <c r="J4612" s="27">
        <v>0</v>
      </c>
      <c r="K4612" s="63">
        <f t="shared" si="3301"/>
        <v>0</v>
      </c>
      <c r="L4612" s="56" t="str">
        <f>"EQP-LAWPACK1"</f>
        <v>EQP-LAWPACK1</v>
      </c>
      <c r="M4612" s="14"/>
      <c r="N4612" s="15"/>
      <c r="O4612" s="12"/>
      <c r="P4612" s="34"/>
      <c r="Q4612" s="37"/>
      <c r="R4612" s="47"/>
      <c r="S4612" s="46"/>
    </row>
    <row r="4613" spans="1:19" ht="15.6" hidden="1" customHeight="1" thickBot="1" x14ac:dyDescent="0.3">
      <c r="A4613" t="s">
        <v>23</v>
      </c>
      <c r="B4613" s="60" t="str">
        <f t="shared" ref="B4613:B4615" si="3306">IF(K4613=0,"hide","")</f>
        <v>hide</v>
      </c>
      <c r="D4613" s="48" t="str">
        <f>D4611</f>
        <v>77407</v>
      </c>
      <c r="E4613" s="7"/>
      <c r="F4613" s="27">
        <v>0</v>
      </c>
      <c r="G4613" s="27">
        <v>0</v>
      </c>
      <c r="H4613" s="27">
        <v>0</v>
      </c>
      <c r="I4613" s="27">
        <v>0</v>
      </c>
      <c r="J4613" s="27">
        <v>0</v>
      </c>
      <c r="K4613" s="63">
        <f t="shared" si="3301"/>
        <v>0</v>
      </c>
      <c r="L4613" s="56" t="str">
        <f>"EQP-LAWPACK2"</f>
        <v>EQP-LAWPACK2</v>
      </c>
      <c r="M4613" s="14"/>
      <c r="N4613" s="15"/>
      <c r="O4613" s="12"/>
      <c r="P4613" s="34"/>
      <c r="Q4613" s="37"/>
      <c r="R4613" s="47"/>
      <c r="S4613" s="46"/>
    </row>
    <row r="4614" spans="1:19" ht="15.6" hidden="1" customHeight="1" thickBot="1" x14ac:dyDescent="0.3">
      <c r="A4614" t="s">
        <v>23</v>
      </c>
      <c r="B4614" s="60" t="str">
        <f t="shared" si="3306"/>
        <v>hide</v>
      </c>
      <c r="D4614" s="48" t="str">
        <f>D4612</f>
        <v>77407</v>
      </c>
      <c r="E4614" s="7"/>
      <c r="F4614" s="27">
        <v>0</v>
      </c>
      <c r="G4614" s="27">
        <v>0</v>
      </c>
      <c r="H4614" s="27">
        <v>0</v>
      </c>
      <c r="I4614" s="27">
        <v>0</v>
      </c>
      <c r="J4614" s="27">
        <v>0</v>
      </c>
      <c r="K4614" s="63">
        <f t="shared" si="3301"/>
        <v>0</v>
      </c>
      <c r="L4614" s="56" t="str">
        <f>"SW-COMAS-PACKL"</f>
        <v>SW-COMAS-PACKL</v>
      </c>
      <c r="M4614" s="14"/>
      <c r="N4614" s="15"/>
      <c r="O4614" s="12"/>
      <c r="P4614" s="34"/>
      <c r="Q4614" s="37"/>
      <c r="R4614" s="47"/>
      <c r="S4614" s="46"/>
    </row>
    <row r="4615" spans="1:19" ht="15.6" hidden="1" customHeight="1" thickBot="1" x14ac:dyDescent="0.3">
      <c r="A4615" t="s">
        <v>23</v>
      </c>
      <c r="B4615" s="60" t="str">
        <f t="shared" si="3306"/>
        <v>hide</v>
      </c>
      <c r="D4615" s="48" t="str">
        <f>D4613</f>
        <v>77407</v>
      </c>
      <c r="E4615" s="7"/>
      <c r="F4615" s="27">
        <v>0</v>
      </c>
      <c r="G4615" s="27">
        <v>0</v>
      </c>
      <c r="H4615" s="27">
        <v>0</v>
      </c>
      <c r="I4615" s="27">
        <v>0</v>
      </c>
      <c r="J4615" s="27">
        <v>0</v>
      </c>
      <c r="K4615" s="63">
        <f t="shared" si="3301"/>
        <v>0</v>
      </c>
      <c r="L4615" s="56" t="str">
        <f>"SW-RISER-PACK"</f>
        <v>SW-RISER-PACK</v>
      </c>
      <c r="M4615" s="14"/>
      <c r="N4615" s="15"/>
      <c r="O4615" s="12"/>
      <c r="P4615" s="34"/>
      <c r="Q4615" s="37"/>
      <c r="R4615" s="47"/>
      <c r="S4615" s="46"/>
    </row>
    <row r="4616" spans="1:19" ht="12" hidden="1" customHeight="1" x14ac:dyDescent="0.3">
      <c r="A4616" s="35" t="s">
        <v>908</v>
      </c>
      <c r="B4616" s="49" t="str">
        <f>B4612</f>
        <v>hide</v>
      </c>
      <c r="N4616"/>
      <c r="Q4616" s="33"/>
    </row>
    <row r="4617" spans="1:19" ht="13.8" hidden="1" thickBot="1" x14ac:dyDescent="0.3">
      <c r="A4617" t="s">
        <v>23</v>
      </c>
      <c r="B4617" s="49" t="str">
        <f t="shared" ref="B4617" si="3307">B4616</f>
        <v>hide</v>
      </c>
      <c r="D4617" s="58"/>
      <c r="E4617" s="58"/>
      <c r="F4617" s="52">
        <f>SUM(F4612:F4616)</f>
        <v>0</v>
      </c>
      <c r="G4617" s="52">
        <f>SUM(G4612:G4616)</f>
        <v>0</v>
      </c>
      <c r="H4617" s="52">
        <f>SUM(H4612:H4616)</f>
        <v>0</v>
      </c>
      <c r="I4617" s="52">
        <f>SUM(I4612:I4616)</f>
        <v>0</v>
      </c>
      <c r="J4617" s="52">
        <f>SUM(J4612:J4616)</f>
        <v>0</v>
      </c>
      <c r="K4617" s="52"/>
      <c r="L4617" s="51" t="s">
        <v>4</v>
      </c>
      <c r="M4617" s="58"/>
      <c r="N4617" s="58"/>
      <c r="O4617" s="58"/>
      <c r="P4617" s="58"/>
      <c r="Q4617" s="58"/>
      <c r="R4617" s="58"/>
      <c r="S4617" s="58"/>
    </row>
    <row r="4618" spans="1:19" s="59" customFormat="1" ht="18.75" customHeight="1" thickBot="1" x14ac:dyDescent="0.3">
      <c r="A4618" s="59" t="s">
        <v>23</v>
      </c>
      <c r="B4618" s="60" t="str">
        <f t="shared" ref="B4618:B4619" si="3308">IF(K4618=0,"hide","")</f>
        <v/>
      </c>
      <c r="D4618" s="61" t="str">
        <f>"77430"</f>
        <v>77430</v>
      </c>
      <c r="E4618" s="62" t="str">
        <f>"6"</f>
        <v>6</v>
      </c>
      <c r="F4618" s="63">
        <v>88.666666666666671</v>
      </c>
      <c r="G4618" s="63">
        <v>55.666666666666664</v>
      </c>
      <c r="H4618" s="63">
        <v>61.916666666666664</v>
      </c>
      <c r="I4618" s="63">
        <v>48.666666666666664</v>
      </c>
      <c r="J4618" s="63">
        <v>9.8197590361445783</v>
      </c>
      <c r="K4618" s="63">
        <f>AVERAGE(I4618:J4618)</f>
        <v>29.243212851405623</v>
      </c>
      <c r="L4618" s="64" t="str">
        <f>"CHOC CHOC CHIP MUFFINS"</f>
        <v>CHOC CHOC CHIP MUFFINS</v>
      </c>
      <c r="M4618" s="65" t="str">
        <f>"24-5 oz. 2-12 pack"</f>
        <v>24-5 oz. 2-12 pack</v>
      </c>
      <c r="N4618" s="66">
        <v>24</v>
      </c>
      <c r="O4618" s="67" t="str">
        <f>""</f>
        <v/>
      </c>
      <c r="P4618" s="68" t="e">
        <f>1/O4618</f>
        <v>#VALUE!</v>
      </c>
      <c r="Q4618" s="53">
        <v>1</v>
      </c>
      <c r="R4618" s="69">
        <f t="shared" ref="R4618" si="3309">1/Q4618</f>
        <v>1</v>
      </c>
      <c r="S4618" s="70">
        <f t="shared" ref="S4618" si="3310">R4618*N4618</f>
        <v>24</v>
      </c>
    </row>
    <row r="4619" spans="1:19" ht="15.6" hidden="1" customHeight="1" thickBot="1" x14ac:dyDescent="0.3">
      <c r="A4619" t="s">
        <v>23</v>
      </c>
      <c r="B4619" s="60" t="str">
        <f t="shared" si="3308"/>
        <v>hide</v>
      </c>
      <c r="D4619" s="48" t="str">
        <f>D4618</f>
        <v>77430</v>
      </c>
      <c r="E4619" s="7"/>
      <c r="F4619" s="27">
        <v>0</v>
      </c>
      <c r="G4619" s="27">
        <v>0</v>
      </c>
      <c r="H4619" s="27">
        <v>0</v>
      </c>
      <c r="I4619" s="27">
        <v>0</v>
      </c>
      <c r="J4619" s="27">
        <v>0</v>
      </c>
      <c r="K4619" s="63">
        <f>AVERAGE(I4619:J4619)</f>
        <v>0</v>
      </c>
      <c r="L4619" s="56" t="str">
        <f>"EQP-LAWPACK1"</f>
        <v>EQP-LAWPACK1</v>
      </c>
      <c r="M4619" s="14"/>
      <c r="N4619" s="15"/>
      <c r="O4619" s="12"/>
      <c r="P4619" s="34"/>
      <c r="Q4619" s="37"/>
      <c r="R4619" s="47"/>
      <c r="S4619" s="46"/>
    </row>
    <row r="4620" spans="1:19" ht="15.6" hidden="1" customHeight="1" thickBot="1" x14ac:dyDescent="0.3">
      <c r="A4620" t="s">
        <v>23</v>
      </c>
      <c r="B4620" s="60" t="str">
        <f t="shared" ref="B4620:B4622" si="3311">IF(K4620=0,"hide","")</f>
        <v>hide</v>
      </c>
      <c r="D4620" s="48" t="str">
        <f>D4619</f>
        <v>77430</v>
      </c>
      <c r="E4620" s="7"/>
      <c r="F4620" s="27">
        <v>0</v>
      </c>
      <c r="G4620" s="27">
        <v>0</v>
      </c>
      <c r="H4620" s="27">
        <v>0</v>
      </c>
      <c r="I4620" s="27">
        <v>0</v>
      </c>
      <c r="J4620" s="27">
        <v>0</v>
      </c>
      <c r="K4620" s="63">
        <f>AVERAGE(I4620:J4620)</f>
        <v>0</v>
      </c>
      <c r="L4620" s="56" t="str">
        <f>"EQP-LAWPACK2"</f>
        <v>EQP-LAWPACK2</v>
      </c>
      <c r="M4620" s="14"/>
      <c r="N4620" s="15"/>
      <c r="O4620" s="12"/>
      <c r="P4620" s="34"/>
      <c r="Q4620" s="37"/>
      <c r="R4620" s="47"/>
      <c r="S4620" s="46"/>
    </row>
    <row r="4621" spans="1:19" ht="15.6" hidden="1" customHeight="1" thickBot="1" x14ac:dyDescent="0.3">
      <c r="A4621" t="s">
        <v>23</v>
      </c>
      <c r="B4621" s="60" t="str">
        <f t="shared" si="3311"/>
        <v>hide</v>
      </c>
      <c r="D4621" s="48" t="str">
        <f>D4620</f>
        <v>77430</v>
      </c>
      <c r="E4621" s="7"/>
      <c r="F4621" s="27">
        <v>0</v>
      </c>
      <c r="G4621" s="27">
        <v>0</v>
      </c>
      <c r="H4621" s="27">
        <v>0</v>
      </c>
      <c r="I4621" s="27">
        <v>0</v>
      </c>
      <c r="J4621" s="27">
        <v>0</v>
      </c>
      <c r="K4621" s="63">
        <f>AVERAGE(I4621:J4621)</f>
        <v>0</v>
      </c>
      <c r="L4621" s="56" t="str">
        <f>"SW-COMAS-PACKL"</f>
        <v>SW-COMAS-PACKL</v>
      </c>
      <c r="M4621" s="14"/>
      <c r="N4621" s="15"/>
      <c r="O4621" s="12"/>
      <c r="P4621" s="34"/>
      <c r="Q4621" s="37"/>
      <c r="R4621" s="47"/>
      <c r="S4621" s="46"/>
    </row>
    <row r="4622" spans="1:19" ht="15.6" hidden="1" customHeight="1" thickBot="1" x14ac:dyDescent="0.3">
      <c r="A4622" t="s">
        <v>23</v>
      </c>
      <c r="B4622" s="60" t="str">
        <f t="shared" si="3311"/>
        <v>hide</v>
      </c>
      <c r="D4622" s="48" t="str">
        <f>D4621</f>
        <v>77430</v>
      </c>
      <c r="E4622" s="7"/>
      <c r="F4622" s="27">
        <v>0</v>
      </c>
      <c r="G4622" s="27">
        <v>0</v>
      </c>
      <c r="H4622" s="27">
        <v>0</v>
      </c>
      <c r="I4622" s="27">
        <v>0</v>
      </c>
      <c r="J4622" s="27">
        <v>0</v>
      </c>
      <c r="K4622" s="63">
        <f>AVERAGE(I4622:J4622)</f>
        <v>0</v>
      </c>
      <c r="L4622" s="56" t="str">
        <f>"SW-RISER-PACK"</f>
        <v>SW-RISER-PACK</v>
      </c>
      <c r="M4622" s="14"/>
      <c r="N4622" s="15"/>
      <c r="O4622" s="12"/>
      <c r="P4622" s="34"/>
      <c r="Q4622" s="37"/>
      <c r="R4622" s="47"/>
      <c r="S4622" s="46"/>
    </row>
    <row r="4623" spans="1:19" ht="12" hidden="1" customHeight="1" x14ac:dyDescent="0.3">
      <c r="A4623" s="35" t="s">
        <v>908</v>
      </c>
      <c r="B4623" s="49" t="str">
        <f>B4619</f>
        <v>hide</v>
      </c>
      <c r="N4623"/>
      <c r="Q4623" s="33"/>
    </row>
    <row r="4624" spans="1:19" ht="13.8" hidden="1" thickBot="1" x14ac:dyDescent="0.3">
      <c r="A4624" t="s">
        <v>23</v>
      </c>
      <c r="B4624" s="49" t="str">
        <f t="shared" ref="B4624" si="3312">B4623</f>
        <v>hide</v>
      </c>
      <c r="D4624" s="58"/>
      <c r="E4624" s="58"/>
      <c r="F4624" s="52">
        <f>SUM(F4619:F4623)</f>
        <v>0</v>
      </c>
      <c r="G4624" s="52">
        <f>SUM(G4619:G4623)</f>
        <v>0</v>
      </c>
      <c r="H4624" s="52">
        <f>SUM(H4619:H4623)</f>
        <v>0</v>
      </c>
      <c r="I4624" s="52">
        <f>SUM(I4619:I4623)</f>
        <v>0</v>
      </c>
      <c r="J4624" s="52">
        <f>SUM(J4619:J4623)</f>
        <v>0</v>
      </c>
      <c r="K4624" s="52"/>
      <c r="L4624" s="51" t="s">
        <v>4</v>
      </c>
      <c r="M4624" s="58"/>
      <c r="N4624" s="58"/>
      <c r="O4624" s="58"/>
      <c r="P4624" s="58"/>
      <c r="Q4624" s="58"/>
      <c r="R4624" s="58"/>
      <c r="S4624" s="58"/>
    </row>
    <row r="4625" spans="1:19" s="59" customFormat="1" ht="18.75" customHeight="1" thickBot="1" x14ac:dyDescent="0.3">
      <c r="A4625" s="59" t="s">
        <v>23</v>
      </c>
      <c r="B4625" s="60" t="str">
        <f t="shared" ref="B4625:B4626" si="3313">IF(K4625=0,"hide","")</f>
        <v/>
      </c>
      <c r="D4625" s="61" t="str">
        <f>"77436"</f>
        <v>77436</v>
      </c>
      <c r="E4625" s="62" t="str">
        <f>"2"</f>
        <v>2</v>
      </c>
      <c r="F4625" s="63">
        <v>32</v>
      </c>
      <c r="G4625" s="63">
        <v>22.083333333333332</v>
      </c>
      <c r="H4625" s="63">
        <v>22.5</v>
      </c>
      <c r="I4625" s="63">
        <v>5</v>
      </c>
      <c r="J4625" s="63">
        <v>0</v>
      </c>
      <c r="K4625" s="63">
        <f>AVERAGE(I4625:J4625)</f>
        <v>2.5</v>
      </c>
      <c r="L4625" s="64" t="str">
        <f>"COFFEE CAKE MUFFINS"</f>
        <v>COFFEE CAKE MUFFINS</v>
      </c>
      <c r="M4625" s="65" t="str">
        <f>"24-5 oz. 2-12 pack"</f>
        <v>24-5 oz. 2-12 pack</v>
      </c>
      <c r="N4625" s="66">
        <v>24</v>
      </c>
      <c r="O4625" s="67" t="str">
        <f>""</f>
        <v/>
      </c>
      <c r="P4625" s="68" t="e">
        <f>1/O4625</f>
        <v>#VALUE!</v>
      </c>
      <c r="Q4625" s="53">
        <v>1</v>
      </c>
      <c r="R4625" s="69">
        <f t="shared" ref="R4625" si="3314">1/Q4625</f>
        <v>1</v>
      </c>
      <c r="S4625" s="70">
        <f t="shared" ref="S4625" si="3315">R4625*N4625</f>
        <v>24</v>
      </c>
    </row>
    <row r="4626" spans="1:19" ht="15.6" hidden="1" customHeight="1" thickBot="1" x14ac:dyDescent="0.3">
      <c r="A4626" t="s">
        <v>23</v>
      </c>
      <c r="B4626" s="60" t="str">
        <f t="shared" si="3313"/>
        <v>hide</v>
      </c>
      <c r="D4626" s="48" t="str">
        <f>D4625</f>
        <v>77436</v>
      </c>
      <c r="E4626" s="7"/>
      <c r="F4626" s="27">
        <v>0</v>
      </c>
      <c r="G4626" s="27">
        <v>0</v>
      </c>
      <c r="H4626" s="27">
        <v>0</v>
      </c>
      <c r="I4626" s="27">
        <v>0</v>
      </c>
      <c r="J4626" s="27">
        <v>0</v>
      </c>
      <c r="K4626" s="63">
        <f>AVERAGE(I4626:J4626)</f>
        <v>0</v>
      </c>
      <c r="L4626" s="56" t="str">
        <f>"EQP-LAWPACK1"</f>
        <v>EQP-LAWPACK1</v>
      </c>
      <c r="M4626" s="14"/>
      <c r="N4626" s="15"/>
      <c r="O4626" s="12"/>
      <c r="P4626" s="34"/>
      <c r="Q4626" s="37"/>
      <c r="R4626" s="47"/>
      <c r="S4626" s="46"/>
    </row>
    <row r="4627" spans="1:19" ht="15.6" hidden="1" customHeight="1" thickBot="1" x14ac:dyDescent="0.3">
      <c r="A4627" t="s">
        <v>23</v>
      </c>
      <c r="B4627" s="60" t="str">
        <f t="shared" ref="B4627:B4629" si="3316">IF(K4627=0,"hide","")</f>
        <v>hide</v>
      </c>
      <c r="D4627" s="48" t="str">
        <f>D4626</f>
        <v>77436</v>
      </c>
      <c r="E4627" s="7"/>
      <c r="F4627" s="27">
        <v>0</v>
      </c>
      <c r="G4627" s="27">
        <v>0</v>
      </c>
      <c r="H4627" s="27">
        <v>0</v>
      </c>
      <c r="I4627" s="27">
        <v>0</v>
      </c>
      <c r="J4627" s="27">
        <v>0</v>
      </c>
      <c r="K4627" s="63">
        <f>AVERAGE(I4627:J4627)</f>
        <v>0</v>
      </c>
      <c r="L4627" s="56" t="str">
        <f>"EQP-LAWPACK2"</f>
        <v>EQP-LAWPACK2</v>
      </c>
      <c r="M4627" s="14"/>
      <c r="N4627" s="15"/>
      <c r="O4627" s="12"/>
      <c r="P4627" s="34"/>
      <c r="Q4627" s="37"/>
      <c r="R4627" s="47"/>
      <c r="S4627" s="46"/>
    </row>
    <row r="4628" spans="1:19" ht="15.6" hidden="1" customHeight="1" thickBot="1" x14ac:dyDescent="0.3">
      <c r="A4628" t="s">
        <v>23</v>
      </c>
      <c r="B4628" s="60" t="str">
        <f t="shared" si="3316"/>
        <v>hide</v>
      </c>
      <c r="D4628" s="48" t="str">
        <f>D4627</f>
        <v>77436</v>
      </c>
      <c r="E4628" s="7"/>
      <c r="F4628" s="27">
        <v>0</v>
      </c>
      <c r="G4628" s="27">
        <v>0</v>
      </c>
      <c r="H4628" s="27">
        <v>0</v>
      </c>
      <c r="I4628" s="27">
        <v>0</v>
      </c>
      <c r="J4628" s="27">
        <v>0</v>
      </c>
      <c r="K4628" s="63">
        <f>AVERAGE(I4628:J4628)</f>
        <v>0</v>
      </c>
      <c r="L4628" s="56" t="str">
        <f>"SW-COMAS-PACKL"</f>
        <v>SW-COMAS-PACKL</v>
      </c>
      <c r="M4628" s="14"/>
      <c r="N4628" s="15"/>
      <c r="O4628" s="12"/>
      <c r="P4628" s="34"/>
      <c r="Q4628" s="37"/>
      <c r="R4628" s="47"/>
      <c r="S4628" s="46"/>
    </row>
    <row r="4629" spans="1:19" ht="15.6" hidden="1" customHeight="1" thickBot="1" x14ac:dyDescent="0.3">
      <c r="A4629" t="s">
        <v>23</v>
      </c>
      <c r="B4629" s="60" t="str">
        <f t="shared" si="3316"/>
        <v>hide</v>
      </c>
      <c r="D4629" s="48" t="str">
        <f>D4628</f>
        <v>77436</v>
      </c>
      <c r="E4629" s="7"/>
      <c r="F4629" s="27">
        <v>0</v>
      </c>
      <c r="G4629" s="27">
        <v>0</v>
      </c>
      <c r="H4629" s="27">
        <v>0</v>
      </c>
      <c r="I4629" s="27">
        <v>0</v>
      </c>
      <c r="J4629" s="27">
        <v>0</v>
      </c>
      <c r="K4629" s="63">
        <f>AVERAGE(I4629:J4629)</f>
        <v>0</v>
      </c>
      <c r="L4629" s="56" t="str">
        <f>"SW-RISER-PACK"</f>
        <v>SW-RISER-PACK</v>
      </c>
      <c r="M4629" s="14"/>
      <c r="N4629" s="15"/>
      <c r="O4629" s="12"/>
      <c r="P4629" s="34"/>
      <c r="Q4629" s="37"/>
      <c r="R4629" s="47"/>
      <c r="S4629" s="46"/>
    </row>
    <row r="4630" spans="1:19" ht="12" hidden="1" customHeight="1" x14ac:dyDescent="0.3">
      <c r="A4630" s="35" t="s">
        <v>908</v>
      </c>
      <c r="B4630" s="49" t="str">
        <f>B4626</f>
        <v>hide</v>
      </c>
      <c r="N4630"/>
      <c r="Q4630" s="33"/>
    </row>
    <row r="4631" spans="1:19" ht="13.8" hidden="1" thickBot="1" x14ac:dyDescent="0.3">
      <c r="A4631" t="s">
        <v>23</v>
      </c>
      <c r="B4631" s="49" t="str">
        <f t="shared" ref="B4631" si="3317">B4630</f>
        <v>hide</v>
      </c>
      <c r="D4631" s="58"/>
      <c r="E4631" s="58"/>
      <c r="F4631" s="52">
        <f>SUM(F4626:F4630)</f>
        <v>0</v>
      </c>
      <c r="G4631" s="52">
        <f>SUM(G4626:G4630)</f>
        <v>0</v>
      </c>
      <c r="H4631" s="52">
        <f>SUM(H4626:H4630)</f>
        <v>0</v>
      </c>
      <c r="I4631" s="52">
        <f>SUM(I4626:I4630)</f>
        <v>0</v>
      </c>
      <c r="J4631" s="52">
        <f>SUM(J4626:J4630)</f>
        <v>0</v>
      </c>
      <c r="K4631" s="52"/>
      <c r="L4631" s="51" t="s">
        <v>4</v>
      </c>
      <c r="M4631" s="58"/>
      <c r="N4631" s="58"/>
      <c r="O4631" s="58"/>
      <c r="P4631" s="58"/>
      <c r="Q4631" s="58"/>
      <c r="R4631" s="58"/>
      <c r="S4631" s="58"/>
    </row>
    <row r="4632" spans="1:19" s="59" customFormat="1" ht="18.75" customHeight="1" thickBot="1" x14ac:dyDescent="0.3">
      <c r="A4632" s="59" t="s">
        <v>23</v>
      </c>
      <c r="B4632" s="60" t="str">
        <f t="shared" ref="B4632:B4633" si="3318">IF(K4632=0,"hide","")</f>
        <v/>
      </c>
      <c r="D4632" s="61" t="str">
        <f>"77451"</f>
        <v>77451</v>
      </c>
      <c r="E4632" s="62" t="str">
        <f>"3"</f>
        <v>3</v>
      </c>
      <c r="F4632" s="63">
        <v>21.583333333333332</v>
      </c>
      <c r="G4632" s="63">
        <v>7.833333333333333</v>
      </c>
      <c r="H4632" s="63">
        <v>5.083333333333333</v>
      </c>
      <c r="I4632" s="63">
        <v>2.9166666666666665</v>
      </c>
      <c r="J4632" s="63">
        <v>0</v>
      </c>
      <c r="K4632" s="63">
        <f>AVERAGE(I4632:J4632)</f>
        <v>1.4583333333333333</v>
      </c>
      <c r="L4632" s="64" t="str">
        <f>"BANANA MUFFINS"</f>
        <v>BANANA MUFFINS</v>
      </c>
      <c r="M4632" s="65" t="str">
        <f>"24-5 oz. 2-12 pack"</f>
        <v>24-5 oz. 2-12 pack</v>
      </c>
      <c r="N4632" s="66">
        <v>24</v>
      </c>
      <c r="O4632" s="67" t="str">
        <f>""</f>
        <v/>
      </c>
      <c r="P4632" s="68" t="e">
        <f>1/O4632</f>
        <v>#VALUE!</v>
      </c>
      <c r="Q4632" s="53">
        <v>1</v>
      </c>
      <c r="R4632" s="69">
        <f t="shared" ref="R4632" si="3319">1/Q4632</f>
        <v>1</v>
      </c>
      <c r="S4632" s="70">
        <f t="shared" ref="S4632" si="3320">R4632*N4632</f>
        <v>24</v>
      </c>
    </row>
    <row r="4633" spans="1:19" ht="15.6" hidden="1" customHeight="1" thickBot="1" x14ac:dyDescent="0.3">
      <c r="A4633" t="s">
        <v>23</v>
      </c>
      <c r="B4633" s="60" t="str">
        <f t="shared" si="3318"/>
        <v>hide</v>
      </c>
      <c r="D4633" s="48" t="str">
        <f>D4632</f>
        <v>77451</v>
      </c>
      <c r="E4633" s="7"/>
      <c r="F4633" s="27">
        <v>0</v>
      </c>
      <c r="G4633" s="27">
        <v>0</v>
      </c>
      <c r="H4633" s="27">
        <v>0</v>
      </c>
      <c r="I4633" s="27">
        <v>0</v>
      </c>
      <c r="J4633" s="27">
        <v>0</v>
      </c>
      <c r="K4633" s="63">
        <f>AVERAGE(I4633:J4633)</f>
        <v>0</v>
      </c>
      <c r="L4633" s="56" t="str">
        <f>"EQP-LAWPACK1"</f>
        <v>EQP-LAWPACK1</v>
      </c>
      <c r="M4633" s="14"/>
      <c r="N4633" s="15"/>
      <c r="O4633" s="12"/>
      <c r="P4633" s="34"/>
      <c r="Q4633" s="37"/>
      <c r="R4633" s="47"/>
      <c r="S4633" s="46"/>
    </row>
    <row r="4634" spans="1:19" ht="15.6" hidden="1" customHeight="1" thickBot="1" x14ac:dyDescent="0.3">
      <c r="A4634" t="s">
        <v>23</v>
      </c>
      <c r="B4634" s="60" t="str">
        <f t="shared" ref="B4634:B4636" si="3321">IF(K4634=0,"hide","")</f>
        <v>hide</v>
      </c>
      <c r="D4634" s="48" t="str">
        <f>D4633</f>
        <v>77451</v>
      </c>
      <c r="E4634" s="7"/>
      <c r="F4634" s="27">
        <v>0</v>
      </c>
      <c r="G4634" s="27">
        <v>0</v>
      </c>
      <c r="H4634" s="27">
        <v>0</v>
      </c>
      <c r="I4634" s="27">
        <v>0</v>
      </c>
      <c r="J4634" s="27">
        <v>0</v>
      </c>
      <c r="K4634" s="63">
        <f>AVERAGE(I4634:J4634)</f>
        <v>0</v>
      </c>
      <c r="L4634" s="56" t="str">
        <f>"EQP-LAWPACK2"</f>
        <v>EQP-LAWPACK2</v>
      </c>
      <c r="M4634" s="14"/>
      <c r="N4634" s="15"/>
      <c r="O4634" s="12"/>
      <c r="P4634" s="34"/>
      <c r="Q4634" s="37"/>
      <c r="R4634" s="47"/>
      <c r="S4634" s="46"/>
    </row>
    <row r="4635" spans="1:19" ht="15.6" hidden="1" customHeight="1" thickBot="1" x14ac:dyDescent="0.3">
      <c r="A4635" t="s">
        <v>23</v>
      </c>
      <c r="B4635" s="60" t="str">
        <f t="shared" si="3321"/>
        <v>hide</v>
      </c>
      <c r="D4635" s="48" t="str">
        <f>D4634</f>
        <v>77451</v>
      </c>
      <c r="E4635" s="7"/>
      <c r="F4635" s="27">
        <v>0</v>
      </c>
      <c r="G4635" s="27">
        <v>0</v>
      </c>
      <c r="H4635" s="27">
        <v>0</v>
      </c>
      <c r="I4635" s="27">
        <v>0</v>
      </c>
      <c r="J4635" s="27">
        <v>0</v>
      </c>
      <c r="K4635" s="63">
        <f>AVERAGE(I4635:J4635)</f>
        <v>0</v>
      </c>
      <c r="L4635" s="56" t="str">
        <f>"SW-COMAS-PACKL"</f>
        <v>SW-COMAS-PACKL</v>
      </c>
      <c r="M4635" s="14"/>
      <c r="N4635" s="15"/>
      <c r="O4635" s="12"/>
      <c r="P4635" s="34"/>
      <c r="Q4635" s="37"/>
      <c r="R4635" s="47"/>
      <c r="S4635" s="46"/>
    </row>
    <row r="4636" spans="1:19" ht="15.6" hidden="1" customHeight="1" thickBot="1" x14ac:dyDescent="0.3">
      <c r="A4636" t="s">
        <v>23</v>
      </c>
      <c r="B4636" s="60" t="str">
        <f t="shared" si="3321"/>
        <v>hide</v>
      </c>
      <c r="D4636" s="48" t="str">
        <f>D4635</f>
        <v>77451</v>
      </c>
      <c r="E4636" s="7"/>
      <c r="F4636" s="27">
        <v>0</v>
      </c>
      <c r="G4636" s="27">
        <v>0</v>
      </c>
      <c r="H4636" s="27">
        <v>0</v>
      </c>
      <c r="I4636" s="27">
        <v>0</v>
      </c>
      <c r="J4636" s="27">
        <v>0</v>
      </c>
      <c r="K4636" s="63">
        <f>AVERAGE(I4636:J4636)</f>
        <v>0</v>
      </c>
      <c r="L4636" s="56" t="str">
        <f>"SW-RISER-PACK"</f>
        <v>SW-RISER-PACK</v>
      </c>
      <c r="M4636" s="14"/>
      <c r="N4636" s="15"/>
      <c r="O4636" s="12"/>
      <c r="P4636" s="34"/>
      <c r="Q4636" s="37"/>
      <c r="R4636" s="47"/>
      <c r="S4636" s="46"/>
    </row>
    <row r="4637" spans="1:19" ht="12" hidden="1" customHeight="1" x14ac:dyDescent="0.3">
      <c r="A4637" s="35" t="s">
        <v>908</v>
      </c>
      <c r="B4637" s="49" t="str">
        <f>B4633</f>
        <v>hide</v>
      </c>
      <c r="N4637"/>
      <c r="Q4637" s="33"/>
    </row>
    <row r="4638" spans="1:19" ht="13.8" hidden="1" thickBot="1" x14ac:dyDescent="0.3">
      <c r="A4638" t="s">
        <v>23</v>
      </c>
      <c r="B4638" s="49" t="str">
        <f t="shared" ref="B4638" si="3322">B4637</f>
        <v>hide</v>
      </c>
      <c r="D4638" s="58"/>
      <c r="E4638" s="58"/>
      <c r="F4638" s="52">
        <f>SUM(F4633:F4637)</f>
        <v>0</v>
      </c>
      <c r="G4638" s="52">
        <f>SUM(G4633:G4637)</f>
        <v>0</v>
      </c>
      <c r="H4638" s="52">
        <f>SUM(H4633:H4637)</f>
        <v>0</v>
      </c>
      <c r="I4638" s="52">
        <f>SUM(I4633:I4637)</f>
        <v>0</v>
      </c>
      <c r="J4638" s="52">
        <f>SUM(J4633:J4637)</f>
        <v>0</v>
      </c>
      <c r="K4638" s="52"/>
      <c r="L4638" s="51" t="s">
        <v>4</v>
      </c>
      <c r="M4638" s="58"/>
      <c r="N4638" s="58"/>
      <c r="O4638" s="58"/>
      <c r="P4638" s="58"/>
      <c r="Q4638" s="58"/>
      <c r="R4638" s="58"/>
      <c r="S4638" s="58"/>
    </row>
    <row r="4639" spans="1:19" s="59" customFormat="1" ht="18.75" hidden="1" customHeight="1" thickBot="1" x14ac:dyDescent="0.3">
      <c r="A4639" s="59" t="s">
        <v>23</v>
      </c>
      <c r="B4639" s="60" t="str">
        <f t="shared" ref="B4639:B4640" si="3323">IF(K4639=0,"hide","")</f>
        <v>hide</v>
      </c>
      <c r="D4639" s="61" t="str">
        <f>"80106"</f>
        <v>80106</v>
      </c>
      <c r="E4639" s="62" t="str">
        <f>"1"</f>
        <v>1</v>
      </c>
      <c r="F4639" s="63">
        <v>0</v>
      </c>
      <c r="G4639" s="63">
        <v>0</v>
      </c>
      <c r="H4639" s="63">
        <v>0</v>
      </c>
      <c r="I4639" s="63">
        <v>0</v>
      </c>
      <c r="J4639" s="63">
        <v>0</v>
      </c>
      <c r="K4639" s="63">
        <f>AVERAGE(I4639:J4639)</f>
        <v>0</v>
      </c>
      <c r="L4639" s="64" t="str">
        <f>""</f>
        <v/>
      </c>
      <c r="M4639" s="65" t="str">
        <f>""</f>
        <v/>
      </c>
      <c r="N4639" s="66" t="str">
        <f>""</f>
        <v/>
      </c>
      <c r="O4639" s="67" t="str">
        <f>""</f>
        <v/>
      </c>
      <c r="P4639" s="68" t="e">
        <f>1/O4639</f>
        <v>#VALUE!</v>
      </c>
      <c r="Q4639" s="53">
        <v>1</v>
      </c>
      <c r="R4639" s="69">
        <f t="shared" ref="R4639" si="3324">1/Q4639</f>
        <v>1</v>
      </c>
      <c r="S4639" s="70" t="e">
        <f t="shared" ref="S4639" si="3325">R4639*N4639</f>
        <v>#VALUE!</v>
      </c>
    </row>
    <row r="4640" spans="1:19" ht="15.6" hidden="1" customHeight="1" thickBot="1" x14ac:dyDescent="0.3">
      <c r="A4640" t="s">
        <v>23</v>
      </c>
      <c r="B4640" s="60" t="str">
        <f t="shared" si="3323"/>
        <v>hide</v>
      </c>
      <c r="D4640" s="48" t="str">
        <f>D4639</f>
        <v>80106</v>
      </c>
      <c r="E4640" s="7"/>
      <c r="F4640" s="27">
        <v>0</v>
      </c>
      <c r="G4640" s="27">
        <v>0</v>
      </c>
      <c r="H4640" s="27">
        <v>0</v>
      </c>
      <c r="I4640" s="27">
        <v>0</v>
      </c>
      <c r="J4640" s="27">
        <v>0</v>
      </c>
      <c r="K4640" s="63">
        <f>AVERAGE(I4640:J4640)</f>
        <v>0</v>
      </c>
      <c r="L4640" s="56" t="str">
        <f>"EQP-LAWPACK1"</f>
        <v>EQP-LAWPACK1</v>
      </c>
      <c r="M4640" s="14"/>
      <c r="N4640" s="15"/>
      <c r="O4640" s="12"/>
      <c r="P4640" s="34"/>
      <c r="Q4640" s="37"/>
      <c r="R4640" s="47"/>
      <c r="S4640" s="46"/>
    </row>
    <row r="4641" spans="1:19" ht="15.6" hidden="1" customHeight="1" thickBot="1" x14ac:dyDescent="0.3">
      <c r="A4641" t="s">
        <v>23</v>
      </c>
      <c r="B4641" s="60" t="str">
        <f t="shared" ref="B4641:B4643" si="3326">IF(K4641=0,"hide","")</f>
        <v>hide</v>
      </c>
      <c r="D4641" s="48" t="str">
        <f>D4640</f>
        <v>80106</v>
      </c>
      <c r="E4641" s="7"/>
      <c r="F4641" s="27">
        <v>0</v>
      </c>
      <c r="G4641" s="27">
        <v>0</v>
      </c>
      <c r="H4641" s="27">
        <v>0</v>
      </c>
      <c r="I4641" s="27">
        <v>0</v>
      </c>
      <c r="J4641" s="27">
        <v>0</v>
      </c>
      <c r="K4641" s="63">
        <f>AVERAGE(I4641:J4641)</f>
        <v>0</v>
      </c>
      <c r="L4641" s="56" t="str">
        <f>"EQP-LAWPACK2"</f>
        <v>EQP-LAWPACK2</v>
      </c>
      <c r="M4641" s="14"/>
      <c r="N4641" s="15"/>
      <c r="O4641" s="12"/>
      <c r="P4641" s="34"/>
      <c r="Q4641" s="37"/>
      <c r="R4641" s="47"/>
      <c r="S4641" s="46"/>
    </row>
    <row r="4642" spans="1:19" ht="15.6" hidden="1" customHeight="1" thickBot="1" x14ac:dyDescent="0.3">
      <c r="A4642" t="s">
        <v>23</v>
      </c>
      <c r="B4642" s="60" t="str">
        <f t="shared" si="3326"/>
        <v>hide</v>
      </c>
      <c r="D4642" s="48" t="str">
        <f>D4641</f>
        <v>80106</v>
      </c>
      <c r="E4642" s="7"/>
      <c r="F4642" s="27">
        <v>0</v>
      </c>
      <c r="G4642" s="27">
        <v>0</v>
      </c>
      <c r="H4642" s="27">
        <v>0</v>
      </c>
      <c r="I4642" s="27">
        <v>0</v>
      </c>
      <c r="J4642" s="27">
        <v>0</v>
      </c>
      <c r="K4642" s="63">
        <f>AVERAGE(I4642:J4642)</f>
        <v>0</v>
      </c>
      <c r="L4642" s="56" t="str">
        <f>"SW-COMAS-PACKL"</f>
        <v>SW-COMAS-PACKL</v>
      </c>
      <c r="M4642" s="14"/>
      <c r="N4642" s="15"/>
      <c r="O4642" s="12"/>
      <c r="P4642" s="34"/>
      <c r="Q4642" s="37"/>
      <c r="R4642" s="47"/>
      <c r="S4642" s="46"/>
    </row>
    <row r="4643" spans="1:19" ht="15.6" hidden="1" customHeight="1" thickBot="1" x14ac:dyDescent="0.3">
      <c r="A4643" t="s">
        <v>23</v>
      </c>
      <c r="B4643" s="60" t="str">
        <f t="shared" si="3326"/>
        <v>hide</v>
      </c>
      <c r="D4643" s="48" t="str">
        <f>D4642</f>
        <v>80106</v>
      </c>
      <c r="E4643" s="7"/>
      <c r="F4643" s="27">
        <v>0</v>
      </c>
      <c r="G4643" s="27">
        <v>0</v>
      </c>
      <c r="H4643" s="27">
        <v>0</v>
      </c>
      <c r="I4643" s="27">
        <v>0</v>
      </c>
      <c r="J4643" s="27">
        <v>0</v>
      </c>
      <c r="K4643" s="63">
        <f>AVERAGE(I4643:J4643)</f>
        <v>0</v>
      </c>
      <c r="L4643" s="56" t="str">
        <f>"SW-RISER-PACK"</f>
        <v>SW-RISER-PACK</v>
      </c>
      <c r="M4643" s="14"/>
      <c r="N4643" s="15"/>
      <c r="O4643" s="12"/>
      <c r="P4643" s="34"/>
      <c r="Q4643" s="37"/>
      <c r="R4643" s="47"/>
      <c r="S4643" s="46"/>
    </row>
    <row r="4644" spans="1:19" ht="12" hidden="1" customHeight="1" x14ac:dyDescent="0.3">
      <c r="A4644" s="35" t="s">
        <v>908</v>
      </c>
      <c r="B4644" s="49" t="str">
        <f>B4640</f>
        <v>hide</v>
      </c>
      <c r="N4644"/>
      <c r="Q4644" s="33"/>
    </row>
    <row r="4645" spans="1:19" ht="13.8" hidden="1" thickBot="1" x14ac:dyDescent="0.3">
      <c r="A4645" t="s">
        <v>23</v>
      </c>
      <c r="B4645" s="49" t="str">
        <f t="shared" ref="B4645" si="3327">B4644</f>
        <v>hide</v>
      </c>
      <c r="D4645" s="58"/>
      <c r="E4645" s="58"/>
      <c r="F4645" s="52">
        <f>SUM(F4640:F4644)</f>
        <v>0</v>
      </c>
      <c r="G4645" s="52">
        <f>SUM(G4640:G4644)</f>
        <v>0</v>
      </c>
      <c r="H4645" s="52">
        <f>SUM(H4640:H4644)</f>
        <v>0</v>
      </c>
      <c r="I4645" s="52">
        <f>SUM(I4640:I4644)</f>
        <v>0</v>
      </c>
      <c r="J4645" s="52">
        <f>SUM(J4640:J4644)</f>
        <v>0</v>
      </c>
      <c r="K4645" s="52"/>
      <c r="L4645" s="51" t="s">
        <v>4</v>
      </c>
      <c r="M4645" s="58"/>
      <c r="N4645" s="58"/>
      <c r="O4645" s="58"/>
      <c r="P4645" s="58"/>
      <c r="Q4645" s="58"/>
      <c r="R4645" s="58"/>
      <c r="S4645" s="58"/>
    </row>
    <row r="4646" spans="1:19" s="59" customFormat="1" ht="18.75" hidden="1" customHeight="1" thickBot="1" x14ac:dyDescent="0.3">
      <c r="A4646" s="59" t="s">
        <v>23</v>
      </c>
      <c r="B4646" s="60" t="str">
        <f t="shared" ref="B4646:B4647" si="3328">IF(K4646=0,"hide","")</f>
        <v>hide</v>
      </c>
      <c r="D4646" s="61" t="str">
        <f>"80116"</f>
        <v>80116</v>
      </c>
      <c r="E4646" s="62" t="str">
        <f>"1"</f>
        <v>1</v>
      </c>
      <c r="F4646" s="63">
        <v>0</v>
      </c>
      <c r="G4646" s="63">
        <v>0</v>
      </c>
      <c r="H4646" s="63">
        <v>0</v>
      </c>
      <c r="I4646" s="63">
        <v>0</v>
      </c>
      <c r="J4646" s="63">
        <v>0</v>
      </c>
      <c r="K4646" s="63">
        <f>AVERAGE(I4646:J4646)</f>
        <v>0</v>
      </c>
      <c r="L4646" s="64" t="str">
        <f>"CINNAMON RAISIN BAGEL DOUGH"</f>
        <v>CINNAMON RAISIN BAGEL DOUGH</v>
      </c>
      <c r="M4646" s="65" t="str">
        <f>"135-3.5 oz. Bulk"</f>
        <v>135-3.5 oz. Bulk</v>
      </c>
      <c r="N4646" s="66">
        <v>135</v>
      </c>
      <c r="O4646" s="67" t="str">
        <f>""</f>
        <v/>
      </c>
      <c r="P4646" s="68" t="e">
        <f>1/O4646</f>
        <v>#VALUE!</v>
      </c>
      <c r="Q4646" s="53">
        <v>1</v>
      </c>
      <c r="R4646" s="69">
        <f t="shared" ref="R4646" si="3329">1/Q4646</f>
        <v>1</v>
      </c>
      <c r="S4646" s="70">
        <f t="shared" ref="S4646" si="3330">R4646*N4646</f>
        <v>135</v>
      </c>
    </row>
    <row r="4647" spans="1:19" ht="15.6" hidden="1" customHeight="1" thickBot="1" x14ac:dyDescent="0.3">
      <c r="A4647" t="s">
        <v>23</v>
      </c>
      <c r="B4647" s="60" t="str">
        <f t="shared" si="3328"/>
        <v>hide</v>
      </c>
      <c r="D4647" s="48" t="str">
        <f>D4646</f>
        <v>80116</v>
      </c>
      <c r="E4647" s="7"/>
      <c r="F4647" s="27">
        <v>0</v>
      </c>
      <c r="G4647" s="27">
        <v>0</v>
      </c>
      <c r="H4647" s="27">
        <v>0</v>
      </c>
      <c r="I4647" s="27">
        <v>0</v>
      </c>
      <c r="J4647" s="27">
        <v>0</v>
      </c>
      <c r="K4647" s="63">
        <f>AVERAGE(I4647:J4647)</f>
        <v>0</v>
      </c>
      <c r="L4647" s="56" t="str">
        <f>"EQP-LAWPACK1"</f>
        <v>EQP-LAWPACK1</v>
      </c>
      <c r="M4647" s="14"/>
      <c r="N4647" s="15"/>
      <c r="O4647" s="12"/>
      <c r="P4647" s="34"/>
      <c r="Q4647" s="37"/>
      <c r="R4647" s="47"/>
      <c r="S4647" s="46"/>
    </row>
    <row r="4648" spans="1:19" ht="15.6" hidden="1" customHeight="1" thickBot="1" x14ac:dyDescent="0.3">
      <c r="A4648" t="s">
        <v>23</v>
      </c>
      <c r="B4648" s="60" t="str">
        <f t="shared" ref="B4648:B4650" si="3331">IF(K4648=0,"hide","")</f>
        <v>hide</v>
      </c>
      <c r="D4648" s="48" t="str">
        <f>D4647</f>
        <v>80116</v>
      </c>
      <c r="E4648" s="7"/>
      <c r="F4648" s="27">
        <v>0</v>
      </c>
      <c r="G4648" s="27">
        <v>0</v>
      </c>
      <c r="H4648" s="27">
        <v>0</v>
      </c>
      <c r="I4648" s="27">
        <v>0</v>
      </c>
      <c r="J4648" s="27">
        <v>0</v>
      </c>
      <c r="K4648" s="63">
        <f>AVERAGE(I4648:J4648)</f>
        <v>0</v>
      </c>
      <c r="L4648" s="56" t="str">
        <f>"EQP-LAWPACK2"</f>
        <v>EQP-LAWPACK2</v>
      </c>
      <c r="M4648" s="14"/>
      <c r="N4648" s="15"/>
      <c r="O4648" s="12"/>
      <c r="P4648" s="34"/>
      <c r="Q4648" s="37"/>
      <c r="R4648" s="47"/>
      <c r="S4648" s="46"/>
    </row>
    <row r="4649" spans="1:19" ht="15.6" hidden="1" customHeight="1" thickBot="1" x14ac:dyDescent="0.3">
      <c r="A4649" t="s">
        <v>23</v>
      </c>
      <c r="B4649" s="60" t="str">
        <f t="shared" si="3331"/>
        <v>hide</v>
      </c>
      <c r="D4649" s="48" t="str">
        <f>D4648</f>
        <v>80116</v>
      </c>
      <c r="E4649" s="7"/>
      <c r="F4649" s="27">
        <v>0</v>
      </c>
      <c r="G4649" s="27">
        <v>0</v>
      </c>
      <c r="H4649" s="27">
        <v>0</v>
      </c>
      <c r="I4649" s="27">
        <v>0</v>
      </c>
      <c r="J4649" s="27">
        <v>0</v>
      </c>
      <c r="K4649" s="63">
        <f>AVERAGE(I4649:J4649)</f>
        <v>0</v>
      </c>
      <c r="L4649" s="56" t="str">
        <f>"SW-COMAS-PACKL"</f>
        <v>SW-COMAS-PACKL</v>
      </c>
      <c r="M4649" s="14"/>
      <c r="N4649" s="15"/>
      <c r="O4649" s="12"/>
      <c r="P4649" s="34"/>
      <c r="Q4649" s="37"/>
      <c r="R4649" s="47"/>
      <c r="S4649" s="46"/>
    </row>
    <row r="4650" spans="1:19" ht="15.6" hidden="1" customHeight="1" thickBot="1" x14ac:dyDescent="0.3">
      <c r="A4650" t="s">
        <v>23</v>
      </c>
      <c r="B4650" s="60" t="str">
        <f t="shared" si="3331"/>
        <v>hide</v>
      </c>
      <c r="D4650" s="48" t="str">
        <f>D4649</f>
        <v>80116</v>
      </c>
      <c r="E4650" s="7"/>
      <c r="F4650" s="27">
        <v>0</v>
      </c>
      <c r="G4650" s="27">
        <v>0</v>
      </c>
      <c r="H4650" s="27">
        <v>0</v>
      </c>
      <c r="I4650" s="27">
        <v>0</v>
      </c>
      <c r="J4650" s="27">
        <v>0</v>
      </c>
      <c r="K4650" s="63">
        <f>AVERAGE(I4650:J4650)</f>
        <v>0</v>
      </c>
      <c r="L4650" s="56" t="str">
        <f>"SW-RISER-PACK"</f>
        <v>SW-RISER-PACK</v>
      </c>
      <c r="M4650" s="14"/>
      <c r="N4650" s="15"/>
      <c r="O4650" s="12"/>
      <c r="P4650" s="34"/>
      <c r="Q4650" s="37"/>
      <c r="R4650" s="47"/>
      <c r="S4650" s="46"/>
    </row>
    <row r="4651" spans="1:19" ht="12" hidden="1" customHeight="1" x14ac:dyDescent="0.3">
      <c r="A4651" s="35" t="s">
        <v>908</v>
      </c>
      <c r="B4651" s="49" t="str">
        <f>B4647</f>
        <v>hide</v>
      </c>
      <c r="N4651"/>
      <c r="Q4651" s="33"/>
    </row>
    <row r="4652" spans="1:19" ht="13.8" hidden="1" thickBot="1" x14ac:dyDescent="0.3">
      <c r="A4652" t="s">
        <v>23</v>
      </c>
      <c r="B4652" s="49" t="str">
        <f t="shared" ref="B4652" si="3332">B4651</f>
        <v>hide</v>
      </c>
      <c r="D4652" s="58"/>
      <c r="E4652" s="58"/>
      <c r="F4652" s="52">
        <f>SUM(F4647:F4651)</f>
        <v>0</v>
      </c>
      <c r="G4652" s="52">
        <f>SUM(G4647:G4651)</f>
        <v>0</v>
      </c>
      <c r="H4652" s="52">
        <f>SUM(H4647:H4651)</f>
        <v>0</v>
      </c>
      <c r="I4652" s="52">
        <f>SUM(I4647:I4651)</f>
        <v>0</v>
      </c>
      <c r="J4652" s="52">
        <f>SUM(J4647:J4651)</f>
        <v>0</v>
      </c>
      <c r="K4652" s="52"/>
      <c r="L4652" s="51" t="s">
        <v>4</v>
      </c>
      <c r="M4652" s="58"/>
      <c r="N4652" s="58"/>
      <c r="O4652" s="58"/>
      <c r="P4652" s="58"/>
      <c r="Q4652" s="58"/>
      <c r="R4652" s="58"/>
      <c r="S4652" s="58"/>
    </row>
    <row r="4653" spans="1:19" s="59" customFormat="1" ht="18.75" hidden="1" customHeight="1" thickBot="1" x14ac:dyDescent="0.3">
      <c r="A4653" s="59" t="s">
        <v>23</v>
      </c>
      <c r="B4653" s="60" t="str">
        <f t="shared" ref="B4653:B4654" si="3333">IF(K4653=0,"hide","")</f>
        <v>hide</v>
      </c>
      <c r="D4653" s="61" t="str">
        <f>"80129"</f>
        <v>80129</v>
      </c>
      <c r="E4653" s="62" t="str">
        <f>"1"</f>
        <v>1</v>
      </c>
      <c r="F4653" s="63">
        <v>0</v>
      </c>
      <c r="G4653" s="63">
        <v>0</v>
      </c>
      <c r="H4653" s="63">
        <v>0</v>
      </c>
      <c r="I4653" s="63">
        <v>0</v>
      </c>
      <c r="J4653" s="63">
        <v>0</v>
      </c>
      <c r="K4653" s="63">
        <f>AVERAGE(I4653:J4653)</f>
        <v>0</v>
      </c>
      <c r="L4653" s="64" t="str">
        <f>"PLAIN BAGEL DOUGH"</f>
        <v>PLAIN BAGEL DOUGH</v>
      </c>
      <c r="M4653" s="65" t="str">
        <f>"135-35 oz. Bulk"</f>
        <v>135-35 oz. Bulk</v>
      </c>
      <c r="N4653" s="66">
        <v>135</v>
      </c>
      <c r="O4653" s="67" t="str">
        <f>""</f>
        <v/>
      </c>
      <c r="P4653" s="68" t="e">
        <f>1/O4653</f>
        <v>#VALUE!</v>
      </c>
      <c r="Q4653" s="53">
        <v>1</v>
      </c>
      <c r="R4653" s="69">
        <f t="shared" ref="R4653" si="3334">1/Q4653</f>
        <v>1</v>
      </c>
      <c r="S4653" s="70">
        <f t="shared" ref="S4653" si="3335">R4653*N4653</f>
        <v>135</v>
      </c>
    </row>
    <row r="4654" spans="1:19" ht="15.6" hidden="1" customHeight="1" thickBot="1" x14ac:dyDescent="0.3">
      <c r="A4654" t="s">
        <v>23</v>
      </c>
      <c r="B4654" s="60" t="str">
        <f t="shared" si="3333"/>
        <v>hide</v>
      </c>
      <c r="D4654" s="48" t="str">
        <f>D4653</f>
        <v>80129</v>
      </c>
      <c r="E4654" s="7"/>
      <c r="F4654" s="27">
        <v>0</v>
      </c>
      <c r="G4654" s="27">
        <v>0</v>
      </c>
      <c r="H4654" s="27">
        <v>0</v>
      </c>
      <c r="I4654" s="27">
        <v>0</v>
      </c>
      <c r="J4654" s="27">
        <v>0</v>
      </c>
      <c r="K4654" s="63">
        <f>AVERAGE(I4654:J4654)</f>
        <v>0</v>
      </c>
      <c r="L4654" s="56" t="str">
        <f>"EQP-LAWPACK1"</f>
        <v>EQP-LAWPACK1</v>
      </c>
      <c r="M4654" s="14"/>
      <c r="N4654" s="15"/>
      <c r="O4654" s="12"/>
      <c r="P4654" s="34"/>
      <c r="Q4654" s="37"/>
      <c r="R4654" s="47"/>
      <c r="S4654" s="46"/>
    </row>
    <row r="4655" spans="1:19" ht="15.6" hidden="1" customHeight="1" thickBot="1" x14ac:dyDescent="0.3">
      <c r="A4655" t="s">
        <v>23</v>
      </c>
      <c r="B4655" s="60" t="str">
        <f t="shared" ref="B4655:B4657" si="3336">IF(K4655=0,"hide","")</f>
        <v>hide</v>
      </c>
      <c r="D4655" s="48" t="str">
        <f>D4654</f>
        <v>80129</v>
      </c>
      <c r="E4655" s="7"/>
      <c r="F4655" s="27">
        <v>0</v>
      </c>
      <c r="G4655" s="27">
        <v>0</v>
      </c>
      <c r="H4655" s="27">
        <v>0</v>
      </c>
      <c r="I4655" s="27">
        <v>0</v>
      </c>
      <c r="J4655" s="27">
        <v>0</v>
      </c>
      <c r="K4655" s="63">
        <f>AVERAGE(I4655:J4655)</f>
        <v>0</v>
      </c>
      <c r="L4655" s="56" t="str">
        <f>"EQP-LAWPACK2"</f>
        <v>EQP-LAWPACK2</v>
      </c>
      <c r="M4655" s="14"/>
      <c r="N4655" s="15"/>
      <c r="O4655" s="12"/>
      <c r="P4655" s="34"/>
      <c r="Q4655" s="37"/>
      <c r="R4655" s="47"/>
      <c r="S4655" s="46"/>
    </row>
    <row r="4656" spans="1:19" ht="15.6" hidden="1" customHeight="1" thickBot="1" x14ac:dyDescent="0.3">
      <c r="A4656" t="s">
        <v>23</v>
      </c>
      <c r="B4656" s="60" t="str">
        <f t="shared" si="3336"/>
        <v>hide</v>
      </c>
      <c r="D4656" s="48" t="str">
        <f>D4655</f>
        <v>80129</v>
      </c>
      <c r="E4656" s="7"/>
      <c r="F4656" s="27">
        <v>0</v>
      </c>
      <c r="G4656" s="27">
        <v>0</v>
      </c>
      <c r="H4656" s="27">
        <v>0</v>
      </c>
      <c r="I4656" s="27">
        <v>0</v>
      </c>
      <c r="J4656" s="27">
        <v>0</v>
      </c>
      <c r="K4656" s="63">
        <f>AVERAGE(I4656:J4656)</f>
        <v>0</v>
      </c>
      <c r="L4656" s="56" t="str">
        <f>"SW-COMAS-PACKL"</f>
        <v>SW-COMAS-PACKL</v>
      </c>
      <c r="M4656" s="14"/>
      <c r="N4656" s="15"/>
      <c r="O4656" s="12"/>
      <c r="P4656" s="34"/>
      <c r="Q4656" s="37"/>
      <c r="R4656" s="47"/>
      <c r="S4656" s="46"/>
    </row>
    <row r="4657" spans="1:19" ht="15.6" hidden="1" customHeight="1" thickBot="1" x14ac:dyDescent="0.3">
      <c r="A4657" t="s">
        <v>23</v>
      </c>
      <c r="B4657" s="60" t="str">
        <f t="shared" si="3336"/>
        <v>hide</v>
      </c>
      <c r="D4657" s="48" t="str">
        <f>D4656</f>
        <v>80129</v>
      </c>
      <c r="E4657" s="7"/>
      <c r="F4657" s="27">
        <v>0</v>
      </c>
      <c r="G4657" s="27">
        <v>0</v>
      </c>
      <c r="H4657" s="27">
        <v>0</v>
      </c>
      <c r="I4657" s="27">
        <v>0</v>
      </c>
      <c r="J4657" s="27">
        <v>0</v>
      </c>
      <c r="K4657" s="63">
        <f>AVERAGE(I4657:J4657)</f>
        <v>0</v>
      </c>
      <c r="L4657" s="56" t="str">
        <f>"SW-RISER-PACK"</f>
        <v>SW-RISER-PACK</v>
      </c>
      <c r="M4657" s="14"/>
      <c r="N4657" s="15"/>
      <c r="O4657" s="12"/>
      <c r="P4657" s="34"/>
      <c r="Q4657" s="37"/>
      <c r="R4657" s="47"/>
      <c r="S4657" s="46"/>
    </row>
    <row r="4658" spans="1:19" ht="12" hidden="1" customHeight="1" x14ac:dyDescent="0.3">
      <c r="A4658" s="35" t="s">
        <v>908</v>
      </c>
      <c r="B4658" s="49" t="str">
        <f>B4654</f>
        <v>hide</v>
      </c>
      <c r="N4658"/>
      <c r="Q4658" s="33"/>
    </row>
    <row r="4659" spans="1:19" ht="13.8" hidden="1" thickBot="1" x14ac:dyDescent="0.3">
      <c r="A4659" t="s">
        <v>23</v>
      </c>
      <c r="B4659" s="49" t="str">
        <f t="shared" ref="B4659" si="3337">B4658</f>
        <v>hide</v>
      </c>
      <c r="D4659" s="58"/>
      <c r="E4659" s="58"/>
      <c r="F4659" s="52">
        <f>SUM(F4654:F4658)</f>
        <v>0</v>
      </c>
      <c r="G4659" s="52">
        <f>SUM(G4654:G4658)</f>
        <v>0</v>
      </c>
      <c r="H4659" s="52">
        <f>SUM(H4654:H4658)</f>
        <v>0</v>
      </c>
      <c r="I4659" s="52">
        <f>SUM(I4654:I4658)</f>
        <v>0</v>
      </c>
      <c r="J4659" s="52">
        <f>SUM(J4654:J4658)</f>
        <v>0</v>
      </c>
      <c r="K4659" s="52"/>
      <c r="L4659" s="51" t="s">
        <v>4</v>
      </c>
      <c r="M4659" s="58"/>
      <c r="N4659" s="58"/>
      <c r="O4659" s="58"/>
      <c r="P4659" s="58"/>
      <c r="Q4659" s="58"/>
      <c r="R4659" s="58"/>
      <c r="S4659" s="58"/>
    </row>
    <row r="4660" spans="1:19" s="59" customFormat="1" ht="18.75" hidden="1" customHeight="1" thickBot="1" x14ac:dyDescent="0.3">
      <c r="A4660" s="59" t="s">
        <v>23</v>
      </c>
      <c r="B4660" s="60" t="str">
        <f t="shared" ref="B4660:B4661" si="3338">IF(K4660=0,"hide","")</f>
        <v>hide</v>
      </c>
      <c r="D4660" s="61" t="str">
        <f>"80130"</f>
        <v>80130</v>
      </c>
      <c r="E4660" s="62" t="str">
        <f>"1"</f>
        <v>1</v>
      </c>
      <c r="F4660" s="63">
        <v>0</v>
      </c>
      <c r="G4660" s="63">
        <v>0</v>
      </c>
      <c r="H4660" s="63">
        <v>0</v>
      </c>
      <c r="I4660" s="63">
        <v>0</v>
      </c>
      <c r="J4660" s="63">
        <v>0</v>
      </c>
      <c r="K4660" s="63">
        <f>AVERAGE(I4660:J4660)</f>
        <v>0</v>
      </c>
      <c r="L4660" s="64" t="str">
        <f>""</f>
        <v/>
      </c>
      <c r="M4660" s="65" t="str">
        <f>""</f>
        <v/>
      </c>
      <c r="N4660" s="66" t="str">
        <f>""</f>
        <v/>
      </c>
      <c r="O4660" s="67" t="str">
        <f>""</f>
        <v/>
      </c>
      <c r="P4660" s="68" t="e">
        <f>1/O4660</f>
        <v>#VALUE!</v>
      </c>
      <c r="Q4660" s="53">
        <v>1</v>
      </c>
      <c r="R4660" s="69">
        <f t="shared" ref="R4660" si="3339">1/Q4660</f>
        <v>1</v>
      </c>
      <c r="S4660" s="70" t="e">
        <f t="shared" ref="S4660" si="3340">R4660*N4660</f>
        <v>#VALUE!</v>
      </c>
    </row>
    <row r="4661" spans="1:19" ht="15.6" hidden="1" customHeight="1" thickBot="1" x14ac:dyDescent="0.3">
      <c r="A4661" t="s">
        <v>23</v>
      </c>
      <c r="B4661" s="60" t="str">
        <f t="shared" si="3338"/>
        <v>hide</v>
      </c>
      <c r="D4661" s="48" t="str">
        <f>D4660</f>
        <v>80130</v>
      </c>
      <c r="E4661" s="7"/>
      <c r="F4661" s="27">
        <v>0</v>
      </c>
      <c r="G4661" s="27">
        <v>0</v>
      </c>
      <c r="H4661" s="27">
        <v>0</v>
      </c>
      <c r="I4661" s="27">
        <v>0</v>
      </c>
      <c r="J4661" s="27">
        <v>0</v>
      </c>
      <c r="K4661" s="63">
        <f>AVERAGE(I4661:J4661)</f>
        <v>0</v>
      </c>
      <c r="L4661" s="56" t="str">
        <f>"EQP-LAWPACK1"</f>
        <v>EQP-LAWPACK1</v>
      </c>
      <c r="M4661" s="14"/>
      <c r="N4661" s="15"/>
      <c r="O4661" s="12"/>
      <c r="P4661" s="34"/>
      <c r="Q4661" s="37"/>
      <c r="R4661" s="47"/>
      <c r="S4661" s="46"/>
    </row>
    <row r="4662" spans="1:19" ht="15.6" hidden="1" customHeight="1" thickBot="1" x14ac:dyDescent="0.3">
      <c r="A4662" t="s">
        <v>23</v>
      </c>
      <c r="B4662" s="60" t="str">
        <f t="shared" ref="B4662:B4664" si="3341">IF(K4662=0,"hide","")</f>
        <v>hide</v>
      </c>
      <c r="D4662" s="48" t="str">
        <f>D4661</f>
        <v>80130</v>
      </c>
      <c r="E4662" s="7"/>
      <c r="F4662" s="27">
        <v>0</v>
      </c>
      <c r="G4662" s="27">
        <v>0</v>
      </c>
      <c r="H4662" s="27">
        <v>0</v>
      </c>
      <c r="I4662" s="27">
        <v>0</v>
      </c>
      <c r="J4662" s="27">
        <v>0</v>
      </c>
      <c r="K4662" s="63">
        <f>AVERAGE(I4662:J4662)</f>
        <v>0</v>
      </c>
      <c r="L4662" s="56" t="str">
        <f>"EQP-LAWPACK2"</f>
        <v>EQP-LAWPACK2</v>
      </c>
      <c r="M4662" s="14"/>
      <c r="N4662" s="15"/>
      <c r="O4662" s="12"/>
      <c r="P4662" s="34"/>
      <c r="Q4662" s="37"/>
      <c r="R4662" s="47"/>
      <c r="S4662" s="46"/>
    </row>
    <row r="4663" spans="1:19" ht="15.6" hidden="1" customHeight="1" thickBot="1" x14ac:dyDescent="0.3">
      <c r="A4663" t="s">
        <v>23</v>
      </c>
      <c r="B4663" s="60" t="str">
        <f t="shared" si="3341"/>
        <v>hide</v>
      </c>
      <c r="D4663" s="48" t="str">
        <f>D4662</f>
        <v>80130</v>
      </c>
      <c r="E4663" s="7"/>
      <c r="F4663" s="27">
        <v>0</v>
      </c>
      <c r="G4663" s="27">
        <v>0</v>
      </c>
      <c r="H4663" s="27">
        <v>0</v>
      </c>
      <c r="I4663" s="27">
        <v>0</v>
      </c>
      <c r="J4663" s="27">
        <v>0</v>
      </c>
      <c r="K4663" s="63">
        <f>AVERAGE(I4663:J4663)</f>
        <v>0</v>
      </c>
      <c r="L4663" s="56" t="str">
        <f>"SW-COMAS-PACKL"</f>
        <v>SW-COMAS-PACKL</v>
      </c>
      <c r="M4663" s="14"/>
      <c r="N4663" s="15"/>
      <c r="O4663" s="12"/>
      <c r="P4663" s="34"/>
      <c r="Q4663" s="37"/>
      <c r="R4663" s="47"/>
      <c r="S4663" s="46"/>
    </row>
    <row r="4664" spans="1:19" ht="15.6" hidden="1" customHeight="1" thickBot="1" x14ac:dyDescent="0.3">
      <c r="A4664" t="s">
        <v>23</v>
      </c>
      <c r="B4664" s="60" t="str">
        <f t="shared" si="3341"/>
        <v>hide</v>
      </c>
      <c r="D4664" s="48" t="str">
        <f>D4663</f>
        <v>80130</v>
      </c>
      <c r="E4664" s="7"/>
      <c r="F4664" s="27">
        <v>0</v>
      </c>
      <c r="G4664" s="27">
        <v>0</v>
      </c>
      <c r="H4664" s="27">
        <v>0</v>
      </c>
      <c r="I4664" s="27">
        <v>0</v>
      </c>
      <c r="J4664" s="27">
        <v>0</v>
      </c>
      <c r="K4664" s="63">
        <f>AVERAGE(I4664:J4664)</f>
        <v>0</v>
      </c>
      <c r="L4664" s="56" t="str">
        <f>"SW-RISER-PACK"</f>
        <v>SW-RISER-PACK</v>
      </c>
      <c r="M4664" s="14"/>
      <c r="N4664" s="15"/>
      <c r="O4664" s="12"/>
      <c r="P4664" s="34"/>
      <c r="Q4664" s="37"/>
      <c r="R4664" s="47"/>
      <c r="S4664" s="46"/>
    </row>
    <row r="4665" spans="1:19" ht="12" hidden="1" customHeight="1" x14ac:dyDescent="0.3">
      <c r="A4665" s="35" t="s">
        <v>908</v>
      </c>
      <c r="B4665" s="49" t="str">
        <f>B4661</f>
        <v>hide</v>
      </c>
      <c r="N4665"/>
      <c r="Q4665" s="33"/>
    </row>
    <row r="4666" spans="1:19" ht="13.8" hidden="1" thickBot="1" x14ac:dyDescent="0.3">
      <c r="A4666" t="s">
        <v>23</v>
      </c>
      <c r="B4666" s="49" t="str">
        <f t="shared" ref="B4666" si="3342">B4665</f>
        <v>hide</v>
      </c>
      <c r="D4666" s="58"/>
      <c r="E4666" s="58"/>
      <c r="F4666" s="52">
        <f>SUM(F4661:F4665)</f>
        <v>0</v>
      </c>
      <c r="G4666" s="52">
        <f>SUM(G4661:G4665)</f>
        <v>0</v>
      </c>
      <c r="H4666" s="52">
        <f>SUM(H4661:H4665)</f>
        <v>0</v>
      </c>
      <c r="I4666" s="52">
        <f>SUM(I4661:I4665)</f>
        <v>0</v>
      </c>
      <c r="J4666" s="52">
        <f>SUM(J4661:J4665)</f>
        <v>0</v>
      </c>
      <c r="K4666" s="52"/>
      <c r="L4666" s="51" t="s">
        <v>4</v>
      </c>
      <c r="M4666" s="58"/>
      <c r="N4666" s="58"/>
      <c r="O4666" s="58"/>
      <c r="P4666" s="58"/>
      <c r="Q4666" s="58"/>
      <c r="R4666" s="58"/>
      <c r="S4666" s="58"/>
    </row>
    <row r="4667" spans="1:19" s="59" customFormat="1" ht="18.75" hidden="1" customHeight="1" thickBot="1" x14ac:dyDescent="0.3">
      <c r="A4667" s="59" t="s">
        <v>23</v>
      </c>
      <c r="B4667" s="60" t="str">
        <f t="shared" ref="B4667:B4668" si="3343">IF(K4667=0,"hide","")</f>
        <v>hide</v>
      </c>
      <c r="D4667" s="61" t="str">
        <f>"80136"</f>
        <v>80136</v>
      </c>
      <c r="E4667" s="62" t="str">
        <f>"1"</f>
        <v>1</v>
      </c>
      <c r="F4667" s="63">
        <v>0</v>
      </c>
      <c r="G4667" s="63">
        <v>0</v>
      </c>
      <c r="H4667" s="63">
        <v>0</v>
      </c>
      <c r="I4667" s="63">
        <v>0</v>
      </c>
      <c r="J4667" s="63">
        <v>0</v>
      </c>
      <c r="K4667" s="63">
        <f>AVERAGE(I4667:J4667)</f>
        <v>0</v>
      </c>
      <c r="L4667" s="64" t="str">
        <f>""</f>
        <v/>
      </c>
      <c r="M4667" s="65" t="str">
        <f>""</f>
        <v/>
      </c>
      <c r="N4667" s="66" t="str">
        <f>""</f>
        <v/>
      </c>
      <c r="O4667" s="67" t="str">
        <f>""</f>
        <v/>
      </c>
      <c r="P4667" s="68" t="e">
        <f>1/O4667</f>
        <v>#VALUE!</v>
      </c>
      <c r="Q4667" s="53">
        <v>1</v>
      </c>
      <c r="R4667" s="69">
        <f t="shared" ref="R4667" si="3344">1/Q4667</f>
        <v>1</v>
      </c>
      <c r="S4667" s="70" t="e">
        <f t="shared" ref="S4667" si="3345">R4667*N4667</f>
        <v>#VALUE!</v>
      </c>
    </row>
    <row r="4668" spans="1:19" ht="15.6" hidden="1" customHeight="1" thickBot="1" x14ac:dyDescent="0.3">
      <c r="A4668" t="s">
        <v>23</v>
      </c>
      <c r="B4668" s="60" t="str">
        <f t="shared" si="3343"/>
        <v>hide</v>
      </c>
      <c r="D4668" s="48" t="str">
        <f>D4667</f>
        <v>80136</v>
      </c>
      <c r="E4668" s="7"/>
      <c r="F4668" s="27">
        <v>0</v>
      </c>
      <c r="G4668" s="27">
        <v>0</v>
      </c>
      <c r="H4668" s="27">
        <v>0</v>
      </c>
      <c r="I4668" s="27">
        <v>0</v>
      </c>
      <c r="J4668" s="27">
        <v>0</v>
      </c>
      <c r="K4668" s="63">
        <f>AVERAGE(I4668:J4668)</f>
        <v>0</v>
      </c>
      <c r="L4668" s="56" t="str">
        <f>"EQP-LAWPACK1"</f>
        <v>EQP-LAWPACK1</v>
      </c>
      <c r="M4668" s="14"/>
      <c r="N4668" s="15"/>
      <c r="O4668" s="12"/>
      <c r="P4668" s="34"/>
      <c r="Q4668" s="37"/>
      <c r="R4668" s="47"/>
      <c r="S4668" s="46"/>
    </row>
    <row r="4669" spans="1:19" ht="15.6" hidden="1" customHeight="1" thickBot="1" x14ac:dyDescent="0.3">
      <c r="A4669" t="s">
        <v>23</v>
      </c>
      <c r="B4669" s="60" t="str">
        <f t="shared" ref="B4669:B4671" si="3346">IF(K4669=0,"hide","")</f>
        <v>hide</v>
      </c>
      <c r="D4669" s="48" t="str">
        <f>D4668</f>
        <v>80136</v>
      </c>
      <c r="E4669" s="7"/>
      <c r="F4669" s="27">
        <v>0</v>
      </c>
      <c r="G4669" s="27">
        <v>0</v>
      </c>
      <c r="H4669" s="27">
        <v>0</v>
      </c>
      <c r="I4669" s="27">
        <v>0</v>
      </c>
      <c r="J4669" s="27">
        <v>0</v>
      </c>
      <c r="K4669" s="63">
        <f>AVERAGE(I4669:J4669)</f>
        <v>0</v>
      </c>
      <c r="L4669" s="56" t="str">
        <f>"EQP-LAWPACK2"</f>
        <v>EQP-LAWPACK2</v>
      </c>
      <c r="M4669" s="14"/>
      <c r="N4669" s="15"/>
      <c r="O4669" s="12"/>
      <c r="P4669" s="34"/>
      <c r="Q4669" s="37"/>
      <c r="R4669" s="47"/>
      <c r="S4669" s="46"/>
    </row>
    <row r="4670" spans="1:19" ht="15.6" hidden="1" customHeight="1" thickBot="1" x14ac:dyDescent="0.3">
      <c r="A4670" t="s">
        <v>23</v>
      </c>
      <c r="B4670" s="60" t="str">
        <f t="shared" si="3346"/>
        <v>hide</v>
      </c>
      <c r="D4670" s="48" t="str">
        <f>D4669</f>
        <v>80136</v>
      </c>
      <c r="E4670" s="7"/>
      <c r="F4670" s="27">
        <v>0</v>
      </c>
      <c r="G4670" s="27">
        <v>0</v>
      </c>
      <c r="H4670" s="27">
        <v>0</v>
      </c>
      <c r="I4670" s="27">
        <v>0</v>
      </c>
      <c r="J4670" s="27">
        <v>0</v>
      </c>
      <c r="K4670" s="63">
        <f>AVERAGE(I4670:J4670)</f>
        <v>0</v>
      </c>
      <c r="L4670" s="56" t="str">
        <f>"SW-COMAS-PACKL"</f>
        <v>SW-COMAS-PACKL</v>
      </c>
      <c r="M4670" s="14"/>
      <c r="N4670" s="15"/>
      <c r="O4670" s="12"/>
      <c r="P4670" s="34"/>
      <c r="Q4670" s="37"/>
      <c r="R4670" s="47"/>
      <c r="S4670" s="46"/>
    </row>
    <row r="4671" spans="1:19" ht="15.6" hidden="1" customHeight="1" thickBot="1" x14ac:dyDescent="0.3">
      <c r="A4671" t="s">
        <v>23</v>
      </c>
      <c r="B4671" s="60" t="str">
        <f t="shared" si="3346"/>
        <v>hide</v>
      </c>
      <c r="D4671" s="48" t="str">
        <f>D4670</f>
        <v>80136</v>
      </c>
      <c r="E4671" s="7"/>
      <c r="F4671" s="27">
        <v>0</v>
      </c>
      <c r="G4671" s="27">
        <v>0</v>
      </c>
      <c r="H4671" s="27">
        <v>0</v>
      </c>
      <c r="I4671" s="27">
        <v>0</v>
      </c>
      <c r="J4671" s="27">
        <v>0</v>
      </c>
      <c r="K4671" s="63">
        <f>AVERAGE(I4671:J4671)</f>
        <v>0</v>
      </c>
      <c r="L4671" s="56" t="str">
        <f>"SW-RISER-PACK"</f>
        <v>SW-RISER-PACK</v>
      </c>
      <c r="M4671" s="14"/>
      <c r="N4671" s="15"/>
      <c r="O4671" s="12"/>
      <c r="P4671" s="34"/>
      <c r="Q4671" s="37"/>
      <c r="R4671" s="47"/>
      <c r="S4671" s="46"/>
    </row>
    <row r="4672" spans="1:19" ht="12" hidden="1" customHeight="1" x14ac:dyDescent="0.3">
      <c r="A4672" s="35" t="s">
        <v>908</v>
      </c>
      <c r="B4672" s="49" t="str">
        <f>B4668</f>
        <v>hide</v>
      </c>
      <c r="N4672"/>
      <c r="Q4672" s="33"/>
    </row>
    <row r="4673" spans="1:19" ht="13.8" hidden="1" thickBot="1" x14ac:dyDescent="0.3">
      <c r="A4673" t="s">
        <v>23</v>
      </c>
      <c r="B4673" s="49" t="str">
        <f t="shared" ref="B4673" si="3347">B4672</f>
        <v>hide</v>
      </c>
      <c r="D4673" s="58"/>
      <c r="E4673" s="58"/>
      <c r="F4673" s="52">
        <f>SUM(F4668:F4672)</f>
        <v>0</v>
      </c>
      <c r="G4673" s="52">
        <f>SUM(G4668:G4672)</f>
        <v>0</v>
      </c>
      <c r="H4673" s="52">
        <f>SUM(H4668:H4672)</f>
        <v>0</v>
      </c>
      <c r="I4673" s="52">
        <f>SUM(I4668:I4672)</f>
        <v>0</v>
      </c>
      <c r="J4673" s="52">
        <f>SUM(J4668:J4672)</f>
        <v>0</v>
      </c>
      <c r="K4673" s="52"/>
      <c r="L4673" s="51" t="s">
        <v>4</v>
      </c>
      <c r="M4673" s="58"/>
      <c r="N4673" s="58"/>
      <c r="O4673" s="58"/>
      <c r="P4673" s="58"/>
      <c r="Q4673" s="58"/>
      <c r="R4673" s="58"/>
      <c r="S4673" s="58"/>
    </row>
    <row r="4674" spans="1:19" s="59" customFormat="1" ht="18.75" hidden="1" customHeight="1" thickBot="1" x14ac:dyDescent="0.3">
      <c r="A4674" s="59" t="s">
        <v>23</v>
      </c>
      <c r="B4674" s="60" t="str">
        <f t="shared" ref="B4674:B4675" si="3348">IF(K4674=0,"hide","")</f>
        <v>hide</v>
      </c>
      <c r="D4674" s="61" t="str">
        <f>"80195"</f>
        <v>80195</v>
      </c>
      <c r="E4674" s="62" t="str">
        <f>"1"</f>
        <v>1</v>
      </c>
      <c r="F4674" s="63">
        <v>0</v>
      </c>
      <c r="G4674" s="63">
        <v>0</v>
      </c>
      <c r="H4674" s="63">
        <v>0</v>
      </c>
      <c r="I4674" s="63">
        <v>0</v>
      </c>
      <c r="J4674" s="63">
        <v>0</v>
      </c>
      <c r="K4674" s="63">
        <f>AVERAGE(I4674:J4674)</f>
        <v>0</v>
      </c>
      <c r="L4674" s="64" t="str">
        <f>"HONEY WHEAT BAGEL DOUGH"</f>
        <v>HONEY WHEAT BAGEL DOUGH</v>
      </c>
      <c r="M4674" s="65" t="str">
        <f>"135-3.5 oz. Bulk"</f>
        <v>135-3.5 oz. Bulk</v>
      </c>
      <c r="N4674" s="66">
        <v>135</v>
      </c>
      <c r="O4674" s="67" t="str">
        <f>""</f>
        <v/>
      </c>
      <c r="P4674" s="68" t="e">
        <f>1/O4674</f>
        <v>#VALUE!</v>
      </c>
      <c r="Q4674" s="53">
        <v>1</v>
      </c>
      <c r="R4674" s="69">
        <f t="shared" ref="R4674" si="3349">1/Q4674</f>
        <v>1</v>
      </c>
      <c r="S4674" s="70">
        <f t="shared" ref="S4674" si="3350">R4674*N4674</f>
        <v>135</v>
      </c>
    </row>
    <row r="4675" spans="1:19" ht="15.6" hidden="1" customHeight="1" thickBot="1" x14ac:dyDescent="0.3">
      <c r="A4675" t="s">
        <v>23</v>
      </c>
      <c r="B4675" s="60" t="str">
        <f t="shared" si="3348"/>
        <v>hide</v>
      </c>
      <c r="D4675" s="48" t="str">
        <f>D4674</f>
        <v>80195</v>
      </c>
      <c r="E4675" s="7"/>
      <c r="F4675" s="27">
        <v>0</v>
      </c>
      <c r="G4675" s="27">
        <v>0</v>
      </c>
      <c r="H4675" s="27">
        <v>0</v>
      </c>
      <c r="I4675" s="27">
        <v>0</v>
      </c>
      <c r="J4675" s="27">
        <v>0</v>
      </c>
      <c r="K4675" s="63">
        <f>AVERAGE(I4675:J4675)</f>
        <v>0</v>
      </c>
      <c r="L4675" s="56" t="str">
        <f>"EQP-LAWPACK1"</f>
        <v>EQP-LAWPACK1</v>
      </c>
      <c r="M4675" s="14"/>
      <c r="N4675" s="15"/>
      <c r="O4675" s="12"/>
      <c r="P4675" s="34"/>
      <c r="Q4675" s="37"/>
      <c r="R4675" s="47"/>
      <c r="S4675" s="46"/>
    </row>
    <row r="4676" spans="1:19" ht="15.6" hidden="1" customHeight="1" thickBot="1" x14ac:dyDescent="0.3">
      <c r="A4676" t="s">
        <v>23</v>
      </c>
      <c r="B4676" s="60" t="str">
        <f t="shared" ref="B4676:B4678" si="3351">IF(K4676=0,"hide","")</f>
        <v>hide</v>
      </c>
      <c r="D4676" s="48" t="str">
        <f>D4675</f>
        <v>80195</v>
      </c>
      <c r="E4676" s="7"/>
      <c r="F4676" s="27">
        <v>0</v>
      </c>
      <c r="G4676" s="27">
        <v>0</v>
      </c>
      <c r="H4676" s="27">
        <v>0</v>
      </c>
      <c r="I4676" s="27">
        <v>0</v>
      </c>
      <c r="J4676" s="27">
        <v>0</v>
      </c>
      <c r="K4676" s="63">
        <f>AVERAGE(I4676:J4676)</f>
        <v>0</v>
      </c>
      <c r="L4676" s="56" t="str">
        <f>"EQP-LAWPACK2"</f>
        <v>EQP-LAWPACK2</v>
      </c>
      <c r="M4676" s="14"/>
      <c r="N4676" s="15"/>
      <c r="O4676" s="12"/>
      <c r="P4676" s="34"/>
      <c r="Q4676" s="37"/>
      <c r="R4676" s="47"/>
      <c r="S4676" s="46"/>
    </row>
    <row r="4677" spans="1:19" ht="15.6" hidden="1" customHeight="1" thickBot="1" x14ac:dyDescent="0.3">
      <c r="A4677" t="s">
        <v>23</v>
      </c>
      <c r="B4677" s="60" t="str">
        <f t="shared" si="3351"/>
        <v>hide</v>
      </c>
      <c r="D4677" s="48" t="str">
        <f>D4676</f>
        <v>80195</v>
      </c>
      <c r="E4677" s="7"/>
      <c r="F4677" s="27">
        <v>0</v>
      </c>
      <c r="G4677" s="27">
        <v>0</v>
      </c>
      <c r="H4677" s="27">
        <v>0</v>
      </c>
      <c r="I4677" s="27">
        <v>0</v>
      </c>
      <c r="J4677" s="27">
        <v>0</v>
      </c>
      <c r="K4677" s="63">
        <f>AVERAGE(I4677:J4677)</f>
        <v>0</v>
      </c>
      <c r="L4677" s="56" t="str">
        <f>"SW-COMAS-PACKL"</f>
        <v>SW-COMAS-PACKL</v>
      </c>
      <c r="M4677" s="14"/>
      <c r="N4677" s="15"/>
      <c r="O4677" s="12"/>
      <c r="P4677" s="34"/>
      <c r="Q4677" s="37"/>
      <c r="R4677" s="47"/>
      <c r="S4677" s="46"/>
    </row>
    <row r="4678" spans="1:19" ht="15.6" hidden="1" customHeight="1" thickBot="1" x14ac:dyDescent="0.3">
      <c r="A4678" t="s">
        <v>23</v>
      </c>
      <c r="B4678" s="60" t="str">
        <f t="shared" si="3351"/>
        <v>hide</v>
      </c>
      <c r="D4678" s="48" t="str">
        <f>D4677</f>
        <v>80195</v>
      </c>
      <c r="E4678" s="7"/>
      <c r="F4678" s="27">
        <v>0</v>
      </c>
      <c r="G4678" s="27">
        <v>0</v>
      </c>
      <c r="H4678" s="27">
        <v>0</v>
      </c>
      <c r="I4678" s="27">
        <v>0</v>
      </c>
      <c r="J4678" s="27">
        <v>0</v>
      </c>
      <c r="K4678" s="63">
        <f>AVERAGE(I4678:J4678)</f>
        <v>0</v>
      </c>
      <c r="L4678" s="56" t="str">
        <f>"SW-RISER-PACK"</f>
        <v>SW-RISER-PACK</v>
      </c>
      <c r="M4678" s="14"/>
      <c r="N4678" s="15"/>
      <c r="O4678" s="12"/>
      <c r="P4678" s="34"/>
      <c r="Q4678" s="37"/>
      <c r="R4678" s="47"/>
      <c r="S4678" s="46"/>
    </row>
    <row r="4679" spans="1:19" ht="12" hidden="1" customHeight="1" x14ac:dyDescent="0.3">
      <c r="A4679" s="35" t="s">
        <v>908</v>
      </c>
      <c r="B4679" s="49" t="str">
        <f>B4675</f>
        <v>hide</v>
      </c>
      <c r="N4679"/>
      <c r="Q4679" s="33"/>
    </row>
    <row r="4680" spans="1:19" ht="13.8" hidden="1" thickBot="1" x14ac:dyDescent="0.3">
      <c r="A4680" t="s">
        <v>23</v>
      </c>
      <c r="B4680" s="49" t="str">
        <f t="shared" ref="B4680" si="3352">B4679</f>
        <v>hide</v>
      </c>
      <c r="D4680" s="58"/>
      <c r="E4680" s="58"/>
      <c r="F4680" s="52">
        <f>SUM(F4675:F4679)</f>
        <v>0</v>
      </c>
      <c r="G4680" s="52">
        <f>SUM(G4675:G4679)</f>
        <v>0</v>
      </c>
      <c r="H4680" s="52">
        <f>SUM(H4675:H4679)</f>
        <v>0</v>
      </c>
      <c r="I4680" s="52">
        <f>SUM(I4675:I4679)</f>
        <v>0</v>
      </c>
      <c r="J4680" s="52">
        <f>SUM(J4675:J4679)</f>
        <v>0</v>
      </c>
      <c r="K4680" s="52"/>
      <c r="L4680" s="51" t="s">
        <v>4</v>
      </c>
      <c r="M4680" s="58"/>
      <c r="N4680" s="58"/>
      <c r="O4680" s="58"/>
      <c r="P4680" s="58"/>
      <c r="Q4680" s="58"/>
      <c r="R4680" s="58"/>
      <c r="S4680" s="58"/>
    </row>
    <row r="4681" spans="1:19" s="59" customFormat="1" ht="18.75" hidden="1" customHeight="1" thickBot="1" x14ac:dyDescent="0.3">
      <c r="A4681" s="59" t="s">
        <v>23</v>
      </c>
      <c r="B4681" s="60" t="str">
        <f t="shared" ref="B4681:B4682" si="3353">IF(K4681=0,"hide","")</f>
        <v>hide</v>
      </c>
      <c r="D4681" s="61" t="str">
        <f>"80641"</f>
        <v>80641</v>
      </c>
      <c r="E4681" s="62" t="str">
        <f>"3"</f>
        <v>3</v>
      </c>
      <c r="F4681" s="63">
        <v>0</v>
      </c>
      <c r="G4681" s="63">
        <v>0</v>
      </c>
      <c r="H4681" s="63">
        <v>0</v>
      </c>
      <c r="I4681" s="63">
        <v>0</v>
      </c>
      <c r="J4681" s="63">
        <v>0</v>
      </c>
      <c r="K4681" s="63">
        <f>AVERAGE(I4681:J4681)</f>
        <v>0</v>
      </c>
      <c r="L4681" s="64" t="str">
        <f>"800641 Double Choc. Chip Muffin"</f>
        <v>800641 Double Choc. Chip Muffin</v>
      </c>
      <c r="M4681" s="65" t="str">
        <f>"24-4 oz. I.W."</f>
        <v>24-4 oz. I.W.</v>
      </c>
      <c r="N4681" s="66">
        <v>24</v>
      </c>
      <c r="O4681" s="67">
        <v>1.82E-3</v>
      </c>
      <c r="P4681" s="68">
        <f>1/O4681</f>
        <v>549.45054945054949</v>
      </c>
      <c r="Q4681" s="53">
        <v>1.82E-3</v>
      </c>
      <c r="R4681" s="69">
        <f t="shared" ref="R4681" si="3354">1/Q4681</f>
        <v>549.45054945054949</v>
      </c>
      <c r="S4681" s="70">
        <f t="shared" ref="S4681" si="3355">R4681*N4681</f>
        <v>13186.813186813188</v>
      </c>
    </row>
    <row r="4682" spans="1:19" ht="15.6" hidden="1" customHeight="1" thickBot="1" x14ac:dyDescent="0.3">
      <c r="A4682" t="s">
        <v>23</v>
      </c>
      <c r="B4682" s="60" t="str">
        <f t="shared" si="3353"/>
        <v>hide</v>
      </c>
      <c r="D4682" s="48" t="str">
        <f>D4681</f>
        <v>80641</v>
      </c>
      <c r="E4682" s="7"/>
      <c r="F4682" s="27">
        <v>0</v>
      </c>
      <c r="G4682" s="27">
        <v>0</v>
      </c>
      <c r="H4682" s="27">
        <v>0</v>
      </c>
      <c r="I4682" s="27">
        <v>0</v>
      </c>
      <c r="J4682" s="27">
        <v>0</v>
      </c>
      <c r="K4682" s="63">
        <f>AVERAGE(I4682:J4682)</f>
        <v>0</v>
      </c>
      <c r="L4682" s="56" t="str">
        <f>"EQP-LAWPACK1"</f>
        <v>EQP-LAWPACK1</v>
      </c>
      <c r="M4682" s="14"/>
      <c r="N4682" s="15"/>
      <c r="O4682" s="12"/>
      <c r="P4682" s="34"/>
      <c r="Q4682" s="37"/>
      <c r="R4682" s="47"/>
      <c r="S4682" s="46"/>
    </row>
    <row r="4683" spans="1:19" ht="15.6" hidden="1" customHeight="1" thickBot="1" x14ac:dyDescent="0.3">
      <c r="A4683" t="s">
        <v>23</v>
      </c>
      <c r="B4683" s="60" t="str">
        <f t="shared" ref="B4683:B4685" si="3356">IF(K4683=0,"hide","")</f>
        <v>hide</v>
      </c>
      <c r="D4683" s="48" t="str">
        <f>D4682</f>
        <v>80641</v>
      </c>
      <c r="E4683" s="7"/>
      <c r="F4683" s="27">
        <v>0</v>
      </c>
      <c r="G4683" s="27">
        <v>0</v>
      </c>
      <c r="H4683" s="27">
        <v>0</v>
      </c>
      <c r="I4683" s="27">
        <v>0</v>
      </c>
      <c r="J4683" s="27">
        <v>0</v>
      </c>
      <c r="K4683" s="63">
        <f>AVERAGE(I4683:J4683)</f>
        <v>0</v>
      </c>
      <c r="L4683" s="56" t="str">
        <f>"EQP-LAWPACK2"</f>
        <v>EQP-LAWPACK2</v>
      </c>
      <c r="M4683" s="14"/>
      <c r="N4683" s="15"/>
      <c r="O4683" s="12"/>
      <c r="P4683" s="34"/>
      <c r="Q4683" s="37"/>
      <c r="R4683" s="47"/>
      <c r="S4683" s="46"/>
    </row>
    <row r="4684" spans="1:19" ht="15.6" hidden="1" customHeight="1" thickBot="1" x14ac:dyDescent="0.3">
      <c r="A4684" t="s">
        <v>23</v>
      </c>
      <c r="B4684" s="60" t="str">
        <f t="shared" si="3356"/>
        <v>hide</v>
      </c>
      <c r="D4684" s="48" t="str">
        <f>D4683</f>
        <v>80641</v>
      </c>
      <c r="E4684" s="7"/>
      <c r="F4684" s="27">
        <v>0</v>
      </c>
      <c r="G4684" s="27">
        <v>0</v>
      </c>
      <c r="H4684" s="27">
        <v>0</v>
      </c>
      <c r="I4684" s="27">
        <v>0</v>
      </c>
      <c r="J4684" s="27">
        <v>0</v>
      </c>
      <c r="K4684" s="63">
        <f>AVERAGE(I4684:J4684)</f>
        <v>0</v>
      </c>
      <c r="L4684" s="56" t="str">
        <f>"SW-COMAS-PACKL"</f>
        <v>SW-COMAS-PACKL</v>
      </c>
      <c r="M4684" s="14"/>
      <c r="N4684" s="15"/>
      <c r="O4684" s="12"/>
      <c r="P4684" s="34"/>
      <c r="Q4684" s="37"/>
      <c r="R4684" s="47"/>
      <c r="S4684" s="46"/>
    </row>
    <row r="4685" spans="1:19" ht="15.6" hidden="1" customHeight="1" thickBot="1" x14ac:dyDescent="0.3">
      <c r="A4685" t="s">
        <v>23</v>
      </c>
      <c r="B4685" s="60" t="str">
        <f t="shared" si="3356"/>
        <v>hide</v>
      </c>
      <c r="D4685" s="48" t="str">
        <f>D4684</f>
        <v>80641</v>
      </c>
      <c r="E4685" s="7"/>
      <c r="F4685" s="27">
        <v>0</v>
      </c>
      <c r="G4685" s="27">
        <v>0</v>
      </c>
      <c r="H4685" s="27">
        <v>0</v>
      </c>
      <c r="I4685" s="27">
        <v>0</v>
      </c>
      <c r="J4685" s="27">
        <v>0</v>
      </c>
      <c r="K4685" s="63">
        <f>AVERAGE(I4685:J4685)</f>
        <v>0</v>
      </c>
      <c r="L4685" s="56" t="str">
        <f>"SW-RISER-PACK"</f>
        <v>SW-RISER-PACK</v>
      </c>
      <c r="M4685" s="14"/>
      <c r="N4685" s="15"/>
      <c r="O4685" s="12"/>
      <c r="P4685" s="34"/>
      <c r="Q4685" s="37"/>
      <c r="R4685" s="47"/>
      <c r="S4685" s="46"/>
    </row>
    <row r="4686" spans="1:19" ht="12" hidden="1" customHeight="1" x14ac:dyDescent="0.3">
      <c r="A4686" s="35" t="s">
        <v>908</v>
      </c>
      <c r="B4686" s="49" t="str">
        <f>B4682</f>
        <v>hide</v>
      </c>
      <c r="N4686"/>
      <c r="Q4686" s="33"/>
    </row>
    <row r="4687" spans="1:19" ht="13.8" hidden="1" thickBot="1" x14ac:dyDescent="0.3">
      <c r="A4687" t="s">
        <v>23</v>
      </c>
      <c r="B4687" s="49" t="str">
        <f t="shared" ref="B4687" si="3357">B4686</f>
        <v>hide</v>
      </c>
      <c r="D4687" s="58"/>
      <c r="E4687" s="58"/>
      <c r="F4687" s="52">
        <f>SUM(F4682:F4686)</f>
        <v>0</v>
      </c>
      <c r="G4687" s="52">
        <f>SUM(G4682:G4686)</f>
        <v>0</v>
      </c>
      <c r="H4687" s="52">
        <f>SUM(H4682:H4686)</f>
        <v>0</v>
      </c>
      <c r="I4687" s="52">
        <f>SUM(I4682:I4686)</f>
        <v>0</v>
      </c>
      <c r="J4687" s="52">
        <f>SUM(J4682:J4686)</f>
        <v>0</v>
      </c>
      <c r="K4687" s="52"/>
      <c r="L4687" s="51" t="s">
        <v>4</v>
      </c>
      <c r="M4687" s="58"/>
      <c r="N4687" s="58"/>
      <c r="O4687" s="58"/>
      <c r="P4687" s="58"/>
      <c r="Q4687" s="58"/>
      <c r="R4687" s="58"/>
      <c r="S4687" s="58"/>
    </row>
    <row r="4688" spans="1:19" s="59" customFormat="1" ht="18.75" hidden="1" customHeight="1" thickBot="1" x14ac:dyDescent="0.3">
      <c r="A4688" s="59" t="s">
        <v>23</v>
      </c>
      <c r="B4688" s="60" t="str">
        <f t="shared" ref="B4688:B4689" si="3358">IF(K4688=0,"hide","")</f>
        <v>hide</v>
      </c>
      <c r="D4688" s="61" t="str">
        <f>"80642"</f>
        <v>80642</v>
      </c>
      <c r="E4688" s="62" t="str">
        <f>"2"</f>
        <v>2</v>
      </c>
      <c r="F4688" s="63">
        <v>162.33333333333334</v>
      </c>
      <c r="G4688" s="63">
        <v>0</v>
      </c>
      <c r="H4688" s="63">
        <v>0</v>
      </c>
      <c r="I4688" s="63">
        <v>0</v>
      </c>
      <c r="J4688" s="63">
        <v>0</v>
      </c>
      <c r="K4688" s="63">
        <f>AVERAGE(I4688:J4688)</f>
        <v>0</v>
      </c>
      <c r="L4688" s="64" t="str">
        <f>"800642 Double Choc. Chip Muffins FRZ"</f>
        <v>800642 Double Choc. Chip Muffins FRZ</v>
      </c>
      <c r="M4688" s="65" t="str">
        <f>"24-4 oz. I.W."</f>
        <v>24-4 oz. I.W.</v>
      </c>
      <c r="N4688" s="66">
        <v>24</v>
      </c>
      <c r="O4688" s="67">
        <v>1.82E-3</v>
      </c>
      <c r="P4688" s="68">
        <f>1/O4688</f>
        <v>549.45054945054949</v>
      </c>
      <c r="Q4688" s="53">
        <v>1.82E-3</v>
      </c>
      <c r="R4688" s="69">
        <f t="shared" ref="R4688" si="3359">1/Q4688</f>
        <v>549.45054945054949</v>
      </c>
      <c r="S4688" s="70">
        <f t="shared" ref="S4688" si="3360">R4688*N4688</f>
        <v>13186.813186813188</v>
      </c>
    </row>
    <row r="4689" spans="1:19" ht="15.6" hidden="1" customHeight="1" thickBot="1" x14ac:dyDescent="0.3">
      <c r="A4689" t="s">
        <v>23</v>
      </c>
      <c r="B4689" s="60" t="str">
        <f t="shared" si="3358"/>
        <v>hide</v>
      </c>
      <c r="D4689" s="48" t="str">
        <f>D4688</f>
        <v>80642</v>
      </c>
      <c r="E4689" s="7"/>
      <c r="F4689" s="27">
        <v>-34.999999999999993</v>
      </c>
      <c r="G4689" s="27">
        <v>0</v>
      </c>
      <c r="H4689" s="27">
        <v>0</v>
      </c>
      <c r="I4689" s="27">
        <v>0</v>
      </c>
      <c r="J4689" s="27">
        <v>0</v>
      </c>
      <c r="K4689" s="63">
        <f>AVERAGE(I4689:J4689)</f>
        <v>0</v>
      </c>
      <c r="L4689" s="56" t="str">
        <f>"EQP-LAWPACK1"</f>
        <v>EQP-LAWPACK1</v>
      </c>
      <c r="M4689" s="14"/>
      <c r="N4689" s="15"/>
      <c r="O4689" s="12"/>
      <c r="P4689" s="34"/>
      <c r="Q4689" s="37"/>
      <c r="R4689" s="47"/>
      <c r="S4689" s="46"/>
    </row>
    <row r="4690" spans="1:19" ht="15.6" hidden="1" customHeight="1" thickBot="1" x14ac:dyDescent="0.3">
      <c r="A4690" t="s">
        <v>23</v>
      </c>
      <c r="B4690" s="60" t="str">
        <f t="shared" ref="B4690:B4692" si="3361">IF(K4690=0,"hide","")</f>
        <v>hide</v>
      </c>
      <c r="D4690" s="48" t="str">
        <f>D4689</f>
        <v>80642</v>
      </c>
      <c r="E4690" s="7"/>
      <c r="F4690" s="27">
        <v>0</v>
      </c>
      <c r="G4690" s="27">
        <v>0</v>
      </c>
      <c r="H4690" s="27">
        <v>0</v>
      </c>
      <c r="I4690" s="27">
        <v>0</v>
      </c>
      <c r="J4690" s="27">
        <v>0</v>
      </c>
      <c r="K4690" s="63">
        <f>AVERAGE(I4690:J4690)</f>
        <v>0</v>
      </c>
      <c r="L4690" s="56" t="str">
        <f>"EQP-LAWPACK2"</f>
        <v>EQP-LAWPACK2</v>
      </c>
      <c r="M4690" s="14"/>
      <c r="N4690" s="15"/>
      <c r="O4690" s="12"/>
      <c r="P4690" s="34"/>
      <c r="Q4690" s="37"/>
      <c r="R4690" s="47"/>
      <c r="S4690" s="46"/>
    </row>
    <row r="4691" spans="1:19" ht="15.6" hidden="1" customHeight="1" thickBot="1" x14ac:dyDescent="0.3">
      <c r="A4691" t="s">
        <v>23</v>
      </c>
      <c r="B4691" s="60" t="str">
        <f t="shared" si="3361"/>
        <v>hide</v>
      </c>
      <c r="D4691" s="48" t="str">
        <f>D4690</f>
        <v>80642</v>
      </c>
      <c r="E4691" s="7"/>
      <c r="F4691" s="27">
        <v>0</v>
      </c>
      <c r="G4691" s="27">
        <v>0</v>
      </c>
      <c r="H4691" s="27">
        <v>0</v>
      </c>
      <c r="I4691" s="27">
        <v>0</v>
      </c>
      <c r="J4691" s="27">
        <v>0</v>
      </c>
      <c r="K4691" s="63">
        <f>AVERAGE(I4691:J4691)</f>
        <v>0</v>
      </c>
      <c r="L4691" s="56" t="str">
        <f>"SW-COMAS-PACKL"</f>
        <v>SW-COMAS-PACKL</v>
      </c>
      <c r="M4691" s="14"/>
      <c r="N4691" s="15"/>
      <c r="O4691" s="12"/>
      <c r="P4691" s="34"/>
      <c r="Q4691" s="37"/>
      <c r="R4691" s="47"/>
      <c r="S4691" s="46"/>
    </row>
    <row r="4692" spans="1:19" ht="15.6" hidden="1" customHeight="1" thickBot="1" x14ac:dyDescent="0.3">
      <c r="A4692" t="s">
        <v>23</v>
      </c>
      <c r="B4692" s="60" t="str">
        <f t="shared" si="3361"/>
        <v>hide</v>
      </c>
      <c r="D4692" s="48" t="str">
        <f>D4691</f>
        <v>80642</v>
      </c>
      <c r="E4692" s="7"/>
      <c r="F4692" s="27">
        <v>0</v>
      </c>
      <c r="G4692" s="27">
        <v>0</v>
      </c>
      <c r="H4692" s="27">
        <v>0</v>
      </c>
      <c r="I4692" s="27">
        <v>0</v>
      </c>
      <c r="J4692" s="27">
        <v>0</v>
      </c>
      <c r="K4692" s="63">
        <f>AVERAGE(I4692:J4692)</f>
        <v>0</v>
      </c>
      <c r="L4692" s="56" t="str">
        <f>"SW-RISER-PACK"</f>
        <v>SW-RISER-PACK</v>
      </c>
      <c r="M4692" s="14"/>
      <c r="N4692" s="15"/>
      <c r="O4692" s="12"/>
      <c r="P4692" s="34"/>
      <c r="Q4692" s="37"/>
      <c r="R4692" s="47"/>
      <c r="S4692" s="46"/>
    </row>
    <row r="4693" spans="1:19" ht="12" hidden="1" customHeight="1" x14ac:dyDescent="0.3">
      <c r="A4693" s="35" t="s">
        <v>908</v>
      </c>
      <c r="B4693" s="49" t="str">
        <f>B4689</f>
        <v>hide</v>
      </c>
      <c r="N4693"/>
      <c r="Q4693" s="33"/>
    </row>
    <row r="4694" spans="1:19" ht="13.8" hidden="1" thickBot="1" x14ac:dyDescent="0.3">
      <c r="A4694" t="s">
        <v>23</v>
      </c>
      <c r="B4694" s="49" t="str">
        <f t="shared" ref="B4694" si="3362">B4693</f>
        <v>hide</v>
      </c>
      <c r="D4694" s="58"/>
      <c r="E4694" s="58"/>
      <c r="F4694" s="52">
        <f>SUM(F4689:F4693)</f>
        <v>-34.999999999999993</v>
      </c>
      <c r="G4694" s="52">
        <f>SUM(G4689:G4693)</f>
        <v>0</v>
      </c>
      <c r="H4694" s="52">
        <f>SUM(H4689:H4693)</f>
        <v>0</v>
      </c>
      <c r="I4694" s="52">
        <f>SUM(I4689:I4693)</f>
        <v>0</v>
      </c>
      <c r="J4694" s="52">
        <f>SUM(J4689:J4693)</f>
        <v>0</v>
      </c>
      <c r="K4694" s="52"/>
      <c r="L4694" s="51" t="s">
        <v>4</v>
      </c>
      <c r="M4694" s="58"/>
      <c r="N4694" s="58"/>
      <c r="O4694" s="58"/>
      <c r="P4694" s="58"/>
      <c r="Q4694" s="58"/>
      <c r="R4694" s="58"/>
      <c r="S4694" s="58"/>
    </row>
    <row r="4695" spans="1:19" s="59" customFormat="1" ht="18.75" hidden="1" customHeight="1" thickBot="1" x14ac:dyDescent="0.3">
      <c r="A4695" s="59" t="s">
        <v>23</v>
      </c>
      <c r="B4695" s="60" t="str">
        <f t="shared" ref="B4695:B4696" si="3363">IF(K4695=0,"hide","")</f>
        <v>hide</v>
      </c>
      <c r="D4695" s="61" t="str">
        <f>"80643"</f>
        <v>80643</v>
      </c>
      <c r="E4695" s="62" t="str">
        <f>"3"</f>
        <v>3</v>
      </c>
      <c r="F4695" s="63">
        <v>0</v>
      </c>
      <c r="G4695" s="63">
        <v>0</v>
      </c>
      <c r="H4695" s="63">
        <v>0</v>
      </c>
      <c r="I4695" s="63">
        <v>0</v>
      </c>
      <c r="J4695" s="63">
        <v>0</v>
      </c>
      <c r="K4695" s="63">
        <f>AVERAGE(I4695:J4695)</f>
        <v>0</v>
      </c>
      <c r="L4695" s="64" t="str">
        <f>"800643 Chocolate Chip Muffins"</f>
        <v>800643 Chocolate Chip Muffins</v>
      </c>
      <c r="M4695" s="65" t="str">
        <f>"24-4 oz. I.W."</f>
        <v>24-4 oz. I.W.</v>
      </c>
      <c r="N4695" s="66">
        <v>24</v>
      </c>
      <c r="O4695" s="67">
        <v>1.82E-3</v>
      </c>
      <c r="P4695" s="68">
        <f>1/O4695</f>
        <v>549.45054945054949</v>
      </c>
      <c r="Q4695" s="53">
        <v>1.82E-3</v>
      </c>
      <c r="R4695" s="69">
        <f t="shared" ref="R4695" si="3364">1/Q4695</f>
        <v>549.45054945054949</v>
      </c>
      <c r="S4695" s="70">
        <f t="shared" ref="S4695" si="3365">R4695*N4695</f>
        <v>13186.813186813188</v>
      </c>
    </row>
    <row r="4696" spans="1:19" ht="15.6" hidden="1" customHeight="1" thickBot="1" x14ac:dyDescent="0.3">
      <c r="A4696" t="s">
        <v>23</v>
      </c>
      <c r="B4696" s="60" t="str">
        <f t="shared" si="3363"/>
        <v>hide</v>
      </c>
      <c r="D4696" s="48" t="str">
        <f>D4695</f>
        <v>80643</v>
      </c>
      <c r="E4696" s="7"/>
      <c r="F4696" s="27">
        <v>0</v>
      </c>
      <c r="G4696" s="27">
        <v>0</v>
      </c>
      <c r="H4696" s="27">
        <v>0</v>
      </c>
      <c r="I4696" s="27">
        <v>0</v>
      </c>
      <c r="J4696" s="27">
        <v>0</v>
      </c>
      <c r="K4696" s="63">
        <f>AVERAGE(I4696:J4696)</f>
        <v>0</v>
      </c>
      <c r="L4696" s="56" t="str">
        <f>"EQP-LAWPACK1"</f>
        <v>EQP-LAWPACK1</v>
      </c>
      <c r="M4696" s="14"/>
      <c r="N4696" s="15"/>
      <c r="O4696" s="12"/>
      <c r="P4696" s="34"/>
      <c r="Q4696" s="37"/>
      <c r="R4696" s="47"/>
      <c r="S4696" s="46"/>
    </row>
    <row r="4697" spans="1:19" ht="15.6" hidden="1" customHeight="1" thickBot="1" x14ac:dyDescent="0.3">
      <c r="A4697" t="s">
        <v>23</v>
      </c>
      <c r="B4697" s="60" t="str">
        <f t="shared" ref="B4697:B4699" si="3366">IF(K4697=0,"hide","")</f>
        <v>hide</v>
      </c>
      <c r="D4697" s="48" t="str">
        <f>D4696</f>
        <v>80643</v>
      </c>
      <c r="E4697" s="7"/>
      <c r="F4697" s="27">
        <v>0</v>
      </c>
      <c r="G4697" s="27">
        <v>0</v>
      </c>
      <c r="H4697" s="27">
        <v>0</v>
      </c>
      <c r="I4697" s="27">
        <v>0</v>
      </c>
      <c r="J4697" s="27">
        <v>0</v>
      </c>
      <c r="K4697" s="63">
        <f>AVERAGE(I4697:J4697)</f>
        <v>0</v>
      </c>
      <c r="L4697" s="56" t="str">
        <f>"EQP-LAWPACK2"</f>
        <v>EQP-LAWPACK2</v>
      </c>
      <c r="M4697" s="14"/>
      <c r="N4697" s="15"/>
      <c r="O4697" s="12"/>
      <c r="P4697" s="34"/>
      <c r="Q4697" s="37"/>
      <c r="R4697" s="47"/>
      <c r="S4697" s="46"/>
    </row>
    <row r="4698" spans="1:19" ht="15.6" hidden="1" customHeight="1" thickBot="1" x14ac:dyDescent="0.3">
      <c r="A4698" t="s">
        <v>23</v>
      </c>
      <c r="B4698" s="60" t="str">
        <f t="shared" si="3366"/>
        <v>hide</v>
      </c>
      <c r="D4698" s="48" t="str">
        <f>D4697</f>
        <v>80643</v>
      </c>
      <c r="E4698" s="7"/>
      <c r="F4698" s="27">
        <v>0</v>
      </c>
      <c r="G4698" s="27">
        <v>0</v>
      </c>
      <c r="H4698" s="27">
        <v>0</v>
      </c>
      <c r="I4698" s="27">
        <v>0</v>
      </c>
      <c r="J4698" s="27">
        <v>0</v>
      </c>
      <c r="K4698" s="63">
        <f>AVERAGE(I4698:J4698)</f>
        <v>0</v>
      </c>
      <c r="L4698" s="56" t="str">
        <f>"SW-COMAS-PACKL"</f>
        <v>SW-COMAS-PACKL</v>
      </c>
      <c r="M4698" s="14"/>
      <c r="N4698" s="15"/>
      <c r="O4698" s="12"/>
      <c r="P4698" s="34"/>
      <c r="Q4698" s="37"/>
      <c r="R4698" s="47"/>
      <c r="S4698" s="46"/>
    </row>
    <row r="4699" spans="1:19" ht="15.6" hidden="1" customHeight="1" thickBot="1" x14ac:dyDescent="0.3">
      <c r="A4699" t="s">
        <v>23</v>
      </c>
      <c r="B4699" s="60" t="str">
        <f t="shared" si="3366"/>
        <v>hide</v>
      </c>
      <c r="D4699" s="48" t="str">
        <f>D4698</f>
        <v>80643</v>
      </c>
      <c r="E4699" s="7"/>
      <c r="F4699" s="27">
        <v>0</v>
      </c>
      <c r="G4699" s="27">
        <v>0</v>
      </c>
      <c r="H4699" s="27">
        <v>0</v>
      </c>
      <c r="I4699" s="27">
        <v>0</v>
      </c>
      <c r="J4699" s="27">
        <v>0</v>
      </c>
      <c r="K4699" s="63">
        <f>AVERAGE(I4699:J4699)</f>
        <v>0</v>
      </c>
      <c r="L4699" s="56" t="str">
        <f>"SW-RISER-PACK"</f>
        <v>SW-RISER-PACK</v>
      </c>
      <c r="M4699" s="14"/>
      <c r="N4699" s="15"/>
      <c r="O4699" s="12"/>
      <c r="P4699" s="34"/>
      <c r="Q4699" s="37"/>
      <c r="R4699" s="47"/>
      <c r="S4699" s="46"/>
    </row>
    <row r="4700" spans="1:19" ht="12" hidden="1" customHeight="1" x14ac:dyDescent="0.3">
      <c r="A4700" s="35" t="s">
        <v>908</v>
      </c>
      <c r="B4700" s="49" t="str">
        <f>B4696</f>
        <v>hide</v>
      </c>
      <c r="N4700"/>
      <c r="Q4700" s="33"/>
    </row>
    <row r="4701" spans="1:19" ht="13.8" hidden="1" thickBot="1" x14ac:dyDescent="0.3">
      <c r="A4701" t="s">
        <v>23</v>
      </c>
      <c r="B4701" s="49" t="str">
        <f t="shared" ref="B4701" si="3367">B4700</f>
        <v>hide</v>
      </c>
      <c r="D4701" s="58"/>
      <c r="E4701" s="58"/>
      <c r="F4701" s="52">
        <f>SUM(F4696:F4700)</f>
        <v>0</v>
      </c>
      <c r="G4701" s="52">
        <f>SUM(G4696:G4700)</f>
        <v>0</v>
      </c>
      <c r="H4701" s="52">
        <f>SUM(H4696:H4700)</f>
        <v>0</v>
      </c>
      <c r="I4701" s="52">
        <f>SUM(I4696:I4700)</f>
        <v>0</v>
      </c>
      <c r="J4701" s="52">
        <f>SUM(J4696:J4700)</f>
        <v>0</v>
      </c>
      <c r="K4701" s="52"/>
      <c r="L4701" s="51" t="s">
        <v>4</v>
      </c>
      <c r="M4701" s="58"/>
      <c r="N4701" s="58"/>
      <c r="O4701" s="58"/>
      <c r="P4701" s="58"/>
      <c r="Q4701" s="58"/>
      <c r="R4701" s="58"/>
      <c r="S4701" s="58"/>
    </row>
    <row r="4702" spans="1:19" s="59" customFormat="1" ht="18.75" hidden="1" customHeight="1" thickBot="1" x14ac:dyDescent="0.3">
      <c r="A4702" s="59" t="s">
        <v>23</v>
      </c>
      <c r="B4702" s="60" t="str">
        <f t="shared" ref="B4702:B4703" si="3368">IF(K4702=0,"hide","")</f>
        <v>hide</v>
      </c>
      <c r="D4702" s="61" t="str">
        <f>"80644"</f>
        <v>80644</v>
      </c>
      <c r="E4702" s="62" t="str">
        <f>"3"</f>
        <v>3</v>
      </c>
      <c r="F4702" s="63">
        <v>113.16666666666667</v>
      </c>
      <c r="G4702" s="63">
        <v>0</v>
      </c>
      <c r="H4702" s="63">
        <v>0</v>
      </c>
      <c r="I4702" s="63">
        <v>0</v>
      </c>
      <c r="J4702" s="63">
        <v>0</v>
      </c>
      <c r="K4702" s="63">
        <f>AVERAGE(I4702:J4702)</f>
        <v>0</v>
      </c>
      <c r="L4702" s="64" t="str">
        <f>"800644 Choc. Chip Muffin FZN"</f>
        <v>800644 Choc. Chip Muffin FZN</v>
      </c>
      <c r="M4702" s="65" t="str">
        <f>"24-4 oz. I.W."</f>
        <v>24-4 oz. I.W.</v>
      </c>
      <c r="N4702" s="66">
        <v>24</v>
      </c>
      <c r="O4702" s="67">
        <v>0</v>
      </c>
      <c r="P4702" s="68" t="e">
        <f>1/O4702</f>
        <v>#DIV/0!</v>
      </c>
      <c r="Q4702" s="53">
        <v>1.82E-3</v>
      </c>
      <c r="R4702" s="69">
        <f t="shared" ref="R4702" si="3369">1/Q4702</f>
        <v>549.45054945054949</v>
      </c>
      <c r="S4702" s="70">
        <f t="shared" ref="S4702" si="3370">R4702*N4702</f>
        <v>13186.813186813188</v>
      </c>
    </row>
    <row r="4703" spans="1:19" ht="15.6" hidden="1" customHeight="1" thickBot="1" x14ac:dyDescent="0.3">
      <c r="A4703" t="s">
        <v>23</v>
      </c>
      <c r="B4703" s="60" t="str">
        <f t="shared" si="3368"/>
        <v>hide</v>
      </c>
      <c r="D4703" s="48" t="str">
        <f>D4702</f>
        <v>80644</v>
      </c>
      <c r="E4703" s="7"/>
      <c r="F4703" s="27">
        <v>-46.666666666666664</v>
      </c>
      <c r="G4703" s="27">
        <v>0</v>
      </c>
      <c r="H4703" s="27">
        <v>0</v>
      </c>
      <c r="I4703" s="27">
        <v>0</v>
      </c>
      <c r="J4703" s="27">
        <v>0</v>
      </c>
      <c r="K4703" s="63">
        <f>AVERAGE(I4703:J4703)</f>
        <v>0</v>
      </c>
      <c r="L4703" s="56" t="str">
        <f>"EQP-LAWPACK1"</f>
        <v>EQP-LAWPACK1</v>
      </c>
      <c r="M4703" s="14"/>
      <c r="N4703" s="15"/>
      <c r="O4703" s="12"/>
      <c r="P4703" s="34"/>
      <c r="Q4703" s="37"/>
      <c r="R4703" s="47"/>
      <c r="S4703" s="46"/>
    </row>
    <row r="4704" spans="1:19" ht="15.6" hidden="1" customHeight="1" thickBot="1" x14ac:dyDescent="0.3">
      <c r="A4704" t="s">
        <v>23</v>
      </c>
      <c r="B4704" s="60" t="str">
        <f t="shared" ref="B4704:B4706" si="3371">IF(K4704=0,"hide","")</f>
        <v>hide</v>
      </c>
      <c r="D4704" s="48" t="str">
        <f>D4703</f>
        <v>80644</v>
      </c>
      <c r="E4704" s="7"/>
      <c r="F4704" s="27">
        <v>0</v>
      </c>
      <c r="G4704" s="27">
        <v>0</v>
      </c>
      <c r="H4704" s="27">
        <v>0</v>
      </c>
      <c r="I4704" s="27">
        <v>0</v>
      </c>
      <c r="J4704" s="27">
        <v>0</v>
      </c>
      <c r="K4704" s="63">
        <f>AVERAGE(I4704:J4704)</f>
        <v>0</v>
      </c>
      <c r="L4704" s="56" t="str">
        <f>"EQP-LAWPACK2"</f>
        <v>EQP-LAWPACK2</v>
      </c>
      <c r="M4704" s="14"/>
      <c r="N4704" s="15"/>
      <c r="O4704" s="12"/>
      <c r="P4704" s="34"/>
      <c r="Q4704" s="37"/>
      <c r="R4704" s="47"/>
      <c r="S4704" s="46"/>
    </row>
    <row r="4705" spans="1:19" ht="15.6" hidden="1" customHeight="1" thickBot="1" x14ac:dyDescent="0.3">
      <c r="A4705" t="s">
        <v>23</v>
      </c>
      <c r="B4705" s="60" t="str">
        <f t="shared" si="3371"/>
        <v>hide</v>
      </c>
      <c r="D4705" s="48" t="str">
        <f>D4704</f>
        <v>80644</v>
      </c>
      <c r="E4705" s="7"/>
      <c r="F4705" s="27">
        <v>0</v>
      </c>
      <c r="G4705" s="27">
        <v>0</v>
      </c>
      <c r="H4705" s="27">
        <v>0</v>
      </c>
      <c r="I4705" s="27">
        <v>0</v>
      </c>
      <c r="J4705" s="27">
        <v>0</v>
      </c>
      <c r="K4705" s="63">
        <f>AVERAGE(I4705:J4705)</f>
        <v>0</v>
      </c>
      <c r="L4705" s="56" t="str">
        <f>"SW-COMAS-PACKL"</f>
        <v>SW-COMAS-PACKL</v>
      </c>
      <c r="M4705" s="14"/>
      <c r="N4705" s="15"/>
      <c r="O4705" s="12"/>
      <c r="P4705" s="34"/>
      <c r="Q4705" s="37"/>
      <c r="R4705" s="47"/>
      <c r="S4705" s="46"/>
    </row>
    <row r="4706" spans="1:19" ht="15.6" hidden="1" customHeight="1" thickBot="1" x14ac:dyDescent="0.3">
      <c r="A4706" t="s">
        <v>23</v>
      </c>
      <c r="B4706" s="60" t="str">
        <f t="shared" si="3371"/>
        <v>hide</v>
      </c>
      <c r="D4706" s="48" t="str">
        <f>D4705</f>
        <v>80644</v>
      </c>
      <c r="E4706" s="7"/>
      <c r="F4706" s="27">
        <v>0</v>
      </c>
      <c r="G4706" s="27">
        <v>0</v>
      </c>
      <c r="H4706" s="27">
        <v>0</v>
      </c>
      <c r="I4706" s="27">
        <v>0</v>
      </c>
      <c r="J4706" s="27">
        <v>0</v>
      </c>
      <c r="K4706" s="63">
        <f>AVERAGE(I4706:J4706)</f>
        <v>0</v>
      </c>
      <c r="L4706" s="56" t="str">
        <f>"SW-RISER-PACK"</f>
        <v>SW-RISER-PACK</v>
      </c>
      <c r="M4706" s="14"/>
      <c r="N4706" s="15"/>
      <c r="O4706" s="12"/>
      <c r="P4706" s="34"/>
      <c r="Q4706" s="37"/>
      <c r="R4706" s="47"/>
      <c r="S4706" s="46"/>
    </row>
    <row r="4707" spans="1:19" ht="12" hidden="1" customHeight="1" x14ac:dyDescent="0.3">
      <c r="A4707" s="35" t="s">
        <v>908</v>
      </c>
      <c r="B4707" s="49" t="str">
        <f>B4703</f>
        <v>hide</v>
      </c>
      <c r="N4707"/>
      <c r="Q4707" s="33"/>
    </row>
    <row r="4708" spans="1:19" ht="13.8" hidden="1" thickBot="1" x14ac:dyDescent="0.3">
      <c r="A4708" t="s">
        <v>23</v>
      </c>
      <c r="B4708" s="49" t="str">
        <f t="shared" ref="B4708" si="3372">B4707</f>
        <v>hide</v>
      </c>
      <c r="D4708" s="58"/>
      <c r="E4708" s="58"/>
      <c r="F4708" s="52">
        <f>SUM(F4703:F4707)</f>
        <v>-46.666666666666664</v>
      </c>
      <c r="G4708" s="52">
        <f>SUM(G4703:G4707)</f>
        <v>0</v>
      </c>
      <c r="H4708" s="52">
        <f>SUM(H4703:H4707)</f>
        <v>0</v>
      </c>
      <c r="I4708" s="52">
        <f>SUM(I4703:I4707)</f>
        <v>0</v>
      </c>
      <c r="J4708" s="52">
        <f>SUM(J4703:J4707)</f>
        <v>0</v>
      </c>
      <c r="K4708" s="52"/>
      <c r="L4708" s="51" t="s">
        <v>4</v>
      </c>
      <c r="M4708" s="58"/>
      <c r="N4708" s="58"/>
      <c r="O4708" s="58"/>
      <c r="P4708" s="58"/>
      <c r="Q4708" s="58"/>
      <c r="R4708" s="58"/>
      <c r="S4708" s="58"/>
    </row>
    <row r="4709" spans="1:19" s="59" customFormat="1" ht="18.75" hidden="1" customHeight="1" thickBot="1" x14ac:dyDescent="0.3">
      <c r="A4709" s="59" t="s">
        <v>23</v>
      </c>
      <c r="B4709" s="60" t="str">
        <f t="shared" ref="B4709:B4710" si="3373">IF(K4709=0,"hide","")</f>
        <v>hide</v>
      </c>
      <c r="D4709" s="61" t="str">
        <f>"80645"</f>
        <v>80645</v>
      </c>
      <c r="E4709" s="62" t="str">
        <f>"3"</f>
        <v>3</v>
      </c>
      <c r="F4709" s="63">
        <v>0</v>
      </c>
      <c r="G4709" s="63">
        <v>0</v>
      </c>
      <c r="H4709" s="63">
        <v>0</v>
      </c>
      <c r="I4709" s="63">
        <v>0</v>
      </c>
      <c r="J4709" s="63">
        <v>0</v>
      </c>
      <c r="K4709" s="63">
        <f>AVERAGE(I4709:J4709)</f>
        <v>0</v>
      </c>
      <c r="L4709" s="64" t="str">
        <f>"800645 Blueberry Muffins"</f>
        <v>800645 Blueberry Muffins</v>
      </c>
      <c r="M4709" s="65" t="str">
        <f>"24-4 oz. I.W."</f>
        <v>24-4 oz. I.W.</v>
      </c>
      <c r="N4709" s="66">
        <v>24</v>
      </c>
      <c r="O4709" s="67">
        <v>1.82E-3</v>
      </c>
      <c r="P4709" s="68">
        <f>1/O4709</f>
        <v>549.45054945054949</v>
      </c>
      <c r="Q4709" s="53">
        <v>1.82E-3</v>
      </c>
      <c r="R4709" s="69">
        <f t="shared" ref="R4709" si="3374">1/Q4709</f>
        <v>549.45054945054949</v>
      </c>
      <c r="S4709" s="70">
        <f t="shared" ref="S4709" si="3375">R4709*N4709</f>
        <v>13186.813186813188</v>
      </c>
    </row>
    <row r="4710" spans="1:19" ht="15.6" hidden="1" customHeight="1" thickBot="1" x14ac:dyDescent="0.3">
      <c r="A4710" t="s">
        <v>23</v>
      </c>
      <c r="B4710" s="60" t="str">
        <f t="shared" si="3373"/>
        <v>hide</v>
      </c>
      <c r="D4710" s="48" t="str">
        <f>D4709</f>
        <v>80645</v>
      </c>
      <c r="E4710" s="7"/>
      <c r="F4710" s="27">
        <v>0</v>
      </c>
      <c r="G4710" s="27">
        <v>0</v>
      </c>
      <c r="H4710" s="27">
        <v>0</v>
      </c>
      <c r="I4710" s="27">
        <v>0</v>
      </c>
      <c r="J4710" s="27">
        <v>0</v>
      </c>
      <c r="K4710" s="63">
        <f>AVERAGE(I4710:J4710)</f>
        <v>0</v>
      </c>
      <c r="L4710" s="56" t="str">
        <f>"EQP-LAWPACK1"</f>
        <v>EQP-LAWPACK1</v>
      </c>
      <c r="M4710" s="14"/>
      <c r="N4710" s="15"/>
      <c r="O4710" s="12"/>
      <c r="P4710" s="34"/>
      <c r="Q4710" s="37"/>
      <c r="R4710" s="47"/>
      <c r="S4710" s="46"/>
    </row>
    <row r="4711" spans="1:19" ht="15.6" hidden="1" customHeight="1" thickBot="1" x14ac:dyDescent="0.3">
      <c r="A4711" t="s">
        <v>23</v>
      </c>
      <c r="B4711" s="60" t="str">
        <f t="shared" ref="B4711:B4713" si="3376">IF(K4711=0,"hide","")</f>
        <v>hide</v>
      </c>
      <c r="D4711" s="48" t="str">
        <f>D4710</f>
        <v>80645</v>
      </c>
      <c r="E4711" s="7"/>
      <c r="F4711" s="27">
        <v>0</v>
      </c>
      <c r="G4711" s="27">
        <v>0</v>
      </c>
      <c r="H4711" s="27">
        <v>0</v>
      </c>
      <c r="I4711" s="27">
        <v>0</v>
      </c>
      <c r="J4711" s="27">
        <v>0</v>
      </c>
      <c r="K4711" s="63">
        <f>AVERAGE(I4711:J4711)</f>
        <v>0</v>
      </c>
      <c r="L4711" s="56" t="str">
        <f>"EQP-LAWPACK2"</f>
        <v>EQP-LAWPACK2</v>
      </c>
      <c r="M4711" s="14"/>
      <c r="N4711" s="15"/>
      <c r="O4711" s="12"/>
      <c r="P4711" s="34"/>
      <c r="Q4711" s="37"/>
      <c r="R4711" s="47"/>
      <c r="S4711" s="46"/>
    </row>
    <row r="4712" spans="1:19" ht="15.6" hidden="1" customHeight="1" thickBot="1" x14ac:dyDescent="0.3">
      <c r="A4712" t="s">
        <v>23</v>
      </c>
      <c r="B4712" s="60" t="str">
        <f t="shared" si="3376"/>
        <v>hide</v>
      </c>
      <c r="D4712" s="48" t="str">
        <f>D4711</f>
        <v>80645</v>
      </c>
      <c r="E4712" s="7"/>
      <c r="F4712" s="27">
        <v>0</v>
      </c>
      <c r="G4712" s="27">
        <v>0</v>
      </c>
      <c r="H4712" s="27">
        <v>0</v>
      </c>
      <c r="I4712" s="27">
        <v>0</v>
      </c>
      <c r="J4712" s="27">
        <v>0</v>
      </c>
      <c r="K4712" s="63">
        <f>AVERAGE(I4712:J4712)</f>
        <v>0</v>
      </c>
      <c r="L4712" s="56" t="str">
        <f>"SW-COMAS-PACKL"</f>
        <v>SW-COMAS-PACKL</v>
      </c>
      <c r="M4712" s="14"/>
      <c r="N4712" s="15"/>
      <c r="O4712" s="12"/>
      <c r="P4712" s="34"/>
      <c r="Q4712" s="37"/>
      <c r="R4712" s="47"/>
      <c r="S4712" s="46"/>
    </row>
    <row r="4713" spans="1:19" ht="15.6" hidden="1" customHeight="1" thickBot="1" x14ac:dyDescent="0.3">
      <c r="A4713" t="s">
        <v>23</v>
      </c>
      <c r="B4713" s="60" t="str">
        <f t="shared" si="3376"/>
        <v>hide</v>
      </c>
      <c r="D4713" s="48" t="str">
        <f>D4712</f>
        <v>80645</v>
      </c>
      <c r="E4713" s="7"/>
      <c r="F4713" s="27">
        <v>0</v>
      </c>
      <c r="G4713" s="27">
        <v>0</v>
      </c>
      <c r="H4713" s="27">
        <v>0</v>
      </c>
      <c r="I4713" s="27">
        <v>0</v>
      </c>
      <c r="J4713" s="27">
        <v>0</v>
      </c>
      <c r="K4713" s="63">
        <f>AVERAGE(I4713:J4713)</f>
        <v>0</v>
      </c>
      <c r="L4713" s="56" t="str">
        <f>"SW-RISER-PACK"</f>
        <v>SW-RISER-PACK</v>
      </c>
      <c r="M4713" s="14"/>
      <c r="N4713" s="15"/>
      <c r="O4713" s="12"/>
      <c r="P4713" s="34"/>
      <c r="Q4713" s="37"/>
      <c r="R4713" s="47"/>
      <c r="S4713" s="46"/>
    </row>
    <row r="4714" spans="1:19" ht="12" hidden="1" customHeight="1" x14ac:dyDescent="0.3">
      <c r="A4714" s="35" t="s">
        <v>908</v>
      </c>
      <c r="B4714" s="49" t="str">
        <f>B4710</f>
        <v>hide</v>
      </c>
      <c r="N4714"/>
      <c r="Q4714" s="33"/>
    </row>
    <row r="4715" spans="1:19" ht="13.8" hidden="1" thickBot="1" x14ac:dyDescent="0.3">
      <c r="A4715" t="s">
        <v>23</v>
      </c>
      <c r="B4715" s="49" t="str">
        <f t="shared" ref="B4715" si="3377">B4714</f>
        <v>hide</v>
      </c>
      <c r="D4715" s="58"/>
      <c r="E4715" s="58"/>
      <c r="F4715" s="52">
        <f>SUM(F4710:F4714)</f>
        <v>0</v>
      </c>
      <c r="G4715" s="52">
        <f>SUM(G4710:G4714)</f>
        <v>0</v>
      </c>
      <c r="H4715" s="52">
        <f>SUM(H4710:H4714)</f>
        <v>0</v>
      </c>
      <c r="I4715" s="52">
        <f>SUM(I4710:I4714)</f>
        <v>0</v>
      </c>
      <c r="J4715" s="52">
        <f>SUM(J4710:J4714)</f>
        <v>0</v>
      </c>
      <c r="K4715" s="52"/>
      <c r="L4715" s="51" t="s">
        <v>4</v>
      </c>
      <c r="M4715" s="58"/>
      <c r="N4715" s="58"/>
      <c r="O4715" s="58"/>
      <c r="P4715" s="58"/>
      <c r="Q4715" s="58"/>
      <c r="R4715" s="58"/>
      <c r="S4715" s="58"/>
    </row>
    <row r="4716" spans="1:19" s="59" customFormat="1" ht="18.75" hidden="1" customHeight="1" thickBot="1" x14ac:dyDescent="0.3">
      <c r="A4716" s="59" t="s">
        <v>23</v>
      </c>
      <c r="B4716" s="60" t="str">
        <f t="shared" ref="B4716:B4717" si="3378">IF(K4716=0,"hide","")</f>
        <v>hide</v>
      </c>
      <c r="D4716" s="61" t="str">
        <f>"80646"</f>
        <v>80646</v>
      </c>
      <c r="E4716" s="62" t="str">
        <f>"3"</f>
        <v>3</v>
      </c>
      <c r="F4716" s="63">
        <v>222.91666666666666</v>
      </c>
      <c r="G4716" s="63">
        <v>0</v>
      </c>
      <c r="H4716" s="63">
        <v>0</v>
      </c>
      <c r="I4716" s="63">
        <v>0</v>
      </c>
      <c r="J4716" s="63">
        <v>0</v>
      </c>
      <c r="K4716" s="63">
        <f>AVERAGE(I4716:J4716)</f>
        <v>0</v>
      </c>
      <c r="L4716" s="64" t="str">
        <f>"800646 Blueberry Muffins FZN"</f>
        <v>800646 Blueberry Muffins FZN</v>
      </c>
      <c r="M4716" s="65" t="str">
        <f>"24-4 oz. I.W."</f>
        <v>24-4 oz. I.W.</v>
      </c>
      <c r="N4716" s="66">
        <v>24</v>
      </c>
      <c r="O4716" s="67">
        <v>1.82E-3</v>
      </c>
      <c r="P4716" s="68">
        <f>1/O4716</f>
        <v>549.45054945054949</v>
      </c>
      <c r="Q4716" s="53">
        <v>1.82E-3</v>
      </c>
      <c r="R4716" s="69">
        <f t="shared" ref="R4716" si="3379">1/Q4716</f>
        <v>549.45054945054949</v>
      </c>
      <c r="S4716" s="70">
        <f t="shared" ref="S4716" si="3380">R4716*N4716</f>
        <v>13186.813186813188</v>
      </c>
    </row>
    <row r="4717" spans="1:19" ht="15.6" hidden="1" customHeight="1" thickBot="1" x14ac:dyDescent="0.3">
      <c r="A4717" t="s">
        <v>23</v>
      </c>
      <c r="B4717" s="60" t="str">
        <f t="shared" si="3378"/>
        <v>hide</v>
      </c>
      <c r="D4717" s="48" t="str">
        <f>D4716</f>
        <v>80646</v>
      </c>
      <c r="E4717" s="7"/>
      <c r="F4717" s="27">
        <v>-69.999999999999986</v>
      </c>
      <c r="G4717" s="27">
        <v>0</v>
      </c>
      <c r="H4717" s="27">
        <v>0</v>
      </c>
      <c r="I4717" s="27">
        <v>0</v>
      </c>
      <c r="J4717" s="27">
        <v>0</v>
      </c>
      <c r="K4717" s="63">
        <f>AVERAGE(I4717:J4717)</f>
        <v>0</v>
      </c>
      <c r="L4717" s="56" t="str">
        <f>"EQP-LAWPACK1"</f>
        <v>EQP-LAWPACK1</v>
      </c>
      <c r="M4717" s="14"/>
      <c r="N4717" s="15"/>
      <c r="O4717" s="12"/>
      <c r="P4717" s="34"/>
      <c r="Q4717" s="37"/>
      <c r="R4717" s="47"/>
      <c r="S4717" s="46"/>
    </row>
    <row r="4718" spans="1:19" ht="15.6" hidden="1" customHeight="1" thickBot="1" x14ac:dyDescent="0.3">
      <c r="A4718" t="s">
        <v>23</v>
      </c>
      <c r="B4718" s="60" t="str">
        <f t="shared" ref="B4718:B4720" si="3381">IF(K4718=0,"hide","")</f>
        <v>hide</v>
      </c>
      <c r="D4718" s="48" t="str">
        <f>D4717</f>
        <v>80646</v>
      </c>
      <c r="E4718" s="7"/>
      <c r="F4718" s="27">
        <v>0</v>
      </c>
      <c r="G4718" s="27">
        <v>0</v>
      </c>
      <c r="H4718" s="27">
        <v>0</v>
      </c>
      <c r="I4718" s="27">
        <v>0</v>
      </c>
      <c r="J4718" s="27">
        <v>0</v>
      </c>
      <c r="K4718" s="63">
        <f>AVERAGE(I4718:J4718)</f>
        <v>0</v>
      </c>
      <c r="L4718" s="56" t="str">
        <f>"EQP-LAWPACK2"</f>
        <v>EQP-LAWPACK2</v>
      </c>
      <c r="M4718" s="14"/>
      <c r="N4718" s="15"/>
      <c r="O4718" s="12"/>
      <c r="P4718" s="34"/>
      <c r="Q4718" s="37"/>
      <c r="R4718" s="47"/>
      <c r="S4718" s="46"/>
    </row>
    <row r="4719" spans="1:19" ht="15.6" hidden="1" customHeight="1" thickBot="1" x14ac:dyDescent="0.3">
      <c r="A4719" t="s">
        <v>23</v>
      </c>
      <c r="B4719" s="60" t="str">
        <f t="shared" si="3381"/>
        <v>hide</v>
      </c>
      <c r="D4719" s="48" t="str">
        <f>D4718</f>
        <v>80646</v>
      </c>
      <c r="E4719" s="7"/>
      <c r="F4719" s="27">
        <v>0</v>
      </c>
      <c r="G4719" s="27">
        <v>0</v>
      </c>
      <c r="H4719" s="27">
        <v>0</v>
      </c>
      <c r="I4719" s="27">
        <v>0</v>
      </c>
      <c r="J4719" s="27">
        <v>0</v>
      </c>
      <c r="K4719" s="63">
        <f>AVERAGE(I4719:J4719)</f>
        <v>0</v>
      </c>
      <c r="L4719" s="56" t="str">
        <f>"SW-COMAS-PACKL"</f>
        <v>SW-COMAS-PACKL</v>
      </c>
      <c r="M4719" s="14"/>
      <c r="N4719" s="15"/>
      <c r="O4719" s="12"/>
      <c r="P4719" s="34"/>
      <c r="Q4719" s="37"/>
      <c r="R4719" s="47"/>
      <c r="S4719" s="46"/>
    </row>
    <row r="4720" spans="1:19" ht="15.6" hidden="1" customHeight="1" thickBot="1" x14ac:dyDescent="0.3">
      <c r="A4720" t="s">
        <v>23</v>
      </c>
      <c r="B4720" s="60" t="str">
        <f t="shared" si="3381"/>
        <v>hide</v>
      </c>
      <c r="D4720" s="48" t="str">
        <f>D4719</f>
        <v>80646</v>
      </c>
      <c r="E4720" s="7"/>
      <c r="F4720" s="27">
        <v>0</v>
      </c>
      <c r="G4720" s="27">
        <v>0</v>
      </c>
      <c r="H4720" s="27">
        <v>0</v>
      </c>
      <c r="I4720" s="27">
        <v>0</v>
      </c>
      <c r="J4720" s="27">
        <v>0</v>
      </c>
      <c r="K4720" s="63">
        <f>AVERAGE(I4720:J4720)</f>
        <v>0</v>
      </c>
      <c r="L4720" s="56" t="str">
        <f>"SW-RISER-PACK"</f>
        <v>SW-RISER-PACK</v>
      </c>
      <c r="M4720" s="14"/>
      <c r="N4720" s="15"/>
      <c r="O4720" s="12"/>
      <c r="P4720" s="34"/>
      <c r="Q4720" s="37"/>
      <c r="R4720" s="47"/>
      <c r="S4720" s="46"/>
    </row>
    <row r="4721" spans="1:19" ht="12" hidden="1" customHeight="1" x14ac:dyDescent="0.3">
      <c r="A4721" s="35" t="s">
        <v>908</v>
      </c>
      <c r="B4721" s="49" t="str">
        <f>B4717</f>
        <v>hide</v>
      </c>
      <c r="N4721"/>
      <c r="Q4721" s="33"/>
    </row>
    <row r="4722" spans="1:19" ht="13.8" hidden="1" thickBot="1" x14ac:dyDescent="0.3">
      <c r="A4722" t="s">
        <v>23</v>
      </c>
      <c r="B4722" s="49" t="str">
        <f t="shared" ref="B4722" si="3382">B4721</f>
        <v>hide</v>
      </c>
      <c r="D4722" s="58"/>
      <c r="E4722" s="58"/>
      <c r="F4722" s="52">
        <f>SUM(F4717:F4721)</f>
        <v>-69.999999999999986</v>
      </c>
      <c r="G4722" s="52">
        <f>SUM(G4717:G4721)</f>
        <v>0</v>
      </c>
      <c r="H4722" s="52">
        <f>SUM(H4717:H4721)</f>
        <v>0</v>
      </c>
      <c r="I4722" s="52">
        <f>SUM(I4717:I4721)</f>
        <v>0</v>
      </c>
      <c r="J4722" s="52">
        <f>SUM(J4717:J4721)</f>
        <v>0</v>
      </c>
      <c r="K4722" s="52"/>
      <c r="L4722" s="51" t="s">
        <v>4</v>
      </c>
      <c r="M4722" s="58"/>
      <c r="N4722" s="58"/>
      <c r="O4722" s="58"/>
      <c r="P4722" s="58"/>
      <c r="Q4722" s="58"/>
      <c r="R4722" s="58"/>
      <c r="S4722" s="58"/>
    </row>
    <row r="4723" spans="1:19" s="59" customFormat="1" ht="18.75" hidden="1" customHeight="1" thickBot="1" x14ac:dyDescent="0.3">
      <c r="A4723" s="59" t="s">
        <v>23</v>
      </c>
      <c r="B4723" s="60" t="str">
        <f t="shared" ref="B4723:B4724" si="3383">IF(K4723=0,"hide","")</f>
        <v>hide</v>
      </c>
      <c r="D4723" s="61" t="str">
        <f>"80647"</f>
        <v>80647</v>
      </c>
      <c r="E4723" s="62" t="str">
        <f>"3"</f>
        <v>3</v>
      </c>
      <c r="F4723" s="63">
        <v>0</v>
      </c>
      <c r="G4723" s="63">
        <v>0</v>
      </c>
      <c r="H4723" s="63">
        <v>0</v>
      </c>
      <c r="I4723" s="63">
        <v>0</v>
      </c>
      <c r="J4723" s="63">
        <v>0</v>
      </c>
      <c r="K4723" s="63">
        <f>AVERAGE(I4723:J4723)</f>
        <v>0</v>
      </c>
      <c r="L4723" s="64" t="str">
        <f>"800647 Banana Muffins"</f>
        <v>800647 Banana Muffins</v>
      </c>
      <c r="M4723" s="65" t="str">
        <f>"24-4 oz. I.W."</f>
        <v>24-4 oz. I.W.</v>
      </c>
      <c r="N4723" s="66">
        <v>24</v>
      </c>
      <c r="O4723" s="67">
        <v>1.82E-3</v>
      </c>
      <c r="P4723" s="68">
        <f>1/O4723</f>
        <v>549.45054945054949</v>
      </c>
      <c r="Q4723" s="53">
        <v>1.82E-3</v>
      </c>
      <c r="R4723" s="69">
        <f t="shared" ref="R4723" si="3384">1/Q4723</f>
        <v>549.45054945054949</v>
      </c>
      <c r="S4723" s="70">
        <f t="shared" ref="S4723" si="3385">R4723*N4723</f>
        <v>13186.813186813188</v>
      </c>
    </row>
    <row r="4724" spans="1:19" ht="15.6" hidden="1" customHeight="1" thickBot="1" x14ac:dyDescent="0.3">
      <c r="A4724" t="s">
        <v>23</v>
      </c>
      <c r="B4724" s="60" t="str">
        <f t="shared" si="3383"/>
        <v>hide</v>
      </c>
      <c r="D4724" s="48" t="str">
        <f>D4723</f>
        <v>80647</v>
      </c>
      <c r="E4724" s="7"/>
      <c r="F4724" s="27">
        <v>0</v>
      </c>
      <c r="G4724" s="27">
        <v>0</v>
      </c>
      <c r="H4724" s="27">
        <v>0</v>
      </c>
      <c r="I4724" s="27">
        <v>0</v>
      </c>
      <c r="J4724" s="27">
        <v>0</v>
      </c>
      <c r="K4724" s="63">
        <f>AVERAGE(I4724:J4724)</f>
        <v>0</v>
      </c>
      <c r="L4724" s="56" t="str">
        <f>"EQP-LAWPACK1"</f>
        <v>EQP-LAWPACK1</v>
      </c>
      <c r="M4724" s="14"/>
      <c r="N4724" s="15"/>
      <c r="O4724" s="12"/>
      <c r="P4724" s="34"/>
      <c r="Q4724" s="37"/>
      <c r="R4724" s="47"/>
      <c r="S4724" s="46"/>
    </row>
    <row r="4725" spans="1:19" ht="15.6" hidden="1" customHeight="1" thickBot="1" x14ac:dyDescent="0.3">
      <c r="A4725" t="s">
        <v>23</v>
      </c>
      <c r="B4725" s="60" t="str">
        <f t="shared" ref="B4725:B4727" si="3386">IF(K4725=0,"hide","")</f>
        <v>hide</v>
      </c>
      <c r="D4725" s="48" t="str">
        <f>D4724</f>
        <v>80647</v>
      </c>
      <c r="E4725" s="7"/>
      <c r="F4725" s="27">
        <v>0</v>
      </c>
      <c r="G4725" s="27">
        <v>0</v>
      </c>
      <c r="H4725" s="27">
        <v>0</v>
      </c>
      <c r="I4725" s="27">
        <v>0</v>
      </c>
      <c r="J4725" s="27">
        <v>0</v>
      </c>
      <c r="K4725" s="63">
        <f>AVERAGE(I4725:J4725)</f>
        <v>0</v>
      </c>
      <c r="L4725" s="56" t="str">
        <f>"EQP-LAWPACK2"</f>
        <v>EQP-LAWPACK2</v>
      </c>
      <c r="M4725" s="14"/>
      <c r="N4725" s="15"/>
      <c r="O4725" s="12"/>
      <c r="P4725" s="34"/>
      <c r="Q4725" s="37"/>
      <c r="R4725" s="47"/>
      <c r="S4725" s="46"/>
    </row>
    <row r="4726" spans="1:19" ht="15.6" hidden="1" customHeight="1" thickBot="1" x14ac:dyDescent="0.3">
      <c r="A4726" t="s">
        <v>23</v>
      </c>
      <c r="B4726" s="60" t="str">
        <f t="shared" si="3386"/>
        <v>hide</v>
      </c>
      <c r="D4726" s="48" t="str">
        <f>D4725</f>
        <v>80647</v>
      </c>
      <c r="E4726" s="7"/>
      <c r="F4726" s="27">
        <v>0</v>
      </c>
      <c r="G4726" s="27">
        <v>0</v>
      </c>
      <c r="H4726" s="27">
        <v>0</v>
      </c>
      <c r="I4726" s="27">
        <v>0</v>
      </c>
      <c r="J4726" s="27">
        <v>0</v>
      </c>
      <c r="K4726" s="63">
        <f>AVERAGE(I4726:J4726)</f>
        <v>0</v>
      </c>
      <c r="L4726" s="56" t="str">
        <f>"SW-COMAS-PACKL"</f>
        <v>SW-COMAS-PACKL</v>
      </c>
      <c r="M4726" s="14"/>
      <c r="N4726" s="15"/>
      <c r="O4726" s="12"/>
      <c r="P4726" s="34"/>
      <c r="Q4726" s="37"/>
      <c r="R4726" s="47"/>
      <c r="S4726" s="46"/>
    </row>
    <row r="4727" spans="1:19" ht="15.6" hidden="1" customHeight="1" thickBot="1" x14ac:dyDescent="0.3">
      <c r="A4727" t="s">
        <v>23</v>
      </c>
      <c r="B4727" s="60" t="str">
        <f t="shared" si="3386"/>
        <v>hide</v>
      </c>
      <c r="D4727" s="48" t="str">
        <f>D4726</f>
        <v>80647</v>
      </c>
      <c r="E4727" s="7"/>
      <c r="F4727" s="27">
        <v>0</v>
      </c>
      <c r="G4727" s="27">
        <v>0</v>
      </c>
      <c r="H4727" s="27">
        <v>0</v>
      </c>
      <c r="I4727" s="27">
        <v>0</v>
      </c>
      <c r="J4727" s="27">
        <v>0</v>
      </c>
      <c r="K4727" s="63">
        <f>AVERAGE(I4727:J4727)</f>
        <v>0</v>
      </c>
      <c r="L4727" s="56" t="str">
        <f>"SW-RISER-PACK"</f>
        <v>SW-RISER-PACK</v>
      </c>
      <c r="M4727" s="14"/>
      <c r="N4727" s="15"/>
      <c r="O4727" s="12"/>
      <c r="P4727" s="34"/>
      <c r="Q4727" s="37"/>
      <c r="R4727" s="47"/>
      <c r="S4727" s="46"/>
    </row>
    <row r="4728" spans="1:19" ht="12" hidden="1" customHeight="1" x14ac:dyDescent="0.3">
      <c r="A4728" s="35" t="s">
        <v>908</v>
      </c>
      <c r="B4728" s="49" t="str">
        <f>B4724</f>
        <v>hide</v>
      </c>
      <c r="N4728"/>
      <c r="Q4728" s="33"/>
    </row>
    <row r="4729" spans="1:19" ht="13.8" hidden="1" thickBot="1" x14ac:dyDescent="0.3">
      <c r="A4729" t="s">
        <v>23</v>
      </c>
      <c r="B4729" s="49" t="str">
        <f t="shared" ref="B4729" si="3387">B4728</f>
        <v>hide</v>
      </c>
      <c r="D4729" s="58"/>
      <c r="E4729" s="58"/>
      <c r="F4729" s="52">
        <f>SUM(F4724:F4728)</f>
        <v>0</v>
      </c>
      <c r="G4729" s="52">
        <f>SUM(G4724:G4728)</f>
        <v>0</v>
      </c>
      <c r="H4729" s="52">
        <f>SUM(H4724:H4728)</f>
        <v>0</v>
      </c>
      <c r="I4729" s="52">
        <f>SUM(I4724:I4728)</f>
        <v>0</v>
      </c>
      <c r="J4729" s="52">
        <f>SUM(J4724:J4728)</f>
        <v>0</v>
      </c>
      <c r="K4729" s="52"/>
      <c r="L4729" s="51" t="s">
        <v>4</v>
      </c>
      <c r="M4729" s="58"/>
      <c r="N4729" s="58"/>
      <c r="O4729" s="58"/>
      <c r="P4729" s="58"/>
      <c r="Q4729" s="58"/>
      <c r="R4729" s="58"/>
      <c r="S4729" s="58"/>
    </row>
    <row r="4730" spans="1:19" s="59" customFormat="1" ht="18.75" hidden="1" customHeight="1" thickBot="1" x14ac:dyDescent="0.3">
      <c r="A4730" s="59" t="s">
        <v>23</v>
      </c>
      <c r="B4730" s="60" t="str">
        <f t="shared" ref="B4730:B4731" si="3388">IF(K4730=0,"hide","")</f>
        <v>hide</v>
      </c>
      <c r="D4730" s="61" t="str">
        <f>"80648"</f>
        <v>80648</v>
      </c>
      <c r="E4730" s="62" t="str">
        <f>"3"</f>
        <v>3</v>
      </c>
      <c r="F4730" s="63">
        <v>212.25</v>
      </c>
      <c r="G4730" s="63">
        <v>0</v>
      </c>
      <c r="H4730" s="63">
        <v>0</v>
      </c>
      <c r="I4730" s="63">
        <v>0</v>
      </c>
      <c r="J4730" s="63">
        <v>0</v>
      </c>
      <c r="K4730" s="63">
        <f>AVERAGE(I4730:J4730)</f>
        <v>0</v>
      </c>
      <c r="L4730" s="64" t="str">
        <f>"800648 Banana Muffin - FZN"</f>
        <v>800648 Banana Muffin - FZN</v>
      </c>
      <c r="M4730" s="65" t="str">
        <f>"24-4 oz. I.W."</f>
        <v>24-4 oz. I.W.</v>
      </c>
      <c r="N4730" s="66">
        <v>24</v>
      </c>
      <c r="O4730" s="67">
        <v>1.82E-3</v>
      </c>
      <c r="P4730" s="68">
        <f>1/O4730</f>
        <v>549.45054945054949</v>
      </c>
      <c r="Q4730" s="53">
        <v>1.82E-3</v>
      </c>
      <c r="R4730" s="69">
        <f t="shared" ref="R4730" si="3389">1/Q4730</f>
        <v>549.45054945054949</v>
      </c>
      <c r="S4730" s="70">
        <f t="shared" ref="S4730" si="3390">R4730*N4730</f>
        <v>13186.813186813188</v>
      </c>
    </row>
    <row r="4731" spans="1:19" ht="15.6" hidden="1" customHeight="1" thickBot="1" x14ac:dyDescent="0.3">
      <c r="A4731" t="s">
        <v>23</v>
      </c>
      <c r="B4731" s="60" t="str">
        <f t="shared" si="3388"/>
        <v>hide</v>
      </c>
      <c r="D4731" s="48" t="str">
        <f>D4730</f>
        <v>80648</v>
      </c>
      <c r="E4731" s="7"/>
      <c r="F4731" s="27">
        <v>-81.583333333333329</v>
      </c>
      <c r="G4731" s="27">
        <v>0</v>
      </c>
      <c r="H4731" s="27">
        <v>0</v>
      </c>
      <c r="I4731" s="27">
        <v>0</v>
      </c>
      <c r="J4731" s="27">
        <v>0</v>
      </c>
      <c r="K4731" s="63">
        <f>AVERAGE(I4731:J4731)</f>
        <v>0</v>
      </c>
      <c r="L4731" s="56" t="str">
        <f>"EQP-LAWPACK1"</f>
        <v>EQP-LAWPACK1</v>
      </c>
      <c r="M4731" s="14"/>
      <c r="N4731" s="15"/>
      <c r="O4731" s="12"/>
      <c r="P4731" s="34"/>
      <c r="Q4731" s="37"/>
      <c r="R4731" s="47"/>
      <c r="S4731" s="46"/>
    </row>
    <row r="4732" spans="1:19" ht="15.6" hidden="1" customHeight="1" thickBot="1" x14ac:dyDescent="0.3">
      <c r="A4732" t="s">
        <v>23</v>
      </c>
      <c r="B4732" s="60" t="str">
        <f t="shared" ref="B4732:B4734" si="3391">IF(K4732=0,"hide","")</f>
        <v>hide</v>
      </c>
      <c r="D4732" s="48" t="str">
        <f>D4731</f>
        <v>80648</v>
      </c>
      <c r="E4732" s="7"/>
      <c r="F4732" s="27">
        <v>0</v>
      </c>
      <c r="G4732" s="27">
        <v>0</v>
      </c>
      <c r="H4732" s="27">
        <v>0</v>
      </c>
      <c r="I4732" s="27">
        <v>0</v>
      </c>
      <c r="J4732" s="27">
        <v>0</v>
      </c>
      <c r="K4732" s="63">
        <f>AVERAGE(I4732:J4732)</f>
        <v>0</v>
      </c>
      <c r="L4732" s="56" t="str">
        <f>"EQP-LAWPACK2"</f>
        <v>EQP-LAWPACK2</v>
      </c>
      <c r="M4732" s="14"/>
      <c r="N4732" s="15"/>
      <c r="O4732" s="12"/>
      <c r="P4732" s="34"/>
      <c r="Q4732" s="37"/>
      <c r="R4732" s="47"/>
      <c r="S4732" s="46"/>
    </row>
    <row r="4733" spans="1:19" ht="15.6" hidden="1" customHeight="1" thickBot="1" x14ac:dyDescent="0.3">
      <c r="A4733" t="s">
        <v>23</v>
      </c>
      <c r="B4733" s="60" t="str">
        <f t="shared" si="3391"/>
        <v>hide</v>
      </c>
      <c r="D4733" s="48" t="str">
        <f>D4732</f>
        <v>80648</v>
      </c>
      <c r="E4733" s="7"/>
      <c r="F4733" s="27">
        <v>0</v>
      </c>
      <c r="G4733" s="27">
        <v>0</v>
      </c>
      <c r="H4733" s="27">
        <v>0</v>
      </c>
      <c r="I4733" s="27">
        <v>0</v>
      </c>
      <c r="J4733" s="27">
        <v>0</v>
      </c>
      <c r="K4733" s="63">
        <f>AVERAGE(I4733:J4733)</f>
        <v>0</v>
      </c>
      <c r="L4733" s="56" t="str">
        <f>"SW-COMAS-PACKL"</f>
        <v>SW-COMAS-PACKL</v>
      </c>
      <c r="M4733" s="14"/>
      <c r="N4733" s="15"/>
      <c r="O4733" s="12"/>
      <c r="P4733" s="34"/>
      <c r="Q4733" s="37"/>
      <c r="R4733" s="47"/>
      <c r="S4733" s="46"/>
    </row>
    <row r="4734" spans="1:19" ht="15.6" hidden="1" customHeight="1" thickBot="1" x14ac:dyDescent="0.3">
      <c r="A4734" t="s">
        <v>23</v>
      </c>
      <c r="B4734" s="60" t="str">
        <f t="shared" si="3391"/>
        <v>hide</v>
      </c>
      <c r="D4734" s="48" t="str">
        <f>D4733</f>
        <v>80648</v>
      </c>
      <c r="E4734" s="7"/>
      <c r="F4734" s="27">
        <v>0</v>
      </c>
      <c r="G4734" s="27">
        <v>0</v>
      </c>
      <c r="H4734" s="27">
        <v>0</v>
      </c>
      <c r="I4734" s="27">
        <v>0</v>
      </c>
      <c r="J4734" s="27">
        <v>0</v>
      </c>
      <c r="K4734" s="63">
        <f>AVERAGE(I4734:J4734)</f>
        <v>0</v>
      </c>
      <c r="L4734" s="56" t="str">
        <f>"SW-RISER-PACK"</f>
        <v>SW-RISER-PACK</v>
      </c>
      <c r="M4734" s="14"/>
      <c r="N4734" s="15"/>
      <c r="O4734" s="12"/>
      <c r="P4734" s="34"/>
      <c r="Q4734" s="37"/>
      <c r="R4734" s="47"/>
      <c r="S4734" s="46"/>
    </row>
    <row r="4735" spans="1:19" ht="12" hidden="1" customHeight="1" x14ac:dyDescent="0.3">
      <c r="A4735" s="35" t="s">
        <v>908</v>
      </c>
      <c r="B4735" s="49" t="str">
        <f>B4731</f>
        <v>hide</v>
      </c>
      <c r="N4735"/>
      <c r="Q4735" s="33"/>
    </row>
    <row r="4736" spans="1:19" ht="13.8" hidden="1" thickBot="1" x14ac:dyDescent="0.3">
      <c r="A4736" t="s">
        <v>23</v>
      </c>
      <c r="B4736" s="49" t="str">
        <f t="shared" ref="B4736" si="3392">B4735</f>
        <v>hide</v>
      </c>
      <c r="D4736" s="58"/>
      <c r="E4736" s="58"/>
      <c r="F4736" s="52">
        <f>SUM(F4731:F4735)</f>
        <v>-81.583333333333329</v>
      </c>
      <c r="G4736" s="52">
        <f>SUM(G4731:G4735)</f>
        <v>0</v>
      </c>
      <c r="H4736" s="52">
        <f>SUM(H4731:H4735)</f>
        <v>0</v>
      </c>
      <c r="I4736" s="52">
        <f>SUM(I4731:I4735)</f>
        <v>0</v>
      </c>
      <c r="J4736" s="52">
        <f>SUM(J4731:J4735)</f>
        <v>0</v>
      </c>
      <c r="K4736" s="52"/>
      <c r="L4736" s="51" t="s">
        <v>4</v>
      </c>
      <c r="M4736" s="58"/>
      <c r="N4736" s="58"/>
      <c r="O4736" s="58"/>
      <c r="P4736" s="58"/>
      <c r="Q4736" s="58"/>
      <c r="R4736" s="58"/>
      <c r="S4736" s="58"/>
    </row>
    <row r="4737" spans="1:19" s="59" customFormat="1" ht="18.75" customHeight="1" thickBot="1" x14ac:dyDescent="0.3">
      <c r="A4737" s="59" t="s">
        <v>23</v>
      </c>
      <c r="B4737" s="60" t="str">
        <f t="shared" ref="B4737:B4738" si="3393">IF(K4737=0,"hide","")</f>
        <v/>
      </c>
      <c r="D4737" s="61" t="str">
        <f>"81905"</f>
        <v>81905</v>
      </c>
      <c r="E4737" s="62" t="str">
        <f>"9"</f>
        <v>9</v>
      </c>
      <c r="F4737" s="63">
        <v>177.75</v>
      </c>
      <c r="G4737" s="63">
        <v>113.16666666666667</v>
      </c>
      <c r="H4737" s="63">
        <v>371.16666666666669</v>
      </c>
      <c r="I4737" s="63">
        <v>177.5</v>
      </c>
      <c r="J4737" s="63">
        <v>194.55397590361446</v>
      </c>
      <c r="K4737" s="63">
        <f>AVERAGE(I4737:J4737)</f>
        <v>186.02698795180723</v>
      </c>
      <c r="L4737" s="64" t="str">
        <f>"1394 Muffins, Golden Cornbread, IW"</f>
        <v>1394 Muffins, Golden Cornbread, IW</v>
      </c>
      <c r="M4737" s="65" t="str">
        <f>"72/2.2 oz"</f>
        <v>72/2.2 oz</v>
      </c>
      <c r="N4737" s="66">
        <v>72</v>
      </c>
      <c r="O4737" s="67">
        <v>3.46E-3</v>
      </c>
      <c r="P4737" s="68">
        <f>1/O4737</f>
        <v>289.01734104046244</v>
      </c>
      <c r="Q4737" s="53">
        <v>3.46E-3</v>
      </c>
      <c r="R4737" s="69">
        <f t="shared" ref="R4737" si="3394">1/Q4737</f>
        <v>289.01734104046244</v>
      </c>
      <c r="S4737" s="70">
        <f t="shared" ref="S4737" si="3395">R4737*N4737</f>
        <v>20809.248554913294</v>
      </c>
    </row>
    <row r="4738" spans="1:19" ht="15.6" hidden="1" customHeight="1" thickBot="1" x14ac:dyDescent="0.3">
      <c r="A4738" t="s">
        <v>23</v>
      </c>
      <c r="B4738" s="60" t="str">
        <f t="shared" si="3393"/>
        <v>hide</v>
      </c>
      <c r="D4738" s="48" t="str">
        <f>D4737</f>
        <v>81905</v>
      </c>
      <c r="E4738" s="7"/>
      <c r="F4738" s="27">
        <v>-20.583333333333332</v>
      </c>
      <c r="G4738" s="27">
        <v>0</v>
      </c>
      <c r="H4738" s="27">
        <v>0</v>
      </c>
      <c r="I4738" s="27">
        <v>0</v>
      </c>
      <c r="J4738" s="27">
        <v>0</v>
      </c>
      <c r="K4738" s="63">
        <f>AVERAGE(I4738:J4738)</f>
        <v>0</v>
      </c>
      <c r="L4738" s="56" t="str">
        <f>"EQP-LAWPACK1"</f>
        <v>EQP-LAWPACK1</v>
      </c>
      <c r="M4738" s="14"/>
      <c r="N4738" s="15"/>
      <c r="O4738" s="12"/>
      <c r="P4738" s="34"/>
      <c r="Q4738" s="37"/>
      <c r="R4738" s="47"/>
      <c r="S4738" s="46"/>
    </row>
    <row r="4739" spans="1:19" ht="15.6" hidden="1" customHeight="1" thickBot="1" x14ac:dyDescent="0.3">
      <c r="A4739" t="s">
        <v>23</v>
      </c>
      <c r="B4739" s="60" t="str">
        <f t="shared" ref="B4739:B4741" si="3396">IF(K4739=0,"hide","")</f>
        <v>hide</v>
      </c>
      <c r="D4739" s="48" t="str">
        <f>D4738</f>
        <v>81905</v>
      </c>
      <c r="E4739" s="7"/>
      <c r="F4739" s="27">
        <v>0</v>
      </c>
      <c r="G4739" s="27">
        <v>0</v>
      </c>
      <c r="H4739" s="27">
        <v>0</v>
      </c>
      <c r="I4739" s="27">
        <v>0</v>
      </c>
      <c r="J4739" s="27">
        <v>0</v>
      </c>
      <c r="K4739" s="63">
        <f>AVERAGE(I4739:J4739)</f>
        <v>0</v>
      </c>
      <c r="L4739" s="56" t="str">
        <f>"EQP-LAWPACK2"</f>
        <v>EQP-LAWPACK2</v>
      </c>
      <c r="M4739" s="14"/>
      <c r="N4739" s="15"/>
      <c r="O4739" s="12"/>
      <c r="P4739" s="34"/>
      <c r="Q4739" s="37"/>
      <c r="R4739" s="47"/>
      <c r="S4739" s="46"/>
    </row>
    <row r="4740" spans="1:19" ht="15.6" hidden="1" customHeight="1" thickBot="1" x14ac:dyDescent="0.3">
      <c r="A4740" t="s">
        <v>23</v>
      </c>
      <c r="B4740" s="60" t="str">
        <f t="shared" si="3396"/>
        <v>hide</v>
      </c>
      <c r="D4740" s="48" t="str">
        <f>D4739</f>
        <v>81905</v>
      </c>
      <c r="E4740" s="7"/>
      <c r="F4740" s="27">
        <v>0</v>
      </c>
      <c r="G4740" s="27">
        <v>0</v>
      </c>
      <c r="H4740" s="27">
        <v>0</v>
      </c>
      <c r="I4740" s="27">
        <v>0</v>
      </c>
      <c r="J4740" s="27">
        <v>0</v>
      </c>
      <c r="K4740" s="63">
        <f>AVERAGE(I4740:J4740)</f>
        <v>0</v>
      </c>
      <c r="L4740" s="56" t="str">
        <f>"SW-COMAS-PACKL"</f>
        <v>SW-COMAS-PACKL</v>
      </c>
      <c r="M4740" s="14"/>
      <c r="N4740" s="15"/>
      <c r="O4740" s="12"/>
      <c r="P4740" s="34"/>
      <c r="Q4740" s="37"/>
      <c r="R4740" s="47"/>
      <c r="S4740" s="46"/>
    </row>
    <row r="4741" spans="1:19" ht="15.6" hidden="1" customHeight="1" thickBot="1" x14ac:dyDescent="0.3">
      <c r="A4741" t="s">
        <v>23</v>
      </c>
      <c r="B4741" s="60" t="str">
        <f t="shared" si="3396"/>
        <v>hide</v>
      </c>
      <c r="D4741" s="48" t="str">
        <f>D4740</f>
        <v>81905</v>
      </c>
      <c r="E4741" s="7"/>
      <c r="F4741" s="27">
        <v>0</v>
      </c>
      <c r="G4741" s="27">
        <v>0</v>
      </c>
      <c r="H4741" s="27">
        <v>0</v>
      </c>
      <c r="I4741" s="27">
        <v>0</v>
      </c>
      <c r="J4741" s="27">
        <v>0</v>
      </c>
      <c r="K4741" s="63">
        <f>AVERAGE(I4741:J4741)</f>
        <v>0</v>
      </c>
      <c r="L4741" s="56" t="str">
        <f>"SW-RISER-PACK"</f>
        <v>SW-RISER-PACK</v>
      </c>
      <c r="M4741" s="14"/>
      <c r="N4741" s="15"/>
      <c r="O4741" s="12"/>
      <c r="P4741" s="34"/>
      <c r="Q4741" s="37"/>
      <c r="R4741" s="47"/>
      <c r="S4741" s="46"/>
    </row>
    <row r="4742" spans="1:19" ht="12" hidden="1" customHeight="1" x14ac:dyDescent="0.3">
      <c r="A4742" s="35" t="s">
        <v>908</v>
      </c>
      <c r="B4742" s="49" t="str">
        <f>B4738</f>
        <v>hide</v>
      </c>
      <c r="N4742"/>
      <c r="Q4742" s="33"/>
    </row>
    <row r="4743" spans="1:19" ht="13.8" hidden="1" thickBot="1" x14ac:dyDescent="0.3">
      <c r="A4743" t="s">
        <v>23</v>
      </c>
      <c r="B4743" s="49" t="str">
        <f t="shared" ref="B4743" si="3397">B4742</f>
        <v>hide</v>
      </c>
      <c r="D4743" s="58"/>
      <c r="E4743" s="58"/>
      <c r="F4743" s="52">
        <f>SUM(F4738:F4742)</f>
        <v>-20.583333333333332</v>
      </c>
      <c r="G4743" s="52">
        <f>SUM(G4738:G4742)</f>
        <v>0</v>
      </c>
      <c r="H4743" s="52">
        <f>SUM(H4738:H4742)</f>
        <v>0</v>
      </c>
      <c r="I4743" s="52">
        <f>SUM(I4738:I4742)</f>
        <v>0</v>
      </c>
      <c r="J4743" s="52">
        <f>SUM(J4738:J4742)</f>
        <v>0</v>
      </c>
      <c r="K4743" s="52"/>
      <c r="L4743" s="51" t="s">
        <v>4</v>
      </c>
      <c r="M4743" s="58"/>
      <c r="N4743" s="58"/>
      <c r="O4743" s="58"/>
      <c r="P4743" s="58"/>
      <c r="Q4743" s="58"/>
      <c r="R4743" s="58"/>
      <c r="S4743" s="58"/>
    </row>
    <row r="4744" spans="1:19" s="59" customFormat="1" ht="18.75" hidden="1" customHeight="1" thickBot="1" x14ac:dyDescent="0.3">
      <c r="A4744" s="59" t="s">
        <v>23</v>
      </c>
      <c r="B4744" s="60" t="str">
        <f t="shared" ref="B4744:B4745" si="3398">IF(K4744=0,"hide","")</f>
        <v>hide</v>
      </c>
      <c r="D4744" s="61" t="str">
        <f>"82100"</f>
        <v>82100</v>
      </c>
      <c r="E4744" s="62" t="str">
        <f>"1"</f>
        <v>1</v>
      </c>
      <c r="F4744" s="63">
        <v>0</v>
      </c>
      <c r="G4744" s="63">
        <v>0</v>
      </c>
      <c r="H4744" s="63">
        <v>0</v>
      </c>
      <c r="I4744" s="63">
        <v>0</v>
      </c>
      <c r="J4744" s="63">
        <v>0</v>
      </c>
      <c r="K4744" s="63">
        <f>AVERAGE(I4744:J4744)</f>
        <v>0</v>
      </c>
      <c r="L4744" s="64" t="str">
        <f>""</f>
        <v/>
      </c>
      <c r="M4744" s="65" t="str">
        <f>""</f>
        <v/>
      </c>
      <c r="N4744" s="66" t="str">
        <f>""</f>
        <v/>
      </c>
      <c r="O4744" s="67" t="str">
        <f>""</f>
        <v/>
      </c>
      <c r="P4744" s="68" t="e">
        <f>1/O4744</f>
        <v>#VALUE!</v>
      </c>
      <c r="Q4744" s="53">
        <v>1</v>
      </c>
      <c r="R4744" s="69">
        <f t="shared" ref="R4744" si="3399">1/Q4744</f>
        <v>1</v>
      </c>
      <c r="S4744" s="70" t="e">
        <f t="shared" ref="S4744" si="3400">R4744*N4744</f>
        <v>#VALUE!</v>
      </c>
    </row>
    <row r="4745" spans="1:19" ht="15.6" hidden="1" customHeight="1" thickBot="1" x14ac:dyDescent="0.3">
      <c r="A4745" t="s">
        <v>23</v>
      </c>
      <c r="B4745" s="60" t="str">
        <f t="shared" si="3398"/>
        <v>hide</v>
      </c>
      <c r="D4745" s="48" t="str">
        <f>D4744</f>
        <v>82100</v>
      </c>
      <c r="E4745" s="7"/>
      <c r="F4745" s="27">
        <v>0</v>
      </c>
      <c r="G4745" s="27">
        <v>0</v>
      </c>
      <c r="H4745" s="27">
        <v>0</v>
      </c>
      <c r="I4745" s="27">
        <v>0</v>
      </c>
      <c r="J4745" s="27">
        <v>0</v>
      </c>
      <c r="K4745" s="63">
        <f>AVERAGE(I4745:J4745)</f>
        <v>0</v>
      </c>
      <c r="L4745" s="56" t="str">
        <f>"EQP-LAWPACK1"</f>
        <v>EQP-LAWPACK1</v>
      </c>
      <c r="M4745" s="14"/>
      <c r="N4745" s="15"/>
      <c r="O4745" s="12"/>
      <c r="P4745" s="34"/>
      <c r="Q4745" s="37"/>
      <c r="R4745" s="47"/>
      <c r="S4745" s="46"/>
    </row>
    <row r="4746" spans="1:19" ht="15.6" hidden="1" customHeight="1" thickBot="1" x14ac:dyDescent="0.3">
      <c r="A4746" t="s">
        <v>23</v>
      </c>
      <c r="B4746" s="60" t="str">
        <f t="shared" ref="B4746:B4748" si="3401">IF(K4746=0,"hide","")</f>
        <v>hide</v>
      </c>
      <c r="D4746" s="48" t="str">
        <f>D4745</f>
        <v>82100</v>
      </c>
      <c r="E4746" s="7"/>
      <c r="F4746" s="27">
        <v>0</v>
      </c>
      <c r="G4746" s="27">
        <v>0</v>
      </c>
      <c r="H4746" s="27">
        <v>0</v>
      </c>
      <c r="I4746" s="27">
        <v>0</v>
      </c>
      <c r="J4746" s="27">
        <v>0</v>
      </c>
      <c r="K4746" s="63">
        <f>AVERAGE(I4746:J4746)</f>
        <v>0</v>
      </c>
      <c r="L4746" s="56" t="str">
        <f>"EQP-LAWPACK2"</f>
        <v>EQP-LAWPACK2</v>
      </c>
      <c r="M4746" s="14"/>
      <c r="N4746" s="15"/>
      <c r="O4746" s="12"/>
      <c r="P4746" s="34"/>
      <c r="Q4746" s="37"/>
      <c r="R4746" s="47"/>
      <c r="S4746" s="46"/>
    </row>
    <row r="4747" spans="1:19" ht="15.6" hidden="1" customHeight="1" thickBot="1" x14ac:dyDescent="0.3">
      <c r="A4747" t="s">
        <v>23</v>
      </c>
      <c r="B4747" s="60" t="str">
        <f t="shared" si="3401"/>
        <v>hide</v>
      </c>
      <c r="D4747" s="48" t="str">
        <f>D4746</f>
        <v>82100</v>
      </c>
      <c r="E4747" s="7"/>
      <c r="F4747" s="27">
        <v>0</v>
      </c>
      <c r="G4747" s="27">
        <v>0</v>
      </c>
      <c r="H4747" s="27">
        <v>0</v>
      </c>
      <c r="I4747" s="27">
        <v>0</v>
      </c>
      <c r="J4747" s="27">
        <v>0</v>
      </c>
      <c r="K4747" s="63">
        <f>AVERAGE(I4747:J4747)</f>
        <v>0</v>
      </c>
      <c r="L4747" s="56" t="str">
        <f>"SW-COMAS-PACKL"</f>
        <v>SW-COMAS-PACKL</v>
      </c>
      <c r="M4747" s="14"/>
      <c r="N4747" s="15"/>
      <c r="O4747" s="12"/>
      <c r="P4747" s="34"/>
      <c r="Q4747" s="37"/>
      <c r="R4747" s="47"/>
      <c r="S4747" s="46"/>
    </row>
    <row r="4748" spans="1:19" ht="15.6" hidden="1" customHeight="1" thickBot="1" x14ac:dyDescent="0.3">
      <c r="A4748" t="s">
        <v>23</v>
      </c>
      <c r="B4748" s="60" t="str">
        <f t="shared" si="3401"/>
        <v>hide</v>
      </c>
      <c r="D4748" s="48" t="str">
        <f>D4747</f>
        <v>82100</v>
      </c>
      <c r="E4748" s="7"/>
      <c r="F4748" s="27">
        <v>0</v>
      </c>
      <c r="G4748" s="27">
        <v>0</v>
      </c>
      <c r="H4748" s="27">
        <v>0</v>
      </c>
      <c r="I4748" s="27">
        <v>0</v>
      </c>
      <c r="J4748" s="27">
        <v>0</v>
      </c>
      <c r="K4748" s="63">
        <f>AVERAGE(I4748:J4748)</f>
        <v>0</v>
      </c>
      <c r="L4748" s="56" t="str">
        <f>"SW-RISER-PACK"</f>
        <v>SW-RISER-PACK</v>
      </c>
      <c r="M4748" s="14"/>
      <c r="N4748" s="15"/>
      <c r="O4748" s="12"/>
      <c r="P4748" s="34"/>
      <c r="Q4748" s="37"/>
      <c r="R4748" s="47"/>
      <c r="S4748" s="46"/>
    </row>
    <row r="4749" spans="1:19" ht="12" hidden="1" customHeight="1" x14ac:dyDescent="0.3">
      <c r="A4749" s="35" t="s">
        <v>908</v>
      </c>
      <c r="B4749" s="49" t="str">
        <f>B4745</f>
        <v>hide</v>
      </c>
      <c r="N4749"/>
      <c r="Q4749" s="33"/>
    </row>
    <row r="4750" spans="1:19" ht="13.8" hidden="1" thickBot="1" x14ac:dyDescent="0.3">
      <c r="A4750" t="s">
        <v>23</v>
      </c>
      <c r="B4750" s="49" t="str">
        <f t="shared" ref="B4750" si="3402">B4749</f>
        <v>hide</v>
      </c>
      <c r="D4750" s="58"/>
      <c r="E4750" s="58"/>
      <c r="F4750" s="52">
        <f>SUM(F4745:F4749)</f>
        <v>0</v>
      </c>
      <c r="G4750" s="52">
        <f>SUM(G4745:G4749)</f>
        <v>0</v>
      </c>
      <c r="H4750" s="52">
        <f>SUM(H4745:H4749)</f>
        <v>0</v>
      </c>
      <c r="I4750" s="52">
        <f>SUM(I4745:I4749)</f>
        <v>0</v>
      </c>
      <c r="J4750" s="52">
        <f>SUM(J4745:J4749)</f>
        <v>0</v>
      </c>
      <c r="K4750" s="52"/>
      <c r="L4750" s="51" t="s">
        <v>4</v>
      </c>
      <c r="M4750" s="58"/>
      <c r="N4750" s="58"/>
      <c r="O4750" s="58"/>
      <c r="P4750" s="58"/>
      <c r="Q4750" s="58"/>
      <c r="R4750" s="58"/>
      <c r="S4750" s="58"/>
    </row>
    <row r="4751" spans="1:19" s="59" customFormat="1" ht="18.75" hidden="1" customHeight="1" thickBot="1" x14ac:dyDescent="0.3">
      <c r="A4751" s="59" t="s">
        <v>23</v>
      </c>
      <c r="B4751" s="60" t="str">
        <f t="shared" ref="B4751:B4752" si="3403">IF(K4751=0,"hide","")</f>
        <v>hide</v>
      </c>
      <c r="D4751" s="61" t="str">
        <f>"82136"</f>
        <v>82136</v>
      </c>
      <c r="E4751" s="62" t="str">
        <f>"1"</f>
        <v>1</v>
      </c>
      <c r="F4751" s="63">
        <v>0</v>
      </c>
      <c r="G4751" s="63">
        <v>0</v>
      </c>
      <c r="H4751" s="63">
        <v>0</v>
      </c>
      <c r="I4751" s="63">
        <v>0</v>
      </c>
      <c r="J4751" s="63">
        <v>0</v>
      </c>
      <c r="K4751" s="63">
        <f>AVERAGE(I4751:J4751)</f>
        <v>0</v>
      </c>
      <c r="L4751" s="64" t="str">
        <f>""</f>
        <v/>
      </c>
      <c r="M4751" s="65" t="str">
        <f>""</f>
        <v/>
      </c>
      <c r="N4751" s="66" t="str">
        <f>""</f>
        <v/>
      </c>
      <c r="O4751" s="67" t="str">
        <f>""</f>
        <v/>
      </c>
      <c r="P4751" s="68" t="e">
        <f>1/O4751</f>
        <v>#VALUE!</v>
      </c>
      <c r="Q4751" s="53">
        <v>1</v>
      </c>
      <c r="R4751" s="69">
        <f t="shared" ref="R4751" si="3404">1/Q4751</f>
        <v>1</v>
      </c>
      <c r="S4751" s="70" t="e">
        <f t="shared" ref="S4751" si="3405">R4751*N4751</f>
        <v>#VALUE!</v>
      </c>
    </row>
    <row r="4752" spans="1:19" ht="15.6" hidden="1" customHeight="1" thickBot="1" x14ac:dyDescent="0.3">
      <c r="A4752" t="s">
        <v>23</v>
      </c>
      <c r="B4752" s="60" t="str">
        <f t="shared" si="3403"/>
        <v>hide</v>
      </c>
      <c r="D4752" s="48" t="str">
        <f>D4751</f>
        <v>82136</v>
      </c>
      <c r="E4752" s="7"/>
      <c r="F4752" s="27">
        <v>0</v>
      </c>
      <c r="G4752" s="27">
        <v>0</v>
      </c>
      <c r="H4752" s="27">
        <v>0</v>
      </c>
      <c r="I4752" s="27">
        <v>0</v>
      </c>
      <c r="J4752" s="27">
        <v>0</v>
      </c>
      <c r="K4752" s="63">
        <f>AVERAGE(I4752:J4752)</f>
        <v>0</v>
      </c>
      <c r="L4752" s="56" t="str">
        <f>"EQP-LAWPACK1"</f>
        <v>EQP-LAWPACK1</v>
      </c>
      <c r="M4752" s="14"/>
      <c r="N4752" s="15"/>
      <c r="O4752" s="12"/>
      <c r="P4752" s="34"/>
      <c r="Q4752" s="37"/>
      <c r="R4752" s="47"/>
      <c r="S4752" s="46"/>
    </row>
    <row r="4753" spans="1:19" ht="15.6" hidden="1" customHeight="1" thickBot="1" x14ac:dyDescent="0.3">
      <c r="A4753" t="s">
        <v>23</v>
      </c>
      <c r="B4753" s="60" t="str">
        <f t="shared" ref="B4753:B4755" si="3406">IF(K4753=0,"hide","")</f>
        <v>hide</v>
      </c>
      <c r="D4753" s="48" t="str">
        <f>D4752</f>
        <v>82136</v>
      </c>
      <c r="E4753" s="7"/>
      <c r="F4753" s="27">
        <v>0</v>
      </c>
      <c r="G4753" s="27">
        <v>0</v>
      </c>
      <c r="H4753" s="27">
        <v>0</v>
      </c>
      <c r="I4753" s="27">
        <v>0</v>
      </c>
      <c r="J4753" s="27">
        <v>0</v>
      </c>
      <c r="K4753" s="63">
        <f>AVERAGE(I4753:J4753)</f>
        <v>0</v>
      </c>
      <c r="L4753" s="56" t="str">
        <f>"EQP-LAWPACK2"</f>
        <v>EQP-LAWPACK2</v>
      </c>
      <c r="M4753" s="14"/>
      <c r="N4753" s="15"/>
      <c r="O4753" s="12"/>
      <c r="P4753" s="34"/>
      <c r="Q4753" s="37"/>
      <c r="R4753" s="47"/>
      <c r="S4753" s="46"/>
    </row>
    <row r="4754" spans="1:19" ht="15.6" hidden="1" customHeight="1" thickBot="1" x14ac:dyDescent="0.3">
      <c r="A4754" t="s">
        <v>23</v>
      </c>
      <c r="B4754" s="60" t="str">
        <f t="shared" si="3406"/>
        <v>hide</v>
      </c>
      <c r="D4754" s="48" t="str">
        <f>D4753</f>
        <v>82136</v>
      </c>
      <c r="E4754" s="7"/>
      <c r="F4754" s="27">
        <v>0</v>
      </c>
      <c r="G4754" s="27">
        <v>0</v>
      </c>
      <c r="H4754" s="27">
        <v>0</v>
      </c>
      <c r="I4754" s="27">
        <v>0</v>
      </c>
      <c r="J4754" s="27">
        <v>0</v>
      </c>
      <c r="K4754" s="63">
        <f>AVERAGE(I4754:J4754)</f>
        <v>0</v>
      </c>
      <c r="L4754" s="56" t="str">
        <f>"SW-COMAS-PACKL"</f>
        <v>SW-COMAS-PACKL</v>
      </c>
      <c r="M4754" s="14"/>
      <c r="N4754" s="15"/>
      <c r="O4754" s="12"/>
      <c r="P4754" s="34"/>
      <c r="Q4754" s="37"/>
      <c r="R4754" s="47"/>
      <c r="S4754" s="46"/>
    </row>
    <row r="4755" spans="1:19" ht="15.6" hidden="1" customHeight="1" thickBot="1" x14ac:dyDescent="0.3">
      <c r="A4755" t="s">
        <v>23</v>
      </c>
      <c r="B4755" s="60" t="str">
        <f t="shared" si="3406"/>
        <v>hide</v>
      </c>
      <c r="D4755" s="48" t="str">
        <f>D4754</f>
        <v>82136</v>
      </c>
      <c r="E4755" s="7"/>
      <c r="F4755" s="27">
        <v>0</v>
      </c>
      <c r="G4755" s="27">
        <v>0</v>
      </c>
      <c r="H4755" s="27">
        <v>0</v>
      </c>
      <c r="I4755" s="27">
        <v>0</v>
      </c>
      <c r="J4755" s="27">
        <v>0</v>
      </c>
      <c r="K4755" s="63">
        <f>AVERAGE(I4755:J4755)</f>
        <v>0</v>
      </c>
      <c r="L4755" s="56" t="str">
        <f>"SW-RISER-PACK"</f>
        <v>SW-RISER-PACK</v>
      </c>
      <c r="M4755" s="14"/>
      <c r="N4755" s="15"/>
      <c r="O4755" s="12"/>
      <c r="P4755" s="34"/>
      <c r="Q4755" s="37"/>
      <c r="R4755" s="47"/>
      <c r="S4755" s="46"/>
    </row>
    <row r="4756" spans="1:19" ht="12" hidden="1" customHeight="1" x14ac:dyDescent="0.3">
      <c r="A4756" s="35" t="s">
        <v>908</v>
      </c>
      <c r="B4756" s="49" t="str">
        <f>B4752</f>
        <v>hide</v>
      </c>
      <c r="N4756"/>
      <c r="Q4756" s="33"/>
    </row>
    <row r="4757" spans="1:19" ht="13.8" hidden="1" thickBot="1" x14ac:dyDescent="0.3">
      <c r="A4757" t="s">
        <v>23</v>
      </c>
      <c r="B4757" s="49" t="str">
        <f t="shared" ref="B4757" si="3407">B4756</f>
        <v>hide</v>
      </c>
      <c r="D4757" s="58"/>
      <c r="E4757" s="58"/>
      <c r="F4757" s="52">
        <f>SUM(F4752:F4756)</f>
        <v>0</v>
      </c>
      <c r="G4757" s="52">
        <f>SUM(G4752:G4756)</f>
        <v>0</v>
      </c>
      <c r="H4757" s="52">
        <f>SUM(H4752:H4756)</f>
        <v>0</v>
      </c>
      <c r="I4757" s="52">
        <f>SUM(I4752:I4756)</f>
        <v>0</v>
      </c>
      <c r="J4757" s="52">
        <f>SUM(J4752:J4756)</f>
        <v>0</v>
      </c>
      <c r="K4757" s="52"/>
      <c r="L4757" s="51" t="s">
        <v>4</v>
      </c>
      <c r="M4757" s="58"/>
      <c r="N4757" s="58"/>
      <c r="O4757" s="58"/>
      <c r="P4757" s="58"/>
      <c r="Q4757" s="58"/>
      <c r="R4757" s="58"/>
      <c r="S4757" s="58"/>
    </row>
    <row r="4758" spans="1:19" s="59" customFormat="1" ht="18.75" hidden="1" customHeight="1" thickBot="1" x14ac:dyDescent="0.3">
      <c r="A4758" s="59" t="s">
        <v>23</v>
      </c>
      <c r="B4758" s="60" t="str">
        <f t="shared" ref="B4758:B4759" si="3408">IF(K4758=0,"hide","")</f>
        <v>hide</v>
      </c>
      <c r="D4758" s="61" t="str">
        <f>"82666"</f>
        <v>82666</v>
      </c>
      <c r="E4758" s="62" t="str">
        <f>"2"</f>
        <v>2</v>
      </c>
      <c r="F4758" s="63">
        <v>7.166666666666667</v>
      </c>
      <c r="G4758" s="63">
        <v>3.3333333333333335</v>
      </c>
      <c r="H4758" s="63">
        <v>0</v>
      </c>
      <c r="I4758" s="63">
        <v>0</v>
      </c>
      <c r="J4758" s="63">
        <v>0</v>
      </c>
      <c r="K4758" s="63">
        <f>AVERAGE(I4758:J4758)</f>
        <v>0</v>
      </c>
      <c r="L4758" s="64" t="str">
        <f>"WG Apple Cinn Mini Bites"</f>
        <v>WG Apple Cinn Mini Bites</v>
      </c>
      <c r="M4758" s="65" t="str">
        <f>"72-2 pack 2.5oz IW."</f>
        <v>72-2 pack 2.5oz IW.</v>
      </c>
      <c r="N4758" s="66">
        <v>72</v>
      </c>
      <c r="O4758" s="67" t="str">
        <f>""</f>
        <v/>
      </c>
      <c r="P4758" s="68" t="e">
        <f>1/O4758</f>
        <v>#VALUE!</v>
      </c>
      <c r="Q4758" s="53">
        <v>1</v>
      </c>
      <c r="R4758" s="69">
        <f t="shared" ref="R4758" si="3409">1/Q4758</f>
        <v>1</v>
      </c>
      <c r="S4758" s="70">
        <f t="shared" ref="S4758" si="3410">R4758*N4758</f>
        <v>72</v>
      </c>
    </row>
    <row r="4759" spans="1:19" ht="15.6" hidden="1" customHeight="1" thickBot="1" x14ac:dyDescent="0.3">
      <c r="A4759" t="s">
        <v>23</v>
      </c>
      <c r="B4759" s="60" t="str">
        <f t="shared" si="3408"/>
        <v>hide</v>
      </c>
      <c r="D4759" s="48" t="str">
        <f>D4758</f>
        <v>82666</v>
      </c>
      <c r="E4759" s="7"/>
      <c r="F4759" s="27">
        <v>0</v>
      </c>
      <c r="G4759" s="27">
        <v>0</v>
      </c>
      <c r="H4759" s="27">
        <v>0</v>
      </c>
      <c r="I4759" s="27">
        <v>0</v>
      </c>
      <c r="J4759" s="27">
        <v>0</v>
      </c>
      <c r="K4759" s="63">
        <f>AVERAGE(I4759:J4759)</f>
        <v>0</v>
      </c>
      <c r="L4759" s="56" t="str">
        <f>"EQP-LAWPACK1"</f>
        <v>EQP-LAWPACK1</v>
      </c>
      <c r="M4759" s="14"/>
      <c r="N4759" s="15"/>
      <c r="O4759" s="12"/>
      <c r="P4759" s="34"/>
      <c r="Q4759" s="37"/>
      <c r="R4759" s="47"/>
      <c r="S4759" s="46"/>
    </row>
    <row r="4760" spans="1:19" ht="15.6" hidden="1" customHeight="1" thickBot="1" x14ac:dyDescent="0.3">
      <c r="A4760" t="s">
        <v>23</v>
      </c>
      <c r="B4760" s="60" t="str">
        <f t="shared" ref="B4760:B4762" si="3411">IF(K4760=0,"hide","")</f>
        <v>hide</v>
      </c>
      <c r="D4760" s="48" t="str">
        <f>D4759</f>
        <v>82666</v>
      </c>
      <c r="E4760" s="7"/>
      <c r="F4760" s="27">
        <v>0</v>
      </c>
      <c r="G4760" s="27">
        <v>0</v>
      </c>
      <c r="H4760" s="27">
        <v>0</v>
      </c>
      <c r="I4760" s="27">
        <v>0</v>
      </c>
      <c r="J4760" s="27">
        <v>0</v>
      </c>
      <c r="K4760" s="63">
        <f>AVERAGE(I4760:J4760)</f>
        <v>0</v>
      </c>
      <c r="L4760" s="56" t="str">
        <f>"EQP-LAWPACK2"</f>
        <v>EQP-LAWPACK2</v>
      </c>
      <c r="M4760" s="14"/>
      <c r="N4760" s="15"/>
      <c r="O4760" s="12"/>
      <c r="P4760" s="34"/>
      <c r="Q4760" s="37"/>
      <c r="R4760" s="47"/>
      <c r="S4760" s="46"/>
    </row>
    <row r="4761" spans="1:19" ht="15.6" hidden="1" customHeight="1" thickBot="1" x14ac:dyDescent="0.3">
      <c r="A4761" t="s">
        <v>23</v>
      </c>
      <c r="B4761" s="60" t="str">
        <f t="shared" si="3411"/>
        <v>hide</v>
      </c>
      <c r="D4761" s="48" t="str">
        <f>D4760</f>
        <v>82666</v>
      </c>
      <c r="E4761" s="7"/>
      <c r="F4761" s="27">
        <v>0</v>
      </c>
      <c r="G4761" s="27">
        <v>0</v>
      </c>
      <c r="H4761" s="27">
        <v>0</v>
      </c>
      <c r="I4761" s="27">
        <v>0</v>
      </c>
      <c r="J4761" s="27">
        <v>0</v>
      </c>
      <c r="K4761" s="63">
        <f>AVERAGE(I4761:J4761)</f>
        <v>0</v>
      </c>
      <c r="L4761" s="56" t="str">
        <f>"SW-COMAS-PACKL"</f>
        <v>SW-COMAS-PACKL</v>
      </c>
      <c r="M4761" s="14"/>
      <c r="N4761" s="15"/>
      <c r="O4761" s="12"/>
      <c r="P4761" s="34"/>
      <c r="Q4761" s="37"/>
      <c r="R4761" s="47"/>
      <c r="S4761" s="46"/>
    </row>
    <row r="4762" spans="1:19" ht="15.6" hidden="1" customHeight="1" thickBot="1" x14ac:dyDescent="0.3">
      <c r="A4762" t="s">
        <v>23</v>
      </c>
      <c r="B4762" s="60" t="str">
        <f t="shared" si="3411"/>
        <v>hide</v>
      </c>
      <c r="D4762" s="48" t="str">
        <f>D4761</f>
        <v>82666</v>
      </c>
      <c r="E4762" s="7"/>
      <c r="F4762" s="27">
        <v>0</v>
      </c>
      <c r="G4762" s="27">
        <v>0</v>
      </c>
      <c r="H4762" s="27">
        <v>0</v>
      </c>
      <c r="I4762" s="27">
        <v>0</v>
      </c>
      <c r="J4762" s="27">
        <v>0</v>
      </c>
      <c r="K4762" s="63">
        <f>AVERAGE(I4762:J4762)</f>
        <v>0</v>
      </c>
      <c r="L4762" s="56" t="str">
        <f>"SW-RISER-PACK"</f>
        <v>SW-RISER-PACK</v>
      </c>
      <c r="M4762" s="14"/>
      <c r="N4762" s="15"/>
      <c r="O4762" s="12"/>
      <c r="P4762" s="34"/>
      <c r="Q4762" s="37"/>
      <c r="R4762" s="47"/>
      <c r="S4762" s="46"/>
    </row>
    <row r="4763" spans="1:19" ht="12" hidden="1" customHeight="1" x14ac:dyDescent="0.3">
      <c r="A4763" s="35" t="s">
        <v>908</v>
      </c>
      <c r="B4763" s="49" t="str">
        <f>B4759</f>
        <v>hide</v>
      </c>
      <c r="N4763"/>
      <c r="Q4763" s="33"/>
    </row>
    <row r="4764" spans="1:19" ht="13.8" hidden="1" thickBot="1" x14ac:dyDescent="0.3">
      <c r="A4764" t="s">
        <v>23</v>
      </c>
      <c r="B4764" s="49" t="str">
        <f t="shared" ref="B4764" si="3412">B4763</f>
        <v>hide</v>
      </c>
      <c r="D4764" s="58"/>
      <c r="E4764" s="58"/>
      <c r="F4764" s="52">
        <f>SUM(F4759:F4763)</f>
        <v>0</v>
      </c>
      <c r="G4764" s="52">
        <f>SUM(G4759:G4763)</f>
        <v>0</v>
      </c>
      <c r="H4764" s="52">
        <f>SUM(H4759:H4763)</f>
        <v>0</v>
      </c>
      <c r="I4764" s="52">
        <f>SUM(I4759:I4763)</f>
        <v>0</v>
      </c>
      <c r="J4764" s="52">
        <f>SUM(J4759:J4763)</f>
        <v>0</v>
      </c>
      <c r="K4764" s="52"/>
      <c r="L4764" s="51" t="s">
        <v>4</v>
      </c>
      <c r="M4764" s="58"/>
      <c r="N4764" s="58"/>
      <c r="O4764" s="58"/>
      <c r="P4764" s="58"/>
      <c r="Q4764" s="58"/>
      <c r="R4764" s="58"/>
      <c r="S4764" s="58"/>
    </row>
    <row r="4765" spans="1:19" s="59" customFormat="1" ht="18.75" hidden="1" customHeight="1" thickBot="1" x14ac:dyDescent="0.3">
      <c r="A4765" s="59" t="s">
        <v>23</v>
      </c>
      <c r="B4765" s="60" t="str">
        <f t="shared" ref="B4765:B4766" si="3413">IF(K4765=0,"hide","")</f>
        <v>hide</v>
      </c>
      <c r="D4765" s="61" t="str">
        <f>"84660"</f>
        <v>84660</v>
      </c>
      <c r="E4765" s="62" t="str">
        <f>"3"</f>
        <v>3</v>
      </c>
      <c r="F4765" s="63">
        <v>0</v>
      </c>
      <c r="G4765" s="63">
        <v>0</v>
      </c>
      <c r="H4765" s="63">
        <v>0</v>
      </c>
      <c r="I4765" s="63">
        <v>0</v>
      </c>
      <c r="J4765" s="63">
        <v>0</v>
      </c>
      <c r="K4765" s="63">
        <f>AVERAGE(I4765:J4765)</f>
        <v>0</v>
      </c>
      <c r="L4765" s="64" t="str">
        <f>"WH WH FR TOAST BAGEL"</f>
        <v>WH WH FR TOAST BAGEL</v>
      </c>
      <c r="M4765" s="65" t="str">
        <f>"84 -1.75 oz. Bulk Sliced"</f>
        <v>84 -1.75 oz. Bulk Sliced</v>
      </c>
      <c r="N4765" s="66">
        <v>84</v>
      </c>
      <c r="O4765" s="67" t="str">
        <f>""</f>
        <v/>
      </c>
      <c r="P4765" s="68" t="e">
        <f>1/O4765</f>
        <v>#VALUE!</v>
      </c>
      <c r="Q4765" s="53">
        <v>1</v>
      </c>
      <c r="R4765" s="69">
        <f t="shared" ref="R4765" si="3414">1/Q4765</f>
        <v>1</v>
      </c>
      <c r="S4765" s="70">
        <f t="shared" ref="S4765" si="3415">R4765*N4765</f>
        <v>84</v>
      </c>
    </row>
    <row r="4766" spans="1:19" ht="15.6" hidden="1" customHeight="1" thickBot="1" x14ac:dyDescent="0.3">
      <c r="A4766" t="s">
        <v>23</v>
      </c>
      <c r="B4766" s="60" t="str">
        <f t="shared" si="3413"/>
        <v>hide</v>
      </c>
      <c r="D4766" s="48" t="str">
        <f>D4765</f>
        <v>84660</v>
      </c>
      <c r="E4766" s="7"/>
      <c r="F4766" s="27">
        <v>0</v>
      </c>
      <c r="G4766" s="27">
        <v>0</v>
      </c>
      <c r="H4766" s="27">
        <v>0</v>
      </c>
      <c r="I4766" s="27">
        <v>0</v>
      </c>
      <c r="J4766" s="27">
        <v>0</v>
      </c>
      <c r="K4766" s="63">
        <f>AVERAGE(I4766:J4766)</f>
        <v>0</v>
      </c>
      <c r="L4766" s="56" t="str">
        <f>"EQP-LAWPACK1"</f>
        <v>EQP-LAWPACK1</v>
      </c>
      <c r="M4766" s="14"/>
      <c r="N4766" s="15"/>
      <c r="O4766" s="12"/>
      <c r="P4766" s="34"/>
      <c r="Q4766" s="37"/>
      <c r="R4766" s="47"/>
      <c r="S4766" s="46"/>
    </row>
    <row r="4767" spans="1:19" ht="15.6" hidden="1" customHeight="1" thickBot="1" x14ac:dyDescent="0.3">
      <c r="A4767" t="s">
        <v>23</v>
      </c>
      <c r="B4767" s="60" t="str">
        <f t="shared" ref="B4767:B4769" si="3416">IF(K4767=0,"hide","")</f>
        <v>hide</v>
      </c>
      <c r="D4767" s="48" t="str">
        <f>D4766</f>
        <v>84660</v>
      </c>
      <c r="E4767" s="7"/>
      <c r="F4767" s="27">
        <v>0</v>
      </c>
      <c r="G4767" s="27">
        <v>0</v>
      </c>
      <c r="H4767" s="27">
        <v>0</v>
      </c>
      <c r="I4767" s="27">
        <v>0</v>
      </c>
      <c r="J4767" s="27">
        <v>0</v>
      </c>
      <c r="K4767" s="63">
        <f>AVERAGE(I4767:J4767)</f>
        <v>0</v>
      </c>
      <c r="L4767" s="56" t="str">
        <f>"EQP-LAWPACK2"</f>
        <v>EQP-LAWPACK2</v>
      </c>
      <c r="M4767" s="14"/>
      <c r="N4767" s="15"/>
      <c r="O4767" s="12"/>
      <c r="P4767" s="34"/>
      <c r="Q4767" s="37"/>
      <c r="R4767" s="47"/>
      <c r="S4767" s="46"/>
    </row>
    <row r="4768" spans="1:19" ht="15.6" hidden="1" customHeight="1" thickBot="1" x14ac:dyDescent="0.3">
      <c r="A4768" t="s">
        <v>23</v>
      </c>
      <c r="B4768" s="60" t="str">
        <f t="shared" si="3416"/>
        <v>hide</v>
      </c>
      <c r="D4768" s="48" t="str">
        <f>D4767</f>
        <v>84660</v>
      </c>
      <c r="E4768" s="7"/>
      <c r="F4768" s="27">
        <v>0</v>
      </c>
      <c r="G4768" s="27">
        <v>0</v>
      </c>
      <c r="H4768" s="27">
        <v>0</v>
      </c>
      <c r="I4768" s="27">
        <v>0</v>
      </c>
      <c r="J4768" s="27">
        <v>0</v>
      </c>
      <c r="K4768" s="63">
        <f>AVERAGE(I4768:J4768)</f>
        <v>0</v>
      </c>
      <c r="L4768" s="56" t="str">
        <f>"SW-COMAS-PACKL"</f>
        <v>SW-COMAS-PACKL</v>
      </c>
      <c r="M4768" s="14"/>
      <c r="N4768" s="15"/>
      <c r="O4768" s="12"/>
      <c r="P4768" s="34"/>
      <c r="Q4768" s="37"/>
      <c r="R4768" s="47"/>
      <c r="S4768" s="46"/>
    </row>
    <row r="4769" spans="1:19" ht="15.6" hidden="1" customHeight="1" thickBot="1" x14ac:dyDescent="0.3">
      <c r="A4769" t="s">
        <v>23</v>
      </c>
      <c r="B4769" s="60" t="str">
        <f t="shared" si="3416"/>
        <v>hide</v>
      </c>
      <c r="D4769" s="48" t="str">
        <f>D4768</f>
        <v>84660</v>
      </c>
      <c r="E4769" s="7"/>
      <c r="F4769" s="27">
        <v>0</v>
      </c>
      <c r="G4769" s="27">
        <v>0</v>
      </c>
      <c r="H4769" s="27">
        <v>0</v>
      </c>
      <c r="I4769" s="27">
        <v>0</v>
      </c>
      <c r="J4769" s="27">
        <v>0</v>
      </c>
      <c r="K4769" s="63">
        <f>AVERAGE(I4769:J4769)</f>
        <v>0</v>
      </c>
      <c r="L4769" s="56" t="str">
        <f>"SW-RISER-PACK"</f>
        <v>SW-RISER-PACK</v>
      </c>
      <c r="M4769" s="14"/>
      <c r="N4769" s="15"/>
      <c r="O4769" s="12"/>
      <c r="P4769" s="34"/>
      <c r="Q4769" s="37"/>
      <c r="R4769" s="47"/>
      <c r="S4769" s="46"/>
    </row>
    <row r="4770" spans="1:19" ht="12" hidden="1" customHeight="1" x14ac:dyDescent="0.3">
      <c r="A4770" s="35" t="s">
        <v>908</v>
      </c>
      <c r="B4770" s="49" t="str">
        <f>B4766</f>
        <v>hide</v>
      </c>
      <c r="N4770"/>
      <c r="Q4770" s="33"/>
    </row>
    <row r="4771" spans="1:19" ht="13.8" hidden="1" thickBot="1" x14ac:dyDescent="0.3">
      <c r="A4771" t="s">
        <v>23</v>
      </c>
      <c r="B4771" s="49" t="str">
        <f t="shared" ref="B4771" si="3417">B4770</f>
        <v>hide</v>
      </c>
      <c r="D4771" s="58"/>
      <c r="E4771" s="58"/>
      <c r="F4771" s="52">
        <f>SUM(F4766:F4770)</f>
        <v>0</v>
      </c>
      <c r="G4771" s="52">
        <f>SUM(G4766:G4770)</f>
        <v>0</v>
      </c>
      <c r="H4771" s="52">
        <f>SUM(H4766:H4770)</f>
        <v>0</v>
      </c>
      <c r="I4771" s="52">
        <f>SUM(I4766:I4770)</f>
        <v>0</v>
      </c>
      <c r="J4771" s="52">
        <f>SUM(J4766:J4770)</f>
        <v>0</v>
      </c>
      <c r="K4771" s="52"/>
      <c r="L4771" s="51" t="s">
        <v>4</v>
      </c>
      <c r="M4771" s="58"/>
      <c r="N4771" s="58"/>
      <c r="O4771" s="58"/>
      <c r="P4771" s="58"/>
      <c r="Q4771" s="58"/>
      <c r="R4771" s="58"/>
      <c r="S4771" s="58"/>
    </row>
    <row r="4772" spans="1:19" s="59" customFormat="1" ht="18.75" hidden="1" customHeight="1" thickBot="1" x14ac:dyDescent="0.3">
      <c r="A4772" s="59" t="s">
        <v>23</v>
      </c>
      <c r="B4772" s="60" t="str">
        <f t="shared" ref="B4772:B4773" si="3418">IF(K4772=0,"hide","")</f>
        <v>hide</v>
      </c>
      <c r="D4772" s="61" t="str">
        <f>"85101"</f>
        <v>85101</v>
      </c>
      <c r="E4772" s="62" t="str">
        <f>"2"</f>
        <v>2</v>
      </c>
      <c r="F4772" s="63">
        <v>0</v>
      </c>
      <c r="G4772" s="63">
        <v>0</v>
      </c>
      <c r="H4772" s="63">
        <v>0</v>
      </c>
      <c r="I4772" s="63">
        <v>0</v>
      </c>
      <c r="J4772" s="63">
        <v>0</v>
      </c>
      <c r="K4772" s="63">
        <f>AVERAGE(I4772:J4772)</f>
        <v>0</v>
      </c>
      <c r="L4772" s="64" t="str">
        <f>"BLUEBERRY BAGEL DOUGH"</f>
        <v>BLUEBERRY BAGEL DOUGH</v>
      </c>
      <c r="M4772" s="65" t="str">
        <f>"120-5 oz. Bulk"</f>
        <v>120-5 oz. Bulk</v>
      </c>
      <c r="N4772" s="66">
        <v>120</v>
      </c>
      <c r="O4772" s="67" t="str">
        <f>""</f>
        <v/>
      </c>
      <c r="P4772" s="68" t="e">
        <f>1/O4772</f>
        <v>#VALUE!</v>
      </c>
      <c r="Q4772" s="53">
        <v>1</v>
      </c>
      <c r="R4772" s="69">
        <f t="shared" ref="R4772" si="3419">1/Q4772</f>
        <v>1</v>
      </c>
      <c r="S4772" s="70">
        <f t="shared" ref="S4772" si="3420">R4772*N4772</f>
        <v>120</v>
      </c>
    </row>
    <row r="4773" spans="1:19" ht="15.6" hidden="1" customHeight="1" thickBot="1" x14ac:dyDescent="0.3">
      <c r="A4773" t="s">
        <v>23</v>
      </c>
      <c r="B4773" s="60" t="str">
        <f t="shared" si="3418"/>
        <v>hide</v>
      </c>
      <c r="D4773" s="48" t="str">
        <f>D4772</f>
        <v>85101</v>
      </c>
      <c r="E4773" s="7"/>
      <c r="F4773" s="27">
        <v>0</v>
      </c>
      <c r="G4773" s="27">
        <v>0</v>
      </c>
      <c r="H4773" s="27">
        <v>0</v>
      </c>
      <c r="I4773" s="27">
        <v>0</v>
      </c>
      <c r="J4773" s="27">
        <v>0</v>
      </c>
      <c r="K4773" s="63">
        <f>AVERAGE(I4773:J4773)</f>
        <v>0</v>
      </c>
      <c r="L4773" s="56" t="str">
        <f>"EQP-LAWPACK1"</f>
        <v>EQP-LAWPACK1</v>
      </c>
      <c r="M4773" s="14"/>
      <c r="N4773" s="15"/>
      <c r="O4773" s="12"/>
      <c r="P4773" s="34"/>
      <c r="Q4773" s="37"/>
      <c r="R4773" s="47"/>
      <c r="S4773" s="46"/>
    </row>
    <row r="4774" spans="1:19" ht="15.6" hidden="1" customHeight="1" thickBot="1" x14ac:dyDescent="0.3">
      <c r="A4774" t="s">
        <v>23</v>
      </c>
      <c r="B4774" s="60" t="str">
        <f t="shared" ref="B4774:B4776" si="3421">IF(K4774=0,"hide","")</f>
        <v>hide</v>
      </c>
      <c r="D4774" s="48" t="str">
        <f>D4773</f>
        <v>85101</v>
      </c>
      <c r="E4774" s="7"/>
      <c r="F4774" s="27">
        <v>0</v>
      </c>
      <c r="G4774" s="27">
        <v>0</v>
      </c>
      <c r="H4774" s="27">
        <v>0</v>
      </c>
      <c r="I4774" s="27">
        <v>0</v>
      </c>
      <c r="J4774" s="27">
        <v>0</v>
      </c>
      <c r="K4774" s="63">
        <f>AVERAGE(I4774:J4774)</f>
        <v>0</v>
      </c>
      <c r="L4774" s="56" t="str">
        <f>"EQP-LAWPACK2"</f>
        <v>EQP-LAWPACK2</v>
      </c>
      <c r="M4774" s="14"/>
      <c r="N4774" s="15"/>
      <c r="O4774" s="12"/>
      <c r="P4774" s="34"/>
      <c r="Q4774" s="37"/>
      <c r="R4774" s="47"/>
      <c r="S4774" s="46"/>
    </row>
    <row r="4775" spans="1:19" ht="15.6" hidden="1" customHeight="1" thickBot="1" x14ac:dyDescent="0.3">
      <c r="A4775" t="s">
        <v>23</v>
      </c>
      <c r="B4775" s="60" t="str">
        <f t="shared" si="3421"/>
        <v>hide</v>
      </c>
      <c r="D4775" s="48" t="str">
        <f>D4774</f>
        <v>85101</v>
      </c>
      <c r="E4775" s="7"/>
      <c r="F4775" s="27">
        <v>0</v>
      </c>
      <c r="G4775" s="27">
        <v>0</v>
      </c>
      <c r="H4775" s="27">
        <v>0</v>
      </c>
      <c r="I4775" s="27">
        <v>0</v>
      </c>
      <c r="J4775" s="27">
        <v>0</v>
      </c>
      <c r="K4775" s="63">
        <f>AVERAGE(I4775:J4775)</f>
        <v>0</v>
      </c>
      <c r="L4775" s="56" t="str">
        <f>"SW-COMAS-PACKL"</f>
        <v>SW-COMAS-PACKL</v>
      </c>
      <c r="M4775" s="14"/>
      <c r="N4775" s="15"/>
      <c r="O4775" s="12"/>
      <c r="P4775" s="34"/>
      <c r="Q4775" s="37"/>
      <c r="R4775" s="47"/>
      <c r="S4775" s="46"/>
    </row>
    <row r="4776" spans="1:19" ht="15.6" hidden="1" customHeight="1" thickBot="1" x14ac:dyDescent="0.3">
      <c r="A4776" t="s">
        <v>23</v>
      </c>
      <c r="B4776" s="60" t="str">
        <f t="shared" si="3421"/>
        <v>hide</v>
      </c>
      <c r="D4776" s="48" t="str">
        <f>D4775</f>
        <v>85101</v>
      </c>
      <c r="E4776" s="7"/>
      <c r="F4776" s="27">
        <v>0</v>
      </c>
      <c r="G4776" s="27">
        <v>0</v>
      </c>
      <c r="H4776" s="27">
        <v>0</v>
      </c>
      <c r="I4776" s="27">
        <v>0</v>
      </c>
      <c r="J4776" s="27">
        <v>0</v>
      </c>
      <c r="K4776" s="63">
        <f>AVERAGE(I4776:J4776)</f>
        <v>0</v>
      </c>
      <c r="L4776" s="56" t="str">
        <f>"SW-RISER-PACK"</f>
        <v>SW-RISER-PACK</v>
      </c>
      <c r="M4776" s="14"/>
      <c r="N4776" s="15"/>
      <c r="O4776" s="12"/>
      <c r="P4776" s="34"/>
      <c r="Q4776" s="37"/>
      <c r="R4776" s="47"/>
      <c r="S4776" s="46"/>
    </row>
    <row r="4777" spans="1:19" ht="12" hidden="1" customHeight="1" x14ac:dyDescent="0.3">
      <c r="A4777" s="35" t="s">
        <v>908</v>
      </c>
      <c r="B4777" s="49" t="str">
        <f>B4773</f>
        <v>hide</v>
      </c>
      <c r="N4777"/>
      <c r="Q4777" s="33"/>
    </row>
    <row r="4778" spans="1:19" ht="13.8" hidden="1" thickBot="1" x14ac:dyDescent="0.3">
      <c r="A4778" t="s">
        <v>23</v>
      </c>
      <c r="B4778" s="49" t="str">
        <f t="shared" ref="B4778" si="3422">B4777</f>
        <v>hide</v>
      </c>
      <c r="D4778" s="58"/>
      <c r="E4778" s="58"/>
      <c r="F4778" s="52">
        <f>SUM(F4773:F4777)</f>
        <v>0</v>
      </c>
      <c r="G4778" s="52">
        <f>SUM(G4773:G4777)</f>
        <v>0</v>
      </c>
      <c r="H4778" s="52">
        <f>SUM(H4773:H4777)</f>
        <v>0</v>
      </c>
      <c r="I4778" s="52">
        <f>SUM(I4773:I4777)</f>
        <v>0</v>
      </c>
      <c r="J4778" s="52">
        <f>SUM(J4773:J4777)</f>
        <v>0</v>
      </c>
      <c r="K4778" s="52"/>
      <c r="L4778" s="51" t="s">
        <v>4</v>
      </c>
      <c r="M4778" s="58"/>
      <c r="N4778" s="58"/>
      <c r="O4778" s="58"/>
      <c r="P4778" s="58"/>
      <c r="Q4778" s="58"/>
      <c r="R4778" s="58"/>
      <c r="S4778" s="58"/>
    </row>
    <row r="4779" spans="1:19" s="59" customFormat="1" ht="18.75" hidden="1" customHeight="1" thickBot="1" x14ac:dyDescent="0.3">
      <c r="A4779" s="59" t="s">
        <v>23</v>
      </c>
      <c r="B4779" s="60" t="str">
        <f t="shared" ref="B4779:B4780" si="3423">IF(K4779=0,"hide","")</f>
        <v>hide</v>
      </c>
      <c r="D4779" s="61" t="str">
        <f>"85116"</f>
        <v>85116</v>
      </c>
      <c r="E4779" s="62" t="str">
        <f>"3"</f>
        <v>3</v>
      </c>
      <c r="F4779" s="63">
        <v>2.25</v>
      </c>
      <c r="G4779" s="63">
        <v>0</v>
      </c>
      <c r="H4779" s="63">
        <v>0</v>
      </c>
      <c r="I4779" s="63">
        <v>0</v>
      </c>
      <c r="J4779" s="63">
        <v>0</v>
      </c>
      <c r="K4779" s="63">
        <f>AVERAGE(I4779:J4779)</f>
        <v>0</v>
      </c>
      <c r="L4779" s="64" t="str">
        <f>"CINNAMON RAISIN BAGEL DOUGH"</f>
        <v>CINNAMON RAISIN BAGEL DOUGH</v>
      </c>
      <c r="M4779" s="65" t="str">
        <f>"120-5 oz. Bulk"</f>
        <v>120-5 oz. Bulk</v>
      </c>
      <c r="N4779" s="66">
        <v>120</v>
      </c>
      <c r="O4779" s="67" t="str">
        <f>""</f>
        <v/>
      </c>
      <c r="P4779" s="68" t="e">
        <f>1/O4779</f>
        <v>#VALUE!</v>
      </c>
      <c r="Q4779" s="53">
        <v>1</v>
      </c>
      <c r="R4779" s="69">
        <f t="shared" ref="R4779" si="3424">1/Q4779</f>
        <v>1</v>
      </c>
      <c r="S4779" s="70">
        <f t="shared" ref="S4779" si="3425">R4779*N4779</f>
        <v>120</v>
      </c>
    </row>
    <row r="4780" spans="1:19" ht="15.6" hidden="1" customHeight="1" thickBot="1" x14ac:dyDescent="0.3">
      <c r="A4780" t="s">
        <v>23</v>
      </c>
      <c r="B4780" s="60" t="str">
        <f t="shared" si="3423"/>
        <v>hide</v>
      </c>
      <c r="D4780" s="48" t="str">
        <f>D4779</f>
        <v>85116</v>
      </c>
      <c r="E4780" s="7"/>
      <c r="F4780" s="27">
        <v>0</v>
      </c>
      <c r="G4780" s="27">
        <v>0</v>
      </c>
      <c r="H4780" s="27">
        <v>0</v>
      </c>
      <c r="I4780" s="27">
        <v>0</v>
      </c>
      <c r="J4780" s="27">
        <v>0</v>
      </c>
      <c r="K4780" s="63">
        <f>AVERAGE(I4780:J4780)</f>
        <v>0</v>
      </c>
      <c r="L4780" s="56" t="str">
        <f>"EQP-LAWPACK1"</f>
        <v>EQP-LAWPACK1</v>
      </c>
      <c r="M4780" s="14"/>
      <c r="N4780" s="15"/>
      <c r="O4780" s="12"/>
      <c r="P4780" s="34"/>
      <c r="Q4780" s="37"/>
      <c r="R4780" s="47"/>
      <c r="S4780" s="46"/>
    </row>
    <row r="4781" spans="1:19" ht="15.6" hidden="1" customHeight="1" thickBot="1" x14ac:dyDescent="0.3">
      <c r="A4781" t="s">
        <v>23</v>
      </c>
      <c r="B4781" s="60" t="str">
        <f t="shared" ref="B4781:B4783" si="3426">IF(K4781=0,"hide","")</f>
        <v>hide</v>
      </c>
      <c r="D4781" s="48" t="str">
        <f>D4780</f>
        <v>85116</v>
      </c>
      <c r="E4781" s="7"/>
      <c r="F4781" s="27">
        <v>0</v>
      </c>
      <c r="G4781" s="27">
        <v>0</v>
      </c>
      <c r="H4781" s="27">
        <v>0</v>
      </c>
      <c r="I4781" s="27">
        <v>0</v>
      </c>
      <c r="J4781" s="27">
        <v>0</v>
      </c>
      <c r="K4781" s="63">
        <f>AVERAGE(I4781:J4781)</f>
        <v>0</v>
      </c>
      <c r="L4781" s="56" t="str">
        <f>"EQP-LAWPACK2"</f>
        <v>EQP-LAWPACK2</v>
      </c>
      <c r="M4781" s="14"/>
      <c r="N4781" s="15"/>
      <c r="O4781" s="12"/>
      <c r="P4781" s="34"/>
      <c r="Q4781" s="37"/>
      <c r="R4781" s="47"/>
      <c r="S4781" s="46"/>
    </row>
    <row r="4782" spans="1:19" ht="15.6" hidden="1" customHeight="1" thickBot="1" x14ac:dyDescent="0.3">
      <c r="A4782" t="s">
        <v>23</v>
      </c>
      <c r="B4782" s="60" t="str">
        <f t="shared" si="3426"/>
        <v>hide</v>
      </c>
      <c r="D4782" s="48" t="str">
        <f>D4781</f>
        <v>85116</v>
      </c>
      <c r="E4782" s="7"/>
      <c r="F4782" s="27">
        <v>0</v>
      </c>
      <c r="G4782" s="27">
        <v>0</v>
      </c>
      <c r="H4782" s="27">
        <v>0</v>
      </c>
      <c r="I4782" s="27">
        <v>0</v>
      </c>
      <c r="J4782" s="27">
        <v>0</v>
      </c>
      <c r="K4782" s="63">
        <f>AVERAGE(I4782:J4782)</f>
        <v>0</v>
      </c>
      <c r="L4782" s="56" t="str">
        <f>"SW-COMAS-PACKL"</f>
        <v>SW-COMAS-PACKL</v>
      </c>
      <c r="M4782" s="14"/>
      <c r="N4782" s="15"/>
      <c r="O4782" s="12"/>
      <c r="P4782" s="34"/>
      <c r="Q4782" s="37"/>
      <c r="R4782" s="47"/>
      <c r="S4782" s="46"/>
    </row>
    <row r="4783" spans="1:19" ht="15.6" hidden="1" customHeight="1" thickBot="1" x14ac:dyDescent="0.3">
      <c r="A4783" t="s">
        <v>23</v>
      </c>
      <c r="B4783" s="60" t="str">
        <f t="shared" si="3426"/>
        <v>hide</v>
      </c>
      <c r="D4783" s="48" t="str">
        <f>D4782</f>
        <v>85116</v>
      </c>
      <c r="E4783" s="7"/>
      <c r="F4783" s="27">
        <v>0</v>
      </c>
      <c r="G4783" s="27">
        <v>0</v>
      </c>
      <c r="H4783" s="27">
        <v>0</v>
      </c>
      <c r="I4783" s="27">
        <v>0</v>
      </c>
      <c r="J4783" s="27">
        <v>0</v>
      </c>
      <c r="K4783" s="63">
        <f>AVERAGE(I4783:J4783)</f>
        <v>0</v>
      </c>
      <c r="L4783" s="56" t="str">
        <f>"SW-RISER-PACK"</f>
        <v>SW-RISER-PACK</v>
      </c>
      <c r="M4783" s="14"/>
      <c r="N4783" s="15"/>
      <c r="O4783" s="12"/>
      <c r="P4783" s="34"/>
      <c r="Q4783" s="37"/>
      <c r="R4783" s="47"/>
      <c r="S4783" s="46"/>
    </row>
    <row r="4784" spans="1:19" ht="12" hidden="1" customHeight="1" x14ac:dyDescent="0.3">
      <c r="A4784" s="35" t="s">
        <v>908</v>
      </c>
      <c r="B4784" s="49" t="str">
        <f>B4780</f>
        <v>hide</v>
      </c>
      <c r="N4784"/>
      <c r="Q4784" s="33"/>
    </row>
    <row r="4785" spans="1:19" ht="13.8" hidden="1" thickBot="1" x14ac:dyDescent="0.3">
      <c r="A4785" t="s">
        <v>23</v>
      </c>
      <c r="B4785" s="49" t="str">
        <f t="shared" ref="B4785" si="3427">B4784</f>
        <v>hide</v>
      </c>
      <c r="D4785" s="58"/>
      <c r="E4785" s="58"/>
      <c r="F4785" s="52">
        <f>SUM(F4780:F4784)</f>
        <v>0</v>
      </c>
      <c r="G4785" s="52">
        <f>SUM(G4780:G4784)</f>
        <v>0</v>
      </c>
      <c r="H4785" s="52">
        <f>SUM(H4780:H4784)</f>
        <v>0</v>
      </c>
      <c r="I4785" s="52">
        <f>SUM(I4780:I4784)</f>
        <v>0</v>
      </c>
      <c r="J4785" s="52">
        <f>SUM(J4780:J4784)</f>
        <v>0</v>
      </c>
      <c r="K4785" s="52"/>
      <c r="L4785" s="51" t="s">
        <v>4</v>
      </c>
      <c r="M4785" s="58"/>
      <c r="N4785" s="58"/>
      <c r="O4785" s="58"/>
      <c r="P4785" s="58"/>
      <c r="Q4785" s="58"/>
      <c r="R4785" s="58"/>
      <c r="S4785" s="58"/>
    </row>
    <row r="4786" spans="1:19" s="59" customFormat="1" ht="18.75" hidden="1" customHeight="1" thickBot="1" x14ac:dyDescent="0.3">
      <c r="A4786" s="59" t="s">
        <v>23</v>
      </c>
      <c r="B4786" s="60" t="str">
        <f t="shared" ref="B4786:B4787" si="3428">IF(K4786=0,"hide","")</f>
        <v>hide</v>
      </c>
      <c r="D4786" s="61" t="str">
        <f>"85125"</f>
        <v>85125</v>
      </c>
      <c r="E4786" s="62" t="str">
        <f>"2"</f>
        <v>2</v>
      </c>
      <c r="F4786" s="63">
        <v>1.5833333333333333</v>
      </c>
      <c r="G4786" s="63">
        <v>0</v>
      </c>
      <c r="H4786" s="63">
        <v>0</v>
      </c>
      <c r="I4786" s="63">
        <v>0</v>
      </c>
      <c r="J4786" s="63">
        <v>0</v>
      </c>
      <c r="K4786" s="63">
        <f>AVERAGE(I4786:J4786)</f>
        <v>0</v>
      </c>
      <c r="L4786" s="64" t="str">
        <f>"Jalapeno Cheddar BAGEL DOUGH"</f>
        <v>Jalapeno Cheddar BAGEL DOUGH</v>
      </c>
      <c r="M4786" s="65" t="str">
        <f>"120-5 oz. Bulk"</f>
        <v>120-5 oz. Bulk</v>
      </c>
      <c r="N4786" s="66">
        <v>120</v>
      </c>
      <c r="O4786" s="67" t="str">
        <f>""</f>
        <v/>
      </c>
      <c r="P4786" s="68" t="e">
        <f>1/O4786</f>
        <v>#VALUE!</v>
      </c>
      <c r="Q4786" s="53">
        <v>1</v>
      </c>
      <c r="R4786" s="69">
        <f t="shared" ref="R4786" si="3429">1/Q4786</f>
        <v>1</v>
      </c>
      <c r="S4786" s="70">
        <f t="shared" ref="S4786" si="3430">R4786*N4786</f>
        <v>120</v>
      </c>
    </row>
    <row r="4787" spans="1:19" ht="15.6" hidden="1" customHeight="1" thickBot="1" x14ac:dyDescent="0.3">
      <c r="A4787" t="s">
        <v>23</v>
      </c>
      <c r="B4787" s="60" t="str">
        <f t="shared" si="3428"/>
        <v>hide</v>
      </c>
      <c r="D4787" s="48" t="str">
        <f>D4786</f>
        <v>85125</v>
      </c>
      <c r="E4787" s="7"/>
      <c r="F4787" s="27">
        <v>0</v>
      </c>
      <c r="G4787" s="27">
        <v>0</v>
      </c>
      <c r="H4787" s="27">
        <v>0</v>
      </c>
      <c r="I4787" s="27">
        <v>0</v>
      </c>
      <c r="J4787" s="27">
        <v>0</v>
      </c>
      <c r="K4787" s="63">
        <f>AVERAGE(I4787:J4787)</f>
        <v>0</v>
      </c>
      <c r="L4787" s="56" t="str">
        <f>"EQP-LAWPACK1"</f>
        <v>EQP-LAWPACK1</v>
      </c>
      <c r="M4787" s="14"/>
      <c r="N4787" s="15"/>
      <c r="O4787" s="12"/>
      <c r="P4787" s="34"/>
      <c r="Q4787" s="37"/>
      <c r="R4787" s="47"/>
      <c r="S4787" s="46"/>
    </row>
    <row r="4788" spans="1:19" ht="15.6" hidden="1" customHeight="1" thickBot="1" x14ac:dyDescent="0.3">
      <c r="A4788" t="s">
        <v>23</v>
      </c>
      <c r="B4788" s="60" t="str">
        <f t="shared" ref="B4788:B4790" si="3431">IF(K4788=0,"hide","")</f>
        <v>hide</v>
      </c>
      <c r="D4788" s="48" t="str">
        <f>D4787</f>
        <v>85125</v>
      </c>
      <c r="E4788" s="7"/>
      <c r="F4788" s="27">
        <v>0</v>
      </c>
      <c r="G4788" s="27">
        <v>0</v>
      </c>
      <c r="H4788" s="27">
        <v>0</v>
      </c>
      <c r="I4788" s="27">
        <v>0</v>
      </c>
      <c r="J4788" s="27">
        <v>0</v>
      </c>
      <c r="K4788" s="63">
        <f>AVERAGE(I4788:J4788)</f>
        <v>0</v>
      </c>
      <c r="L4788" s="56" t="str">
        <f>"EQP-LAWPACK2"</f>
        <v>EQP-LAWPACK2</v>
      </c>
      <c r="M4788" s="14"/>
      <c r="N4788" s="15"/>
      <c r="O4788" s="12"/>
      <c r="P4788" s="34"/>
      <c r="Q4788" s="37"/>
      <c r="R4788" s="47"/>
      <c r="S4788" s="46"/>
    </row>
    <row r="4789" spans="1:19" ht="15.6" hidden="1" customHeight="1" thickBot="1" x14ac:dyDescent="0.3">
      <c r="A4789" t="s">
        <v>23</v>
      </c>
      <c r="B4789" s="60" t="str">
        <f t="shared" si="3431"/>
        <v>hide</v>
      </c>
      <c r="D4789" s="48" t="str">
        <f>D4788</f>
        <v>85125</v>
      </c>
      <c r="E4789" s="7"/>
      <c r="F4789" s="27">
        <v>0</v>
      </c>
      <c r="G4789" s="27">
        <v>0</v>
      </c>
      <c r="H4789" s="27">
        <v>0</v>
      </c>
      <c r="I4789" s="27">
        <v>0</v>
      </c>
      <c r="J4789" s="27">
        <v>0</v>
      </c>
      <c r="K4789" s="63">
        <f>AVERAGE(I4789:J4789)</f>
        <v>0</v>
      </c>
      <c r="L4789" s="56" t="str">
        <f>"SW-COMAS-PACKL"</f>
        <v>SW-COMAS-PACKL</v>
      </c>
      <c r="M4789" s="14"/>
      <c r="N4789" s="15"/>
      <c r="O4789" s="12"/>
      <c r="P4789" s="34"/>
      <c r="Q4789" s="37"/>
      <c r="R4789" s="47"/>
      <c r="S4789" s="46"/>
    </row>
    <row r="4790" spans="1:19" ht="15.6" hidden="1" customHeight="1" thickBot="1" x14ac:dyDescent="0.3">
      <c r="A4790" t="s">
        <v>23</v>
      </c>
      <c r="B4790" s="60" t="str">
        <f t="shared" si="3431"/>
        <v>hide</v>
      </c>
      <c r="D4790" s="48" t="str">
        <f>D4789</f>
        <v>85125</v>
      </c>
      <c r="E4790" s="7"/>
      <c r="F4790" s="27">
        <v>0</v>
      </c>
      <c r="G4790" s="27">
        <v>0</v>
      </c>
      <c r="H4790" s="27">
        <v>0</v>
      </c>
      <c r="I4790" s="27">
        <v>0</v>
      </c>
      <c r="J4790" s="27">
        <v>0</v>
      </c>
      <c r="K4790" s="63">
        <f>AVERAGE(I4790:J4790)</f>
        <v>0</v>
      </c>
      <c r="L4790" s="56" t="str">
        <f>"SW-RISER-PACK"</f>
        <v>SW-RISER-PACK</v>
      </c>
      <c r="M4790" s="14"/>
      <c r="N4790" s="15"/>
      <c r="O4790" s="12"/>
      <c r="P4790" s="34"/>
      <c r="Q4790" s="37"/>
      <c r="R4790" s="47"/>
      <c r="S4790" s="46"/>
    </row>
    <row r="4791" spans="1:19" ht="12" hidden="1" customHeight="1" x14ac:dyDescent="0.3">
      <c r="A4791" s="35" t="s">
        <v>908</v>
      </c>
      <c r="B4791" s="49" t="str">
        <f>B4787</f>
        <v>hide</v>
      </c>
      <c r="N4791"/>
      <c r="Q4791" s="33"/>
    </row>
    <row r="4792" spans="1:19" ht="13.8" hidden="1" thickBot="1" x14ac:dyDescent="0.3">
      <c r="A4792" t="s">
        <v>23</v>
      </c>
      <c r="B4792" s="49" t="str">
        <f t="shared" ref="B4792" si="3432">B4791</f>
        <v>hide</v>
      </c>
      <c r="D4792" s="58"/>
      <c r="E4792" s="58"/>
      <c r="F4792" s="52">
        <f>SUM(F4787:F4791)</f>
        <v>0</v>
      </c>
      <c r="G4792" s="52">
        <f>SUM(G4787:G4791)</f>
        <v>0</v>
      </c>
      <c r="H4792" s="52">
        <f>SUM(H4787:H4791)</f>
        <v>0</v>
      </c>
      <c r="I4792" s="52">
        <f>SUM(I4787:I4791)</f>
        <v>0</v>
      </c>
      <c r="J4792" s="52">
        <f>SUM(J4787:J4791)</f>
        <v>0</v>
      </c>
      <c r="K4792" s="52"/>
      <c r="L4792" s="51" t="s">
        <v>4</v>
      </c>
      <c r="M4792" s="58"/>
      <c r="N4792" s="58"/>
      <c r="O4792" s="58"/>
      <c r="P4792" s="58"/>
      <c r="Q4792" s="58"/>
      <c r="R4792" s="58"/>
      <c r="S4792" s="58"/>
    </row>
    <row r="4793" spans="1:19" s="59" customFormat="1" ht="18.75" hidden="1" customHeight="1" thickBot="1" x14ac:dyDescent="0.3">
      <c r="A4793" s="59" t="s">
        <v>23</v>
      </c>
      <c r="B4793" s="60" t="str">
        <f t="shared" ref="B4793:B4794" si="3433">IF(K4793=0,"hide","")</f>
        <v>hide</v>
      </c>
      <c r="D4793" s="61" t="str">
        <f>"85126"</f>
        <v>85126</v>
      </c>
      <c r="E4793" s="62" t="str">
        <f>"2"</f>
        <v>2</v>
      </c>
      <c r="F4793" s="63">
        <v>0</v>
      </c>
      <c r="G4793" s="63">
        <v>0</v>
      </c>
      <c r="H4793" s="63">
        <v>0</v>
      </c>
      <c r="I4793" s="63">
        <v>0</v>
      </c>
      <c r="J4793" s="63">
        <v>0</v>
      </c>
      <c r="K4793" s="63">
        <f>AVERAGE(I4793:J4793)</f>
        <v>0</v>
      </c>
      <c r="L4793" s="64" t="str">
        <f>"EGG BAGEL DOUGH"</f>
        <v>EGG BAGEL DOUGH</v>
      </c>
      <c r="M4793" s="65" t="str">
        <f>"120-5 oz. Bulk"</f>
        <v>120-5 oz. Bulk</v>
      </c>
      <c r="N4793" s="66">
        <v>120</v>
      </c>
      <c r="O4793" s="67" t="str">
        <f>""</f>
        <v/>
      </c>
      <c r="P4793" s="68" t="e">
        <f>1/O4793</f>
        <v>#VALUE!</v>
      </c>
      <c r="Q4793" s="53">
        <v>1</v>
      </c>
      <c r="R4793" s="69">
        <f t="shared" ref="R4793" si="3434">1/Q4793</f>
        <v>1</v>
      </c>
      <c r="S4793" s="70">
        <f t="shared" ref="S4793" si="3435">R4793*N4793</f>
        <v>120</v>
      </c>
    </row>
    <row r="4794" spans="1:19" ht="15.6" hidden="1" customHeight="1" thickBot="1" x14ac:dyDescent="0.3">
      <c r="A4794" t="s">
        <v>23</v>
      </c>
      <c r="B4794" s="60" t="str">
        <f t="shared" si="3433"/>
        <v>hide</v>
      </c>
      <c r="D4794" s="48" t="str">
        <f>D4793</f>
        <v>85126</v>
      </c>
      <c r="E4794" s="7"/>
      <c r="F4794" s="27">
        <v>0</v>
      </c>
      <c r="G4794" s="27">
        <v>0</v>
      </c>
      <c r="H4794" s="27">
        <v>0</v>
      </c>
      <c r="I4794" s="27">
        <v>0</v>
      </c>
      <c r="J4794" s="27">
        <v>0</v>
      </c>
      <c r="K4794" s="63">
        <f>AVERAGE(I4794:J4794)</f>
        <v>0</v>
      </c>
      <c r="L4794" s="56" t="str">
        <f>"EQP-LAWPACK1"</f>
        <v>EQP-LAWPACK1</v>
      </c>
      <c r="M4794" s="14"/>
      <c r="N4794" s="15"/>
      <c r="O4794" s="12"/>
      <c r="P4794" s="34"/>
      <c r="Q4794" s="37"/>
      <c r="R4794" s="47"/>
      <c r="S4794" s="46"/>
    </row>
    <row r="4795" spans="1:19" ht="15.6" hidden="1" customHeight="1" thickBot="1" x14ac:dyDescent="0.3">
      <c r="A4795" t="s">
        <v>23</v>
      </c>
      <c r="B4795" s="60" t="str">
        <f t="shared" ref="B4795:B4797" si="3436">IF(K4795=0,"hide","")</f>
        <v>hide</v>
      </c>
      <c r="D4795" s="48" t="str">
        <f>D4794</f>
        <v>85126</v>
      </c>
      <c r="E4795" s="7"/>
      <c r="F4795" s="27">
        <v>0</v>
      </c>
      <c r="G4795" s="27">
        <v>0</v>
      </c>
      <c r="H4795" s="27">
        <v>0</v>
      </c>
      <c r="I4795" s="27">
        <v>0</v>
      </c>
      <c r="J4795" s="27">
        <v>0</v>
      </c>
      <c r="K4795" s="63">
        <f>AVERAGE(I4795:J4795)</f>
        <v>0</v>
      </c>
      <c r="L4795" s="56" t="str">
        <f>"EQP-LAWPACK2"</f>
        <v>EQP-LAWPACK2</v>
      </c>
      <c r="M4795" s="14"/>
      <c r="N4795" s="15"/>
      <c r="O4795" s="12"/>
      <c r="P4795" s="34"/>
      <c r="Q4795" s="37"/>
      <c r="R4795" s="47"/>
      <c r="S4795" s="46"/>
    </row>
    <row r="4796" spans="1:19" ht="15.6" hidden="1" customHeight="1" thickBot="1" x14ac:dyDescent="0.3">
      <c r="A4796" t="s">
        <v>23</v>
      </c>
      <c r="B4796" s="60" t="str">
        <f t="shared" si="3436"/>
        <v>hide</v>
      </c>
      <c r="D4796" s="48" t="str">
        <f>D4795</f>
        <v>85126</v>
      </c>
      <c r="E4796" s="7"/>
      <c r="F4796" s="27">
        <v>0</v>
      </c>
      <c r="G4796" s="27">
        <v>0</v>
      </c>
      <c r="H4796" s="27">
        <v>0</v>
      </c>
      <c r="I4796" s="27">
        <v>0</v>
      </c>
      <c r="J4796" s="27">
        <v>0</v>
      </c>
      <c r="K4796" s="63">
        <f>AVERAGE(I4796:J4796)</f>
        <v>0</v>
      </c>
      <c r="L4796" s="56" t="str">
        <f>"SW-COMAS-PACKL"</f>
        <v>SW-COMAS-PACKL</v>
      </c>
      <c r="M4796" s="14"/>
      <c r="N4796" s="15"/>
      <c r="O4796" s="12"/>
      <c r="P4796" s="34"/>
      <c r="Q4796" s="37"/>
      <c r="R4796" s="47"/>
      <c r="S4796" s="46"/>
    </row>
    <row r="4797" spans="1:19" ht="15.6" hidden="1" customHeight="1" thickBot="1" x14ac:dyDescent="0.3">
      <c r="A4797" t="s">
        <v>23</v>
      </c>
      <c r="B4797" s="60" t="str">
        <f t="shared" si="3436"/>
        <v>hide</v>
      </c>
      <c r="D4797" s="48" t="str">
        <f>D4796</f>
        <v>85126</v>
      </c>
      <c r="E4797" s="7"/>
      <c r="F4797" s="27">
        <v>0</v>
      </c>
      <c r="G4797" s="27">
        <v>0</v>
      </c>
      <c r="H4797" s="27">
        <v>0</v>
      </c>
      <c r="I4797" s="27">
        <v>0</v>
      </c>
      <c r="J4797" s="27">
        <v>0</v>
      </c>
      <c r="K4797" s="63">
        <f>AVERAGE(I4797:J4797)</f>
        <v>0</v>
      </c>
      <c r="L4797" s="56" t="str">
        <f>"SW-RISER-PACK"</f>
        <v>SW-RISER-PACK</v>
      </c>
      <c r="M4797" s="14"/>
      <c r="N4797" s="15"/>
      <c r="O4797" s="12"/>
      <c r="P4797" s="34"/>
      <c r="Q4797" s="37"/>
      <c r="R4797" s="47"/>
      <c r="S4797" s="46"/>
    </row>
    <row r="4798" spans="1:19" ht="12" hidden="1" customHeight="1" x14ac:dyDescent="0.3">
      <c r="A4798" s="35" t="s">
        <v>908</v>
      </c>
      <c r="B4798" s="49" t="str">
        <f>B4794</f>
        <v>hide</v>
      </c>
      <c r="N4798"/>
      <c r="Q4798" s="33"/>
    </row>
    <row r="4799" spans="1:19" ht="13.8" hidden="1" thickBot="1" x14ac:dyDescent="0.3">
      <c r="A4799" t="s">
        <v>23</v>
      </c>
      <c r="B4799" s="49" t="str">
        <f t="shared" ref="B4799" si="3437">B4798</f>
        <v>hide</v>
      </c>
      <c r="D4799" s="58"/>
      <c r="E4799" s="58"/>
      <c r="F4799" s="52">
        <f>SUM(F4794:F4798)</f>
        <v>0</v>
      </c>
      <c r="G4799" s="52">
        <f>SUM(G4794:G4798)</f>
        <v>0</v>
      </c>
      <c r="H4799" s="52">
        <f>SUM(H4794:H4798)</f>
        <v>0</v>
      </c>
      <c r="I4799" s="52">
        <f>SUM(I4794:I4798)</f>
        <v>0</v>
      </c>
      <c r="J4799" s="52">
        <f>SUM(J4794:J4798)</f>
        <v>0</v>
      </c>
      <c r="K4799" s="52"/>
      <c r="L4799" s="51" t="s">
        <v>4</v>
      </c>
      <c r="M4799" s="58"/>
      <c r="N4799" s="58"/>
      <c r="O4799" s="58"/>
      <c r="P4799" s="58"/>
      <c r="Q4799" s="58"/>
      <c r="R4799" s="58"/>
      <c r="S4799" s="58"/>
    </row>
    <row r="4800" spans="1:19" s="59" customFormat="1" ht="18.75" hidden="1" customHeight="1" thickBot="1" x14ac:dyDescent="0.3">
      <c r="A4800" s="59" t="s">
        <v>23</v>
      </c>
      <c r="B4800" s="60" t="str">
        <f t="shared" ref="B4800:B4801" si="3438">IF(K4800=0,"hide","")</f>
        <v>hide</v>
      </c>
      <c r="D4800" s="61" t="str">
        <f>"85129"</f>
        <v>85129</v>
      </c>
      <c r="E4800" s="62" t="str">
        <f>"3"</f>
        <v>3</v>
      </c>
      <c r="F4800" s="63">
        <v>10.083333333333332</v>
      </c>
      <c r="G4800" s="63">
        <v>0</v>
      </c>
      <c r="H4800" s="63">
        <v>0</v>
      </c>
      <c r="I4800" s="63">
        <v>0</v>
      </c>
      <c r="J4800" s="63">
        <v>0</v>
      </c>
      <c r="K4800" s="63">
        <f>AVERAGE(I4800:J4800)</f>
        <v>0</v>
      </c>
      <c r="L4800" s="64" t="str">
        <f>"PLAIN BAGEL DOUGH"</f>
        <v>PLAIN BAGEL DOUGH</v>
      </c>
      <c r="M4800" s="65" t="str">
        <f>"120-5 oz. Bulk"</f>
        <v>120-5 oz. Bulk</v>
      </c>
      <c r="N4800" s="66">
        <v>120</v>
      </c>
      <c r="O4800" s="67" t="str">
        <f>""</f>
        <v/>
      </c>
      <c r="P4800" s="68" t="e">
        <f>1/O4800</f>
        <v>#VALUE!</v>
      </c>
      <c r="Q4800" s="53">
        <v>1</v>
      </c>
      <c r="R4800" s="69">
        <f t="shared" ref="R4800" si="3439">1/Q4800</f>
        <v>1</v>
      </c>
      <c r="S4800" s="70">
        <f t="shared" ref="S4800" si="3440">R4800*N4800</f>
        <v>120</v>
      </c>
    </row>
    <row r="4801" spans="1:19" ht="15.6" hidden="1" customHeight="1" thickBot="1" x14ac:dyDescent="0.3">
      <c r="A4801" t="s">
        <v>23</v>
      </c>
      <c r="B4801" s="60" t="str">
        <f t="shared" si="3438"/>
        <v>hide</v>
      </c>
      <c r="D4801" s="48" t="str">
        <f>D4800</f>
        <v>85129</v>
      </c>
      <c r="E4801" s="7"/>
      <c r="F4801" s="27">
        <v>0</v>
      </c>
      <c r="G4801" s="27">
        <v>0</v>
      </c>
      <c r="H4801" s="27">
        <v>0</v>
      </c>
      <c r="I4801" s="27">
        <v>0</v>
      </c>
      <c r="J4801" s="27">
        <v>0</v>
      </c>
      <c r="K4801" s="63">
        <f>AVERAGE(I4801:J4801)</f>
        <v>0</v>
      </c>
      <c r="L4801" s="56" t="str">
        <f>"EQP-LAWPACK1"</f>
        <v>EQP-LAWPACK1</v>
      </c>
      <c r="M4801" s="14"/>
      <c r="N4801" s="15"/>
      <c r="O4801" s="12"/>
      <c r="P4801" s="34"/>
      <c r="Q4801" s="37"/>
      <c r="R4801" s="47"/>
      <c r="S4801" s="46"/>
    </row>
    <row r="4802" spans="1:19" ht="15.6" hidden="1" customHeight="1" thickBot="1" x14ac:dyDescent="0.3">
      <c r="A4802" t="s">
        <v>23</v>
      </c>
      <c r="B4802" s="60" t="str">
        <f t="shared" ref="B4802:B4804" si="3441">IF(K4802=0,"hide","")</f>
        <v>hide</v>
      </c>
      <c r="D4802" s="48" t="str">
        <f>D4801</f>
        <v>85129</v>
      </c>
      <c r="E4802" s="7"/>
      <c r="F4802" s="27">
        <v>0</v>
      </c>
      <c r="G4802" s="27">
        <v>0</v>
      </c>
      <c r="H4802" s="27">
        <v>0</v>
      </c>
      <c r="I4802" s="27">
        <v>0</v>
      </c>
      <c r="J4802" s="27">
        <v>0</v>
      </c>
      <c r="K4802" s="63">
        <f>AVERAGE(I4802:J4802)</f>
        <v>0</v>
      </c>
      <c r="L4802" s="56" t="str">
        <f>"EQP-LAWPACK2"</f>
        <v>EQP-LAWPACK2</v>
      </c>
      <c r="M4802" s="14"/>
      <c r="N4802" s="15"/>
      <c r="O4802" s="12"/>
      <c r="P4802" s="34"/>
      <c r="Q4802" s="37"/>
      <c r="R4802" s="47"/>
      <c r="S4802" s="46"/>
    </row>
    <row r="4803" spans="1:19" ht="15.6" hidden="1" customHeight="1" thickBot="1" x14ac:dyDescent="0.3">
      <c r="A4803" t="s">
        <v>23</v>
      </c>
      <c r="B4803" s="60" t="str">
        <f t="shared" si="3441"/>
        <v>hide</v>
      </c>
      <c r="D4803" s="48" t="str">
        <f>D4802</f>
        <v>85129</v>
      </c>
      <c r="E4803" s="7"/>
      <c r="F4803" s="27">
        <v>0</v>
      </c>
      <c r="G4803" s="27">
        <v>0</v>
      </c>
      <c r="H4803" s="27">
        <v>0</v>
      </c>
      <c r="I4803" s="27">
        <v>0</v>
      </c>
      <c r="J4803" s="27">
        <v>0</v>
      </c>
      <c r="K4803" s="63">
        <f>AVERAGE(I4803:J4803)</f>
        <v>0</v>
      </c>
      <c r="L4803" s="56" t="str">
        <f>"SW-COMAS-PACKL"</f>
        <v>SW-COMAS-PACKL</v>
      </c>
      <c r="M4803" s="14"/>
      <c r="N4803" s="15"/>
      <c r="O4803" s="12"/>
      <c r="P4803" s="34"/>
      <c r="Q4803" s="37"/>
      <c r="R4803" s="47"/>
      <c r="S4803" s="46"/>
    </row>
    <row r="4804" spans="1:19" ht="15.6" hidden="1" customHeight="1" thickBot="1" x14ac:dyDescent="0.3">
      <c r="A4804" t="s">
        <v>23</v>
      </c>
      <c r="B4804" s="60" t="str">
        <f t="shared" si="3441"/>
        <v>hide</v>
      </c>
      <c r="D4804" s="48" t="str">
        <f>D4803</f>
        <v>85129</v>
      </c>
      <c r="E4804" s="7"/>
      <c r="F4804" s="27">
        <v>0</v>
      </c>
      <c r="G4804" s="27">
        <v>0</v>
      </c>
      <c r="H4804" s="27">
        <v>0</v>
      </c>
      <c r="I4804" s="27">
        <v>0</v>
      </c>
      <c r="J4804" s="27">
        <v>0</v>
      </c>
      <c r="K4804" s="63">
        <f>AVERAGE(I4804:J4804)</f>
        <v>0</v>
      </c>
      <c r="L4804" s="56" t="str">
        <f>"SW-RISER-PACK"</f>
        <v>SW-RISER-PACK</v>
      </c>
      <c r="M4804" s="14"/>
      <c r="N4804" s="15"/>
      <c r="O4804" s="12"/>
      <c r="P4804" s="34"/>
      <c r="Q4804" s="37"/>
      <c r="R4804" s="47"/>
      <c r="S4804" s="46"/>
    </row>
    <row r="4805" spans="1:19" ht="12" hidden="1" customHeight="1" x14ac:dyDescent="0.3">
      <c r="A4805" s="35" t="s">
        <v>908</v>
      </c>
      <c r="B4805" s="49" t="str">
        <f>B4801</f>
        <v>hide</v>
      </c>
      <c r="N4805"/>
      <c r="Q4805" s="33"/>
    </row>
    <row r="4806" spans="1:19" ht="13.8" hidden="1" thickBot="1" x14ac:dyDescent="0.3">
      <c r="A4806" t="s">
        <v>23</v>
      </c>
      <c r="B4806" s="49" t="str">
        <f t="shared" ref="B4806" si="3442">B4805</f>
        <v>hide</v>
      </c>
      <c r="D4806" s="58"/>
      <c r="E4806" s="58"/>
      <c r="F4806" s="52">
        <f>SUM(F4801:F4805)</f>
        <v>0</v>
      </c>
      <c r="G4806" s="52">
        <f>SUM(G4801:G4805)</f>
        <v>0</v>
      </c>
      <c r="H4806" s="52">
        <f>SUM(H4801:H4805)</f>
        <v>0</v>
      </c>
      <c r="I4806" s="52">
        <f>SUM(I4801:I4805)</f>
        <v>0</v>
      </c>
      <c r="J4806" s="52">
        <f>SUM(J4801:J4805)</f>
        <v>0</v>
      </c>
      <c r="K4806" s="52"/>
      <c r="L4806" s="51" t="s">
        <v>4</v>
      </c>
      <c r="M4806" s="58"/>
      <c r="N4806" s="58"/>
      <c r="O4806" s="58"/>
      <c r="P4806" s="58"/>
      <c r="Q4806" s="58"/>
      <c r="R4806" s="58"/>
      <c r="S4806" s="58"/>
    </row>
    <row r="4807" spans="1:19" s="59" customFormat="1" ht="18.75" hidden="1" customHeight="1" thickBot="1" x14ac:dyDescent="0.3">
      <c r="A4807" s="59" t="s">
        <v>23</v>
      </c>
      <c r="B4807" s="60" t="str">
        <f t="shared" ref="B4807:B4808" si="3443">IF(K4807=0,"hide","")</f>
        <v>hide</v>
      </c>
      <c r="D4807" s="61" t="str">
        <f>"85160"</f>
        <v>85160</v>
      </c>
      <c r="E4807" s="62" t="str">
        <f>"2"</f>
        <v>2</v>
      </c>
      <c r="F4807" s="63">
        <v>0</v>
      </c>
      <c r="G4807" s="63">
        <v>0</v>
      </c>
      <c r="H4807" s="63">
        <v>0</v>
      </c>
      <c r="I4807" s="63">
        <v>0</v>
      </c>
      <c r="J4807" s="63">
        <v>0</v>
      </c>
      <c r="K4807" s="63">
        <f>AVERAGE(I4807:J4807)</f>
        <v>0</v>
      </c>
      <c r="L4807" s="64" t="str">
        <f>"FRENCH TOAST BAGEL DOUGH"</f>
        <v>FRENCH TOAST BAGEL DOUGH</v>
      </c>
      <c r="M4807" s="65" t="str">
        <f>"120-5 oz. Bulk"</f>
        <v>120-5 oz. Bulk</v>
      </c>
      <c r="N4807" s="66">
        <v>120</v>
      </c>
      <c r="O4807" s="67" t="str">
        <f>""</f>
        <v/>
      </c>
      <c r="P4807" s="68" t="e">
        <f>1/O4807</f>
        <v>#VALUE!</v>
      </c>
      <c r="Q4807" s="53">
        <v>1</v>
      </c>
      <c r="R4807" s="69">
        <f t="shared" ref="R4807" si="3444">1/Q4807</f>
        <v>1</v>
      </c>
      <c r="S4807" s="70">
        <f t="shared" ref="S4807" si="3445">R4807*N4807</f>
        <v>120</v>
      </c>
    </row>
    <row r="4808" spans="1:19" ht="15.6" hidden="1" customHeight="1" thickBot="1" x14ac:dyDescent="0.3">
      <c r="A4808" t="s">
        <v>23</v>
      </c>
      <c r="B4808" s="60" t="str">
        <f t="shared" si="3443"/>
        <v>hide</v>
      </c>
      <c r="D4808" s="48" t="str">
        <f>D4807</f>
        <v>85160</v>
      </c>
      <c r="E4808" s="7"/>
      <c r="F4808" s="27">
        <v>0</v>
      </c>
      <c r="G4808" s="27">
        <v>0</v>
      </c>
      <c r="H4808" s="27">
        <v>0</v>
      </c>
      <c r="I4808" s="27">
        <v>0</v>
      </c>
      <c r="J4808" s="27">
        <v>0</v>
      </c>
      <c r="K4808" s="63">
        <f>AVERAGE(I4808:J4808)</f>
        <v>0</v>
      </c>
      <c r="L4808" s="56" t="str">
        <f>"EQP-LAWPACK1"</f>
        <v>EQP-LAWPACK1</v>
      </c>
      <c r="M4808" s="14"/>
      <c r="N4808" s="15"/>
      <c r="O4808" s="12"/>
      <c r="P4808" s="34"/>
      <c r="Q4808" s="37"/>
      <c r="R4808" s="47"/>
      <c r="S4808" s="46"/>
    </row>
    <row r="4809" spans="1:19" ht="15.6" hidden="1" customHeight="1" thickBot="1" x14ac:dyDescent="0.3">
      <c r="A4809" t="s">
        <v>23</v>
      </c>
      <c r="B4809" s="60" t="str">
        <f t="shared" ref="B4809:B4811" si="3446">IF(K4809=0,"hide","")</f>
        <v>hide</v>
      </c>
      <c r="D4809" s="48" t="str">
        <f>D4808</f>
        <v>85160</v>
      </c>
      <c r="E4809" s="7"/>
      <c r="F4809" s="27">
        <v>0</v>
      </c>
      <c r="G4809" s="27">
        <v>0</v>
      </c>
      <c r="H4809" s="27">
        <v>0</v>
      </c>
      <c r="I4809" s="27">
        <v>0</v>
      </c>
      <c r="J4809" s="27">
        <v>0</v>
      </c>
      <c r="K4809" s="63">
        <f>AVERAGE(I4809:J4809)</f>
        <v>0</v>
      </c>
      <c r="L4809" s="56" t="str">
        <f>"EQP-LAWPACK2"</f>
        <v>EQP-LAWPACK2</v>
      </c>
      <c r="M4809" s="14"/>
      <c r="N4809" s="15"/>
      <c r="O4809" s="12"/>
      <c r="P4809" s="34"/>
      <c r="Q4809" s="37"/>
      <c r="R4809" s="47"/>
      <c r="S4809" s="46"/>
    </row>
    <row r="4810" spans="1:19" ht="15.6" hidden="1" customHeight="1" thickBot="1" x14ac:dyDescent="0.3">
      <c r="A4810" t="s">
        <v>23</v>
      </c>
      <c r="B4810" s="60" t="str">
        <f t="shared" si="3446"/>
        <v>hide</v>
      </c>
      <c r="D4810" s="48" t="str">
        <f>D4809</f>
        <v>85160</v>
      </c>
      <c r="E4810" s="7"/>
      <c r="F4810" s="27">
        <v>0</v>
      </c>
      <c r="G4810" s="27">
        <v>0</v>
      </c>
      <c r="H4810" s="27">
        <v>0</v>
      </c>
      <c r="I4810" s="27">
        <v>0</v>
      </c>
      <c r="J4810" s="27">
        <v>0</v>
      </c>
      <c r="K4810" s="63">
        <f>AVERAGE(I4810:J4810)</f>
        <v>0</v>
      </c>
      <c r="L4810" s="56" t="str">
        <f>"SW-COMAS-PACKL"</f>
        <v>SW-COMAS-PACKL</v>
      </c>
      <c r="M4810" s="14"/>
      <c r="N4810" s="15"/>
      <c r="O4810" s="12"/>
      <c r="P4810" s="34"/>
      <c r="Q4810" s="37"/>
      <c r="R4810" s="47"/>
      <c r="S4810" s="46"/>
    </row>
    <row r="4811" spans="1:19" ht="15.6" hidden="1" customHeight="1" thickBot="1" x14ac:dyDescent="0.3">
      <c r="A4811" t="s">
        <v>23</v>
      </c>
      <c r="B4811" s="60" t="str">
        <f t="shared" si="3446"/>
        <v>hide</v>
      </c>
      <c r="D4811" s="48" t="str">
        <f>D4810</f>
        <v>85160</v>
      </c>
      <c r="E4811" s="7"/>
      <c r="F4811" s="27">
        <v>0</v>
      </c>
      <c r="G4811" s="27">
        <v>0</v>
      </c>
      <c r="H4811" s="27">
        <v>0</v>
      </c>
      <c r="I4811" s="27">
        <v>0</v>
      </c>
      <c r="J4811" s="27">
        <v>0</v>
      </c>
      <c r="K4811" s="63">
        <f>AVERAGE(I4811:J4811)</f>
        <v>0</v>
      </c>
      <c r="L4811" s="56" t="str">
        <f>"SW-RISER-PACK"</f>
        <v>SW-RISER-PACK</v>
      </c>
      <c r="M4811" s="14"/>
      <c r="N4811" s="15"/>
      <c r="O4811" s="12"/>
      <c r="P4811" s="34"/>
      <c r="Q4811" s="37"/>
      <c r="R4811" s="47"/>
      <c r="S4811" s="46"/>
    </row>
    <row r="4812" spans="1:19" ht="12" hidden="1" customHeight="1" x14ac:dyDescent="0.3">
      <c r="A4812" s="35" t="s">
        <v>908</v>
      </c>
      <c r="B4812" s="49" t="str">
        <f>B4808</f>
        <v>hide</v>
      </c>
      <c r="N4812"/>
      <c r="Q4812" s="33"/>
    </row>
    <row r="4813" spans="1:19" ht="13.8" hidden="1" thickBot="1" x14ac:dyDescent="0.3">
      <c r="A4813" t="s">
        <v>23</v>
      </c>
      <c r="B4813" s="49" t="str">
        <f t="shared" ref="B4813" si="3447">B4812</f>
        <v>hide</v>
      </c>
      <c r="D4813" s="58"/>
      <c r="E4813" s="58"/>
      <c r="F4813" s="52">
        <f>SUM(F4808:F4812)</f>
        <v>0</v>
      </c>
      <c r="G4813" s="52">
        <f>SUM(G4808:G4812)</f>
        <v>0</v>
      </c>
      <c r="H4813" s="52">
        <f>SUM(H4808:H4812)</f>
        <v>0</v>
      </c>
      <c r="I4813" s="52">
        <f>SUM(I4808:I4812)</f>
        <v>0</v>
      </c>
      <c r="J4813" s="52">
        <f>SUM(J4808:J4812)</f>
        <v>0</v>
      </c>
      <c r="K4813" s="52"/>
      <c r="L4813" s="51" t="s">
        <v>4</v>
      </c>
      <c r="M4813" s="58"/>
      <c r="N4813" s="58"/>
      <c r="O4813" s="58"/>
      <c r="P4813" s="58"/>
      <c r="Q4813" s="58"/>
      <c r="R4813" s="58"/>
      <c r="S4813" s="58"/>
    </row>
    <row r="4814" spans="1:19" s="59" customFormat="1" ht="18.75" hidden="1" customHeight="1" thickBot="1" x14ac:dyDescent="0.3">
      <c r="A4814" s="59" t="s">
        <v>23</v>
      </c>
      <c r="B4814" s="60" t="str">
        <f t="shared" ref="B4814:B4815" si="3448">IF(K4814=0,"hide","")</f>
        <v>hide</v>
      </c>
      <c r="D4814" s="61" t="str">
        <f>"85193"</f>
        <v>85193</v>
      </c>
      <c r="E4814" s="62" t="str">
        <f>"2"</f>
        <v>2</v>
      </c>
      <c r="F4814" s="63">
        <v>0</v>
      </c>
      <c r="G4814" s="63">
        <v>0</v>
      </c>
      <c r="H4814" s="63">
        <v>0</v>
      </c>
      <c r="I4814" s="63">
        <v>0</v>
      </c>
      <c r="J4814" s="63">
        <v>0</v>
      </c>
      <c r="K4814" s="63">
        <f>AVERAGE(I4814:J4814)</f>
        <v>0</v>
      </c>
      <c r="L4814" s="64" t="str">
        <f>"ALL GRAIN BAGEL DOUGH"</f>
        <v>ALL GRAIN BAGEL DOUGH</v>
      </c>
      <c r="M4814" s="65" t="str">
        <f>"120-5 oz. Bulk"</f>
        <v>120-5 oz. Bulk</v>
      </c>
      <c r="N4814" s="66">
        <v>120</v>
      </c>
      <c r="O4814" s="67" t="str">
        <f>""</f>
        <v/>
      </c>
      <c r="P4814" s="68" t="e">
        <f>1/O4814</f>
        <v>#VALUE!</v>
      </c>
      <c r="Q4814" s="53">
        <v>1</v>
      </c>
      <c r="R4814" s="69">
        <f t="shared" ref="R4814" si="3449">1/Q4814</f>
        <v>1</v>
      </c>
      <c r="S4814" s="70">
        <f t="shared" ref="S4814" si="3450">R4814*N4814</f>
        <v>120</v>
      </c>
    </row>
    <row r="4815" spans="1:19" ht="15.6" hidden="1" customHeight="1" thickBot="1" x14ac:dyDescent="0.3">
      <c r="A4815" t="s">
        <v>23</v>
      </c>
      <c r="B4815" s="60" t="str">
        <f t="shared" si="3448"/>
        <v>hide</v>
      </c>
      <c r="D4815" s="48" t="str">
        <f>D4814</f>
        <v>85193</v>
      </c>
      <c r="E4815" s="7"/>
      <c r="F4815" s="27">
        <v>0</v>
      </c>
      <c r="G4815" s="27">
        <v>0</v>
      </c>
      <c r="H4815" s="27">
        <v>0</v>
      </c>
      <c r="I4815" s="27">
        <v>0</v>
      </c>
      <c r="J4815" s="27">
        <v>0</v>
      </c>
      <c r="K4815" s="63">
        <f>AVERAGE(I4815:J4815)</f>
        <v>0</v>
      </c>
      <c r="L4815" s="56" t="str">
        <f>"EQP-LAWPACK1"</f>
        <v>EQP-LAWPACK1</v>
      </c>
      <c r="M4815" s="14"/>
      <c r="N4815" s="15"/>
      <c r="O4815" s="12"/>
      <c r="P4815" s="34"/>
      <c r="Q4815" s="37"/>
      <c r="R4815" s="47"/>
      <c r="S4815" s="46"/>
    </row>
    <row r="4816" spans="1:19" ht="15.6" hidden="1" customHeight="1" thickBot="1" x14ac:dyDescent="0.3">
      <c r="A4816" t="s">
        <v>23</v>
      </c>
      <c r="B4816" s="60" t="str">
        <f t="shared" ref="B4816:B4818" si="3451">IF(K4816=0,"hide","")</f>
        <v>hide</v>
      </c>
      <c r="D4816" s="48" t="str">
        <f>D4815</f>
        <v>85193</v>
      </c>
      <c r="E4816" s="7"/>
      <c r="F4816" s="27">
        <v>0</v>
      </c>
      <c r="G4816" s="27">
        <v>0</v>
      </c>
      <c r="H4816" s="27">
        <v>0</v>
      </c>
      <c r="I4816" s="27">
        <v>0</v>
      </c>
      <c r="J4816" s="27">
        <v>0</v>
      </c>
      <c r="K4816" s="63">
        <f>AVERAGE(I4816:J4816)</f>
        <v>0</v>
      </c>
      <c r="L4816" s="56" t="str">
        <f>"EQP-LAWPACK2"</f>
        <v>EQP-LAWPACK2</v>
      </c>
      <c r="M4816" s="14"/>
      <c r="N4816" s="15"/>
      <c r="O4816" s="12"/>
      <c r="P4816" s="34"/>
      <c r="Q4816" s="37"/>
      <c r="R4816" s="47"/>
      <c r="S4816" s="46"/>
    </row>
    <row r="4817" spans="1:19" ht="15.6" hidden="1" customHeight="1" thickBot="1" x14ac:dyDescent="0.3">
      <c r="A4817" t="s">
        <v>23</v>
      </c>
      <c r="B4817" s="60" t="str">
        <f t="shared" si="3451"/>
        <v>hide</v>
      </c>
      <c r="D4817" s="48" t="str">
        <f>D4816</f>
        <v>85193</v>
      </c>
      <c r="E4817" s="7"/>
      <c r="F4817" s="27">
        <v>0</v>
      </c>
      <c r="G4817" s="27">
        <v>0</v>
      </c>
      <c r="H4817" s="27">
        <v>0</v>
      </c>
      <c r="I4817" s="27">
        <v>0</v>
      </c>
      <c r="J4817" s="27">
        <v>0</v>
      </c>
      <c r="K4817" s="63">
        <f>AVERAGE(I4817:J4817)</f>
        <v>0</v>
      </c>
      <c r="L4817" s="56" t="str">
        <f>"SW-COMAS-PACKL"</f>
        <v>SW-COMAS-PACKL</v>
      </c>
      <c r="M4817" s="14"/>
      <c r="N4817" s="15"/>
      <c r="O4817" s="12"/>
      <c r="P4817" s="34"/>
      <c r="Q4817" s="37"/>
      <c r="R4817" s="47"/>
      <c r="S4817" s="46"/>
    </row>
    <row r="4818" spans="1:19" ht="15.6" hidden="1" customHeight="1" thickBot="1" x14ac:dyDescent="0.3">
      <c r="A4818" t="s">
        <v>23</v>
      </c>
      <c r="B4818" s="60" t="str">
        <f t="shared" si="3451"/>
        <v>hide</v>
      </c>
      <c r="D4818" s="48" t="str">
        <f>D4817</f>
        <v>85193</v>
      </c>
      <c r="E4818" s="7"/>
      <c r="F4818" s="27">
        <v>0</v>
      </c>
      <c r="G4818" s="27">
        <v>0</v>
      </c>
      <c r="H4818" s="27">
        <v>0</v>
      </c>
      <c r="I4818" s="27">
        <v>0</v>
      </c>
      <c r="J4818" s="27">
        <v>0</v>
      </c>
      <c r="K4818" s="63">
        <f>AVERAGE(I4818:J4818)</f>
        <v>0</v>
      </c>
      <c r="L4818" s="56" t="str">
        <f>"SW-RISER-PACK"</f>
        <v>SW-RISER-PACK</v>
      </c>
      <c r="M4818" s="14"/>
      <c r="N4818" s="15"/>
      <c r="O4818" s="12"/>
      <c r="P4818" s="34"/>
      <c r="Q4818" s="37"/>
      <c r="R4818" s="47"/>
      <c r="S4818" s="46"/>
    </row>
    <row r="4819" spans="1:19" ht="12" hidden="1" customHeight="1" x14ac:dyDescent="0.3">
      <c r="A4819" s="35" t="s">
        <v>908</v>
      </c>
      <c r="B4819" s="49" t="str">
        <f>B4815</f>
        <v>hide</v>
      </c>
      <c r="N4819"/>
      <c r="Q4819" s="33"/>
    </row>
    <row r="4820" spans="1:19" ht="13.8" hidden="1" thickBot="1" x14ac:dyDescent="0.3">
      <c r="A4820" t="s">
        <v>23</v>
      </c>
      <c r="B4820" s="49" t="str">
        <f t="shared" ref="B4820" si="3452">B4819</f>
        <v>hide</v>
      </c>
      <c r="D4820" s="58"/>
      <c r="E4820" s="58"/>
      <c r="F4820" s="52">
        <f>SUM(F4815:F4819)</f>
        <v>0</v>
      </c>
      <c r="G4820" s="52">
        <f>SUM(G4815:G4819)</f>
        <v>0</v>
      </c>
      <c r="H4820" s="52">
        <f>SUM(H4815:H4819)</f>
        <v>0</v>
      </c>
      <c r="I4820" s="52">
        <f>SUM(I4815:I4819)</f>
        <v>0</v>
      </c>
      <c r="J4820" s="52">
        <f>SUM(J4815:J4819)</f>
        <v>0</v>
      </c>
      <c r="K4820" s="52"/>
      <c r="L4820" s="51" t="s">
        <v>4</v>
      </c>
      <c r="M4820" s="58"/>
      <c r="N4820" s="58"/>
      <c r="O4820" s="58"/>
      <c r="P4820" s="58"/>
      <c r="Q4820" s="58"/>
      <c r="R4820" s="58"/>
      <c r="S4820" s="58"/>
    </row>
    <row r="4821" spans="1:19" s="59" customFormat="1" ht="18.75" hidden="1" customHeight="1" thickBot="1" x14ac:dyDescent="0.3">
      <c r="A4821" s="59" t="s">
        <v>23</v>
      </c>
      <c r="B4821" s="60" t="str">
        <f t="shared" ref="B4821:B4822" si="3453">IF(K4821=0,"hide","")</f>
        <v>hide</v>
      </c>
      <c r="D4821" s="61" t="str">
        <f>"85195"</f>
        <v>85195</v>
      </c>
      <c r="E4821" s="62" t="str">
        <f>"3"</f>
        <v>3</v>
      </c>
      <c r="F4821" s="63">
        <v>0.16666666666666666</v>
      </c>
      <c r="G4821" s="63">
        <v>0</v>
      </c>
      <c r="H4821" s="63">
        <v>0</v>
      </c>
      <c r="I4821" s="63">
        <v>0</v>
      </c>
      <c r="J4821" s="63">
        <v>0</v>
      </c>
      <c r="K4821" s="63">
        <f>AVERAGE(I4821:J4821)</f>
        <v>0</v>
      </c>
      <c r="L4821" s="64" t="str">
        <f>"HONEY WHEAT BAGEL DOUGH"</f>
        <v>HONEY WHEAT BAGEL DOUGH</v>
      </c>
      <c r="M4821" s="65" t="str">
        <f>"120-5 oz. Bulk"</f>
        <v>120-5 oz. Bulk</v>
      </c>
      <c r="N4821" s="66">
        <v>120</v>
      </c>
      <c r="O4821" s="67" t="str">
        <f>""</f>
        <v/>
      </c>
      <c r="P4821" s="68" t="e">
        <f>1/O4821</f>
        <v>#VALUE!</v>
      </c>
      <c r="Q4821" s="53">
        <v>1</v>
      </c>
      <c r="R4821" s="69">
        <f t="shared" ref="R4821" si="3454">1/Q4821</f>
        <v>1</v>
      </c>
      <c r="S4821" s="70">
        <f t="shared" ref="S4821" si="3455">R4821*N4821</f>
        <v>120</v>
      </c>
    </row>
    <row r="4822" spans="1:19" ht="15.6" hidden="1" customHeight="1" thickBot="1" x14ac:dyDescent="0.3">
      <c r="A4822" t="s">
        <v>23</v>
      </c>
      <c r="B4822" s="60" t="str">
        <f t="shared" si="3453"/>
        <v>hide</v>
      </c>
      <c r="D4822" s="48" t="str">
        <f>D4821</f>
        <v>85195</v>
      </c>
      <c r="E4822" s="7"/>
      <c r="F4822" s="27">
        <v>0</v>
      </c>
      <c r="G4822" s="27">
        <v>0</v>
      </c>
      <c r="H4822" s="27">
        <v>0</v>
      </c>
      <c r="I4822" s="27">
        <v>0</v>
      </c>
      <c r="J4822" s="27">
        <v>0</v>
      </c>
      <c r="K4822" s="63">
        <f>AVERAGE(I4822:J4822)</f>
        <v>0</v>
      </c>
      <c r="L4822" s="56" t="str">
        <f>"EQP-LAWPACK1"</f>
        <v>EQP-LAWPACK1</v>
      </c>
      <c r="M4822" s="14"/>
      <c r="N4822" s="15"/>
      <c r="O4822" s="12"/>
      <c r="P4822" s="34"/>
      <c r="Q4822" s="37"/>
      <c r="R4822" s="47"/>
      <c r="S4822" s="46"/>
    </row>
    <row r="4823" spans="1:19" ht="15.6" hidden="1" customHeight="1" thickBot="1" x14ac:dyDescent="0.3">
      <c r="A4823" t="s">
        <v>23</v>
      </c>
      <c r="B4823" s="60" t="str">
        <f t="shared" ref="B4823:B4825" si="3456">IF(K4823=0,"hide","")</f>
        <v>hide</v>
      </c>
      <c r="D4823" s="48" t="str">
        <f>D4822</f>
        <v>85195</v>
      </c>
      <c r="E4823" s="7"/>
      <c r="F4823" s="27">
        <v>0</v>
      </c>
      <c r="G4823" s="27">
        <v>0</v>
      </c>
      <c r="H4823" s="27">
        <v>0</v>
      </c>
      <c r="I4823" s="27">
        <v>0</v>
      </c>
      <c r="J4823" s="27">
        <v>0</v>
      </c>
      <c r="K4823" s="63">
        <f>AVERAGE(I4823:J4823)</f>
        <v>0</v>
      </c>
      <c r="L4823" s="56" t="str">
        <f>"EQP-LAWPACK2"</f>
        <v>EQP-LAWPACK2</v>
      </c>
      <c r="M4823" s="14"/>
      <c r="N4823" s="15"/>
      <c r="O4823" s="12"/>
      <c r="P4823" s="34"/>
      <c r="Q4823" s="37"/>
      <c r="R4823" s="47"/>
      <c r="S4823" s="46"/>
    </row>
    <row r="4824" spans="1:19" ht="15.6" hidden="1" customHeight="1" thickBot="1" x14ac:dyDescent="0.3">
      <c r="A4824" t="s">
        <v>23</v>
      </c>
      <c r="B4824" s="60" t="str">
        <f t="shared" si="3456"/>
        <v>hide</v>
      </c>
      <c r="D4824" s="48" t="str">
        <f>D4823</f>
        <v>85195</v>
      </c>
      <c r="E4824" s="7"/>
      <c r="F4824" s="27">
        <v>0</v>
      </c>
      <c r="G4824" s="27">
        <v>0</v>
      </c>
      <c r="H4824" s="27">
        <v>0</v>
      </c>
      <c r="I4824" s="27">
        <v>0</v>
      </c>
      <c r="J4824" s="27">
        <v>0</v>
      </c>
      <c r="K4824" s="63">
        <f>AVERAGE(I4824:J4824)</f>
        <v>0</v>
      </c>
      <c r="L4824" s="56" t="str">
        <f>"SW-COMAS-PACKL"</f>
        <v>SW-COMAS-PACKL</v>
      </c>
      <c r="M4824" s="14"/>
      <c r="N4824" s="15"/>
      <c r="O4824" s="12"/>
      <c r="P4824" s="34"/>
      <c r="Q4824" s="37"/>
      <c r="R4824" s="47"/>
      <c r="S4824" s="46"/>
    </row>
    <row r="4825" spans="1:19" ht="15.6" hidden="1" customHeight="1" thickBot="1" x14ac:dyDescent="0.3">
      <c r="A4825" t="s">
        <v>23</v>
      </c>
      <c r="B4825" s="60" t="str">
        <f t="shared" si="3456"/>
        <v>hide</v>
      </c>
      <c r="D4825" s="48" t="str">
        <f>D4824</f>
        <v>85195</v>
      </c>
      <c r="E4825" s="7"/>
      <c r="F4825" s="27">
        <v>0</v>
      </c>
      <c r="G4825" s="27">
        <v>0</v>
      </c>
      <c r="H4825" s="27">
        <v>0</v>
      </c>
      <c r="I4825" s="27">
        <v>0</v>
      </c>
      <c r="J4825" s="27">
        <v>0</v>
      </c>
      <c r="K4825" s="63">
        <f>AVERAGE(I4825:J4825)</f>
        <v>0</v>
      </c>
      <c r="L4825" s="56" t="str">
        <f>"SW-RISER-PACK"</f>
        <v>SW-RISER-PACK</v>
      </c>
      <c r="M4825" s="14"/>
      <c r="N4825" s="15"/>
      <c r="O4825" s="12"/>
      <c r="P4825" s="34"/>
      <c r="Q4825" s="37"/>
      <c r="R4825" s="47"/>
      <c r="S4825" s="46"/>
    </row>
    <row r="4826" spans="1:19" ht="12" hidden="1" customHeight="1" x14ac:dyDescent="0.3">
      <c r="A4826" s="35" t="s">
        <v>908</v>
      </c>
      <c r="B4826" s="49" t="str">
        <f>B4822</f>
        <v>hide</v>
      </c>
      <c r="N4826"/>
      <c r="Q4826" s="33"/>
    </row>
    <row r="4827" spans="1:19" ht="13.8" hidden="1" thickBot="1" x14ac:dyDescent="0.3">
      <c r="A4827" t="s">
        <v>23</v>
      </c>
      <c r="B4827" s="49" t="str">
        <f t="shared" ref="B4827" si="3457">B4826</f>
        <v>hide</v>
      </c>
      <c r="D4827" s="58"/>
      <c r="E4827" s="58"/>
      <c r="F4827" s="52">
        <f>SUM(F4822:F4826)</f>
        <v>0</v>
      </c>
      <c r="G4827" s="52">
        <f>SUM(G4822:G4826)</f>
        <v>0</v>
      </c>
      <c r="H4827" s="52">
        <f>SUM(H4822:H4826)</f>
        <v>0</v>
      </c>
      <c r="I4827" s="52">
        <f>SUM(I4822:I4826)</f>
        <v>0</v>
      </c>
      <c r="J4827" s="52">
        <f>SUM(J4822:J4826)</f>
        <v>0</v>
      </c>
      <c r="K4827" s="52"/>
      <c r="L4827" s="51" t="s">
        <v>4</v>
      </c>
      <c r="M4827" s="58"/>
      <c r="N4827" s="58"/>
      <c r="O4827" s="58"/>
      <c r="P4827" s="58"/>
      <c r="Q4827" s="58"/>
      <c r="R4827" s="58"/>
      <c r="S4827" s="58"/>
    </row>
    <row r="4828" spans="1:19" s="59" customFormat="1" ht="18.75" hidden="1" customHeight="1" thickBot="1" x14ac:dyDescent="0.3">
      <c r="A4828" s="59" t="s">
        <v>23</v>
      </c>
      <c r="B4828" s="60" t="str">
        <f t="shared" ref="B4828:B4829" si="3458">IF(K4828=0,"hide","")</f>
        <v>hide</v>
      </c>
      <c r="D4828" s="61" t="str">
        <f>"85303"</f>
        <v>85303</v>
      </c>
      <c r="E4828" s="62" t="str">
        <f>"2"</f>
        <v>2</v>
      </c>
      <c r="F4828" s="63">
        <v>3.5</v>
      </c>
      <c r="G4828" s="63">
        <v>2.5</v>
      </c>
      <c r="H4828" s="63">
        <v>0</v>
      </c>
      <c r="I4828" s="63">
        <v>0</v>
      </c>
      <c r="J4828" s="63">
        <v>0</v>
      </c>
      <c r="K4828" s="63">
        <f>AVERAGE(I4828:J4828)</f>
        <v>0</v>
      </c>
      <c r="L4828" s="64" t="str">
        <f>"Cranberry Orange Bagel Dough"</f>
        <v>Cranberry Orange Bagel Dough</v>
      </c>
      <c r="M4828" s="65" t="str">
        <f>"120-5 oz. Bulk"</f>
        <v>120-5 oz. Bulk</v>
      </c>
      <c r="N4828" s="66">
        <v>120</v>
      </c>
      <c r="O4828" s="67" t="str">
        <f>""</f>
        <v/>
      </c>
      <c r="P4828" s="68" t="e">
        <f>1/O4828</f>
        <v>#VALUE!</v>
      </c>
      <c r="Q4828" s="53">
        <v>1</v>
      </c>
      <c r="R4828" s="69">
        <f t="shared" ref="R4828" si="3459">1/Q4828</f>
        <v>1</v>
      </c>
      <c r="S4828" s="70">
        <f t="shared" ref="S4828" si="3460">R4828*N4828</f>
        <v>120</v>
      </c>
    </row>
    <row r="4829" spans="1:19" ht="15.6" hidden="1" customHeight="1" thickBot="1" x14ac:dyDescent="0.3">
      <c r="A4829" t="s">
        <v>23</v>
      </c>
      <c r="B4829" s="60" t="str">
        <f t="shared" si="3458"/>
        <v>hide</v>
      </c>
      <c r="D4829" s="48" t="str">
        <f>D4828</f>
        <v>85303</v>
      </c>
      <c r="E4829" s="7"/>
      <c r="F4829" s="27">
        <v>0</v>
      </c>
      <c r="G4829" s="27">
        <v>0</v>
      </c>
      <c r="H4829" s="27">
        <v>0</v>
      </c>
      <c r="I4829" s="27">
        <v>0</v>
      </c>
      <c r="J4829" s="27">
        <v>0</v>
      </c>
      <c r="K4829" s="63">
        <f>AVERAGE(I4829:J4829)</f>
        <v>0</v>
      </c>
      <c r="L4829" s="56" t="str">
        <f>"EQP-LAWPACK1"</f>
        <v>EQP-LAWPACK1</v>
      </c>
      <c r="M4829" s="14"/>
      <c r="N4829" s="15"/>
      <c r="O4829" s="12"/>
      <c r="P4829" s="34"/>
      <c r="Q4829" s="37"/>
      <c r="R4829" s="47"/>
      <c r="S4829" s="46"/>
    </row>
    <row r="4830" spans="1:19" ht="15.6" hidden="1" customHeight="1" thickBot="1" x14ac:dyDescent="0.3">
      <c r="A4830" t="s">
        <v>23</v>
      </c>
      <c r="B4830" s="60" t="str">
        <f t="shared" ref="B4830:B4832" si="3461">IF(K4830=0,"hide","")</f>
        <v>hide</v>
      </c>
      <c r="D4830" s="48" t="str">
        <f>D4829</f>
        <v>85303</v>
      </c>
      <c r="E4830" s="7"/>
      <c r="F4830" s="27">
        <v>0</v>
      </c>
      <c r="G4830" s="27">
        <v>0</v>
      </c>
      <c r="H4830" s="27">
        <v>0</v>
      </c>
      <c r="I4830" s="27">
        <v>0</v>
      </c>
      <c r="J4830" s="27">
        <v>0</v>
      </c>
      <c r="K4830" s="63">
        <f>AVERAGE(I4830:J4830)</f>
        <v>0</v>
      </c>
      <c r="L4830" s="56" t="str">
        <f>"EQP-LAWPACK2"</f>
        <v>EQP-LAWPACK2</v>
      </c>
      <c r="M4830" s="14"/>
      <c r="N4830" s="15"/>
      <c r="O4830" s="12"/>
      <c r="P4830" s="34"/>
      <c r="Q4830" s="37"/>
      <c r="R4830" s="47"/>
      <c r="S4830" s="46"/>
    </row>
    <row r="4831" spans="1:19" ht="15.6" hidden="1" customHeight="1" thickBot="1" x14ac:dyDescent="0.3">
      <c r="A4831" t="s">
        <v>23</v>
      </c>
      <c r="B4831" s="60" t="str">
        <f t="shared" si="3461"/>
        <v>hide</v>
      </c>
      <c r="D4831" s="48" t="str">
        <f>D4830</f>
        <v>85303</v>
      </c>
      <c r="E4831" s="7"/>
      <c r="F4831" s="27">
        <v>0</v>
      </c>
      <c r="G4831" s="27">
        <v>0</v>
      </c>
      <c r="H4831" s="27">
        <v>0</v>
      </c>
      <c r="I4831" s="27">
        <v>0</v>
      </c>
      <c r="J4831" s="27">
        <v>0</v>
      </c>
      <c r="K4831" s="63">
        <f>AVERAGE(I4831:J4831)</f>
        <v>0</v>
      </c>
      <c r="L4831" s="56" t="str">
        <f>"SW-COMAS-PACKL"</f>
        <v>SW-COMAS-PACKL</v>
      </c>
      <c r="M4831" s="14"/>
      <c r="N4831" s="15"/>
      <c r="O4831" s="12"/>
      <c r="P4831" s="34"/>
      <c r="Q4831" s="37"/>
      <c r="R4831" s="47"/>
      <c r="S4831" s="46"/>
    </row>
    <row r="4832" spans="1:19" ht="15.6" hidden="1" customHeight="1" thickBot="1" x14ac:dyDescent="0.3">
      <c r="A4832" t="s">
        <v>23</v>
      </c>
      <c r="B4832" s="60" t="str">
        <f t="shared" si="3461"/>
        <v>hide</v>
      </c>
      <c r="D4832" s="48" t="str">
        <f>D4831</f>
        <v>85303</v>
      </c>
      <c r="E4832" s="7"/>
      <c r="F4832" s="27">
        <v>0</v>
      </c>
      <c r="G4832" s="27">
        <v>0</v>
      </c>
      <c r="H4832" s="27">
        <v>0</v>
      </c>
      <c r="I4832" s="27">
        <v>0</v>
      </c>
      <c r="J4832" s="27">
        <v>0</v>
      </c>
      <c r="K4832" s="63">
        <f>AVERAGE(I4832:J4832)</f>
        <v>0</v>
      </c>
      <c r="L4832" s="56" t="str">
        <f>"SW-RISER-PACK"</f>
        <v>SW-RISER-PACK</v>
      </c>
      <c r="M4832" s="14"/>
      <c r="N4832" s="15"/>
      <c r="O4832" s="12"/>
      <c r="P4832" s="34"/>
      <c r="Q4832" s="37"/>
      <c r="R4832" s="47"/>
      <c r="S4832" s="46"/>
    </row>
    <row r="4833" spans="1:19" ht="12" hidden="1" customHeight="1" x14ac:dyDescent="0.3">
      <c r="A4833" s="35" t="s">
        <v>908</v>
      </c>
      <c r="B4833" s="49" t="str">
        <f>B4829</f>
        <v>hide</v>
      </c>
      <c r="N4833"/>
      <c r="Q4833" s="33"/>
    </row>
    <row r="4834" spans="1:19" ht="13.8" hidden="1" thickBot="1" x14ac:dyDescent="0.3">
      <c r="A4834" t="s">
        <v>23</v>
      </c>
      <c r="B4834" s="49" t="str">
        <f t="shared" ref="B4834" si="3462">B4833</f>
        <v>hide</v>
      </c>
      <c r="D4834" s="58"/>
      <c r="E4834" s="58"/>
      <c r="F4834" s="52">
        <f>SUM(F4829:F4833)</f>
        <v>0</v>
      </c>
      <c r="G4834" s="52">
        <f>SUM(G4829:G4833)</f>
        <v>0</v>
      </c>
      <c r="H4834" s="52">
        <f>SUM(H4829:H4833)</f>
        <v>0</v>
      </c>
      <c r="I4834" s="52">
        <f>SUM(I4829:I4833)</f>
        <v>0</v>
      </c>
      <c r="J4834" s="52">
        <f>SUM(J4829:J4833)</f>
        <v>0</v>
      </c>
      <c r="K4834" s="52"/>
      <c r="L4834" s="51" t="s">
        <v>4</v>
      </c>
      <c r="M4834" s="58"/>
      <c r="N4834" s="58"/>
      <c r="O4834" s="58"/>
      <c r="P4834" s="58"/>
      <c r="Q4834" s="58"/>
      <c r="R4834" s="58"/>
      <c r="S4834" s="58"/>
    </row>
    <row r="4835" spans="1:19" s="59" customFormat="1" ht="18.75" customHeight="1" thickBot="1" x14ac:dyDescent="0.3">
      <c r="A4835" s="59" t="s">
        <v>23</v>
      </c>
      <c r="B4835" s="60" t="str">
        <f t="shared" ref="B4835:B4836" si="3463">IF(K4835=0,"hide","")</f>
        <v/>
      </c>
      <c r="D4835" s="61" t="str">
        <f>"85316"</f>
        <v>85316</v>
      </c>
      <c r="E4835" s="62" t="str">
        <f>"2"</f>
        <v>2</v>
      </c>
      <c r="F4835" s="63">
        <v>63.416666666666679</v>
      </c>
      <c r="G4835" s="63">
        <v>54</v>
      </c>
      <c r="H4835" s="63">
        <v>69.166666666666671</v>
      </c>
      <c r="I4835" s="63">
        <v>38.833333333333336</v>
      </c>
      <c r="J4835" s="63">
        <v>0</v>
      </c>
      <c r="K4835" s="63">
        <f>AVERAGE(I4835:J4835)</f>
        <v>19.416666666666668</v>
      </c>
      <c r="L4835" s="64" t="str">
        <f>"CINNAMON RAISIN BAGEL DOUGH"</f>
        <v>CINNAMON RAISIN BAGEL DOUGH</v>
      </c>
      <c r="M4835" s="65" t="str">
        <f>"120-5 oz. Bulk"</f>
        <v>120-5 oz. Bulk</v>
      </c>
      <c r="N4835" s="66">
        <v>120</v>
      </c>
      <c r="O4835" s="67" t="str">
        <f>""</f>
        <v/>
      </c>
      <c r="P4835" s="68" t="e">
        <f>1/O4835</f>
        <v>#VALUE!</v>
      </c>
      <c r="Q4835" s="53">
        <v>1</v>
      </c>
      <c r="R4835" s="69">
        <f t="shared" ref="R4835" si="3464">1/Q4835</f>
        <v>1</v>
      </c>
      <c r="S4835" s="70">
        <f t="shared" ref="S4835" si="3465">R4835*N4835</f>
        <v>120</v>
      </c>
    </row>
    <row r="4836" spans="1:19" ht="15.6" hidden="1" customHeight="1" thickBot="1" x14ac:dyDescent="0.3">
      <c r="A4836" t="s">
        <v>23</v>
      </c>
      <c r="B4836" s="60" t="str">
        <f t="shared" si="3463"/>
        <v>hide</v>
      </c>
      <c r="D4836" s="48" t="str">
        <f>D4835</f>
        <v>85316</v>
      </c>
      <c r="E4836" s="7"/>
      <c r="F4836" s="27">
        <v>0</v>
      </c>
      <c r="G4836" s="27">
        <v>0</v>
      </c>
      <c r="H4836" s="27">
        <v>0</v>
      </c>
      <c r="I4836" s="27">
        <v>0</v>
      </c>
      <c r="J4836" s="27">
        <v>0</v>
      </c>
      <c r="K4836" s="63">
        <f>AVERAGE(I4836:J4836)</f>
        <v>0</v>
      </c>
      <c r="L4836" s="56" t="str">
        <f>"EQP-LAWPACK1"</f>
        <v>EQP-LAWPACK1</v>
      </c>
      <c r="M4836" s="14"/>
      <c r="N4836" s="15"/>
      <c r="O4836" s="12"/>
      <c r="P4836" s="34"/>
      <c r="Q4836" s="37"/>
      <c r="R4836" s="47"/>
      <c r="S4836" s="46"/>
    </row>
    <row r="4837" spans="1:19" ht="15.6" hidden="1" customHeight="1" thickBot="1" x14ac:dyDescent="0.3">
      <c r="A4837" t="s">
        <v>23</v>
      </c>
      <c r="B4837" s="60" t="str">
        <f t="shared" ref="B4837:B4839" si="3466">IF(K4837=0,"hide","")</f>
        <v>hide</v>
      </c>
      <c r="D4837" s="48" t="str">
        <f>D4836</f>
        <v>85316</v>
      </c>
      <c r="E4837" s="7"/>
      <c r="F4837" s="27">
        <v>0</v>
      </c>
      <c r="G4837" s="27">
        <v>0</v>
      </c>
      <c r="H4837" s="27">
        <v>0</v>
      </c>
      <c r="I4837" s="27">
        <v>0</v>
      </c>
      <c r="J4837" s="27">
        <v>0</v>
      </c>
      <c r="K4837" s="63">
        <f>AVERAGE(I4837:J4837)</f>
        <v>0</v>
      </c>
      <c r="L4837" s="56" t="str">
        <f>"EQP-LAWPACK2"</f>
        <v>EQP-LAWPACK2</v>
      </c>
      <c r="M4837" s="14"/>
      <c r="N4837" s="15"/>
      <c r="O4837" s="12"/>
      <c r="P4837" s="34"/>
      <c r="Q4837" s="37"/>
      <c r="R4837" s="47"/>
      <c r="S4837" s="46"/>
    </row>
    <row r="4838" spans="1:19" ht="15.6" hidden="1" customHeight="1" thickBot="1" x14ac:dyDescent="0.3">
      <c r="A4838" t="s">
        <v>23</v>
      </c>
      <c r="B4838" s="60" t="str">
        <f t="shared" si="3466"/>
        <v>hide</v>
      </c>
      <c r="D4838" s="48" t="str">
        <f>D4837</f>
        <v>85316</v>
      </c>
      <c r="E4838" s="7"/>
      <c r="F4838" s="27">
        <v>0</v>
      </c>
      <c r="G4838" s="27">
        <v>0</v>
      </c>
      <c r="H4838" s="27">
        <v>0</v>
      </c>
      <c r="I4838" s="27">
        <v>0</v>
      </c>
      <c r="J4838" s="27">
        <v>0</v>
      </c>
      <c r="K4838" s="63">
        <f>AVERAGE(I4838:J4838)</f>
        <v>0</v>
      </c>
      <c r="L4838" s="56" t="str">
        <f>"SW-COMAS-PACKL"</f>
        <v>SW-COMAS-PACKL</v>
      </c>
      <c r="M4838" s="14"/>
      <c r="N4838" s="15"/>
      <c r="O4838" s="12"/>
      <c r="P4838" s="34"/>
      <c r="Q4838" s="37"/>
      <c r="R4838" s="47"/>
      <c r="S4838" s="46"/>
    </row>
    <row r="4839" spans="1:19" ht="15.6" hidden="1" customHeight="1" thickBot="1" x14ac:dyDescent="0.3">
      <c r="A4839" t="s">
        <v>23</v>
      </c>
      <c r="B4839" s="60" t="str">
        <f t="shared" si="3466"/>
        <v>hide</v>
      </c>
      <c r="D4839" s="48" t="str">
        <f>D4838</f>
        <v>85316</v>
      </c>
      <c r="E4839" s="7"/>
      <c r="F4839" s="27">
        <v>0</v>
      </c>
      <c r="G4839" s="27">
        <v>0</v>
      </c>
      <c r="H4839" s="27">
        <v>0</v>
      </c>
      <c r="I4839" s="27">
        <v>0</v>
      </c>
      <c r="J4839" s="27">
        <v>0</v>
      </c>
      <c r="K4839" s="63">
        <f>AVERAGE(I4839:J4839)</f>
        <v>0</v>
      </c>
      <c r="L4839" s="56" t="str">
        <f>"SW-RISER-PACK"</f>
        <v>SW-RISER-PACK</v>
      </c>
      <c r="M4839" s="14"/>
      <c r="N4839" s="15"/>
      <c r="O4839" s="12"/>
      <c r="P4839" s="34"/>
      <c r="Q4839" s="37"/>
      <c r="R4839" s="47"/>
      <c r="S4839" s="46"/>
    </row>
    <row r="4840" spans="1:19" ht="12" hidden="1" customHeight="1" x14ac:dyDescent="0.3">
      <c r="A4840" s="35" t="s">
        <v>908</v>
      </c>
      <c r="B4840" s="49" t="str">
        <f>B4836</f>
        <v>hide</v>
      </c>
      <c r="N4840"/>
      <c r="Q4840" s="33"/>
    </row>
    <row r="4841" spans="1:19" ht="13.8" hidden="1" thickBot="1" x14ac:dyDescent="0.3">
      <c r="A4841" t="s">
        <v>23</v>
      </c>
      <c r="B4841" s="49" t="str">
        <f t="shared" ref="B4841" si="3467">B4840</f>
        <v>hide</v>
      </c>
      <c r="D4841" s="58"/>
      <c r="E4841" s="58"/>
      <c r="F4841" s="52">
        <f>SUM(F4836:F4840)</f>
        <v>0</v>
      </c>
      <c r="G4841" s="52">
        <f>SUM(G4836:G4840)</f>
        <v>0</v>
      </c>
      <c r="H4841" s="52">
        <f>SUM(H4836:H4840)</f>
        <v>0</v>
      </c>
      <c r="I4841" s="52">
        <f>SUM(I4836:I4840)</f>
        <v>0</v>
      </c>
      <c r="J4841" s="52">
        <f>SUM(J4836:J4840)</f>
        <v>0</v>
      </c>
      <c r="K4841" s="52"/>
      <c r="L4841" s="51" t="s">
        <v>4</v>
      </c>
      <c r="M4841" s="58"/>
      <c r="N4841" s="58"/>
      <c r="O4841" s="58"/>
      <c r="P4841" s="58"/>
      <c r="Q4841" s="58"/>
      <c r="R4841" s="58"/>
      <c r="S4841" s="58"/>
    </row>
    <row r="4842" spans="1:19" s="59" customFormat="1" ht="18.75" hidden="1" customHeight="1" thickBot="1" x14ac:dyDescent="0.3">
      <c r="A4842" s="59" t="s">
        <v>23</v>
      </c>
      <c r="B4842" s="60" t="str">
        <f t="shared" ref="B4842:B4843" si="3468">IF(K4842=0,"hide","")</f>
        <v>hide</v>
      </c>
      <c r="D4842" s="61" t="str">
        <f>"85324"</f>
        <v>85324</v>
      </c>
      <c r="E4842" s="62" t="str">
        <f>"2"</f>
        <v>2</v>
      </c>
      <c r="F4842" s="63">
        <v>0</v>
      </c>
      <c r="G4842" s="63">
        <v>0</v>
      </c>
      <c r="H4842" s="63">
        <v>0</v>
      </c>
      <c r="I4842" s="63">
        <v>0</v>
      </c>
      <c r="J4842" s="63">
        <v>0</v>
      </c>
      <c r="K4842" s="63">
        <f>AVERAGE(I4842:J4842)</f>
        <v>0</v>
      </c>
      <c r="L4842" s="64" t="str">
        <f>"SPINACH ONION BAGEL DOUGH"</f>
        <v>SPINACH ONION BAGEL DOUGH</v>
      </c>
      <c r="M4842" s="65" t="str">
        <f>"120-5 oz. BULK"</f>
        <v>120-5 oz. BULK</v>
      </c>
      <c r="N4842" s="66">
        <v>120</v>
      </c>
      <c r="O4842" s="67" t="str">
        <f>""</f>
        <v/>
      </c>
      <c r="P4842" s="68" t="e">
        <f>1/O4842</f>
        <v>#VALUE!</v>
      </c>
      <c r="Q4842" s="53">
        <v>1</v>
      </c>
      <c r="R4842" s="69">
        <f t="shared" ref="R4842" si="3469">1/Q4842</f>
        <v>1</v>
      </c>
      <c r="S4842" s="70">
        <f t="shared" ref="S4842" si="3470">R4842*N4842</f>
        <v>120</v>
      </c>
    </row>
    <row r="4843" spans="1:19" ht="15.6" hidden="1" customHeight="1" thickBot="1" x14ac:dyDescent="0.3">
      <c r="A4843" t="s">
        <v>23</v>
      </c>
      <c r="B4843" s="60" t="str">
        <f t="shared" si="3468"/>
        <v>hide</v>
      </c>
      <c r="D4843" s="48" t="str">
        <f>D4842</f>
        <v>85324</v>
      </c>
      <c r="E4843" s="7"/>
      <c r="F4843" s="27">
        <v>0</v>
      </c>
      <c r="G4843" s="27">
        <v>0</v>
      </c>
      <c r="H4843" s="27">
        <v>0</v>
      </c>
      <c r="I4843" s="27">
        <v>0</v>
      </c>
      <c r="J4843" s="27">
        <v>0</v>
      </c>
      <c r="K4843" s="63">
        <f>AVERAGE(I4843:J4843)</f>
        <v>0</v>
      </c>
      <c r="L4843" s="56" t="str">
        <f>"EQP-LAWPACK1"</f>
        <v>EQP-LAWPACK1</v>
      </c>
      <c r="M4843" s="14"/>
      <c r="N4843" s="15"/>
      <c r="O4843" s="12"/>
      <c r="P4843" s="34"/>
      <c r="Q4843" s="37"/>
      <c r="R4843" s="47"/>
      <c r="S4843" s="46"/>
    </row>
    <row r="4844" spans="1:19" ht="15.6" hidden="1" customHeight="1" thickBot="1" x14ac:dyDescent="0.3">
      <c r="A4844" t="s">
        <v>23</v>
      </c>
      <c r="B4844" s="60" t="str">
        <f t="shared" ref="B4844:B4846" si="3471">IF(K4844=0,"hide","")</f>
        <v>hide</v>
      </c>
      <c r="D4844" s="48" t="str">
        <f>D4843</f>
        <v>85324</v>
      </c>
      <c r="E4844" s="7"/>
      <c r="F4844" s="27">
        <v>0</v>
      </c>
      <c r="G4844" s="27">
        <v>0</v>
      </c>
      <c r="H4844" s="27">
        <v>0</v>
      </c>
      <c r="I4844" s="27">
        <v>0</v>
      </c>
      <c r="J4844" s="27">
        <v>0</v>
      </c>
      <c r="K4844" s="63">
        <f>AVERAGE(I4844:J4844)</f>
        <v>0</v>
      </c>
      <c r="L4844" s="56" t="str">
        <f>"EQP-LAWPACK2"</f>
        <v>EQP-LAWPACK2</v>
      </c>
      <c r="M4844" s="14"/>
      <c r="N4844" s="15"/>
      <c r="O4844" s="12"/>
      <c r="P4844" s="34"/>
      <c r="Q4844" s="37"/>
      <c r="R4844" s="47"/>
      <c r="S4844" s="46"/>
    </row>
    <row r="4845" spans="1:19" ht="15.6" hidden="1" customHeight="1" thickBot="1" x14ac:dyDescent="0.3">
      <c r="A4845" t="s">
        <v>23</v>
      </c>
      <c r="B4845" s="60" t="str">
        <f t="shared" si="3471"/>
        <v>hide</v>
      </c>
      <c r="D4845" s="48" t="str">
        <f>D4844</f>
        <v>85324</v>
      </c>
      <c r="E4845" s="7"/>
      <c r="F4845" s="27">
        <v>0</v>
      </c>
      <c r="G4845" s="27">
        <v>0</v>
      </c>
      <c r="H4845" s="27">
        <v>0</v>
      </c>
      <c r="I4845" s="27">
        <v>0</v>
      </c>
      <c r="J4845" s="27">
        <v>0</v>
      </c>
      <c r="K4845" s="63">
        <f>AVERAGE(I4845:J4845)</f>
        <v>0</v>
      </c>
      <c r="L4845" s="56" t="str">
        <f>"SW-COMAS-PACKL"</f>
        <v>SW-COMAS-PACKL</v>
      </c>
      <c r="M4845" s="14"/>
      <c r="N4845" s="15"/>
      <c r="O4845" s="12"/>
      <c r="P4845" s="34"/>
      <c r="Q4845" s="37"/>
      <c r="R4845" s="47"/>
      <c r="S4845" s="46"/>
    </row>
    <row r="4846" spans="1:19" ht="15.6" hidden="1" customHeight="1" thickBot="1" x14ac:dyDescent="0.3">
      <c r="A4846" t="s">
        <v>23</v>
      </c>
      <c r="B4846" s="60" t="str">
        <f t="shared" si="3471"/>
        <v>hide</v>
      </c>
      <c r="D4846" s="48" t="str">
        <f>D4845</f>
        <v>85324</v>
      </c>
      <c r="E4846" s="7"/>
      <c r="F4846" s="27">
        <v>0</v>
      </c>
      <c r="G4846" s="27">
        <v>0</v>
      </c>
      <c r="H4846" s="27">
        <v>0</v>
      </c>
      <c r="I4846" s="27">
        <v>0</v>
      </c>
      <c r="J4846" s="27">
        <v>0</v>
      </c>
      <c r="K4846" s="63">
        <f>AVERAGE(I4846:J4846)</f>
        <v>0</v>
      </c>
      <c r="L4846" s="56" t="str">
        <f>"SW-RISER-PACK"</f>
        <v>SW-RISER-PACK</v>
      </c>
      <c r="M4846" s="14"/>
      <c r="N4846" s="15"/>
      <c r="O4846" s="12"/>
      <c r="P4846" s="34"/>
      <c r="Q4846" s="37"/>
      <c r="R4846" s="47"/>
      <c r="S4846" s="46"/>
    </row>
    <row r="4847" spans="1:19" ht="12" hidden="1" customHeight="1" x14ac:dyDescent="0.3">
      <c r="A4847" s="35" t="s">
        <v>908</v>
      </c>
      <c r="B4847" s="49" t="str">
        <f>B4843</f>
        <v>hide</v>
      </c>
      <c r="N4847"/>
      <c r="Q4847" s="33"/>
    </row>
    <row r="4848" spans="1:19" ht="13.8" hidden="1" thickBot="1" x14ac:dyDescent="0.3">
      <c r="A4848" t="s">
        <v>23</v>
      </c>
      <c r="B4848" s="49" t="str">
        <f t="shared" ref="B4848" si="3472">B4847</f>
        <v>hide</v>
      </c>
      <c r="D4848" s="58"/>
      <c r="E4848" s="58"/>
      <c r="F4848" s="52">
        <f>SUM(F4843:F4847)</f>
        <v>0</v>
      </c>
      <c r="G4848" s="52">
        <f>SUM(G4843:G4847)</f>
        <v>0</v>
      </c>
      <c r="H4848" s="52">
        <f>SUM(H4843:H4847)</f>
        <v>0</v>
      </c>
      <c r="I4848" s="52">
        <f>SUM(I4843:I4847)</f>
        <v>0</v>
      </c>
      <c r="J4848" s="52">
        <f>SUM(J4843:J4847)</f>
        <v>0</v>
      </c>
      <c r="K4848" s="52"/>
      <c r="L4848" s="51" t="s">
        <v>4</v>
      </c>
      <c r="M4848" s="58"/>
      <c r="N4848" s="58"/>
      <c r="O4848" s="58"/>
      <c r="P4848" s="58"/>
      <c r="Q4848" s="58"/>
      <c r="R4848" s="58"/>
      <c r="S4848" s="58"/>
    </row>
    <row r="4849" spans="1:19" s="59" customFormat="1" ht="18.75" customHeight="1" thickBot="1" x14ac:dyDescent="0.3">
      <c r="A4849" s="59" t="s">
        <v>23</v>
      </c>
      <c r="B4849" s="60" t="str">
        <f t="shared" ref="B4849:B4850" si="3473">IF(K4849=0,"hide","")</f>
        <v/>
      </c>
      <c r="D4849" s="61" t="str">
        <f>"85325"</f>
        <v>85325</v>
      </c>
      <c r="E4849" s="62" t="str">
        <f>"2"</f>
        <v>2</v>
      </c>
      <c r="F4849" s="63">
        <v>48</v>
      </c>
      <c r="G4849" s="63">
        <v>48.666666666666664</v>
      </c>
      <c r="H4849" s="63">
        <v>72.499999999999986</v>
      </c>
      <c r="I4849" s="63">
        <v>55</v>
      </c>
      <c r="J4849" s="63">
        <v>0</v>
      </c>
      <c r="K4849" s="63">
        <f>AVERAGE(I4849:J4849)</f>
        <v>27.5</v>
      </c>
      <c r="L4849" s="64" t="str">
        <f>"JALAPENO BAGEL DOUGH"</f>
        <v>JALAPENO BAGEL DOUGH</v>
      </c>
      <c r="M4849" s="65" t="str">
        <f>"120-5 oz. Bulk"</f>
        <v>120-5 oz. Bulk</v>
      </c>
      <c r="N4849" s="66">
        <v>120</v>
      </c>
      <c r="O4849" s="67" t="str">
        <f>""</f>
        <v/>
      </c>
      <c r="P4849" s="68" t="e">
        <f>1/O4849</f>
        <v>#VALUE!</v>
      </c>
      <c r="Q4849" s="53">
        <v>1</v>
      </c>
      <c r="R4849" s="69">
        <f t="shared" ref="R4849" si="3474">1/Q4849</f>
        <v>1</v>
      </c>
      <c r="S4849" s="70">
        <f t="shared" ref="S4849" si="3475">R4849*N4849</f>
        <v>120</v>
      </c>
    </row>
    <row r="4850" spans="1:19" ht="15.6" hidden="1" customHeight="1" thickBot="1" x14ac:dyDescent="0.3">
      <c r="A4850" t="s">
        <v>23</v>
      </c>
      <c r="B4850" s="60" t="str">
        <f t="shared" si="3473"/>
        <v>hide</v>
      </c>
      <c r="D4850" s="48" t="str">
        <f>D4849</f>
        <v>85325</v>
      </c>
      <c r="E4850" s="7"/>
      <c r="F4850" s="27">
        <v>0</v>
      </c>
      <c r="G4850" s="27">
        <v>0</v>
      </c>
      <c r="H4850" s="27">
        <v>0</v>
      </c>
      <c r="I4850" s="27">
        <v>0</v>
      </c>
      <c r="J4850" s="27">
        <v>0</v>
      </c>
      <c r="K4850" s="63">
        <f>AVERAGE(I4850:J4850)</f>
        <v>0</v>
      </c>
      <c r="L4850" s="56" t="str">
        <f>"EQP-LAWPACK1"</f>
        <v>EQP-LAWPACK1</v>
      </c>
      <c r="M4850" s="14"/>
      <c r="N4850" s="15"/>
      <c r="O4850" s="12"/>
      <c r="P4850" s="34"/>
      <c r="Q4850" s="37"/>
      <c r="R4850" s="47"/>
      <c r="S4850" s="46"/>
    </row>
    <row r="4851" spans="1:19" ht="15.6" hidden="1" customHeight="1" thickBot="1" x14ac:dyDescent="0.3">
      <c r="A4851" t="s">
        <v>23</v>
      </c>
      <c r="B4851" s="60" t="str">
        <f t="shared" ref="B4851:B4853" si="3476">IF(K4851=0,"hide","")</f>
        <v>hide</v>
      </c>
      <c r="D4851" s="48" t="str">
        <f>D4850</f>
        <v>85325</v>
      </c>
      <c r="E4851" s="7"/>
      <c r="F4851" s="27">
        <v>0</v>
      </c>
      <c r="G4851" s="27">
        <v>0</v>
      </c>
      <c r="H4851" s="27">
        <v>0</v>
      </c>
      <c r="I4851" s="27">
        <v>0</v>
      </c>
      <c r="J4851" s="27">
        <v>0</v>
      </c>
      <c r="K4851" s="63">
        <f>AVERAGE(I4851:J4851)</f>
        <v>0</v>
      </c>
      <c r="L4851" s="56" t="str">
        <f>"EQP-LAWPACK2"</f>
        <v>EQP-LAWPACK2</v>
      </c>
      <c r="M4851" s="14"/>
      <c r="N4851" s="15"/>
      <c r="O4851" s="12"/>
      <c r="P4851" s="34"/>
      <c r="Q4851" s="37"/>
      <c r="R4851" s="47"/>
      <c r="S4851" s="46"/>
    </row>
    <row r="4852" spans="1:19" ht="15.6" hidden="1" customHeight="1" thickBot="1" x14ac:dyDescent="0.3">
      <c r="A4852" t="s">
        <v>23</v>
      </c>
      <c r="B4852" s="60" t="str">
        <f t="shared" si="3476"/>
        <v>hide</v>
      </c>
      <c r="D4852" s="48" t="str">
        <f>D4851</f>
        <v>85325</v>
      </c>
      <c r="E4852" s="7"/>
      <c r="F4852" s="27">
        <v>0</v>
      </c>
      <c r="G4852" s="27">
        <v>0</v>
      </c>
      <c r="H4852" s="27">
        <v>0</v>
      </c>
      <c r="I4852" s="27">
        <v>0</v>
      </c>
      <c r="J4852" s="27">
        <v>0</v>
      </c>
      <c r="K4852" s="63">
        <f>AVERAGE(I4852:J4852)</f>
        <v>0</v>
      </c>
      <c r="L4852" s="56" t="str">
        <f>"SW-COMAS-PACKL"</f>
        <v>SW-COMAS-PACKL</v>
      </c>
      <c r="M4852" s="14"/>
      <c r="N4852" s="15"/>
      <c r="O4852" s="12"/>
      <c r="P4852" s="34"/>
      <c r="Q4852" s="37"/>
      <c r="R4852" s="47"/>
      <c r="S4852" s="46"/>
    </row>
    <row r="4853" spans="1:19" ht="15.6" hidden="1" customHeight="1" thickBot="1" x14ac:dyDescent="0.3">
      <c r="A4853" t="s">
        <v>23</v>
      </c>
      <c r="B4853" s="60" t="str">
        <f t="shared" si="3476"/>
        <v>hide</v>
      </c>
      <c r="D4853" s="48" t="str">
        <f>D4852</f>
        <v>85325</v>
      </c>
      <c r="E4853" s="7"/>
      <c r="F4853" s="27">
        <v>0</v>
      </c>
      <c r="G4853" s="27">
        <v>0</v>
      </c>
      <c r="H4853" s="27">
        <v>0</v>
      </c>
      <c r="I4853" s="27">
        <v>0</v>
      </c>
      <c r="J4853" s="27">
        <v>0</v>
      </c>
      <c r="K4853" s="63">
        <f>AVERAGE(I4853:J4853)</f>
        <v>0</v>
      </c>
      <c r="L4853" s="56" t="str">
        <f>"SW-RISER-PACK"</f>
        <v>SW-RISER-PACK</v>
      </c>
      <c r="M4853" s="14"/>
      <c r="N4853" s="15"/>
      <c r="O4853" s="12"/>
      <c r="P4853" s="34"/>
      <c r="Q4853" s="37"/>
      <c r="R4853" s="47"/>
      <c r="S4853" s="46"/>
    </row>
    <row r="4854" spans="1:19" ht="12" hidden="1" customHeight="1" x14ac:dyDescent="0.3">
      <c r="A4854" s="35" t="s">
        <v>908</v>
      </c>
      <c r="B4854" s="49" t="str">
        <f>B4850</f>
        <v>hide</v>
      </c>
      <c r="N4854"/>
      <c r="Q4854" s="33"/>
    </row>
    <row r="4855" spans="1:19" ht="13.8" hidden="1" thickBot="1" x14ac:dyDescent="0.3">
      <c r="A4855" t="s">
        <v>23</v>
      </c>
      <c r="B4855" s="49" t="str">
        <f t="shared" ref="B4855" si="3477">B4854</f>
        <v>hide</v>
      </c>
      <c r="D4855" s="58"/>
      <c r="E4855" s="58"/>
      <c r="F4855" s="52">
        <f>SUM(F4850:F4854)</f>
        <v>0</v>
      </c>
      <c r="G4855" s="52">
        <f>SUM(G4850:G4854)</f>
        <v>0</v>
      </c>
      <c r="H4855" s="52">
        <f>SUM(H4850:H4854)</f>
        <v>0</v>
      </c>
      <c r="I4855" s="52">
        <f>SUM(I4850:I4854)</f>
        <v>0</v>
      </c>
      <c r="J4855" s="52">
        <f>SUM(J4850:J4854)</f>
        <v>0</v>
      </c>
      <c r="K4855" s="52"/>
      <c r="L4855" s="51" t="s">
        <v>4</v>
      </c>
      <c r="M4855" s="58"/>
      <c r="N4855" s="58"/>
      <c r="O4855" s="58"/>
      <c r="P4855" s="58"/>
      <c r="Q4855" s="58"/>
      <c r="R4855" s="58"/>
      <c r="S4855" s="58"/>
    </row>
    <row r="4856" spans="1:19" s="59" customFormat="1" ht="18.75" customHeight="1" thickBot="1" x14ac:dyDescent="0.3">
      <c r="A4856" s="59" t="s">
        <v>23</v>
      </c>
      <c r="B4856" s="60" t="str">
        <f t="shared" ref="B4856:B4857" si="3478">IF(K4856=0,"hide","")</f>
        <v/>
      </c>
      <c r="D4856" s="61" t="str">
        <f>"85329"</f>
        <v>85329</v>
      </c>
      <c r="E4856" s="62" t="str">
        <f>"3"</f>
        <v>3</v>
      </c>
      <c r="F4856" s="63">
        <v>681.66666666666663</v>
      </c>
      <c r="G4856" s="63">
        <v>657.08333333333326</v>
      </c>
      <c r="H4856" s="63">
        <v>717.66666666666663</v>
      </c>
      <c r="I4856" s="63">
        <v>789.83333333333337</v>
      </c>
      <c r="J4856" s="63">
        <v>0</v>
      </c>
      <c r="K4856" s="63">
        <f>AVERAGE(I4856:J4856)</f>
        <v>394.91666666666669</v>
      </c>
      <c r="L4856" s="64" t="str">
        <f>"PLAIN BAGEL DOUGH"</f>
        <v>PLAIN BAGEL DOUGH</v>
      </c>
      <c r="M4856" s="65" t="str">
        <f>"120-5 oz. Bulk"</f>
        <v>120-5 oz. Bulk</v>
      </c>
      <c r="N4856" s="66">
        <v>120</v>
      </c>
      <c r="O4856" s="67" t="str">
        <f>""</f>
        <v/>
      </c>
      <c r="P4856" s="68" t="e">
        <f>1/O4856</f>
        <v>#VALUE!</v>
      </c>
      <c r="Q4856" s="53">
        <v>1</v>
      </c>
      <c r="R4856" s="69">
        <f t="shared" ref="R4856" si="3479">1/Q4856</f>
        <v>1</v>
      </c>
      <c r="S4856" s="70">
        <f t="shared" ref="S4856" si="3480">R4856*N4856</f>
        <v>120</v>
      </c>
    </row>
    <row r="4857" spans="1:19" ht="15.6" hidden="1" customHeight="1" thickBot="1" x14ac:dyDescent="0.3">
      <c r="A4857" t="s">
        <v>23</v>
      </c>
      <c r="B4857" s="60" t="str">
        <f t="shared" si="3478"/>
        <v>hide</v>
      </c>
      <c r="D4857" s="48" t="str">
        <f>D4856</f>
        <v>85329</v>
      </c>
      <c r="E4857" s="7"/>
      <c r="F4857" s="27">
        <v>0</v>
      </c>
      <c r="G4857" s="27">
        <v>0</v>
      </c>
      <c r="H4857" s="27">
        <v>0</v>
      </c>
      <c r="I4857" s="27">
        <v>0</v>
      </c>
      <c r="J4857" s="27">
        <v>0</v>
      </c>
      <c r="K4857" s="63">
        <f>AVERAGE(I4857:J4857)</f>
        <v>0</v>
      </c>
      <c r="L4857" s="56" t="str">
        <f>"EQP-LAWPACK1"</f>
        <v>EQP-LAWPACK1</v>
      </c>
      <c r="M4857" s="14"/>
      <c r="N4857" s="15"/>
      <c r="O4857" s="12"/>
      <c r="P4857" s="34"/>
      <c r="Q4857" s="37"/>
      <c r="R4857" s="47"/>
      <c r="S4857" s="46"/>
    </row>
    <row r="4858" spans="1:19" ht="15.6" hidden="1" customHeight="1" thickBot="1" x14ac:dyDescent="0.3">
      <c r="A4858" t="s">
        <v>23</v>
      </c>
      <c r="B4858" s="60" t="str">
        <f t="shared" ref="B4858:B4860" si="3481">IF(K4858=0,"hide","")</f>
        <v>hide</v>
      </c>
      <c r="D4858" s="48" t="str">
        <f>D4857</f>
        <v>85329</v>
      </c>
      <c r="E4858" s="7"/>
      <c r="F4858" s="27">
        <v>0</v>
      </c>
      <c r="G4858" s="27">
        <v>0</v>
      </c>
      <c r="H4858" s="27">
        <v>0</v>
      </c>
      <c r="I4858" s="27">
        <v>0</v>
      </c>
      <c r="J4858" s="27">
        <v>0</v>
      </c>
      <c r="K4858" s="63">
        <f>AVERAGE(I4858:J4858)</f>
        <v>0</v>
      </c>
      <c r="L4858" s="56" t="str">
        <f>"EQP-LAWPACK2"</f>
        <v>EQP-LAWPACK2</v>
      </c>
      <c r="M4858" s="14"/>
      <c r="N4858" s="15"/>
      <c r="O4858" s="12"/>
      <c r="P4858" s="34"/>
      <c r="Q4858" s="37"/>
      <c r="R4858" s="47"/>
      <c r="S4858" s="46"/>
    </row>
    <row r="4859" spans="1:19" ht="15.6" hidden="1" customHeight="1" thickBot="1" x14ac:dyDescent="0.3">
      <c r="A4859" t="s">
        <v>23</v>
      </c>
      <c r="B4859" s="60" t="str">
        <f t="shared" si="3481"/>
        <v>hide</v>
      </c>
      <c r="D4859" s="48" t="str">
        <f>D4858</f>
        <v>85329</v>
      </c>
      <c r="E4859" s="7"/>
      <c r="F4859" s="27">
        <v>0</v>
      </c>
      <c r="G4859" s="27">
        <v>0</v>
      </c>
      <c r="H4859" s="27">
        <v>0</v>
      </c>
      <c r="I4859" s="27">
        <v>0</v>
      </c>
      <c r="J4859" s="27">
        <v>0</v>
      </c>
      <c r="K4859" s="63">
        <f>AVERAGE(I4859:J4859)</f>
        <v>0</v>
      </c>
      <c r="L4859" s="56" t="str">
        <f>"SW-COMAS-PACKL"</f>
        <v>SW-COMAS-PACKL</v>
      </c>
      <c r="M4859" s="14"/>
      <c r="N4859" s="15"/>
      <c r="O4859" s="12"/>
      <c r="P4859" s="34"/>
      <c r="Q4859" s="37"/>
      <c r="R4859" s="47"/>
      <c r="S4859" s="46"/>
    </row>
    <row r="4860" spans="1:19" ht="15.6" hidden="1" customHeight="1" thickBot="1" x14ac:dyDescent="0.3">
      <c r="A4860" t="s">
        <v>23</v>
      </c>
      <c r="B4860" s="60" t="str">
        <f t="shared" si="3481"/>
        <v>hide</v>
      </c>
      <c r="D4860" s="48" t="str">
        <f>D4859</f>
        <v>85329</v>
      </c>
      <c r="E4860" s="7"/>
      <c r="F4860" s="27">
        <v>0</v>
      </c>
      <c r="G4860" s="27">
        <v>0</v>
      </c>
      <c r="H4860" s="27">
        <v>0</v>
      </c>
      <c r="I4860" s="27">
        <v>0</v>
      </c>
      <c r="J4860" s="27">
        <v>0</v>
      </c>
      <c r="K4860" s="63">
        <f>AVERAGE(I4860:J4860)</f>
        <v>0</v>
      </c>
      <c r="L4860" s="56" t="str">
        <f>"SW-RISER-PACK"</f>
        <v>SW-RISER-PACK</v>
      </c>
      <c r="M4860" s="14"/>
      <c r="N4860" s="15"/>
      <c r="O4860" s="12"/>
      <c r="P4860" s="34"/>
      <c r="Q4860" s="37"/>
      <c r="R4860" s="47"/>
      <c r="S4860" s="46"/>
    </row>
    <row r="4861" spans="1:19" ht="12" hidden="1" customHeight="1" x14ac:dyDescent="0.3">
      <c r="A4861" s="35" t="s">
        <v>908</v>
      </c>
      <c r="B4861" s="49" t="str">
        <f>B4857</f>
        <v>hide</v>
      </c>
      <c r="N4861"/>
      <c r="Q4861" s="33"/>
    </row>
    <row r="4862" spans="1:19" ht="13.8" hidden="1" thickBot="1" x14ac:dyDescent="0.3">
      <c r="A4862" t="s">
        <v>23</v>
      </c>
      <c r="B4862" s="49" t="str">
        <f t="shared" ref="B4862" si="3482">B4861</f>
        <v>hide</v>
      </c>
      <c r="D4862" s="58"/>
      <c r="E4862" s="58"/>
      <c r="F4862" s="52">
        <f>SUM(F4857:F4861)</f>
        <v>0</v>
      </c>
      <c r="G4862" s="52">
        <f>SUM(G4857:G4861)</f>
        <v>0</v>
      </c>
      <c r="H4862" s="52">
        <f>SUM(H4857:H4861)</f>
        <v>0</v>
      </c>
      <c r="I4862" s="52">
        <f>SUM(I4857:I4861)</f>
        <v>0</v>
      </c>
      <c r="J4862" s="52">
        <f>SUM(J4857:J4861)</f>
        <v>0</v>
      </c>
      <c r="K4862" s="52"/>
      <c r="L4862" s="51" t="s">
        <v>4</v>
      </c>
      <c r="M4862" s="58"/>
      <c r="N4862" s="58"/>
      <c r="O4862" s="58"/>
      <c r="P4862" s="58"/>
      <c r="Q4862" s="58"/>
      <c r="R4862" s="58"/>
      <c r="S4862" s="58"/>
    </row>
    <row r="4863" spans="1:19" s="59" customFormat="1" ht="18.75" customHeight="1" thickBot="1" x14ac:dyDescent="0.3">
      <c r="A4863" s="59" t="s">
        <v>23</v>
      </c>
      <c r="B4863" s="60" t="str">
        <f t="shared" ref="B4863:B4864" si="3483">IF(K4863=0,"hide","")</f>
        <v/>
      </c>
      <c r="D4863" s="61" t="str">
        <f>"85336"</f>
        <v>85336</v>
      </c>
      <c r="E4863" s="62" t="str">
        <f>"2"</f>
        <v>2</v>
      </c>
      <c r="F4863" s="63">
        <v>34.333333333333336</v>
      </c>
      <c r="G4863" s="63">
        <v>32</v>
      </c>
      <c r="H4863" s="63">
        <v>44.083333333333336</v>
      </c>
      <c r="I4863" s="63">
        <v>37.666666666666664</v>
      </c>
      <c r="J4863" s="63">
        <v>0</v>
      </c>
      <c r="K4863" s="63">
        <f>AVERAGE(I4863:J4863)</f>
        <v>18.833333333333332</v>
      </c>
      <c r="L4863" s="64" t="str">
        <f>"SUPER CINNAMON BAGEL DOUGH"</f>
        <v>SUPER CINNAMON BAGEL DOUGH</v>
      </c>
      <c r="M4863" s="65" t="str">
        <f>"120-5 oz. Bulk"</f>
        <v>120-5 oz. Bulk</v>
      </c>
      <c r="N4863" s="66">
        <v>120</v>
      </c>
      <c r="O4863" s="67" t="str">
        <f>""</f>
        <v/>
      </c>
      <c r="P4863" s="68" t="e">
        <f>1/O4863</f>
        <v>#VALUE!</v>
      </c>
      <c r="Q4863" s="53">
        <v>1</v>
      </c>
      <c r="R4863" s="69">
        <f t="shared" ref="R4863" si="3484">1/Q4863</f>
        <v>1</v>
      </c>
      <c r="S4863" s="70">
        <f t="shared" ref="S4863" si="3485">R4863*N4863</f>
        <v>120</v>
      </c>
    </row>
    <row r="4864" spans="1:19" ht="15.6" hidden="1" customHeight="1" thickBot="1" x14ac:dyDescent="0.3">
      <c r="A4864" t="s">
        <v>23</v>
      </c>
      <c r="B4864" s="60" t="str">
        <f t="shared" si="3483"/>
        <v>hide</v>
      </c>
      <c r="D4864" s="48" t="str">
        <f>D4863</f>
        <v>85336</v>
      </c>
      <c r="E4864" s="7"/>
      <c r="F4864" s="27">
        <v>0</v>
      </c>
      <c r="G4864" s="27">
        <v>0</v>
      </c>
      <c r="H4864" s="27">
        <v>0</v>
      </c>
      <c r="I4864" s="27">
        <v>0</v>
      </c>
      <c r="J4864" s="27">
        <v>0</v>
      </c>
      <c r="K4864" s="63">
        <f>AVERAGE(I4864:J4864)</f>
        <v>0</v>
      </c>
      <c r="L4864" s="56" t="str">
        <f>"EQP-LAWPACK1"</f>
        <v>EQP-LAWPACK1</v>
      </c>
      <c r="M4864" s="14"/>
      <c r="N4864" s="15"/>
      <c r="O4864" s="12"/>
      <c r="P4864" s="34"/>
      <c r="Q4864" s="37"/>
      <c r="R4864" s="47"/>
      <c r="S4864" s="46"/>
    </row>
    <row r="4865" spans="1:19" ht="15.6" hidden="1" customHeight="1" thickBot="1" x14ac:dyDescent="0.3">
      <c r="A4865" t="s">
        <v>23</v>
      </c>
      <c r="B4865" s="60" t="str">
        <f t="shared" ref="B4865:B4867" si="3486">IF(K4865=0,"hide","")</f>
        <v>hide</v>
      </c>
      <c r="D4865" s="48" t="str">
        <f>D4864</f>
        <v>85336</v>
      </c>
      <c r="E4865" s="7"/>
      <c r="F4865" s="27">
        <v>0</v>
      </c>
      <c r="G4865" s="27">
        <v>0</v>
      </c>
      <c r="H4865" s="27">
        <v>0</v>
      </c>
      <c r="I4865" s="27">
        <v>0</v>
      </c>
      <c r="J4865" s="27">
        <v>0</v>
      </c>
      <c r="K4865" s="63">
        <f>AVERAGE(I4865:J4865)</f>
        <v>0</v>
      </c>
      <c r="L4865" s="56" t="str">
        <f>"EQP-LAWPACK2"</f>
        <v>EQP-LAWPACK2</v>
      </c>
      <c r="M4865" s="14"/>
      <c r="N4865" s="15"/>
      <c r="O4865" s="12"/>
      <c r="P4865" s="34"/>
      <c r="Q4865" s="37"/>
      <c r="R4865" s="47"/>
      <c r="S4865" s="46"/>
    </row>
    <row r="4866" spans="1:19" ht="15.6" hidden="1" customHeight="1" thickBot="1" x14ac:dyDescent="0.3">
      <c r="A4866" t="s">
        <v>23</v>
      </c>
      <c r="B4866" s="60" t="str">
        <f t="shared" si="3486"/>
        <v>hide</v>
      </c>
      <c r="D4866" s="48" t="str">
        <f>D4865</f>
        <v>85336</v>
      </c>
      <c r="E4866" s="7"/>
      <c r="F4866" s="27">
        <v>0</v>
      </c>
      <c r="G4866" s="27">
        <v>0</v>
      </c>
      <c r="H4866" s="27">
        <v>0</v>
      </c>
      <c r="I4866" s="27">
        <v>0</v>
      </c>
      <c r="J4866" s="27">
        <v>0</v>
      </c>
      <c r="K4866" s="63">
        <f>AVERAGE(I4866:J4866)</f>
        <v>0</v>
      </c>
      <c r="L4866" s="56" t="str">
        <f>"SW-COMAS-PACKL"</f>
        <v>SW-COMAS-PACKL</v>
      </c>
      <c r="M4866" s="14"/>
      <c r="N4866" s="15"/>
      <c r="O4866" s="12"/>
      <c r="P4866" s="34"/>
      <c r="Q4866" s="37"/>
      <c r="R4866" s="47"/>
      <c r="S4866" s="46"/>
    </row>
    <row r="4867" spans="1:19" ht="15.6" hidden="1" customHeight="1" thickBot="1" x14ac:dyDescent="0.3">
      <c r="A4867" t="s">
        <v>23</v>
      </c>
      <c r="B4867" s="60" t="str">
        <f t="shared" si="3486"/>
        <v>hide</v>
      </c>
      <c r="D4867" s="48" t="str">
        <f>D4866</f>
        <v>85336</v>
      </c>
      <c r="E4867" s="7"/>
      <c r="F4867" s="27">
        <v>0</v>
      </c>
      <c r="G4867" s="27">
        <v>0</v>
      </c>
      <c r="H4867" s="27">
        <v>0</v>
      </c>
      <c r="I4867" s="27">
        <v>0</v>
      </c>
      <c r="J4867" s="27">
        <v>0</v>
      </c>
      <c r="K4867" s="63">
        <f>AVERAGE(I4867:J4867)</f>
        <v>0</v>
      </c>
      <c r="L4867" s="56" t="str">
        <f>"SW-RISER-PACK"</f>
        <v>SW-RISER-PACK</v>
      </c>
      <c r="M4867" s="14"/>
      <c r="N4867" s="15"/>
      <c r="O4867" s="12"/>
      <c r="P4867" s="34"/>
      <c r="Q4867" s="37"/>
      <c r="R4867" s="47"/>
      <c r="S4867" s="46"/>
    </row>
    <row r="4868" spans="1:19" ht="12" hidden="1" customHeight="1" x14ac:dyDescent="0.3">
      <c r="A4868" s="35" t="s">
        <v>908</v>
      </c>
      <c r="B4868" s="49" t="str">
        <f>B4864</f>
        <v>hide</v>
      </c>
      <c r="N4868"/>
      <c r="Q4868" s="33"/>
    </row>
    <row r="4869" spans="1:19" ht="13.8" hidden="1" thickBot="1" x14ac:dyDescent="0.3">
      <c r="A4869" t="s">
        <v>23</v>
      </c>
      <c r="B4869" s="49" t="str">
        <f t="shared" ref="B4869" si="3487">B4868</f>
        <v>hide</v>
      </c>
      <c r="D4869" s="58"/>
      <c r="E4869" s="58"/>
      <c r="F4869" s="52">
        <f>SUM(F4864:F4868)</f>
        <v>0</v>
      </c>
      <c r="G4869" s="52">
        <f>SUM(G4864:G4868)</f>
        <v>0</v>
      </c>
      <c r="H4869" s="52">
        <f>SUM(H4864:H4868)</f>
        <v>0</v>
      </c>
      <c r="I4869" s="52">
        <f>SUM(I4864:I4868)</f>
        <v>0</v>
      </c>
      <c r="J4869" s="52">
        <f>SUM(J4864:J4868)</f>
        <v>0</v>
      </c>
      <c r="K4869" s="52"/>
      <c r="L4869" s="51" t="s">
        <v>4</v>
      </c>
      <c r="M4869" s="58"/>
      <c r="N4869" s="58"/>
      <c r="O4869" s="58"/>
      <c r="P4869" s="58"/>
      <c r="Q4869" s="58"/>
      <c r="R4869" s="58"/>
      <c r="S4869" s="58"/>
    </row>
    <row r="4870" spans="1:19" s="59" customFormat="1" ht="18.75" hidden="1" customHeight="1" thickBot="1" x14ac:dyDescent="0.3">
      <c r="A4870" s="59" t="s">
        <v>23</v>
      </c>
      <c r="B4870" s="60" t="str">
        <f t="shared" ref="B4870:B4871" si="3488">IF(K4870=0,"hide","")</f>
        <v>hide</v>
      </c>
      <c r="D4870" s="61" t="str">
        <f>"85348"</f>
        <v>85348</v>
      </c>
      <c r="E4870" s="62" t="str">
        <f>"2"</f>
        <v>2</v>
      </c>
      <c r="F4870" s="63">
        <v>3.3333333333333335</v>
      </c>
      <c r="G4870" s="63">
        <v>0</v>
      </c>
      <c r="H4870" s="63">
        <v>0</v>
      </c>
      <c r="I4870" s="63">
        <v>0</v>
      </c>
      <c r="J4870" s="63">
        <v>0</v>
      </c>
      <c r="K4870" s="63">
        <f>AVERAGE(I4870:J4870)</f>
        <v>0</v>
      </c>
      <c r="L4870" s="64" t="str">
        <f>"Pumpkin Spice Bagel Dough"</f>
        <v>Pumpkin Spice Bagel Dough</v>
      </c>
      <c r="M4870" s="65" t="str">
        <f>"120-5 oz. Bulk"</f>
        <v>120-5 oz. Bulk</v>
      </c>
      <c r="N4870" s="66">
        <v>120</v>
      </c>
      <c r="O4870" s="67" t="str">
        <f>""</f>
        <v/>
      </c>
      <c r="P4870" s="68" t="e">
        <f>1/O4870</f>
        <v>#VALUE!</v>
      </c>
      <c r="Q4870" s="53">
        <v>1</v>
      </c>
      <c r="R4870" s="69">
        <f t="shared" ref="R4870" si="3489">1/Q4870</f>
        <v>1</v>
      </c>
      <c r="S4870" s="70">
        <f t="shared" ref="S4870" si="3490">R4870*N4870</f>
        <v>120</v>
      </c>
    </row>
    <row r="4871" spans="1:19" ht="15.6" hidden="1" customHeight="1" thickBot="1" x14ac:dyDescent="0.3">
      <c r="A4871" t="s">
        <v>23</v>
      </c>
      <c r="B4871" s="60" t="str">
        <f t="shared" si="3488"/>
        <v>hide</v>
      </c>
      <c r="D4871" s="48" t="str">
        <f>D4870</f>
        <v>85348</v>
      </c>
      <c r="E4871" s="7"/>
      <c r="F4871" s="27">
        <v>0</v>
      </c>
      <c r="G4871" s="27">
        <v>0</v>
      </c>
      <c r="H4871" s="27">
        <v>0</v>
      </c>
      <c r="I4871" s="27">
        <v>0</v>
      </c>
      <c r="J4871" s="27">
        <v>0</v>
      </c>
      <c r="K4871" s="63">
        <f>AVERAGE(I4871:J4871)</f>
        <v>0</v>
      </c>
      <c r="L4871" s="56" t="str">
        <f>"EQP-LAWPACK1"</f>
        <v>EQP-LAWPACK1</v>
      </c>
      <c r="M4871" s="14"/>
      <c r="N4871" s="15"/>
      <c r="O4871" s="12"/>
      <c r="P4871" s="34"/>
      <c r="Q4871" s="37"/>
      <c r="R4871" s="47"/>
      <c r="S4871" s="46"/>
    </row>
    <row r="4872" spans="1:19" ht="15.6" hidden="1" customHeight="1" thickBot="1" x14ac:dyDescent="0.3">
      <c r="A4872" t="s">
        <v>23</v>
      </c>
      <c r="B4872" s="60" t="str">
        <f t="shared" ref="B4872:B4874" si="3491">IF(K4872=0,"hide","")</f>
        <v>hide</v>
      </c>
      <c r="D4872" s="48" t="str">
        <f>D4871</f>
        <v>85348</v>
      </c>
      <c r="E4872" s="7"/>
      <c r="F4872" s="27">
        <v>0</v>
      </c>
      <c r="G4872" s="27">
        <v>0</v>
      </c>
      <c r="H4872" s="27">
        <v>0</v>
      </c>
      <c r="I4872" s="27">
        <v>0</v>
      </c>
      <c r="J4872" s="27">
        <v>0</v>
      </c>
      <c r="K4872" s="63">
        <f>AVERAGE(I4872:J4872)</f>
        <v>0</v>
      </c>
      <c r="L4872" s="56" t="str">
        <f>"EQP-LAWPACK2"</f>
        <v>EQP-LAWPACK2</v>
      </c>
      <c r="M4872" s="14"/>
      <c r="N4872" s="15"/>
      <c r="O4872" s="12"/>
      <c r="P4872" s="34"/>
      <c r="Q4872" s="37"/>
      <c r="R4872" s="47"/>
      <c r="S4872" s="46"/>
    </row>
    <row r="4873" spans="1:19" ht="15.6" hidden="1" customHeight="1" thickBot="1" x14ac:dyDescent="0.3">
      <c r="A4873" t="s">
        <v>23</v>
      </c>
      <c r="B4873" s="60" t="str">
        <f t="shared" si="3491"/>
        <v>hide</v>
      </c>
      <c r="D4873" s="48" t="str">
        <f>D4872</f>
        <v>85348</v>
      </c>
      <c r="E4873" s="7"/>
      <c r="F4873" s="27">
        <v>0</v>
      </c>
      <c r="G4873" s="27">
        <v>0</v>
      </c>
      <c r="H4873" s="27">
        <v>0</v>
      </c>
      <c r="I4873" s="27">
        <v>0</v>
      </c>
      <c r="J4873" s="27">
        <v>0</v>
      </c>
      <c r="K4873" s="63">
        <f>AVERAGE(I4873:J4873)</f>
        <v>0</v>
      </c>
      <c r="L4873" s="56" t="str">
        <f>"SW-COMAS-PACKL"</f>
        <v>SW-COMAS-PACKL</v>
      </c>
      <c r="M4873" s="14"/>
      <c r="N4873" s="15"/>
      <c r="O4873" s="12"/>
      <c r="P4873" s="34"/>
      <c r="Q4873" s="37"/>
      <c r="R4873" s="47"/>
      <c r="S4873" s="46"/>
    </row>
    <row r="4874" spans="1:19" ht="15.6" hidden="1" customHeight="1" thickBot="1" x14ac:dyDescent="0.3">
      <c r="A4874" t="s">
        <v>23</v>
      </c>
      <c r="B4874" s="60" t="str">
        <f t="shared" si="3491"/>
        <v>hide</v>
      </c>
      <c r="D4874" s="48" t="str">
        <f>D4873</f>
        <v>85348</v>
      </c>
      <c r="E4874" s="7"/>
      <c r="F4874" s="27">
        <v>0</v>
      </c>
      <c r="G4874" s="27">
        <v>0</v>
      </c>
      <c r="H4874" s="27">
        <v>0</v>
      </c>
      <c r="I4874" s="27">
        <v>0</v>
      </c>
      <c r="J4874" s="27">
        <v>0</v>
      </c>
      <c r="K4874" s="63">
        <f>AVERAGE(I4874:J4874)</f>
        <v>0</v>
      </c>
      <c r="L4874" s="56" t="str">
        <f>"SW-RISER-PACK"</f>
        <v>SW-RISER-PACK</v>
      </c>
      <c r="M4874" s="14"/>
      <c r="N4874" s="15"/>
      <c r="O4874" s="12"/>
      <c r="P4874" s="34"/>
      <c r="Q4874" s="37"/>
      <c r="R4874" s="47"/>
      <c r="S4874" s="46"/>
    </row>
    <row r="4875" spans="1:19" ht="12" hidden="1" customHeight="1" x14ac:dyDescent="0.3">
      <c r="A4875" s="35" t="s">
        <v>908</v>
      </c>
      <c r="B4875" s="49" t="str">
        <f>B4871</f>
        <v>hide</v>
      </c>
      <c r="N4875"/>
      <c r="Q4875" s="33"/>
    </row>
    <row r="4876" spans="1:19" ht="13.8" hidden="1" thickBot="1" x14ac:dyDescent="0.3">
      <c r="A4876" t="s">
        <v>23</v>
      </c>
      <c r="B4876" s="49" t="str">
        <f t="shared" ref="B4876" si="3492">B4875</f>
        <v>hide</v>
      </c>
      <c r="D4876" s="58"/>
      <c r="E4876" s="58"/>
      <c r="F4876" s="52">
        <f>SUM(F4871:F4875)</f>
        <v>0</v>
      </c>
      <c r="G4876" s="52">
        <f>SUM(G4871:G4875)</f>
        <v>0</v>
      </c>
      <c r="H4876" s="52">
        <f>SUM(H4871:H4875)</f>
        <v>0</v>
      </c>
      <c r="I4876" s="52">
        <f>SUM(I4871:I4875)</f>
        <v>0</v>
      </c>
      <c r="J4876" s="52">
        <f>SUM(J4871:J4875)</f>
        <v>0</v>
      </c>
      <c r="K4876" s="52"/>
      <c r="L4876" s="51" t="s">
        <v>4</v>
      </c>
      <c r="M4876" s="58"/>
      <c r="N4876" s="58"/>
      <c r="O4876" s="58"/>
      <c r="P4876" s="58"/>
      <c r="Q4876" s="58"/>
      <c r="R4876" s="58"/>
      <c r="S4876" s="58"/>
    </row>
    <row r="4877" spans="1:19" s="59" customFormat="1" ht="18.75" hidden="1" customHeight="1" thickBot="1" x14ac:dyDescent="0.3">
      <c r="A4877" s="59" t="s">
        <v>23</v>
      </c>
      <c r="B4877" s="60" t="str">
        <f t="shared" ref="B4877:B4878" si="3493">IF(K4877=0,"hide","")</f>
        <v>hide</v>
      </c>
      <c r="D4877" s="61" t="str">
        <f>"85359"</f>
        <v>85359</v>
      </c>
      <c r="E4877" s="62" t="str">
        <f>"2"</f>
        <v>2</v>
      </c>
      <c r="F4877" s="63">
        <v>24.583333333333332</v>
      </c>
      <c r="G4877" s="63">
        <v>8.4166666666666661</v>
      </c>
      <c r="H4877" s="63">
        <v>0</v>
      </c>
      <c r="I4877" s="63">
        <v>0</v>
      </c>
      <c r="J4877" s="63">
        <v>0</v>
      </c>
      <c r="K4877" s="63">
        <f>AVERAGE(I4877:J4877)</f>
        <v>0</v>
      </c>
      <c r="L4877" s="64" t="str">
        <f>"Sundried Tomato Basil Bagel Dough"</f>
        <v>Sundried Tomato Basil Bagel Dough</v>
      </c>
      <c r="M4877" s="65" t="str">
        <f>"120-5 oz. Bulk"</f>
        <v>120-5 oz. Bulk</v>
      </c>
      <c r="N4877" s="66">
        <v>120</v>
      </c>
      <c r="O4877" s="67" t="str">
        <f>""</f>
        <v/>
      </c>
      <c r="P4877" s="68" t="e">
        <f>1/O4877</f>
        <v>#VALUE!</v>
      </c>
      <c r="Q4877" s="53">
        <v>1</v>
      </c>
      <c r="R4877" s="69">
        <f t="shared" ref="R4877" si="3494">1/Q4877</f>
        <v>1</v>
      </c>
      <c r="S4877" s="70">
        <f t="shared" ref="S4877" si="3495">R4877*N4877</f>
        <v>120</v>
      </c>
    </row>
    <row r="4878" spans="1:19" ht="15.6" hidden="1" customHeight="1" thickBot="1" x14ac:dyDescent="0.3">
      <c r="A4878" t="s">
        <v>23</v>
      </c>
      <c r="B4878" s="60" t="str">
        <f t="shared" si="3493"/>
        <v>hide</v>
      </c>
      <c r="D4878" s="48" t="str">
        <f>D4877</f>
        <v>85359</v>
      </c>
      <c r="E4878" s="7"/>
      <c r="F4878" s="27">
        <v>0</v>
      </c>
      <c r="G4878" s="27">
        <v>0</v>
      </c>
      <c r="H4878" s="27">
        <v>0</v>
      </c>
      <c r="I4878" s="27">
        <v>0</v>
      </c>
      <c r="J4878" s="27">
        <v>0</v>
      </c>
      <c r="K4878" s="63">
        <f>AVERAGE(I4878:J4878)</f>
        <v>0</v>
      </c>
      <c r="L4878" s="56" t="str">
        <f>"EQP-LAWPACK1"</f>
        <v>EQP-LAWPACK1</v>
      </c>
      <c r="M4878" s="14"/>
      <c r="N4878" s="15"/>
      <c r="O4878" s="12"/>
      <c r="P4878" s="34"/>
      <c r="Q4878" s="37"/>
      <c r="R4878" s="47"/>
      <c r="S4878" s="46"/>
    </row>
    <row r="4879" spans="1:19" ht="15.6" hidden="1" customHeight="1" thickBot="1" x14ac:dyDescent="0.3">
      <c r="A4879" t="s">
        <v>23</v>
      </c>
      <c r="B4879" s="60" t="str">
        <f t="shared" ref="B4879:B4881" si="3496">IF(K4879=0,"hide","")</f>
        <v>hide</v>
      </c>
      <c r="D4879" s="48" t="str">
        <f>D4878</f>
        <v>85359</v>
      </c>
      <c r="E4879" s="7"/>
      <c r="F4879" s="27">
        <v>0</v>
      </c>
      <c r="G4879" s="27">
        <v>0</v>
      </c>
      <c r="H4879" s="27">
        <v>0</v>
      </c>
      <c r="I4879" s="27">
        <v>0</v>
      </c>
      <c r="J4879" s="27">
        <v>0</v>
      </c>
      <c r="K4879" s="63">
        <f>AVERAGE(I4879:J4879)</f>
        <v>0</v>
      </c>
      <c r="L4879" s="56" t="str">
        <f>"EQP-LAWPACK2"</f>
        <v>EQP-LAWPACK2</v>
      </c>
      <c r="M4879" s="14"/>
      <c r="N4879" s="15"/>
      <c r="O4879" s="12"/>
      <c r="P4879" s="34"/>
      <c r="Q4879" s="37"/>
      <c r="R4879" s="47"/>
      <c r="S4879" s="46"/>
    </row>
    <row r="4880" spans="1:19" ht="15.6" hidden="1" customHeight="1" thickBot="1" x14ac:dyDescent="0.3">
      <c r="A4880" t="s">
        <v>23</v>
      </c>
      <c r="B4880" s="60" t="str">
        <f t="shared" si="3496"/>
        <v>hide</v>
      </c>
      <c r="D4880" s="48" t="str">
        <f>D4879</f>
        <v>85359</v>
      </c>
      <c r="E4880" s="7"/>
      <c r="F4880" s="27">
        <v>0</v>
      </c>
      <c r="G4880" s="27">
        <v>0</v>
      </c>
      <c r="H4880" s="27">
        <v>0</v>
      </c>
      <c r="I4880" s="27">
        <v>0</v>
      </c>
      <c r="J4880" s="27">
        <v>0</v>
      </c>
      <c r="K4880" s="63">
        <f>AVERAGE(I4880:J4880)</f>
        <v>0</v>
      </c>
      <c r="L4880" s="56" t="str">
        <f>"SW-COMAS-PACKL"</f>
        <v>SW-COMAS-PACKL</v>
      </c>
      <c r="M4880" s="14"/>
      <c r="N4880" s="15"/>
      <c r="O4880" s="12"/>
      <c r="P4880" s="34"/>
      <c r="Q4880" s="37"/>
      <c r="R4880" s="47"/>
      <c r="S4880" s="46"/>
    </row>
    <row r="4881" spans="1:19" ht="15.6" hidden="1" customHeight="1" thickBot="1" x14ac:dyDescent="0.3">
      <c r="A4881" t="s">
        <v>23</v>
      </c>
      <c r="B4881" s="60" t="str">
        <f t="shared" si="3496"/>
        <v>hide</v>
      </c>
      <c r="D4881" s="48" t="str">
        <f>D4880</f>
        <v>85359</v>
      </c>
      <c r="E4881" s="7"/>
      <c r="F4881" s="27">
        <v>0</v>
      </c>
      <c r="G4881" s="27">
        <v>0</v>
      </c>
      <c r="H4881" s="27">
        <v>0</v>
      </c>
      <c r="I4881" s="27">
        <v>0</v>
      </c>
      <c r="J4881" s="27">
        <v>0</v>
      </c>
      <c r="K4881" s="63">
        <f>AVERAGE(I4881:J4881)</f>
        <v>0</v>
      </c>
      <c r="L4881" s="56" t="str">
        <f>"SW-RISER-PACK"</f>
        <v>SW-RISER-PACK</v>
      </c>
      <c r="M4881" s="14"/>
      <c r="N4881" s="15"/>
      <c r="O4881" s="12"/>
      <c r="P4881" s="34"/>
      <c r="Q4881" s="37"/>
      <c r="R4881" s="47"/>
      <c r="S4881" s="46"/>
    </row>
    <row r="4882" spans="1:19" ht="12" hidden="1" customHeight="1" x14ac:dyDescent="0.3">
      <c r="A4882" s="35" t="s">
        <v>908</v>
      </c>
      <c r="B4882" s="49" t="str">
        <f>B4878</f>
        <v>hide</v>
      </c>
      <c r="N4882"/>
      <c r="Q4882" s="33"/>
    </row>
    <row r="4883" spans="1:19" ht="13.8" hidden="1" thickBot="1" x14ac:dyDescent="0.3">
      <c r="A4883" t="s">
        <v>23</v>
      </c>
      <c r="B4883" s="49" t="str">
        <f t="shared" ref="B4883" si="3497">B4882</f>
        <v>hide</v>
      </c>
      <c r="D4883" s="58"/>
      <c r="E4883" s="58"/>
      <c r="F4883" s="52">
        <f>SUM(F4878:F4882)</f>
        <v>0</v>
      </c>
      <c r="G4883" s="52">
        <f>SUM(G4878:G4882)</f>
        <v>0</v>
      </c>
      <c r="H4883" s="52">
        <f>SUM(H4878:H4882)</f>
        <v>0</v>
      </c>
      <c r="I4883" s="52">
        <f>SUM(I4878:I4882)</f>
        <v>0</v>
      </c>
      <c r="J4883" s="52">
        <f>SUM(J4878:J4882)</f>
        <v>0</v>
      </c>
      <c r="K4883" s="52"/>
      <c r="L4883" s="51" t="s">
        <v>4</v>
      </c>
      <c r="M4883" s="58"/>
      <c r="N4883" s="58"/>
      <c r="O4883" s="58"/>
      <c r="P4883" s="58"/>
      <c r="Q4883" s="58"/>
      <c r="R4883" s="58"/>
      <c r="S4883" s="58"/>
    </row>
    <row r="4884" spans="1:19" s="59" customFormat="1" ht="18.75" hidden="1" customHeight="1" thickBot="1" x14ac:dyDescent="0.3">
      <c r="A4884" s="59" t="s">
        <v>23</v>
      </c>
      <c r="B4884" s="60" t="str">
        <f t="shared" ref="B4884:B4885" si="3498">IF(K4884=0,"hide","")</f>
        <v>hide</v>
      </c>
      <c r="D4884" s="61" t="str">
        <f>"85360"</f>
        <v>85360</v>
      </c>
      <c r="E4884" s="62" t="str">
        <f>"2"</f>
        <v>2</v>
      </c>
      <c r="F4884" s="63">
        <v>0</v>
      </c>
      <c r="G4884" s="63">
        <v>0</v>
      </c>
      <c r="H4884" s="63">
        <v>0</v>
      </c>
      <c r="I4884" s="63">
        <v>0</v>
      </c>
      <c r="J4884" s="63">
        <v>0</v>
      </c>
      <c r="K4884" s="63">
        <f>AVERAGE(I4884:J4884)</f>
        <v>0</v>
      </c>
      <c r="L4884" s="64" t="str">
        <f>"French Toast BAGEL DOUGH"</f>
        <v>French Toast BAGEL DOUGH</v>
      </c>
      <c r="M4884" s="65" t="str">
        <f>"120-5 oz. Bulk"</f>
        <v>120-5 oz. Bulk</v>
      </c>
      <c r="N4884" s="66">
        <v>120</v>
      </c>
      <c r="O4884" s="67" t="str">
        <f>""</f>
        <v/>
      </c>
      <c r="P4884" s="68" t="e">
        <f>1/O4884</f>
        <v>#VALUE!</v>
      </c>
      <c r="Q4884" s="53">
        <v>1</v>
      </c>
      <c r="R4884" s="69">
        <f t="shared" ref="R4884" si="3499">1/Q4884</f>
        <v>1</v>
      </c>
      <c r="S4884" s="70">
        <f t="shared" ref="S4884" si="3500">R4884*N4884</f>
        <v>120</v>
      </c>
    </row>
    <row r="4885" spans="1:19" ht="15.6" hidden="1" customHeight="1" thickBot="1" x14ac:dyDescent="0.3">
      <c r="A4885" t="s">
        <v>23</v>
      </c>
      <c r="B4885" s="60" t="str">
        <f t="shared" si="3498"/>
        <v>hide</v>
      </c>
      <c r="D4885" s="48" t="str">
        <f>D4884</f>
        <v>85360</v>
      </c>
      <c r="E4885" s="7"/>
      <c r="F4885" s="27">
        <v>0</v>
      </c>
      <c r="G4885" s="27">
        <v>0</v>
      </c>
      <c r="H4885" s="27">
        <v>0</v>
      </c>
      <c r="I4885" s="27">
        <v>0</v>
      </c>
      <c r="J4885" s="27">
        <v>0</v>
      </c>
      <c r="K4885" s="63">
        <f>AVERAGE(I4885:J4885)</f>
        <v>0</v>
      </c>
      <c r="L4885" s="56" t="str">
        <f>"EQP-LAWPACK1"</f>
        <v>EQP-LAWPACK1</v>
      </c>
      <c r="M4885" s="14"/>
      <c r="N4885" s="15"/>
      <c r="O4885" s="12"/>
      <c r="P4885" s="34"/>
      <c r="Q4885" s="37"/>
      <c r="R4885" s="47"/>
      <c r="S4885" s="46"/>
    </row>
    <row r="4886" spans="1:19" ht="15.6" hidden="1" customHeight="1" thickBot="1" x14ac:dyDescent="0.3">
      <c r="A4886" t="s">
        <v>23</v>
      </c>
      <c r="B4886" s="60" t="str">
        <f t="shared" ref="B4886:B4888" si="3501">IF(K4886=0,"hide","")</f>
        <v>hide</v>
      </c>
      <c r="D4886" s="48" t="str">
        <f>D4885</f>
        <v>85360</v>
      </c>
      <c r="E4886" s="7"/>
      <c r="F4886" s="27">
        <v>0</v>
      </c>
      <c r="G4886" s="27">
        <v>0</v>
      </c>
      <c r="H4886" s="27">
        <v>0</v>
      </c>
      <c r="I4886" s="27">
        <v>0</v>
      </c>
      <c r="J4886" s="27">
        <v>0</v>
      </c>
      <c r="K4886" s="63">
        <f>AVERAGE(I4886:J4886)</f>
        <v>0</v>
      </c>
      <c r="L4886" s="56" t="str">
        <f>"EQP-LAWPACK2"</f>
        <v>EQP-LAWPACK2</v>
      </c>
      <c r="M4886" s="14"/>
      <c r="N4886" s="15"/>
      <c r="O4886" s="12"/>
      <c r="P4886" s="34"/>
      <c r="Q4886" s="37"/>
      <c r="R4886" s="47"/>
      <c r="S4886" s="46"/>
    </row>
    <row r="4887" spans="1:19" ht="15.6" hidden="1" customHeight="1" thickBot="1" x14ac:dyDescent="0.3">
      <c r="A4887" t="s">
        <v>23</v>
      </c>
      <c r="B4887" s="60" t="str">
        <f t="shared" si="3501"/>
        <v>hide</v>
      </c>
      <c r="D4887" s="48" t="str">
        <f>D4886</f>
        <v>85360</v>
      </c>
      <c r="E4887" s="7"/>
      <c r="F4887" s="27">
        <v>0</v>
      </c>
      <c r="G4887" s="27">
        <v>0</v>
      </c>
      <c r="H4887" s="27">
        <v>0</v>
      </c>
      <c r="I4887" s="27">
        <v>0</v>
      </c>
      <c r="J4887" s="27">
        <v>0</v>
      </c>
      <c r="K4887" s="63">
        <f>AVERAGE(I4887:J4887)</f>
        <v>0</v>
      </c>
      <c r="L4887" s="56" t="str">
        <f>"SW-COMAS-PACKL"</f>
        <v>SW-COMAS-PACKL</v>
      </c>
      <c r="M4887" s="14"/>
      <c r="N4887" s="15"/>
      <c r="O4887" s="12"/>
      <c r="P4887" s="34"/>
      <c r="Q4887" s="37"/>
      <c r="R4887" s="47"/>
      <c r="S4887" s="46"/>
    </row>
    <row r="4888" spans="1:19" ht="15.6" hidden="1" customHeight="1" thickBot="1" x14ac:dyDescent="0.3">
      <c r="A4888" t="s">
        <v>23</v>
      </c>
      <c r="B4888" s="60" t="str">
        <f t="shared" si="3501"/>
        <v>hide</v>
      </c>
      <c r="D4888" s="48" t="str">
        <f>D4887</f>
        <v>85360</v>
      </c>
      <c r="E4888" s="7"/>
      <c r="F4888" s="27">
        <v>0</v>
      </c>
      <c r="G4888" s="27">
        <v>0</v>
      </c>
      <c r="H4888" s="27">
        <v>0</v>
      </c>
      <c r="I4888" s="27">
        <v>0</v>
      </c>
      <c r="J4888" s="27">
        <v>0</v>
      </c>
      <c r="K4888" s="63">
        <f>AVERAGE(I4888:J4888)</f>
        <v>0</v>
      </c>
      <c r="L4888" s="56" t="str">
        <f>"SW-RISER-PACK"</f>
        <v>SW-RISER-PACK</v>
      </c>
      <c r="M4888" s="14"/>
      <c r="N4888" s="15"/>
      <c r="O4888" s="12"/>
      <c r="P4888" s="34"/>
      <c r="Q4888" s="37"/>
      <c r="R4888" s="47"/>
      <c r="S4888" s="46"/>
    </row>
    <row r="4889" spans="1:19" ht="12" hidden="1" customHeight="1" x14ac:dyDescent="0.3">
      <c r="A4889" s="35" t="s">
        <v>908</v>
      </c>
      <c r="B4889" s="49" t="str">
        <f>B4885</f>
        <v>hide</v>
      </c>
      <c r="N4889"/>
      <c r="Q4889" s="33"/>
    </row>
    <row r="4890" spans="1:19" ht="13.8" hidden="1" thickBot="1" x14ac:dyDescent="0.3">
      <c r="A4890" t="s">
        <v>23</v>
      </c>
      <c r="B4890" s="49" t="str">
        <f t="shared" ref="B4890" si="3502">B4889</f>
        <v>hide</v>
      </c>
      <c r="D4890" s="58"/>
      <c r="E4890" s="58"/>
      <c r="F4890" s="52">
        <f>SUM(F4885:F4889)</f>
        <v>0</v>
      </c>
      <c r="G4890" s="52">
        <f>SUM(G4885:G4889)</f>
        <v>0</v>
      </c>
      <c r="H4890" s="52">
        <f>SUM(H4885:H4889)</f>
        <v>0</v>
      </c>
      <c r="I4890" s="52">
        <f>SUM(I4885:I4889)</f>
        <v>0</v>
      </c>
      <c r="J4890" s="52">
        <f>SUM(J4885:J4889)</f>
        <v>0</v>
      </c>
      <c r="K4890" s="52"/>
      <c r="L4890" s="51" t="s">
        <v>4</v>
      </c>
      <c r="M4890" s="58"/>
      <c r="N4890" s="58"/>
      <c r="O4890" s="58"/>
      <c r="P4890" s="58"/>
      <c r="Q4890" s="58"/>
      <c r="R4890" s="58"/>
      <c r="S4890" s="58"/>
    </row>
    <row r="4891" spans="1:19" s="59" customFormat="1" ht="18.75" hidden="1" customHeight="1" thickBot="1" x14ac:dyDescent="0.3">
      <c r="A4891" s="59" t="s">
        <v>23</v>
      </c>
      <c r="B4891" s="60" t="str">
        <f t="shared" ref="B4891:B4892" si="3503">IF(K4891=0,"hide","")</f>
        <v>hide</v>
      </c>
      <c r="D4891" s="61" t="str">
        <f>"85385"</f>
        <v>85385</v>
      </c>
      <c r="E4891" s="62" t="str">
        <f>"2"</f>
        <v>2</v>
      </c>
      <c r="F4891" s="63">
        <v>0</v>
      </c>
      <c r="G4891" s="63">
        <v>0</v>
      </c>
      <c r="H4891" s="63">
        <v>0</v>
      </c>
      <c r="I4891" s="63">
        <v>0</v>
      </c>
      <c r="J4891" s="63">
        <v>0</v>
      </c>
      <c r="K4891" s="63">
        <f>AVERAGE(I4891:J4891)</f>
        <v>0</v>
      </c>
      <c r="L4891" s="64" t="str">
        <f>"Rosemary Olive Oil Bagel Dough"</f>
        <v>Rosemary Olive Oil Bagel Dough</v>
      </c>
      <c r="M4891" s="65" t="str">
        <f>"120-5 oz. Bulk"</f>
        <v>120-5 oz. Bulk</v>
      </c>
      <c r="N4891" s="66">
        <v>120</v>
      </c>
      <c r="O4891" s="67" t="str">
        <f>""</f>
        <v/>
      </c>
      <c r="P4891" s="68" t="e">
        <f>1/O4891</f>
        <v>#VALUE!</v>
      </c>
      <c r="Q4891" s="53">
        <v>1</v>
      </c>
      <c r="R4891" s="69">
        <f t="shared" ref="R4891" si="3504">1/Q4891</f>
        <v>1</v>
      </c>
      <c r="S4891" s="70">
        <f t="shared" ref="S4891" si="3505">R4891*N4891</f>
        <v>120</v>
      </c>
    </row>
    <row r="4892" spans="1:19" ht="15.6" hidden="1" customHeight="1" thickBot="1" x14ac:dyDescent="0.3">
      <c r="A4892" t="s">
        <v>23</v>
      </c>
      <c r="B4892" s="60" t="str">
        <f t="shared" si="3503"/>
        <v>hide</v>
      </c>
      <c r="D4892" s="48" t="str">
        <f>D4891</f>
        <v>85385</v>
      </c>
      <c r="E4892" s="7"/>
      <c r="F4892" s="27">
        <v>0</v>
      </c>
      <c r="G4892" s="27">
        <v>0</v>
      </c>
      <c r="H4892" s="27">
        <v>0</v>
      </c>
      <c r="I4892" s="27">
        <v>0</v>
      </c>
      <c r="J4892" s="27">
        <v>0</v>
      </c>
      <c r="K4892" s="63">
        <f>AVERAGE(I4892:J4892)</f>
        <v>0</v>
      </c>
      <c r="L4892" s="56" t="str">
        <f>"EQP-LAWPACK1"</f>
        <v>EQP-LAWPACK1</v>
      </c>
      <c r="M4892" s="14"/>
      <c r="N4892" s="15"/>
      <c r="O4892" s="12"/>
      <c r="P4892" s="34"/>
      <c r="Q4892" s="37"/>
      <c r="R4892" s="47"/>
      <c r="S4892" s="46"/>
    </row>
    <row r="4893" spans="1:19" ht="15.6" hidden="1" customHeight="1" thickBot="1" x14ac:dyDescent="0.3">
      <c r="A4893" t="s">
        <v>23</v>
      </c>
      <c r="B4893" s="60" t="str">
        <f t="shared" ref="B4893:B4895" si="3506">IF(K4893=0,"hide","")</f>
        <v>hide</v>
      </c>
      <c r="D4893" s="48" t="str">
        <f>D4892</f>
        <v>85385</v>
      </c>
      <c r="E4893" s="7"/>
      <c r="F4893" s="27">
        <v>0</v>
      </c>
      <c r="G4893" s="27">
        <v>0</v>
      </c>
      <c r="H4893" s="27">
        <v>0</v>
      </c>
      <c r="I4893" s="27">
        <v>0</v>
      </c>
      <c r="J4893" s="27">
        <v>0</v>
      </c>
      <c r="K4893" s="63">
        <f>AVERAGE(I4893:J4893)</f>
        <v>0</v>
      </c>
      <c r="L4893" s="56" t="str">
        <f>"EQP-LAWPACK2"</f>
        <v>EQP-LAWPACK2</v>
      </c>
      <c r="M4893" s="14"/>
      <c r="N4893" s="15"/>
      <c r="O4893" s="12"/>
      <c r="P4893" s="34"/>
      <c r="Q4893" s="37"/>
      <c r="R4893" s="47"/>
      <c r="S4893" s="46"/>
    </row>
    <row r="4894" spans="1:19" ht="15.6" hidden="1" customHeight="1" thickBot="1" x14ac:dyDescent="0.3">
      <c r="A4894" t="s">
        <v>23</v>
      </c>
      <c r="B4894" s="60" t="str">
        <f t="shared" si="3506"/>
        <v>hide</v>
      </c>
      <c r="D4894" s="48" t="str">
        <f>D4893</f>
        <v>85385</v>
      </c>
      <c r="E4894" s="7"/>
      <c r="F4894" s="27">
        <v>0</v>
      </c>
      <c r="G4894" s="27">
        <v>0</v>
      </c>
      <c r="H4894" s="27">
        <v>0</v>
      </c>
      <c r="I4894" s="27">
        <v>0</v>
      </c>
      <c r="J4894" s="27">
        <v>0</v>
      </c>
      <c r="K4894" s="63">
        <f>AVERAGE(I4894:J4894)</f>
        <v>0</v>
      </c>
      <c r="L4894" s="56" t="str">
        <f>"SW-COMAS-PACKL"</f>
        <v>SW-COMAS-PACKL</v>
      </c>
      <c r="M4894" s="14"/>
      <c r="N4894" s="15"/>
      <c r="O4894" s="12"/>
      <c r="P4894" s="34"/>
      <c r="Q4894" s="37"/>
      <c r="R4894" s="47"/>
      <c r="S4894" s="46"/>
    </row>
    <row r="4895" spans="1:19" ht="15.6" hidden="1" customHeight="1" thickBot="1" x14ac:dyDescent="0.3">
      <c r="A4895" t="s">
        <v>23</v>
      </c>
      <c r="B4895" s="60" t="str">
        <f t="shared" si="3506"/>
        <v>hide</v>
      </c>
      <c r="D4895" s="48" t="str">
        <f>D4894</f>
        <v>85385</v>
      </c>
      <c r="E4895" s="7"/>
      <c r="F4895" s="27">
        <v>0</v>
      </c>
      <c r="G4895" s="27">
        <v>0</v>
      </c>
      <c r="H4895" s="27">
        <v>0</v>
      </c>
      <c r="I4895" s="27">
        <v>0</v>
      </c>
      <c r="J4895" s="27">
        <v>0</v>
      </c>
      <c r="K4895" s="63">
        <f>AVERAGE(I4895:J4895)</f>
        <v>0</v>
      </c>
      <c r="L4895" s="56" t="str">
        <f>"SW-RISER-PACK"</f>
        <v>SW-RISER-PACK</v>
      </c>
      <c r="M4895" s="14"/>
      <c r="N4895" s="15"/>
      <c r="O4895" s="12"/>
      <c r="P4895" s="34"/>
      <c r="Q4895" s="37"/>
      <c r="R4895" s="47"/>
      <c r="S4895" s="46"/>
    </row>
    <row r="4896" spans="1:19" ht="12" hidden="1" customHeight="1" x14ac:dyDescent="0.3">
      <c r="A4896" s="35" t="s">
        <v>908</v>
      </c>
      <c r="B4896" s="49" t="str">
        <f>B4892</f>
        <v>hide</v>
      </c>
      <c r="N4896"/>
      <c r="Q4896" s="33"/>
    </row>
    <row r="4897" spans="1:19" ht="13.8" hidden="1" thickBot="1" x14ac:dyDescent="0.3">
      <c r="A4897" t="s">
        <v>23</v>
      </c>
      <c r="B4897" s="49" t="str">
        <f t="shared" ref="B4897" si="3507">B4896</f>
        <v>hide</v>
      </c>
      <c r="D4897" s="58"/>
      <c r="E4897" s="58"/>
      <c r="F4897" s="52">
        <f>SUM(F4892:F4896)</f>
        <v>0</v>
      </c>
      <c r="G4897" s="52">
        <f>SUM(G4892:G4896)</f>
        <v>0</v>
      </c>
      <c r="H4897" s="52">
        <f>SUM(H4892:H4896)</f>
        <v>0</v>
      </c>
      <c r="I4897" s="52">
        <f>SUM(I4892:I4896)</f>
        <v>0</v>
      </c>
      <c r="J4897" s="52">
        <f>SUM(J4892:J4896)</f>
        <v>0</v>
      </c>
      <c r="K4897" s="52"/>
      <c r="L4897" s="51" t="s">
        <v>4</v>
      </c>
      <c r="M4897" s="58"/>
      <c r="N4897" s="58"/>
      <c r="O4897" s="58"/>
      <c r="P4897" s="58"/>
      <c r="Q4897" s="58"/>
      <c r="R4897" s="58"/>
      <c r="S4897" s="58"/>
    </row>
    <row r="4898" spans="1:19" s="59" customFormat="1" ht="18.75" customHeight="1" thickBot="1" x14ac:dyDescent="0.3">
      <c r="A4898" s="59" t="s">
        <v>23</v>
      </c>
      <c r="B4898" s="60" t="str">
        <f t="shared" ref="B4898:B4899" si="3508">IF(K4898=0,"hide","")</f>
        <v/>
      </c>
      <c r="D4898" s="61" t="str">
        <f>"85388"</f>
        <v>85388</v>
      </c>
      <c r="E4898" s="62" t="str">
        <f>"3"</f>
        <v>3</v>
      </c>
      <c r="F4898" s="63">
        <v>77.416666666666671</v>
      </c>
      <c r="G4898" s="63">
        <v>69.833333333333329</v>
      </c>
      <c r="H4898" s="63">
        <v>62.25</v>
      </c>
      <c r="I4898" s="63">
        <v>40.166666666666664</v>
      </c>
      <c r="J4898" s="63">
        <v>0</v>
      </c>
      <c r="K4898" s="63">
        <f>AVERAGE(I4898:J4898)</f>
        <v>20.083333333333332</v>
      </c>
      <c r="L4898" s="64" t="str">
        <f>"MULTI-GRAIN BAGEL DOUGH"</f>
        <v>MULTI-GRAIN BAGEL DOUGH</v>
      </c>
      <c r="M4898" s="65" t="str">
        <f>"120-5 oz. Bulk"</f>
        <v>120-5 oz. Bulk</v>
      </c>
      <c r="N4898" s="66">
        <v>120</v>
      </c>
      <c r="O4898" s="67" t="str">
        <f>""</f>
        <v/>
      </c>
      <c r="P4898" s="68" t="e">
        <f>1/O4898</f>
        <v>#VALUE!</v>
      </c>
      <c r="Q4898" s="53">
        <v>1</v>
      </c>
      <c r="R4898" s="69">
        <f t="shared" ref="R4898" si="3509">1/Q4898</f>
        <v>1</v>
      </c>
      <c r="S4898" s="70">
        <f t="shared" ref="S4898" si="3510">R4898*N4898</f>
        <v>120</v>
      </c>
    </row>
    <row r="4899" spans="1:19" ht="15.6" hidden="1" customHeight="1" thickBot="1" x14ac:dyDescent="0.3">
      <c r="A4899" t="s">
        <v>23</v>
      </c>
      <c r="B4899" s="60" t="str">
        <f t="shared" si="3508"/>
        <v>hide</v>
      </c>
      <c r="D4899" s="48" t="str">
        <f>D4898</f>
        <v>85388</v>
      </c>
      <c r="E4899" s="7"/>
      <c r="F4899" s="27">
        <v>0</v>
      </c>
      <c r="G4899" s="27">
        <v>0</v>
      </c>
      <c r="H4899" s="27">
        <v>0</v>
      </c>
      <c r="I4899" s="27">
        <v>0</v>
      </c>
      <c r="J4899" s="27">
        <v>0</v>
      </c>
      <c r="K4899" s="63">
        <f>AVERAGE(I4899:J4899)</f>
        <v>0</v>
      </c>
      <c r="L4899" s="56" t="str">
        <f>"EQP-LAWPACK1"</f>
        <v>EQP-LAWPACK1</v>
      </c>
      <c r="M4899" s="14"/>
      <c r="N4899" s="15"/>
      <c r="O4899" s="12"/>
      <c r="P4899" s="34"/>
      <c r="Q4899" s="37"/>
      <c r="R4899" s="47"/>
      <c r="S4899" s="46"/>
    </row>
    <row r="4900" spans="1:19" ht="15.6" hidden="1" customHeight="1" thickBot="1" x14ac:dyDescent="0.3">
      <c r="A4900" t="s">
        <v>23</v>
      </c>
      <c r="B4900" s="60" t="str">
        <f t="shared" ref="B4900:B4902" si="3511">IF(K4900=0,"hide","")</f>
        <v>hide</v>
      </c>
      <c r="D4900" s="48" t="str">
        <f>D4899</f>
        <v>85388</v>
      </c>
      <c r="E4900" s="7"/>
      <c r="F4900" s="27">
        <v>0</v>
      </c>
      <c r="G4900" s="27">
        <v>0</v>
      </c>
      <c r="H4900" s="27">
        <v>0</v>
      </c>
      <c r="I4900" s="27">
        <v>0</v>
      </c>
      <c r="J4900" s="27">
        <v>0</v>
      </c>
      <c r="K4900" s="63">
        <f>AVERAGE(I4900:J4900)</f>
        <v>0</v>
      </c>
      <c r="L4900" s="56" t="str">
        <f>"EQP-LAWPACK2"</f>
        <v>EQP-LAWPACK2</v>
      </c>
      <c r="M4900" s="14"/>
      <c r="N4900" s="15"/>
      <c r="O4900" s="12"/>
      <c r="P4900" s="34"/>
      <c r="Q4900" s="37"/>
      <c r="R4900" s="47"/>
      <c r="S4900" s="46"/>
    </row>
    <row r="4901" spans="1:19" ht="15.6" hidden="1" customHeight="1" thickBot="1" x14ac:dyDescent="0.3">
      <c r="A4901" t="s">
        <v>23</v>
      </c>
      <c r="B4901" s="60" t="str">
        <f t="shared" si="3511"/>
        <v>hide</v>
      </c>
      <c r="D4901" s="48" t="str">
        <f>D4900</f>
        <v>85388</v>
      </c>
      <c r="E4901" s="7"/>
      <c r="F4901" s="27">
        <v>0</v>
      </c>
      <c r="G4901" s="27">
        <v>0</v>
      </c>
      <c r="H4901" s="27">
        <v>0</v>
      </c>
      <c r="I4901" s="27">
        <v>0</v>
      </c>
      <c r="J4901" s="27">
        <v>0</v>
      </c>
      <c r="K4901" s="63">
        <f>AVERAGE(I4901:J4901)</f>
        <v>0</v>
      </c>
      <c r="L4901" s="56" t="str">
        <f>"SW-COMAS-PACKL"</f>
        <v>SW-COMAS-PACKL</v>
      </c>
      <c r="M4901" s="14"/>
      <c r="N4901" s="15"/>
      <c r="O4901" s="12"/>
      <c r="P4901" s="34"/>
      <c r="Q4901" s="37"/>
      <c r="R4901" s="47"/>
      <c r="S4901" s="46"/>
    </row>
    <row r="4902" spans="1:19" ht="15.6" hidden="1" customHeight="1" thickBot="1" x14ac:dyDescent="0.3">
      <c r="A4902" t="s">
        <v>23</v>
      </c>
      <c r="B4902" s="60" t="str">
        <f t="shared" si="3511"/>
        <v>hide</v>
      </c>
      <c r="D4902" s="48" t="str">
        <f>D4901</f>
        <v>85388</v>
      </c>
      <c r="E4902" s="7"/>
      <c r="F4902" s="27">
        <v>0</v>
      </c>
      <c r="G4902" s="27">
        <v>0</v>
      </c>
      <c r="H4902" s="27">
        <v>0</v>
      </c>
      <c r="I4902" s="27">
        <v>0</v>
      </c>
      <c r="J4902" s="27">
        <v>0</v>
      </c>
      <c r="K4902" s="63">
        <f>AVERAGE(I4902:J4902)</f>
        <v>0</v>
      </c>
      <c r="L4902" s="56" t="str">
        <f>"SW-RISER-PACK"</f>
        <v>SW-RISER-PACK</v>
      </c>
      <c r="M4902" s="14"/>
      <c r="N4902" s="15"/>
      <c r="O4902" s="12"/>
      <c r="P4902" s="34"/>
      <c r="Q4902" s="37"/>
      <c r="R4902" s="47"/>
      <c r="S4902" s="46"/>
    </row>
    <row r="4903" spans="1:19" ht="12" hidden="1" customHeight="1" x14ac:dyDescent="0.3">
      <c r="A4903" s="35" t="s">
        <v>908</v>
      </c>
      <c r="B4903" s="49" t="str">
        <f>B4899</f>
        <v>hide</v>
      </c>
      <c r="N4903"/>
      <c r="Q4903" s="33"/>
    </row>
    <row r="4904" spans="1:19" ht="13.8" hidden="1" thickBot="1" x14ac:dyDescent="0.3">
      <c r="A4904" t="s">
        <v>23</v>
      </c>
      <c r="B4904" s="49" t="str">
        <f t="shared" ref="B4904" si="3512">B4903</f>
        <v>hide</v>
      </c>
      <c r="D4904" s="58"/>
      <c r="E4904" s="58"/>
      <c r="F4904" s="52">
        <f>SUM(F4899:F4903)</f>
        <v>0</v>
      </c>
      <c r="G4904" s="52">
        <f>SUM(G4899:G4903)</f>
        <v>0</v>
      </c>
      <c r="H4904" s="52">
        <f>SUM(H4899:H4903)</f>
        <v>0</v>
      </c>
      <c r="I4904" s="52">
        <f>SUM(I4899:I4903)</f>
        <v>0</v>
      </c>
      <c r="J4904" s="52">
        <f>SUM(J4899:J4903)</f>
        <v>0</v>
      </c>
      <c r="K4904" s="52"/>
      <c r="L4904" s="51" t="s">
        <v>4</v>
      </c>
      <c r="M4904" s="58"/>
      <c r="N4904" s="58"/>
      <c r="O4904" s="58"/>
      <c r="P4904" s="58"/>
      <c r="Q4904" s="58"/>
      <c r="R4904" s="58"/>
      <c r="S4904" s="58"/>
    </row>
    <row r="4905" spans="1:19" s="59" customFormat="1" ht="18.75" hidden="1" customHeight="1" thickBot="1" x14ac:dyDescent="0.3">
      <c r="A4905" s="59" t="s">
        <v>23</v>
      </c>
      <c r="B4905" s="60" t="str">
        <f t="shared" ref="B4905:B4906" si="3513">IF(K4905=0,"hide","")</f>
        <v>hide</v>
      </c>
      <c r="D4905" s="61" t="str">
        <f>"85395"</f>
        <v>85395</v>
      </c>
      <c r="E4905" s="62" t="str">
        <f>"2"</f>
        <v>2</v>
      </c>
      <c r="F4905" s="63">
        <v>8</v>
      </c>
      <c r="G4905" s="63">
        <v>2.25</v>
      </c>
      <c r="H4905" s="63">
        <v>0</v>
      </c>
      <c r="I4905" s="63">
        <v>0</v>
      </c>
      <c r="J4905" s="63">
        <v>0</v>
      </c>
      <c r="K4905" s="63">
        <f>AVERAGE(I4905:J4905)</f>
        <v>0</v>
      </c>
      <c r="L4905" s="64" t="str">
        <f>"WHOLE WHEAT BAGEL DOUGH"</f>
        <v>WHOLE WHEAT BAGEL DOUGH</v>
      </c>
      <c r="M4905" s="65" t="str">
        <f>"120-5 oz. Bulk"</f>
        <v>120-5 oz. Bulk</v>
      </c>
      <c r="N4905" s="66">
        <v>120</v>
      </c>
      <c r="O4905" s="67" t="str">
        <f>""</f>
        <v/>
      </c>
      <c r="P4905" s="68" t="e">
        <f>1/O4905</f>
        <v>#VALUE!</v>
      </c>
      <c r="Q4905" s="53">
        <v>1</v>
      </c>
      <c r="R4905" s="69">
        <f t="shared" ref="R4905" si="3514">1/Q4905</f>
        <v>1</v>
      </c>
      <c r="S4905" s="70">
        <f t="shared" ref="S4905" si="3515">R4905*N4905</f>
        <v>120</v>
      </c>
    </row>
    <row r="4906" spans="1:19" ht="15.6" hidden="1" customHeight="1" thickBot="1" x14ac:dyDescent="0.3">
      <c r="A4906" t="s">
        <v>23</v>
      </c>
      <c r="B4906" s="60" t="str">
        <f t="shared" si="3513"/>
        <v>hide</v>
      </c>
      <c r="D4906" s="48" t="str">
        <f>D4905</f>
        <v>85395</v>
      </c>
      <c r="E4906" s="7"/>
      <c r="F4906" s="27">
        <v>0</v>
      </c>
      <c r="G4906" s="27">
        <v>0</v>
      </c>
      <c r="H4906" s="27">
        <v>0</v>
      </c>
      <c r="I4906" s="27">
        <v>0</v>
      </c>
      <c r="J4906" s="27">
        <v>0</v>
      </c>
      <c r="K4906" s="63">
        <f>AVERAGE(I4906:J4906)</f>
        <v>0</v>
      </c>
      <c r="L4906" s="56" t="str">
        <f>"EQP-LAWPACK1"</f>
        <v>EQP-LAWPACK1</v>
      </c>
      <c r="M4906" s="14"/>
      <c r="N4906" s="15"/>
      <c r="O4906" s="12"/>
      <c r="P4906" s="34"/>
      <c r="Q4906" s="37"/>
      <c r="R4906" s="47"/>
      <c r="S4906" s="46"/>
    </row>
    <row r="4907" spans="1:19" ht="15.6" hidden="1" customHeight="1" thickBot="1" x14ac:dyDescent="0.3">
      <c r="A4907" t="s">
        <v>23</v>
      </c>
      <c r="B4907" s="60" t="str">
        <f t="shared" ref="B4907:B4909" si="3516">IF(K4907=0,"hide","")</f>
        <v>hide</v>
      </c>
      <c r="D4907" s="48" t="str">
        <f>D4906</f>
        <v>85395</v>
      </c>
      <c r="E4907" s="7"/>
      <c r="F4907" s="27">
        <v>0</v>
      </c>
      <c r="G4907" s="27">
        <v>0</v>
      </c>
      <c r="H4907" s="27">
        <v>0</v>
      </c>
      <c r="I4907" s="27">
        <v>0</v>
      </c>
      <c r="J4907" s="27">
        <v>0</v>
      </c>
      <c r="K4907" s="63">
        <f>AVERAGE(I4907:J4907)</f>
        <v>0</v>
      </c>
      <c r="L4907" s="56" t="str">
        <f>"EQP-LAWPACK2"</f>
        <v>EQP-LAWPACK2</v>
      </c>
      <c r="M4907" s="14"/>
      <c r="N4907" s="15"/>
      <c r="O4907" s="12"/>
      <c r="P4907" s="34"/>
      <c r="Q4907" s="37"/>
      <c r="R4907" s="47"/>
      <c r="S4907" s="46"/>
    </row>
    <row r="4908" spans="1:19" ht="15.6" hidden="1" customHeight="1" thickBot="1" x14ac:dyDescent="0.3">
      <c r="A4908" t="s">
        <v>23</v>
      </c>
      <c r="B4908" s="60" t="str">
        <f t="shared" si="3516"/>
        <v>hide</v>
      </c>
      <c r="D4908" s="48" t="str">
        <f>D4907</f>
        <v>85395</v>
      </c>
      <c r="E4908" s="7"/>
      <c r="F4908" s="27">
        <v>0</v>
      </c>
      <c r="G4908" s="27">
        <v>0</v>
      </c>
      <c r="H4908" s="27">
        <v>0</v>
      </c>
      <c r="I4908" s="27">
        <v>0</v>
      </c>
      <c r="J4908" s="27">
        <v>0</v>
      </c>
      <c r="K4908" s="63">
        <f>AVERAGE(I4908:J4908)</f>
        <v>0</v>
      </c>
      <c r="L4908" s="56" t="str">
        <f>"SW-COMAS-PACKL"</f>
        <v>SW-COMAS-PACKL</v>
      </c>
      <c r="M4908" s="14"/>
      <c r="N4908" s="15"/>
      <c r="O4908" s="12"/>
      <c r="P4908" s="34"/>
      <c r="Q4908" s="37"/>
      <c r="R4908" s="47"/>
      <c r="S4908" s="46"/>
    </row>
    <row r="4909" spans="1:19" ht="15.6" hidden="1" customHeight="1" thickBot="1" x14ac:dyDescent="0.3">
      <c r="A4909" t="s">
        <v>23</v>
      </c>
      <c r="B4909" s="60" t="str">
        <f t="shared" si="3516"/>
        <v>hide</v>
      </c>
      <c r="D4909" s="48" t="str">
        <f>D4908</f>
        <v>85395</v>
      </c>
      <c r="E4909" s="7"/>
      <c r="F4909" s="27">
        <v>0</v>
      </c>
      <c r="G4909" s="27">
        <v>0</v>
      </c>
      <c r="H4909" s="27">
        <v>0</v>
      </c>
      <c r="I4909" s="27">
        <v>0</v>
      </c>
      <c r="J4909" s="27">
        <v>0</v>
      </c>
      <c r="K4909" s="63">
        <f>AVERAGE(I4909:J4909)</f>
        <v>0</v>
      </c>
      <c r="L4909" s="56" t="str">
        <f>"SW-RISER-PACK"</f>
        <v>SW-RISER-PACK</v>
      </c>
      <c r="M4909" s="14"/>
      <c r="N4909" s="15"/>
      <c r="O4909" s="12"/>
      <c r="P4909" s="34"/>
      <c r="Q4909" s="37"/>
      <c r="R4909" s="47"/>
      <c r="S4909" s="46"/>
    </row>
    <row r="4910" spans="1:19" ht="12" hidden="1" customHeight="1" x14ac:dyDescent="0.3">
      <c r="A4910" s="35" t="s">
        <v>908</v>
      </c>
      <c r="B4910" s="49" t="str">
        <f>B4906</f>
        <v>hide</v>
      </c>
      <c r="N4910"/>
      <c r="Q4910" s="33"/>
    </row>
    <row r="4911" spans="1:19" ht="13.8" hidden="1" thickBot="1" x14ac:dyDescent="0.3">
      <c r="A4911" t="s">
        <v>23</v>
      </c>
      <c r="B4911" s="49" t="str">
        <f t="shared" ref="B4911" si="3517">B4910</f>
        <v>hide</v>
      </c>
      <c r="D4911" s="58"/>
      <c r="E4911" s="58"/>
      <c r="F4911" s="52">
        <f>SUM(F4906:F4910)</f>
        <v>0</v>
      </c>
      <c r="G4911" s="52">
        <f>SUM(G4906:G4910)</f>
        <v>0</v>
      </c>
      <c r="H4911" s="52">
        <f>SUM(H4906:H4910)</f>
        <v>0</v>
      </c>
      <c r="I4911" s="52">
        <f>SUM(I4906:I4910)</f>
        <v>0</v>
      </c>
      <c r="J4911" s="52">
        <f>SUM(J4906:J4910)</f>
        <v>0</v>
      </c>
      <c r="K4911" s="52"/>
      <c r="L4911" s="51" t="s">
        <v>4</v>
      </c>
      <c r="M4911" s="58"/>
      <c r="N4911" s="58"/>
      <c r="O4911" s="58"/>
      <c r="P4911" s="58"/>
      <c r="Q4911" s="58"/>
      <c r="R4911" s="58"/>
      <c r="S4911" s="58"/>
    </row>
    <row r="4912" spans="1:19" s="59" customFormat="1" ht="18.75" hidden="1" customHeight="1" thickBot="1" x14ac:dyDescent="0.3">
      <c r="A4912" s="59" t="s">
        <v>23</v>
      </c>
      <c r="B4912" s="60" t="str">
        <f t="shared" ref="B4912:B4913" si="3518">IF(K4912=0,"hide","")</f>
        <v>hide</v>
      </c>
      <c r="D4912" s="61" t="str">
        <f>"86136"</f>
        <v>86136</v>
      </c>
      <c r="E4912" s="62" t="str">
        <f>""</f>
        <v/>
      </c>
      <c r="F4912" s="63">
        <v>0</v>
      </c>
      <c r="G4912" s="63">
        <v>0</v>
      </c>
      <c r="H4912" s="63">
        <v>0</v>
      </c>
      <c r="I4912" s="63">
        <v>0</v>
      </c>
      <c r="J4912" s="63">
        <v>0</v>
      </c>
      <c r="K4912" s="63">
        <f>AVERAGE(I4912:J4912)</f>
        <v>0</v>
      </c>
      <c r="L4912" s="64" t="str">
        <f>""</f>
        <v/>
      </c>
      <c r="M4912" s="65" t="str">
        <f>""</f>
        <v/>
      </c>
      <c r="N4912" s="66" t="str">
        <f>""</f>
        <v/>
      </c>
      <c r="O4912" s="67" t="e">
        <v>#VALUE!</v>
      </c>
      <c r="P4912" s="68" t="e">
        <f>1/O4912</f>
        <v>#VALUE!</v>
      </c>
      <c r="Q4912" s="53" t="e">
        <v>#VALUE!</v>
      </c>
      <c r="R4912" s="69" t="e">
        <f t="shared" ref="R4912" si="3519">1/Q4912</f>
        <v>#VALUE!</v>
      </c>
      <c r="S4912" s="70" t="e">
        <f t="shared" ref="S4912" si="3520">R4912*N4912</f>
        <v>#VALUE!</v>
      </c>
    </row>
    <row r="4913" spans="1:19" ht="15.6" hidden="1" customHeight="1" thickBot="1" x14ac:dyDescent="0.3">
      <c r="A4913" t="s">
        <v>23</v>
      </c>
      <c r="B4913" s="60" t="str">
        <f t="shared" si="3518"/>
        <v>hide</v>
      </c>
      <c r="D4913" s="48" t="str">
        <f>D4912</f>
        <v>86136</v>
      </c>
      <c r="E4913" s="7"/>
      <c r="F4913" s="27">
        <v>0</v>
      </c>
      <c r="G4913" s="27">
        <v>0</v>
      </c>
      <c r="H4913" s="27">
        <v>0</v>
      </c>
      <c r="I4913" s="27">
        <v>0</v>
      </c>
      <c r="J4913" s="27">
        <v>0</v>
      </c>
      <c r="K4913" s="63">
        <f>AVERAGE(I4913:J4913)</f>
        <v>0</v>
      </c>
      <c r="L4913" s="56" t="str">
        <f>"EQP-LAWPACK1"</f>
        <v>EQP-LAWPACK1</v>
      </c>
      <c r="M4913" s="14"/>
      <c r="N4913" s="15"/>
      <c r="O4913" s="12"/>
      <c r="P4913" s="34"/>
      <c r="Q4913" s="37"/>
      <c r="R4913" s="47"/>
      <c r="S4913" s="46"/>
    </row>
    <row r="4914" spans="1:19" ht="15.6" hidden="1" customHeight="1" thickBot="1" x14ac:dyDescent="0.3">
      <c r="A4914" t="s">
        <v>23</v>
      </c>
      <c r="B4914" s="60" t="str">
        <f t="shared" ref="B4914:B4916" si="3521">IF(K4914=0,"hide","")</f>
        <v>hide</v>
      </c>
      <c r="D4914" s="48" t="str">
        <f>D4913</f>
        <v>86136</v>
      </c>
      <c r="E4914" s="7"/>
      <c r="F4914" s="27">
        <v>0</v>
      </c>
      <c r="G4914" s="27">
        <v>0</v>
      </c>
      <c r="H4914" s="27">
        <v>0</v>
      </c>
      <c r="I4914" s="27">
        <v>0</v>
      </c>
      <c r="J4914" s="27">
        <v>0</v>
      </c>
      <c r="K4914" s="63">
        <f>AVERAGE(I4914:J4914)</f>
        <v>0</v>
      </c>
      <c r="L4914" s="56" t="str">
        <f>"EQP-LAWPACK2"</f>
        <v>EQP-LAWPACK2</v>
      </c>
      <c r="M4914" s="14"/>
      <c r="N4914" s="15"/>
      <c r="O4914" s="12"/>
      <c r="P4914" s="34"/>
      <c r="Q4914" s="37"/>
      <c r="R4914" s="47"/>
      <c r="S4914" s="46"/>
    </row>
    <row r="4915" spans="1:19" ht="15.6" hidden="1" customHeight="1" thickBot="1" x14ac:dyDescent="0.3">
      <c r="A4915" t="s">
        <v>23</v>
      </c>
      <c r="B4915" s="60" t="str">
        <f t="shared" si="3521"/>
        <v>hide</v>
      </c>
      <c r="D4915" s="48" t="str">
        <f>D4914</f>
        <v>86136</v>
      </c>
      <c r="E4915" s="7"/>
      <c r="F4915" s="27">
        <v>0</v>
      </c>
      <c r="G4915" s="27">
        <v>0</v>
      </c>
      <c r="H4915" s="27">
        <v>0</v>
      </c>
      <c r="I4915" s="27">
        <v>0</v>
      </c>
      <c r="J4915" s="27">
        <v>0</v>
      </c>
      <c r="K4915" s="63">
        <f>AVERAGE(I4915:J4915)</f>
        <v>0</v>
      </c>
      <c r="L4915" s="56" t="str">
        <f>"SW-COMAS-PACKL"</f>
        <v>SW-COMAS-PACKL</v>
      </c>
      <c r="M4915" s="14"/>
      <c r="N4915" s="15"/>
      <c r="O4915" s="12"/>
      <c r="P4915" s="34"/>
      <c r="Q4915" s="37"/>
      <c r="R4915" s="47"/>
      <c r="S4915" s="46"/>
    </row>
    <row r="4916" spans="1:19" ht="15.6" hidden="1" customHeight="1" thickBot="1" x14ac:dyDescent="0.3">
      <c r="A4916" t="s">
        <v>23</v>
      </c>
      <c r="B4916" s="60" t="str">
        <f t="shared" si="3521"/>
        <v>hide</v>
      </c>
      <c r="D4916" s="48" t="str">
        <f>D4915</f>
        <v>86136</v>
      </c>
      <c r="E4916" s="7"/>
      <c r="F4916" s="27">
        <v>0</v>
      </c>
      <c r="G4916" s="27">
        <v>0</v>
      </c>
      <c r="H4916" s="27">
        <v>0</v>
      </c>
      <c r="I4916" s="27">
        <v>0</v>
      </c>
      <c r="J4916" s="27">
        <v>0</v>
      </c>
      <c r="K4916" s="63">
        <f>AVERAGE(I4916:J4916)</f>
        <v>0</v>
      </c>
      <c r="L4916" s="56" t="str">
        <f>"SW-RISER-PACK"</f>
        <v>SW-RISER-PACK</v>
      </c>
      <c r="M4916" s="14"/>
      <c r="N4916" s="15"/>
      <c r="O4916" s="12"/>
      <c r="P4916" s="34"/>
      <c r="Q4916" s="37"/>
      <c r="R4916" s="47"/>
      <c r="S4916" s="46"/>
    </row>
    <row r="4917" spans="1:19" ht="12" hidden="1" customHeight="1" x14ac:dyDescent="0.3">
      <c r="A4917" s="35" t="s">
        <v>908</v>
      </c>
      <c r="B4917" s="49" t="str">
        <f>B4913</f>
        <v>hide</v>
      </c>
      <c r="N4917"/>
      <c r="Q4917" s="33"/>
    </row>
    <row r="4918" spans="1:19" ht="13.8" hidden="1" thickBot="1" x14ac:dyDescent="0.3">
      <c r="A4918" t="s">
        <v>23</v>
      </c>
      <c r="B4918" s="49" t="str">
        <f t="shared" ref="B4918" si="3522">B4917</f>
        <v>hide</v>
      </c>
      <c r="D4918" s="58"/>
      <c r="E4918" s="58"/>
      <c r="F4918" s="52">
        <f>SUM(F4913:F4917)</f>
        <v>0</v>
      </c>
      <c r="G4918" s="52">
        <f>SUM(G4913:G4917)</f>
        <v>0</v>
      </c>
      <c r="H4918" s="52">
        <f>SUM(H4913:H4917)</f>
        <v>0</v>
      </c>
      <c r="I4918" s="52">
        <f>SUM(I4913:I4917)</f>
        <v>0</v>
      </c>
      <c r="J4918" s="52">
        <f>SUM(J4913:J4917)</f>
        <v>0</v>
      </c>
      <c r="K4918" s="52"/>
      <c r="L4918" s="51" t="s">
        <v>4</v>
      </c>
      <c r="M4918" s="58"/>
      <c r="N4918" s="58"/>
      <c r="O4918" s="58"/>
      <c r="P4918" s="58"/>
      <c r="Q4918" s="58"/>
      <c r="R4918" s="58"/>
      <c r="S4918" s="58"/>
    </row>
    <row r="4919" spans="1:19" s="59" customFormat="1" ht="18.75" customHeight="1" thickBot="1" x14ac:dyDescent="0.3">
      <c r="A4919" s="59" t="s">
        <v>23</v>
      </c>
      <c r="B4919" s="60" t="str">
        <f t="shared" ref="B4919:B4920" si="3523">IF(K4919=0,"hide","")</f>
        <v/>
      </c>
      <c r="D4919" s="61" t="str">
        <f>"86601"</f>
        <v>86601</v>
      </c>
      <c r="E4919" s="62" t="str">
        <f>"3"</f>
        <v>3</v>
      </c>
      <c r="F4919" s="63">
        <v>277.25</v>
      </c>
      <c r="G4919" s="63">
        <v>437</v>
      </c>
      <c r="H4919" s="63">
        <v>721</v>
      </c>
      <c r="I4919" s="63">
        <v>619.5</v>
      </c>
      <c r="J4919" s="63">
        <v>251.83590361445781</v>
      </c>
      <c r="K4919" s="63">
        <f>AVERAGE(I4919:J4919)</f>
        <v>435.66795180722892</v>
      </c>
      <c r="L4919" s="64" t="str">
        <f>"WH WH Blueberry BAGELS SLICED"</f>
        <v>WH WH Blueberry BAGELS SLICED</v>
      </c>
      <c r="M4919" s="65" t="str">
        <f>"72-2 oz. I.W."</f>
        <v>72-2 oz. I.W.</v>
      </c>
      <c r="N4919" s="66">
        <v>72</v>
      </c>
      <c r="O4919" s="67" t="str">
        <f>""</f>
        <v/>
      </c>
      <c r="P4919" s="68" t="e">
        <f>1/O4919</f>
        <v>#VALUE!</v>
      </c>
      <c r="Q4919" s="53">
        <v>1</v>
      </c>
      <c r="R4919" s="69">
        <f t="shared" ref="R4919" si="3524">1/Q4919</f>
        <v>1</v>
      </c>
      <c r="S4919" s="70">
        <f t="shared" ref="S4919" si="3525">R4919*N4919</f>
        <v>72</v>
      </c>
    </row>
    <row r="4920" spans="1:19" ht="15.6" hidden="1" customHeight="1" thickBot="1" x14ac:dyDescent="0.3">
      <c r="A4920" t="s">
        <v>23</v>
      </c>
      <c r="B4920" s="60" t="str">
        <f t="shared" si="3523"/>
        <v>hide</v>
      </c>
      <c r="D4920" s="48" t="str">
        <f>D4919</f>
        <v>86601</v>
      </c>
      <c r="E4920" s="7"/>
      <c r="F4920" s="27">
        <v>0</v>
      </c>
      <c r="G4920" s="27">
        <v>0</v>
      </c>
      <c r="H4920" s="27">
        <v>0</v>
      </c>
      <c r="I4920" s="27">
        <v>0</v>
      </c>
      <c r="J4920" s="27">
        <v>0</v>
      </c>
      <c r="K4920" s="63">
        <f>AVERAGE(I4920:J4920)</f>
        <v>0</v>
      </c>
      <c r="L4920" s="56" t="str">
        <f>"EQP-LAWPACK1"</f>
        <v>EQP-LAWPACK1</v>
      </c>
      <c r="M4920" s="14"/>
      <c r="N4920" s="15"/>
      <c r="O4920" s="12"/>
      <c r="P4920" s="34"/>
      <c r="Q4920" s="37"/>
      <c r="R4920" s="47"/>
      <c r="S4920" s="46"/>
    </row>
    <row r="4921" spans="1:19" ht="15.6" hidden="1" customHeight="1" thickBot="1" x14ac:dyDescent="0.3">
      <c r="A4921" t="s">
        <v>23</v>
      </c>
      <c r="B4921" s="60" t="str">
        <f t="shared" ref="B4921:B4923" si="3526">IF(K4921=0,"hide","")</f>
        <v>hide</v>
      </c>
      <c r="D4921" s="48" t="str">
        <f>D4920</f>
        <v>86601</v>
      </c>
      <c r="E4921" s="7"/>
      <c r="F4921" s="27">
        <v>0</v>
      </c>
      <c r="G4921" s="27">
        <v>0</v>
      </c>
      <c r="H4921" s="27">
        <v>0</v>
      </c>
      <c r="I4921" s="27">
        <v>0</v>
      </c>
      <c r="J4921" s="27">
        <v>0</v>
      </c>
      <c r="K4921" s="63">
        <f>AVERAGE(I4921:J4921)</f>
        <v>0</v>
      </c>
      <c r="L4921" s="56" t="str">
        <f>"EQP-LAWPACK2"</f>
        <v>EQP-LAWPACK2</v>
      </c>
      <c r="M4921" s="14"/>
      <c r="N4921" s="15"/>
      <c r="O4921" s="12"/>
      <c r="P4921" s="34"/>
      <c r="Q4921" s="37"/>
      <c r="R4921" s="47"/>
      <c r="S4921" s="46"/>
    </row>
    <row r="4922" spans="1:19" ht="15.6" hidden="1" customHeight="1" thickBot="1" x14ac:dyDescent="0.3">
      <c r="A4922" t="s">
        <v>23</v>
      </c>
      <c r="B4922" s="60" t="str">
        <f t="shared" si="3526"/>
        <v>hide</v>
      </c>
      <c r="D4922" s="48" t="str">
        <f>D4921</f>
        <v>86601</v>
      </c>
      <c r="E4922" s="7"/>
      <c r="F4922" s="27">
        <v>0</v>
      </c>
      <c r="G4922" s="27">
        <v>0</v>
      </c>
      <c r="H4922" s="27">
        <v>0</v>
      </c>
      <c r="I4922" s="27">
        <v>0</v>
      </c>
      <c r="J4922" s="27">
        <v>0</v>
      </c>
      <c r="K4922" s="63">
        <f>AVERAGE(I4922:J4922)</f>
        <v>0</v>
      </c>
      <c r="L4922" s="56" t="str">
        <f>"SW-COMAS-PACKL"</f>
        <v>SW-COMAS-PACKL</v>
      </c>
      <c r="M4922" s="14"/>
      <c r="N4922" s="15"/>
      <c r="O4922" s="12"/>
      <c r="P4922" s="34"/>
      <c r="Q4922" s="37"/>
      <c r="R4922" s="47"/>
      <c r="S4922" s="46"/>
    </row>
    <row r="4923" spans="1:19" ht="15.6" hidden="1" customHeight="1" thickBot="1" x14ac:dyDescent="0.3">
      <c r="A4923" t="s">
        <v>23</v>
      </c>
      <c r="B4923" s="60" t="str">
        <f t="shared" si="3526"/>
        <v>hide</v>
      </c>
      <c r="D4923" s="48" t="str">
        <f>D4922</f>
        <v>86601</v>
      </c>
      <c r="E4923" s="7"/>
      <c r="F4923" s="27">
        <v>0</v>
      </c>
      <c r="G4923" s="27">
        <v>0</v>
      </c>
      <c r="H4923" s="27">
        <v>0</v>
      </c>
      <c r="I4923" s="27">
        <v>0</v>
      </c>
      <c r="J4923" s="27">
        <v>0</v>
      </c>
      <c r="K4923" s="63">
        <f>AVERAGE(I4923:J4923)</f>
        <v>0</v>
      </c>
      <c r="L4923" s="56" t="str">
        <f>"SW-RISER-PACK"</f>
        <v>SW-RISER-PACK</v>
      </c>
      <c r="M4923" s="14"/>
      <c r="N4923" s="15"/>
      <c r="O4923" s="12"/>
      <c r="P4923" s="34"/>
      <c r="Q4923" s="37"/>
      <c r="R4923" s="47"/>
      <c r="S4923" s="46"/>
    </row>
    <row r="4924" spans="1:19" ht="12" hidden="1" customHeight="1" x14ac:dyDescent="0.3">
      <c r="A4924" s="35" t="s">
        <v>908</v>
      </c>
      <c r="B4924" s="49" t="str">
        <f>B4920</f>
        <v>hide</v>
      </c>
      <c r="N4924"/>
      <c r="Q4924" s="33"/>
    </row>
    <row r="4925" spans="1:19" ht="13.8" hidden="1" thickBot="1" x14ac:dyDescent="0.3">
      <c r="A4925" t="s">
        <v>23</v>
      </c>
      <c r="B4925" s="49" t="str">
        <f t="shared" ref="B4925" si="3527">B4924</f>
        <v>hide</v>
      </c>
      <c r="D4925" s="58"/>
      <c r="E4925" s="58"/>
      <c r="F4925" s="52">
        <f>SUM(F4920:F4924)</f>
        <v>0</v>
      </c>
      <c r="G4925" s="52">
        <f>SUM(G4920:G4924)</f>
        <v>0</v>
      </c>
      <c r="H4925" s="52">
        <f>SUM(H4920:H4924)</f>
        <v>0</v>
      </c>
      <c r="I4925" s="52">
        <f>SUM(I4920:I4924)</f>
        <v>0</v>
      </c>
      <c r="J4925" s="52">
        <f>SUM(J4920:J4924)</f>
        <v>0</v>
      </c>
      <c r="K4925" s="52"/>
      <c r="L4925" s="51" t="s">
        <v>4</v>
      </c>
      <c r="M4925" s="58"/>
      <c r="N4925" s="58"/>
      <c r="O4925" s="58"/>
      <c r="P4925" s="58"/>
      <c r="Q4925" s="58"/>
      <c r="R4925" s="58"/>
      <c r="S4925" s="58"/>
    </row>
    <row r="4926" spans="1:19" s="59" customFormat="1" ht="18.75" customHeight="1" thickBot="1" x14ac:dyDescent="0.3">
      <c r="A4926" s="59" t="s">
        <v>23</v>
      </c>
      <c r="B4926" s="60" t="str">
        <f t="shared" ref="B4926:B4927" si="3528">IF(K4926=0,"hide","")</f>
        <v/>
      </c>
      <c r="D4926" s="61" t="str">
        <f>"86616"</f>
        <v>86616</v>
      </c>
      <c r="E4926" s="62" t="str">
        <f>"2"</f>
        <v>2</v>
      </c>
      <c r="F4926" s="63">
        <v>717.25</v>
      </c>
      <c r="G4926" s="63">
        <v>920.16666666666663</v>
      </c>
      <c r="H4926" s="63">
        <v>770.83333333333337</v>
      </c>
      <c r="I4926" s="63">
        <v>727.08333333333337</v>
      </c>
      <c r="J4926" s="63">
        <v>527.13012048192775</v>
      </c>
      <c r="K4926" s="63">
        <f>AVERAGE(I4926:J4926)</f>
        <v>627.10672690763056</v>
      </c>
      <c r="L4926" s="64" t="str">
        <f>"WH WH CINN RAISIN BAGEL SLICED"</f>
        <v>WH WH CINN RAISIN BAGEL SLICED</v>
      </c>
      <c r="M4926" s="65" t="str">
        <f>"72-2 oz. I.W."</f>
        <v>72-2 oz. I.W.</v>
      </c>
      <c r="N4926" s="66">
        <v>72</v>
      </c>
      <c r="O4926" s="67" t="str">
        <f>""</f>
        <v/>
      </c>
      <c r="P4926" s="68" t="e">
        <f>1/O4926</f>
        <v>#VALUE!</v>
      </c>
      <c r="Q4926" s="53">
        <v>1</v>
      </c>
      <c r="R4926" s="69">
        <f t="shared" ref="R4926" si="3529">1/Q4926</f>
        <v>1</v>
      </c>
      <c r="S4926" s="70">
        <f t="shared" ref="S4926" si="3530">R4926*N4926</f>
        <v>72</v>
      </c>
    </row>
    <row r="4927" spans="1:19" ht="15.6" hidden="1" customHeight="1" thickBot="1" x14ac:dyDescent="0.3">
      <c r="A4927" t="s">
        <v>23</v>
      </c>
      <c r="B4927" s="60" t="str">
        <f t="shared" si="3528"/>
        <v>hide</v>
      </c>
      <c r="D4927" s="48" t="str">
        <f>D4926</f>
        <v>86616</v>
      </c>
      <c r="E4927" s="7"/>
      <c r="F4927" s="27">
        <v>0</v>
      </c>
      <c r="G4927" s="27">
        <v>0</v>
      </c>
      <c r="H4927" s="27">
        <v>0</v>
      </c>
      <c r="I4927" s="27">
        <v>0</v>
      </c>
      <c r="J4927" s="27">
        <v>0</v>
      </c>
      <c r="K4927" s="63">
        <f>AVERAGE(I4927:J4927)</f>
        <v>0</v>
      </c>
      <c r="L4927" s="56" t="str">
        <f>"EQP-LAWPACK1"</f>
        <v>EQP-LAWPACK1</v>
      </c>
      <c r="M4927" s="14"/>
      <c r="N4927" s="15"/>
      <c r="O4927" s="12"/>
      <c r="P4927" s="34"/>
      <c r="Q4927" s="37"/>
      <c r="R4927" s="47"/>
      <c r="S4927" s="46"/>
    </row>
    <row r="4928" spans="1:19" ht="15.6" hidden="1" customHeight="1" thickBot="1" x14ac:dyDescent="0.3">
      <c r="A4928" t="s">
        <v>23</v>
      </c>
      <c r="B4928" s="60" t="str">
        <f t="shared" ref="B4928:B4930" si="3531">IF(K4928=0,"hide","")</f>
        <v>hide</v>
      </c>
      <c r="D4928" s="48" t="str">
        <f>D4927</f>
        <v>86616</v>
      </c>
      <c r="E4928" s="7"/>
      <c r="F4928" s="27">
        <v>0</v>
      </c>
      <c r="G4928" s="27">
        <v>0</v>
      </c>
      <c r="H4928" s="27">
        <v>0</v>
      </c>
      <c r="I4928" s="27">
        <v>0</v>
      </c>
      <c r="J4928" s="27">
        <v>0</v>
      </c>
      <c r="K4928" s="63">
        <f>AVERAGE(I4928:J4928)</f>
        <v>0</v>
      </c>
      <c r="L4928" s="56" t="str">
        <f>"EQP-LAWPACK2"</f>
        <v>EQP-LAWPACK2</v>
      </c>
      <c r="M4928" s="14"/>
      <c r="N4928" s="15"/>
      <c r="O4928" s="12"/>
      <c r="P4928" s="34"/>
      <c r="Q4928" s="37"/>
      <c r="R4928" s="47"/>
      <c r="S4928" s="46"/>
    </row>
    <row r="4929" spans="1:19" ht="15.6" hidden="1" customHeight="1" thickBot="1" x14ac:dyDescent="0.3">
      <c r="A4929" t="s">
        <v>23</v>
      </c>
      <c r="B4929" s="60" t="str">
        <f t="shared" si="3531"/>
        <v>hide</v>
      </c>
      <c r="D4929" s="48" t="str">
        <f>D4928</f>
        <v>86616</v>
      </c>
      <c r="E4929" s="7"/>
      <c r="F4929" s="27">
        <v>0</v>
      </c>
      <c r="G4929" s="27">
        <v>0</v>
      </c>
      <c r="H4929" s="27">
        <v>0</v>
      </c>
      <c r="I4929" s="27">
        <v>0</v>
      </c>
      <c r="J4929" s="27">
        <v>0</v>
      </c>
      <c r="K4929" s="63">
        <f>AVERAGE(I4929:J4929)</f>
        <v>0</v>
      </c>
      <c r="L4929" s="56" t="str">
        <f>"SW-COMAS-PACKL"</f>
        <v>SW-COMAS-PACKL</v>
      </c>
      <c r="M4929" s="14"/>
      <c r="N4929" s="15"/>
      <c r="O4929" s="12"/>
      <c r="P4929" s="34"/>
      <c r="Q4929" s="37"/>
      <c r="R4929" s="47"/>
      <c r="S4929" s="46"/>
    </row>
    <row r="4930" spans="1:19" ht="15.6" hidden="1" customHeight="1" thickBot="1" x14ac:dyDescent="0.3">
      <c r="A4930" t="s">
        <v>23</v>
      </c>
      <c r="B4930" s="60" t="str">
        <f t="shared" si="3531"/>
        <v>hide</v>
      </c>
      <c r="D4930" s="48" t="str">
        <f>D4929</f>
        <v>86616</v>
      </c>
      <c r="E4930" s="7"/>
      <c r="F4930" s="27">
        <v>0</v>
      </c>
      <c r="G4930" s="27">
        <v>0</v>
      </c>
      <c r="H4930" s="27">
        <v>0</v>
      </c>
      <c r="I4930" s="27">
        <v>0</v>
      </c>
      <c r="J4930" s="27">
        <v>0</v>
      </c>
      <c r="K4930" s="63">
        <f>AVERAGE(I4930:J4930)</f>
        <v>0</v>
      </c>
      <c r="L4930" s="56" t="str">
        <f>"SW-RISER-PACK"</f>
        <v>SW-RISER-PACK</v>
      </c>
      <c r="M4930" s="14"/>
      <c r="N4930" s="15"/>
      <c r="O4930" s="12"/>
      <c r="P4930" s="34"/>
      <c r="Q4930" s="37"/>
      <c r="R4930" s="47"/>
      <c r="S4930" s="46"/>
    </row>
    <row r="4931" spans="1:19" ht="12" hidden="1" customHeight="1" x14ac:dyDescent="0.3">
      <c r="A4931" s="35" t="s">
        <v>908</v>
      </c>
      <c r="B4931" s="49" t="str">
        <f>B4927</f>
        <v>hide</v>
      </c>
      <c r="N4931"/>
      <c r="Q4931" s="33"/>
    </row>
    <row r="4932" spans="1:19" ht="13.8" hidden="1" thickBot="1" x14ac:dyDescent="0.3">
      <c r="A4932" t="s">
        <v>23</v>
      </c>
      <c r="B4932" s="49" t="str">
        <f t="shared" ref="B4932" si="3532">B4931</f>
        <v>hide</v>
      </c>
      <c r="D4932" s="58"/>
      <c r="E4932" s="58"/>
      <c r="F4932" s="52">
        <f>SUM(F4927:F4931)</f>
        <v>0</v>
      </c>
      <c r="G4932" s="52">
        <f>SUM(G4927:G4931)</f>
        <v>0</v>
      </c>
      <c r="H4932" s="52">
        <f>SUM(H4927:H4931)</f>
        <v>0</v>
      </c>
      <c r="I4932" s="52">
        <f>SUM(I4927:I4931)</f>
        <v>0</v>
      </c>
      <c r="J4932" s="52">
        <f>SUM(J4927:J4931)</f>
        <v>0</v>
      </c>
      <c r="K4932" s="52"/>
      <c r="L4932" s="51" t="s">
        <v>4</v>
      </c>
      <c r="M4932" s="58"/>
      <c r="N4932" s="58"/>
      <c r="O4932" s="58"/>
      <c r="P4932" s="58"/>
      <c r="Q4932" s="58"/>
      <c r="R4932" s="58"/>
      <c r="S4932" s="58"/>
    </row>
    <row r="4933" spans="1:19" s="59" customFormat="1" ht="18.75" hidden="1" customHeight="1" thickBot="1" x14ac:dyDescent="0.3">
      <c r="A4933" s="59" t="s">
        <v>23</v>
      </c>
      <c r="B4933" s="60" t="str">
        <f t="shared" ref="B4933:B4934" si="3533">IF(K4933=0,"hide","")</f>
        <v>hide</v>
      </c>
      <c r="D4933" s="61" t="str">
        <f>"86660"</f>
        <v>86660</v>
      </c>
      <c r="E4933" s="62" t="str">
        <f>"3"</f>
        <v>3</v>
      </c>
      <c r="F4933" s="63">
        <v>31.333333333333332</v>
      </c>
      <c r="G4933" s="63">
        <v>0</v>
      </c>
      <c r="H4933" s="63">
        <v>0</v>
      </c>
      <c r="I4933" s="63">
        <v>0</v>
      </c>
      <c r="J4933" s="63">
        <v>0</v>
      </c>
      <c r="K4933" s="63">
        <f>AVERAGE(I4933:J4933)</f>
        <v>0</v>
      </c>
      <c r="L4933" s="64" t="str">
        <f>"WH WH FR TOAST BAGEL SLICED"</f>
        <v>WH WH FR TOAST BAGEL SLICED</v>
      </c>
      <c r="M4933" s="65" t="str">
        <f>"72-2 oz. I.W."</f>
        <v>72-2 oz. I.W.</v>
      </c>
      <c r="N4933" s="66">
        <v>72</v>
      </c>
      <c r="O4933" s="67" t="str">
        <f>""</f>
        <v/>
      </c>
      <c r="P4933" s="68" t="e">
        <f>1/O4933</f>
        <v>#VALUE!</v>
      </c>
      <c r="Q4933" s="53">
        <v>1</v>
      </c>
      <c r="R4933" s="69">
        <f t="shared" ref="R4933" si="3534">1/Q4933</f>
        <v>1</v>
      </c>
      <c r="S4933" s="70">
        <f t="shared" ref="S4933" si="3535">R4933*N4933</f>
        <v>72</v>
      </c>
    </row>
    <row r="4934" spans="1:19" ht="15.6" hidden="1" customHeight="1" thickBot="1" x14ac:dyDescent="0.3">
      <c r="A4934" t="s">
        <v>23</v>
      </c>
      <c r="B4934" s="60" t="str">
        <f t="shared" si="3533"/>
        <v>hide</v>
      </c>
      <c r="D4934" s="48" t="str">
        <f>D4933</f>
        <v>86660</v>
      </c>
      <c r="E4934" s="7"/>
      <c r="F4934" s="27">
        <v>0</v>
      </c>
      <c r="G4934" s="27">
        <v>0</v>
      </c>
      <c r="H4934" s="27">
        <v>0</v>
      </c>
      <c r="I4934" s="27">
        <v>0</v>
      </c>
      <c r="J4934" s="27">
        <v>0</v>
      </c>
      <c r="K4934" s="63">
        <f>AVERAGE(I4934:J4934)</f>
        <v>0</v>
      </c>
      <c r="L4934" s="56" t="str">
        <f>"EQP-LAWPACK1"</f>
        <v>EQP-LAWPACK1</v>
      </c>
      <c r="M4934" s="14"/>
      <c r="N4934" s="15"/>
      <c r="O4934" s="12"/>
      <c r="P4934" s="34"/>
      <c r="Q4934" s="37"/>
      <c r="R4934" s="47"/>
      <c r="S4934" s="46"/>
    </row>
    <row r="4935" spans="1:19" ht="15.6" hidden="1" customHeight="1" thickBot="1" x14ac:dyDescent="0.3">
      <c r="A4935" t="s">
        <v>23</v>
      </c>
      <c r="B4935" s="60" t="str">
        <f t="shared" ref="B4935:B4937" si="3536">IF(K4935=0,"hide","")</f>
        <v>hide</v>
      </c>
      <c r="D4935" s="48" t="str">
        <f>D4934</f>
        <v>86660</v>
      </c>
      <c r="E4935" s="7"/>
      <c r="F4935" s="27">
        <v>0</v>
      </c>
      <c r="G4935" s="27">
        <v>0</v>
      </c>
      <c r="H4935" s="27">
        <v>0</v>
      </c>
      <c r="I4935" s="27">
        <v>0</v>
      </c>
      <c r="J4935" s="27">
        <v>0</v>
      </c>
      <c r="K4935" s="63">
        <f>AVERAGE(I4935:J4935)</f>
        <v>0</v>
      </c>
      <c r="L4935" s="56" t="str">
        <f>"EQP-LAWPACK2"</f>
        <v>EQP-LAWPACK2</v>
      </c>
      <c r="M4935" s="14"/>
      <c r="N4935" s="15"/>
      <c r="O4935" s="12"/>
      <c r="P4935" s="34"/>
      <c r="Q4935" s="37"/>
      <c r="R4935" s="47"/>
      <c r="S4935" s="46"/>
    </row>
    <row r="4936" spans="1:19" ht="15.6" hidden="1" customHeight="1" thickBot="1" x14ac:dyDescent="0.3">
      <c r="A4936" t="s">
        <v>23</v>
      </c>
      <c r="B4936" s="60" t="str">
        <f t="shared" si="3536"/>
        <v>hide</v>
      </c>
      <c r="D4936" s="48" t="str">
        <f>D4935</f>
        <v>86660</v>
      </c>
      <c r="E4936" s="7"/>
      <c r="F4936" s="27">
        <v>0</v>
      </c>
      <c r="G4936" s="27">
        <v>0</v>
      </c>
      <c r="H4936" s="27">
        <v>0</v>
      </c>
      <c r="I4936" s="27">
        <v>0</v>
      </c>
      <c r="J4936" s="27">
        <v>0</v>
      </c>
      <c r="K4936" s="63">
        <f>AVERAGE(I4936:J4936)</f>
        <v>0</v>
      </c>
      <c r="L4936" s="56" t="str">
        <f>"SW-COMAS-PACKL"</f>
        <v>SW-COMAS-PACKL</v>
      </c>
      <c r="M4936" s="14"/>
      <c r="N4936" s="15"/>
      <c r="O4936" s="12"/>
      <c r="P4936" s="34"/>
      <c r="Q4936" s="37"/>
      <c r="R4936" s="47"/>
      <c r="S4936" s="46"/>
    </row>
    <row r="4937" spans="1:19" ht="15.6" hidden="1" customHeight="1" thickBot="1" x14ac:dyDescent="0.3">
      <c r="A4937" t="s">
        <v>23</v>
      </c>
      <c r="B4937" s="60" t="str">
        <f t="shared" si="3536"/>
        <v>hide</v>
      </c>
      <c r="D4937" s="48" t="str">
        <f>D4936</f>
        <v>86660</v>
      </c>
      <c r="E4937" s="7"/>
      <c r="F4937" s="27">
        <v>0</v>
      </c>
      <c r="G4937" s="27">
        <v>0</v>
      </c>
      <c r="H4937" s="27">
        <v>0</v>
      </c>
      <c r="I4937" s="27">
        <v>0</v>
      </c>
      <c r="J4937" s="27">
        <v>0</v>
      </c>
      <c r="K4937" s="63">
        <f>AVERAGE(I4937:J4937)</f>
        <v>0</v>
      </c>
      <c r="L4937" s="56" t="str">
        <f>"SW-RISER-PACK"</f>
        <v>SW-RISER-PACK</v>
      </c>
      <c r="M4937" s="14"/>
      <c r="N4937" s="15"/>
      <c r="O4937" s="12"/>
      <c r="P4937" s="34"/>
      <c r="Q4937" s="37"/>
      <c r="R4937" s="47"/>
      <c r="S4937" s="46"/>
    </row>
    <row r="4938" spans="1:19" ht="12" hidden="1" customHeight="1" x14ac:dyDescent="0.3">
      <c r="A4938" s="35" t="s">
        <v>908</v>
      </c>
      <c r="B4938" s="49" t="str">
        <f>B4934</f>
        <v>hide</v>
      </c>
      <c r="N4938"/>
      <c r="Q4938" s="33"/>
    </row>
    <row r="4939" spans="1:19" ht="13.8" hidden="1" thickBot="1" x14ac:dyDescent="0.3">
      <c r="A4939" t="s">
        <v>23</v>
      </c>
      <c r="B4939" s="49" t="str">
        <f t="shared" ref="B4939" si="3537">B4938</f>
        <v>hide</v>
      </c>
      <c r="D4939" s="58"/>
      <c r="E4939" s="58"/>
      <c r="F4939" s="52">
        <f>SUM(F4934:F4938)</f>
        <v>0</v>
      </c>
      <c r="G4939" s="52">
        <f>SUM(G4934:G4938)</f>
        <v>0</v>
      </c>
      <c r="H4939" s="52">
        <f>SUM(H4934:H4938)</f>
        <v>0</v>
      </c>
      <c r="I4939" s="52">
        <f>SUM(I4934:I4938)</f>
        <v>0</v>
      </c>
      <c r="J4939" s="52">
        <f>SUM(J4934:J4938)</f>
        <v>0</v>
      </c>
      <c r="K4939" s="52"/>
      <c r="L4939" s="51" t="s">
        <v>4</v>
      </c>
      <c r="M4939" s="58"/>
      <c r="N4939" s="58"/>
      <c r="O4939" s="58"/>
      <c r="P4939" s="58"/>
      <c r="Q4939" s="58"/>
      <c r="R4939" s="58"/>
      <c r="S4939" s="58"/>
    </row>
    <row r="4940" spans="1:19" s="59" customFormat="1" ht="18.75" customHeight="1" thickBot="1" x14ac:dyDescent="0.3">
      <c r="A4940" s="59" t="s">
        <v>23</v>
      </c>
      <c r="B4940" s="60" t="str">
        <f t="shared" ref="B4940:B4941" si="3538">IF(K4940=0,"hide","")</f>
        <v/>
      </c>
      <c r="D4940" s="61" t="str">
        <f>"86695"</f>
        <v>86695</v>
      </c>
      <c r="E4940" s="62" t="str">
        <f>"3"</f>
        <v>3</v>
      </c>
      <c r="F4940" s="63">
        <v>4657.4999999999991</v>
      </c>
      <c r="G4940" s="63">
        <v>3889</v>
      </c>
      <c r="H4940" s="63">
        <v>4100.583333333333</v>
      </c>
      <c r="I4940" s="63">
        <v>3750.8333333333335</v>
      </c>
      <c r="J4940" s="63">
        <v>2752.1920481927714</v>
      </c>
      <c r="K4940" s="63">
        <f>AVERAGE(I4940:J4940)</f>
        <v>3251.5126907630524</v>
      </c>
      <c r="L4940" s="64" t="str">
        <f>"HONEY WH WH BAGEL SLICED"</f>
        <v>HONEY WH WH BAGEL SLICED</v>
      </c>
      <c r="M4940" s="65" t="str">
        <f>"72-2 oz. I.W."</f>
        <v>72-2 oz. I.W.</v>
      </c>
      <c r="N4940" s="66">
        <v>72</v>
      </c>
      <c r="O4940" s="67" t="str">
        <f>""</f>
        <v/>
      </c>
      <c r="P4940" s="68" t="e">
        <f>1/O4940</f>
        <v>#VALUE!</v>
      </c>
      <c r="Q4940" s="53">
        <v>1</v>
      </c>
      <c r="R4940" s="69">
        <f t="shared" ref="R4940" si="3539">1/Q4940</f>
        <v>1</v>
      </c>
      <c r="S4940" s="70">
        <f t="shared" ref="S4940" si="3540">R4940*N4940</f>
        <v>72</v>
      </c>
    </row>
    <row r="4941" spans="1:19" ht="15.6" hidden="1" customHeight="1" thickBot="1" x14ac:dyDescent="0.3">
      <c r="A4941" t="s">
        <v>23</v>
      </c>
      <c r="B4941" s="60" t="str">
        <f t="shared" si="3538"/>
        <v>hide</v>
      </c>
      <c r="D4941" s="48" t="str">
        <f>D4940</f>
        <v>86695</v>
      </c>
      <c r="E4941" s="7"/>
      <c r="F4941" s="27">
        <v>0</v>
      </c>
      <c r="G4941" s="27">
        <v>0</v>
      </c>
      <c r="H4941" s="27">
        <v>0</v>
      </c>
      <c r="I4941" s="27">
        <v>0</v>
      </c>
      <c r="J4941" s="27">
        <v>0</v>
      </c>
      <c r="K4941" s="63">
        <f>AVERAGE(I4941:J4941)</f>
        <v>0</v>
      </c>
      <c r="L4941" s="56" t="str">
        <f>"EQP-LAWPACK1"</f>
        <v>EQP-LAWPACK1</v>
      </c>
      <c r="M4941" s="14"/>
      <c r="N4941" s="15"/>
      <c r="O4941" s="12"/>
      <c r="P4941" s="34"/>
      <c r="Q4941" s="37"/>
      <c r="R4941" s="47"/>
      <c r="S4941" s="46"/>
    </row>
    <row r="4942" spans="1:19" ht="15.6" hidden="1" customHeight="1" thickBot="1" x14ac:dyDescent="0.3">
      <c r="A4942" t="s">
        <v>23</v>
      </c>
      <c r="B4942" s="60" t="str">
        <f t="shared" ref="B4942:B4944" si="3541">IF(K4942=0,"hide","")</f>
        <v>hide</v>
      </c>
      <c r="D4942" s="48" t="str">
        <f>D4941</f>
        <v>86695</v>
      </c>
      <c r="E4942" s="7"/>
      <c r="F4942" s="27">
        <v>0</v>
      </c>
      <c r="G4942" s="27">
        <v>0</v>
      </c>
      <c r="H4942" s="27">
        <v>0</v>
      </c>
      <c r="I4942" s="27">
        <v>0</v>
      </c>
      <c r="J4942" s="27">
        <v>0</v>
      </c>
      <c r="K4942" s="63">
        <f>AVERAGE(I4942:J4942)</f>
        <v>0</v>
      </c>
      <c r="L4942" s="56" t="str">
        <f>"EQP-LAWPACK2"</f>
        <v>EQP-LAWPACK2</v>
      </c>
      <c r="M4942" s="14"/>
      <c r="N4942" s="15"/>
      <c r="O4942" s="12"/>
      <c r="P4942" s="34"/>
      <c r="Q4942" s="37"/>
      <c r="R4942" s="47"/>
      <c r="S4942" s="46"/>
    </row>
    <row r="4943" spans="1:19" ht="15.6" hidden="1" customHeight="1" thickBot="1" x14ac:dyDescent="0.3">
      <c r="A4943" t="s">
        <v>23</v>
      </c>
      <c r="B4943" s="60" t="str">
        <f t="shared" si="3541"/>
        <v>hide</v>
      </c>
      <c r="D4943" s="48" t="str">
        <f>D4942</f>
        <v>86695</v>
      </c>
      <c r="E4943" s="7"/>
      <c r="F4943" s="27">
        <v>0</v>
      </c>
      <c r="G4943" s="27">
        <v>0</v>
      </c>
      <c r="H4943" s="27">
        <v>0</v>
      </c>
      <c r="I4943" s="27">
        <v>0</v>
      </c>
      <c r="J4943" s="27">
        <v>0</v>
      </c>
      <c r="K4943" s="63">
        <f>AVERAGE(I4943:J4943)</f>
        <v>0</v>
      </c>
      <c r="L4943" s="56" t="str">
        <f>"SW-COMAS-PACKL"</f>
        <v>SW-COMAS-PACKL</v>
      </c>
      <c r="M4943" s="14"/>
      <c r="N4943" s="15"/>
      <c r="O4943" s="12"/>
      <c r="P4943" s="34"/>
      <c r="Q4943" s="37"/>
      <c r="R4943" s="47"/>
      <c r="S4943" s="46"/>
    </row>
    <row r="4944" spans="1:19" ht="15.6" hidden="1" customHeight="1" thickBot="1" x14ac:dyDescent="0.3">
      <c r="A4944" t="s">
        <v>23</v>
      </c>
      <c r="B4944" s="60" t="str">
        <f t="shared" si="3541"/>
        <v>hide</v>
      </c>
      <c r="D4944" s="48" t="str">
        <f>D4943</f>
        <v>86695</v>
      </c>
      <c r="E4944" s="7"/>
      <c r="F4944" s="27">
        <v>0</v>
      </c>
      <c r="G4944" s="27">
        <v>0</v>
      </c>
      <c r="H4944" s="27">
        <v>0</v>
      </c>
      <c r="I4944" s="27">
        <v>0</v>
      </c>
      <c r="J4944" s="27">
        <v>0</v>
      </c>
      <c r="K4944" s="63">
        <f>AVERAGE(I4944:J4944)</f>
        <v>0</v>
      </c>
      <c r="L4944" s="56" t="str">
        <f>"SW-RISER-PACK"</f>
        <v>SW-RISER-PACK</v>
      </c>
      <c r="M4944" s="14"/>
      <c r="N4944" s="15"/>
      <c r="O4944" s="12"/>
      <c r="P4944" s="34"/>
      <c r="Q4944" s="37"/>
      <c r="R4944" s="47"/>
      <c r="S4944" s="46"/>
    </row>
    <row r="4945" spans="1:19" ht="12" hidden="1" customHeight="1" x14ac:dyDescent="0.3">
      <c r="A4945" s="35" t="s">
        <v>908</v>
      </c>
      <c r="B4945" s="49" t="str">
        <f>B4941</f>
        <v>hide</v>
      </c>
      <c r="N4945"/>
      <c r="Q4945" s="33"/>
    </row>
    <row r="4946" spans="1:19" ht="13.8" hidden="1" thickBot="1" x14ac:dyDescent="0.3">
      <c r="A4946" t="s">
        <v>23</v>
      </c>
      <c r="B4946" s="49" t="str">
        <f t="shared" ref="B4946" si="3542">B4945</f>
        <v>hide</v>
      </c>
      <c r="D4946" s="58"/>
      <c r="E4946" s="58"/>
      <c r="F4946" s="52">
        <f>SUM(F4941:F4945)</f>
        <v>0</v>
      </c>
      <c r="G4946" s="52">
        <f>SUM(G4941:G4945)</f>
        <v>0</v>
      </c>
      <c r="H4946" s="52">
        <f>SUM(H4941:H4945)</f>
        <v>0</v>
      </c>
      <c r="I4946" s="52">
        <f>SUM(I4941:I4945)</f>
        <v>0</v>
      </c>
      <c r="J4946" s="52">
        <f>SUM(J4941:J4945)</f>
        <v>0</v>
      </c>
      <c r="K4946" s="52"/>
      <c r="L4946" s="51" t="s">
        <v>4</v>
      </c>
      <c r="M4946" s="58"/>
      <c r="N4946" s="58"/>
      <c r="O4946" s="58"/>
      <c r="P4946" s="58"/>
      <c r="Q4946" s="58"/>
      <c r="R4946" s="58"/>
      <c r="S4946" s="58"/>
    </row>
    <row r="4947" spans="1:19" s="59" customFormat="1" ht="18.75" hidden="1" customHeight="1" thickBot="1" x14ac:dyDescent="0.3">
      <c r="A4947" s="59" t="s">
        <v>23</v>
      </c>
      <c r="B4947" s="60" t="str">
        <f t="shared" ref="B4947:B4948" si="3543">IF(K4947=0,"hide","")</f>
        <v>hide</v>
      </c>
      <c r="D4947" s="61" t="str">
        <f>"87124"</f>
        <v>87124</v>
      </c>
      <c r="E4947" s="62" t="str">
        <f>"8"</f>
        <v>8</v>
      </c>
      <c r="F4947" s="63">
        <v>89.833333333333329</v>
      </c>
      <c r="G4947" s="63">
        <v>57.166666666666664</v>
      </c>
      <c r="H4947" s="63">
        <v>72.666666666666657</v>
      </c>
      <c r="I4947" s="63">
        <v>0</v>
      </c>
      <c r="J4947" s="63">
        <v>0</v>
      </c>
      <c r="K4947" s="63">
        <f>AVERAGE(I4947:J4947)</f>
        <v>0</v>
      </c>
      <c r="L4947" s="64" t="str">
        <f>"SuperFood CranBran TOPS"</f>
        <v>SuperFood CranBran TOPS</v>
      </c>
      <c r="M4947" s="65" t="str">
        <f>"48-2oz 12-4pk FrzTOP"</f>
        <v>48-2oz 12-4pk FrzTOP</v>
      </c>
      <c r="N4947" s="66">
        <v>48</v>
      </c>
      <c r="O4947" s="67">
        <v>2.2399999999999998E-3</v>
      </c>
      <c r="P4947" s="68">
        <f>1/O4947</f>
        <v>446.42857142857144</v>
      </c>
      <c r="Q4947" s="53">
        <v>4.3400000000000001E-3</v>
      </c>
      <c r="R4947" s="69">
        <f t="shared" ref="R4947" si="3544">1/Q4947</f>
        <v>230.41474654377879</v>
      </c>
      <c r="S4947" s="70">
        <f t="shared" ref="S4947" si="3545">R4947*N4947</f>
        <v>11059.907834101381</v>
      </c>
    </row>
    <row r="4948" spans="1:19" ht="15.6" hidden="1" customHeight="1" thickBot="1" x14ac:dyDescent="0.3">
      <c r="A4948" t="s">
        <v>23</v>
      </c>
      <c r="B4948" s="60" t="str">
        <f t="shared" si="3543"/>
        <v>hide</v>
      </c>
      <c r="D4948" s="48" t="str">
        <f>D4947</f>
        <v>87124</v>
      </c>
      <c r="E4948" s="7"/>
      <c r="F4948" s="27">
        <v>0</v>
      </c>
      <c r="G4948" s="27">
        <v>0</v>
      </c>
      <c r="H4948" s="27">
        <v>0</v>
      </c>
      <c r="I4948" s="27">
        <v>0</v>
      </c>
      <c r="J4948" s="27">
        <v>0</v>
      </c>
      <c r="K4948" s="63">
        <f>AVERAGE(I4948:J4948)</f>
        <v>0</v>
      </c>
      <c r="L4948" s="56" t="str">
        <f>"EQP-LAWPACK1"</f>
        <v>EQP-LAWPACK1</v>
      </c>
      <c r="M4948" s="14"/>
      <c r="N4948" s="15"/>
      <c r="O4948" s="12"/>
      <c r="P4948" s="34"/>
      <c r="Q4948" s="37"/>
      <c r="R4948" s="47"/>
      <c r="S4948" s="46"/>
    </row>
    <row r="4949" spans="1:19" ht="15.6" hidden="1" customHeight="1" thickBot="1" x14ac:dyDescent="0.3">
      <c r="A4949" t="s">
        <v>23</v>
      </c>
      <c r="B4949" s="60" t="str">
        <f t="shared" ref="B4949:B4951" si="3546">IF(K4949=0,"hide","")</f>
        <v>hide</v>
      </c>
      <c r="D4949" s="48" t="str">
        <f>D4948</f>
        <v>87124</v>
      </c>
      <c r="E4949" s="7"/>
      <c r="F4949" s="27">
        <v>0</v>
      </c>
      <c r="G4949" s="27">
        <v>0</v>
      </c>
      <c r="H4949" s="27">
        <v>0</v>
      </c>
      <c r="I4949" s="27">
        <v>0</v>
      </c>
      <c r="J4949" s="27">
        <v>0</v>
      </c>
      <c r="K4949" s="63">
        <f>AVERAGE(I4949:J4949)</f>
        <v>0</v>
      </c>
      <c r="L4949" s="56" t="str">
        <f>"EQP-LAWPACK2"</f>
        <v>EQP-LAWPACK2</v>
      </c>
      <c r="M4949" s="14"/>
      <c r="N4949" s="15"/>
      <c r="O4949" s="12"/>
      <c r="P4949" s="34"/>
      <c r="Q4949" s="37"/>
      <c r="R4949" s="47"/>
      <c r="S4949" s="46"/>
    </row>
    <row r="4950" spans="1:19" ht="15.6" hidden="1" customHeight="1" thickBot="1" x14ac:dyDescent="0.3">
      <c r="A4950" t="s">
        <v>23</v>
      </c>
      <c r="B4950" s="60" t="str">
        <f t="shared" si="3546"/>
        <v>hide</v>
      </c>
      <c r="D4950" s="48" t="str">
        <f>D4949</f>
        <v>87124</v>
      </c>
      <c r="E4950" s="7"/>
      <c r="F4950" s="27">
        <v>0</v>
      </c>
      <c r="G4950" s="27">
        <v>0</v>
      </c>
      <c r="H4950" s="27">
        <v>0</v>
      </c>
      <c r="I4950" s="27">
        <v>0</v>
      </c>
      <c r="J4950" s="27">
        <v>0</v>
      </c>
      <c r="K4950" s="63">
        <f>AVERAGE(I4950:J4950)</f>
        <v>0</v>
      </c>
      <c r="L4950" s="56" t="str">
        <f>"SW-COMAS-PACKL"</f>
        <v>SW-COMAS-PACKL</v>
      </c>
      <c r="M4950" s="14"/>
      <c r="N4950" s="15"/>
      <c r="O4950" s="12"/>
      <c r="P4950" s="34"/>
      <c r="Q4950" s="37"/>
      <c r="R4950" s="47"/>
      <c r="S4950" s="46"/>
    </row>
    <row r="4951" spans="1:19" ht="15.6" hidden="1" customHeight="1" thickBot="1" x14ac:dyDescent="0.3">
      <c r="A4951" t="s">
        <v>23</v>
      </c>
      <c r="B4951" s="60" t="str">
        <f t="shared" si="3546"/>
        <v>hide</v>
      </c>
      <c r="D4951" s="48" t="str">
        <f>D4950</f>
        <v>87124</v>
      </c>
      <c r="E4951" s="7"/>
      <c r="F4951" s="27">
        <v>0</v>
      </c>
      <c r="G4951" s="27">
        <v>0</v>
      </c>
      <c r="H4951" s="27">
        <v>0</v>
      </c>
      <c r="I4951" s="27">
        <v>0</v>
      </c>
      <c r="J4951" s="27">
        <v>0</v>
      </c>
      <c r="K4951" s="63">
        <f>AVERAGE(I4951:J4951)</f>
        <v>0</v>
      </c>
      <c r="L4951" s="56" t="str">
        <f>"SW-RISER-PACK"</f>
        <v>SW-RISER-PACK</v>
      </c>
      <c r="M4951" s="14"/>
      <c r="N4951" s="15"/>
      <c r="O4951" s="12"/>
      <c r="P4951" s="34"/>
      <c r="Q4951" s="37"/>
      <c r="R4951" s="47"/>
      <c r="S4951" s="46"/>
    </row>
    <row r="4952" spans="1:19" ht="12" hidden="1" customHeight="1" x14ac:dyDescent="0.3">
      <c r="A4952" s="35" t="s">
        <v>908</v>
      </c>
      <c r="B4952" s="49" t="str">
        <f>B4948</f>
        <v>hide</v>
      </c>
      <c r="N4952"/>
      <c r="Q4952" s="33"/>
    </row>
    <row r="4953" spans="1:19" ht="13.8" hidden="1" thickBot="1" x14ac:dyDescent="0.3">
      <c r="A4953" t="s">
        <v>23</v>
      </c>
      <c r="B4953" s="49" t="str">
        <f t="shared" ref="B4953" si="3547">B4952</f>
        <v>hide</v>
      </c>
      <c r="D4953" s="58"/>
      <c r="E4953" s="58"/>
      <c r="F4953" s="52">
        <f>SUM(F4948:F4952)</f>
        <v>0</v>
      </c>
      <c r="G4953" s="52">
        <f>SUM(G4948:G4952)</f>
        <v>0</v>
      </c>
      <c r="H4953" s="52">
        <f>SUM(H4948:H4952)</f>
        <v>0</v>
      </c>
      <c r="I4953" s="52">
        <f>SUM(I4948:I4952)</f>
        <v>0</v>
      </c>
      <c r="J4953" s="52">
        <f>SUM(J4948:J4952)</f>
        <v>0</v>
      </c>
      <c r="K4953" s="52"/>
      <c r="L4953" s="51" t="s">
        <v>4</v>
      </c>
      <c r="M4953" s="58"/>
      <c r="N4953" s="58"/>
      <c r="O4953" s="58"/>
      <c r="P4953" s="58"/>
      <c r="Q4953" s="58"/>
      <c r="R4953" s="58"/>
      <c r="S4953" s="58"/>
    </row>
    <row r="4954" spans="1:19" s="59" customFormat="1" ht="18.75" hidden="1" customHeight="1" thickBot="1" x14ac:dyDescent="0.3">
      <c r="A4954" s="59" t="s">
        <v>23</v>
      </c>
      <c r="B4954" s="60" t="str">
        <f t="shared" ref="B4954:B4955" si="3548">IF(K4954=0,"hide","")</f>
        <v>hide</v>
      </c>
      <c r="D4954" s="61" t="str">
        <f>"87174"</f>
        <v>87174</v>
      </c>
      <c r="E4954" s="62" t="str">
        <f>"22"</f>
        <v>22</v>
      </c>
      <c r="F4954" s="63">
        <v>2597.4166666666665</v>
      </c>
      <c r="G4954" s="63">
        <v>1577</v>
      </c>
      <c r="H4954" s="63">
        <v>274.5</v>
      </c>
      <c r="I4954" s="63">
        <v>0</v>
      </c>
      <c r="J4954" s="63">
        <v>0</v>
      </c>
      <c r="K4954" s="63">
        <f>AVERAGE(I4954:J4954)</f>
        <v>0</v>
      </c>
      <c r="L4954" s="64" t="str">
        <f>"ORGANIC DeepChoc TOPS"</f>
        <v>ORGANIC DeepChoc TOPS</v>
      </c>
      <c r="M4954" s="65" t="str">
        <f>"48-2oz 12-4pk FrzTOP"</f>
        <v>48-2oz 12-4pk FrzTOP</v>
      </c>
      <c r="N4954" s="66">
        <v>24</v>
      </c>
      <c r="O4954" s="67">
        <v>3.82E-3</v>
      </c>
      <c r="P4954" s="68">
        <f>1/O4954</f>
        <v>261.78010471204186</v>
      </c>
      <c r="Q4954" s="53">
        <v>3.82E-3</v>
      </c>
      <c r="R4954" s="69">
        <f t="shared" ref="R4954" si="3549">1/Q4954</f>
        <v>261.78010471204186</v>
      </c>
      <c r="S4954" s="70">
        <f t="shared" ref="S4954" si="3550">R4954*N4954</f>
        <v>6282.7225130890047</v>
      </c>
    </row>
    <row r="4955" spans="1:19" ht="15.6" hidden="1" customHeight="1" thickBot="1" x14ac:dyDescent="0.3">
      <c r="A4955" t="s">
        <v>23</v>
      </c>
      <c r="B4955" s="60" t="str">
        <f t="shared" si="3548"/>
        <v>hide</v>
      </c>
      <c r="D4955" s="48" t="str">
        <f>D4954</f>
        <v>87174</v>
      </c>
      <c r="E4955" s="7"/>
      <c r="F4955" s="27">
        <v>-3423.5749999999994</v>
      </c>
      <c r="G4955" s="27">
        <v>-2351.5791666666664</v>
      </c>
      <c r="H4955" s="27">
        <v>-327.58333333333331</v>
      </c>
      <c r="I4955" s="27">
        <v>0</v>
      </c>
      <c r="J4955" s="27">
        <v>0</v>
      </c>
      <c r="K4955" s="63">
        <f>AVERAGE(I4955:J4955)</f>
        <v>0</v>
      </c>
      <c r="L4955" s="56" t="str">
        <f>"EQP-LAWPACK1"</f>
        <v>EQP-LAWPACK1</v>
      </c>
      <c r="M4955" s="14"/>
      <c r="N4955" s="15"/>
      <c r="O4955" s="12"/>
      <c r="P4955" s="34"/>
      <c r="Q4955" s="37"/>
      <c r="R4955" s="47"/>
      <c r="S4955" s="46"/>
    </row>
    <row r="4956" spans="1:19" ht="15.6" hidden="1" customHeight="1" thickBot="1" x14ac:dyDescent="0.3">
      <c r="A4956" t="s">
        <v>23</v>
      </c>
      <c r="B4956" s="60" t="str">
        <f t="shared" ref="B4956:B4958" si="3551">IF(K4956=0,"hide","")</f>
        <v>hide</v>
      </c>
      <c r="D4956" s="48" t="str">
        <f>D4955</f>
        <v>87174</v>
      </c>
      <c r="E4956" s="7"/>
      <c r="F4956" s="27">
        <v>0</v>
      </c>
      <c r="G4956" s="27">
        <v>0</v>
      </c>
      <c r="H4956" s="27">
        <v>0</v>
      </c>
      <c r="I4956" s="27">
        <v>0</v>
      </c>
      <c r="J4956" s="27">
        <v>0</v>
      </c>
      <c r="K4956" s="63">
        <f>AVERAGE(I4956:J4956)</f>
        <v>0</v>
      </c>
      <c r="L4956" s="56" t="str">
        <f>"EQP-LAWPACK2"</f>
        <v>EQP-LAWPACK2</v>
      </c>
      <c r="M4956" s="14"/>
      <c r="N4956" s="15"/>
      <c r="O4956" s="12"/>
      <c r="P4956" s="34"/>
      <c r="Q4956" s="37"/>
      <c r="R4956" s="47"/>
      <c r="S4956" s="46"/>
    </row>
    <row r="4957" spans="1:19" ht="15.6" hidden="1" customHeight="1" thickBot="1" x14ac:dyDescent="0.3">
      <c r="A4957" t="s">
        <v>23</v>
      </c>
      <c r="B4957" s="60" t="str">
        <f t="shared" si="3551"/>
        <v>hide</v>
      </c>
      <c r="D4957" s="48" t="str">
        <f>D4956</f>
        <v>87174</v>
      </c>
      <c r="E4957" s="7"/>
      <c r="F4957" s="27">
        <v>0</v>
      </c>
      <c r="G4957" s="27">
        <v>0</v>
      </c>
      <c r="H4957" s="27">
        <v>0</v>
      </c>
      <c r="I4957" s="27">
        <v>0</v>
      </c>
      <c r="J4957" s="27">
        <v>0</v>
      </c>
      <c r="K4957" s="63">
        <f>AVERAGE(I4957:J4957)</f>
        <v>0</v>
      </c>
      <c r="L4957" s="56" t="str">
        <f>"SW-COMAS-PACKL"</f>
        <v>SW-COMAS-PACKL</v>
      </c>
      <c r="M4957" s="14"/>
      <c r="N4957" s="15"/>
      <c r="O4957" s="12"/>
      <c r="P4957" s="34"/>
      <c r="Q4957" s="37"/>
      <c r="R4957" s="47"/>
      <c r="S4957" s="46"/>
    </row>
    <row r="4958" spans="1:19" ht="15.6" hidden="1" customHeight="1" thickBot="1" x14ac:dyDescent="0.3">
      <c r="A4958" t="s">
        <v>23</v>
      </c>
      <c r="B4958" s="60" t="str">
        <f t="shared" si="3551"/>
        <v>hide</v>
      </c>
      <c r="D4958" s="48" t="str">
        <f>D4957</f>
        <v>87174</v>
      </c>
      <c r="E4958" s="7"/>
      <c r="F4958" s="27">
        <v>0</v>
      </c>
      <c r="G4958" s="27">
        <v>0</v>
      </c>
      <c r="H4958" s="27">
        <v>0</v>
      </c>
      <c r="I4958" s="27">
        <v>0</v>
      </c>
      <c r="J4958" s="27">
        <v>0</v>
      </c>
      <c r="K4958" s="63">
        <f>AVERAGE(I4958:J4958)</f>
        <v>0</v>
      </c>
      <c r="L4958" s="56" t="str">
        <f>"SW-RISER-PACK"</f>
        <v>SW-RISER-PACK</v>
      </c>
      <c r="M4958" s="14"/>
      <c r="N4958" s="15"/>
      <c r="O4958" s="12"/>
      <c r="P4958" s="34"/>
      <c r="Q4958" s="37"/>
      <c r="R4958" s="47"/>
      <c r="S4958" s="46"/>
    </row>
    <row r="4959" spans="1:19" ht="12" hidden="1" customHeight="1" x14ac:dyDescent="0.3">
      <c r="A4959" s="35" t="s">
        <v>908</v>
      </c>
      <c r="B4959" s="49" t="str">
        <f>B4955</f>
        <v>hide</v>
      </c>
      <c r="N4959"/>
      <c r="Q4959" s="33"/>
    </row>
    <row r="4960" spans="1:19" ht="13.8" hidden="1" thickBot="1" x14ac:dyDescent="0.3">
      <c r="A4960" t="s">
        <v>23</v>
      </c>
      <c r="B4960" s="49" t="str">
        <f t="shared" ref="B4960" si="3552">B4959</f>
        <v>hide</v>
      </c>
      <c r="D4960" s="58"/>
      <c r="E4960" s="58"/>
      <c r="F4960" s="52">
        <f>SUM(F4955:F4959)</f>
        <v>-3423.5749999999994</v>
      </c>
      <c r="G4960" s="52">
        <f>SUM(G4955:G4959)</f>
        <v>-2351.5791666666664</v>
      </c>
      <c r="H4960" s="52">
        <f>SUM(H4955:H4959)</f>
        <v>-327.58333333333331</v>
      </c>
      <c r="I4960" s="52">
        <f>SUM(I4955:I4959)</f>
        <v>0</v>
      </c>
      <c r="J4960" s="52">
        <f>SUM(J4955:J4959)</f>
        <v>0</v>
      </c>
      <c r="K4960" s="52"/>
      <c r="L4960" s="51" t="s">
        <v>4</v>
      </c>
      <c r="M4960" s="58"/>
      <c r="N4960" s="58"/>
      <c r="O4960" s="58"/>
      <c r="P4960" s="58"/>
      <c r="Q4960" s="58"/>
      <c r="R4960" s="58"/>
      <c r="S4960" s="58"/>
    </row>
    <row r="4961" spans="1:19" s="59" customFormat="1" ht="18.75" hidden="1" customHeight="1" thickBot="1" x14ac:dyDescent="0.3">
      <c r="A4961" s="59" t="s">
        <v>23</v>
      </c>
      <c r="B4961" s="60" t="str">
        <f t="shared" ref="B4961:B4962" si="3553">IF(K4961=0,"hide","")</f>
        <v>hide</v>
      </c>
      <c r="D4961" s="61" t="str">
        <f>"87194"</f>
        <v>87194</v>
      </c>
      <c r="E4961" s="62" t="str">
        <f>""</f>
        <v/>
      </c>
      <c r="F4961" s="63">
        <v>425</v>
      </c>
      <c r="G4961" s="63">
        <v>246.16666666666666</v>
      </c>
      <c r="H4961" s="63">
        <v>0</v>
      </c>
      <c r="I4961" s="63">
        <v>0</v>
      </c>
      <c r="J4961" s="63">
        <v>0</v>
      </c>
      <c r="K4961" s="63">
        <f>AVERAGE(I4961:J4961)</f>
        <v>0</v>
      </c>
      <c r="L4961" s="64" t="str">
        <f>"Chocolate Chip TOPS"</f>
        <v>Chocolate Chip TOPS</v>
      </c>
      <c r="M4961" s="65" t="str">
        <f>"48-2oz. 12-4pk FrzTOP"</f>
        <v>48-2oz. 12-4pk FrzTOP</v>
      </c>
      <c r="N4961" s="66">
        <v>48</v>
      </c>
      <c r="O4961" s="67" t="e">
        <v>#VALUE!</v>
      </c>
      <c r="P4961" s="68" t="e">
        <f>1/O4961</f>
        <v>#VALUE!</v>
      </c>
      <c r="Q4961" s="53" t="e">
        <v>#VALUE!</v>
      </c>
      <c r="R4961" s="69" t="e">
        <f t="shared" ref="R4961" si="3554">1/Q4961</f>
        <v>#VALUE!</v>
      </c>
      <c r="S4961" s="70" t="e">
        <f t="shared" ref="S4961" si="3555">R4961*N4961</f>
        <v>#VALUE!</v>
      </c>
    </row>
    <row r="4962" spans="1:19" ht="15.6" hidden="1" customHeight="1" thickBot="1" x14ac:dyDescent="0.3">
      <c r="A4962" t="s">
        <v>23</v>
      </c>
      <c r="B4962" s="60" t="str">
        <f t="shared" si="3553"/>
        <v>hide</v>
      </c>
      <c r="D4962" s="48" t="str">
        <f>D4961</f>
        <v>87194</v>
      </c>
      <c r="E4962" s="7"/>
      <c r="F4962" s="27">
        <v>0</v>
      </c>
      <c r="G4962" s="27">
        <v>0</v>
      </c>
      <c r="H4962" s="27">
        <v>0</v>
      </c>
      <c r="I4962" s="27">
        <v>0</v>
      </c>
      <c r="J4962" s="27">
        <v>0</v>
      </c>
      <c r="K4962" s="63">
        <f>AVERAGE(I4962:J4962)</f>
        <v>0</v>
      </c>
      <c r="L4962" s="56" t="str">
        <f>"EQP-LAWPACK1"</f>
        <v>EQP-LAWPACK1</v>
      </c>
      <c r="M4962" s="14"/>
      <c r="N4962" s="15"/>
      <c r="O4962" s="12"/>
      <c r="P4962" s="34"/>
      <c r="Q4962" s="37"/>
      <c r="R4962" s="47"/>
      <c r="S4962" s="46"/>
    </row>
    <row r="4963" spans="1:19" ht="15.6" hidden="1" customHeight="1" thickBot="1" x14ac:dyDescent="0.3">
      <c r="A4963" t="s">
        <v>23</v>
      </c>
      <c r="B4963" s="60" t="str">
        <f t="shared" ref="B4963:B4965" si="3556">IF(K4963=0,"hide","")</f>
        <v>hide</v>
      </c>
      <c r="D4963" s="48" t="str">
        <f>D4962</f>
        <v>87194</v>
      </c>
      <c r="E4963" s="7"/>
      <c r="F4963" s="27">
        <v>0</v>
      </c>
      <c r="G4963" s="27">
        <v>0</v>
      </c>
      <c r="H4963" s="27">
        <v>0</v>
      </c>
      <c r="I4963" s="27">
        <v>0</v>
      </c>
      <c r="J4963" s="27">
        <v>0</v>
      </c>
      <c r="K4963" s="63">
        <f>AVERAGE(I4963:J4963)</f>
        <v>0</v>
      </c>
      <c r="L4963" s="56" t="str">
        <f>"EQP-LAWPACK2"</f>
        <v>EQP-LAWPACK2</v>
      </c>
      <c r="M4963" s="14"/>
      <c r="N4963" s="15"/>
      <c r="O4963" s="12"/>
      <c r="P4963" s="34"/>
      <c r="Q4963" s="37"/>
      <c r="R4963" s="47"/>
      <c r="S4963" s="46"/>
    </row>
    <row r="4964" spans="1:19" ht="15.6" hidden="1" customHeight="1" thickBot="1" x14ac:dyDescent="0.3">
      <c r="A4964" t="s">
        <v>23</v>
      </c>
      <c r="B4964" s="60" t="str">
        <f t="shared" si="3556"/>
        <v>hide</v>
      </c>
      <c r="D4964" s="48" t="str">
        <f>D4963</f>
        <v>87194</v>
      </c>
      <c r="E4964" s="7"/>
      <c r="F4964" s="27">
        <v>0</v>
      </c>
      <c r="G4964" s="27">
        <v>0</v>
      </c>
      <c r="H4964" s="27">
        <v>0</v>
      </c>
      <c r="I4964" s="27">
        <v>0</v>
      </c>
      <c r="J4964" s="27">
        <v>0</v>
      </c>
      <c r="K4964" s="63">
        <f>AVERAGE(I4964:J4964)</f>
        <v>0</v>
      </c>
      <c r="L4964" s="56" t="str">
        <f>"SW-COMAS-PACKL"</f>
        <v>SW-COMAS-PACKL</v>
      </c>
      <c r="M4964" s="14"/>
      <c r="N4964" s="15"/>
      <c r="O4964" s="12"/>
      <c r="P4964" s="34"/>
      <c r="Q4964" s="37"/>
      <c r="R4964" s="47"/>
      <c r="S4964" s="46"/>
    </row>
    <row r="4965" spans="1:19" ht="15.6" hidden="1" customHeight="1" thickBot="1" x14ac:dyDescent="0.3">
      <c r="A4965" t="s">
        <v>23</v>
      </c>
      <c r="B4965" s="60" t="str">
        <f t="shared" si="3556"/>
        <v>hide</v>
      </c>
      <c r="D4965" s="48" t="str">
        <f>D4964</f>
        <v>87194</v>
      </c>
      <c r="E4965" s="7"/>
      <c r="F4965" s="27">
        <v>0</v>
      </c>
      <c r="G4965" s="27">
        <v>0</v>
      </c>
      <c r="H4965" s="27">
        <v>0</v>
      </c>
      <c r="I4965" s="27">
        <v>0</v>
      </c>
      <c r="J4965" s="27">
        <v>0</v>
      </c>
      <c r="K4965" s="63">
        <f>AVERAGE(I4965:J4965)</f>
        <v>0</v>
      </c>
      <c r="L4965" s="56" t="str">
        <f>"SW-RISER-PACK"</f>
        <v>SW-RISER-PACK</v>
      </c>
      <c r="M4965" s="14"/>
      <c r="N4965" s="15"/>
      <c r="O4965" s="12"/>
      <c r="P4965" s="34"/>
      <c r="Q4965" s="37"/>
      <c r="R4965" s="47"/>
      <c r="S4965" s="46"/>
    </row>
    <row r="4966" spans="1:19" ht="12" hidden="1" customHeight="1" x14ac:dyDescent="0.3">
      <c r="A4966" s="35" t="s">
        <v>908</v>
      </c>
      <c r="B4966" s="49" t="str">
        <f>B4962</f>
        <v>hide</v>
      </c>
      <c r="N4966"/>
      <c r="Q4966" s="33"/>
    </row>
    <row r="4967" spans="1:19" ht="13.8" hidden="1" thickBot="1" x14ac:dyDescent="0.3">
      <c r="A4967" t="s">
        <v>23</v>
      </c>
      <c r="B4967" s="49" t="str">
        <f t="shared" ref="B4967" si="3557">B4966</f>
        <v>hide</v>
      </c>
      <c r="D4967" s="58"/>
      <c r="E4967" s="58"/>
      <c r="F4967" s="52">
        <f>SUM(F4962:F4966)</f>
        <v>0</v>
      </c>
      <c r="G4967" s="52">
        <f>SUM(G4962:G4966)</f>
        <v>0</v>
      </c>
      <c r="H4967" s="52">
        <f>SUM(H4962:H4966)</f>
        <v>0</v>
      </c>
      <c r="I4967" s="52">
        <f>SUM(I4962:I4966)</f>
        <v>0</v>
      </c>
      <c r="J4967" s="52">
        <f>SUM(J4962:J4966)</f>
        <v>0</v>
      </c>
      <c r="K4967" s="52"/>
      <c r="L4967" s="51" t="s">
        <v>4</v>
      </c>
      <c r="M4967" s="58"/>
      <c r="N4967" s="58"/>
      <c r="O4967" s="58"/>
      <c r="P4967" s="58"/>
      <c r="Q4967" s="58"/>
      <c r="R4967" s="58"/>
      <c r="S4967" s="58"/>
    </row>
    <row r="4968" spans="1:19" s="59" customFormat="1" ht="18.75" hidden="1" customHeight="1" thickBot="1" x14ac:dyDescent="0.3">
      <c r="A4968" s="59" t="s">
        <v>23</v>
      </c>
      <c r="B4968" s="60" t="str">
        <f t="shared" ref="B4968:B4969" si="3558">IF(K4968=0,"hide","")</f>
        <v>hide</v>
      </c>
      <c r="D4968" s="61" t="str">
        <f>"87197"</f>
        <v>87197</v>
      </c>
      <c r="E4968" s="62" t="str">
        <f>"8"</f>
        <v>8</v>
      </c>
      <c r="F4968" s="63">
        <v>236.16666666666666</v>
      </c>
      <c r="G4968" s="63">
        <v>220.66666666666666</v>
      </c>
      <c r="H4968" s="63">
        <v>95.25</v>
      </c>
      <c r="I4968" s="63">
        <v>0</v>
      </c>
      <c r="J4968" s="63">
        <v>0</v>
      </c>
      <c r="K4968" s="63">
        <f>AVERAGE(I4968:J4968)</f>
        <v>0</v>
      </c>
      <c r="L4968" s="64" t="str">
        <f>"Protein Banana Vitatop"</f>
        <v>Protein Banana Vitatop</v>
      </c>
      <c r="M4968" s="65" t="str">
        <f>"48-2oz. 12-4pk FrzTOP"</f>
        <v>48-2oz. 12-4pk FrzTOP</v>
      </c>
      <c r="N4968" s="66">
        <v>48</v>
      </c>
      <c r="O4968" s="67">
        <v>2E-3</v>
      </c>
      <c r="P4968" s="68">
        <f>1/O4968</f>
        <v>500</v>
      </c>
      <c r="Q4968" s="53">
        <v>2.2699999999999999E-3</v>
      </c>
      <c r="R4968" s="69">
        <f t="shared" ref="R4968" si="3559">1/Q4968</f>
        <v>440.52863436123351</v>
      </c>
      <c r="S4968" s="70">
        <f t="shared" ref="S4968" si="3560">R4968*N4968</f>
        <v>21145.374449339208</v>
      </c>
    </row>
    <row r="4969" spans="1:19" ht="15.6" hidden="1" customHeight="1" thickBot="1" x14ac:dyDescent="0.3">
      <c r="A4969" t="s">
        <v>23</v>
      </c>
      <c r="B4969" s="60" t="str">
        <f t="shared" si="3558"/>
        <v>hide</v>
      </c>
      <c r="D4969" s="48" t="str">
        <f>D4968</f>
        <v>87197</v>
      </c>
      <c r="E4969" s="7"/>
      <c r="F4969" s="27">
        <v>-18.083333333333332</v>
      </c>
      <c r="G4969" s="27">
        <v>0</v>
      </c>
      <c r="H4969" s="27">
        <v>0</v>
      </c>
      <c r="I4969" s="27">
        <v>0</v>
      </c>
      <c r="J4969" s="27">
        <v>0</v>
      </c>
      <c r="K4969" s="63">
        <f>AVERAGE(I4969:J4969)</f>
        <v>0</v>
      </c>
      <c r="L4969" s="56" t="str">
        <f>"EQP-LAWPACK1"</f>
        <v>EQP-LAWPACK1</v>
      </c>
      <c r="M4969" s="14"/>
      <c r="N4969" s="15"/>
      <c r="O4969" s="12"/>
      <c r="P4969" s="34"/>
      <c r="Q4969" s="37"/>
      <c r="R4969" s="47"/>
      <c r="S4969" s="46"/>
    </row>
    <row r="4970" spans="1:19" ht="15.6" hidden="1" customHeight="1" thickBot="1" x14ac:dyDescent="0.3">
      <c r="A4970" t="s">
        <v>23</v>
      </c>
      <c r="B4970" s="60" t="str">
        <f t="shared" ref="B4970:B4972" si="3561">IF(K4970=0,"hide","")</f>
        <v>hide</v>
      </c>
      <c r="D4970" s="48" t="str">
        <f>D4969</f>
        <v>87197</v>
      </c>
      <c r="E4970" s="7"/>
      <c r="F4970" s="27">
        <v>0</v>
      </c>
      <c r="G4970" s="27">
        <v>0</v>
      </c>
      <c r="H4970" s="27">
        <v>0</v>
      </c>
      <c r="I4970" s="27">
        <v>0</v>
      </c>
      <c r="J4970" s="27">
        <v>0</v>
      </c>
      <c r="K4970" s="63">
        <f>AVERAGE(I4970:J4970)</f>
        <v>0</v>
      </c>
      <c r="L4970" s="56" t="str">
        <f>"EQP-LAWPACK2"</f>
        <v>EQP-LAWPACK2</v>
      </c>
      <c r="M4970" s="14"/>
      <c r="N4970" s="15"/>
      <c r="O4970" s="12"/>
      <c r="P4970" s="34"/>
      <c r="Q4970" s="37"/>
      <c r="R4970" s="47"/>
      <c r="S4970" s="46"/>
    </row>
    <row r="4971" spans="1:19" ht="15.6" hidden="1" customHeight="1" thickBot="1" x14ac:dyDescent="0.3">
      <c r="A4971" t="s">
        <v>23</v>
      </c>
      <c r="B4971" s="60" t="str">
        <f t="shared" si="3561"/>
        <v>hide</v>
      </c>
      <c r="D4971" s="48" t="str">
        <f>D4970</f>
        <v>87197</v>
      </c>
      <c r="E4971" s="7"/>
      <c r="F4971" s="27">
        <v>0</v>
      </c>
      <c r="G4971" s="27">
        <v>0</v>
      </c>
      <c r="H4971" s="27">
        <v>0</v>
      </c>
      <c r="I4971" s="27">
        <v>0</v>
      </c>
      <c r="J4971" s="27">
        <v>0</v>
      </c>
      <c r="K4971" s="63">
        <f>AVERAGE(I4971:J4971)</f>
        <v>0</v>
      </c>
      <c r="L4971" s="56" t="str">
        <f>"SW-COMAS-PACKL"</f>
        <v>SW-COMAS-PACKL</v>
      </c>
      <c r="M4971" s="14"/>
      <c r="N4971" s="15"/>
      <c r="O4971" s="12"/>
      <c r="P4971" s="34"/>
      <c r="Q4971" s="37"/>
      <c r="R4971" s="47"/>
      <c r="S4971" s="46"/>
    </row>
    <row r="4972" spans="1:19" ht="15.6" hidden="1" customHeight="1" thickBot="1" x14ac:dyDescent="0.3">
      <c r="A4972" t="s">
        <v>23</v>
      </c>
      <c r="B4972" s="60" t="str">
        <f t="shared" si="3561"/>
        <v>hide</v>
      </c>
      <c r="D4972" s="48" t="str">
        <f>D4971</f>
        <v>87197</v>
      </c>
      <c r="E4972" s="7"/>
      <c r="F4972" s="27">
        <v>0</v>
      </c>
      <c r="G4972" s="27">
        <v>0</v>
      </c>
      <c r="H4972" s="27">
        <v>0</v>
      </c>
      <c r="I4972" s="27">
        <v>0</v>
      </c>
      <c r="J4972" s="27">
        <v>0</v>
      </c>
      <c r="K4972" s="63">
        <f>AVERAGE(I4972:J4972)</f>
        <v>0</v>
      </c>
      <c r="L4972" s="56" t="str">
        <f>"SW-RISER-PACK"</f>
        <v>SW-RISER-PACK</v>
      </c>
      <c r="M4972" s="14"/>
      <c r="N4972" s="15"/>
      <c r="O4972" s="12"/>
      <c r="P4972" s="34"/>
      <c r="Q4972" s="37"/>
      <c r="R4972" s="47"/>
      <c r="S4972" s="46"/>
    </row>
    <row r="4973" spans="1:19" ht="12" hidden="1" customHeight="1" x14ac:dyDescent="0.3">
      <c r="A4973" s="35" t="s">
        <v>908</v>
      </c>
      <c r="B4973" s="49" t="str">
        <f>B4969</f>
        <v>hide</v>
      </c>
      <c r="N4973"/>
      <c r="Q4973" s="33"/>
    </row>
    <row r="4974" spans="1:19" ht="13.8" hidden="1" thickBot="1" x14ac:dyDescent="0.3">
      <c r="A4974" t="s">
        <v>23</v>
      </c>
      <c r="B4974" s="49" t="str">
        <f t="shared" ref="B4974" si="3562">B4973</f>
        <v>hide</v>
      </c>
      <c r="D4974" s="58"/>
      <c r="E4974" s="58"/>
      <c r="F4974" s="52">
        <f>SUM(F4969:F4973)</f>
        <v>-18.083333333333332</v>
      </c>
      <c r="G4974" s="52">
        <f>SUM(G4969:G4973)</f>
        <v>0</v>
      </c>
      <c r="H4974" s="52">
        <f>SUM(H4969:H4973)</f>
        <v>0</v>
      </c>
      <c r="I4974" s="52">
        <f>SUM(I4969:I4973)</f>
        <v>0</v>
      </c>
      <c r="J4974" s="52">
        <f>SUM(J4969:J4973)</f>
        <v>0</v>
      </c>
      <c r="K4974" s="52"/>
      <c r="L4974" s="51" t="s">
        <v>4</v>
      </c>
      <c r="M4974" s="58"/>
      <c r="N4974" s="58"/>
      <c r="O4974" s="58"/>
      <c r="P4974" s="58"/>
      <c r="Q4974" s="58"/>
      <c r="R4974" s="58"/>
      <c r="S4974" s="58"/>
    </row>
    <row r="4975" spans="1:19" s="59" customFormat="1" ht="18.75" hidden="1" customHeight="1" thickBot="1" x14ac:dyDescent="0.3">
      <c r="A4975" s="59" t="s">
        <v>23</v>
      </c>
      <c r="B4975" s="60" t="str">
        <f t="shared" ref="B4975:B4976" si="3563">IF(K4975=0,"hide","")</f>
        <v>hide</v>
      </c>
      <c r="D4975" s="61" t="str">
        <f>"87199"</f>
        <v>87199</v>
      </c>
      <c r="E4975" s="62" t="str">
        <f>"15"</f>
        <v>15</v>
      </c>
      <c r="F4975" s="63">
        <v>837.5</v>
      </c>
      <c r="G4975" s="63">
        <v>530.16666666666663</v>
      </c>
      <c r="H4975" s="63">
        <v>271.66666666666669</v>
      </c>
      <c r="I4975" s="63">
        <v>0</v>
      </c>
      <c r="J4975" s="63">
        <v>0</v>
      </c>
      <c r="K4975" s="63">
        <f>AVERAGE(I4975:J4975)</f>
        <v>0</v>
      </c>
      <c r="L4975" s="64" t="str">
        <f>"ORGANIC Wild Blue TOPS"</f>
        <v>ORGANIC Wild Blue TOPS</v>
      </c>
      <c r="M4975" s="65" t="str">
        <f>"48-2oz. 12-4pk FrzTOP"</f>
        <v>48-2oz. 12-4pk FrzTOP</v>
      </c>
      <c r="N4975" s="66">
        <v>48</v>
      </c>
      <c r="O4975" s="67">
        <v>5.3499999999999997E-3</v>
      </c>
      <c r="P4975" s="68">
        <f>1/O4975</f>
        <v>186.9158878504673</v>
      </c>
      <c r="Q4975" s="53">
        <v>5.3499999999999997E-3</v>
      </c>
      <c r="R4975" s="69">
        <f t="shared" ref="R4975" si="3564">1/Q4975</f>
        <v>186.9158878504673</v>
      </c>
      <c r="S4975" s="70">
        <f t="shared" ref="S4975" si="3565">R4975*N4975</f>
        <v>8971.9626168224313</v>
      </c>
    </row>
    <row r="4976" spans="1:19" ht="15.6" hidden="1" customHeight="1" thickBot="1" x14ac:dyDescent="0.3">
      <c r="A4976" t="s">
        <v>23</v>
      </c>
      <c r="B4976" s="60" t="str">
        <f t="shared" si="3563"/>
        <v>hide</v>
      </c>
      <c r="D4976" s="48" t="str">
        <f>D4975</f>
        <v>87199</v>
      </c>
      <c r="E4976" s="7"/>
      <c r="F4976" s="27">
        <v>-952.45166666666671</v>
      </c>
      <c r="G4976" s="27">
        <v>-591.89166666666665</v>
      </c>
      <c r="H4976" s="27">
        <v>-406.7</v>
      </c>
      <c r="I4976" s="27">
        <v>0</v>
      </c>
      <c r="J4976" s="27">
        <v>0</v>
      </c>
      <c r="K4976" s="63">
        <f>AVERAGE(I4976:J4976)</f>
        <v>0</v>
      </c>
      <c r="L4976" s="56" t="str">
        <f>"EQP-LAWPACK1"</f>
        <v>EQP-LAWPACK1</v>
      </c>
      <c r="M4976" s="14"/>
      <c r="N4976" s="15"/>
      <c r="O4976" s="12"/>
      <c r="P4976" s="34"/>
      <c r="Q4976" s="37"/>
      <c r="R4976" s="47"/>
      <c r="S4976" s="46"/>
    </row>
    <row r="4977" spans="1:19" ht="15.6" hidden="1" customHeight="1" thickBot="1" x14ac:dyDescent="0.3">
      <c r="A4977" t="s">
        <v>23</v>
      </c>
      <c r="B4977" s="60" t="str">
        <f t="shared" ref="B4977:B4979" si="3566">IF(K4977=0,"hide","")</f>
        <v>hide</v>
      </c>
      <c r="D4977" s="48" t="str">
        <f>D4976</f>
        <v>87199</v>
      </c>
      <c r="E4977" s="7"/>
      <c r="F4977" s="27">
        <v>0</v>
      </c>
      <c r="G4977" s="27">
        <v>0</v>
      </c>
      <c r="H4977" s="27">
        <v>0</v>
      </c>
      <c r="I4977" s="27">
        <v>0</v>
      </c>
      <c r="J4977" s="27">
        <v>0</v>
      </c>
      <c r="K4977" s="63">
        <f>AVERAGE(I4977:J4977)</f>
        <v>0</v>
      </c>
      <c r="L4977" s="56" t="str">
        <f>"EQP-LAWPACK2"</f>
        <v>EQP-LAWPACK2</v>
      </c>
      <c r="M4977" s="14"/>
      <c r="N4977" s="15"/>
      <c r="O4977" s="12"/>
      <c r="P4977" s="34"/>
      <c r="Q4977" s="37"/>
      <c r="R4977" s="47"/>
      <c r="S4977" s="46"/>
    </row>
    <row r="4978" spans="1:19" ht="15.6" hidden="1" customHeight="1" thickBot="1" x14ac:dyDescent="0.3">
      <c r="A4978" t="s">
        <v>23</v>
      </c>
      <c r="B4978" s="60" t="str">
        <f t="shared" si="3566"/>
        <v>hide</v>
      </c>
      <c r="D4978" s="48" t="str">
        <f>D4977</f>
        <v>87199</v>
      </c>
      <c r="E4978" s="7"/>
      <c r="F4978" s="27">
        <v>0</v>
      </c>
      <c r="G4978" s="27">
        <v>0</v>
      </c>
      <c r="H4978" s="27">
        <v>0</v>
      </c>
      <c r="I4978" s="27">
        <v>0</v>
      </c>
      <c r="J4978" s="27">
        <v>0</v>
      </c>
      <c r="K4978" s="63">
        <f>AVERAGE(I4978:J4978)</f>
        <v>0</v>
      </c>
      <c r="L4978" s="56" t="str">
        <f>"SW-COMAS-PACKL"</f>
        <v>SW-COMAS-PACKL</v>
      </c>
      <c r="M4978" s="14"/>
      <c r="N4978" s="15"/>
      <c r="O4978" s="12"/>
      <c r="P4978" s="34"/>
      <c r="Q4978" s="37"/>
      <c r="R4978" s="47"/>
      <c r="S4978" s="46"/>
    </row>
    <row r="4979" spans="1:19" ht="15.6" hidden="1" customHeight="1" thickBot="1" x14ac:dyDescent="0.3">
      <c r="A4979" t="s">
        <v>23</v>
      </c>
      <c r="B4979" s="60" t="str">
        <f t="shared" si="3566"/>
        <v>hide</v>
      </c>
      <c r="D4979" s="48" t="str">
        <f>D4978</f>
        <v>87199</v>
      </c>
      <c r="E4979" s="7"/>
      <c r="F4979" s="27">
        <v>0</v>
      </c>
      <c r="G4979" s="27">
        <v>0</v>
      </c>
      <c r="H4979" s="27">
        <v>0</v>
      </c>
      <c r="I4979" s="27">
        <v>0</v>
      </c>
      <c r="J4979" s="27">
        <v>0</v>
      </c>
      <c r="K4979" s="63">
        <f>AVERAGE(I4979:J4979)</f>
        <v>0</v>
      </c>
      <c r="L4979" s="56" t="str">
        <f>"SW-RISER-PACK"</f>
        <v>SW-RISER-PACK</v>
      </c>
      <c r="M4979" s="14"/>
      <c r="N4979" s="15"/>
      <c r="O4979" s="12"/>
      <c r="P4979" s="34"/>
      <c r="Q4979" s="37"/>
      <c r="R4979" s="47"/>
      <c r="S4979" s="46"/>
    </row>
    <row r="4980" spans="1:19" ht="12" hidden="1" customHeight="1" x14ac:dyDescent="0.3">
      <c r="A4980" s="35" t="s">
        <v>908</v>
      </c>
      <c r="B4980" s="49" t="str">
        <f>B4976</f>
        <v>hide</v>
      </c>
      <c r="N4980"/>
      <c r="Q4980" s="33"/>
    </row>
    <row r="4981" spans="1:19" ht="13.8" hidden="1" thickBot="1" x14ac:dyDescent="0.3">
      <c r="A4981" t="s">
        <v>23</v>
      </c>
      <c r="B4981" s="49" t="str">
        <f t="shared" ref="B4981" si="3567">B4980</f>
        <v>hide</v>
      </c>
      <c r="D4981" s="58"/>
      <c r="E4981" s="58"/>
      <c r="F4981" s="52">
        <f>SUM(F4976:F4980)</f>
        <v>-952.45166666666671</v>
      </c>
      <c r="G4981" s="52">
        <f>SUM(G4976:G4980)</f>
        <v>-591.89166666666665</v>
      </c>
      <c r="H4981" s="52">
        <f>SUM(H4976:H4980)</f>
        <v>-406.7</v>
      </c>
      <c r="I4981" s="52">
        <f>SUM(I4976:I4980)</f>
        <v>0</v>
      </c>
      <c r="J4981" s="52">
        <f>SUM(J4976:J4980)</f>
        <v>0</v>
      </c>
      <c r="K4981" s="52"/>
      <c r="L4981" s="51" t="s">
        <v>4</v>
      </c>
      <c r="M4981" s="58"/>
      <c r="N4981" s="58"/>
      <c r="O4981" s="58"/>
      <c r="P4981" s="58"/>
      <c r="Q4981" s="58"/>
      <c r="R4981" s="58"/>
      <c r="S4981" s="58"/>
    </row>
    <row r="4982" spans="1:19" s="59" customFormat="1" ht="18.75" hidden="1" customHeight="1" thickBot="1" x14ac:dyDescent="0.3">
      <c r="A4982" s="59" t="s">
        <v>23</v>
      </c>
      <c r="B4982" s="60" t="str">
        <f t="shared" ref="B4982:B4983" si="3568">IF(K4982=0,"hide","")</f>
        <v>hide</v>
      </c>
      <c r="D4982" s="61" t="str">
        <f>"87253"</f>
        <v>87253</v>
      </c>
      <c r="E4982" s="62" t="str">
        <f>"6"</f>
        <v>6</v>
      </c>
      <c r="F4982" s="63">
        <v>0</v>
      </c>
      <c r="G4982" s="63">
        <v>0</v>
      </c>
      <c r="H4982" s="63">
        <v>0</v>
      </c>
      <c r="I4982" s="63">
        <v>0</v>
      </c>
      <c r="J4982" s="63">
        <v>0</v>
      </c>
      <c r="K4982" s="63">
        <f>AVERAGE(I4982:J4982)</f>
        <v>0</v>
      </c>
      <c r="L4982" s="64" t="str">
        <f>"SugarFree Choc Tops"</f>
        <v>SugarFree Choc Tops</v>
      </c>
      <c r="M4982" s="65" t="str">
        <f>"48-2oz. 12-4pk FrzTOP"</f>
        <v>48-2oz. 12-4pk FrzTOP</v>
      </c>
      <c r="N4982" s="66">
        <v>48</v>
      </c>
      <c r="O4982" s="67">
        <v>2E-3</v>
      </c>
      <c r="P4982" s="68">
        <f>1/O4982</f>
        <v>500</v>
      </c>
      <c r="Q4982" s="53">
        <v>2.2699999999999999E-3</v>
      </c>
      <c r="R4982" s="69">
        <f t="shared" ref="R4982" si="3569">1/Q4982</f>
        <v>440.52863436123351</v>
      </c>
      <c r="S4982" s="70">
        <f t="shared" ref="S4982" si="3570">R4982*N4982</f>
        <v>21145.374449339208</v>
      </c>
    </row>
    <row r="4983" spans="1:19" ht="15.6" hidden="1" customHeight="1" thickBot="1" x14ac:dyDescent="0.3">
      <c r="A4983" t="s">
        <v>23</v>
      </c>
      <c r="B4983" s="60" t="str">
        <f t="shared" si="3568"/>
        <v>hide</v>
      </c>
      <c r="D4983" s="48" t="str">
        <f>D4982</f>
        <v>87253</v>
      </c>
      <c r="E4983" s="7"/>
      <c r="F4983" s="27">
        <v>0</v>
      </c>
      <c r="G4983" s="27">
        <v>0</v>
      </c>
      <c r="H4983" s="27">
        <v>0</v>
      </c>
      <c r="I4983" s="27">
        <v>0</v>
      </c>
      <c r="J4983" s="27">
        <v>0</v>
      </c>
      <c r="K4983" s="63">
        <f>AVERAGE(I4983:J4983)</f>
        <v>0</v>
      </c>
      <c r="L4983" s="56" t="str">
        <f>"EQP-LAWPACK1"</f>
        <v>EQP-LAWPACK1</v>
      </c>
      <c r="M4983" s="14"/>
      <c r="N4983" s="15"/>
      <c r="O4983" s="12"/>
      <c r="P4983" s="34"/>
      <c r="Q4983" s="37"/>
      <c r="R4983" s="47"/>
      <c r="S4983" s="46"/>
    </row>
    <row r="4984" spans="1:19" ht="15.6" hidden="1" customHeight="1" thickBot="1" x14ac:dyDescent="0.3">
      <c r="A4984" t="s">
        <v>23</v>
      </c>
      <c r="B4984" s="60" t="str">
        <f t="shared" ref="B4984:B4986" si="3571">IF(K4984=0,"hide","")</f>
        <v>hide</v>
      </c>
      <c r="D4984" s="48" t="str">
        <f>D4983</f>
        <v>87253</v>
      </c>
      <c r="E4984" s="7"/>
      <c r="F4984" s="27">
        <v>0</v>
      </c>
      <c r="G4984" s="27">
        <v>0</v>
      </c>
      <c r="H4984" s="27">
        <v>0</v>
      </c>
      <c r="I4984" s="27">
        <v>0</v>
      </c>
      <c r="J4984" s="27">
        <v>0</v>
      </c>
      <c r="K4984" s="63">
        <f>AVERAGE(I4984:J4984)</f>
        <v>0</v>
      </c>
      <c r="L4984" s="56" t="str">
        <f>"EQP-LAWPACK2"</f>
        <v>EQP-LAWPACK2</v>
      </c>
      <c r="M4984" s="14"/>
      <c r="N4984" s="15"/>
      <c r="O4984" s="12"/>
      <c r="P4984" s="34"/>
      <c r="Q4984" s="37"/>
      <c r="R4984" s="47"/>
      <c r="S4984" s="46"/>
    </row>
    <row r="4985" spans="1:19" ht="15.6" hidden="1" customHeight="1" thickBot="1" x14ac:dyDescent="0.3">
      <c r="A4985" t="s">
        <v>23</v>
      </c>
      <c r="B4985" s="60" t="str">
        <f t="shared" si="3571"/>
        <v>hide</v>
      </c>
      <c r="D4985" s="48" t="str">
        <f>D4984</f>
        <v>87253</v>
      </c>
      <c r="E4985" s="7"/>
      <c r="F4985" s="27">
        <v>0</v>
      </c>
      <c r="G4985" s="27">
        <v>0</v>
      </c>
      <c r="H4985" s="27">
        <v>0</v>
      </c>
      <c r="I4985" s="27">
        <v>0</v>
      </c>
      <c r="J4985" s="27">
        <v>0</v>
      </c>
      <c r="K4985" s="63">
        <f>AVERAGE(I4985:J4985)</f>
        <v>0</v>
      </c>
      <c r="L4985" s="56" t="str">
        <f>"SW-COMAS-PACKL"</f>
        <v>SW-COMAS-PACKL</v>
      </c>
      <c r="M4985" s="14"/>
      <c r="N4985" s="15"/>
      <c r="O4985" s="12"/>
      <c r="P4985" s="34"/>
      <c r="Q4985" s="37"/>
      <c r="R4985" s="47"/>
      <c r="S4985" s="46"/>
    </row>
    <row r="4986" spans="1:19" ht="15.6" hidden="1" customHeight="1" thickBot="1" x14ac:dyDescent="0.3">
      <c r="A4986" t="s">
        <v>23</v>
      </c>
      <c r="B4986" s="60" t="str">
        <f t="shared" si="3571"/>
        <v>hide</v>
      </c>
      <c r="D4986" s="48" t="str">
        <f>D4985</f>
        <v>87253</v>
      </c>
      <c r="E4986" s="7"/>
      <c r="F4986" s="27">
        <v>0</v>
      </c>
      <c r="G4986" s="27">
        <v>0</v>
      </c>
      <c r="H4986" s="27">
        <v>0</v>
      </c>
      <c r="I4986" s="27">
        <v>0</v>
      </c>
      <c r="J4986" s="27">
        <v>0</v>
      </c>
      <c r="K4986" s="63">
        <f>AVERAGE(I4986:J4986)</f>
        <v>0</v>
      </c>
      <c r="L4986" s="56" t="str">
        <f>"SW-RISER-PACK"</f>
        <v>SW-RISER-PACK</v>
      </c>
      <c r="M4986" s="14"/>
      <c r="N4986" s="15"/>
      <c r="O4986" s="12"/>
      <c r="P4986" s="34"/>
      <c r="Q4986" s="37"/>
      <c r="R4986" s="47"/>
      <c r="S4986" s="46"/>
    </row>
    <row r="4987" spans="1:19" ht="12" hidden="1" customHeight="1" x14ac:dyDescent="0.3">
      <c r="A4987" s="35" t="s">
        <v>908</v>
      </c>
      <c r="B4987" s="49" t="str">
        <f>B4983</f>
        <v>hide</v>
      </c>
      <c r="N4987"/>
      <c r="Q4987" s="33"/>
    </row>
    <row r="4988" spans="1:19" ht="13.8" hidden="1" thickBot="1" x14ac:dyDescent="0.3">
      <c r="A4988" t="s">
        <v>23</v>
      </c>
      <c r="B4988" s="49" t="str">
        <f t="shared" ref="B4988" si="3572">B4987</f>
        <v>hide</v>
      </c>
      <c r="D4988" s="58"/>
      <c r="E4988" s="58"/>
      <c r="F4988" s="52">
        <f>SUM(F4983:F4987)</f>
        <v>0</v>
      </c>
      <c r="G4988" s="52">
        <f>SUM(G4983:G4987)</f>
        <v>0</v>
      </c>
      <c r="H4988" s="52">
        <f>SUM(H4983:H4987)</f>
        <v>0</v>
      </c>
      <c r="I4988" s="52">
        <f>SUM(I4983:I4987)</f>
        <v>0</v>
      </c>
      <c r="J4988" s="52">
        <f>SUM(J4983:J4987)</f>
        <v>0</v>
      </c>
      <c r="K4988" s="52"/>
      <c r="L4988" s="51" t="s">
        <v>4</v>
      </c>
      <c r="M4988" s="58"/>
      <c r="N4988" s="58"/>
      <c r="O4988" s="58"/>
      <c r="P4988" s="58"/>
      <c r="Q4988" s="58"/>
      <c r="R4988" s="58"/>
      <c r="S4988" s="58"/>
    </row>
    <row r="4989" spans="1:19" s="59" customFormat="1" ht="18.75" hidden="1" customHeight="1" thickBot="1" x14ac:dyDescent="0.3">
      <c r="A4989" s="59" t="s">
        <v>23</v>
      </c>
      <c r="B4989" s="60" t="str">
        <f t="shared" ref="B4989:B4990" si="3573">IF(K4989=0,"hide","")</f>
        <v>hide</v>
      </c>
      <c r="D4989" s="61" t="str">
        <f>"88116"</f>
        <v>88116</v>
      </c>
      <c r="E4989" s="62" t="str">
        <f>"3"</f>
        <v>3</v>
      </c>
      <c r="F4989" s="63">
        <v>0</v>
      </c>
      <c r="G4989" s="63">
        <v>0</v>
      </c>
      <c r="H4989" s="63">
        <v>0</v>
      </c>
      <c r="I4989" s="63">
        <v>0</v>
      </c>
      <c r="J4989" s="63">
        <v>0</v>
      </c>
      <c r="K4989" s="63">
        <f>AVERAGE(I4989:J4989)</f>
        <v>0</v>
      </c>
      <c r="L4989" s="64" t="str">
        <f>"CINNAMON RAISIN BAGELS SLICED"</f>
        <v>CINNAMON RAISIN BAGELS SLICED</v>
      </c>
      <c r="M4989" s="65" t="str">
        <f>"72-2.5 oz. I.W."</f>
        <v>72-2.5 oz. I.W.</v>
      </c>
      <c r="N4989" s="66">
        <v>72</v>
      </c>
      <c r="O4989" s="67" t="str">
        <f>""</f>
        <v/>
      </c>
      <c r="P4989" s="68" t="e">
        <f>1/O4989</f>
        <v>#VALUE!</v>
      </c>
      <c r="Q4989" s="53">
        <v>1</v>
      </c>
      <c r="R4989" s="69">
        <f t="shared" ref="R4989" si="3574">1/Q4989</f>
        <v>1</v>
      </c>
      <c r="S4989" s="70">
        <f t="shared" ref="S4989" si="3575">R4989*N4989</f>
        <v>72</v>
      </c>
    </row>
    <row r="4990" spans="1:19" ht="15.6" hidden="1" customHeight="1" thickBot="1" x14ac:dyDescent="0.3">
      <c r="A4990" t="s">
        <v>23</v>
      </c>
      <c r="B4990" s="60" t="str">
        <f t="shared" si="3573"/>
        <v>hide</v>
      </c>
      <c r="D4990" s="48" t="str">
        <f>D4989</f>
        <v>88116</v>
      </c>
      <c r="E4990" s="7"/>
      <c r="F4990" s="27">
        <v>0</v>
      </c>
      <c r="G4990" s="27">
        <v>0</v>
      </c>
      <c r="H4990" s="27">
        <v>0</v>
      </c>
      <c r="I4990" s="27">
        <v>0</v>
      </c>
      <c r="J4990" s="27">
        <v>0</v>
      </c>
      <c r="K4990" s="63">
        <f>AVERAGE(I4990:J4990)</f>
        <v>0</v>
      </c>
      <c r="L4990" s="56" t="str">
        <f>"EQP-LAWPACK1"</f>
        <v>EQP-LAWPACK1</v>
      </c>
      <c r="M4990" s="14"/>
      <c r="N4990" s="15"/>
      <c r="O4990" s="12"/>
      <c r="P4990" s="34"/>
      <c r="Q4990" s="37"/>
      <c r="R4990" s="47"/>
      <c r="S4990" s="46"/>
    </row>
    <row r="4991" spans="1:19" ht="15.6" hidden="1" customHeight="1" thickBot="1" x14ac:dyDescent="0.3">
      <c r="A4991" t="s">
        <v>23</v>
      </c>
      <c r="B4991" s="60" t="str">
        <f t="shared" ref="B4991:B4993" si="3576">IF(K4991=0,"hide","")</f>
        <v>hide</v>
      </c>
      <c r="D4991" s="48" t="str">
        <f>D4990</f>
        <v>88116</v>
      </c>
      <c r="E4991" s="7"/>
      <c r="F4991" s="27">
        <v>0</v>
      </c>
      <c r="G4991" s="27">
        <v>0</v>
      </c>
      <c r="H4991" s="27">
        <v>0</v>
      </c>
      <c r="I4991" s="27">
        <v>0</v>
      </c>
      <c r="J4991" s="27">
        <v>0</v>
      </c>
      <c r="K4991" s="63">
        <f>AVERAGE(I4991:J4991)</f>
        <v>0</v>
      </c>
      <c r="L4991" s="56" t="str">
        <f>"EQP-LAWPACK2"</f>
        <v>EQP-LAWPACK2</v>
      </c>
      <c r="M4991" s="14"/>
      <c r="N4991" s="15"/>
      <c r="O4991" s="12"/>
      <c r="P4991" s="34"/>
      <c r="Q4991" s="37"/>
      <c r="R4991" s="47"/>
      <c r="S4991" s="46"/>
    </row>
    <row r="4992" spans="1:19" ht="15.6" hidden="1" customHeight="1" thickBot="1" x14ac:dyDescent="0.3">
      <c r="A4992" t="s">
        <v>23</v>
      </c>
      <c r="B4992" s="60" t="str">
        <f t="shared" si="3576"/>
        <v>hide</v>
      </c>
      <c r="D4992" s="48" t="str">
        <f>D4991</f>
        <v>88116</v>
      </c>
      <c r="E4992" s="7"/>
      <c r="F4992" s="27">
        <v>0</v>
      </c>
      <c r="G4992" s="27">
        <v>0</v>
      </c>
      <c r="H4992" s="27">
        <v>0</v>
      </c>
      <c r="I4992" s="27">
        <v>0</v>
      </c>
      <c r="J4992" s="27">
        <v>0</v>
      </c>
      <c r="K4992" s="63">
        <f>AVERAGE(I4992:J4992)</f>
        <v>0</v>
      </c>
      <c r="L4992" s="56" t="str">
        <f>"SW-COMAS-PACKL"</f>
        <v>SW-COMAS-PACKL</v>
      </c>
      <c r="M4992" s="14"/>
      <c r="N4992" s="15"/>
      <c r="O4992" s="12"/>
      <c r="P4992" s="34"/>
      <c r="Q4992" s="37"/>
      <c r="R4992" s="47"/>
      <c r="S4992" s="46"/>
    </row>
    <row r="4993" spans="1:19" ht="15.6" hidden="1" customHeight="1" thickBot="1" x14ac:dyDescent="0.3">
      <c r="A4993" t="s">
        <v>23</v>
      </c>
      <c r="B4993" s="60" t="str">
        <f t="shared" si="3576"/>
        <v>hide</v>
      </c>
      <c r="D4993" s="48" t="str">
        <f>D4992</f>
        <v>88116</v>
      </c>
      <c r="E4993" s="7"/>
      <c r="F4993" s="27">
        <v>0</v>
      </c>
      <c r="G4993" s="27">
        <v>0</v>
      </c>
      <c r="H4993" s="27">
        <v>0</v>
      </c>
      <c r="I4993" s="27">
        <v>0</v>
      </c>
      <c r="J4993" s="27">
        <v>0</v>
      </c>
      <c r="K4993" s="63">
        <f>AVERAGE(I4993:J4993)</f>
        <v>0</v>
      </c>
      <c r="L4993" s="56" t="str">
        <f>"SW-RISER-PACK"</f>
        <v>SW-RISER-PACK</v>
      </c>
      <c r="M4993" s="14"/>
      <c r="N4993" s="15"/>
      <c r="O4993" s="12"/>
      <c r="P4993" s="34"/>
      <c r="Q4993" s="37"/>
      <c r="R4993" s="47"/>
      <c r="S4993" s="46"/>
    </row>
    <row r="4994" spans="1:19" ht="12" hidden="1" customHeight="1" x14ac:dyDescent="0.3">
      <c r="A4994" s="35" t="s">
        <v>908</v>
      </c>
      <c r="B4994" s="49" t="str">
        <f>B4990</f>
        <v>hide</v>
      </c>
      <c r="N4994"/>
      <c r="Q4994" s="33"/>
    </row>
    <row r="4995" spans="1:19" ht="13.8" hidden="1" thickBot="1" x14ac:dyDescent="0.3">
      <c r="A4995" t="s">
        <v>23</v>
      </c>
      <c r="B4995" s="49" t="str">
        <f t="shared" ref="B4995" si="3577">B4994</f>
        <v>hide</v>
      </c>
      <c r="D4995" s="58"/>
      <c r="E4995" s="58"/>
      <c r="F4995" s="52">
        <f>SUM(F4990:F4994)</f>
        <v>0</v>
      </c>
      <c r="G4995" s="52">
        <f>SUM(G4990:G4994)</f>
        <v>0</v>
      </c>
      <c r="H4995" s="52">
        <f>SUM(H4990:H4994)</f>
        <v>0</v>
      </c>
      <c r="I4995" s="52">
        <f>SUM(I4990:I4994)</f>
        <v>0</v>
      </c>
      <c r="J4995" s="52">
        <f>SUM(J4990:J4994)</f>
        <v>0</v>
      </c>
      <c r="K4995" s="52"/>
      <c r="L4995" s="51" t="s">
        <v>4</v>
      </c>
      <c r="M4995" s="58"/>
      <c r="N4995" s="58"/>
      <c r="O4995" s="58"/>
      <c r="P4995" s="58"/>
      <c r="Q4995" s="58"/>
      <c r="R4995" s="58"/>
      <c r="S4995" s="58"/>
    </row>
    <row r="4996" spans="1:19" s="59" customFormat="1" ht="18.75" customHeight="1" thickBot="1" x14ac:dyDescent="0.3">
      <c r="A4996" s="59" t="s">
        <v>23</v>
      </c>
      <c r="B4996" s="60" t="str">
        <f t="shared" ref="B4996:B4997" si="3578">IF(K4996=0,"hide","")</f>
        <v/>
      </c>
      <c r="D4996" s="61" t="str">
        <f>"88129"</f>
        <v>88129</v>
      </c>
      <c r="E4996" s="62" t="str">
        <f>"4"</f>
        <v>4</v>
      </c>
      <c r="F4996" s="63">
        <v>346.25</v>
      </c>
      <c r="G4996" s="63">
        <v>37.166666666666664</v>
      </c>
      <c r="H4996" s="63">
        <v>35.25</v>
      </c>
      <c r="I4996" s="63">
        <v>10.666666666666666</v>
      </c>
      <c r="J4996" s="63">
        <v>4.2961445783132532</v>
      </c>
      <c r="K4996" s="63">
        <f>AVERAGE(I4996:J4996)</f>
        <v>7.4814056224899597</v>
      </c>
      <c r="L4996" s="64" t="str">
        <f>"PLAIN BAGELS SLICED"</f>
        <v>PLAIN BAGELS SLICED</v>
      </c>
      <c r="M4996" s="65" t="str">
        <f>"72-2.5 oz. I.W."</f>
        <v>72-2.5 oz. I.W.</v>
      </c>
      <c r="N4996" s="66">
        <v>72</v>
      </c>
      <c r="O4996" s="67" t="str">
        <f>""</f>
        <v/>
      </c>
      <c r="P4996" s="68" t="e">
        <f>1/O4996</f>
        <v>#VALUE!</v>
      </c>
      <c r="Q4996" s="53">
        <v>1</v>
      </c>
      <c r="R4996" s="69">
        <f t="shared" ref="R4996" si="3579">1/Q4996</f>
        <v>1</v>
      </c>
      <c r="S4996" s="70">
        <f t="shared" ref="S4996" si="3580">R4996*N4996</f>
        <v>72</v>
      </c>
    </row>
    <row r="4997" spans="1:19" ht="15.6" hidden="1" customHeight="1" thickBot="1" x14ac:dyDescent="0.3">
      <c r="A4997" t="s">
        <v>23</v>
      </c>
      <c r="B4997" s="60" t="str">
        <f t="shared" si="3578"/>
        <v>hide</v>
      </c>
      <c r="D4997" s="48" t="str">
        <f>D4996</f>
        <v>88129</v>
      </c>
      <c r="E4997" s="7"/>
      <c r="F4997" s="27">
        <v>0</v>
      </c>
      <c r="G4997" s="27">
        <v>0</v>
      </c>
      <c r="H4997" s="27">
        <v>0</v>
      </c>
      <c r="I4997" s="27">
        <v>0</v>
      </c>
      <c r="J4997" s="27">
        <v>0</v>
      </c>
      <c r="K4997" s="63">
        <f>AVERAGE(I4997:J4997)</f>
        <v>0</v>
      </c>
      <c r="L4997" s="56" t="str">
        <f>"EQP-LAWPACK1"</f>
        <v>EQP-LAWPACK1</v>
      </c>
      <c r="M4997" s="14"/>
      <c r="N4997" s="15"/>
      <c r="O4997" s="12"/>
      <c r="P4997" s="34"/>
      <c r="Q4997" s="37"/>
      <c r="R4997" s="47"/>
      <c r="S4997" s="46"/>
    </row>
    <row r="4998" spans="1:19" ht="15.6" hidden="1" customHeight="1" thickBot="1" x14ac:dyDescent="0.3">
      <c r="A4998" t="s">
        <v>23</v>
      </c>
      <c r="B4998" s="60" t="str">
        <f t="shared" ref="B4998:B5000" si="3581">IF(K4998=0,"hide","")</f>
        <v>hide</v>
      </c>
      <c r="D4998" s="48" t="str">
        <f>D4997</f>
        <v>88129</v>
      </c>
      <c r="E4998" s="7"/>
      <c r="F4998" s="27">
        <v>0</v>
      </c>
      <c r="G4998" s="27">
        <v>0</v>
      </c>
      <c r="H4998" s="27">
        <v>0</v>
      </c>
      <c r="I4998" s="27">
        <v>0</v>
      </c>
      <c r="J4998" s="27">
        <v>0</v>
      </c>
      <c r="K4998" s="63">
        <f>AVERAGE(I4998:J4998)</f>
        <v>0</v>
      </c>
      <c r="L4998" s="56" t="str">
        <f>"EQP-LAWPACK2"</f>
        <v>EQP-LAWPACK2</v>
      </c>
      <c r="M4998" s="14"/>
      <c r="N4998" s="15"/>
      <c r="O4998" s="12"/>
      <c r="P4998" s="34"/>
      <c r="Q4998" s="37"/>
      <c r="R4998" s="47"/>
      <c r="S4998" s="46"/>
    </row>
    <row r="4999" spans="1:19" ht="15.6" hidden="1" customHeight="1" thickBot="1" x14ac:dyDescent="0.3">
      <c r="A4999" t="s">
        <v>23</v>
      </c>
      <c r="B4999" s="60" t="str">
        <f t="shared" si="3581"/>
        <v>hide</v>
      </c>
      <c r="D4999" s="48" t="str">
        <f>D4998</f>
        <v>88129</v>
      </c>
      <c r="E4999" s="7"/>
      <c r="F4999" s="27">
        <v>0</v>
      </c>
      <c r="G4999" s="27">
        <v>0</v>
      </c>
      <c r="H4999" s="27">
        <v>0</v>
      </c>
      <c r="I4999" s="27">
        <v>0</v>
      </c>
      <c r="J4999" s="27">
        <v>0</v>
      </c>
      <c r="K4999" s="63">
        <f>AVERAGE(I4999:J4999)</f>
        <v>0</v>
      </c>
      <c r="L4999" s="56" t="str">
        <f>"SW-COMAS-PACKL"</f>
        <v>SW-COMAS-PACKL</v>
      </c>
      <c r="M4999" s="14"/>
      <c r="N4999" s="15"/>
      <c r="O4999" s="12"/>
      <c r="P4999" s="34"/>
      <c r="Q4999" s="37"/>
      <c r="R4999" s="47"/>
      <c r="S4999" s="46"/>
    </row>
    <row r="5000" spans="1:19" ht="15.6" hidden="1" customHeight="1" thickBot="1" x14ac:dyDescent="0.3">
      <c r="A5000" t="s">
        <v>23</v>
      </c>
      <c r="B5000" s="60" t="str">
        <f t="shared" si="3581"/>
        <v>hide</v>
      </c>
      <c r="D5000" s="48" t="str">
        <f>D4999</f>
        <v>88129</v>
      </c>
      <c r="E5000" s="7"/>
      <c r="F5000" s="27">
        <v>0</v>
      </c>
      <c r="G5000" s="27">
        <v>0</v>
      </c>
      <c r="H5000" s="27">
        <v>0</v>
      </c>
      <c r="I5000" s="27">
        <v>0</v>
      </c>
      <c r="J5000" s="27">
        <v>0</v>
      </c>
      <c r="K5000" s="63">
        <f>AVERAGE(I5000:J5000)</f>
        <v>0</v>
      </c>
      <c r="L5000" s="56" t="str">
        <f>"SW-RISER-PACK"</f>
        <v>SW-RISER-PACK</v>
      </c>
      <c r="M5000" s="14"/>
      <c r="N5000" s="15"/>
      <c r="O5000" s="12"/>
      <c r="P5000" s="34"/>
      <c r="Q5000" s="37"/>
      <c r="R5000" s="47"/>
      <c r="S5000" s="46"/>
    </row>
    <row r="5001" spans="1:19" ht="12" hidden="1" customHeight="1" x14ac:dyDescent="0.3">
      <c r="A5001" s="35" t="s">
        <v>908</v>
      </c>
      <c r="B5001" s="49" t="str">
        <f>B4997</f>
        <v>hide</v>
      </c>
      <c r="N5001"/>
      <c r="Q5001" s="33"/>
    </row>
    <row r="5002" spans="1:19" ht="13.8" hidden="1" thickBot="1" x14ac:dyDescent="0.3">
      <c r="A5002" t="s">
        <v>23</v>
      </c>
      <c r="B5002" s="49" t="str">
        <f t="shared" ref="B5002" si="3582">B5001</f>
        <v>hide</v>
      </c>
      <c r="D5002" s="58"/>
      <c r="E5002" s="58"/>
      <c r="F5002" s="52">
        <f>SUM(F4997:F5001)</f>
        <v>0</v>
      </c>
      <c r="G5002" s="52">
        <f>SUM(G4997:G5001)</f>
        <v>0</v>
      </c>
      <c r="H5002" s="52">
        <f>SUM(H4997:H5001)</f>
        <v>0</v>
      </c>
      <c r="I5002" s="52">
        <f>SUM(I4997:I5001)</f>
        <v>0</v>
      </c>
      <c r="J5002" s="52">
        <f>SUM(J4997:J5001)</f>
        <v>0</v>
      </c>
      <c r="K5002" s="52"/>
      <c r="L5002" s="51" t="s">
        <v>4</v>
      </c>
      <c r="M5002" s="58"/>
      <c r="N5002" s="58"/>
      <c r="O5002" s="58"/>
      <c r="P5002" s="58"/>
      <c r="Q5002" s="58"/>
      <c r="R5002" s="58"/>
      <c r="S5002" s="58"/>
    </row>
    <row r="5003" spans="1:19" s="59" customFormat="1" ht="18.75" hidden="1" customHeight="1" thickBot="1" x14ac:dyDescent="0.3">
      <c r="A5003" s="59" t="s">
        <v>23</v>
      </c>
      <c r="B5003" s="60" t="str">
        <f t="shared" ref="B5003:B5004" si="3583">IF(K5003=0,"hide","")</f>
        <v>hide</v>
      </c>
      <c r="D5003" s="61" t="str">
        <f>"88174"</f>
        <v>88174</v>
      </c>
      <c r="E5003" s="62" t="str">
        <f>"5"</f>
        <v>5</v>
      </c>
      <c r="F5003" s="63">
        <v>0</v>
      </c>
      <c r="G5003" s="63">
        <v>0</v>
      </c>
      <c r="H5003" s="63">
        <v>0</v>
      </c>
      <c r="I5003" s="63">
        <v>0</v>
      </c>
      <c r="J5003" s="63">
        <v>0</v>
      </c>
      <c r="K5003" s="63">
        <f>AVERAGE(I5003:J5003)</f>
        <v>0</v>
      </c>
      <c r="L5003" s="64" t="str">
        <f>"Deep Choc CAKES"</f>
        <v>Deep Choc CAKES</v>
      </c>
      <c r="M5003" s="65" t="str">
        <f>"96-1.1oz.  12-8pk"</f>
        <v>96-1.1oz.  12-8pk</v>
      </c>
      <c r="N5003" s="66">
        <v>96</v>
      </c>
      <c r="O5003" s="67" t="str">
        <f>""</f>
        <v/>
      </c>
      <c r="P5003" s="68" t="e">
        <f>1/O5003</f>
        <v>#VALUE!</v>
      </c>
      <c r="Q5003" s="53">
        <v>1</v>
      </c>
      <c r="R5003" s="69">
        <f t="shared" ref="R5003" si="3584">1/Q5003</f>
        <v>1</v>
      </c>
      <c r="S5003" s="70">
        <f t="shared" ref="S5003" si="3585">R5003*N5003</f>
        <v>96</v>
      </c>
    </row>
    <row r="5004" spans="1:19" ht="15.6" hidden="1" customHeight="1" thickBot="1" x14ac:dyDescent="0.3">
      <c r="A5004" t="s">
        <v>23</v>
      </c>
      <c r="B5004" s="60" t="str">
        <f t="shared" si="3583"/>
        <v>hide</v>
      </c>
      <c r="D5004" s="48" t="str">
        <f>D5003</f>
        <v>88174</v>
      </c>
      <c r="E5004" s="7"/>
      <c r="F5004" s="27">
        <v>0</v>
      </c>
      <c r="G5004" s="27">
        <v>0</v>
      </c>
      <c r="H5004" s="27">
        <v>0</v>
      </c>
      <c r="I5004" s="27">
        <v>0</v>
      </c>
      <c r="J5004" s="27">
        <v>0</v>
      </c>
      <c r="K5004" s="63">
        <f>AVERAGE(I5004:J5004)</f>
        <v>0</v>
      </c>
      <c r="L5004" s="56" t="str">
        <f>"EQP-LAWPACK1"</f>
        <v>EQP-LAWPACK1</v>
      </c>
      <c r="M5004" s="14"/>
      <c r="N5004" s="15"/>
      <c r="O5004" s="12"/>
      <c r="P5004" s="34"/>
      <c r="Q5004" s="37"/>
      <c r="R5004" s="47"/>
      <c r="S5004" s="46"/>
    </row>
    <row r="5005" spans="1:19" ht="15.6" hidden="1" customHeight="1" thickBot="1" x14ac:dyDescent="0.3">
      <c r="A5005" t="s">
        <v>23</v>
      </c>
      <c r="B5005" s="60" t="str">
        <f t="shared" ref="B5005:B5007" si="3586">IF(K5005=0,"hide","")</f>
        <v>hide</v>
      </c>
      <c r="D5005" s="48" t="str">
        <f>D5004</f>
        <v>88174</v>
      </c>
      <c r="E5005" s="7"/>
      <c r="F5005" s="27">
        <v>0</v>
      </c>
      <c r="G5005" s="27">
        <v>0</v>
      </c>
      <c r="H5005" s="27">
        <v>0</v>
      </c>
      <c r="I5005" s="27">
        <v>0</v>
      </c>
      <c r="J5005" s="27">
        <v>0</v>
      </c>
      <c r="K5005" s="63">
        <f>AVERAGE(I5005:J5005)</f>
        <v>0</v>
      </c>
      <c r="L5005" s="56" t="str">
        <f>"EQP-LAWPACK2"</f>
        <v>EQP-LAWPACK2</v>
      </c>
      <c r="M5005" s="14"/>
      <c r="N5005" s="15"/>
      <c r="O5005" s="12"/>
      <c r="P5005" s="34"/>
      <c r="Q5005" s="37"/>
      <c r="R5005" s="47"/>
      <c r="S5005" s="46"/>
    </row>
    <row r="5006" spans="1:19" ht="15.6" hidden="1" customHeight="1" thickBot="1" x14ac:dyDescent="0.3">
      <c r="A5006" t="s">
        <v>23</v>
      </c>
      <c r="B5006" s="60" t="str">
        <f t="shared" si="3586"/>
        <v>hide</v>
      </c>
      <c r="D5006" s="48" t="str">
        <f>D5005</f>
        <v>88174</v>
      </c>
      <c r="E5006" s="7"/>
      <c r="F5006" s="27">
        <v>0</v>
      </c>
      <c r="G5006" s="27">
        <v>0</v>
      </c>
      <c r="H5006" s="27">
        <v>0</v>
      </c>
      <c r="I5006" s="27">
        <v>0</v>
      </c>
      <c r="J5006" s="27">
        <v>0</v>
      </c>
      <c r="K5006" s="63">
        <f>AVERAGE(I5006:J5006)</f>
        <v>0</v>
      </c>
      <c r="L5006" s="56" t="str">
        <f>"SW-COMAS-PACKL"</f>
        <v>SW-COMAS-PACKL</v>
      </c>
      <c r="M5006" s="14"/>
      <c r="N5006" s="15"/>
      <c r="O5006" s="12"/>
      <c r="P5006" s="34"/>
      <c r="Q5006" s="37"/>
      <c r="R5006" s="47"/>
      <c r="S5006" s="46"/>
    </row>
    <row r="5007" spans="1:19" ht="15.6" hidden="1" customHeight="1" thickBot="1" x14ac:dyDescent="0.3">
      <c r="A5007" t="s">
        <v>23</v>
      </c>
      <c r="B5007" s="60" t="str">
        <f t="shared" si="3586"/>
        <v>hide</v>
      </c>
      <c r="D5007" s="48" t="str">
        <f>D5006</f>
        <v>88174</v>
      </c>
      <c r="E5007" s="7"/>
      <c r="F5007" s="27">
        <v>0</v>
      </c>
      <c r="G5007" s="27">
        <v>0</v>
      </c>
      <c r="H5007" s="27">
        <v>0</v>
      </c>
      <c r="I5007" s="27">
        <v>0</v>
      </c>
      <c r="J5007" s="27">
        <v>0</v>
      </c>
      <c r="K5007" s="63">
        <f>AVERAGE(I5007:J5007)</f>
        <v>0</v>
      </c>
      <c r="L5007" s="56" t="str">
        <f>"SW-RISER-PACK"</f>
        <v>SW-RISER-PACK</v>
      </c>
      <c r="M5007" s="14"/>
      <c r="N5007" s="15"/>
      <c r="O5007" s="12"/>
      <c r="P5007" s="34"/>
      <c r="Q5007" s="37"/>
      <c r="R5007" s="47"/>
      <c r="S5007" s="46"/>
    </row>
    <row r="5008" spans="1:19" ht="12" hidden="1" customHeight="1" x14ac:dyDescent="0.3">
      <c r="A5008" s="35" t="s">
        <v>908</v>
      </c>
      <c r="B5008" s="49" t="str">
        <f>B5004</f>
        <v>hide</v>
      </c>
      <c r="N5008"/>
      <c r="Q5008" s="33"/>
    </row>
    <row r="5009" spans="1:19" ht="13.8" hidden="1" thickBot="1" x14ac:dyDescent="0.3">
      <c r="A5009" t="s">
        <v>23</v>
      </c>
      <c r="B5009" s="49" t="str">
        <f t="shared" ref="B5009" si="3587">B5008</f>
        <v>hide</v>
      </c>
      <c r="D5009" s="58"/>
      <c r="E5009" s="58"/>
      <c r="F5009" s="52">
        <f>SUM(F5004:F5008)</f>
        <v>0</v>
      </c>
      <c r="G5009" s="52">
        <f>SUM(G5004:G5008)</f>
        <v>0</v>
      </c>
      <c r="H5009" s="52">
        <f>SUM(H5004:H5008)</f>
        <v>0</v>
      </c>
      <c r="I5009" s="52">
        <f>SUM(I5004:I5008)</f>
        <v>0</v>
      </c>
      <c r="J5009" s="52">
        <f>SUM(J5004:J5008)</f>
        <v>0</v>
      </c>
      <c r="K5009" s="52"/>
      <c r="L5009" s="51" t="s">
        <v>4</v>
      </c>
      <c r="M5009" s="58"/>
      <c r="N5009" s="58"/>
      <c r="O5009" s="58"/>
      <c r="P5009" s="58"/>
      <c r="Q5009" s="58"/>
      <c r="R5009" s="58"/>
      <c r="S5009" s="58"/>
    </row>
    <row r="5010" spans="1:19" s="59" customFormat="1" ht="18.75" customHeight="1" thickBot="1" x14ac:dyDescent="0.3">
      <c r="A5010" s="59" t="s">
        <v>23</v>
      </c>
      <c r="B5010" s="60" t="str">
        <f t="shared" ref="B5010:B5011" si="3588">IF(K5010=0,"hide","")</f>
        <v/>
      </c>
      <c r="D5010" s="61" t="str">
        <f>"88195"</f>
        <v>88195</v>
      </c>
      <c r="E5010" s="62" t="str">
        <f>"3"</f>
        <v>3</v>
      </c>
      <c r="F5010" s="63">
        <v>452.25</v>
      </c>
      <c r="G5010" s="63">
        <v>239.58333333333334</v>
      </c>
      <c r="H5010" s="63">
        <v>638.5</v>
      </c>
      <c r="I5010" s="63">
        <v>783.66666666666663</v>
      </c>
      <c r="J5010" s="63">
        <v>298.54795180722891</v>
      </c>
      <c r="K5010" s="63">
        <f>AVERAGE(I5010:J5010)</f>
        <v>541.1073092369478</v>
      </c>
      <c r="L5010" s="64" t="str">
        <f>"Smart Choice HONEY WHEAT BAGEL"</f>
        <v>Smart Choice HONEY WHEAT BAGEL</v>
      </c>
      <c r="M5010" s="65" t="str">
        <f>"72-2.5 oz. I.W. sliced"</f>
        <v>72-2.5 oz. I.W. sliced</v>
      </c>
      <c r="N5010" s="66">
        <v>72</v>
      </c>
      <c r="O5010" s="67" t="str">
        <f>""</f>
        <v/>
      </c>
      <c r="P5010" s="68" t="e">
        <f>1/O5010</f>
        <v>#VALUE!</v>
      </c>
      <c r="Q5010" s="53">
        <v>1</v>
      </c>
      <c r="R5010" s="69">
        <f t="shared" ref="R5010" si="3589">1/Q5010</f>
        <v>1</v>
      </c>
      <c r="S5010" s="70">
        <f t="shared" ref="S5010" si="3590">R5010*N5010</f>
        <v>72</v>
      </c>
    </row>
    <row r="5011" spans="1:19" ht="15.6" hidden="1" customHeight="1" thickBot="1" x14ac:dyDescent="0.3">
      <c r="A5011" t="s">
        <v>23</v>
      </c>
      <c r="B5011" s="60" t="str">
        <f t="shared" si="3588"/>
        <v>hide</v>
      </c>
      <c r="D5011" s="48" t="str">
        <f>D5010</f>
        <v>88195</v>
      </c>
      <c r="E5011" s="7"/>
      <c r="F5011" s="27">
        <v>0</v>
      </c>
      <c r="G5011" s="27">
        <v>0</v>
      </c>
      <c r="H5011" s="27">
        <v>0</v>
      </c>
      <c r="I5011" s="27">
        <v>0</v>
      </c>
      <c r="J5011" s="27">
        <v>0</v>
      </c>
      <c r="K5011" s="63">
        <f>AVERAGE(I5011:J5011)</f>
        <v>0</v>
      </c>
      <c r="L5011" s="56" t="str">
        <f>"EQP-LAWPACK1"</f>
        <v>EQP-LAWPACK1</v>
      </c>
      <c r="M5011" s="14"/>
      <c r="N5011" s="15"/>
      <c r="O5011" s="12"/>
      <c r="P5011" s="34"/>
      <c r="Q5011" s="37"/>
      <c r="R5011" s="47"/>
      <c r="S5011" s="46"/>
    </row>
    <row r="5012" spans="1:19" ht="15.6" hidden="1" customHeight="1" thickBot="1" x14ac:dyDescent="0.3">
      <c r="A5012" t="s">
        <v>23</v>
      </c>
      <c r="B5012" s="60" t="str">
        <f t="shared" ref="B5012:B5014" si="3591">IF(K5012=0,"hide","")</f>
        <v>hide</v>
      </c>
      <c r="D5012" s="48" t="str">
        <f>D5011</f>
        <v>88195</v>
      </c>
      <c r="E5012" s="7"/>
      <c r="F5012" s="27">
        <v>0</v>
      </c>
      <c r="G5012" s="27">
        <v>0</v>
      </c>
      <c r="H5012" s="27">
        <v>0</v>
      </c>
      <c r="I5012" s="27">
        <v>0</v>
      </c>
      <c r="J5012" s="27">
        <v>0</v>
      </c>
      <c r="K5012" s="63">
        <f>AVERAGE(I5012:J5012)</f>
        <v>0</v>
      </c>
      <c r="L5012" s="56" t="str">
        <f>"EQP-LAWPACK2"</f>
        <v>EQP-LAWPACK2</v>
      </c>
      <c r="M5012" s="14"/>
      <c r="N5012" s="15"/>
      <c r="O5012" s="12"/>
      <c r="P5012" s="34"/>
      <c r="Q5012" s="37"/>
      <c r="R5012" s="47"/>
      <c r="S5012" s="46"/>
    </row>
    <row r="5013" spans="1:19" ht="15.6" hidden="1" customHeight="1" thickBot="1" x14ac:dyDescent="0.3">
      <c r="A5013" t="s">
        <v>23</v>
      </c>
      <c r="B5013" s="60" t="str">
        <f t="shared" si="3591"/>
        <v>hide</v>
      </c>
      <c r="D5013" s="48" t="str">
        <f>D5012</f>
        <v>88195</v>
      </c>
      <c r="E5013" s="7"/>
      <c r="F5013" s="27">
        <v>0</v>
      </c>
      <c r="G5013" s="27">
        <v>0</v>
      </c>
      <c r="H5013" s="27">
        <v>0</v>
      </c>
      <c r="I5013" s="27">
        <v>0</v>
      </c>
      <c r="J5013" s="27">
        <v>0</v>
      </c>
      <c r="K5013" s="63">
        <f>AVERAGE(I5013:J5013)</f>
        <v>0</v>
      </c>
      <c r="L5013" s="56" t="str">
        <f>"SW-COMAS-PACKL"</f>
        <v>SW-COMAS-PACKL</v>
      </c>
      <c r="M5013" s="14"/>
      <c r="N5013" s="15"/>
      <c r="O5013" s="12"/>
      <c r="P5013" s="34"/>
      <c r="Q5013" s="37"/>
      <c r="R5013" s="47"/>
      <c r="S5013" s="46"/>
    </row>
    <row r="5014" spans="1:19" ht="15.6" hidden="1" customHeight="1" thickBot="1" x14ac:dyDescent="0.3">
      <c r="A5014" t="s">
        <v>23</v>
      </c>
      <c r="B5014" s="60" t="str">
        <f t="shared" si="3591"/>
        <v>hide</v>
      </c>
      <c r="D5014" s="48" t="str">
        <f>D5013</f>
        <v>88195</v>
      </c>
      <c r="E5014" s="7"/>
      <c r="F5014" s="27">
        <v>0</v>
      </c>
      <c r="G5014" s="27">
        <v>0</v>
      </c>
      <c r="H5014" s="27">
        <v>0</v>
      </c>
      <c r="I5014" s="27">
        <v>0</v>
      </c>
      <c r="J5014" s="27">
        <v>0</v>
      </c>
      <c r="K5014" s="63">
        <f>AVERAGE(I5014:J5014)</f>
        <v>0</v>
      </c>
      <c r="L5014" s="56" t="str">
        <f>"SW-RISER-PACK"</f>
        <v>SW-RISER-PACK</v>
      </c>
      <c r="M5014" s="14"/>
      <c r="N5014" s="15"/>
      <c r="O5014" s="12"/>
      <c r="P5014" s="34"/>
      <c r="Q5014" s="37"/>
      <c r="R5014" s="47"/>
      <c r="S5014" s="46"/>
    </row>
    <row r="5015" spans="1:19" ht="12" hidden="1" customHeight="1" x14ac:dyDescent="0.3">
      <c r="A5015" s="35" t="s">
        <v>908</v>
      </c>
      <c r="B5015" s="49" t="str">
        <f>B5011</f>
        <v>hide</v>
      </c>
      <c r="N5015"/>
      <c r="Q5015" s="33"/>
    </row>
    <row r="5016" spans="1:19" ht="13.8" hidden="1" thickBot="1" x14ac:dyDescent="0.3">
      <c r="A5016" t="s">
        <v>23</v>
      </c>
      <c r="B5016" s="49" t="str">
        <f t="shared" ref="B5016" si="3592">B5015</f>
        <v>hide</v>
      </c>
      <c r="D5016" s="58"/>
      <c r="E5016" s="58"/>
      <c r="F5016" s="52">
        <f>SUM(F5011:F5015)</f>
        <v>0</v>
      </c>
      <c r="G5016" s="52">
        <f>SUM(G5011:G5015)</f>
        <v>0</v>
      </c>
      <c r="H5016" s="52">
        <f>SUM(H5011:H5015)</f>
        <v>0</v>
      </c>
      <c r="I5016" s="52">
        <f>SUM(I5011:I5015)</f>
        <v>0</v>
      </c>
      <c r="J5016" s="52">
        <f>SUM(J5011:J5015)</f>
        <v>0</v>
      </c>
      <c r="K5016" s="52"/>
      <c r="L5016" s="51" t="s">
        <v>4</v>
      </c>
      <c r="M5016" s="58"/>
      <c r="N5016" s="58"/>
      <c r="O5016" s="58"/>
      <c r="P5016" s="58"/>
      <c r="Q5016" s="58"/>
      <c r="R5016" s="58"/>
      <c r="S5016" s="58"/>
    </row>
    <row r="5017" spans="1:19" s="59" customFormat="1" ht="18.75" hidden="1" customHeight="1" thickBot="1" x14ac:dyDescent="0.3">
      <c r="A5017" s="59" t="s">
        <v>23</v>
      </c>
      <c r="B5017" s="60" t="str">
        <f t="shared" ref="B5017:B5018" si="3593">IF(K5017=0,"hide","")</f>
        <v>hide</v>
      </c>
      <c r="D5017" s="61" t="str">
        <f>"90020"</f>
        <v>90020</v>
      </c>
      <c r="E5017" s="62" t="str">
        <f>"1"</f>
        <v>1</v>
      </c>
      <c r="F5017" s="63">
        <v>0</v>
      </c>
      <c r="G5017" s="63">
        <v>0</v>
      </c>
      <c r="H5017" s="63">
        <v>0</v>
      </c>
      <c r="I5017" s="63">
        <v>0</v>
      </c>
      <c r="J5017" s="63">
        <v>0</v>
      </c>
      <c r="K5017" s="63">
        <f>AVERAGE(I5017:J5017)</f>
        <v>0</v>
      </c>
      <c r="L5017" s="64" t="str">
        <f>"Banana Choc.Chip Square Muffin"</f>
        <v>Banana Choc.Chip Square Muffin</v>
      </c>
      <c r="M5017" s="65" t="str">
        <f>"24-2.25oz. 6-4pks of 2IW"</f>
        <v>24-2.25oz. 6-4pks of 2IW</v>
      </c>
      <c r="N5017" s="66">
        <v>48</v>
      </c>
      <c r="O5017" s="67" t="str">
        <f>""</f>
        <v/>
      </c>
      <c r="P5017" s="68" t="e">
        <f>1/O5017</f>
        <v>#VALUE!</v>
      </c>
      <c r="Q5017" s="53">
        <v>1</v>
      </c>
      <c r="R5017" s="69">
        <f t="shared" ref="R5017" si="3594">1/Q5017</f>
        <v>1</v>
      </c>
      <c r="S5017" s="70">
        <f t="shared" ref="S5017" si="3595">R5017*N5017</f>
        <v>48</v>
      </c>
    </row>
    <row r="5018" spans="1:19" ht="15.6" hidden="1" customHeight="1" thickBot="1" x14ac:dyDescent="0.3">
      <c r="A5018" t="s">
        <v>23</v>
      </c>
      <c r="B5018" s="60" t="str">
        <f t="shared" si="3593"/>
        <v>hide</v>
      </c>
      <c r="D5018" s="48" t="str">
        <f>D5017</f>
        <v>90020</v>
      </c>
      <c r="E5018" s="7"/>
      <c r="F5018" s="27">
        <v>0</v>
      </c>
      <c r="G5018" s="27">
        <v>0</v>
      </c>
      <c r="H5018" s="27">
        <v>0</v>
      </c>
      <c r="I5018" s="27">
        <v>0</v>
      </c>
      <c r="J5018" s="27">
        <v>0</v>
      </c>
      <c r="K5018" s="63">
        <f>AVERAGE(I5018:J5018)</f>
        <v>0</v>
      </c>
      <c r="L5018" s="56" t="str">
        <f>"EQP-LAWPACK1"</f>
        <v>EQP-LAWPACK1</v>
      </c>
      <c r="M5018" s="14"/>
      <c r="N5018" s="15"/>
      <c r="O5018" s="12"/>
      <c r="P5018" s="34"/>
      <c r="Q5018" s="37"/>
      <c r="R5018" s="47"/>
      <c r="S5018" s="46"/>
    </row>
    <row r="5019" spans="1:19" ht="15.6" hidden="1" customHeight="1" thickBot="1" x14ac:dyDescent="0.3">
      <c r="A5019" t="s">
        <v>23</v>
      </c>
      <c r="B5019" s="60" t="str">
        <f t="shared" ref="B5019:B5021" si="3596">IF(K5019=0,"hide","")</f>
        <v>hide</v>
      </c>
      <c r="D5019" s="48" t="str">
        <f>D5018</f>
        <v>90020</v>
      </c>
      <c r="E5019" s="7"/>
      <c r="F5019" s="27">
        <v>0</v>
      </c>
      <c r="G5019" s="27">
        <v>0</v>
      </c>
      <c r="H5019" s="27">
        <v>0</v>
      </c>
      <c r="I5019" s="27">
        <v>0</v>
      </c>
      <c r="J5019" s="27">
        <v>0</v>
      </c>
      <c r="K5019" s="63">
        <f>AVERAGE(I5019:J5019)</f>
        <v>0</v>
      </c>
      <c r="L5019" s="56" t="str">
        <f>"EQP-LAWPACK2"</f>
        <v>EQP-LAWPACK2</v>
      </c>
      <c r="M5019" s="14"/>
      <c r="N5019" s="15"/>
      <c r="O5019" s="12"/>
      <c r="P5019" s="34"/>
      <c r="Q5019" s="37"/>
      <c r="R5019" s="47"/>
      <c r="S5019" s="46"/>
    </row>
    <row r="5020" spans="1:19" ht="15.6" hidden="1" customHeight="1" thickBot="1" x14ac:dyDescent="0.3">
      <c r="A5020" t="s">
        <v>23</v>
      </c>
      <c r="B5020" s="60" t="str">
        <f t="shared" si="3596"/>
        <v>hide</v>
      </c>
      <c r="D5020" s="48" t="str">
        <f>D5019</f>
        <v>90020</v>
      </c>
      <c r="E5020" s="7"/>
      <c r="F5020" s="27">
        <v>0</v>
      </c>
      <c r="G5020" s="27">
        <v>0</v>
      </c>
      <c r="H5020" s="27">
        <v>0</v>
      </c>
      <c r="I5020" s="27">
        <v>0</v>
      </c>
      <c r="J5020" s="27">
        <v>0</v>
      </c>
      <c r="K5020" s="63">
        <f>AVERAGE(I5020:J5020)</f>
        <v>0</v>
      </c>
      <c r="L5020" s="56" t="str">
        <f>"SW-COMAS-PACKL"</f>
        <v>SW-COMAS-PACKL</v>
      </c>
      <c r="M5020" s="14"/>
      <c r="N5020" s="15"/>
      <c r="O5020" s="12"/>
      <c r="P5020" s="34"/>
      <c r="Q5020" s="37"/>
      <c r="R5020" s="47"/>
      <c r="S5020" s="46"/>
    </row>
    <row r="5021" spans="1:19" ht="15.6" hidden="1" customHeight="1" thickBot="1" x14ac:dyDescent="0.3">
      <c r="A5021" t="s">
        <v>23</v>
      </c>
      <c r="B5021" s="60" t="str">
        <f t="shared" si="3596"/>
        <v>hide</v>
      </c>
      <c r="D5021" s="48" t="str">
        <f>D5020</f>
        <v>90020</v>
      </c>
      <c r="E5021" s="7"/>
      <c r="F5021" s="27">
        <v>0</v>
      </c>
      <c r="G5021" s="27">
        <v>0</v>
      </c>
      <c r="H5021" s="27">
        <v>0</v>
      </c>
      <c r="I5021" s="27">
        <v>0</v>
      </c>
      <c r="J5021" s="27">
        <v>0</v>
      </c>
      <c r="K5021" s="63">
        <f>AVERAGE(I5021:J5021)</f>
        <v>0</v>
      </c>
      <c r="L5021" s="56" t="str">
        <f>"SW-RISER-PACK"</f>
        <v>SW-RISER-PACK</v>
      </c>
      <c r="M5021" s="14"/>
      <c r="N5021" s="15"/>
      <c r="O5021" s="12"/>
      <c r="P5021" s="34"/>
      <c r="Q5021" s="37"/>
      <c r="R5021" s="47"/>
      <c r="S5021" s="46"/>
    </row>
    <row r="5022" spans="1:19" ht="12" hidden="1" customHeight="1" x14ac:dyDescent="0.3">
      <c r="A5022" s="35" t="s">
        <v>908</v>
      </c>
      <c r="B5022" s="49" t="str">
        <f>B5018</f>
        <v>hide</v>
      </c>
      <c r="N5022"/>
      <c r="Q5022" s="33"/>
    </row>
    <row r="5023" spans="1:19" ht="13.8" hidden="1" thickBot="1" x14ac:dyDescent="0.3">
      <c r="A5023" t="s">
        <v>23</v>
      </c>
      <c r="B5023" s="49" t="str">
        <f t="shared" ref="B5023" si="3597">B5022</f>
        <v>hide</v>
      </c>
      <c r="D5023" s="58"/>
      <c r="E5023" s="58"/>
      <c r="F5023" s="52">
        <f>SUM(F5018:F5022)</f>
        <v>0</v>
      </c>
      <c r="G5023" s="52">
        <f>SUM(G5018:G5022)</f>
        <v>0</v>
      </c>
      <c r="H5023" s="52">
        <f>SUM(H5018:H5022)</f>
        <v>0</v>
      </c>
      <c r="I5023" s="52">
        <f>SUM(I5018:I5022)</f>
        <v>0</v>
      </c>
      <c r="J5023" s="52">
        <f>SUM(J5018:J5022)</f>
        <v>0</v>
      </c>
      <c r="K5023" s="52"/>
      <c r="L5023" s="51" t="s">
        <v>4</v>
      </c>
      <c r="M5023" s="58"/>
      <c r="N5023" s="58"/>
      <c r="O5023" s="58"/>
      <c r="P5023" s="58"/>
      <c r="Q5023" s="58"/>
      <c r="R5023" s="58"/>
      <c r="S5023" s="58"/>
    </row>
    <row r="5024" spans="1:19" s="59" customFormat="1" ht="18.75" hidden="1" customHeight="1" thickBot="1" x14ac:dyDescent="0.3">
      <c r="A5024" s="59" t="s">
        <v>23</v>
      </c>
      <c r="B5024" s="60" t="str">
        <f t="shared" ref="B5024:B5025" si="3598">IF(K5024=0,"hide","")</f>
        <v>hide</v>
      </c>
      <c r="D5024" s="61" t="str">
        <f>"90021"</f>
        <v>90021</v>
      </c>
      <c r="E5024" s="62" t="str">
        <f>"1"</f>
        <v>1</v>
      </c>
      <c r="F5024" s="63">
        <v>0</v>
      </c>
      <c r="G5024" s="63">
        <v>0</v>
      </c>
      <c r="H5024" s="63">
        <v>0</v>
      </c>
      <c r="I5024" s="63">
        <v>0</v>
      </c>
      <c r="J5024" s="63">
        <v>0</v>
      </c>
      <c r="K5024" s="63">
        <f>AVERAGE(I5024:J5024)</f>
        <v>0</v>
      </c>
      <c r="L5024" s="64" t="str">
        <f>"Blueberry Lemon Square Muffin"</f>
        <v>Blueberry Lemon Square Muffin</v>
      </c>
      <c r="M5024" s="65" t="str">
        <f>"24-2.25oz. 6-4pks of 2IW"</f>
        <v>24-2.25oz. 6-4pks of 2IW</v>
      </c>
      <c r="N5024" s="66">
        <v>48</v>
      </c>
      <c r="O5024" s="67" t="str">
        <f>""</f>
        <v/>
      </c>
      <c r="P5024" s="68" t="e">
        <f>1/O5024</f>
        <v>#VALUE!</v>
      </c>
      <c r="Q5024" s="53">
        <v>1</v>
      </c>
      <c r="R5024" s="69">
        <f t="shared" ref="R5024" si="3599">1/Q5024</f>
        <v>1</v>
      </c>
      <c r="S5024" s="70">
        <f t="shared" ref="S5024" si="3600">R5024*N5024</f>
        <v>48</v>
      </c>
    </row>
    <row r="5025" spans="1:19" ht="15.6" hidden="1" customHeight="1" thickBot="1" x14ac:dyDescent="0.3">
      <c r="A5025" t="s">
        <v>23</v>
      </c>
      <c r="B5025" s="60" t="str">
        <f t="shared" si="3598"/>
        <v>hide</v>
      </c>
      <c r="D5025" s="48" t="str">
        <f>D5024</f>
        <v>90021</v>
      </c>
      <c r="E5025" s="7"/>
      <c r="F5025" s="27">
        <v>0</v>
      </c>
      <c r="G5025" s="27">
        <v>0</v>
      </c>
      <c r="H5025" s="27">
        <v>0</v>
      </c>
      <c r="I5025" s="27">
        <v>0</v>
      </c>
      <c r="J5025" s="27">
        <v>0</v>
      </c>
      <c r="K5025" s="63">
        <f>AVERAGE(I5025:J5025)</f>
        <v>0</v>
      </c>
      <c r="L5025" s="56" t="str">
        <f>"EQP-LAWPACK1"</f>
        <v>EQP-LAWPACK1</v>
      </c>
      <c r="M5025" s="14"/>
      <c r="N5025" s="15"/>
      <c r="O5025" s="12"/>
      <c r="P5025" s="34"/>
      <c r="Q5025" s="37"/>
      <c r="R5025" s="47"/>
      <c r="S5025" s="46"/>
    </row>
    <row r="5026" spans="1:19" ht="15.6" hidden="1" customHeight="1" thickBot="1" x14ac:dyDescent="0.3">
      <c r="A5026" t="s">
        <v>23</v>
      </c>
      <c r="B5026" s="60" t="str">
        <f t="shared" ref="B5026:B5028" si="3601">IF(K5026=0,"hide","")</f>
        <v>hide</v>
      </c>
      <c r="D5026" s="48" t="str">
        <f>D5025</f>
        <v>90021</v>
      </c>
      <c r="E5026" s="7"/>
      <c r="F5026" s="27">
        <v>0</v>
      </c>
      <c r="G5026" s="27">
        <v>0</v>
      </c>
      <c r="H5026" s="27">
        <v>0</v>
      </c>
      <c r="I5026" s="27">
        <v>0</v>
      </c>
      <c r="J5026" s="27">
        <v>0</v>
      </c>
      <c r="K5026" s="63">
        <f>AVERAGE(I5026:J5026)</f>
        <v>0</v>
      </c>
      <c r="L5026" s="56" t="str">
        <f>"EQP-LAWPACK2"</f>
        <v>EQP-LAWPACK2</v>
      </c>
      <c r="M5026" s="14"/>
      <c r="N5026" s="15"/>
      <c r="O5026" s="12"/>
      <c r="P5026" s="34"/>
      <c r="Q5026" s="37"/>
      <c r="R5026" s="47"/>
      <c r="S5026" s="46"/>
    </row>
    <row r="5027" spans="1:19" ht="15.6" hidden="1" customHeight="1" thickBot="1" x14ac:dyDescent="0.3">
      <c r="A5027" t="s">
        <v>23</v>
      </c>
      <c r="B5027" s="60" t="str">
        <f t="shared" si="3601"/>
        <v>hide</v>
      </c>
      <c r="D5027" s="48" t="str">
        <f>D5026</f>
        <v>90021</v>
      </c>
      <c r="E5027" s="7"/>
      <c r="F5027" s="27">
        <v>0</v>
      </c>
      <c r="G5027" s="27">
        <v>0</v>
      </c>
      <c r="H5027" s="27">
        <v>0</v>
      </c>
      <c r="I5027" s="27">
        <v>0</v>
      </c>
      <c r="J5027" s="27">
        <v>0</v>
      </c>
      <c r="K5027" s="63">
        <f>AVERAGE(I5027:J5027)</f>
        <v>0</v>
      </c>
      <c r="L5027" s="56" t="str">
        <f>"SW-COMAS-PACKL"</f>
        <v>SW-COMAS-PACKL</v>
      </c>
      <c r="M5027" s="14"/>
      <c r="N5027" s="15"/>
      <c r="O5027" s="12"/>
      <c r="P5027" s="34"/>
      <c r="Q5027" s="37"/>
      <c r="R5027" s="47"/>
      <c r="S5027" s="46"/>
    </row>
    <row r="5028" spans="1:19" ht="15.6" hidden="1" customHeight="1" thickBot="1" x14ac:dyDescent="0.3">
      <c r="A5028" t="s">
        <v>23</v>
      </c>
      <c r="B5028" s="60" t="str">
        <f t="shared" si="3601"/>
        <v>hide</v>
      </c>
      <c r="D5028" s="48" t="str">
        <f>D5027</f>
        <v>90021</v>
      </c>
      <c r="E5028" s="7"/>
      <c r="F5028" s="27">
        <v>0</v>
      </c>
      <c r="G5028" s="27">
        <v>0</v>
      </c>
      <c r="H5028" s="27">
        <v>0</v>
      </c>
      <c r="I5028" s="27">
        <v>0</v>
      </c>
      <c r="J5028" s="27">
        <v>0</v>
      </c>
      <c r="K5028" s="63">
        <f>AVERAGE(I5028:J5028)</f>
        <v>0</v>
      </c>
      <c r="L5028" s="56" t="str">
        <f>"SW-RISER-PACK"</f>
        <v>SW-RISER-PACK</v>
      </c>
      <c r="M5028" s="14"/>
      <c r="N5028" s="15"/>
      <c r="O5028" s="12"/>
      <c r="P5028" s="34"/>
      <c r="Q5028" s="37"/>
      <c r="R5028" s="47"/>
      <c r="S5028" s="46"/>
    </row>
    <row r="5029" spans="1:19" ht="12" hidden="1" customHeight="1" x14ac:dyDescent="0.3">
      <c r="A5029" s="35" t="s">
        <v>908</v>
      </c>
      <c r="B5029" s="49" t="str">
        <f>B5025</f>
        <v>hide</v>
      </c>
      <c r="N5029"/>
      <c r="Q5029" s="33"/>
    </row>
    <row r="5030" spans="1:19" ht="13.8" hidden="1" thickBot="1" x14ac:dyDescent="0.3">
      <c r="A5030" t="s">
        <v>23</v>
      </c>
      <c r="B5030" s="49" t="str">
        <f t="shared" ref="B5030" si="3602">B5029</f>
        <v>hide</v>
      </c>
      <c r="D5030" s="58"/>
      <c r="E5030" s="58"/>
      <c r="F5030" s="52">
        <f>SUM(F5025:F5029)</f>
        <v>0</v>
      </c>
      <c r="G5030" s="52">
        <f>SUM(G5025:G5029)</f>
        <v>0</v>
      </c>
      <c r="H5030" s="52">
        <f>SUM(H5025:H5029)</f>
        <v>0</v>
      </c>
      <c r="I5030" s="52">
        <f>SUM(I5025:I5029)</f>
        <v>0</v>
      </c>
      <c r="J5030" s="52">
        <f>SUM(J5025:J5029)</f>
        <v>0</v>
      </c>
      <c r="K5030" s="52"/>
      <c r="L5030" s="51" t="s">
        <v>4</v>
      </c>
      <c r="M5030" s="58"/>
      <c r="N5030" s="58"/>
      <c r="O5030" s="58"/>
      <c r="P5030" s="58"/>
      <c r="Q5030" s="58"/>
      <c r="R5030" s="58"/>
      <c r="S5030" s="58"/>
    </row>
    <row r="5031" spans="1:19" s="59" customFormat="1" ht="18.75" hidden="1" customHeight="1" thickBot="1" x14ac:dyDescent="0.3">
      <c r="A5031" s="59" t="s">
        <v>23</v>
      </c>
      <c r="B5031" s="60" t="str">
        <f t="shared" ref="B5031:B5032" si="3603">IF(K5031=0,"hide","")</f>
        <v>hide</v>
      </c>
      <c r="D5031" s="61" t="str">
        <f>"90022"</f>
        <v>90022</v>
      </c>
      <c r="E5031" s="62" t="str">
        <f>"1"</f>
        <v>1</v>
      </c>
      <c r="F5031" s="63">
        <v>0</v>
      </c>
      <c r="G5031" s="63">
        <v>0</v>
      </c>
      <c r="H5031" s="63">
        <v>0</v>
      </c>
      <c r="I5031" s="63">
        <v>0</v>
      </c>
      <c r="J5031" s="63">
        <v>0</v>
      </c>
      <c r="K5031" s="63">
        <f>AVERAGE(I5031:J5031)</f>
        <v>0</v>
      </c>
      <c r="L5031" s="64" t="str">
        <f>"Cranberry Orange Square Muffin"</f>
        <v>Cranberry Orange Square Muffin</v>
      </c>
      <c r="M5031" s="65" t="str">
        <f>"24-2.25oz. 6-4pks of 2IW"</f>
        <v>24-2.25oz. 6-4pks of 2IW</v>
      </c>
      <c r="N5031" s="66">
        <v>48</v>
      </c>
      <c r="O5031" s="67" t="str">
        <f>""</f>
        <v/>
      </c>
      <c r="P5031" s="68" t="e">
        <f>1/O5031</f>
        <v>#VALUE!</v>
      </c>
      <c r="Q5031" s="53">
        <v>1</v>
      </c>
      <c r="R5031" s="69">
        <f t="shared" ref="R5031" si="3604">1/Q5031</f>
        <v>1</v>
      </c>
      <c r="S5031" s="70">
        <f t="shared" ref="S5031" si="3605">R5031*N5031</f>
        <v>48</v>
      </c>
    </row>
    <row r="5032" spans="1:19" ht="15.6" hidden="1" customHeight="1" thickBot="1" x14ac:dyDescent="0.3">
      <c r="A5032" t="s">
        <v>23</v>
      </c>
      <c r="B5032" s="60" t="str">
        <f t="shared" si="3603"/>
        <v>hide</v>
      </c>
      <c r="D5032" s="48" t="str">
        <f>D5031</f>
        <v>90022</v>
      </c>
      <c r="E5032" s="7"/>
      <c r="F5032" s="27">
        <v>0</v>
      </c>
      <c r="G5032" s="27">
        <v>0</v>
      </c>
      <c r="H5032" s="27">
        <v>0</v>
      </c>
      <c r="I5032" s="27">
        <v>0</v>
      </c>
      <c r="J5032" s="27">
        <v>0</v>
      </c>
      <c r="K5032" s="63">
        <f>AVERAGE(I5032:J5032)</f>
        <v>0</v>
      </c>
      <c r="L5032" s="56" t="str">
        <f>"EQP-LAWPACK1"</f>
        <v>EQP-LAWPACK1</v>
      </c>
      <c r="M5032" s="14"/>
      <c r="N5032" s="15"/>
      <c r="O5032" s="12"/>
      <c r="P5032" s="34"/>
      <c r="Q5032" s="37"/>
      <c r="R5032" s="47"/>
      <c r="S5032" s="46"/>
    </row>
    <row r="5033" spans="1:19" ht="15.6" hidden="1" customHeight="1" thickBot="1" x14ac:dyDescent="0.3">
      <c r="A5033" t="s">
        <v>23</v>
      </c>
      <c r="B5033" s="60" t="str">
        <f t="shared" ref="B5033:B5035" si="3606">IF(K5033=0,"hide","")</f>
        <v>hide</v>
      </c>
      <c r="D5033" s="48" t="str">
        <f>D5032</f>
        <v>90022</v>
      </c>
      <c r="E5033" s="7"/>
      <c r="F5033" s="27">
        <v>0</v>
      </c>
      <c r="G5033" s="27">
        <v>0</v>
      </c>
      <c r="H5033" s="27">
        <v>0</v>
      </c>
      <c r="I5033" s="27">
        <v>0</v>
      </c>
      <c r="J5033" s="27">
        <v>0</v>
      </c>
      <c r="K5033" s="63">
        <f>AVERAGE(I5033:J5033)</f>
        <v>0</v>
      </c>
      <c r="L5033" s="56" t="str">
        <f>"EQP-LAWPACK2"</f>
        <v>EQP-LAWPACK2</v>
      </c>
      <c r="M5033" s="14"/>
      <c r="N5033" s="15"/>
      <c r="O5033" s="12"/>
      <c r="P5033" s="34"/>
      <c r="Q5033" s="37"/>
      <c r="R5033" s="47"/>
      <c r="S5033" s="46"/>
    </row>
    <row r="5034" spans="1:19" ht="15.6" hidden="1" customHeight="1" thickBot="1" x14ac:dyDescent="0.3">
      <c r="A5034" t="s">
        <v>23</v>
      </c>
      <c r="B5034" s="60" t="str">
        <f t="shared" si="3606"/>
        <v>hide</v>
      </c>
      <c r="D5034" s="48" t="str">
        <f>D5033</f>
        <v>90022</v>
      </c>
      <c r="E5034" s="7"/>
      <c r="F5034" s="27">
        <v>0</v>
      </c>
      <c r="G5034" s="27">
        <v>0</v>
      </c>
      <c r="H5034" s="27">
        <v>0</v>
      </c>
      <c r="I5034" s="27">
        <v>0</v>
      </c>
      <c r="J5034" s="27">
        <v>0</v>
      </c>
      <c r="K5034" s="63">
        <f>AVERAGE(I5034:J5034)</f>
        <v>0</v>
      </c>
      <c r="L5034" s="56" t="str">
        <f>"SW-COMAS-PACKL"</f>
        <v>SW-COMAS-PACKL</v>
      </c>
      <c r="M5034" s="14"/>
      <c r="N5034" s="15"/>
      <c r="O5034" s="12"/>
      <c r="P5034" s="34"/>
      <c r="Q5034" s="37"/>
      <c r="R5034" s="47"/>
      <c r="S5034" s="46"/>
    </row>
    <row r="5035" spans="1:19" ht="15.6" hidden="1" customHeight="1" thickBot="1" x14ac:dyDescent="0.3">
      <c r="A5035" t="s">
        <v>23</v>
      </c>
      <c r="B5035" s="60" t="str">
        <f t="shared" si="3606"/>
        <v>hide</v>
      </c>
      <c r="D5035" s="48" t="str">
        <f>D5034</f>
        <v>90022</v>
      </c>
      <c r="E5035" s="7"/>
      <c r="F5035" s="27">
        <v>0</v>
      </c>
      <c r="G5035" s="27">
        <v>0</v>
      </c>
      <c r="H5035" s="27">
        <v>0</v>
      </c>
      <c r="I5035" s="27">
        <v>0</v>
      </c>
      <c r="J5035" s="27">
        <v>0</v>
      </c>
      <c r="K5035" s="63">
        <f>AVERAGE(I5035:J5035)</f>
        <v>0</v>
      </c>
      <c r="L5035" s="56" t="str">
        <f>"SW-RISER-PACK"</f>
        <v>SW-RISER-PACK</v>
      </c>
      <c r="M5035" s="14"/>
      <c r="N5035" s="15"/>
      <c r="O5035" s="12"/>
      <c r="P5035" s="34"/>
      <c r="Q5035" s="37"/>
      <c r="R5035" s="47"/>
      <c r="S5035" s="46"/>
    </row>
    <row r="5036" spans="1:19" ht="12" hidden="1" customHeight="1" x14ac:dyDescent="0.3">
      <c r="A5036" s="35" t="s">
        <v>908</v>
      </c>
      <c r="B5036" s="49" t="str">
        <f>B5032</f>
        <v>hide</v>
      </c>
      <c r="N5036"/>
      <c r="Q5036" s="33"/>
    </row>
    <row r="5037" spans="1:19" ht="13.8" hidden="1" thickBot="1" x14ac:dyDescent="0.3">
      <c r="A5037" t="s">
        <v>23</v>
      </c>
      <c r="B5037" s="49" t="str">
        <f t="shared" ref="B5037" si="3607">B5036</f>
        <v>hide</v>
      </c>
      <c r="D5037" s="58"/>
      <c r="E5037" s="58"/>
      <c r="F5037" s="52">
        <f>SUM(F5032:F5036)</f>
        <v>0</v>
      </c>
      <c r="G5037" s="52">
        <f>SUM(G5032:G5036)</f>
        <v>0</v>
      </c>
      <c r="H5037" s="52">
        <f>SUM(H5032:H5036)</f>
        <v>0</v>
      </c>
      <c r="I5037" s="52">
        <f>SUM(I5032:I5036)</f>
        <v>0</v>
      </c>
      <c r="J5037" s="52">
        <f>SUM(J5032:J5036)</f>
        <v>0</v>
      </c>
      <c r="K5037" s="52"/>
      <c r="L5037" s="51" t="s">
        <v>4</v>
      </c>
      <c r="M5037" s="58"/>
      <c r="N5037" s="58"/>
      <c r="O5037" s="58"/>
      <c r="P5037" s="58"/>
      <c r="Q5037" s="58"/>
      <c r="R5037" s="58"/>
      <c r="S5037" s="58"/>
    </row>
    <row r="5038" spans="1:19" s="59" customFormat="1" ht="18.75" customHeight="1" thickBot="1" x14ac:dyDescent="0.3">
      <c r="A5038" s="59" t="s">
        <v>23</v>
      </c>
      <c r="B5038" s="60" t="str">
        <f t="shared" ref="B5038:B5039" si="3608">IF(K5038=0,"hide","")</f>
        <v/>
      </c>
      <c r="D5038" s="61" t="str">
        <f>"90429"</f>
        <v>90429</v>
      </c>
      <c r="E5038" s="62" t="str">
        <f>"2"</f>
        <v>2</v>
      </c>
      <c r="F5038" s="63">
        <v>0</v>
      </c>
      <c r="G5038" s="63">
        <v>0</v>
      </c>
      <c r="H5038" s="63">
        <v>0</v>
      </c>
      <c r="I5038" s="63">
        <v>286.75000000000006</v>
      </c>
      <c r="J5038" s="63">
        <v>955.99445783132535</v>
      </c>
      <c r="K5038" s="63">
        <f>AVERAGE(I5038:J5038)</f>
        <v>621.37222891566273</v>
      </c>
      <c r="L5038" s="64" t="str">
        <f>"WG Fudgy Brownie"</f>
        <v>WG Fudgy Brownie</v>
      </c>
      <c r="M5038" s="65" t="str">
        <f>"96-1.75 oz. IW"</f>
        <v>96-1.75 oz. IW</v>
      </c>
      <c r="N5038" s="66">
        <v>96</v>
      </c>
      <c r="O5038" s="67" t="str">
        <f>""</f>
        <v/>
      </c>
      <c r="P5038" s="68" t="e">
        <f>1/O5038</f>
        <v>#VALUE!</v>
      </c>
      <c r="Q5038" s="53">
        <v>1</v>
      </c>
      <c r="R5038" s="69">
        <f t="shared" ref="R5038" si="3609">1/Q5038</f>
        <v>1</v>
      </c>
      <c r="S5038" s="70">
        <f t="shared" ref="S5038" si="3610">R5038*N5038</f>
        <v>96</v>
      </c>
    </row>
    <row r="5039" spans="1:19" ht="15.6" hidden="1" customHeight="1" thickBot="1" x14ac:dyDescent="0.3">
      <c r="A5039" t="s">
        <v>23</v>
      </c>
      <c r="B5039" s="60" t="str">
        <f t="shared" si="3608"/>
        <v>hide</v>
      </c>
      <c r="D5039" s="48" t="str">
        <f>D5038</f>
        <v>90429</v>
      </c>
      <c r="E5039" s="7"/>
      <c r="F5039" s="27">
        <v>0</v>
      </c>
      <c r="G5039" s="27">
        <v>0</v>
      </c>
      <c r="H5039" s="27">
        <v>0</v>
      </c>
      <c r="I5039" s="27">
        <v>0</v>
      </c>
      <c r="J5039" s="27">
        <v>0</v>
      </c>
      <c r="K5039" s="63">
        <f>AVERAGE(I5039:J5039)</f>
        <v>0</v>
      </c>
      <c r="L5039" s="56" t="str">
        <f>"EQP-LAWPACK1"</f>
        <v>EQP-LAWPACK1</v>
      </c>
      <c r="M5039" s="14"/>
      <c r="N5039" s="15"/>
      <c r="O5039" s="12"/>
      <c r="P5039" s="34"/>
      <c r="Q5039" s="37"/>
      <c r="R5039" s="47"/>
      <c r="S5039" s="46"/>
    </row>
    <row r="5040" spans="1:19" ht="15.6" hidden="1" customHeight="1" thickBot="1" x14ac:dyDescent="0.3">
      <c r="A5040" t="s">
        <v>23</v>
      </c>
      <c r="B5040" s="60" t="str">
        <f t="shared" ref="B5040:B5042" si="3611">IF(K5040=0,"hide","")</f>
        <v>hide</v>
      </c>
      <c r="D5040" s="48" t="str">
        <f>D5039</f>
        <v>90429</v>
      </c>
      <c r="E5040" s="7"/>
      <c r="F5040" s="27">
        <v>0</v>
      </c>
      <c r="G5040" s="27">
        <v>0</v>
      </c>
      <c r="H5040" s="27">
        <v>0</v>
      </c>
      <c r="I5040" s="27">
        <v>0</v>
      </c>
      <c r="J5040" s="27">
        <v>0</v>
      </c>
      <c r="K5040" s="63">
        <f>AVERAGE(I5040:J5040)</f>
        <v>0</v>
      </c>
      <c r="L5040" s="56" t="str">
        <f>"EQP-LAWPACK2"</f>
        <v>EQP-LAWPACK2</v>
      </c>
      <c r="M5040" s="14"/>
      <c r="N5040" s="15"/>
      <c r="O5040" s="12"/>
      <c r="P5040" s="34"/>
      <c r="Q5040" s="37"/>
      <c r="R5040" s="47"/>
      <c r="S5040" s="46"/>
    </row>
    <row r="5041" spans="1:19" ht="15.6" hidden="1" customHeight="1" thickBot="1" x14ac:dyDescent="0.3">
      <c r="A5041" t="s">
        <v>23</v>
      </c>
      <c r="B5041" s="60" t="str">
        <f t="shared" si="3611"/>
        <v>hide</v>
      </c>
      <c r="D5041" s="48" t="str">
        <f>D5040</f>
        <v>90429</v>
      </c>
      <c r="E5041" s="7"/>
      <c r="F5041" s="27">
        <v>0</v>
      </c>
      <c r="G5041" s="27">
        <v>0</v>
      </c>
      <c r="H5041" s="27">
        <v>0</v>
      </c>
      <c r="I5041" s="27">
        <v>0</v>
      </c>
      <c r="J5041" s="27">
        <v>0</v>
      </c>
      <c r="K5041" s="63">
        <f>AVERAGE(I5041:J5041)</f>
        <v>0</v>
      </c>
      <c r="L5041" s="56" t="str">
        <f>"SW-COMAS-PACKL"</f>
        <v>SW-COMAS-PACKL</v>
      </c>
      <c r="M5041" s="14"/>
      <c r="N5041" s="15"/>
      <c r="O5041" s="12"/>
      <c r="P5041" s="34"/>
      <c r="Q5041" s="37"/>
      <c r="R5041" s="47"/>
      <c r="S5041" s="46"/>
    </row>
    <row r="5042" spans="1:19" ht="15.6" hidden="1" customHeight="1" thickBot="1" x14ac:dyDescent="0.3">
      <c r="A5042" t="s">
        <v>23</v>
      </c>
      <c r="B5042" s="60" t="str">
        <f t="shared" si="3611"/>
        <v>hide</v>
      </c>
      <c r="D5042" s="48" t="str">
        <f>D5041</f>
        <v>90429</v>
      </c>
      <c r="E5042" s="7"/>
      <c r="F5042" s="27">
        <v>0</v>
      </c>
      <c r="G5042" s="27">
        <v>0</v>
      </c>
      <c r="H5042" s="27">
        <v>0</v>
      </c>
      <c r="I5042" s="27">
        <v>0</v>
      </c>
      <c r="J5042" s="27">
        <v>0</v>
      </c>
      <c r="K5042" s="63">
        <f>AVERAGE(I5042:J5042)</f>
        <v>0</v>
      </c>
      <c r="L5042" s="56" t="str">
        <f>"SW-RISER-PACK"</f>
        <v>SW-RISER-PACK</v>
      </c>
      <c r="M5042" s="14"/>
      <c r="N5042" s="15"/>
      <c r="O5042" s="12"/>
      <c r="P5042" s="34"/>
      <c r="Q5042" s="37"/>
      <c r="R5042" s="47"/>
      <c r="S5042" s="46"/>
    </row>
    <row r="5043" spans="1:19" ht="12" hidden="1" customHeight="1" x14ac:dyDescent="0.3">
      <c r="A5043" s="35" t="s">
        <v>908</v>
      </c>
      <c r="B5043" s="49" t="str">
        <f>B5039</f>
        <v>hide</v>
      </c>
      <c r="N5043"/>
      <c r="Q5043" s="33"/>
    </row>
    <row r="5044" spans="1:19" ht="13.8" hidden="1" thickBot="1" x14ac:dyDescent="0.3">
      <c r="A5044" t="s">
        <v>23</v>
      </c>
      <c r="B5044" s="49" t="str">
        <f t="shared" ref="B5044" si="3612">B5043</f>
        <v>hide</v>
      </c>
      <c r="D5044" s="58"/>
      <c r="E5044" s="58"/>
      <c r="F5044" s="52">
        <f>SUM(F5039:F5043)</f>
        <v>0</v>
      </c>
      <c r="G5044" s="52">
        <f>SUM(G5039:G5043)</f>
        <v>0</v>
      </c>
      <c r="H5044" s="52">
        <f>SUM(H5039:H5043)</f>
        <v>0</v>
      </c>
      <c r="I5044" s="52">
        <f>SUM(I5039:I5043)</f>
        <v>0</v>
      </c>
      <c r="J5044" s="52">
        <f>SUM(J5039:J5043)</f>
        <v>0</v>
      </c>
      <c r="K5044" s="52"/>
      <c r="L5044" s="51" t="s">
        <v>4</v>
      </c>
      <c r="M5044" s="58"/>
      <c r="N5044" s="58"/>
      <c r="O5044" s="58"/>
      <c r="P5044" s="58"/>
      <c r="Q5044" s="58"/>
      <c r="R5044" s="58"/>
      <c r="S5044" s="58"/>
    </row>
    <row r="5045" spans="1:19" s="59" customFormat="1" ht="18.75" hidden="1" customHeight="1" thickBot="1" x14ac:dyDescent="0.3">
      <c r="A5045" s="59" t="s">
        <v>23</v>
      </c>
      <c r="B5045" s="60" t="str">
        <f t="shared" ref="B5045:B5046" si="3613">IF(K5045=0,"hide","")</f>
        <v>hide</v>
      </c>
      <c r="D5045" s="61" t="str">
        <f>"90430"</f>
        <v>90430</v>
      </c>
      <c r="E5045" s="62" t="str">
        <f>"1"</f>
        <v>1</v>
      </c>
      <c r="F5045" s="63">
        <v>301.75</v>
      </c>
      <c r="G5045" s="63">
        <v>191</v>
      </c>
      <c r="H5045" s="63">
        <v>179.08333333333334</v>
      </c>
      <c r="I5045" s="63">
        <v>0</v>
      </c>
      <c r="J5045" s="63">
        <v>0</v>
      </c>
      <c r="K5045" s="63">
        <f>AVERAGE(I5045:J5045)</f>
        <v>0</v>
      </c>
      <c r="L5045" s="64" t="str">
        <f>"CHOC CHOC CHIP LOAVES"</f>
        <v>CHOC CHOC CHIP LOAVES</v>
      </c>
      <c r="M5045" s="65" t="str">
        <f>"96-1.5 oz. IW"</f>
        <v>96-1.5 oz. IW</v>
      </c>
      <c r="N5045" s="66">
        <v>96</v>
      </c>
      <c r="O5045" s="67" t="str">
        <f>""</f>
        <v/>
      </c>
      <c r="P5045" s="68" t="e">
        <f>1/O5045</f>
        <v>#VALUE!</v>
      </c>
      <c r="Q5045" s="53">
        <v>1</v>
      </c>
      <c r="R5045" s="69">
        <f t="shared" ref="R5045" si="3614">1/Q5045</f>
        <v>1</v>
      </c>
      <c r="S5045" s="70">
        <f t="shared" ref="S5045" si="3615">R5045*N5045</f>
        <v>96</v>
      </c>
    </row>
    <row r="5046" spans="1:19" ht="15.6" hidden="1" customHeight="1" thickBot="1" x14ac:dyDescent="0.3">
      <c r="A5046" t="s">
        <v>23</v>
      </c>
      <c r="B5046" s="60" t="str">
        <f t="shared" si="3613"/>
        <v>hide</v>
      </c>
      <c r="D5046" s="48" t="str">
        <f>D5045</f>
        <v>90430</v>
      </c>
      <c r="E5046" s="7"/>
      <c r="F5046" s="27">
        <v>0</v>
      </c>
      <c r="G5046" s="27">
        <v>0</v>
      </c>
      <c r="H5046" s="27">
        <v>0</v>
      </c>
      <c r="I5046" s="27">
        <v>0</v>
      </c>
      <c r="J5046" s="27">
        <v>0</v>
      </c>
      <c r="K5046" s="63">
        <f>AVERAGE(I5046:J5046)</f>
        <v>0</v>
      </c>
      <c r="L5046" s="56" t="str">
        <f>"EQP-LAWPACK1"</f>
        <v>EQP-LAWPACK1</v>
      </c>
      <c r="M5046" s="14"/>
      <c r="N5046" s="15"/>
      <c r="O5046" s="12"/>
      <c r="P5046" s="34"/>
      <c r="Q5046" s="37"/>
      <c r="R5046" s="47"/>
      <c r="S5046" s="46"/>
    </row>
    <row r="5047" spans="1:19" ht="15.6" hidden="1" customHeight="1" thickBot="1" x14ac:dyDescent="0.3">
      <c r="A5047" t="s">
        <v>23</v>
      </c>
      <c r="B5047" s="60" t="str">
        <f t="shared" ref="B5047:B5049" si="3616">IF(K5047=0,"hide","")</f>
        <v>hide</v>
      </c>
      <c r="D5047" s="48" t="str">
        <f>D5046</f>
        <v>90430</v>
      </c>
      <c r="E5047" s="7"/>
      <c r="F5047" s="27">
        <v>0</v>
      </c>
      <c r="G5047" s="27">
        <v>0</v>
      </c>
      <c r="H5047" s="27">
        <v>0</v>
      </c>
      <c r="I5047" s="27">
        <v>0</v>
      </c>
      <c r="J5047" s="27">
        <v>0</v>
      </c>
      <c r="K5047" s="63">
        <f>AVERAGE(I5047:J5047)</f>
        <v>0</v>
      </c>
      <c r="L5047" s="56" t="str">
        <f>"EQP-LAWPACK2"</f>
        <v>EQP-LAWPACK2</v>
      </c>
      <c r="M5047" s="14"/>
      <c r="N5047" s="15"/>
      <c r="O5047" s="12"/>
      <c r="P5047" s="34"/>
      <c r="Q5047" s="37"/>
      <c r="R5047" s="47"/>
      <c r="S5047" s="46"/>
    </row>
    <row r="5048" spans="1:19" ht="15.6" hidden="1" customHeight="1" thickBot="1" x14ac:dyDescent="0.3">
      <c r="A5048" t="s">
        <v>23</v>
      </c>
      <c r="B5048" s="60" t="str">
        <f t="shared" si="3616"/>
        <v>hide</v>
      </c>
      <c r="D5048" s="48" t="str">
        <f>D5047</f>
        <v>90430</v>
      </c>
      <c r="E5048" s="7"/>
      <c r="F5048" s="27">
        <v>0</v>
      </c>
      <c r="G5048" s="27">
        <v>0</v>
      </c>
      <c r="H5048" s="27">
        <v>0</v>
      </c>
      <c r="I5048" s="27">
        <v>0</v>
      </c>
      <c r="J5048" s="27">
        <v>0</v>
      </c>
      <c r="K5048" s="63">
        <f>AVERAGE(I5048:J5048)</f>
        <v>0</v>
      </c>
      <c r="L5048" s="56" t="str">
        <f>"SW-COMAS-PACKL"</f>
        <v>SW-COMAS-PACKL</v>
      </c>
      <c r="M5048" s="14"/>
      <c r="N5048" s="15"/>
      <c r="O5048" s="12"/>
      <c r="P5048" s="34"/>
      <c r="Q5048" s="37"/>
      <c r="R5048" s="47"/>
      <c r="S5048" s="46"/>
    </row>
    <row r="5049" spans="1:19" ht="15.6" hidden="1" customHeight="1" thickBot="1" x14ac:dyDescent="0.3">
      <c r="A5049" t="s">
        <v>23</v>
      </c>
      <c r="B5049" s="60" t="str">
        <f t="shared" si="3616"/>
        <v>hide</v>
      </c>
      <c r="D5049" s="48" t="str">
        <f>D5048</f>
        <v>90430</v>
      </c>
      <c r="E5049" s="7"/>
      <c r="F5049" s="27">
        <v>0</v>
      </c>
      <c r="G5049" s="27">
        <v>0</v>
      </c>
      <c r="H5049" s="27">
        <v>0</v>
      </c>
      <c r="I5049" s="27">
        <v>0</v>
      </c>
      <c r="J5049" s="27">
        <v>0</v>
      </c>
      <c r="K5049" s="63">
        <f>AVERAGE(I5049:J5049)</f>
        <v>0</v>
      </c>
      <c r="L5049" s="56" t="str">
        <f>"SW-RISER-PACK"</f>
        <v>SW-RISER-PACK</v>
      </c>
      <c r="M5049" s="14"/>
      <c r="N5049" s="15"/>
      <c r="O5049" s="12"/>
      <c r="P5049" s="34"/>
      <c r="Q5049" s="37"/>
      <c r="R5049" s="47"/>
      <c r="S5049" s="46"/>
    </row>
    <row r="5050" spans="1:19" ht="12" hidden="1" customHeight="1" x14ac:dyDescent="0.3">
      <c r="A5050" s="35" t="s">
        <v>908</v>
      </c>
      <c r="B5050" s="49" t="str">
        <f>B5046</f>
        <v>hide</v>
      </c>
      <c r="N5050"/>
      <c r="Q5050" s="33"/>
    </row>
    <row r="5051" spans="1:19" ht="13.8" hidden="1" thickBot="1" x14ac:dyDescent="0.3">
      <c r="A5051" t="s">
        <v>23</v>
      </c>
      <c r="B5051" s="49" t="str">
        <f t="shared" ref="B5051" si="3617">B5050</f>
        <v>hide</v>
      </c>
      <c r="D5051" s="58"/>
      <c r="E5051" s="58"/>
      <c r="F5051" s="52">
        <f>SUM(F5046:F5050)</f>
        <v>0</v>
      </c>
      <c r="G5051" s="52">
        <f>SUM(G5046:G5050)</f>
        <v>0</v>
      </c>
      <c r="H5051" s="52">
        <f>SUM(H5046:H5050)</f>
        <v>0</v>
      </c>
      <c r="I5051" s="52">
        <f>SUM(I5046:I5050)</f>
        <v>0</v>
      </c>
      <c r="J5051" s="52">
        <f>SUM(J5046:J5050)</f>
        <v>0</v>
      </c>
      <c r="K5051" s="52"/>
      <c r="L5051" s="51" t="s">
        <v>4</v>
      </c>
      <c r="M5051" s="58"/>
      <c r="N5051" s="58"/>
      <c r="O5051" s="58"/>
      <c r="P5051" s="58"/>
      <c r="Q5051" s="58"/>
      <c r="R5051" s="58"/>
      <c r="S5051" s="58"/>
    </row>
    <row r="5052" spans="1:19" s="59" customFormat="1" ht="18.75" hidden="1" customHeight="1" thickBot="1" x14ac:dyDescent="0.3">
      <c r="A5052" s="59" t="s">
        <v>23</v>
      </c>
      <c r="B5052" s="60" t="str">
        <f t="shared" ref="B5052:B5053" si="3618">IF(K5052=0,"hide","")</f>
        <v>hide</v>
      </c>
      <c r="D5052" s="61" t="str">
        <f>"90448"</f>
        <v>90448</v>
      </c>
      <c r="E5052" s="62" t="str">
        <f>"1"</f>
        <v>1</v>
      </c>
      <c r="F5052" s="63">
        <v>594.08333333333337</v>
      </c>
      <c r="G5052" s="63">
        <v>273.58333333333337</v>
      </c>
      <c r="H5052" s="63">
        <v>0</v>
      </c>
      <c r="I5052" s="63">
        <v>0</v>
      </c>
      <c r="J5052" s="63">
        <v>0</v>
      </c>
      <c r="K5052" s="63">
        <f>AVERAGE(I5052:J5052)</f>
        <v>0</v>
      </c>
      <c r="L5052" s="64" t="str">
        <f>"PUMPKIN LOAF"</f>
        <v>PUMPKIN LOAF</v>
      </c>
      <c r="M5052" s="65" t="str">
        <f>"96-1.5 oz. IW"</f>
        <v>96-1.5 oz. IW</v>
      </c>
      <c r="N5052" s="66">
        <v>96</v>
      </c>
      <c r="O5052" s="67" t="str">
        <f>""</f>
        <v/>
      </c>
      <c r="P5052" s="68" t="e">
        <f>1/O5052</f>
        <v>#VALUE!</v>
      </c>
      <c r="Q5052" s="53">
        <v>1</v>
      </c>
      <c r="R5052" s="69">
        <f t="shared" ref="R5052" si="3619">1/Q5052</f>
        <v>1</v>
      </c>
      <c r="S5052" s="70">
        <f t="shared" ref="S5052" si="3620">R5052*N5052</f>
        <v>96</v>
      </c>
    </row>
    <row r="5053" spans="1:19" ht="15.6" hidden="1" customHeight="1" thickBot="1" x14ac:dyDescent="0.3">
      <c r="A5053" t="s">
        <v>23</v>
      </c>
      <c r="B5053" s="60" t="str">
        <f t="shared" si="3618"/>
        <v>hide</v>
      </c>
      <c r="D5053" s="48" t="str">
        <f>D5052</f>
        <v>90448</v>
      </c>
      <c r="E5053" s="7"/>
      <c r="F5053" s="27">
        <v>0</v>
      </c>
      <c r="G5053" s="27">
        <v>0</v>
      </c>
      <c r="H5053" s="27">
        <v>0</v>
      </c>
      <c r="I5053" s="27">
        <v>0</v>
      </c>
      <c r="J5053" s="27">
        <v>0</v>
      </c>
      <c r="K5053" s="63">
        <f>AVERAGE(I5053:J5053)</f>
        <v>0</v>
      </c>
      <c r="L5053" s="56" t="str">
        <f>"EQP-LAWPACK1"</f>
        <v>EQP-LAWPACK1</v>
      </c>
      <c r="M5053" s="14"/>
      <c r="N5053" s="15"/>
      <c r="O5053" s="12"/>
      <c r="P5053" s="34"/>
      <c r="Q5053" s="37"/>
      <c r="R5053" s="47"/>
      <c r="S5053" s="46"/>
    </row>
    <row r="5054" spans="1:19" ht="15.6" hidden="1" customHeight="1" thickBot="1" x14ac:dyDescent="0.3">
      <c r="A5054" t="s">
        <v>23</v>
      </c>
      <c r="B5054" s="60" t="str">
        <f t="shared" ref="B5054:B5056" si="3621">IF(K5054=0,"hide","")</f>
        <v>hide</v>
      </c>
      <c r="D5054" s="48" t="str">
        <f>D5053</f>
        <v>90448</v>
      </c>
      <c r="E5054" s="7"/>
      <c r="F5054" s="27">
        <v>0</v>
      </c>
      <c r="G5054" s="27">
        <v>0</v>
      </c>
      <c r="H5054" s="27">
        <v>0</v>
      </c>
      <c r="I5054" s="27">
        <v>0</v>
      </c>
      <c r="J5054" s="27">
        <v>0</v>
      </c>
      <c r="K5054" s="63">
        <f>AVERAGE(I5054:J5054)</f>
        <v>0</v>
      </c>
      <c r="L5054" s="56" t="str">
        <f>"EQP-LAWPACK2"</f>
        <v>EQP-LAWPACK2</v>
      </c>
      <c r="M5054" s="14"/>
      <c r="N5054" s="15"/>
      <c r="O5054" s="12"/>
      <c r="P5054" s="34"/>
      <c r="Q5054" s="37"/>
      <c r="R5054" s="47"/>
      <c r="S5054" s="46"/>
    </row>
    <row r="5055" spans="1:19" ht="15.6" hidden="1" customHeight="1" thickBot="1" x14ac:dyDescent="0.3">
      <c r="A5055" t="s">
        <v>23</v>
      </c>
      <c r="B5055" s="60" t="str">
        <f t="shared" si="3621"/>
        <v>hide</v>
      </c>
      <c r="D5055" s="48" t="str">
        <f>D5054</f>
        <v>90448</v>
      </c>
      <c r="E5055" s="7"/>
      <c r="F5055" s="27">
        <v>0</v>
      </c>
      <c r="G5055" s="27">
        <v>0</v>
      </c>
      <c r="H5055" s="27">
        <v>0</v>
      </c>
      <c r="I5055" s="27">
        <v>0</v>
      </c>
      <c r="J5055" s="27">
        <v>0</v>
      </c>
      <c r="K5055" s="63">
        <f>AVERAGE(I5055:J5055)</f>
        <v>0</v>
      </c>
      <c r="L5055" s="56" t="str">
        <f>"SW-COMAS-PACKL"</f>
        <v>SW-COMAS-PACKL</v>
      </c>
      <c r="M5055" s="14"/>
      <c r="N5055" s="15"/>
      <c r="O5055" s="12"/>
      <c r="P5055" s="34"/>
      <c r="Q5055" s="37"/>
      <c r="R5055" s="47"/>
      <c r="S5055" s="46"/>
    </row>
    <row r="5056" spans="1:19" ht="15.6" hidden="1" customHeight="1" thickBot="1" x14ac:dyDescent="0.3">
      <c r="A5056" t="s">
        <v>23</v>
      </c>
      <c r="B5056" s="60" t="str">
        <f t="shared" si="3621"/>
        <v>hide</v>
      </c>
      <c r="D5056" s="48" t="str">
        <f>D5055</f>
        <v>90448</v>
      </c>
      <c r="E5056" s="7"/>
      <c r="F5056" s="27">
        <v>0</v>
      </c>
      <c r="G5056" s="27">
        <v>0</v>
      </c>
      <c r="H5056" s="27">
        <v>0</v>
      </c>
      <c r="I5056" s="27">
        <v>0</v>
      </c>
      <c r="J5056" s="27">
        <v>0</v>
      </c>
      <c r="K5056" s="63">
        <f>AVERAGE(I5056:J5056)</f>
        <v>0</v>
      </c>
      <c r="L5056" s="56" t="str">
        <f>"SW-RISER-PACK"</f>
        <v>SW-RISER-PACK</v>
      </c>
      <c r="M5056" s="14"/>
      <c r="N5056" s="15"/>
      <c r="O5056" s="12"/>
      <c r="P5056" s="34"/>
      <c r="Q5056" s="37"/>
      <c r="R5056" s="47"/>
      <c r="S5056" s="46"/>
    </row>
    <row r="5057" spans="1:19" ht="12" hidden="1" customHeight="1" x14ac:dyDescent="0.3">
      <c r="A5057" s="35" t="s">
        <v>908</v>
      </c>
      <c r="B5057" s="49" t="str">
        <f>B5053</f>
        <v>hide</v>
      </c>
      <c r="N5057"/>
      <c r="Q5057" s="33"/>
    </row>
    <row r="5058" spans="1:19" ht="13.8" hidden="1" thickBot="1" x14ac:dyDescent="0.3">
      <c r="A5058" t="s">
        <v>23</v>
      </c>
      <c r="B5058" s="49" t="str">
        <f t="shared" ref="B5058" si="3622">B5057</f>
        <v>hide</v>
      </c>
      <c r="D5058" s="58"/>
      <c r="E5058" s="58"/>
      <c r="F5058" s="52">
        <f>SUM(F5053:F5057)</f>
        <v>0</v>
      </c>
      <c r="G5058" s="52">
        <f>SUM(G5053:G5057)</f>
        <v>0</v>
      </c>
      <c r="H5058" s="52">
        <f>SUM(H5053:H5057)</f>
        <v>0</v>
      </c>
      <c r="I5058" s="52">
        <f>SUM(I5053:I5057)</f>
        <v>0</v>
      </c>
      <c r="J5058" s="52">
        <f>SUM(J5053:J5057)</f>
        <v>0</v>
      </c>
      <c r="K5058" s="52"/>
      <c r="L5058" s="51" t="s">
        <v>4</v>
      </c>
      <c r="M5058" s="58"/>
      <c r="N5058" s="58"/>
      <c r="O5058" s="58"/>
      <c r="P5058" s="58"/>
      <c r="Q5058" s="58"/>
      <c r="R5058" s="58"/>
      <c r="S5058" s="58"/>
    </row>
    <row r="5059" spans="1:19" s="59" customFormat="1" ht="18.75" hidden="1" customHeight="1" thickBot="1" x14ac:dyDescent="0.3">
      <c r="A5059" s="59" t="s">
        <v>23</v>
      </c>
      <c r="B5059" s="60" t="str">
        <f t="shared" ref="B5059:B5060" si="3623">IF(K5059=0,"hide","")</f>
        <v>hide</v>
      </c>
      <c r="D5059" s="61" t="str">
        <f>"91129"</f>
        <v>91129</v>
      </c>
      <c r="E5059" s="62" t="str">
        <f>"5"</f>
        <v>5</v>
      </c>
      <c r="F5059" s="63">
        <v>0</v>
      </c>
      <c r="G5059" s="63">
        <v>0</v>
      </c>
      <c r="H5059" s="63">
        <v>0</v>
      </c>
      <c r="I5059" s="63">
        <v>0</v>
      </c>
      <c r="J5059" s="63">
        <v>0</v>
      </c>
      <c r="K5059" s="63">
        <f>AVERAGE(I5059:J5059)</f>
        <v>0</v>
      </c>
      <c r="L5059" s="64" t="str">
        <f>"PLAIN BAGELS SLICED"</f>
        <v>PLAIN BAGELS SLICED</v>
      </c>
      <c r="M5059" s="65" t="str">
        <f>"36-4 oz. 6-6 Pack"</f>
        <v>36-4 oz. 6-6 Pack</v>
      </c>
      <c r="N5059" s="66">
        <v>36</v>
      </c>
      <c r="O5059" s="67" t="str">
        <f>""</f>
        <v/>
      </c>
      <c r="P5059" s="68" t="e">
        <f>1/O5059</f>
        <v>#VALUE!</v>
      </c>
      <c r="Q5059" s="53">
        <v>1</v>
      </c>
      <c r="R5059" s="69">
        <f t="shared" ref="R5059" si="3624">1/Q5059</f>
        <v>1</v>
      </c>
      <c r="S5059" s="70">
        <f t="shared" ref="S5059" si="3625">R5059*N5059</f>
        <v>36</v>
      </c>
    </row>
    <row r="5060" spans="1:19" ht="15.6" hidden="1" customHeight="1" thickBot="1" x14ac:dyDescent="0.3">
      <c r="A5060" t="s">
        <v>23</v>
      </c>
      <c r="B5060" s="60" t="str">
        <f t="shared" si="3623"/>
        <v>hide</v>
      </c>
      <c r="D5060" s="48" t="str">
        <f>D5059</f>
        <v>91129</v>
      </c>
      <c r="E5060" s="7"/>
      <c r="F5060" s="27">
        <v>0</v>
      </c>
      <c r="G5060" s="27">
        <v>0</v>
      </c>
      <c r="H5060" s="27">
        <v>0</v>
      </c>
      <c r="I5060" s="27">
        <v>0</v>
      </c>
      <c r="J5060" s="27">
        <v>0</v>
      </c>
      <c r="K5060" s="63">
        <f>AVERAGE(I5060:J5060)</f>
        <v>0</v>
      </c>
      <c r="L5060" s="56" t="str">
        <f>"EQP-LAWPACK1"</f>
        <v>EQP-LAWPACK1</v>
      </c>
      <c r="M5060" s="14"/>
      <c r="N5060" s="15"/>
      <c r="O5060" s="12"/>
      <c r="P5060" s="34"/>
      <c r="Q5060" s="37"/>
      <c r="R5060" s="47"/>
      <c r="S5060" s="46"/>
    </row>
    <row r="5061" spans="1:19" ht="15.6" hidden="1" customHeight="1" thickBot="1" x14ac:dyDescent="0.3">
      <c r="A5061" t="s">
        <v>23</v>
      </c>
      <c r="B5061" s="60" t="str">
        <f t="shared" ref="B5061:B5063" si="3626">IF(K5061=0,"hide","")</f>
        <v>hide</v>
      </c>
      <c r="D5061" s="48" t="str">
        <f>D5060</f>
        <v>91129</v>
      </c>
      <c r="E5061" s="7"/>
      <c r="F5061" s="27">
        <v>0</v>
      </c>
      <c r="G5061" s="27">
        <v>0</v>
      </c>
      <c r="H5061" s="27">
        <v>0</v>
      </c>
      <c r="I5061" s="27">
        <v>0</v>
      </c>
      <c r="J5061" s="27">
        <v>0</v>
      </c>
      <c r="K5061" s="63">
        <f>AVERAGE(I5061:J5061)</f>
        <v>0</v>
      </c>
      <c r="L5061" s="56" t="str">
        <f>"EQP-LAWPACK2"</f>
        <v>EQP-LAWPACK2</v>
      </c>
      <c r="M5061" s="14"/>
      <c r="N5061" s="15"/>
      <c r="O5061" s="12"/>
      <c r="P5061" s="34"/>
      <c r="Q5061" s="37"/>
      <c r="R5061" s="47"/>
      <c r="S5061" s="46"/>
    </row>
    <row r="5062" spans="1:19" ht="15.6" hidden="1" customHeight="1" thickBot="1" x14ac:dyDescent="0.3">
      <c r="A5062" t="s">
        <v>23</v>
      </c>
      <c r="B5062" s="60" t="str">
        <f t="shared" si="3626"/>
        <v>hide</v>
      </c>
      <c r="D5062" s="48" t="str">
        <f>D5061</f>
        <v>91129</v>
      </c>
      <c r="E5062" s="7"/>
      <c r="F5062" s="27">
        <v>0</v>
      </c>
      <c r="G5062" s="27">
        <v>0</v>
      </c>
      <c r="H5062" s="27">
        <v>0</v>
      </c>
      <c r="I5062" s="27">
        <v>0</v>
      </c>
      <c r="J5062" s="27">
        <v>0</v>
      </c>
      <c r="K5062" s="63">
        <f>AVERAGE(I5062:J5062)</f>
        <v>0</v>
      </c>
      <c r="L5062" s="56" t="str">
        <f>"SW-COMAS-PACKL"</f>
        <v>SW-COMAS-PACKL</v>
      </c>
      <c r="M5062" s="14"/>
      <c r="N5062" s="15"/>
      <c r="O5062" s="12"/>
      <c r="P5062" s="34"/>
      <c r="Q5062" s="37"/>
      <c r="R5062" s="47"/>
      <c r="S5062" s="46"/>
    </row>
    <row r="5063" spans="1:19" ht="15.6" hidden="1" customHeight="1" thickBot="1" x14ac:dyDescent="0.3">
      <c r="A5063" t="s">
        <v>23</v>
      </c>
      <c r="B5063" s="60" t="str">
        <f t="shared" si="3626"/>
        <v>hide</v>
      </c>
      <c r="D5063" s="48" t="str">
        <f>D5062</f>
        <v>91129</v>
      </c>
      <c r="E5063" s="7"/>
      <c r="F5063" s="27">
        <v>0</v>
      </c>
      <c r="G5063" s="27">
        <v>0</v>
      </c>
      <c r="H5063" s="27">
        <v>0</v>
      </c>
      <c r="I5063" s="27">
        <v>0</v>
      </c>
      <c r="J5063" s="27">
        <v>0</v>
      </c>
      <c r="K5063" s="63">
        <f>AVERAGE(I5063:J5063)</f>
        <v>0</v>
      </c>
      <c r="L5063" s="56" t="str">
        <f>"SW-RISER-PACK"</f>
        <v>SW-RISER-PACK</v>
      </c>
      <c r="M5063" s="14"/>
      <c r="N5063" s="15"/>
      <c r="O5063" s="12"/>
      <c r="P5063" s="34"/>
      <c r="Q5063" s="37"/>
      <c r="R5063" s="47"/>
      <c r="S5063" s="46"/>
    </row>
    <row r="5064" spans="1:19" ht="12" hidden="1" customHeight="1" x14ac:dyDescent="0.3">
      <c r="A5064" s="35" t="s">
        <v>908</v>
      </c>
      <c r="B5064" s="49" t="str">
        <f>B5060</f>
        <v>hide</v>
      </c>
      <c r="N5064"/>
      <c r="Q5064" s="33"/>
    </row>
    <row r="5065" spans="1:19" ht="13.8" hidden="1" thickBot="1" x14ac:dyDescent="0.3">
      <c r="A5065" t="s">
        <v>23</v>
      </c>
      <c r="B5065" s="49" t="str">
        <f t="shared" ref="B5065" si="3627">B5064</f>
        <v>hide</v>
      </c>
      <c r="D5065" s="58"/>
      <c r="E5065" s="58"/>
      <c r="F5065" s="52">
        <f>SUM(F5060:F5064)</f>
        <v>0</v>
      </c>
      <c r="G5065" s="52">
        <f>SUM(G5060:G5064)</f>
        <v>0</v>
      </c>
      <c r="H5065" s="52">
        <f>SUM(H5060:H5064)</f>
        <v>0</v>
      </c>
      <c r="I5065" s="52">
        <f>SUM(I5060:I5064)</f>
        <v>0</v>
      </c>
      <c r="J5065" s="52">
        <f>SUM(J5060:J5064)</f>
        <v>0</v>
      </c>
      <c r="K5065" s="52"/>
      <c r="L5065" s="51" t="s">
        <v>4</v>
      </c>
      <c r="M5065" s="58"/>
      <c r="N5065" s="58"/>
      <c r="O5065" s="58"/>
      <c r="P5065" s="58"/>
      <c r="Q5065" s="58"/>
      <c r="R5065" s="58"/>
      <c r="S5065" s="58"/>
    </row>
    <row r="5066" spans="1:19" s="59" customFormat="1" ht="18.75" hidden="1" customHeight="1" thickBot="1" x14ac:dyDescent="0.3">
      <c r="A5066" s="59" t="s">
        <v>23</v>
      </c>
      <c r="B5066" s="60" t="str">
        <f t="shared" ref="B5066:B5067" si="3628">IF(K5066=0,"hide","")</f>
        <v>hide</v>
      </c>
      <c r="D5066" s="61" t="str">
        <f>"92134"</f>
        <v>92134</v>
      </c>
      <c r="E5066" s="62" t="str">
        <f>"1"</f>
        <v>1</v>
      </c>
      <c r="F5066" s="63">
        <v>0</v>
      </c>
      <c r="G5066" s="63">
        <v>0</v>
      </c>
      <c r="H5066" s="63">
        <v>0</v>
      </c>
      <c r="I5066" s="63">
        <v>0</v>
      </c>
      <c r="J5066" s="63">
        <v>0</v>
      </c>
      <c r="K5066" s="63">
        <f>AVERAGE(I5066:J5066)</f>
        <v>0</v>
      </c>
      <c r="L5066" s="64" t="str">
        <f>"Energy Loaf Harvest Corn"</f>
        <v>Energy Loaf Harvest Corn</v>
      </c>
      <c r="M5066" s="65" t="str">
        <f>"48-1.9 oz. 12-4pk"</f>
        <v>48-1.9 oz. 12-4pk</v>
      </c>
      <c r="N5066" s="66">
        <v>48</v>
      </c>
      <c r="O5066" s="67" t="str">
        <f>""</f>
        <v/>
      </c>
      <c r="P5066" s="68" t="e">
        <f>1/O5066</f>
        <v>#VALUE!</v>
      </c>
      <c r="Q5066" s="53">
        <v>1</v>
      </c>
      <c r="R5066" s="69">
        <f t="shared" ref="R5066" si="3629">1/Q5066</f>
        <v>1</v>
      </c>
      <c r="S5066" s="70">
        <f t="shared" ref="S5066" si="3630">R5066*N5066</f>
        <v>48</v>
      </c>
    </row>
    <row r="5067" spans="1:19" ht="15.6" hidden="1" customHeight="1" thickBot="1" x14ac:dyDescent="0.3">
      <c r="A5067" t="s">
        <v>23</v>
      </c>
      <c r="B5067" s="60" t="str">
        <f t="shared" si="3628"/>
        <v>hide</v>
      </c>
      <c r="D5067" s="48" t="str">
        <f>D5066</f>
        <v>92134</v>
      </c>
      <c r="E5067" s="7"/>
      <c r="F5067" s="27">
        <v>0</v>
      </c>
      <c r="G5067" s="27">
        <v>0</v>
      </c>
      <c r="H5067" s="27">
        <v>0</v>
      </c>
      <c r="I5067" s="27">
        <v>0</v>
      </c>
      <c r="J5067" s="27">
        <v>0</v>
      </c>
      <c r="K5067" s="63">
        <f>AVERAGE(I5067:J5067)</f>
        <v>0</v>
      </c>
      <c r="L5067" s="56" t="str">
        <f>"EQP-LAWPACK1"</f>
        <v>EQP-LAWPACK1</v>
      </c>
      <c r="M5067" s="14"/>
      <c r="N5067" s="15"/>
      <c r="O5067" s="12"/>
      <c r="P5067" s="34"/>
      <c r="Q5067" s="37"/>
      <c r="R5067" s="47"/>
      <c r="S5067" s="46"/>
    </row>
    <row r="5068" spans="1:19" ht="15.6" hidden="1" customHeight="1" thickBot="1" x14ac:dyDescent="0.3">
      <c r="A5068" t="s">
        <v>23</v>
      </c>
      <c r="B5068" s="60" t="str">
        <f t="shared" ref="B5068:B5070" si="3631">IF(K5068=0,"hide","")</f>
        <v>hide</v>
      </c>
      <c r="D5068" s="48" t="str">
        <f>D5067</f>
        <v>92134</v>
      </c>
      <c r="E5068" s="7"/>
      <c r="F5068" s="27">
        <v>0</v>
      </c>
      <c r="G5068" s="27">
        <v>0</v>
      </c>
      <c r="H5068" s="27">
        <v>0</v>
      </c>
      <c r="I5068" s="27">
        <v>0</v>
      </c>
      <c r="J5068" s="27">
        <v>0</v>
      </c>
      <c r="K5068" s="63">
        <f>AVERAGE(I5068:J5068)</f>
        <v>0</v>
      </c>
      <c r="L5068" s="56" t="str">
        <f>"EQP-LAWPACK2"</f>
        <v>EQP-LAWPACK2</v>
      </c>
      <c r="M5068" s="14"/>
      <c r="N5068" s="15"/>
      <c r="O5068" s="12"/>
      <c r="P5068" s="34"/>
      <c r="Q5068" s="37"/>
      <c r="R5068" s="47"/>
      <c r="S5068" s="46"/>
    </row>
    <row r="5069" spans="1:19" ht="15.6" hidden="1" customHeight="1" thickBot="1" x14ac:dyDescent="0.3">
      <c r="A5069" t="s">
        <v>23</v>
      </c>
      <c r="B5069" s="60" t="str">
        <f t="shared" si="3631"/>
        <v>hide</v>
      </c>
      <c r="D5069" s="48" t="str">
        <f>D5068</f>
        <v>92134</v>
      </c>
      <c r="E5069" s="7"/>
      <c r="F5069" s="27">
        <v>0</v>
      </c>
      <c r="G5069" s="27">
        <v>0</v>
      </c>
      <c r="H5069" s="27">
        <v>0</v>
      </c>
      <c r="I5069" s="27">
        <v>0</v>
      </c>
      <c r="J5069" s="27">
        <v>0</v>
      </c>
      <c r="K5069" s="63">
        <f>AVERAGE(I5069:J5069)</f>
        <v>0</v>
      </c>
      <c r="L5069" s="56" t="str">
        <f>"SW-COMAS-PACKL"</f>
        <v>SW-COMAS-PACKL</v>
      </c>
      <c r="M5069" s="14"/>
      <c r="N5069" s="15"/>
      <c r="O5069" s="12"/>
      <c r="P5069" s="34"/>
      <c r="Q5069" s="37"/>
      <c r="R5069" s="47"/>
      <c r="S5069" s="46"/>
    </row>
    <row r="5070" spans="1:19" ht="15.6" hidden="1" customHeight="1" thickBot="1" x14ac:dyDescent="0.3">
      <c r="A5070" t="s">
        <v>23</v>
      </c>
      <c r="B5070" s="60" t="str">
        <f t="shared" si="3631"/>
        <v>hide</v>
      </c>
      <c r="D5070" s="48" t="str">
        <f>D5069</f>
        <v>92134</v>
      </c>
      <c r="E5070" s="7"/>
      <c r="F5070" s="27">
        <v>0</v>
      </c>
      <c r="G5070" s="27">
        <v>0</v>
      </c>
      <c r="H5070" s="27">
        <v>0</v>
      </c>
      <c r="I5070" s="27">
        <v>0</v>
      </c>
      <c r="J5070" s="27">
        <v>0</v>
      </c>
      <c r="K5070" s="63">
        <f>AVERAGE(I5070:J5070)</f>
        <v>0</v>
      </c>
      <c r="L5070" s="56" t="str">
        <f>"SW-RISER-PACK"</f>
        <v>SW-RISER-PACK</v>
      </c>
      <c r="M5070" s="14"/>
      <c r="N5070" s="15"/>
      <c r="O5070" s="12"/>
      <c r="P5070" s="34"/>
      <c r="Q5070" s="37"/>
      <c r="R5070" s="47"/>
      <c r="S5070" s="46"/>
    </row>
    <row r="5071" spans="1:19" ht="12" hidden="1" customHeight="1" x14ac:dyDescent="0.3">
      <c r="A5071" s="35" t="s">
        <v>908</v>
      </c>
      <c r="B5071" s="49" t="str">
        <f>B5067</f>
        <v>hide</v>
      </c>
      <c r="N5071"/>
      <c r="Q5071" s="33"/>
    </row>
    <row r="5072" spans="1:19" ht="13.8" hidden="1" thickBot="1" x14ac:dyDescent="0.3">
      <c r="A5072" t="s">
        <v>23</v>
      </c>
      <c r="B5072" s="49" t="str">
        <f t="shared" ref="B5072" si="3632">B5071</f>
        <v>hide</v>
      </c>
      <c r="D5072" s="58"/>
      <c r="E5072" s="58"/>
      <c r="F5072" s="52">
        <f>SUM(F5067:F5071)</f>
        <v>0</v>
      </c>
      <c r="G5072" s="52">
        <f>SUM(G5067:G5071)</f>
        <v>0</v>
      </c>
      <c r="H5072" s="52">
        <f>SUM(H5067:H5071)</f>
        <v>0</v>
      </c>
      <c r="I5072" s="52">
        <f>SUM(I5067:I5071)</f>
        <v>0</v>
      </c>
      <c r="J5072" s="52">
        <f>SUM(J5067:J5071)</f>
        <v>0</v>
      </c>
      <c r="K5072" s="52"/>
      <c r="L5072" s="51" t="s">
        <v>4</v>
      </c>
      <c r="M5072" s="58"/>
      <c r="N5072" s="58"/>
      <c r="O5072" s="58"/>
      <c r="P5072" s="58"/>
      <c r="Q5072" s="58"/>
      <c r="R5072" s="58"/>
      <c r="S5072" s="58"/>
    </row>
    <row r="5073" spans="1:19" s="59" customFormat="1" ht="18.75" hidden="1" customHeight="1" thickBot="1" x14ac:dyDescent="0.3">
      <c r="A5073" s="59" t="s">
        <v>23</v>
      </c>
      <c r="B5073" s="60" t="str">
        <f t="shared" ref="B5073:B5074" si="3633">IF(K5073=0,"hide","")</f>
        <v>hide</v>
      </c>
      <c r="D5073" s="61" t="str">
        <f>"92154"</f>
        <v>92154</v>
      </c>
      <c r="E5073" s="62" t="str">
        <f>"1"</f>
        <v>1</v>
      </c>
      <c r="F5073" s="63">
        <v>0</v>
      </c>
      <c r="G5073" s="63">
        <v>0</v>
      </c>
      <c r="H5073" s="63">
        <v>0</v>
      </c>
      <c r="I5073" s="63">
        <v>0</v>
      </c>
      <c r="J5073" s="63">
        <v>0</v>
      </c>
      <c r="K5073" s="63">
        <f>AVERAGE(I5073:J5073)</f>
        <v>0</v>
      </c>
      <c r="L5073" s="64" t="str">
        <f>"Energy Loaf Apple Cinnamon"</f>
        <v>Energy Loaf Apple Cinnamon</v>
      </c>
      <c r="M5073" s="65" t="str">
        <f>"48-1.9 oz.  12-4pk"</f>
        <v>48-1.9 oz.  12-4pk</v>
      </c>
      <c r="N5073" s="66">
        <v>48</v>
      </c>
      <c r="O5073" s="67" t="str">
        <f>""</f>
        <v/>
      </c>
      <c r="P5073" s="68" t="e">
        <f>1/O5073</f>
        <v>#VALUE!</v>
      </c>
      <c r="Q5073" s="53">
        <v>1</v>
      </c>
      <c r="R5073" s="69">
        <f t="shared" ref="R5073" si="3634">1/Q5073</f>
        <v>1</v>
      </c>
      <c r="S5073" s="70">
        <f t="shared" ref="S5073" si="3635">R5073*N5073</f>
        <v>48</v>
      </c>
    </row>
    <row r="5074" spans="1:19" ht="15.6" hidden="1" customHeight="1" thickBot="1" x14ac:dyDescent="0.3">
      <c r="A5074" t="s">
        <v>23</v>
      </c>
      <c r="B5074" s="60" t="str">
        <f t="shared" si="3633"/>
        <v>hide</v>
      </c>
      <c r="D5074" s="48" t="str">
        <f>D5073</f>
        <v>92154</v>
      </c>
      <c r="E5074" s="7"/>
      <c r="F5074" s="27">
        <v>0</v>
      </c>
      <c r="G5074" s="27">
        <v>0</v>
      </c>
      <c r="H5074" s="27">
        <v>0</v>
      </c>
      <c r="I5074" s="27">
        <v>0</v>
      </c>
      <c r="J5074" s="27">
        <v>0</v>
      </c>
      <c r="K5074" s="63">
        <f>AVERAGE(I5074:J5074)</f>
        <v>0</v>
      </c>
      <c r="L5074" s="56" t="str">
        <f>"EQP-LAWPACK1"</f>
        <v>EQP-LAWPACK1</v>
      </c>
      <c r="M5074" s="14"/>
      <c r="N5074" s="15"/>
      <c r="O5074" s="12"/>
      <c r="P5074" s="34"/>
      <c r="Q5074" s="37"/>
      <c r="R5074" s="47"/>
      <c r="S5074" s="46"/>
    </row>
    <row r="5075" spans="1:19" ht="15.6" hidden="1" customHeight="1" thickBot="1" x14ac:dyDescent="0.3">
      <c r="A5075" t="s">
        <v>23</v>
      </c>
      <c r="B5075" s="60" t="str">
        <f t="shared" ref="B5075:B5077" si="3636">IF(K5075=0,"hide","")</f>
        <v>hide</v>
      </c>
      <c r="D5075" s="48" t="str">
        <f>D5074</f>
        <v>92154</v>
      </c>
      <c r="E5075" s="7"/>
      <c r="F5075" s="27">
        <v>0</v>
      </c>
      <c r="G5075" s="27">
        <v>0</v>
      </c>
      <c r="H5075" s="27">
        <v>0</v>
      </c>
      <c r="I5075" s="27">
        <v>0</v>
      </c>
      <c r="J5075" s="27">
        <v>0</v>
      </c>
      <c r="K5075" s="63">
        <f>AVERAGE(I5075:J5075)</f>
        <v>0</v>
      </c>
      <c r="L5075" s="56" t="str">
        <f>"EQP-LAWPACK2"</f>
        <v>EQP-LAWPACK2</v>
      </c>
      <c r="M5075" s="14"/>
      <c r="N5075" s="15"/>
      <c r="O5075" s="12"/>
      <c r="P5075" s="34"/>
      <c r="Q5075" s="37"/>
      <c r="R5075" s="47"/>
      <c r="S5075" s="46"/>
    </row>
    <row r="5076" spans="1:19" ht="15.6" hidden="1" customHeight="1" thickBot="1" x14ac:dyDescent="0.3">
      <c r="A5076" t="s">
        <v>23</v>
      </c>
      <c r="B5076" s="60" t="str">
        <f t="shared" si="3636"/>
        <v>hide</v>
      </c>
      <c r="D5076" s="48" t="str">
        <f>D5075</f>
        <v>92154</v>
      </c>
      <c r="E5076" s="7"/>
      <c r="F5076" s="27">
        <v>0</v>
      </c>
      <c r="G5076" s="27">
        <v>0</v>
      </c>
      <c r="H5076" s="27">
        <v>0</v>
      </c>
      <c r="I5076" s="27">
        <v>0</v>
      </c>
      <c r="J5076" s="27">
        <v>0</v>
      </c>
      <c r="K5076" s="63">
        <f>AVERAGE(I5076:J5076)</f>
        <v>0</v>
      </c>
      <c r="L5076" s="56" t="str">
        <f>"SW-COMAS-PACKL"</f>
        <v>SW-COMAS-PACKL</v>
      </c>
      <c r="M5076" s="14"/>
      <c r="N5076" s="15"/>
      <c r="O5076" s="12"/>
      <c r="P5076" s="34"/>
      <c r="Q5076" s="37"/>
      <c r="R5076" s="47"/>
      <c r="S5076" s="46"/>
    </row>
    <row r="5077" spans="1:19" ht="15.6" hidden="1" customHeight="1" thickBot="1" x14ac:dyDescent="0.3">
      <c r="A5077" t="s">
        <v>23</v>
      </c>
      <c r="B5077" s="60" t="str">
        <f t="shared" si="3636"/>
        <v>hide</v>
      </c>
      <c r="D5077" s="48" t="str">
        <f>D5076</f>
        <v>92154</v>
      </c>
      <c r="E5077" s="7"/>
      <c r="F5077" s="27">
        <v>0</v>
      </c>
      <c r="G5077" s="27">
        <v>0</v>
      </c>
      <c r="H5077" s="27">
        <v>0</v>
      </c>
      <c r="I5077" s="27">
        <v>0</v>
      </c>
      <c r="J5077" s="27">
        <v>0</v>
      </c>
      <c r="K5077" s="63">
        <f>AVERAGE(I5077:J5077)</f>
        <v>0</v>
      </c>
      <c r="L5077" s="56" t="str">
        <f>"SW-RISER-PACK"</f>
        <v>SW-RISER-PACK</v>
      </c>
      <c r="M5077" s="14"/>
      <c r="N5077" s="15"/>
      <c r="O5077" s="12"/>
      <c r="P5077" s="34"/>
      <c r="Q5077" s="37"/>
      <c r="R5077" s="47"/>
      <c r="S5077" s="46"/>
    </row>
    <row r="5078" spans="1:19" ht="12" hidden="1" customHeight="1" x14ac:dyDescent="0.3">
      <c r="A5078" s="35" t="s">
        <v>908</v>
      </c>
      <c r="B5078" s="49" t="str">
        <f>B5074</f>
        <v>hide</v>
      </c>
      <c r="N5078"/>
      <c r="Q5078" s="33"/>
    </row>
    <row r="5079" spans="1:19" ht="13.8" hidden="1" thickBot="1" x14ac:dyDescent="0.3">
      <c r="A5079" t="s">
        <v>23</v>
      </c>
      <c r="B5079" s="49" t="str">
        <f t="shared" ref="B5079" si="3637">B5078</f>
        <v>hide</v>
      </c>
      <c r="D5079" s="58"/>
      <c r="E5079" s="58"/>
      <c r="F5079" s="52">
        <f>SUM(F5074:F5078)</f>
        <v>0</v>
      </c>
      <c r="G5079" s="52">
        <f>SUM(G5074:G5078)</f>
        <v>0</v>
      </c>
      <c r="H5079" s="52">
        <f>SUM(H5074:H5078)</f>
        <v>0</v>
      </c>
      <c r="I5079" s="52">
        <f>SUM(I5074:I5078)</f>
        <v>0</v>
      </c>
      <c r="J5079" s="52">
        <f>SUM(J5074:J5078)</f>
        <v>0</v>
      </c>
      <c r="K5079" s="52"/>
      <c r="L5079" s="51" t="s">
        <v>4</v>
      </c>
      <c r="M5079" s="58"/>
      <c r="N5079" s="58"/>
      <c r="O5079" s="58"/>
      <c r="P5079" s="58"/>
      <c r="Q5079" s="58"/>
      <c r="R5079" s="58"/>
      <c r="S5079" s="58"/>
    </row>
    <row r="5080" spans="1:19" s="59" customFormat="1" ht="18.75" hidden="1" customHeight="1" thickBot="1" x14ac:dyDescent="0.3">
      <c r="A5080" s="59" t="s">
        <v>23</v>
      </c>
      <c r="B5080" s="60" t="str">
        <f t="shared" ref="B5080:B5081" si="3638">IF(K5080=0,"hide","")</f>
        <v>hide</v>
      </c>
      <c r="D5080" s="61" t="str">
        <f>"92164"</f>
        <v>92164</v>
      </c>
      <c r="E5080" s="62" t="str">
        <f>"1"</f>
        <v>1</v>
      </c>
      <c r="F5080" s="63">
        <v>0</v>
      </c>
      <c r="G5080" s="63">
        <v>0</v>
      </c>
      <c r="H5080" s="63">
        <v>0</v>
      </c>
      <c r="I5080" s="63">
        <v>0</v>
      </c>
      <c r="J5080" s="63">
        <v>0</v>
      </c>
      <c r="K5080" s="63">
        <f>AVERAGE(I5080:J5080)</f>
        <v>0</v>
      </c>
      <c r="L5080" s="64" t="str">
        <f>"Energy Loaf Banana Nut"</f>
        <v>Energy Loaf Banana Nut</v>
      </c>
      <c r="M5080" s="65" t="str">
        <f>"48-1.9 oz.  12-4pk"</f>
        <v>48-1.9 oz.  12-4pk</v>
      </c>
      <c r="N5080" s="66">
        <v>48</v>
      </c>
      <c r="O5080" s="67" t="str">
        <f>""</f>
        <v/>
      </c>
      <c r="P5080" s="68" t="e">
        <f>1/O5080</f>
        <v>#VALUE!</v>
      </c>
      <c r="Q5080" s="53">
        <v>1</v>
      </c>
      <c r="R5080" s="69">
        <f t="shared" ref="R5080" si="3639">1/Q5080</f>
        <v>1</v>
      </c>
      <c r="S5080" s="70">
        <f t="shared" ref="S5080" si="3640">R5080*N5080</f>
        <v>48</v>
      </c>
    </row>
    <row r="5081" spans="1:19" ht="15.6" hidden="1" customHeight="1" thickBot="1" x14ac:dyDescent="0.3">
      <c r="A5081" t="s">
        <v>23</v>
      </c>
      <c r="B5081" s="60" t="str">
        <f t="shared" si="3638"/>
        <v>hide</v>
      </c>
      <c r="D5081" s="48" t="str">
        <f>D5080</f>
        <v>92164</v>
      </c>
      <c r="E5081" s="7"/>
      <c r="F5081" s="27">
        <v>0</v>
      </c>
      <c r="G5081" s="27">
        <v>0</v>
      </c>
      <c r="H5081" s="27">
        <v>0</v>
      </c>
      <c r="I5081" s="27">
        <v>0</v>
      </c>
      <c r="J5081" s="27">
        <v>0</v>
      </c>
      <c r="K5081" s="63">
        <f>AVERAGE(I5081:J5081)</f>
        <v>0</v>
      </c>
      <c r="L5081" s="56" t="str">
        <f>"EQP-LAWPACK1"</f>
        <v>EQP-LAWPACK1</v>
      </c>
      <c r="M5081" s="14"/>
      <c r="N5081" s="15"/>
      <c r="O5081" s="12"/>
      <c r="P5081" s="34"/>
      <c r="Q5081" s="37"/>
      <c r="R5081" s="47"/>
      <c r="S5081" s="46"/>
    </row>
    <row r="5082" spans="1:19" ht="15.6" hidden="1" customHeight="1" thickBot="1" x14ac:dyDescent="0.3">
      <c r="A5082" t="s">
        <v>23</v>
      </c>
      <c r="B5082" s="60" t="str">
        <f t="shared" ref="B5082:B5084" si="3641">IF(K5082=0,"hide","")</f>
        <v>hide</v>
      </c>
      <c r="D5082" s="48" t="str">
        <f>D5081</f>
        <v>92164</v>
      </c>
      <c r="E5082" s="7"/>
      <c r="F5082" s="27">
        <v>0</v>
      </c>
      <c r="G5082" s="27">
        <v>0</v>
      </c>
      <c r="H5082" s="27">
        <v>0</v>
      </c>
      <c r="I5082" s="27">
        <v>0</v>
      </c>
      <c r="J5082" s="27">
        <v>0</v>
      </c>
      <c r="K5082" s="63">
        <f>AVERAGE(I5082:J5082)</f>
        <v>0</v>
      </c>
      <c r="L5082" s="56" t="str">
        <f>"EQP-LAWPACK2"</f>
        <v>EQP-LAWPACK2</v>
      </c>
      <c r="M5082" s="14"/>
      <c r="N5082" s="15"/>
      <c r="O5082" s="12"/>
      <c r="P5082" s="34"/>
      <c r="Q5082" s="37"/>
      <c r="R5082" s="47"/>
      <c r="S5082" s="46"/>
    </row>
    <row r="5083" spans="1:19" ht="15.6" hidden="1" customHeight="1" thickBot="1" x14ac:dyDescent="0.3">
      <c r="A5083" t="s">
        <v>23</v>
      </c>
      <c r="B5083" s="60" t="str">
        <f t="shared" si="3641"/>
        <v>hide</v>
      </c>
      <c r="D5083" s="48" t="str">
        <f>D5082</f>
        <v>92164</v>
      </c>
      <c r="E5083" s="7"/>
      <c r="F5083" s="27">
        <v>0</v>
      </c>
      <c r="G5083" s="27">
        <v>0</v>
      </c>
      <c r="H5083" s="27">
        <v>0</v>
      </c>
      <c r="I5083" s="27">
        <v>0</v>
      </c>
      <c r="J5083" s="27">
        <v>0</v>
      </c>
      <c r="K5083" s="63">
        <f>AVERAGE(I5083:J5083)</f>
        <v>0</v>
      </c>
      <c r="L5083" s="56" t="str">
        <f>"SW-COMAS-PACKL"</f>
        <v>SW-COMAS-PACKL</v>
      </c>
      <c r="M5083" s="14"/>
      <c r="N5083" s="15"/>
      <c r="O5083" s="12"/>
      <c r="P5083" s="34"/>
      <c r="Q5083" s="37"/>
      <c r="R5083" s="47"/>
      <c r="S5083" s="46"/>
    </row>
    <row r="5084" spans="1:19" ht="15.6" hidden="1" customHeight="1" thickBot="1" x14ac:dyDescent="0.3">
      <c r="A5084" t="s">
        <v>23</v>
      </c>
      <c r="B5084" s="60" t="str">
        <f t="shared" si="3641"/>
        <v>hide</v>
      </c>
      <c r="D5084" s="48" t="str">
        <f>D5083</f>
        <v>92164</v>
      </c>
      <c r="E5084" s="7"/>
      <c r="F5084" s="27">
        <v>0</v>
      </c>
      <c r="G5084" s="27">
        <v>0</v>
      </c>
      <c r="H5084" s="27">
        <v>0</v>
      </c>
      <c r="I5084" s="27">
        <v>0</v>
      </c>
      <c r="J5084" s="27">
        <v>0</v>
      </c>
      <c r="K5084" s="63">
        <f>AVERAGE(I5084:J5084)</f>
        <v>0</v>
      </c>
      <c r="L5084" s="56" t="str">
        <f>"SW-RISER-PACK"</f>
        <v>SW-RISER-PACK</v>
      </c>
      <c r="M5084" s="14"/>
      <c r="N5084" s="15"/>
      <c r="O5084" s="12"/>
      <c r="P5084" s="34"/>
      <c r="Q5084" s="37"/>
      <c r="R5084" s="47"/>
      <c r="S5084" s="46"/>
    </row>
    <row r="5085" spans="1:19" ht="12" hidden="1" customHeight="1" x14ac:dyDescent="0.3">
      <c r="A5085" s="35" t="s">
        <v>908</v>
      </c>
      <c r="B5085" s="49" t="str">
        <f>B5081</f>
        <v>hide</v>
      </c>
      <c r="N5085"/>
      <c r="Q5085" s="33"/>
    </row>
    <row r="5086" spans="1:19" ht="13.8" hidden="1" thickBot="1" x14ac:dyDescent="0.3">
      <c r="A5086" t="s">
        <v>23</v>
      </c>
      <c r="B5086" s="49" t="str">
        <f t="shared" ref="B5086" si="3642">B5085</f>
        <v>hide</v>
      </c>
      <c r="D5086" s="58"/>
      <c r="E5086" s="58"/>
      <c r="F5086" s="52">
        <f>SUM(F5081:F5085)</f>
        <v>0</v>
      </c>
      <c r="G5086" s="52">
        <f>SUM(G5081:G5085)</f>
        <v>0</v>
      </c>
      <c r="H5086" s="52">
        <f>SUM(H5081:H5085)</f>
        <v>0</v>
      </c>
      <c r="I5086" s="52">
        <f>SUM(I5081:I5085)</f>
        <v>0</v>
      </c>
      <c r="J5086" s="52">
        <f>SUM(J5081:J5085)</f>
        <v>0</v>
      </c>
      <c r="K5086" s="52"/>
      <c r="L5086" s="51" t="s">
        <v>4</v>
      </c>
      <c r="M5086" s="58"/>
      <c r="N5086" s="58"/>
      <c r="O5086" s="58"/>
      <c r="P5086" s="58"/>
      <c r="Q5086" s="58"/>
      <c r="R5086" s="58"/>
      <c r="S5086" s="58"/>
    </row>
    <row r="5087" spans="1:19" s="59" customFormat="1" ht="18.75" hidden="1" customHeight="1" thickBot="1" x14ac:dyDescent="0.3">
      <c r="A5087" s="59" t="s">
        <v>23</v>
      </c>
      <c r="B5087" s="60" t="str">
        <f t="shared" ref="B5087:B5088" si="3643">IF(K5087=0,"hide","")</f>
        <v>hide</v>
      </c>
      <c r="D5087" s="61" t="str">
        <f>"92813"</f>
        <v>92813</v>
      </c>
      <c r="E5087" s="62" t="str">
        <f>"1"</f>
        <v>1</v>
      </c>
      <c r="F5087" s="63">
        <v>0</v>
      </c>
      <c r="G5087" s="63">
        <v>0</v>
      </c>
      <c r="H5087" s="63">
        <v>0</v>
      </c>
      <c r="I5087" s="63">
        <v>0</v>
      </c>
      <c r="J5087" s="63">
        <v>0</v>
      </c>
      <c r="K5087" s="63">
        <f>AVERAGE(I5087:J5087)</f>
        <v>0</v>
      </c>
      <c r="L5087" s="64" t="str">
        <f>"Yellow Pudding Cupcake"</f>
        <v>Yellow Pudding Cupcake</v>
      </c>
      <c r="M5087" s="65" t="str">
        <f>"60-4oz. 4 trays of 15"</f>
        <v>60-4oz. 4 trays of 15</v>
      </c>
      <c r="N5087" s="66">
        <v>60</v>
      </c>
      <c r="O5087" s="67" t="str">
        <f>""</f>
        <v/>
      </c>
      <c r="P5087" s="68" t="e">
        <f>1/O5087</f>
        <v>#VALUE!</v>
      </c>
      <c r="Q5087" s="53">
        <v>1</v>
      </c>
      <c r="R5087" s="69">
        <f t="shared" ref="R5087" si="3644">1/Q5087</f>
        <v>1</v>
      </c>
      <c r="S5087" s="70">
        <f t="shared" ref="S5087" si="3645">R5087*N5087</f>
        <v>60</v>
      </c>
    </row>
    <row r="5088" spans="1:19" ht="15.6" hidden="1" customHeight="1" thickBot="1" x14ac:dyDescent="0.3">
      <c r="A5088" t="s">
        <v>23</v>
      </c>
      <c r="B5088" s="60" t="str">
        <f t="shared" si="3643"/>
        <v>hide</v>
      </c>
      <c r="D5088" s="48" t="str">
        <f>D5087</f>
        <v>92813</v>
      </c>
      <c r="E5088" s="7"/>
      <c r="F5088" s="27">
        <v>0</v>
      </c>
      <c r="G5088" s="27">
        <v>0</v>
      </c>
      <c r="H5088" s="27">
        <v>0</v>
      </c>
      <c r="I5088" s="27">
        <v>0</v>
      </c>
      <c r="J5088" s="27">
        <v>0</v>
      </c>
      <c r="K5088" s="63">
        <f>AVERAGE(I5088:J5088)</f>
        <v>0</v>
      </c>
      <c r="L5088" s="56" t="str">
        <f>"EQP-LAWPACK1"</f>
        <v>EQP-LAWPACK1</v>
      </c>
      <c r="M5088" s="14"/>
      <c r="N5088" s="15"/>
      <c r="O5088" s="12"/>
      <c r="P5088" s="34"/>
      <c r="Q5088" s="37"/>
      <c r="R5088" s="47"/>
      <c r="S5088" s="46"/>
    </row>
    <row r="5089" spans="1:19" ht="15.6" hidden="1" customHeight="1" thickBot="1" x14ac:dyDescent="0.3">
      <c r="A5089" t="s">
        <v>23</v>
      </c>
      <c r="B5089" s="60" t="str">
        <f t="shared" ref="B5089:B5091" si="3646">IF(K5089=0,"hide","")</f>
        <v>hide</v>
      </c>
      <c r="D5089" s="48" t="str">
        <f>D5088</f>
        <v>92813</v>
      </c>
      <c r="E5089" s="7"/>
      <c r="F5089" s="27">
        <v>0</v>
      </c>
      <c r="G5089" s="27">
        <v>0</v>
      </c>
      <c r="H5089" s="27">
        <v>0</v>
      </c>
      <c r="I5089" s="27">
        <v>0</v>
      </c>
      <c r="J5089" s="27">
        <v>0</v>
      </c>
      <c r="K5089" s="63">
        <f>AVERAGE(I5089:J5089)</f>
        <v>0</v>
      </c>
      <c r="L5089" s="56" t="str">
        <f>"EQP-LAWPACK2"</f>
        <v>EQP-LAWPACK2</v>
      </c>
      <c r="M5089" s="14"/>
      <c r="N5089" s="15"/>
      <c r="O5089" s="12"/>
      <c r="P5089" s="34"/>
      <c r="Q5089" s="37"/>
      <c r="R5089" s="47"/>
      <c r="S5089" s="46"/>
    </row>
    <row r="5090" spans="1:19" ht="15.6" hidden="1" customHeight="1" thickBot="1" x14ac:dyDescent="0.3">
      <c r="A5090" t="s">
        <v>23</v>
      </c>
      <c r="B5090" s="60" t="str">
        <f t="shared" si="3646"/>
        <v>hide</v>
      </c>
      <c r="D5090" s="48" t="str">
        <f>D5089</f>
        <v>92813</v>
      </c>
      <c r="E5090" s="7"/>
      <c r="F5090" s="27">
        <v>0</v>
      </c>
      <c r="G5090" s="27">
        <v>0</v>
      </c>
      <c r="H5090" s="27">
        <v>0</v>
      </c>
      <c r="I5090" s="27">
        <v>0</v>
      </c>
      <c r="J5090" s="27">
        <v>0</v>
      </c>
      <c r="K5090" s="63">
        <f>AVERAGE(I5090:J5090)</f>
        <v>0</v>
      </c>
      <c r="L5090" s="56" t="str">
        <f>"SW-COMAS-PACKL"</f>
        <v>SW-COMAS-PACKL</v>
      </c>
      <c r="M5090" s="14"/>
      <c r="N5090" s="15"/>
      <c r="O5090" s="12"/>
      <c r="P5090" s="34"/>
      <c r="Q5090" s="37"/>
      <c r="R5090" s="47"/>
      <c r="S5090" s="46"/>
    </row>
    <row r="5091" spans="1:19" ht="15.6" hidden="1" customHeight="1" thickBot="1" x14ac:dyDescent="0.3">
      <c r="A5091" t="s">
        <v>23</v>
      </c>
      <c r="B5091" s="60" t="str">
        <f t="shared" si="3646"/>
        <v>hide</v>
      </c>
      <c r="D5091" s="48" t="str">
        <f>D5090</f>
        <v>92813</v>
      </c>
      <c r="E5091" s="7"/>
      <c r="F5091" s="27">
        <v>0</v>
      </c>
      <c r="G5091" s="27">
        <v>0</v>
      </c>
      <c r="H5091" s="27">
        <v>0</v>
      </c>
      <c r="I5091" s="27">
        <v>0</v>
      </c>
      <c r="J5091" s="27">
        <v>0</v>
      </c>
      <c r="K5091" s="63">
        <f>AVERAGE(I5091:J5091)</f>
        <v>0</v>
      </c>
      <c r="L5091" s="56" t="str">
        <f>"SW-RISER-PACK"</f>
        <v>SW-RISER-PACK</v>
      </c>
      <c r="M5091" s="14"/>
      <c r="N5091" s="15"/>
      <c r="O5091" s="12"/>
      <c r="P5091" s="34"/>
      <c r="Q5091" s="37"/>
      <c r="R5091" s="47"/>
      <c r="S5091" s="46"/>
    </row>
    <row r="5092" spans="1:19" ht="12" hidden="1" customHeight="1" x14ac:dyDescent="0.3">
      <c r="A5092" s="35" t="s">
        <v>908</v>
      </c>
      <c r="B5092" s="49" t="str">
        <f>B5088</f>
        <v>hide</v>
      </c>
      <c r="N5092"/>
      <c r="Q5092" s="33"/>
    </row>
    <row r="5093" spans="1:19" ht="13.8" hidden="1" thickBot="1" x14ac:dyDescent="0.3">
      <c r="A5093" t="s">
        <v>23</v>
      </c>
      <c r="B5093" s="49" t="str">
        <f t="shared" ref="B5093" si="3647">B5092</f>
        <v>hide</v>
      </c>
      <c r="D5093" s="58"/>
      <c r="E5093" s="58"/>
      <c r="F5093" s="52">
        <f>SUM(F5088:F5092)</f>
        <v>0</v>
      </c>
      <c r="G5093" s="52">
        <f>SUM(G5088:G5092)</f>
        <v>0</v>
      </c>
      <c r="H5093" s="52">
        <f>SUM(H5088:H5092)</f>
        <v>0</v>
      </c>
      <c r="I5093" s="52">
        <f>SUM(I5088:I5092)</f>
        <v>0</v>
      </c>
      <c r="J5093" s="52">
        <f>SUM(J5088:J5092)</f>
        <v>0</v>
      </c>
      <c r="K5093" s="52"/>
      <c r="L5093" s="51" t="s">
        <v>4</v>
      </c>
      <c r="M5093" s="58"/>
      <c r="N5093" s="58"/>
      <c r="O5093" s="58"/>
      <c r="P5093" s="58"/>
      <c r="Q5093" s="58"/>
      <c r="R5093" s="58"/>
      <c r="S5093" s="58"/>
    </row>
    <row r="5094" spans="1:19" s="59" customFormat="1" ht="18.75" hidden="1" customHeight="1" thickBot="1" x14ac:dyDescent="0.3">
      <c r="A5094" s="59" t="s">
        <v>23</v>
      </c>
      <c r="B5094" s="60" t="str">
        <f t="shared" ref="B5094:B5095" si="3648">IF(K5094=0,"hide","")</f>
        <v>hide</v>
      </c>
      <c r="D5094" s="61" t="str">
        <f>"92830"</f>
        <v>92830</v>
      </c>
      <c r="E5094" s="62" t="str">
        <f>"1"</f>
        <v>1</v>
      </c>
      <c r="F5094" s="63">
        <v>0</v>
      </c>
      <c r="G5094" s="63">
        <v>0</v>
      </c>
      <c r="H5094" s="63">
        <v>0</v>
      </c>
      <c r="I5094" s="63">
        <v>0</v>
      </c>
      <c r="J5094" s="63">
        <v>0</v>
      </c>
      <c r="K5094" s="63">
        <f>AVERAGE(I5094:J5094)</f>
        <v>0</v>
      </c>
      <c r="L5094" s="64" t="str">
        <f>"Chocolate Cupcake"</f>
        <v>Chocolate Cupcake</v>
      </c>
      <c r="M5094" s="65" t="str">
        <f>"60-4oz. 4 trays of 15"</f>
        <v>60-4oz. 4 trays of 15</v>
      </c>
      <c r="N5094" s="66">
        <v>60</v>
      </c>
      <c r="O5094" s="67" t="str">
        <f>""</f>
        <v/>
      </c>
      <c r="P5094" s="68" t="e">
        <f>1/O5094</f>
        <v>#VALUE!</v>
      </c>
      <c r="Q5094" s="53">
        <v>1</v>
      </c>
      <c r="R5094" s="69">
        <f t="shared" ref="R5094" si="3649">1/Q5094</f>
        <v>1</v>
      </c>
      <c r="S5094" s="70">
        <f t="shared" ref="S5094" si="3650">R5094*N5094</f>
        <v>60</v>
      </c>
    </row>
    <row r="5095" spans="1:19" ht="15.6" hidden="1" customHeight="1" thickBot="1" x14ac:dyDescent="0.3">
      <c r="A5095" t="s">
        <v>23</v>
      </c>
      <c r="B5095" s="60" t="str">
        <f t="shared" si="3648"/>
        <v>hide</v>
      </c>
      <c r="D5095" s="48" t="str">
        <f>D5094</f>
        <v>92830</v>
      </c>
      <c r="E5095" s="7"/>
      <c r="F5095" s="27">
        <v>0</v>
      </c>
      <c r="G5095" s="27">
        <v>0</v>
      </c>
      <c r="H5095" s="27">
        <v>0</v>
      </c>
      <c r="I5095" s="27">
        <v>0</v>
      </c>
      <c r="J5095" s="27">
        <v>0</v>
      </c>
      <c r="K5095" s="63">
        <f>AVERAGE(I5095:J5095)</f>
        <v>0</v>
      </c>
      <c r="L5095" s="56" t="str">
        <f>"EQP-LAWPACK1"</f>
        <v>EQP-LAWPACK1</v>
      </c>
      <c r="M5095" s="14"/>
      <c r="N5095" s="15"/>
      <c r="O5095" s="12"/>
      <c r="P5095" s="34"/>
      <c r="Q5095" s="37"/>
      <c r="R5095" s="47"/>
      <c r="S5095" s="46"/>
    </row>
    <row r="5096" spans="1:19" ht="15.6" hidden="1" customHeight="1" thickBot="1" x14ac:dyDescent="0.3">
      <c r="A5096" t="s">
        <v>23</v>
      </c>
      <c r="B5096" s="60" t="str">
        <f t="shared" ref="B5096:B5098" si="3651">IF(K5096=0,"hide","")</f>
        <v>hide</v>
      </c>
      <c r="D5096" s="48" t="str">
        <f>D5095</f>
        <v>92830</v>
      </c>
      <c r="E5096" s="7"/>
      <c r="F5096" s="27">
        <v>0</v>
      </c>
      <c r="G5096" s="27">
        <v>0</v>
      </c>
      <c r="H5096" s="27">
        <v>0</v>
      </c>
      <c r="I5096" s="27">
        <v>0</v>
      </c>
      <c r="J5096" s="27">
        <v>0</v>
      </c>
      <c r="K5096" s="63">
        <f>AVERAGE(I5096:J5096)</f>
        <v>0</v>
      </c>
      <c r="L5096" s="56" t="str">
        <f>"EQP-LAWPACK2"</f>
        <v>EQP-LAWPACK2</v>
      </c>
      <c r="M5096" s="14"/>
      <c r="N5096" s="15"/>
      <c r="O5096" s="12"/>
      <c r="P5096" s="34"/>
      <c r="Q5096" s="37"/>
      <c r="R5096" s="47"/>
      <c r="S5096" s="46"/>
    </row>
    <row r="5097" spans="1:19" ht="15.6" hidden="1" customHeight="1" thickBot="1" x14ac:dyDescent="0.3">
      <c r="A5097" t="s">
        <v>23</v>
      </c>
      <c r="B5097" s="60" t="str">
        <f t="shared" si="3651"/>
        <v>hide</v>
      </c>
      <c r="D5097" s="48" t="str">
        <f>D5096</f>
        <v>92830</v>
      </c>
      <c r="E5097" s="7"/>
      <c r="F5097" s="27">
        <v>0</v>
      </c>
      <c r="G5097" s="27">
        <v>0</v>
      </c>
      <c r="H5097" s="27">
        <v>0</v>
      </c>
      <c r="I5097" s="27">
        <v>0</v>
      </c>
      <c r="J5097" s="27">
        <v>0</v>
      </c>
      <c r="K5097" s="63">
        <f>AVERAGE(I5097:J5097)</f>
        <v>0</v>
      </c>
      <c r="L5097" s="56" t="str">
        <f>"SW-COMAS-PACKL"</f>
        <v>SW-COMAS-PACKL</v>
      </c>
      <c r="M5097" s="14"/>
      <c r="N5097" s="15"/>
      <c r="O5097" s="12"/>
      <c r="P5097" s="34"/>
      <c r="Q5097" s="37"/>
      <c r="R5097" s="47"/>
      <c r="S5097" s="46"/>
    </row>
    <row r="5098" spans="1:19" ht="15.6" hidden="1" customHeight="1" thickBot="1" x14ac:dyDescent="0.3">
      <c r="A5098" t="s">
        <v>23</v>
      </c>
      <c r="B5098" s="60" t="str">
        <f t="shared" si="3651"/>
        <v>hide</v>
      </c>
      <c r="D5098" s="48" t="str">
        <f>D5097</f>
        <v>92830</v>
      </c>
      <c r="E5098" s="7"/>
      <c r="F5098" s="27">
        <v>0</v>
      </c>
      <c r="G5098" s="27">
        <v>0</v>
      </c>
      <c r="H5098" s="27">
        <v>0</v>
      </c>
      <c r="I5098" s="27">
        <v>0</v>
      </c>
      <c r="J5098" s="27">
        <v>0</v>
      </c>
      <c r="K5098" s="63">
        <f>AVERAGE(I5098:J5098)</f>
        <v>0</v>
      </c>
      <c r="L5098" s="56" t="str">
        <f>"SW-RISER-PACK"</f>
        <v>SW-RISER-PACK</v>
      </c>
      <c r="M5098" s="14"/>
      <c r="N5098" s="15"/>
      <c r="O5098" s="12"/>
      <c r="P5098" s="34"/>
      <c r="Q5098" s="37"/>
      <c r="R5098" s="47"/>
      <c r="S5098" s="46"/>
    </row>
    <row r="5099" spans="1:19" ht="12" hidden="1" customHeight="1" x14ac:dyDescent="0.3">
      <c r="A5099" s="35" t="s">
        <v>908</v>
      </c>
      <c r="B5099" s="49" t="str">
        <f>B5095</f>
        <v>hide</v>
      </c>
      <c r="N5099"/>
      <c r="Q5099" s="33"/>
    </row>
    <row r="5100" spans="1:19" ht="13.8" hidden="1" thickBot="1" x14ac:dyDescent="0.3">
      <c r="A5100" t="s">
        <v>23</v>
      </c>
      <c r="B5100" s="49" t="str">
        <f t="shared" ref="B5100" si="3652">B5099</f>
        <v>hide</v>
      </c>
      <c r="D5100" s="58"/>
      <c r="E5100" s="58"/>
      <c r="F5100" s="52">
        <f>SUM(F5095:F5099)</f>
        <v>0</v>
      </c>
      <c r="G5100" s="52">
        <f>SUM(G5095:G5099)</f>
        <v>0</v>
      </c>
      <c r="H5100" s="52">
        <f>SUM(H5095:H5099)</f>
        <v>0</v>
      </c>
      <c r="I5100" s="52">
        <f>SUM(I5095:I5099)</f>
        <v>0</v>
      </c>
      <c r="J5100" s="52">
        <f>SUM(J5095:J5099)</f>
        <v>0</v>
      </c>
      <c r="K5100" s="52"/>
      <c r="L5100" s="51" t="s">
        <v>4</v>
      </c>
      <c r="M5100" s="58"/>
      <c r="N5100" s="58"/>
      <c r="O5100" s="58"/>
      <c r="P5100" s="58"/>
      <c r="Q5100" s="58"/>
      <c r="R5100" s="58"/>
      <c r="S5100" s="58"/>
    </row>
    <row r="5101" spans="1:19" s="59" customFormat="1" ht="18.75" hidden="1" customHeight="1" thickBot="1" x14ac:dyDescent="0.3">
      <c r="A5101" s="59" t="s">
        <v>23</v>
      </c>
      <c r="B5101" s="60" t="str">
        <f t="shared" ref="B5101:B5102" si="3653">IF(K5101=0,"hide","")</f>
        <v>hide</v>
      </c>
      <c r="D5101" s="61" t="str">
        <f>"92858"</f>
        <v>92858</v>
      </c>
      <c r="E5101" s="62" t="str">
        <f>"1"</f>
        <v>1</v>
      </c>
      <c r="F5101" s="63">
        <v>0</v>
      </c>
      <c r="G5101" s="63">
        <v>0</v>
      </c>
      <c r="H5101" s="63">
        <v>0</v>
      </c>
      <c r="I5101" s="63">
        <v>0</v>
      </c>
      <c r="J5101" s="63">
        <v>0</v>
      </c>
      <c r="K5101" s="63">
        <f>AVERAGE(I5101:J5101)</f>
        <v>0</v>
      </c>
      <c r="L5101" s="64" t="str">
        <f>"Red Velvet Cupcake"</f>
        <v>Red Velvet Cupcake</v>
      </c>
      <c r="M5101" s="65" t="str">
        <f>"60-4oz. 4 trays of 15"</f>
        <v>60-4oz. 4 trays of 15</v>
      </c>
      <c r="N5101" s="66">
        <v>60</v>
      </c>
      <c r="O5101" s="67" t="str">
        <f>""</f>
        <v/>
      </c>
      <c r="P5101" s="68" t="e">
        <f>1/O5101</f>
        <v>#VALUE!</v>
      </c>
      <c r="Q5101" s="53">
        <v>1</v>
      </c>
      <c r="R5101" s="69">
        <f t="shared" ref="R5101" si="3654">1/Q5101</f>
        <v>1</v>
      </c>
      <c r="S5101" s="70">
        <f t="shared" ref="S5101" si="3655">R5101*N5101</f>
        <v>60</v>
      </c>
    </row>
    <row r="5102" spans="1:19" ht="15.6" hidden="1" customHeight="1" thickBot="1" x14ac:dyDescent="0.3">
      <c r="A5102" t="s">
        <v>23</v>
      </c>
      <c r="B5102" s="60" t="str">
        <f t="shared" si="3653"/>
        <v>hide</v>
      </c>
      <c r="D5102" s="48" t="str">
        <f>D5101</f>
        <v>92858</v>
      </c>
      <c r="E5102" s="7"/>
      <c r="F5102" s="27">
        <v>0</v>
      </c>
      <c r="G5102" s="27">
        <v>0</v>
      </c>
      <c r="H5102" s="27">
        <v>0</v>
      </c>
      <c r="I5102" s="27">
        <v>0</v>
      </c>
      <c r="J5102" s="27">
        <v>0</v>
      </c>
      <c r="K5102" s="63">
        <f>AVERAGE(I5102:J5102)</f>
        <v>0</v>
      </c>
      <c r="L5102" s="56" t="str">
        <f>"EQP-LAWPACK1"</f>
        <v>EQP-LAWPACK1</v>
      </c>
      <c r="M5102" s="14"/>
      <c r="N5102" s="15"/>
      <c r="O5102" s="12"/>
      <c r="P5102" s="34"/>
      <c r="Q5102" s="37"/>
      <c r="R5102" s="47"/>
      <c r="S5102" s="46"/>
    </row>
    <row r="5103" spans="1:19" ht="15.6" hidden="1" customHeight="1" thickBot="1" x14ac:dyDescent="0.3">
      <c r="A5103" t="s">
        <v>23</v>
      </c>
      <c r="B5103" s="60" t="str">
        <f t="shared" ref="B5103:B5105" si="3656">IF(K5103=0,"hide","")</f>
        <v>hide</v>
      </c>
      <c r="D5103" s="48" t="str">
        <f>D5102</f>
        <v>92858</v>
      </c>
      <c r="E5103" s="7"/>
      <c r="F5103" s="27">
        <v>0</v>
      </c>
      <c r="G5103" s="27">
        <v>0</v>
      </c>
      <c r="H5103" s="27">
        <v>0</v>
      </c>
      <c r="I5103" s="27">
        <v>0</v>
      </c>
      <c r="J5103" s="27">
        <v>0</v>
      </c>
      <c r="K5103" s="63">
        <f>AVERAGE(I5103:J5103)</f>
        <v>0</v>
      </c>
      <c r="L5103" s="56" t="str">
        <f>"EQP-LAWPACK2"</f>
        <v>EQP-LAWPACK2</v>
      </c>
      <c r="M5103" s="14"/>
      <c r="N5103" s="15"/>
      <c r="O5103" s="12"/>
      <c r="P5103" s="34"/>
      <c r="Q5103" s="37"/>
      <c r="R5103" s="47"/>
      <c r="S5103" s="46"/>
    </row>
    <row r="5104" spans="1:19" ht="15.6" hidden="1" customHeight="1" thickBot="1" x14ac:dyDescent="0.3">
      <c r="A5104" t="s">
        <v>23</v>
      </c>
      <c r="B5104" s="60" t="str">
        <f t="shared" si="3656"/>
        <v>hide</v>
      </c>
      <c r="D5104" s="48" t="str">
        <f>D5103</f>
        <v>92858</v>
      </c>
      <c r="E5104" s="7"/>
      <c r="F5104" s="27">
        <v>0</v>
      </c>
      <c r="G5104" s="27">
        <v>0</v>
      </c>
      <c r="H5104" s="27">
        <v>0</v>
      </c>
      <c r="I5104" s="27">
        <v>0</v>
      </c>
      <c r="J5104" s="27">
        <v>0</v>
      </c>
      <c r="K5104" s="63">
        <f>AVERAGE(I5104:J5104)</f>
        <v>0</v>
      </c>
      <c r="L5104" s="56" t="str">
        <f>"SW-COMAS-PACKL"</f>
        <v>SW-COMAS-PACKL</v>
      </c>
      <c r="M5104" s="14"/>
      <c r="N5104" s="15"/>
      <c r="O5104" s="12"/>
      <c r="P5104" s="34"/>
      <c r="Q5104" s="37"/>
      <c r="R5104" s="47"/>
      <c r="S5104" s="46"/>
    </row>
    <row r="5105" spans="1:19" ht="15.6" hidden="1" customHeight="1" thickBot="1" x14ac:dyDescent="0.3">
      <c r="A5105" t="s">
        <v>23</v>
      </c>
      <c r="B5105" s="60" t="str">
        <f t="shared" si="3656"/>
        <v>hide</v>
      </c>
      <c r="D5105" s="48" t="str">
        <f>D5104</f>
        <v>92858</v>
      </c>
      <c r="E5105" s="7"/>
      <c r="F5105" s="27">
        <v>0</v>
      </c>
      <c r="G5105" s="27">
        <v>0</v>
      </c>
      <c r="H5105" s="27">
        <v>0</v>
      </c>
      <c r="I5105" s="27">
        <v>0</v>
      </c>
      <c r="J5105" s="27">
        <v>0</v>
      </c>
      <c r="K5105" s="63">
        <f>AVERAGE(I5105:J5105)</f>
        <v>0</v>
      </c>
      <c r="L5105" s="56" t="str">
        <f>"SW-RISER-PACK"</f>
        <v>SW-RISER-PACK</v>
      </c>
      <c r="M5105" s="14"/>
      <c r="N5105" s="15"/>
      <c r="O5105" s="12"/>
      <c r="P5105" s="34"/>
      <c r="Q5105" s="37"/>
      <c r="R5105" s="47"/>
      <c r="S5105" s="46"/>
    </row>
    <row r="5106" spans="1:19" ht="12" hidden="1" customHeight="1" x14ac:dyDescent="0.3">
      <c r="A5106" s="35" t="s">
        <v>908</v>
      </c>
      <c r="B5106" s="49" t="str">
        <f>B5102</f>
        <v>hide</v>
      </c>
      <c r="N5106"/>
      <c r="Q5106" s="33"/>
    </row>
    <row r="5107" spans="1:19" ht="13.8" hidden="1" thickBot="1" x14ac:dyDescent="0.3">
      <c r="A5107" t="s">
        <v>23</v>
      </c>
      <c r="B5107" s="49" t="str">
        <f t="shared" ref="B5107" si="3657">B5106</f>
        <v>hide</v>
      </c>
      <c r="D5107" s="58"/>
      <c r="E5107" s="58"/>
      <c r="F5107" s="52">
        <f>SUM(F5102:F5106)</f>
        <v>0</v>
      </c>
      <c r="G5107" s="52">
        <f>SUM(G5102:G5106)</f>
        <v>0</v>
      </c>
      <c r="H5107" s="52">
        <f>SUM(H5102:H5106)</f>
        <v>0</v>
      </c>
      <c r="I5107" s="52">
        <f>SUM(I5102:I5106)</f>
        <v>0</v>
      </c>
      <c r="J5107" s="52">
        <f>SUM(J5102:J5106)</f>
        <v>0</v>
      </c>
      <c r="K5107" s="52"/>
      <c r="L5107" s="51" t="s">
        <v>4</v>
      </c>
      <c r="M5107" s="58"/>
      <c r="N5107" s="58"/>
      <c r="O5107" s="58"/>
      <c r="P5107" s="58"/>
      <c r="Q5107" s="58"/>
      <c r="R5107" s="58"/>
      <c r="S5107" s="58"/>
    </row>
    <row r="5108" spans="1:19" s="59" customFormat="1" ht="18.75" hidden="1" customHeight="1" thickBot="1" x14ac:dyDescent="0.3">
      <c r="A5108" s="59" t="s">
        <v>23</v>
      </c>
      <c r="B5108" s="60" t="str">
        <f t="shared" ref="B5108:B5109" si="3658">IF(K5108=0,"hide","")</f>
        <v>hide</v>
      </c>
      <c r="D5108" s="61" t="str">
        <f>"93116"</f>
        <v>93116</v>
      </c>
      <c r="E5108" s="62" t="str">
        <f>"1"</f>
        <v>1</v>
      </c>
      <c r="F5108" s="63">
        <v>0</v>
      </c>
      <c r="G5108" s="63">
        <v>0</v>
      </c>
      <c r="H5108" s="63">
        <v>0</v>
      </c>
      <c r="I5108" s="63">
        <v>0</v>
      </c>
      <c r="J5108" s="63">
        <v>0</v>
      </c>
      <c r="K5108" s="63">
        <f>AVERAGE(I5108:J5108)</f>
        <v>0</v>
      </c>
      <c r="L5108" s="64" t="str">
        <f>""</f>
        <v/>
      </c>
      <c r="M5108" s="65" t="str">
        <f>""</f>
        <v/>
      </c>
      <c r="N5108" s="66" t="str">
        <f>""</f>
        <v/>
      </c>
      <c r="O5108" s="67" t="str">
        <f>""</f>
        <v/>
      </c>
      <c r="P5108" s="68" t="e">
        <f>1/O5108</f>
        <v>#VALUE!</v>
      </c>
      <c r="Q5108" s="53">
        <v>1</v>
      </c>
      <c r="R5108" s="69">
        <f t="shared" ref="R5108" si="3659">1/Q5108</f>
        <v>1</v>
      </c>
      <c r="S5108" s="70" t="e">
        <f t="shared" ref="S5108" si="3660">R5108*N5108</f>
        <v>#VALUE!</v>
      </c>
    </row>
    <row r="5109" spans="1:19" ht="15.6" hidden="1" customHeight="1" thickBot="1" x14ac:dyDescent="0.3">
      <c r="A5109" t="s">
        <v>23</v>
      </c>
      <c r="B5109" s="60" t="str">
        <f t="shared" si="3658"/>
        <v>hide</v>
      </c>
      <c r="D5109" s="48" t="str">
        <f>D5108</f>
        <v>93116</v>
      </c>
      <c r="E5109" s="7"/>
      <c r="F5109" s="27">
        <v>0</v>
      </c>
      <c r="G5109" s="27">
        <v>0</v>
      </c>
      <c r="H5109" s="27">
        <v>0</v>
      </c>
      <c r="I5109" s="27">
        <v>0</v>
      </c>
      <c r="J5109" s="27">
        <v>0</v>
      </c>
      <c r="K5109" s="63">
        <f>AVERAGE(I5109:J5109)</f>
        <v>0</v>
      </c>
      <c r="L5109" s="56" t="str">
        <f>"EQP-LAWPACK1"</f>
        <v>EQP-LAWPACK1</v>
      </c>
      <c r="M5109" s="14"/>
      <c r="N5109" s="15"/>
      <c r="O5109" s="12"/>
      <c r="P5109" s="34"/>
      <c r="Q5109" s="37"/>
      <c r="R5109" s="47"/>
      <c r="S5109" s="46"/>
    </row>
    <row r="5110" spans="1:19" ht="15.6" hidden="1" customHeight="1" thickBot="1" x14ac:dyDescent="0.3">
      <c r="A5110" t="s">
        <v>23</v>
      </c>
      <c r="B5110" s="60" t="str">
        <f t="shared" ref="B5110:B5112" si="3661">IF(K5110=0,"hide","")</f>
        <v>hide</v>
      </c>
      <c r="D5110" s="48" t="str">
        <f>D5109</f>
        <v>93116</v>
      </c>
      <c r="E5110" s="7"/>
      <c r="F5110" s="27">
        <v>0</v>
      </c>
      <c r="G5110" s="27">
        <v>0</v>
      </c>
      <c r="H5110" s="27">
        <v>0</v>
      </c>
      <c r="I5110" s="27">
        <v>0</v>
      </c>
      <c r="J5110" s="27">
        <v>0</v>
      </c>
      <c r="K5110" s="63">
        <f>AVERAGE(I5110:J5110)</f>
        <v>0</v>
      </c>
      <c r="L5110" s="56" t="str">
        <f>"EQP-LAWPACK2"</f>
        <v>EQP-LAWPACK2</v>
      </c>
      <c r="M5110" s="14"/>
      <c r="N5110" s="15"/>
      <c r="O5110" s="12"/>
      <c r="P5110" s="34"/>
      <c r="Q5110" s="37"/>
      <c r="R5110" s="47"/>
      <c r="S5110" s="46"/>
    </row>
    <row r="5111" spans="1:19" ht="15.6" hidden="1" customHeight="1" thickBot="1" x14ac:dyDescent="0.3">
      <c r="A5111" t="s">
        <v>23</v>
      </c>
      <c r="B5111" s="60" t="str">
        <f t="shared" si="3661"/>
        <v>hide</v>
      </c>
      <c r="D5111" s="48" t="str">
        <f>D5110</f>
        <v>93116</v>
      </c>
      <c r="E5111" s="7"/>
      <c r="F5111" s="27">
        <v>0</v>
      </c>
      <c r="G5111" s="27">
        <v>0</v>
      </c>
      <c r="H5111" s="27">
        <v>0</v>
      </c>
      <c r="I5111" s="27">
        <v>0</v>
      </c>
      <c r="J5111" s="27">
        <v>0</v>
      </c>
      <c r="K5111" s="63">
        <f>AVERAGE(I5111:J5111)</f>
        <v>0</v>
      </c>
      <c r="L5111" s="56" t="str">
        <f>"SW-COMAS-PACKL"</f>
        <v>SW-COMAS-PACKL</v>
      </c>
      <c r="M5111" s="14"/>
      <c r="N5111" s="15"/>
      <c r="O5111" s="12"/>
      <c r="P5111" s="34"/>
      <c r="Q5111" s="37"/>
      <c r="R5111" s="47"/>
      <c r="S5111" s="46"/>
    </row>
    <row r="5112" spans="1:19" ht="15.6" hidden="1" customHeight="1" thickBot="1" x14ac:dyDescent="0.3">
      <c r="A5112" t="s">
        <v>23</v>
      </c>
      <c r="B5112" s="60" t="str">
        <f t="shared" si="3661"/>
        <v>hide</v>
      </c>
      <c r="D5112" s="48" t="str">
        <f>D5111</f>
        <v>93116</v>
      </c>
      <c r="E5112" s="7"/>
      <c r="F5112" s="27">
        <v>0</v>
      </c>
      <c r="G5112" s="27">
        <v>0</v>
      </c>
      <c r="H5112" s="27">
        <v>0</v>
      </c>
      <c r="I5112" s="27">
        <v>0</v>
      </c>
      <c r="J5112" s="27">
        <v>0</v>
      </c>
      <c r="K5112" s="63">
        <f>AVERAGE(I5112:J5112)</f>
        <v>0</v>
      </c>
      <c r="L5112" s="56" t="str">
        <f>"SW-RISER-PACK"</f>
        <v>SW-RISER-PACK</v>
      </c>
      <c r="M5112" s="14"/>
      <c r="N5112" s="15"/>
      <c r="O5112" s="12"/>
      <c r="P5112" s="34"/>
      <c r="Q5112" s="37"/>
      <c r="R5112" s="47"/>
      <c r="S5112" s="46"/>
    </row>
    <row r="5113" spans="1:19" ht="12" hidden="1" customHeight="1" x14ac:dyDescent="0.3">
      <c r="A5113" s="35" t="s">
        <v>908</v>
      </c>
      <c r="B5113" s="49" t="str">
        <f>B5109</f>
        <v>hide</v>
      </c>
      <c r="N5113"/>
      <c r="Q5113" s="33"/>
    </row>
    <row r="5114" spans="1:19" ht="13.8" hidden="1" thickBot="1" x14ac:dyDescent="0.3">
      <c r="A5114" t="s">
        <v>23</v>
      </c>
      <c r="B5114" s="49" t="str">
        <f t="shared" ref="B5114" si="3662">B5113</f>
        <v>hide</v>
      </c>
      <c r="D5114" s="58"/>
      <c r="E5114" s="58"/>
      <c r="F5114" s="52">
        <f>SUM(F5109:F5113)</f>
        <v>0</v>
      </c>
      <c r="G5114" s="52">
        <f>SUM(G5109:G5113)</f>
        <v>0</v>
      </c>
      <c r="H5114" s="52">
        <f>SUM(H5109:H5113)</f>
        <v>0</v>
      </c>
      <c r="I5114" s="52">
        <f>SUM(I5109:I5113)</f>
        <v>0</v>
      </c>
      <c r="J5114" s="52">
        <f>SUM(J5109:J5113)</f>
        <v>0</v>
      </c>
      <c r="K5114" s="52"/>
      <c r="L5114" s="51" t="s">
        <v>4</v>
      </c>
      <c r="M5114" s="58"/>
      <c r="N5114" s="58"/>
      <c r="O5114" s="58"/>
      <c r="P5114" s="58"/>
      <c r="Q5114" s="58"/>
      <c r="R5114" s="58"/>
      <c r="S5114" s="58"/>
    </row>
    <row r="5115" spans="1:19" s="59" customFormat="1" ht="18.75" customHeight="1" thickBot="1" x14ac:dyDescent="0.3">
      <c r="A5115" s="59" t="s">
        <v>23</v>
      </c>
      <c r="B5115" s="60" t="str">
        <f t="shared" ref="B5115:B5116" si="3663">IF(K5115=0,"hide","")</f>
        <v/>
      </c>
      <c r="D5115" s="61" t="str">
        <f>"94595"</f>
        <v>94595</v>
      </c>
      <c r="E5115" s="62" t="str">
        <f>"2"</f>
        <v>2</v>
      </c>
      <c r="F5115" s="63">
        <v>495.91666666666669</v>
      </c>
      <c r="G5115" s="63">
        <v>307.5</v>
      </c>
      <c r="H5115" s="63">
        <v>229.66666666666666</v>
      </c>
      <c r="I5115" s="63">
        <v>135.00000000000003</v>
      </c>
      <c r="J5115" s="63">
        <v>4.773493975903615</v>
      </c>
      <c r="K5115" s="63">
        <f>AVERAGE(I5115:J5115)</f>
        <v>69.886746987951824</v>
      </c>
      <c r="L5115" s="64" t="str">
        <f>"HONEY WHEAT Fully Sliced BAGELS "</f>
        <v xml:space="preserve">HONEY WHEAT Fully Sliced BAGELS </v>
      </c>
      <c r="M5115" s="65" t="str">
        <f>"84-2 oz. Bulk"</f>
        <v>84-2 oz. Bulk</v>
      </c>
      <c r="N5115" s="66">
        <v>84</v>
      </c>
      <c r="O5115" s="67" t="str">
        <f>""</f>
        <v/>
      </c>
      <c r="P5115" s="68" t="e">
        <f>1/O5115</f>
        <v>#VALUE!</v>
      </c>
      <c r="Q5115" s="53">
        <v>1</v>
      </c>
      <c r="R5115" s="69">
        <f t="shared" ref="R5115" si="3664">1/Q5115</f>
        <v>1</v>
      </c>
      <c r="S5115" s="70">
        <f t="shared" ref="S5115" si="3665">R5115*N5115</f>
        <v>84</v>
      </c>
    </row>
    <row r="5116" spans="1:19" ht="15.6" hidden="1" customHeight="1" thickBot="1" x14ac:dyDescent="0.3">
      <c r="A5116" t="s">
        <v>23</v>
      </c>
      <c r="B5116" s="60" t="str">
        <f t="shared" si="3663"/>
        <v>hide</v>
      </c>
      <c r="D5116" s="48" t="str">
        <f>D5115</f>
        <v>94595</v>
      </c>
      <c r="E5116" s="7"/>
      <c r="F5116" s="27">
        <v>0</v>
      </c>
      <c r="G5116" s="27">
        <v>0</v>
      </c>
      <c r="H5116" s="27">
        <v>0</v>
      </c>
      <c r="I5116" s="27">
        <v>0</v>
      </c>
      <c r="J5116" s="27">
        <v>0</v>
      </c>
      <c r="K5116" s="63">
        <f>AVERAGE(I5116:J5116)</f>
        <v>0</v>
      </c>
      <c r="L5116" s="56" t="str">
        <f>"EQP-LAWPACK1"</f>
        <v>EQP-LAWPACK1</v>
      </c>
      <c r="M5116" s="14"/>
      <c r="N5116" s="15"/>
      <c r="O5116" s="12"/>
      <c r="P5116" s="34"/>
      <c r="Q5116" s="37"/>
      <c r="R5116" s="47"/>
      <c r="S5116" s="46"/>
    </row>
    <row r="5117" spans="1:19" ht="15.6" hidden="1" customHeight="1" thickBot="1" x14ac:dyDescent="0.3">
      <c r="A5117" t="s">
        <v>23</v>
      </c>
      <c r="B5117" s="60" t="str">
        <f t="shared" ref="B5117:B5119" si="3666">IF(K5117=0,"hide","")</f>
        <v>hide</v>
      </c>
      <c r="D5117" s="48" t="str">
        <f>D5116</f>
        <v>94595</v>
      </c>
      <c r="E5117" s="7"/>
      <c r="F5117" s="27">
        <v>0</v>
      </c>
      <c r="G5117" s="27">
        <v>0</v>
      </c>
      <c r="H5117" s="27">
        <v>0</v>
      </c>
      <c r="I5117" s="27">
        <v>0</v>
      </c>
      <c r="J5117" s="27">
        <v>0</v>
      </c>
      <c r="K5117" s="63">
        <f>AVERAGE(I5117:J5117)</f>
        <v>0</v>
      </c>
      <c r="L5117" s="56" t="str">
        <f>"EQP-LAWPACK2"</f>
        <v>EQP-LAWPACK2</v>
      </c>
      <c r="M5117" s="14"/>
      <c r="N5117" s="15"/>
      <c r="O5117" s="12"/>
      <c r="P5117" s="34"/>
      <c r="Q5117" s="37"/>
      <c r="R5117" s="47"/>
      <c r="S5117" s="46"/>
    </row>
    <row r="5118" spans="1:19" ht="15.6" hidden="1" customHeight="1" thickBot="1" x14ac:dyDescent="0.3">
      <c r="A5118" t="s">
        <v>23</v>
      </c>
      <c r="B5118" s="60" t="str">
        <f t="shared" si="3666"/>
        <v>hide</v>
      </c>
      <c r="D5118" s="48" t="str">
        <f>D5117</f>
        <v>94595</v>
      </c>
      <c r="E5118" s="7"/>
      <c r="F5118" s="27">
        <v>0</v>
      </c>
      <c r="G5118" s="27">
        <v>0</v>
      </c>
      <c r="H5118" s="27">
        <v>0</v>
      </c>
      <c r="I5118" s="27">
        <v>0</v>
      </c>
      <c r="J5118" s="27">
        <v>0</v>
      </c>
      <c r="K5118" s="63">
        <f>AVERAGE(I5118:J5118)</f>
        <v>0</v>
      </c>
      <c r="L5118" s="56" t="str">
        <f>"SW-COMAS-PACKL"</f>
        <v>SW-COMAS-PACKL</v>
      </c>
      <c r="M5118" s="14"/>
      <c r="N5118" s="15"/>
      <c r="O5118" s="12"/>
      <c r="P5118" s="34"/>
      <c r="Q5118" s="37"/>
      <c r="R5118" s="47"/>
      <c r="S5118" s="46"/>
    </row>
    <row r="5119" spans="1:19" ht="15.6" hidden="1" customHeight="1" thickBot="1" x14ac:dyDescent="0.3">
      <c r="A5119" t="s">
        <v>23</v>
      </c>
      <c r="B5119" s="60" t="str">
        <f t="shared" si="3666"/>
        <v>hide</v>
      </c>
      <c r="D5119" s="48" t="str">
        <f>D5118</f>
        <v>94595</v>
      </c>
      <c r="E5119" s="7"/>
      <c r="F5119" s="27">
        <v>0</v>
      </c>
      <c r="G5119" s="27">
        <v>0</v>
      </c>
      <c r="H5119" s="27">
        <v>0</v>
      </c>
      <c r="I5119" s="27">
        <v>0</v>
      </c>
      <c r="J5119" s="27">
        <v>0</v>
      </c>
      <c r="K5119" s="63">
        <f>AVERAGE(I5119:J5119)</f>
        <v>0</v>
      </c>
      <c r="L5119" s="56" t="str">
        <f>"SW-RISER-PACK"</f>
        <v>SW-RISER-PACK</v>
      </c>
      <c r="M5119" s="14"/>
      <c r="N5119" s="15"/>
      <c r="O5119" s="12"/>
      <c r="P5119" s="34"/>
      <c r="Q5119" s="37"/>
      <c r="R5119" s="47"/>
      <c r="S5119" s="46"/>
    </row>
    <row r="5120" spans="1:19" ht="12" hidden="1" customHeight="1" x14ac:dyDescent="0.3">
      <c r="A5120" s="35" t="s">
        <v>908</v>
      </c>
      <c r="B5120" s="49" t="str">
        <f>B5116</f>
        <v>hide</v>
      </c>
      <c r="N5120"/>
      <c r="Q5120" s="33"/>
    </row>
    <row r="5121" spans="1:19" ht="13.8" hidden="1" thickBot="1" x14ac:dyDescent="0.3">
      <c r="A5121" t="s">
        <v>23</v>
      </c>
      <c r="B5121" s="49" t="str">
        <f t="shared" ref="B5121" si="3667">B5120</f>
        <v>hide</v>
      </c>
      <c r="D5121" s="58"/>
      <c r="E5121" s="58"/>
      <c r="F5121" s="52">
        <f>SUM(F5116:F5120)</f>
        <v>0</v>
      </c>
      <c r="G5121" s="52">
        <f>SUM(G5116:G5120)</f>
        <v>0</v>
      </c>
      <c r="H5121" s="52">
        <f>SUM(H5116:H5120)</f>
        <v>0</v>
      </c>
      <c r="I5121" s="52">
        <f>SUM(I5116:I5120)</f>
        <v>0</v>
      </c>
      <c r="J5121" s="52">
        <f>SUM(J5116:J5120)</f>
        <v>0</v>
      </c>
      <c r="K5121" s="52"/>
      <c r="L5121" s="51" t="s">
        <v>4</v>
      </c>
      <c r="M5121" s="58"/>
      <c r="N5121" s="58"/>
      <c r="O5121" s="58"/>
      <c r="P5121" s="58"/>
      <c r="Q5121" s="58"/>
      <c r="R5121" s="58"/>
      <c r="S5121" s="58"/>
    </row>
    <row r="5122" spans="1:19" s="59" customFormat="1" ht="18.75" customHeight="1" thickBot="1" x14ac:dyDescent="0.3">
      <c r="A5122" s="59" t="s">
        <v>23</v>
      </c>
      <c r="B5122" s="60" t="str">
        <f t="shared" ref="B5122:B5123" si="3668">IF(K5122=0,"hide","")</f>
        <v/>
      </c>
      <c r="D5122" s="61" t="str">
        <f>"94601"</f>
        <v>94601</v>
      </c>
      <c r="E5122" s="62" t="str">
        <f>"3"</f>
        <v>3</v>
      </c>
      <c r="F5122" s="63">
        <v>1002.4166666666666</v>
      </c>
      <c r="G5122" s="63">
        <v>1665.9166666666667</v>
      </c>
      <c r="H5122" s="63">
        <v>746.5</v>
      </c>
      <c r="I5122" s="63">
        <v>464</v>
      </c>
      <c r="J5122" s="63">
        <v>112.31349397590363</v>
      </c>
      <c r="K5122" s="63">
        <f>AVERAGE(I5122:J5122)</f>
        <v>288.15674698795181</v>
      </c>
      <c r="L5122" s="64" t="str">
        <f>"WH WH Blueberry BAGELS SLICED"</f>
        <v>WH WH Blueberry BAGELS SLICED</v>
      </c>
      <c r="M5122" s="65" t="str">
        <f>"84-2 oz. Bulk"</f>
        <v>84-2 oz. Bulk</v>
      </c>
      <c r="N5122" s="66">
        <v>84</v>
      </c>
      <c r="O5122" s="67" t="str">
        <f>""</f>
        <v/>
      </c>
      <c r="P5122" s="68" t="e">
        <f>1/O5122</f>
        <v>#VALUE!</v>
      </c>
      <c r="Q5122" s="53">
        <v>1</v>
      </c>
      <c r="R5122" s="69">
        <f t="shared" ref="R5122" si="3669">1/Q5122</f>
        <v>1</v>
      </c>
      <c r="S5122" s="70">
        <f t="shared" ref="S5122" si="3670">R5122*N5122</f>
        <v>84</v>
      </c>
    </row>
    <row r="5123" spans="1:19" ht="15.6" hidden="1" customHeight="1" thickBot="1" x14ac:dyDescent="0.3">
      <c r="A5123" t="s">
        <v>23</v>
      </c>
      <c r="B5123" s="60" t="str">
        <f t="shared" si="3668"/>
        <v>hide</v>
      </c>
      <c r="D5123" s="48" t="str">
        <f>D5122</f>
        <v>94601</v>
      </c>
      <c r="E5123" s="7"/>
      <c r="F5123" s="27">
        <v>0</v>
      </c>
      <c r="G5123" s="27">
        <v>0</v>
      </c>
      <c r="H5123" s="27">
        <v>0</v>
      </c>
      <c r="I5123" s="27">
        <v>0</v>
      </c>
      <c r="J5123" s="27">
        <v>0</v>
      </c>
      <c r="K5123" s="63">
        <f>AVERAGE(I5123:J5123)</f>
        <v>0</v>
      </c>
      <c r="L5123" s="56" t="str">
        <f>"EQP-LAWPACK1"</f>
        <v>EQP-LAWPACK1</v>
      </c>
      <c r="M5123" s="14"/>
      <c r="N5123" s="15"/>
      <c r="O5123" s="12"/>
      <c r="P5123" s="34"/>
      <c r="Q5123" s="37"/>
      <c r="R5123" s="47"/>
      <c r="S5123" s="46"/>
    </row>
    <row r="5124" spans="1:19" ht="15.6" hidden="1" customHeight="1" thickBot="1" x14ac:dyDescent="0.3">
      <c r="A5124" t="s">
        <v>23</v>
      </c>
      <c r="B5124" s="60" t="str">
        <f t="shared" ref="B5124:B5126" si="3671">IF(K5124=0,"hide","")</f>
        <v>hide</v>
      </c>
      <c r="D5124" s="48" t="str">
        <f>D5123</f>
        <v>94601</v>
      </c>
      <c r="E5124" s="7"/>
      <c r="F5124" s="27">
        <v>0</v>
      </c>
      <c r="G5124" s="27">
        <v>0</v>
      </c>
      <c r="H5124" s="27">
        <v>0</v>
      </c>
      <c r="I5124" s="27">
        <v>0</v>
      </c>
      <c r="J5124" s="27">
        <v>0</v>
      </c>
      <c r="K5124" s="63">
        <f>AVERAGE(I5124:J5124)</f>
        <v>0</v>
      </c>
      <c r="L5124" s="56" t="str">
        <f>"EQP-LAWPACK2"</f>
        <v>EQP-LAWPACK2</v>
      </c>
      <c r="M5124" s="14"/>
      <c r="N5124" s="15"/>
      <c r="O5124" s="12"/>
      <c r="P5124" s="34"/>
      <c r="Q5124" s="37"/>
      <c r="R5124" s="47"/>
      <c r="S5124" s="46"/>
    </row>
    <row r="5125" spans="1:19" ht="15.6" hidden="1" customHeight="1" thickBot="1" x14ac:dyDescent="0.3">
      <c r="A5125" t="s">
        <v>23</v>
      </c>
      <c r="B5125" s="60" t="str">
        <f t="shared" si="3671"/>
        <v>hide</v>
      </c>
      <c r="D5125" s="48" t="str">
        <f>D5124</f>
        <v>94601</v>
      </c>
      <c r="E5125" s="7"/>
      <c r="F5125" s="27">
        <v>0</v>
      </c>
      <c r="G5125" s="27">
        <v>0</v>
      </c>
      <c r="H5125" s="27">
        <v>0</v>
      </c>
      <c r="I5125" s="27">
        <v>0</v>
      </c>
      <c r="J5125" s="27">
        <v>0</v>
      </c>
      <c r="K5125" s="63">
        <f>AVERAGE(I5125:J5125)</f>
        <v>0</v>
      </c>
      <c r="L5125" s="56" t="str">
        <f>"SW-COMAS-PACKL"</f>
        <v>SW-COMAS-PACKL</v>
      </c>
      <c r="M5125" s="14"/>
      <c r="N5125" s="15"/>
      <c r="O5125" s="12"/>
      <c r="P5125" s="34"/>
      <c r="Q5125" s="37"/>
      <c r="R5125" s="47"/>
      <c r="S5125" s="46"/>
    </row>
    <row r="5126" spans="1:19" ht="15.6" hidden="1" customHeight="1" thickBot="1" x14ac:dyDescent="0.3">
      <c r="A5126" t="s">
        <v>23</v>
      </c>
      <c r="B5126" s="60" t="str">
        <f t="shared" si="3671"/>
        <v>hide</v>
      </c>
      <c r="D5126" s="48" t="str">
        <f>D5125</f>
        <v>94601</v>
      </c>
      <c r="E5126" s="7"/>
      <c r="F5126" s="27">
        <v>0</v>
      </c>
      <c r="G5126" s="27">
        <v>0</v>
      </c>
      <c r="H5126" s="27">
        <v>0</v>
      </c>
      <c r="I5126" s="27">
        <v>0</v>
      </c>
      <c r="J5126" s="27">
        <v>0</v>
      </c>
      <c r="K5126" s="63">
        <f>AVERAGE(I5126:J5126)</f>
        <v>0</v>
      </c>
      <c r="L5126" s="56" t="str">
        <f>"SW-RISER-PACK"</f>
        <v>SW-RISER-PACK</v>
      </c>
      <c r="M5126" s="14"/>
      <c r="N5126" s="15"/>
      <c r="O5126" s="12"/>
      <c r="P5126" s="34"/>
      <c r="Q5126" s="37"/>
      <c r="R5126" s="47"/>
      <c r="S5126" s="46"/>
    </row>
    <row r="5127" spans="1:19" ht="12" hidden="1" customHeight="1" x14ac:dyDescent="0.3">
      <c r="A5127" s="35" t="s">
        <v>908</v>
      </c>
      <c r="B5127" s="49" t="str">
        <f>B5123</f>
        <v>hide</v>
      </c>
      <c r="N5127"/>
      <c r="Q5127" s="33"/>
    </row>
    <row r="5128" spans="1:19" ht="13.8" hidden="1" thickBot="1" x14ac:dyDescent="0.3">
      <c r="A5128" t="s">
        <v>23</v>
      </c>
      <c r="B5128" s="49" t="str">
        <f t="shared" ref="B5128" si="3672">B5127</f>
        <v>hide</v>
      </c>
      <c r="D5128" s="58"/>
      <c r="E5128" s="58"/>
      <c r="F5128" s="52">
        <f>SUM(F5123:F5127)</f>
        <v>0</v>
      </c>
      <c r="G5128" s="52">
        <f>SUM(G5123:G5127)</f>
        <v>0</v>
      </c>
      <c r="H5128" s="52">
        <f>SUM(H5123:H5127)</f>
        <v>0</v>
      </c>
      <c r="I5128" s="52">
        <f>SUM(I5123:I5127)</f>
        <v>0</v>
      </c>
      <c r="J5128" s="52">
        <f>SUM(J5123:J5127)</f>
        <v>0</v>
      </c>
      <c r="K5128" s="52"/>
      <c r="L5128" s="51" t="s">
        <v>4</v>
      </c>
      <c r="M5128" s="58"/>
      <c r="N5128" s="58"/>
      <c r="O5128" s="58"/>
      <c r="P5128" s="58"/>
      <c r="Q5128" s="58"/>
      <c r="R5128" s="58"/>
      <c r="S5128" s="58"/>
    </row>
    <row r="5129" spans="1:19" s="59" customFormat="1" ht="18.75" customHeight="1" thickBot="1" x14ac:dyDescent="0.3">
      <c r="A5129" s="59" t="s">
        <v>23</v>
      </c>
      <c r="B5129" s="60" t="str">
        <f t="shared" ref="B5129:B5130" si="3673">IF(K5129=0,"hide","")</f>
        <v/>
      </c>
      <c r="D5129" s="61" t="str">
        <f>"94616"</f>
        <v>94616</v>
      </c>
      <c r="E5129" s="62" t="str">
        <f>"3"</f>
        <v>3</v>
      </c>
      <c r="F5129" s="63">
        <v>73.666666666666671</v>
      </c>
      <c r="G5129" s="63">
        <v>33.833333333333336</v>
      </c>
      <c r="H5129" s="63">
        <v>35.083333333333336</v>
      </c>
      <c r="I5129" s="63">
        <v>25.666666666666668</v>
      </c>
      <c r="J5129" s="63">
        <v>19.707710843373494</v>
      </c>
      <c r="K5129" s="63">
        <f>AVERAGE(I5129:J5129)</f>
        <v>22.687188755020081</v>
      </c>
      <c r="L5129" s="64" t="str">
        <f>"WHWH CINN RAISIN BAGELS SLICED"</f>
        <v>WHWH CINN RAISIN BAGELS SLICED</v>
      </c>
      <c r="M5129" s="65" t="str">
        <f>"84-2 oz. Bulk"</f>
        <v>84-2 oz. Bulk</v>
      </c>
      <c r="N5129" s="66">
        <v>84</v>
      </c>
      <c r="O5129" s="67" t="str">
        <f>""</f>
        <v/>
      </c>
      <c r="P5129" s="68" t="e">
        <f>1/O5129</f>
        <v>#VALUE!</v>
      </c>
      <c r="Q5129" s="53">
        <v>1</v>
      </c>
      <c r="R5129" s="69">
        <f t="shared" ref="R5129" si="3674">1/Q5129</f>
        <v>1</v>
      </c>
      <c r="S5129" s="70">
        <f t="shared" ref="S5129" si="3675">R5129*N5129</f>
        <v>84</v>
      </c>
    </row>
    <row r="5130" spans="1:19" ht="15.6" hidden="1" customHeight="1" thickBot="1" x14ac:dyDescent="0.3">
      <c r="A5130" t="s">
        <v>23</v>
      </c>
      <c r="B5130" s="60" t="str">
        <f t="shared" si="3673"/>
        <v>hide</v>
      </c>
      <c r="D5130" s="48" t="str">
        <f>D5129</f>
        <v>94616</v>
      </c>
      <c r="E5130" s="7"/>
      <c r="F5130" s="27">
        <v>0</v>
      </c>
      <c r="G5130" s="27">
        <v>0</v>
      </c>
      <c r="H5130" s="27">
        <v>0</v>
      </c>
      <c r="I5130" s="27">
        <v>0</v>
      </c>
      <c r="J5130" s="27">
        <v>0</v>
      </c>
      <c r="K5130" s="63">
        <f>AVERAGE(I5130:J5130)</f>
        <v>0</v>
      </c>
      <c r="L5130" s="56" t="str">
        <f>"EQP-LAWPACK1"</f>
        <v>EQP-LAWPACK1</v>
      </c>
      <c r="M5130" s="14"/>
      <c r="N5130" s="15"/>
      <c r="O5130" s="12"/>
      <c r="P5130" s="34"/>
      <c r="Q5130" s="37"/>
      <c r="R5130" s="47"/>
      <c r="S5130" s="46"/>
    </row>
    <row r="5131" spans="1:19" ht="15.6" hidden="1" customHeight="1" thickBot="1" x14ac:dyDescent="0.3">
      <c r="A5131" t="s">
        <v>23</v>
      </c>
      <c r="B5131" s="60" t="str">
        <f t="shared" ref="B5131:B5133" si="3676">IF(K5131=0,"hide","")</f>
        <v>hide</v>
      </c>
      <c r="D5131" s="48" t="str">
        <f>D5130</f>
        <v>94616</v>
      </c>
      <c r="E5131" s="7"/>
      <c r="F5131" s="27">
        <v>0</v>
      </c>
      <c r="G5131" s="27">
        <v>0</v>
      </c>
      <c r="H5131" s="27">
        <v>0</v>
      </c>
      <c r="I5131" s="27">
        <v>0</v>
      </c>
      <c r="J5131" s="27">
        <v>0</v>
      </c>
      <c r="K5131" s="63">
        <f>AVERAGE(I5131:J5131)</f>
        <v>0</v>
      </c>
      <c r="L5131" s="56" t="str">
        <f>"EQP-LAWPACK2"</f>
        <v>EQP-LAWPACK2</v>
      </c>
      <c r="M5131" s="14"/>
      <c r="N5131" s="15"/>
      <c r="O5131" s="12"/>
      <c r="P5131" s="34"/>
      <c r="Q5131" s="37"/>
      <c r="R5131" s="47"/>
      <c r="S5131" s="46"/>
    </row>
    <row r="5132" spans="1:19" ht="15.6" hidden="1" customHeight="1" thickBot="1" x14ac:dyDescent="0.3">
      <c r="A5132" t="s">
        <v>23</v>
      </c>
      <c r="B5132" s="60" t="str">
        <f t="shared" si="3676"/>
        <v>hide</v>
      </c>
      <c r="D5132" s="48" t="str">
        <f>D5131</f>
        <v>94616</v>
      </c>
      <c r="E5132" s="7"/>
      <c r="F5132" s="27">
        <v>0</v>
      </c>
      <c r="G5132" s="27">
        <v>0</v>
      </c>
      <c r="H5132" s="27">
        <v>0</v>
      </c>
      <c r="I5132" s="27">
        <v>0</v>
      </c>
      <c r="J5132" s="27">
        <v>0</v>
      </c>
      <c r="K5132" s="63">
        <f>AVERAGE(I5132:J5132)</f>
        <v>0</v>
      </c>
      <c r="L5132" s="56" t="str">
        <f>"SW-COMAS-PACKL"</f>
        <v>SW-COMAS-PACKL</v>
      </c>
      <c r="M5132" s="14"/>
      <c r="N5132" s="15"/>
      <c r="O5132" s="12"/>
      <c r="P5132" s="34"/>
      <c r="Q5132" s="37"/>
      <c r="R5132" s="47"/>
      <c r="S5132" s="46"/>
    </row>
    <row r="5133" spans="1:19" ht="15.6" hidden="1" customHeight="1" thickBot="1" x14ac:dyDescent="0.3">
      <c r="A5133" t="s">
        <v>23</v>
      </c>
      <c r="B5133" s="60" t="str">
        <f t="shared" si="3676"/>
        <v>hide</v>
      </c>
      <c r="D5133" s="48" t="str">
        <f>D5132</f>
        <v>94616</v>
      </c>
      <c r="E5133" s="7"/>
      <c r="F5133" s="27">
        <v>0</v>
      </c>
      <c r="G5133" s="27">
        <v>0</v>
      </c>
      <c r="H5133" s="27">
        <v>0</v>
      </c>
      <c r="I5133" s="27">
        <v>0</v>
      </c>
      <c r="J5133" s="27">
        <v>0</v>
      </c>
      <c r="K5133" s="63">
        <f>AVERAGE(I5133:J5133)</f>
        <v>0</v>
      </c>
      <c r="L5133" s="56" t="str">
        <f>"SW-RISER-PACK"</f>
        <v>SW-RISER-PACK</v>
      </c>
      <c r="M5133" s="14"/>
      <c r="N5133" s="15"/>
      <c r="O5133" s="12"/>
      <c r="P5133" s="34"/>
      <c r="Q5133" s="37"/>
      <c r="R5133" s="47"/>
      <c r="S5133" s="46"/>
    </row>
    <row r="5134" spans="1:19" ht="12" hidden="1" customHeight="1" x14ac:dyDescent="0.3">
      <c r="A5134" s="35" t="s">
        <v>908</v>
      </c>
      <c r="B5134" s="49" t="str">
        <f>B5130</f>
        <v>hide</v>
      </c>
      <c r="N5134"/>
      <c r="Q5134" s="33"/>
    </row>
    <row r="5135" spans="1:19" ht="13.8" hidden="1" thickBot="1" x14ac:dyDescent="0.3">
      <c r="A5135" t="s">
        <v>23</v>
      </c>
      <c r="B5135" s="49" t="str">
        <f t="shared" ref="B5135" si="3677">B5134</f>
        <v>hide</v>
      </c>
      <c r="D5135" s="58"/>
      <c r="E5135" s="58"/>
      <c r="F5135" s="52">
        <f>SUM(F5130:F5134)</f>
        <v>0</v>
      </c>
      <c r="G5135" s="52">
        <f>SUM(G5130:G5134)</f>
        <v>0</v>
      </c>
      <c r="H5135" s="52">
        <f>SUM(H5130:H5134)</f>
        <v>0</v>
      </c>
      <c r="I5135" s="52">
        <f>SUM(I5130:I5134)</f>
        <v>0</v>
      </c>
      <c r="J5135" s="52">
        <f>SUM(J5130:J5134)</f>
        <v>0</v>
      </c>
      <c r="K5135" s="52"/>
      <c r="L5135" s="51" t="s">
        <v>4</v>
      </c>
      <c r="M5135" s="58"/>
      <c r="N5135" s="58"/>
      <c r="O5135" s="58"/>
      <c r="P5135" s="58"/>
      <c r="Q5135" s="58"/>
      <c r="R5135" s="58"/>
      <c r="S5135" s="58"/>
    </row>
    <row r="5136" spans="1:19" s="59" customFormat="1" ht="18.75" hidden="1" customHeight="1" thickBot="1" x14ac:dyDescent="0.3">
      <c r="A5136" s="59" t="s">
        <v>23</v>
      </c>
      <c r="B5136" s="60" t="str">
        <f t="shared" ref="B5136:B5137" si="3678">IF(K5136=0,"hide","")</f>
        <v>hide</v>
      </c>
      <c r="D5136" s="61" t="str">
        <f>"94632"</f>
        <v>94632</v>
      </c>
      <c r="E5136" s="62" t="str">
        <f>"2"</f>
        <v>2</v>
      </c>
      <c r="F5136" s="63">
        <v>0</v>
      </c>
      <c r="G5136" s="63">
        <v>0</v>
      </c>
      <c r="H5136" s="63">
        <v>0</v>
      </c>
      <c r="I5136" s="63">
        <v>0</v>
      </c>
      <c r="J5136" s="63">
        <v>0</v>
      </c>
      <c r="K5136" s="63">
        <f>AVERAGE(I5136:J5136)</f>
        <v>0</v>
      </c>
      <c r="L5136" s="64" t="str">
        <f>"WH WH EVERYTHING BAGELS SLICED"</f>
        <v>WH WH EVERYTHING BAGELS SLICED</v>
      </c>
      <c r="M5136" s="65" t="str">
        <f>"82-2oz. Bulk"</f>
        <v>82-2oz. Bulk</v>
      </c>
      <c r="N5136" s="66">
        <v>84</v>
      </c>
      <c r="O5136" s="67" t="str">
        <f>""</f>
        <v/>
      </c>
      <c r="P5136" s="68" t="e">
        <f>1/O5136</f>
        <v>#VALUE!</v>
      </c>
      <c r="Q5136" s="53">
        <v>1</v>
      </c>
      <c r="R5136" s="69">
        <f t="shared" ref="R5136" si="3679">1/Q5136</f>
        <v>1</v>
      </c>
      <c r="S5136" s="70">
        <f t="shared" ref="S5136" si="3680">R5136*N5136</f>
        <v>84</v>
      </c>
    </row>
    <row r="5137" spans="1:19" ht="15.6" hidden="1" customHeight="1" thickBot="1" x14ac:dyDescent="0.3">
      <c r="A5137" t="s">
        <v>23</v>
      </c>
      <c r="B5137" s="60" t="str">
        <f t="shared" si="3678"/>
        <v>hide</v>
      </c>
      <c r="D5137" s="48" t="str">
        <f>D5136</f>
        <v>94632</v>
      </c>
      <c r="E5137" s="7"/>
      <c r="F5137" s="27">
        <v>0</v>
      </c>
      <c r="G5137" s="27">
        <v>0</v>
      </c>
      <c r="H5137" s="27">
        <v>0</v>
      </c>
      <c r="I5137" s="27">
        <v>0</v>
      </c>
      <c r="J5137" s="27">
        <v>0</v>
      </c>
      <c r="K5137" s="63">
        <f>AVERAGE(I5137:J5137)</f>
        <v>0</v>
      </c>
      <c r="L5137" s="56" t="str">
        <f>"EQP-LAWPACK1"</f>
        <v>EQP-LAWPACK1</v>
      </c>
      <c r="M5137" s="14"/>
      <c r="N5137" s="15"/>
      <c r="O5137" s="12"/>
      <c r="P5137" s="34"/>
      <c r="Q5137" s="37"/>
      <c r="R5137" s="47"/>
      <c r="S5137" s="46"/>
    </row>
    <row r="5138" spans="1:19" ht="15.6" hidden="1" customHeight="1" thickBot="1" x14ac:dyDescent="0.3">
      <c r="A5138" t="s">
        <v>23</v>
      </c>
      <c r="B5138" s="60" t="str">
        <f t="shared" ref="B5138:B5140" si="3681">IF(K5138=0,"hide","")</f>
        <v>hide</v>
      </c>
      <c r="D5138" s="48" t="str">
        <f>D5137</f>
        <v>94632</v>
      </c>
      <c r="E5138" s="7"/>
      <c r="F5138" s="27">
        <v>0</v>
      </c>
      <c r="G5138" s="27">
        <v>0</v>
      </c>
      <c r="H5138" s="27">
        <v>0</v>
      </c>
      <c r="I5138" s="27">
        <v>0</v>
      </c>
      <c r="J5138" s="27">
        <v>0</v>
      </c>
      <c r="K5138" s="63">
        <f>AVERAGE(I5138:J5138)</f>
        <v>0</v>
      </c>
      <c r="L5138" s="56" t="str">
        <f>"EQP-LAWPACK2"</f>
        <v>EQP-LAWPACK2</v>
      </c>
      <c r="M5138" s="14"/>
      <c r="N5138" s="15"/>
      <c r="O5138" s="12"/>
      <c r="P5138" s="34"/>
      <c r="Q5138" s="37"/>
      <c r="R5138" s="47"/>
      <c r="S5138" s="46"/>
    </row>
    <row r="5139" spans="1:19" ht="15.6" hidden="1" customHeight="1" thickBot="1" x14ac:dyDescent="0.3">
      <c r="A5139" t="s">
        <v>23</v>
      </c>
      <c r="B5139" s="60" t="str">
        <f t="shared" si="3681"/>
        <v>hide</v>
      </c>
      <c r="D5139" s="48" t="str">
        <f>D5138</f>
        <v>94632</v>
      </c>
      <c r="E5139" s="7"/>
      <c r="F5139" s="27">
        <v>0</v>
      </c>
      <c r="G5139" s="27">
        <v>0</v>
      </c>
      <c r="H5139" s="27">
        <v>0</v>
      </c>
      <c r="I5139" s="27">
        <v>0</v>
      </c>
      <c r="J5139" s="27">
        <v>0</v>
      </c>
      <c r="K5139" s="63">
        <f>AVERAGE(I5139:J5139)</f>
        <v>0</v>
      </c>
      <c r="L5139" s="56" t="str">
        <f>"SW-COMAS-PACKL"</f>
        <v>SW-COMAS-PACKL</v>
      </c>
      <c r="M5139" s="14"/>
      <c r="N5139" s="15"/>
      <c r="O5139" s="12"/>
      <c r="P5139" s="34"/>
      <c r="Q5139" s="37"/>
      <c r="R5139" s="47"/>
      <c r="S5139" s="46"/>
    </row>
    <row r="5140" spans="1:19" ht="15.6" hidden="1" customHeight="1" thickBot="1" x14ac:dyDescent="0.3">
      <c r="A5140" t="s">
        <v>23</v>
      </c>
      <c r="B5140" s="60" t="str">
        <f t="shared" si="3681"/>
        <v>hide</v>
      </c>
      <c r="D5140" s="48" t="str">
        <f>D5139</f>
        <v>94632</v>
      </c>
      <c r="E5140" s="7"/>
      <c r="F5140" s="27">
        <v>0</v>
      </c>
      <c r="G5140" s="27">
        <v>0</v>
      </c>
      <c r="H5140" s="27">
        <v>0</v>
      </c>
      <c r="I5140" s="27">
        <v>0</v>
      </c>
      <c r="J5140" s="27">
        <v>0</v>
      </c>
      <c r="K5140" s="63">
        <f>AVERAGE(I5140:J5140)</f>
        <v>0</v>
      </c>
      <c r="L5140" s="56" t="str">
        <f>"SW-RISER-PACK"</f>
        <v>SW-RISER-PACK</v>
      </c>
      <c r="M5140" s="14"/>
      <c r="N5140" s="15"/>
      <c r="O5140" s="12"/>
      <c r="P5140" s="34"/>
      <c r="Q5140" s="37"/>
      <c r="R5140" s="47"/>
      <c r="S5140" s="46"/>
    </row>
    <row r="5141" spans="1:19" ht="12" hidden="1" customHeight="1" x14ac:dyDescent="0.3">
      <c r="A5141" s="35" t="s">
        <v>908</v>
      </c>
      <c r="B5141" s="49" t="str">
        <f>B5137</f>
        <v>hide</v>
      </c>
      <c r="N5141"/>
      <c r="Q5141" s="33"/>
    </row>
    <row r="5142" spans="1:19" ht="13.8" hidden="1" thickBot="1" x14ac:dyDescent="0.3">
      <c r="A5142" t="s">
        <v>23</v>
      </c>
      <c r="B5142" s="49" t="str">
        <f t="shared" ref="B5142" si="3682">B5141</f>
        <v>hide</v>
      </c>
      <c r="D5142" s="58"/>
      <c r="E5142" s="58"/>
      <c r="F5142" s="52">
        <f>SUM(F5137:F5141)</f>
        <v>0</v>
      </c>
      <c r="G5142" s="52">
        <f>SUM(G5137:G5141)</f>
        <v>0</v>
      </c>
      <c r="H5142" s="52">
        <f>SUM(H5137:H5141)</f>
        <v>0</v>
      </c>
      <c r="I5142" s="52">
        <f>SUM(I5137:I5141)</f>
        <v>0</v>
      </c>
      <c r="J5142" s="52">
        <f>SUM(J5137:J5141)</f>
        <v>0</v>
      </c>
      <c r="K5142" s="52"/>
      <c r="L5142" s="51" t="s">
        <v>4</v>
      </c>
      <c r="M5142" s="58"/>
      <c r="N5142" s="58"/>
      <c r="O5142" s="58"/>
      <c r="P5142" s="58"/>
      <c r="Q5142" s="58"/>
      <c r="R5142" s="58"/>
      <c r="S5142" s="58"/>
    </row>
    <row r="5143" spans="1:19" s="59" customFormat="1" ht="18.75" hidden="1" customHeight="1" thickBot="1" x14ac:dyDescent="0.3">
      <c r="A5143" s="59" t="s">
        <v>23</v>
      </c>
      <c r="B5143" s="60" t="str">
        <f t="shared" ref="B5143:B5144" si="3683">IF(K5143=0,"hide","")</f>
        <v>hide</v>
      </c>
      <c r="D5143" s="61" t="str">
        <f>"94660"</f>
        <v>94660</v>
      </c>
      <c r="E5143" s="62" t="str">
        <f>"2"</f>
        <v>2</v>
      </c>
      <c r="F5143" s="63">
        <v>8</v>
      </c>
      <c r="G5143" s="63">
        <v>0</v>
      </c>
      <c r="H5143" s="63">
        <v>0</v>
      </c>
      <c r="I5143" s="63">
        <v>0</v>
      </c>
      <c r="J5143" s="63">
        <v>0</v>
      </c>
      <c r="K5143" s="63">
        <f>AVERAGE(I5143:J5143)</f>
        <v>0</v>
      </c>
      <c r="L5143" s="64" t="str">
        <f>"WHWH Fr Toast BAGELS SLICED"</f>
        <v>WHWH Fr Toast BAGELS SLICED</v>
      </c>
      <c r="M5143" s="65" t="str">
        <f>"84-2 oz. Bulk"</f>
        <v>84-2 oz. Bulk</v>
      </c>
      <c r="N5143" s="66">
        <v>84</v>
      </c>
      <c r="O5143" s="67" t="str">
        <f>""</f>
        <v/>
      </c>
      <c r="P5143" s="68" t="e">
        <f>1/O5143</f>
        <v>#VALUE!</v>
      </c>
      <c r="Q5143" s="53">
        <v>1</v>
      </c>
      <c r="R5143" s="69">
        <f t="shared" ref="R5143" si="3684">1/Q5143</f>
        <v>1</v>
      </c>
      <c r="S5143" s="70">
        <f t="shared" ref="S5143" si="3685">R5143*N5143</f>
        <v>84</v>
      </c>
    </row>
    <row r="5144" spans="1:19" ht="15.6" hidden="1" customHeight="1" thickBot="1" x14ac:dyDescent="0.3">
      <c r="A5144" t="s">
        <v>23</v>
      </c>
      <c r="B5144" s="60" t="str">
        <f t="shared" si="3683"/>
        <v>hide</v>
      </c>
      <c r="D5144" s="48" t="str">
        <f>D5143</f>
        <v>94660</v>
      </c>
      <c r="E5144" s="7"/>
      <c r="F5144" s="27">
        <v>0</v>
      </c>
      <c r="G5144" s="27">
        <v>0</v>
      </c>
      <c r="H5144" s="27">
        <v>0</v>
      </c>
      <c r="I5144" s="27">
        <v>0</v>
      </c>
      <c r="J5144" s="27">
        <v>0</v>
      </c>
      <c r="K5144" s="63">
        <f>AVERAGE(I5144:J5144)</f>
        <v>0</v>
      </c>
      <c r="L5144" s="56" t="str">
        <f>"EQP-LAWPACK1"</f>
        <v>EQP-LAWPACK1</v>
      </c>
      <c r="M5144" s="14"/>
      <c r="N5144" s="15"/>
      <c r="O5144" s="12"/>
      <c r="P5144" s="34"/>
      <c r="Q5144" s="37"/>
      <c r="R5144" s="47"/>
      <c r="S5144" s="46"/>
    </row>
    <row r="5145" spans="1:19" ht="15.6" hidden="1" customHeight="1" thickBot="1" x14ac:dyDescent="0.3">
      <c r="A5145" t="s">
        <v>23</v>
      </c>
      <c r="B5145" s="60" t="str">
        <f t="shared" ref="B5145:B5147" si="3686">IF(K5145=0,"hide","")</f>
        <v>hide</v>
      </c>
      <c r="D5145" s="48" t="str">
        <f>D5144</f>
        <v>94660</v>
      </c>
      <c r="E5145" s="7"/>
      <c r="F5145" s="27">
        <v>0</v>
      </c>
      <c r="G5145" s="27">
        <v>0</v>
      </c>
      <c r="H5145" s="27">
        <v>0</v>
      </c>
      <c r="I5145" s="27">
        <v>0</v>
      </c>
      <c r="J5145" s="27">
        <v>0</v>
      </c>
      <c r="K5145" s="63">
        <f>AVERAGE(I5145:J5145)</f>
        <v>0</v>
      </c>
      <c r="L5145" s="56" t="str">
        <f>"EQP-LAWPACK2"</f>
        <v>EQP-LAWPACK2</v>
      </c>
      <c r="M5145" s="14"/>
      <c r="N5145" s="15"/>
      <c r="O5145" s="12"/>
      <c r="P5145" s="34"/>
      <c r="Q5145" s="37"/>
      <c r="R5145" s="47"/>
      <c r="S5145" s="46"/>
    </row>
    <row r="5146" spans="1:19" ht="15.6" hidden="1" customHeight="1" thickBot="1" x14ac:dyDescent="0.3">
      <c r="A5146" t="s">
        <v>23</v>
      </c>
      <c r="B5146" s="60" t="str">
        <f t="shared" si="3686"/>
        <v>hide</v>
      </c>
      <c r="D5146" s="48" t="str">
        <f>D5145</f>
        <v>94660</v>
      </c>
      <c r="E5146" s="7"/>
      <c r="F5146" s="27">
        <v>0</v>
      </c>
      <c r="G5146" s="27">
        <v>0</v>
      </c>
      <c r="H5146" s="27">
        <v>0</v>
      </c>
      <c r="I5146" s="27">
        <v>0</v>
      </c>
      <c r="J5146" s="27">
        <v>0</v>
      </c>
      <c r="K5146" s="63">
        <f>AVERAGE(I5146:J5146)</f>
        <v>0</v>
      </c>
      <c r="L5146" s="56" t="str">
        <f>"SW-COMAS-PACKL"</f>
        <v>SW-COMAS-PACKL</v>
      </c>
      <c r="M5146" s="14"/>
      <c r="N5146" s="15"/>
      <c r="O5146" s="12"/>
      <c r="P5146" s="34"/>
      <c r="Q5146" s="37"/>
      <c r="R5146" s="47"/>
      <c r="S5146" s="46"/>
    </row>
    <row r="5147" spans="1:19" ht="15.6" hidden="1" customHeight="1" thickBot="1" x14ac:dyDescent="0.3">
      <c r="A5147" t="s">
        <v>23</v>
      </c>
      <c r="B5147" s="60" t="str">
        <f t="shared" si="3686"/>
        <v>hide</v>
      </c>
      <c r="D5147" s="48" t="str">
        <f>D5146</f>
        <v>94660</v>
      </c>
      <c r="E5147" s="7"/>
      <c r="F5147" s="27">
        <v>0</v>
      </c>
      <c r="G5147" s="27">
        <v>0</v>
      </c>
      <c r="H5147" s="27">
        <v>0</v>
      </c>
      <c r="I5147" s="27">
        <v>0</v>
      </c>
      <c r="J5147" s="27">
        <v>0</v>
      </c>
      <c r="K5147" s="63">
        <f>AVERAGE(I5147:J5147)</f>
        <v>0</v>
      </c>
      <c r="L5147" s="56" t="str">
        <f>"SW-RISER-PACK"</f>
        <v>SW-RISER-PACK</v>
      </c>
      <c r="M5147" s="14"/>
      <c r="N5147" s="15"/>
      <c r="O5147" s="12"/>
      <c r="P5147" s="34"/>
      <c r="Q5147" s="37"/>
      <c r="R5147" s="47"/>
      <c r="S5147" s="46"/>
    </row>
    <row r="5148" spans="1:19" ht="12" hidden="1" customHeight="1" x14ac:dyDescent="0.3">
      <c r="A5148" s="35" t="s">
        <v>908</v>
      </c>
      <c r="B5148" s="49" t="str">
        <f>B5144</f>
        <v>hide</v>
      </c>
      <c r="N5148"/>
      <c r="Q5148" s="33"/>
    </row>
    <row r="5149" spans="1:19" ht="13.8" hidden="1" thickBot="1" x14ac:dyDescent="0.3">
      <c r="A5149" t="s">
        <v>23</v>
      </c>
      <c r="B5149" s="49" t="str">
        <f t="shared" ref="B5149" si="3687">B5148</f>
        <v>hide</v>
      </c>
      <c r="D5149" s="58"/>
      <c r="E5149" s="58"/>
      <c r="F5149" s="52">
        <f>SUM(F5144:F5148)</f>
        <v>0</v>
      </c>
      <c r="G5149" s="52">
        <f>SUM(G5144:G5148)</f>
        <v>0</v>
      </c>
      <c r="H5149" s="52">
        <f>SUM(H5144:H5148)</f>
        <v>0</v>
      </c>
      <c r="I5149" s="52">
        <f>SUM(I5144:I5148)</f>
        <v>0</v>
      </c>
      <c r="J5149" s="52">
        <f>SUM(J5144:J5148)</f>
        <v>0</v>
      </c>
      <c r="K5149" s="52"/>
      <c r="L5149" s="51" t="s">
        <v>4</v>
      </c>
      <c r="M5149" s="58"/>
      <c r="N5149" s="58"/>
      <c r="O5149" s="58"/>
      <c r="P5149" s="58"/>
      <c r="Q5149" s="58"/>
      <c r="R5149" s="58"/>
      <c r="S5149" s="58"/>
    </row>
    <row r="5150" spans="1:19" s="59" customFormat="1" ht="18.75" customHeight="1" thickBot="1" x14ac:dyDescent="0.3">
      <c r="A5150" s="59" t="s">
        <v>23</v>
      </c>
      <c r="B5150" s="60" t="str">
        <f t="shared" ref="B5150:B5151" si="3688">IF(K5150=0,"hide","")</f>
        <v/>
      </c>
      <c r="D5150" s="61" t="str">
        <f>"94695"</f>
        <v>94695</v>
      </c>
      <c r="E5150" s="62" t="str">
        <f>"4"</f>
        <v>4</v>
      </c>
      <c r="F5150" s="63">
        <v>2250</v>
      </c>
      <c r="G5150" s="63">
        <v>1676.5</v>
      </c>
      <c r="H5150" s="63">
        <v>2373.6666666666665</v>
      </c>
      <c r="I5150" s="63">
        <v>3293.6666666666665</v>
      </c>
      <c r="J5150" s="63">
        <v>1488.7845783132532</v>
      </c>
      <c r="K5150" s="63">
        <f>AVERAGE(I5150:J5150)</f>
        <v>2391.2256224899597</v>
      </c>
      <c r="L5150" s="64" t="str">
        <f>"HONEY WH WH BAGELS SLICED"</f>
        <v>HONEY WH WH BAGELS SLICED</v>
      </c>
      <c r="M5150" s="65" t="str">
        <f>"84-2 oz. Bulk"</f>
        <v>84-2 oz. Bulk</v>
      </c>
      <c r="N5150" s="66">
        <v>84</v>
      </c>
      <c r="O5150" s="67" t="str">
        <f>""</f>
        <v/>
      </c>
      <c r="P5150" s="68" t="e">
        <f>1/O5150</f>
        <v>#VALUE!</v>
      </c>
      <c r="Q5150" s="53">
        <v>1</v>
      </c>
      <c r="R5150" s="69">
        <f t="shared" ref="R5150" si="3689">1/Q5150</f>
        <v>1</v>
      </c>
      <c r="S5150" s="70">
        <f t="shared" ref="S5150" si="3690">R5150*N5150</f>
        <v>84</v>
      </c>
    </row>
    <row r="5151" spans="1:19" ht="15.6" hidden="1" customHeight="1" thickBot="1" x14ac:dyDescent="0.3">
      <c r="A5151" t="s">
        <v>23</v>
      </c>
      <c r="B5151" s="60" t="str">
        <f t="shared" si="3688"/>
        <v>hide</v>
      </c>
      <c r="D5151" s="48" t="str">
        <f>D5150</f>
        <v>94695</v>
      </c>
      <c r="E5151" s="7"/>
      <c r="F5151" s="27">
        <v>0</v>
      </c>
      <c r="G5151" s="27">
        <v>0</v>
      </c>
      <c r="H5151" s="27">
        <v>0</v>
      </c>
      <c r="I5151" s="27">
        <v>0</v>
      </c>
      <c r="J5151" s="27">
        <v>0</v>
      </c>
      <c r="K5151" s="63">
        <f>AVERAGE(I5151:J5151)</f>
        <v>0</v>
      </c>
      <c r="L5151" s="56" t="str">
        <f>"EQP-LAWPACK1"</f>
        <v>EQP-LAWPACK1</v>
      </c>
      <c r="M5151" s="14"/>
      <c r="N5151" s="15"/>
      <c r="O5151" s="12"/>
      <c r="P5151" s="34"/>
      <c r="Q5151" s="37"/>
      <c r="R5151" s="47"/>
      <c r="S5151" s="46"/>
    </row>
    <row r="5152" spans="1:19" ht="15.6" hidden="1" customHeight="1" thickBot="1" x14ac:dyDescent="0.3">
      <c r="A5152" t="s">
        <v>23</v>
      </c>
      <c r="B5152" s="60" t="str">
        <f t="shared" ref="B5152:B5154" si="3691">IF(K5152=0,"hide","")</f>
        <v>hide</v>
      </c>
      <c r="D5152" s="48" t="str">
        <f>D5151</f>
        <v>94695</v>
      </c>
      <c r="E5152" s="7"/>
      <c r="F5152" s="27">
        <v>0</v>
      </c>
      <c r="G5152" s="27">
        <v>0</v>
      </c>
      <c r="H5152" s="27">
        <v>0</v>
      </c>
      <c r="I5152" s="27">
        <v>0</v>
      </c>
      <c r="J5152" s="27">
        <v>0</v>
      </c>
      <c r="K5152" s="63">
        <f>AVERAGE(I5152:J5152)</f>
        <v>0</v>
      </c>
      <c r="L5152" s="56" t="str">
        <f>"EQP-LAWPACK2"</f>
        <v>EQP-LAWPACK2</v>
      </c>
      <c r="M5152" s="14"/>
      <c r="N5152" s="15"/>
      <c r="O5152" s="12"/>
      <c r="P5152" s="34"/>
      <c r="Q5152" s="37"/>
      <c r="R5152" s="47"/>
      <c r="S5152" s="46"/>
    </row>
    <row r="5153" spans="1:19" ht="15.6" hidden="1" customHeight="1" thickBot="1" x14ac:dyDescent="0.3">
      <c r="A5153" t="s">
        <v>23</v>
      </c>
      <c r="B5153" s="60" t="str">
        <f t="shared" si="3691"/>
        <v>hide</v>
      </c>
      <c r="D5153" s="48" t="str">
        <f>D5152</f>
        <v>94695</v>
      </c>
      <c r="E5153" s="7"/>
      <c r="F5153" s="27">
        <v>0</v>
      </c>
      <c r="G5153" s="27">
        <v>0</v>
      </c>
      <c r="H5153" s="27">
        <v>0</v>
      </c>
      <c r="I5153" s="27">
        <v>0</v>
      </c>
      <c r="J5153" s="27">
        <v>0</v>
      </c>
      <c r="K5153" s="63">
        <f>AVERAGE(I5153:J5153)</f>
        <v>0</v>
      </c>
      <c r="L5153" s="56" t="str">
        <f>"SW-COMAS-PACKL"</f>
        <v>SW-COMAS-PACKL</v>
      </c>
      <c r="M5153" s="14"/>
      <c r="N5153" s="15"/>
      <c r="O5153" s="12"/>
      <c r="P5153" s="34"/>
      <c r="Q5153" s="37"/>
      <c r="R5153" s="47"/>
      <c r="S5153" s="46"/>
    </row>
    <row r="5154" spans="1:19" ht="15.6" hidden="1" customHeight="1" thickBot="1" x14ac:dyDescent="0.3">
      <c r="A5154" t="s">
        <v>23</v>
      </c>
      <c r="B5154" s="60" t="str">
        <f t="shared" si="3691"/>
        <v>hide</v>
      </c>
      <c r="D5154" s="48" t="str">
        <f>D5153</f>
        <v>94695</v>
      </c>
      <c r="E5154" s="7"/>
      <c r="F5154" s="27">
        <v>0</v>
      </c>
      <c r="G5154" s="27">
        <v>0</v>
      </c>
      <c r="H5154" s="27">
        <v>0</v>
      </c>
      <c r="I5154" s="27">
        <v>0</v>
      </c>
      <c r="J5154" s="27">
        <v>0</v>
      </c>
      <c r="K5154" s="63">
        <f>AVERAGE(I5154:J5154)</f>
        <v>0</v>
      </c>
      <c r="L5154" s="56" t="str">
        <f>"SW-RISER-PACK"</f>
        <v>SW-RISER-PACK</v>
      </c>
      <c r="M5154" s="14"/>
      <c r="N5154" s="15"/>
      <c r="O5154" s="12"/>
      <c r="P5154" s="34"/>
      <c r="Q5154" s="37"/>
      <c r="R5154" s="47"/>
      <c r="S5154" s="46"/>
    </row>
    <row r="5155" spans="1:19" ht="12" hidden="1" customHeight="1" x14ac:dyDescent="0.3">
      <c r="A5155" s="35" t="s">
        <v>908</v>
      </c>
      <c r="B5155" s="49" t="str">
        <f>B5151</f>
        <v>hide</v>
      </c>
      <c r="N5155"/>
      <c r="Q5155" s="33"/>
    </row>
    <row r="5156" spans="1:19" ht="13.8" hidden="1" thickBot="1" x14ac:dyDescent="0.3">
      <c r="A5156" t="s">
        <v>23</v>
      </c>
      <c r="B5156" s="49" t="str">
        <f t="shared" ref="B5156" si="3692">B5155</f>
        <v>hide</v>
      </c>
      <c r="D5156" s="58"/>
      <c r="E5156" s="58"/>
      <c r="F5156" s="52">
        <f>SUM(F5151:F5155)</f>
        <v>0</v>
      </c>
      <c r="G5156" s="52">
        <f>SUM(G5151:G5155)</f>
        <v>0</v>
      </c>
      <c r="H5156" s="52">
        <f>SUM(H5151:H5155)</f>
        <v>0</v>
      </c>
      <c r="I5156" s="52">
        <f>SUM(I5151:I5155)</f>
        <v>0</v>
      </c>
      <c r="J5156" s="52">
        <f>SUM(J5151:J5155)</f>
        <v>0</v>
      </c>
      <c r="K5156" s="52"/>
      <c r="L5156" s="51" t="s">
        <v>4</v>
      </c>
      <c r="M5156" s="58"/>
      <c r="N5156" s="58"/>
      <c r="O5156" s="58"/>
      <c r="P5156" s="58"/>
      <c r="Q5156" s="58"/>
      <c r="R5156" s="58"/>
      <c r="S5156" s="58"/>
    </row>
    <row r="5157" spans="1:19" s="59" customFormat="1" ht="18.75" hidden="1" customHeight="1" thickBot="1" x14ac:dyDescent="0.3">
      <c r="A5157" s="59" t="s">
        <v>23</v>
      </c>
      <c r="B5157" s="60" t="str">
        <f t="shared" ref="B5157:B5158" si="3693">IF(K5157=0,"hide","")</f>
        <v>hide</v>
      </c>
      <c r="D5157" s="61" t="str">
        <f>"95405"</f>
        <v>95405</v>
      </c>
      <c r="E5157" s="62" t="str">
        <f>"2"</f>
        <v>2</v>
      </c>
      <c r="F5157" s="63">
        <v>0</v>
      </c>
      <c r="G5157" s="63">
        <v>0</v>
      </c>
      <c r="H5157" s="63">
        <v>0</v>
      </c>
      <c r="I5157" s="63">
        <v>0</v>
      </c>
      <c r="J5157" s="63">
        <v>0</v>
      </c>
      <c r="K5157" s="63">
        <f>AVERAGE(I5157:J5157)</f>
        <v>0</v>
      </c>
      <c r="L5157" s="64" t="str">
        <f>"CORNBREAD LOAVES"</f>
        <v>CORNBREAD LOAVES</v>
      </c>
      <c r="M5157" s="65" t="str">
        <f>"72-2oz. Ind.Wrap"</f>
        <v>72-2oz. Ind.Wrap</v>
      </c>
      <c r="N5157" s="66">
        <v>72</v>
      </c>
      <c r="O5157" s="67" t="str">
        <f>""</f>
        <v/>
      </c>
      <c r="P5157" s="68" t="e">
        <f>1/O5157</f>
        <v>#VALUE!</v>
      </c>
      <c r="Q5157" s="53">
        <v>1</v>
      </c>
      <c r="R5157" s="69">
        <f t="shared" ref="R5157" si="3694">1/Q5157</f>
        <v>1</v>
      </c>
      <c r="S5157" s="70">
        <f t="shared" ref="S5157" si="3695">R5157*N5157</f>
        <v>72</v>
      </c>
    </row>
    <row r="5158" spans="1:19" ht="15.6" hidden="1" customHeight="1" thickBot="1" x14ac:dyDescent="0.3">
      <c r="A5158" t="s">
        <v>23</v>
      </c>
      <c r="B5158" s="60" t="str">
        <f t="shared" si="3693"/>
        <v>hide</v>
      </c>
      <c r="D5158" s="48" t="str">
        <f>D5157</f>
        <v>95405</v>
      </c>
      <c r="E5158" s="7"/>
      <c r="F5158" s="27">
        <v>0</v>
      </c>
      <c r="G5158" s="27">
        <v>0</v>
      </c>
      <c r="H5158" s="27">
        <v>0</v>
      </c>
      <c r="I5158" s="27">
        <v>0</v>
      </c>
      <c r="J5158" s="27">
        <v>0</v>
      </c>
      <c r="K5158" s="63">
        <f>AVERAGE(I5158:J5158)</f>
        <v>0</v>
      </c>
      <c r="L5158" s="56" t="str">
        <f>"EQP-LAWPACK1"</f>
        <v>EQP-LAWPACK1</v>
      </c>
      <c r="M5158" s="14"/>
      <c r="N5158" s="15"/>
      <c r="O5158" s="12"/>
      <c r="P5158" s="34"/>
      <c r="Q5158" s="37"/>
      <c r="R5158" s="47"/>
      <c r="S5158" s="46"/>
    </row>
    <row r="5159" spans="1:19" ht="15.6" hidden="1" customHeight="1" thickBot="1" x14ac:dyDescent="0.3">
      <c r="A5159" t="s">
        <v>23</v>
      </c>
      <c r="B5159" s="60" t="str">
        <f t="shared" ref="B5159:B5161" si="3696">IF(K5159=0,"hide","")</f>
        <v>hide</v>
      </c>
      <c r="D5159" s="48" t="str">
        <f>D5158</f>
        <v>95405</v>
      </c>
      <c r="E5159" s="7"/>
      <c r="F5159" s="27">
        <v>0</v>
      </c>
      <c r="G5159" s="27">
        <v>0</v>
      </c>
      <c r="H5159" s="27">
        <v>0</v>
      </c>
      <c r="I5159" s="27">
        <v>0</v>
      </c>
      <c r="J5159" s="27">
        <v>0</v>
      </c>
      <c r="K5159" s="63">
        <f>AVERAGE(I5159:J5159)</f>
        <v>0</v>
      </c>
      <c r="L5159" s="56" t="str">
        <f>"EQP-LAWPACK2"</f>
        <v>EQP-LAWPACK2</v>
      </c>
      <c r="M5159" s="14"/>
      <c r="N5159" s="15"/>
      <c r="O5159" s="12"/>
      <c r="P5159" s="34"/>
      <c r="Q5159" s="37"/>
      <c r="R5159" s="47"/>
      <c r="S5159" s="46"/>
    </row>
    <row r="5160" spans="1:19" ht="15.6" hidden="1" customHeight="1" thickBot="1" x14ac:dyDescent="0.3">
      <c r="A5160" t="s">
        <v>23</v>
      </c>
      <c r="B5160" s="60" t="str">
        <f t="shared" si="3696"/>
        <v>hide</v>
      </c>
      <c r="D5160" s="48" t="str">
        <f>D5159</f>
        <v>95405</v>
      </c>
      <c r="E5160" s="7"/>
      <c r="F5160" s="27">
        <v>0</v>
      </c>
      <c r="G5160" s="27">
        <v>0</v>
      </c>
      <c r="H5160" s="27">
        <v>0</v>
      </c>
      <c r="I5160" s="27">
        <v>0</v>
      </c>
      <c r="J5160" s="27">
        <v>0</v>
      </c>
      <c r="K5160" s="63">
        <f>AVERAGE(I5160:J5160)</f>
        <v>0</v>
      </c>
      <c r="L5160" s="56" t="str">
        <f>"SW-COMAS-PACKL"</f>
        <v>SW-COMAS-PACKL</v>
      </c>
      <c r="M5160" s="14"/>
      <c r="N5160" s="15"/>
      <c r="O5160" s="12"/>
      <c r="P5160" s="34"/>
      <c r="Q5160" s="37"/>
      <c r="R5160" s="47"/>
      <c r="S5160" s="46"/>
    </row>
    <row r="5161" spans="1:19" ht="15.6" hidden="1" customHeight="1" thickBot="1" x14ac:dyDescent="0.3">
      <c r="A5161" t="s">
        <v>23</v>
      </c>
      <c r="B5161" s="60" t="str">
        <f t="shared" si="3696"/>
        <v>hide</v>
      </c>
      <c r="D5161" s="48" t="str">
        <f>D5160</f>
        <v>95405</v>
      </c>
      <c r="E5161" s="7"/>
      <c r="F5161" s="27">
        <v>0</v>
      </c>
      <c r="G5161" s="27">
        <v>0</v>
      </c>
      <c r="H5161" s="27">
        <v>0</v>
      </c>
      <c r="I5161" s="27">
        <v>0</v>
      </c>
      <c r="J5161" s="27">
        <v>0</v>
      </c>
      <c r="K5161" s="63">
        <f>AVERAGE(I5161:J5161)</f>
        <v>0</v>
      </c>
      <c r="L5161" s="56" t="str">
        <f>"SW-RISER-PACK"</f>
        <v>SW-RISER-PACK</v>
      </c>
      <c r="M5161" s="14"/>
      <c r="N5161" s="15"/>
      <c r="O5161" s="12"/>
      <c r="P5161" s="34"/>
      <c r="Q5161" s="37"/>
      <c r="R5161" s="47"/>
      <c r="S5161" s="46"/>
    </row>
    <row r="5162" spans="1:19" ht="12" hidden="1" customHeight="1" x14ac:dyDescent="0.3">
      <c r="A5162" s="35" t="s">
        <v>908</v>
      </c>
      <c r="B5162" s="49" t="str">
        <f>B5158</f>
        <v>hide</v>
      </c>
      <c r="N5162"/>
      <c r="Q5162" s="33"/>
    </row>
    <row r="5163" spans="1:19" ht="13.8" hidden="1" thickBot="1" x14ac:dyDescent="0.3">
      <c r="A5163" t="s">
        <v>23</v>
      </c>
      <c r="B5163" s="49" t="str">
        <f t="shared" ref="B5163" si="3697">B5162</f>
        <v>hide</v>
      </c>
      <c r="D5163" s="58"/>
      <c r="E5163" s="58"/>
      <c r="F5163" s="52">
        <f>SUM(F5158:F5162)</f>
        <v>0</v>
      </c>
      <c r="G5163" s="52">
        <f>SUM(G5158:G5162)</f>
        <v>0</v>
      </c>
      <c r="H5163" s="52">
        <f>SUM(H5158:H5162)</f>
        <v>0</v>
      </c>
      <c r="I5163" s="52">
        <f>SUM(I5158:I5162)</f>
        <v>0</v>
      </c>
      <c r="J5163" s="52">
        <f>SUM(J5158:J5162)</f>
        <v>0</v>
      </c>
      <c r="K5163" s="52"/>
      <c r="L5163" s="51" t="s">
        <v>4</v>
      </c>
      <c r="M5163" s="58"/>
      <c r="N5163" s="58"/>
      <c r="O5163" s="58"/>
      <c r="P5163" s="58"/>
      <c r="Q5163" s="58"/>
      <c r="R5163" s="58"/>
      <c r="S5163" s="58"/>
    </row>
    <row r="5164" spans="1:19" s="59" customFormat="1" ht="18.75" hidden="1" customHeight="1" thickBot="1" x14ac:dyDescent="0.3">
      <c r="A5164" s="59" t="s">
        <v>23</v>
      </c>
      <c r="B5164" s="60" t="str">
        <f t="shared" ref="B5164:B5165" si="3698">IF(K5164=0,"hide","")</f>
        <v>hide</v>
      </c>
      <c r="D5164" s="61" t="str">
        <f>"96101"</f>
        <v>96101</v>
      </c>
      <c r="E5164" s="62" t="str">
        <f>"1"</f>
        <v>1</v>
      </c>
      <c r="F5164" s="63">
        <v>0</v>
      </c>
      <c r="G5164" s="63">
        <v>88</v>
      </c>
      <c r="H5164" s="63">
        <v>6.583333333333333</v>
      </c>
      <c r="I5164" s="63">
        <v>0</v>
      </c>
      <c r="J5164" s="63">
        <v>0</v>
      </c>
      <c r="K5164" s="63">
        <f>AVERAGE(I5164:J5164)</f>
        <v>0</v>
      </c>
      <c r="L5164" s="64" t="str">
        <f>"Blueberry Muffins"</f>
        <v>Blueberry Muffins</v>
      </c>
      <c r="M5164" s="65" t="str">
        <f>"60-2.5 oz. IW"</f>
        <v>60-2.5 oz. IW</v>
      </c>
      <c r="N5164" s="66">
        <v>60</v>
      </c>
      <c r="O5164" s="67" t="str">
        <f>""</f>
        <v/>
      </c>
      <c r="P5164" s="68" t="e">
        <f>1/O5164</f>
        <v>#VALUE!</v>
      </c>
      <c r="Q5164" s="53">
        <v>1</v>
      </c>
      <c r="R5164" s="69">
        <f t="shared" ref="R5164" si="3699">1/Q5164</f>
        <v>1</v>
      </c>
      <c r="S5164" s="70">
        <f t="shared" ref="S5164" si="3700">R5164*N5164</f>
        <v>60</v>
      </c>
    </row>
    <row r="5165" spans="1:19" ht="15.6" hidden="1" customHeight="1" thickBot="1" x14ac:dyDescent="0.3">
      <c r="A5165" t="s">
        <v>23</v>
      </c>
      <c r="B5165" s="60" t="str">
        <f t="shared" si="3698"/>
        <v>hide</v>
      </c>
      <c r="D5165" s="48" t="str">
        <f>D5164</f>
        <v>96101</v>
      </c>
      <c r="E5165" s="7"/>
      <c r="F5165" s="27">
        <v>0</v>
      </c>
      <c r="G5165" s="27">
        <v>0</v>
      </c>
      <c r="H5165" s="27">
        <v>0</v>
      </c>
      <c r="I5165" s="27">
        <v>0</v>
      </c>
      <c r="J5165" s="27">
        <v>0</v>
      </c>
      <c r="K5165" s="63">
        <f>AVERAGE(I5165:J5165)</f>
        <v>0</v>
      </c>
      <c r="L5165" s="56" t="str">
        <f>"EQP-LAWPACK1"</f>
        <v>EQP-LAWPACK1</v>
      </c>
      <c r="M5165" s="14"/>
      <c r="N5165" s="15"/>
      <c r="O5165" s="12"/>
      <c r="P5165" s="34"/>
      <c r="Q5165" s="37"/>
      <c r="R5165" s="47"/>
      <c r="S5165" s="46"/>
    </row>
    <row r="5166" spans="1:19" ht="15.6" hidden="1" customHeight="1" thickBot="1" x14ac:dyDescent="0.3">
      <c r="A5166" t="s">
        <v>23</v>
      </c>
      <c r="B5166" s="60" t="str">
        <f t="shared" ref="B5166:B5168" si="3701">IF(K5166=0,"hide","")</f>
        <v>hide</v>
      </c>
      <c r="D5166" s="48" t="str">
        <f>D5165</f>
        <v>96101</v>
      </c>
      <c r="E5166" s="7"/>
      <c r="F5166" s="27">
        <v>0</v>
      </c>
      <c r="G5166" s="27">
        <v>0</v>
      </c>
      <c r="H5166" s="27">
        <v>0</v>
      </c>
      <c r="I5166" s="27">
        <v>0</v>
      </c>
      <c r="J5166" s="27">
        <v>0</v>
      </c>
      <c r="K5166" s="63">
        <f>AVERAGE(I5166:J5166)</f>
        <v>0</v>
      </c>
      <c r="L5166" s="56" t="str">
        <f>"EQP-LAWPACK2"</f>
        <v>EQP-LAWPACK2</v>
      </c>
      <c r="M5166" s="14"/>
      <c r="N5166" s="15"/>
      <c r="O5166" s="12"/>
      <c r="P5166" s="34"/>
      <c r="Q5166" s="37"/>
      <c r="R5166" s="47"/>
      <c r="S5166" s="46"/>
    </row>
    <row r="5167" spans="1:19" ht="15.6" hidden="1" customHeight="1" thickBot="1" x14ac:dyDescent="0.3">
      <c r="A5167" t="s">
        <v>23</v>
      </c>
      <c r="B5167" s="60" t="str">
        <f t="shared" si="3701"/>
        <v>hide</v>
      </c>
      <c r="D5167" s="48" t="str">
        <f>D5166</f>
        <v>96101</v>
      </c>
      <c r="E5167" s="7"/>
      <c r="F5167" s="27">
        <v>0</v>
      </c>
      <c r="G5167" s="27">
        <v>0</v>
      </c>
      <c r="H5167" s="27">
        <v>0</v>
      </c>
      <c r="I5167" s="27">
        <v>0</v>
      </c>
      <c r="J5167" s="27">
        <v>0</v>
      </c>
      <c r="K5167" s="63">
        <f>AVERAGE(I5167:J5167)</f>
        <v>0</v>
      </c>
      <c r="L5167" s="56" t="str">
        <f>"SW-COMAS-PACKL"</f>
        <v>SW-COMAS-PACKL</v>
      </c>
      <c r="M5167" s="14"/>
      <c r="N5167" s="15"/>
      <c r="O5167" s="12"/>
      <c r="P5167" s="34"/>
      <c r="Q5167" s="37"/>
      <c r="R5167" s="47"/>
      <c r="S5167" s="46"/>
    </row>
    <row r="5168" spans="1:19" ht="15.6" hidden="1" customHeight="1" thickBot="1" x14ac:dyDescent="0.3">
      <c r="A5168" t="s">
        <v>23</v>
      </c>
      <c r="B5168" s="60" t="str">
        <f t="shared" si="3701"/>
        <v>hide</v>
      </c>
      <c r="D5168" s="48" t="str">
        <f>D5167</f>
        <v>96101</v>
      </c>
      <c r="E5168" s="7"/>
      <c r="F5168" s="27">
        <v>0</v>
      </c>
      <c r="G5168" s="27">
        <v>0</v>
      </c>
      <c r="H5168" s="27">
        <v>0</v>
      </c>
      <c r="I5168" s="27">
        <v>0</v>
      </c>
      <c r="J5168" s="27">
        <v>0</v>
      </c>
      <c r="K5168" s="63">
        <f>AVERAGE(I5168:J5168)</f>
        <v>0</v>
      </c>
      <c r="L5168" s="56" t="str">
        <f>"SW-RISER-PACK"</f>
        <v>SW-RISER-PACK</v>
      </c>
      <c r="M5168" s="14"/>
      <c r="N5168" s="15"/>
      <c r="O5168" s="12"/>
      <c r="P5168" s="34"/>
      <c r="Q5168" s="37"/>
      <c r="R5168" s="47"/>
      <c r="S5168" s="46"/>
    </row>
    <row r="5169" spans="1:19" ht="12" hidden="1" customHeight="1" x14ac:dyDescent="0.3">
      <c r="A5169" s="35" t="s">
        <v>908</v>
      </c>
      <c r="B5169" s="49" t="str">
        <f>B5165</f>
        <v>hide</v>
      </c>
      <c r="N5169"/>
      <c r="Q5169" s="33"/>
    </row>
    <row r="5170" spans="1:19" ht="13.8" hidden="1" thickBot="1" x14ac:dyDescent="0.3">
      <c r="A5170" t="s">
        <v>23</v>
      </c>
      <c r="B5170" s="49" t="str">
        <f t="shared" ref="B5170" si="3702">B5169</f>
        <v>hide</v>
      </c>
      <c r="D5170" s="58"/>
      <c r="E5170" s="58"/>
      <c r="F5170" s="52">
        <f>SUM(F5165:F5169)</f>
        <v>0</v>
      </c>
      <c r="G5170" s="52">
        <f>SUM(G5165:G5169)</f>
        <v>0</v>
      </c>
      <c r="H5170" s="52">
        <f>SUM(H5165:H5169)</f>
        <v>0</v>
      </c>
      <c r="I5170" s="52">
        <f>SUM(I5165:I5169)</f>
        <v>0</v>
      </c>
      <c r="J5170" s="52">
        <f>SUM(J5165:J5169)</f>
        <v>0</v>
      </c>
      <c r="K5170" s="52"/>
      <c r="L5170" s="51" t="s">
        <v>4</v>
      </c>
      <c r="M5170" s="58"/>
      <c r="N5170" s="58"/>
      <c r="O5170" s="58"/>
      <c r="P5170" s="58"/>
      <c r="Q5170" s="58"/>
      <c r="R5170" s="58"/>
      <c r="S5170" s="58"/>
    </row>
    <row r="5171" spans="1:19" s="59" customFormat="1" ht="18.75" hidden="1" customHeight="1" thickBot="1" x14ac:dyDescent="0.3">
      <c r="A5171" s="59" t="s">
        <v>23</v>
      </c>
      <c r="B5171" s="60" t="str">
        <f t="shared" ref="B5171:B5172" si="3703">IF(K5171=0,"hide","")</f>
        <v>hide</v>
      </c>
      <c r="D5171" s="61" t="str">
        <f>"96106"</f>
        <v>96106</v>
      </c>
      <c r="E5171" s="62" t="str">
        <f>"1"</f>
        <v>1</v>
      </c>
      <c r="F5171" s="63">
        <v>0</v>
      </c>
      <c r="G5171" s="63">
        <v>58.666666666666664</v>
      </c>
      <c r="H5171" s="63">
        <v>2.9166666666666665</v>
      </c>
      <c r="I5171" s="63">
        <v>0</v>
      </c>
      <c r="J5171" s="63">
        <v>0</v>
      </c>
      <c r="K5171" s="63">
        <f>AVERAGE(I5171:J5171)</f>
        <v>0</v>
      </c>
      <c r="L5171" s="64" t="str">
        <f>"Apple Cinnamon Muffins"</f>
        <v>Apple Cinnamon Muffins</v>
      </c>
      <c r="M5171" s="65" t="str">
        <f>"60-2.5 oz. IW"</f>
        <v>60-2.5 oz. IW</v>
      </c>
      <c r="N5171" s="66">
        <v>60</v>
      </c>
      <c r="O5171" s="67" t="str">
        <f>""</f>
        <v/>
      </c>
      <c r="P5171" s="68" t="e">
        <f>1/O5171</f>
        <v>#VALUE!</v>
      </c>
      <c r="Q5171" s="53">
        <v>1</v>
      </c>
      <c r="R5171" s="69">
        <f t="shared" ref="R5171" si="3704">1/Q5171</f>
        <v>1</v>
      </c>
      <c r="S5171" s="70">
        <f t="shared" ref="S5171" si="3705">R5171*N5171</f>
        <v>60</v>
      </c>
    </row>
    <row r="5172" spans="1:19" ht="15.6" hidden="1" customHeight="1" thickBot="1" x14ac:dyDescent="0.3">
      <c r="A5172" t="s">
        <v>23</v>
      </c>
      <c r="B5172" s="60" t="str">
        <f t="shared" si="3703"/>
        <v>hide</v>
      </c>
      <c r="D5172" s="48" t="str">
        <f>D5171</f>
        <v>96106</v>
      </c>
      <c r="E5172" s="7"/>
      <c r="F5172" s="27">
        <v>0</v>
      </c>
      <c r="G5172" s="27">
        <v>0</v>
      </c>
      <c r="H5172" s="27">
        <v>0</v>
      </c>
      <c r="I5172" s="27">
        <v>0</v>
      </c>
      <c r="J5172" s="27">
        <v>0</v>
      </c>
      <c r="K5172" s="63">
        <f>AVERAGE(I5172:J5172)</f>
        <v>0</v>
      </c>
      <c r="L5172" s="56" t="str">
        <f>"EQP-LAWPACK1"</f>
        <v>EQP-LAWPACK1</v>
      </c>
      <c r="M5172" s="14"/>
      <c r="N5172" s="15"/>
      <c r="O5172" s="12"/>
      <c r="P5172" s="34"/>
      <c r="Q5172" s="37"/>
      <c r="R5172" s="47"/>
      <c r="S5172" s="46"/>
    </row>
    <row r="5173" spans="1:19" ht="15.6" hidden="1" customHeight="1" thickBot="1" x14ac:dyDescent="0.3">
      <c r="A5173" t="s">
        <v>23</v>
      </c>
      <c r="B5173" s="60" t="str">
        <f t="shared" ref="B5173:B5175" si="3706">IF(K5173=0,"hide","")</f>
        <v>hide</v>
      </c>
      <c r="D5173" s="48" t="str">
        <f>D5172</f>
        <v>96106</v>
      </c>
      <c r="E5173" s="7"/>
      <c r="F5173" s="27">
        <v>0</v>
      </c>
      <c r="G5173" s="27">
        <v>0</v>
      </c>
      <c r="H5173" s="27">
        <v>0</v>
      </c>
      <c r="I5173" s="27">
        <v>0</v>
      </c>
      <c r="J5173" s="27">
        <v>0</v>
      </c>
      <c r="K5173" s="63">
        <f>AVERAGE(I5173:J5173)</f>
        <v>0</v>
      </c>
      <c r="L5173" s="56" t="str">
        <f>"EQP-LAWPACK2"</f>
        <v>EQP-LAWPACK2</v>
      </c>
      <c r="M5173" s="14"/>
      <c r="N5173" s="15"/>
      <c r="O5173" s="12"/>
      <c r="P5173" s="34"/>
      <c r="Q5173" s="37"/>
      <c r="R5173" s="47"/>
      <c r="S5173" s="46"/>
    </row>
    <row r="5174" spans="1:19" ht="15.6" hidden="1" customHeight="1" thickBot="1" x14ac:dyDescent="0.3">
      <c r="A5174" t="s">
        <v>23</v>
      </c>
      <c r="B5174" s="60" t="str">
        <f t="shared" si="3706"/>
        <v>hide</v>
      </c>
      <c r="D5174" s="48" t="str">
        <f>D5173</f>
        <v>96106</v>
      </c>
      <c r="E5174" s="7"/>
      <c r="F5174" s="27">
        <v>0</v>
      </c>
      <c r="G5174" s="27">
        <v>0</v>
      </c>
      <c r="H5174" s="27">
        <v>0</v>
      </c>
      <c r="I5174" s="27">
        <v>0</v>
      </c>
      <c r="J5174" s="27">
        <v>0</v>
      </c>
      <c r="K5174" s="63">
        <f>AVERAGE(I5174:J5174)</f>
        <v>0</v>
      </c>
      <c r="L5174" s="56" t="str">
        <f>"SW-COMAS-PACKL"</f>
        <v>SW-COMAS-PACKL</v>
      </c>
      <c r="M5174" s="14"/>
      <c r="N5174" s="15"/>
      <c r="O5174" s="12"/>
      <c r="P5174" s="34"/>
      <c r="Q5174" s="37"/>
      <c r="R5174" s="47"/>
      <c r="S5174" s="46"/>
    </row>
    <row r="5175" spans="1:19" ht="15.6" hidden="1" customHeight="1" thickBot="1" x14ac:dyDescent="0.3">
      <c r="A5175" t="s">
        <v>23</v>
      </c>
      <c r="B5175" s="60" t="str">
        <f t="shared" si="3706"/>
        <v>hide</v>
      </c>
      <c r="D5175" s="48" t="str">
        <f>D5174</f>
        <v>96106</v>
      </c>
      <c r="E5175" s="7"/>
      <c r="F5175" s="27">
        <v>0</v>
      </c>
      <c r="G5175" s="27">
        <v>0</v>
      </c>
      <c r="H5175" s="27">
        <v>0</v>
      </c>
      <c r="I5175" s="27">
        <v>0</v>
      </c>
      <c r="J5175" s="27">
        <v>0</v>
      </c>
      <c r="K5175" s="63">
        <f>AVERAGE(I5175:J5175)</f>
        <v>0</v>
      </c>
      <c r="L5175" s="56" t="str">
        <f>"SW-RISER-PACK"</f>
        <v>SW-RISER-PACK</v>
      </c>
      <c r="M5175" s="14"/>
      <c r="N5175" s="15"/>
      <c r="O5175" s="12"/>
      <c r="P5175" s="34"/>
      <c r="Q5175" s="37"/>
      <c r="R5175" s="47"/>
      <c r="S5175" s="46"/>
    </row>
    <row r="5176" spans="1:19" ht="12" hidden="1" customHeight="1" x14ac:dyDescent="0.3">
      <c r="A5176" s="35" t="s">
        <v>908</v>
      </c>
      <c r="B5176" s="49" t="str">
        <f>B5172</f>
        <v>hide</v>
      </c>
      <c r="N5176"/>
      <c r="Q5176" s="33"/>
    </row>
    <row r="5177" spans="1:19" ht="13.8" hidden="1" thickBot="1" x14ac:dyDescent="0.3">
      <c r="A5177" t="s">
        <v>23</v>
      </c>
      <c r="B5177" s="49" t="str">
        <f t="shared" ref="B5177" si="3707">B5176</f>
        <v>hide</v>
      </c>
      <c r="D5177" s="58"/>
      <c r="E5177" s="58"/>
      <c r="F5177" s="52">
        <f>SUM(F5172:F5176)</f>
        <v>0</v>
      </c>
      <c r="G5177" s="52">
        <f>SUM(G5172:G5176)</f>
        <v>0</v>
      </c>
      <c r="H5177" s="52">
        <f>SUM(H5172:H5176)</f>
        <v>0</v>
      </c>
      <c r="I5177" s="52">
        <f>SUM(I5172:I5176)</f>
        <v>0</v>
      </c>
      <c r="J5177" s="52">
        <f>SUM(J5172:J5176)</f>
        <v>0</v>
      </c>
      <c r="K5177" s="52"/>
      <c r="L5177" s="51" t="s">
        <v>4</v>
      </c>
      <c r="M5177" s="58"/>
      <c r="N5177" s="58"/>
      <c r="O5177" s="58"/>
      <c r="P5177" s="58"/>
      <c r="Q5177" s="58"/>
      <c r="R5177" s="58"/>
      <c r="S5177" s="58"/>
    </row>
    <row r="5178" spans="1:19" s="59" customFormat="1" ht="18.75" hidden="1" customHeight="1" thickBot="1" x14ac:dyDescent="0.3">
      <c r="A5178" s="59" t="s">
        <v>23</v>
      </c>
      <c r="B5178" s="60" t="str">
        <f t="shared" ref="B5178:B5179" si="3708">IF(K5178=0,"hide","")</f>
        <v>hide</v>
      </c>
      <c r="D5178" s="61" t="str">
        <f>"96110"</f>
        <v>96110</v>
      </c>
      <c r="E5178" s="62" t="str">
        <f>"1"</f>
        <v>1</v>
      </c>
      <c r="F5178" s="63">
        <v>0</v>
      </c>
      <c r="G5178" s="63">
        <v>58.666666666666664</v>
      </c>
      <c r="H5178" s="63">
        <v>1.5</v>
      </c>
      <c r="I5178" s="63">
        <v>0</v>
      </c>
      <c r="J5178" s="63">
        <v>0</v>
      </c>
      <c r="K5178" s="63">
        <f>AVERAGE(I5178:J5178)</f>
        <v>0</v>
      </c>
      <c r="L5178" s="64" t="str">
        <f>"Chocolate Chip Muffins"</f>
        <v>Chocolate Chip Muffins</v>
      </c>
      <c r="M5178" s="65" t="str">
        <f>"60-2.5 oz. IW"</f>
        <v>60-2.5 oz. IW</v>
      </c>
      <c r="N5178" s="66">
        <v>60</v>
      </c>
      <c r="O5178" s="67" t="str">
        <f>""</f>
        <v/>
      </c>
      <c r="P5178" s="68" t="e">
        <f>1/O5178</f>
        <v>#VALUE!</v>
      </c>
      <c r="Q5178" s="53">
        <v>1</v>
      </c>
      <c r="R5178" s="69">
        <f t="shared" ref="R5178" si="3709">1/Q5178</f>
        <v>1</v>
      </c>
      <c r="S5178" s="70">
        <f t="shared" ref="S5178" si="3710">R5178*N5178</f>
        <v>60</v>
      </c>
    </row>
    <row r="5179" spans="1:19" ht="15.6" hidden="1" customHeight="1" thickBot="1" x14ac:dyDescent="0.3">
      <c r="A5179" t="s">
        <v>23</v>
      </c>
      <c r="B5179" s="60" t="str">
        <f t="shared" si="3708"/>
        <v>hide</v>
      </c>
      <c r="D5179" s="48" t="str">
        <f>D5178</f>
        <v>96110</v>
      </c>
      <c r="E5179" s="7"/>
      <c r="F5179" s="27">
        <v>0</v>
      </c>
      <c r="G5179" s="27">
        <v>0</v>
      </c>
      <c r="H5179" s="27">
        <v>0</v>
      </c>
      <c r="I5179" s="27">
        <v>0</v>
      </c>
      <c r="J5179" s="27">
        <v>0</v>
      </c>
      <c r="K5179" s="63">
        <f>AVERAGE(I5179:J5179)</f>
        <v>0</v>
      </c>
      <c r="L5179" s="56" t="str">
        <f>"EQP-LAWPACK1"</f>
        <v>EQP-LAWPACK1</v>
      </c>
      <c r="M5179" s="14"/>
      <c r="N5179" s="15"/>
      <c r="O5179" s="12"/>
      <c r="P5179" s="34"/>
      <c r="Q5179" s="37"/>
      <c r="R5179" s="47"/>
      <c r="S5179" s="46"/>
    </row>
    <row r="5180" spans="1:19" ht="15.6" hidden="1" customHeight="1" thickBot="1" x14ac:dyDescent="0.3">
      <c r="A5180" t="s">
        <v>23</v>
      </c>
      <c r="B5180" s="60" t="str">
        <f t="shared" ref="B5180:B5182" si="3711">IF(K5180=0,"hide","")</f>
        <v>hide</v>
      </c>
      <c r="D5180" s="48" t="str">
        <f>D5179</f>
        <v>96110</v>
      </c>
      <c r="E5180" s="7"/>
      <c r="F5180" s="27">
        <v>0</v>
      </c>
      <c r="G5180" s="27">
        <v>0</v>
      </c>
      <c r="H5180" s="27">
        <v>0</v>
      </c>
      <c r="I5180" s="27">
        <v>0</v>
      </c>
      <c r="J5180" s="27">
        <v>0</v>
      </c>
      <c r="K5180" s="63">
        <f>AVERAGE(I5180:J5180)</f>
        <v>0</v>
      </c>
      <c r="L5180" s="56" t="str">
        <f>"EQP-LAWPACK2"</f>
        <v>EQP-LAWPACK2</v>
      </c>
      <c r="M5180" s="14"/>
      <c r="N5180" s="15"/>
      <c r="O5180" s="12"/>
      <c r="P5180" s="34"/>
      <c r="Q5180" s="37"/>
      <c r="R5180" s="47"/>
      <c r="S5180" s="46"/>
    </row>
    <row r="5181" spans="1:19" ht="15.6" hidden="1" customHeight="1" thickBot="1" x14ac:dyDescent="0.3">
      <c r="A5181" t="s">
        <v>23</v>
      </c>
      <c r="B5181" s="60" t="str">
        <f t="shared" si="3711"/>
        <v>hide</v>
      </c>
      <c r="D5181" s="48" t="str">
        <f>D5180</f>
        <v>96110</v>
      </c>
      <c r="E5181" s="7"/>
      <c r="F5181" s="27">
        <v>0</v>
      </c>
      <c r="G5181" s="27">
        <v>0</v>
      </c>
      <c r="H5181" s="27">
        <v>0</v>
      </c>
      <c r="I5181" s="27">
        <v>0</v>
      </c>
      <c r="J5181" s="27">
        <v>0</v>
      </c>
      <c r="K5181" s="63">
        <f>AVERAGE(I5181:J5181)</f>
        <v>0</v>
      </c>
      <c r="L5181" s="56" t="str">
        <f>"SW-COMAS-PACKL"</f>
        <v>SW-COMAS-PACKL</v>
      </c>
      <c r="M5181" s="14"/>
      <c r="N5181" s="15"/>
      <c r="O5181" s="12"/>
      <c r="P5181" s="34"/>
      <c r="Q5181" s="37"/>
      <c r="R5181" s="47"/>
      <c r="S5181" s="46"/>
    </row>
    <row r="5182" spans="1:19" ht="15.6" hidden="1" customHeight="1" thickBot="1" x14ac:dyDescent="0.3">
      <c r="A5182" t="s">
        <v>23</v>
      </c>
      <c r="B5182" s="60" t="str">
        <f t="shared" si="3711"/>
        <v>hide</v>
      </c>
      <c r="D5182" s="48" t="str">
        <f>D5181</f>
        <v>96110</v>
      </c>
      <c r="E5182" s="7"/>
      <c r="F5182" s="27">
        <v>0</v>
      </c>
      <c r="G5182" s="27">
        <v>0</v>
      </c>
      <c r="H5182" s="27">
        <v>0</v>
      </c>
      <c r="I5182" s="27">
        <v>0</v>
      </c>
      <c r="J5182" s="27">
        <v>0</v>
      </c>
      <c r="K5182" s="63">
        <f>AVERAGE(I5182:J5182)</f>
        <v>0</v>
      </c>
      <c r="L5182" s="56" t="str">
        <f>"SW-RISER-PACK"</f>
        <v>SW-RISER-PACK</v>
      </c>
      <c r="M5182" s="14"/>
      <c r="N5182" s="15"/>
      <c r="O5182" s="12"/>
      <c r="P5182" s="34"/>
      <c r="Q5182" s="37"/>
      <c r="R5182" s="47"/>
      <c r="S5182" s="46"/>
    </row>
    <row r="5183" spans="1:19" ht="12" hidden="1" customHeight="1" x14ac:dyDescent="0.3">
      <c r="A5183" s="35" t="s">
        <v>908</v>
      </c>
      <c r="B5183" s="49" t="str">
        <f>B5179</f>
        <v>hide</v>
      </c>
      <c r="N5183"/>
      <c r="Q5183" s="33"/>
    </row>
    <row r="5184" spans="1:19" ht="13.8" hidden="1" thickBot="1" x14ac:dyDescent="0.3">
      <c r="A5184" t="s">
        <v>23</v>
      </c>
      <c r="B5184" s="49" t="str">
        <f t="shared" ref="B5184" si="3712">B5183</f>
        <v>hide</v>
      </c>
      <c r="D5184" s="58"/>
      <c r="E5184" s="58"/>
      <c r="F5184" s="52">
        <f>SUM(F5179:F5183)</f>
        <v>0</v>
      </c>
      <c r="G5184" s="52">
        <f>SUM(G5179:G5183)</f>
        <v>0</v>
      </c>
      <c r="H5184" s="52">
        <f>SUM(H5179:H5183)</f>
        <v>0</v>
      </c>
      <c r="I5184" s="52">
        <f>SUM(I5179:I5183)</f>
        <v>0</v>
      </c>
      <c r="J5184" s="52">
        <f>SUM(J5179:J5183)</f>
        <v>0</v>
      </c>
      <c r="K5184" s="52"/>
      <c r="L5184" s="51" t="s">
        <v>4</v>
      </c>
      <c r="M5184" s="58"/>
      <c r="N5184" s="58"/>
      <c r="O5184" s="58"/>
      <c r="P5184" s="58"/>
      <c r="Q5184" s="58"/>
      <c r="R5184" s="58"/>
      <c r="S5184" s="58"/>
    </row>
    <row r="5185" spans="1:19" s="59" customFormat="1" ht="18.75" hidden="1" customHeight="1" thickBot="1" x14ac:dyDescent="0.3">
      <c r="A5185" s="59" t="s">
        <v>23</v>
      </c>
      <c r="B5185" s="60" t="str">
        <f t="shared" ref="B5185:B5186" si="3713">IF(K5185=0,"hide","")</f>
        <v>hide</v>
      </c>
      <c r="D5185" s="61" t="str">
        <f>"96205"</f>
        <v>96205</v>
      </c>
      <c r="E5185" s="62" t="str">
        <f>"1"</f>
        <v>1</v>
      </c>
      <c r="F5185" s="63">
        <v>0</v>
      </c>
      <c r="G5185" s="63">
        <v>0</v>
      </c>
      <c r="H5185" s="63">
        <v>0</v>
      </c>
      <c r="I5185" s="63">
        <v>0</v>
      </c>
      <c r="J5185" s="63">
        <v>0</v>
      </c>
      <c r="K5185" s="63">
        <f>AVERAGE(I5185:J5185)</f>
        <v>0</v>
      </c>
      <c r="L5185" s="64" t="str">
        <f>""</f>
        <v/>
      </c>
      <c r="M5185" s="65" t="str">
        <f>""</f>
        <v/>
      </c>
      <c r="N5185" s="66" t="str">
        <f>""</f>
        <v/>
      </c>
      <c r="O5185" s="67" t="str">
        <f>""</f>
        <v/>
      </c>
      <c r="P5185" s="68" t="e">
        <f>1/O5185</f>
        <v>#VALUE!</v>
      </c>
      <c r="Q5185" s="53">
        <v>1</v>
      </c>
      <c r="R5185" s="69">
        <f t="shared" ref="R5185" si="3714">1/Q5185</f>
        <v>1</v>
      </c>
      <c r="S5185" s="70" t="e">
        <f t="shared" ref="S5185" si="3715">R5185*N5185</f>
        <v>#VALUE!</v>
      </c>
    </row>
    <row r="5186" spans="1:19" ht="15.6" hidden="1" customHeight="1" thickBot="1" x14ac:dyDescent="0.3">
      <c r="A5186" t="s">
        <v>23</v>
      </c>
      <c r="B5186" s="60" t="str">
        <f t="shared" si="3713"/>
        <v>hide</v>
      </c>
      <c r="D5186" s="48" t="str">
        <f>D5185</f>
        <v>96205</v>
      </c>
      <c r="E5186" s="7"/>
      <c r="F5186" s="27">
        <v>0</v>
      </c>
      <c r="G5186" s="27">
        <v>0</v>
      </c>
      <c r="H5186" s="27">
        <v>0</v>
      </c>
      <c r="I5186" s="27">
        <v>0</v>
      </c>
      <c r="J5186" s="27">
        <v>0</v>
      </c>
      <c r="K5186" s="63">
        <f>AVERAGE(I5186:J5186)</f>
        <v>0</v>
      </c>
      <c r="L5186" s="56" t="str">
        <f>"EQP-LAWPACK1"</f>
        <v>EQP-LAWPACK1</v>
      </c>
      <c r="M5186" s="14"/>
      <c r="N5186" s="15"/>
      <c r="O5186" s="12"/>
      <c r="P5186" s="34"/>
      <c r="Q5186" s="37"/>
      <c r="R5186" s="47"/>
      <c r="S5186" s="46"/>
    </row>
    <row r="5187" spans="1:19" ht="15.6" hidden="1" customHeight="1" thickBot="1" x14ac:dyDescent="0.3">
      <c r="A5187" t="s">
        <v>23</v>
      </c>
      <c r="B5187" s="60" t="str">
        <f t="shared" ref="B5187:B5189" si="3716">IF(K5187=0,"hide","")</f>
        <v>hide</v>
      </c>
      <c r="D5187" s="48" t="str">
        <f>D5186</f>
        <v>96205</v>
      </c>
      <c r="E5187" s="7"/>
      <c r="F5187" s="27">
        <v>0</v>
      </c>
      <c r="G5187" s="27">
        <v>0</v>
      </c>
      <c r="H5187" s="27">
        <v>0</v>
      </c>
      <c r="I5187" s="27">
        <v>0</v>
      </c>
      <c r="J5187" s="27">
        <v>0</v>
      </c>
      <c r="K5187" s="63">
        <f>AVERAGE(I5187:J5187)</f>
        <v>0</v>
      </c>
      <c r="L5187" s="56" t="str">
        <f>"EQP-LAWPACK2"</f>
        <v>EQP-LAWPACK2</v>
      </c>
      <c r="M5187" s="14"/>
      <c r="N5187" s="15"/>
      <c r="O5187" s="12"/>
      <c r="P5187" s="34"/>
      <c r="Q5187" s="37"/>
      <c r="R5187" s="47"/>
      <c r="S5187" s="46"/>
    </row>
    <row r="5188" spans="1:19" ht="15.6" hidden="1" customHeight="1" thickBot="1" x14ac:dyDescent="0.3">
      <c r="A5188" t="s">
        <v>23</v>
      </c>
      <c r="B5188" s="60" t="str">
        <f t="shared" si="3716"/>
        <v>hide</v>
      </c>
      <c r="D5188" s="48" t="str">
        <f>D5187</f>
        <v>96205</v>
      </c>
      <c r="E5188" s="7"/>
      <c r="F5188" s="27">
        <v>0</v>
      </c>
      <c r="G5188" s="27">
        <v>0</v>
      </c>
      <c r="H5188" s="27">
        <v>0</v>
      </c>
      <c r="I5188" s="27">
        <v>0</v>
      </c>
      <c r="J5188" s="27">
        <v>0</v>
      </c>
      <c r="K5188" s="63">
        <f>AVERAGE(I5188:J5188)</f>
        <v>0</v>
      </c>
      <c r="L5188" s="56" t="str">
        <f>"SW-COMAS-PACKL"</f>
        <v>SW-COMAS-PACKL</v>
      </c>
      <c r="M5188" s="14"/>
      <c r="N5188" s="15"/>
      <c r="O5188" s="12"/>
      <c r="P5188" s="34"/>
      <c r="Q5188" s="37"/>
      <c r="R5188" s="47"/>
      <c r="S5188" s="46"/>
    </row>
    <row r="5189" spans="1:19" ht="15.6" hidden="1" customHeight="1" thickBot="1" x14ac:dyDescent="0.3">
      <c r="A5189" t="s">
        <v>23</v>
      </c>
      <c r="B5189" s="60" t="str">
        <f t="shared" si="3716"/>
        <v>hide</v>
      </c>
      <c r="D5189" s="48" t="str">
        <f>D5188</f>
        <v>96205</v>
      </c>
      <c r="E5189" s="7"/>
      <c r="F5189" s="27">
        <v>0</v>
      </c>
      <c r="G5189" s="27">
        <v>0</v>
      </c>
      <c r="H5189" s="27">
        <v>0</v>
      </c>
      <c r="I5189" s="27">
        <v>0</v>
      </c>
      <c r="J5189" s="27">
        <v>0</v>
      </c>
      <c r="K5189" s="63">
        <f>AVERAGE(I5189:J5189)</f>
        <v>0</v>
      </c>
      <c r="L5189" s="56" t="str">
        <f>"SW-RISER-PACK"</f>
        <v>SW-RISER-PACK</v>
      </c>
      <c r="M5189" s="14"/>
      <c r="N5189" s="15"/>
      <c r="O5189" s="12"/>
      <c r="P5189" s="34"/>
      <c r="Q5189" s="37"/>
      <c r="R5189" s="47"/>
      <c r="S5189" s="46"/>
    </row>
    <row r="5190" spans="1:19" ht="12" hidden="1" customHeight="1" x14ac:dyDescent="0.3">
      <c r="A5190" s="35" t="s">
        <v>908</v>
      </c>
      <c r="B5190" s="49" t="str">
        <f>B5186</f>
        <v>hide</v>
      </c>
      <c r="N5190"/>
      <c r="Q5190" s="33"/>
    </row>
    <row r="5191" spans="1:19" ht="13.8" hidden="1" thickBot="1" x14ac:dyDescent="0.3">
      <c r="A5191" t="s">
        <v>23</v>
      </c>
      <c r="B5191" s="49" t="str">
        <f t="shared" ref="B5191" si="3717">B5190</f>
        <v>hide</v>
      </c>
      <c r="D5191" s="58"/>
      <c r="E5191" s="58"/>
      <c r="F5191" s="52">
        <f>SUM(F5186:F5190)</f>
        <v>0</v>
      </c>
      <c r="G5191" s="52">
        <f>SUM(G5186:G5190)</f>
        <v>0</v>
      </c>
      <c r="H5191" s="52">
        <f>SUM(H5186:H5190)</f>
        <v>0</v>
      </c>
      <c r="I5191" s="52">
        <f>SUM(I5186:I5190)</f>
        <v>0</v>
      </c>
      <c r="J5191" s="52">
        <f>SUM(J5186:J5190)</f>
        <v>0</v>
      </c>
      <c r="K5191" s="52"/>
      <c r="L5191" s="51" t="s">
        <v>4</v>
      </c>
      <c r="M5191" s="58"/>
      <c r="N5191" s="58"/>
      <c r="O5191" s="58"/>
      <c r="P5191" s="58"/>
      <c r="Q5191" s="58"/>
      <c r="R5191" s="58"/>
      <c r="S5191" s="58"/>
    </row>
    <row r="5192" spans="1:19" s="59" customFormat="1" ht="18.75" hidden="1" customHeight="1" thickBot="1" x14ac:dyDescent="0.3">
      <c r="A5192" s="59" t="s">
        <v>23</v>
      </c>
      <c r="B5192" s="60" t="str">
        <f t="shared" ref="B5192:B5193" si="3718">IF(K5192=0,"hide","")</f>
        <v>hide</v>
      </c>
      <c r="D5192" s="61" t="str">
        <f>"96209"</f>
        <v>96209</v>
      </c>
      <c r="E5192" s="62" t="str">
        <f>"1"</f>
        <v>1</v>
      </c>
      <c r="F5192" s="63">
        <v>0</v>
      </c>
      <c r="G5192" s="63">
        <v>0</v>
      </c>
      <c r="H5192" s="63">
        <v>0</v>
      </c>
      <c r="I5192" s="63">
        <v>0</v>
      </c>
      <c r="J5192" s="63">
        <v>0</v>
      </c>
      <c r="K5192" s="63">
        <f>AVERAGE(I5192:J5192)</f>
        <v>0</v>
      </c>
      <c r="L5192" s="64" t="str">
        <f>""</f>
        <v/>
      </c>
      <c r="M5192" s="65" t="str">
        <f>""</f>
        <v/>
      </c>
      <c r="N5192" s="66" t="str">
        <f>""</f>
        <v/>
      </c>
      <c r="O5192" s="67" t="str">
        <f>""</f>
        <v/>
      </c>
      <c r="P5192" s="68" t="e">
        <f>1/O5192</f>
        <v>#VALUE!</v>
      </c>
      <c r="Q5192" s="53">
        <v>1</v>
      </c>
      <c r="R5192" s="69">
        <f t="shared" ref="R5192" si="3719">1/Q5192</f>
        <v>1</v>
      </c>
      <c r="S5192" s="70" t="e">
        <f t="shared" ref="S5192" si="3720">R5192*N5192</f>
        <v>#VALUE!</v>
      </c>
    </row>
    <row r="5193" spans="1:19" ht="15.6" hidden="1" customHeight="1" thickBot="1" x14ac:dyDescent="0.3">
      <c r="A5193" t="s">
        <v>23</v>
      </c>
      <c r="B5193" s="60" t="str">
        <f t="shared" si="3718"/>
        <v>hide</v>
      </c>
      <c r="D5193" s="48" t="str">
        <f>D5192</f>
        <v>96209</v>
      </c>
      <c r="E5193" s="7"/>
      <c r="F5193" s="27">
        <v>0</v>
      </c>
      <c r="G5193" s="27">
        <v>0</v>
      </c>
      <c r="H5193" s="27">
        <v>0</v>
      </c>
      <c r="I5193" s="27">
        <v>0</v>
      </c>
      <c r="J5193" s="27">
        <v>0</v>
      </c>
      <c r="K5193" s="63">
        <f>AVERAGE(I5193:J5193)</f>
        <v>0</v>
      </c>
      <c r="L5193" s="56" t="str">
        <f>"EQP-LAWPACK1"</f>
        <v>EQP-LAWPACK1</v>
      </c>
      <c r="M5193" s="14"/>
      <c r="N5193" s="15"/>
      <c r="O5193" s="12"/>
      <c r="P5193" s="34"/>
      <c r="Q5193" s="37"/>
      <c r="R5193" s="47"/>
      <c r="S5193" s="46"/>
    </row>
    <row r="5194" spans="1:19" ht="15.6" hidden="1" customHeight="1" thickBot="1" x14ac:dyDescent="0.3">
      <c r="A5194" t="s">
        <v>23</v>
      </c>
      <c r="B5194" s="60" t="str">
        <f t="shared" ref="B5194:B5196" si="3721">IF(K5194=0,"hide","")</f>
        <v>hide</v>
      </c>
      <c r="D5194" s="48" t="str">
        <f>D5193</f>
        <v>96209</v>
      </c>
      <c r="E5194" s="7"/>
      <c r="F5194" s="27">
        <v>0</v>
      </c>
      <c r="G5194" s="27">
        <v>0</v>
      </c>
      <c r="H5194" s="27">
        <v>0</v>
      </c>
      <c r="I5194" s="27">
        <v>0</v>
      </c>
      <c r="J5194" s="27">
        <v>0</v>
      </c>
      <c r="K5194" s="63">
        <f>AVERAGE(I5194:J5194)</f>
        <v>0</v>
      </c>
      <c r="L5194" s="56" t="str">
        <f>"EQP-LAWPACK2"</f>
        <v>EQP-LAWPACK2</v>
      </c>
      <c r="M5194" s="14"/>
      <c r="N5194" s="15"/>
      <c r="O5194" s="12"/>
      <c r="P5194" s="34"/>
      <c r="Q5194" s="37"/>
      <c r="R5194" s="47"/>
      <c r="S5194" s="46"/>
    </row>
    <row r="5195" spans="1:19" ht="15.6" hidden="1" customHeight="1" thickBot="1" x14ac:dyDescent="0.3">
      <c r="A5195" t="s">
        <v>23</v>
      </c>
      <c r="B5195" s="60" t="str">
        <f t="shared" si="3721"/>
        <v>hide</v>
      </c>
      <c r="D5195" s="48" t="str">
        <f>D5194</f>
        <v>96209</v>
      </c>
      <c r="E5195" s="7"/>
      <c r="F5195" s="27">
        <v>0</v>
      </c>
      <c r="G5195" s="27">
        <v>0</v>
      </c>
      <c r="H5195" s="27">
        <v>0</v>
      </c>
      <c r="I5195" s="27">
        <v>0</v>
      </c>
      <c r="J5195" s="27">
        <v>0</v>
      </c>
      <c r="K5195" s="63">
        <f>AVERAGE(I5195:J5195)</f>
        <v>0</v>
      </c>
      <c r="L5195" s="56" t="str">
        <f>"SW-COMAS-PACKL"</f>
        <v>SW-COMAS-PACKL</v>
      </c>
      <c r="M5195" s="14"/>
      <c r="N5195" s="15"/>
      <c r="O5195" s="12"/>
      <c r="P5195" s="34"/>
      <c r="Q5195" s="37"/>
      <c r="R5195" s="47"/>
      <c r="S5195" s="46"/>
    </row>
    <row r="5196" spans="1:19" ht="15.6" hidden="1" customHeight="1" thickBot="1" x14ac:dyDescent="0.3">
      <c r="A5196" t="s">
        <v>23</v>
      </c>
      <c r="B5196" s="60" t="str">
        <f t="shared" si="3721"/>
        <v>hide</v>
      </c>
      <c r="D5196" s="48" t="str">
        <f>D5195</f>
        <v>96209</v>
      </c>
      <c r="E5196" s="7"/>
      <c r="F5196" s="27">
        <v>0</v>
      </c>
      <c r="G5196" s="27">
        <v>0</v>
      </c>
      <c r="H5196" s="27">
        <v>0</v>
      </c>
      <c r="I5196" s="27">
        <v>0</v>
      </c>
      <c r="J5196" s="27">
        <v>0</v>
      </c>
      <c r="K5196" s="63">
        <f>AVERAGE(I5196:J5196)</f>
        <v>0</v>
      </c>
      <c r="L5196" s="56" t="str">
        <f>"SW-RISER-PACK"</f>
        <v>SW-RISER-PACK</v>
      </c>
      <c r="M5196" s="14"/>
      <c r="N5196" s="15"/>
      <c r="O5196" s="12"/>
      <c r="P5196" s="34"/>
      <c r="Q5196" s="37"/>
      <c r="R5196" s="47"/>
      <c r="S5196" s="46"/>
    </row>
    <row r="5197" spans="1:19" ht="12" hidden="1" customHeight="1" x14ac:dyDescent="0.3">
      <c r="A5197" s="35" t="s">
        <v>908</v>
      </c>
      <c r="B5197" s="49" t="str">
        <f>B5193</f>
        <v>hide</v>
      </c>
      <c r="N5197"/>
      <c r="Q5197" s="33"/>
    </row>
    <row r="5198" spans="1:19" ht="13.8" hidden="1" thickBot="1" x14ac:dyDescent="0.3">
      <c r="A5198" t="s">
        <v>23</v>
      </c>
      <c r="B5198" s="49" t="str">
        <f t="shared" ref="B5198" si="3722">B5197</f>
        <v>hide</v>
      </c>
      <c r="D5198" s="58"/>
      <c r="E5198" s="58"/>
      <c r="F5198" s="52">
        <f>SUM(F5193:F5197)</f>
        <v>0</v>
      </c>
      <c r="G5198" s="52">
        <f>SUM(G5193:G5197)</f>
        <v>0</v>
      </c>
      <c r="H5198" s="52">
        <f>SUM(H5193:H5197)</f>
        <v>0</v>
      </c>
      <c r="I5198" s="52">
        <f>SUM(I5193:I5197)</f>
        <v>0</v>
      </c>
      <c r="J5198" s="52">
        <f>SUM(J5193:J5197)</f>
        <v>0</v>
      </c>
      <c r="K5198" s="52"/>
      <c r="L5198" s="51" t="s">
        <v>4</v>
      </c>
      <c r="M5198" s="58"/>
      <c r="N5198" s="58"/>
      <c r="O5198" s="58"/>
      <c r="P5198" s="58"/>
      <c r="Q5198" s="58"/>
      <c r="R5198" s="58"/>
      <c r="S5198" s="58"/>
    </row>
    <row r="5199" spans="1:19" s="59" customFormat="1" ht="18.75" hidden="1" customHeight="1" thickBot="1" x14ac:dyDescent="0.3">
      <c r="A5199" s="59" t="s">
        <v>23</v>
      </c>
      <c r="B5199" s="60" t="str">
        <f t="shared" ref="B5199:B5200" si="3723">IF(K5199=0,"hide","")</f>
        <v>hide</v>
      </c>
      <c r="D5199" s="61" t="str">
        <f>"96219"</f>
        <v>96219</v>
      </c>
      <c r="E5199" s="62" t="str">
        <f>"1"</f>
        <v>1</v>
      </c>
      <c r="F5199" s="63">
        <v>0</v>
      </c>
      <c r="G5199" s="63">
        <v>0</v>
      </c>
      <c r="H5199" s="63">
        <v>0</v>
      </c>
      <c r="I5199" s="63">
        <v>0</v>
      </c>
      <c r="J5199" s="63">
        <v>0</v>
      </c>
      <c r="K5199" s="63">
        <f>AVERAGE(I5199:J5199)</f>
        <v>0</v>
      </c>
      <c r="L5199" s="64" t="str">
        <f>""</f>
        <v/>
      </c>
      <c r="M5199" s="65" t="str">
        <f>""</f>
        <v/>
      </c>
      <c r="N5199" s="66" t="str">
        <f>""</f>
        <v/>
      </c>
      <c r="O5199" s="67" t="str">
        <f>""</f>
        <v/>
      </c>
      <c r="P5199" s="68" t="e">
        <f>1/O5199</f>
        <v>#VALUE!</v>
      </c>
      <c r="Q5199" s="53">
        <v>1</v>
      </c>
      <c r="R5199" s="69">
        <f t="shared" ref="R5199" si="3724">1/Q5199</f>
        <v>1</v>
      </c>
      <c r="S5199" s="70" t="e">
        <f t="shared" ref="S5199" si="3725">R5199*N5199</f>
        <v>#VALUE!</v>
      </c>
    </row>
    <row r="5200" spans="1:19" ht="15.6" hidden="1" customHeight="1" thickBot="1" x14ac:dyDescent="0.3">
      <c r="A5200" t="s">
        <v>23</v>
      </c>
      <c r="B5200" s="60" t="str">
        <f t="shared" si="3723"/>
        <v>hide</v>
      </c>
      <c r="D5200" s="48" t="str">
        <f>D5199</f>
        <v>96219</v>
      </c>
      <c r="E5200" s="7"/>
      <c r="F5200" s="27">
        <v>0</v>
      </c>
      <c r="G5200" s="27">
        <v>0</v>
      </c>
      <c r="H5200" s="27">
        <v>0</v>
      </c>
      <c r="I5200" s="27">
        <v>0</v>
      </c>
      <c r="J5200" s="27">
        <v>0</v>
      </c>
      <c r="K5200" s="63">
        <f>AVERAGE(I5200:J5200)</f>
        <v>0</v>
      </c>
      <c r="L5200" s="56" t="str">
        <f>"EQP-LAWPACK1"</f>
        <v>EQP-LAWPACK1</v>
      </c>
      <c r="M5200" s="14"/>
      <c r="N5200" s="15"/>
      <c r="O5200" s="12"/>
      <c r="P5200" s="34"/>
      <c r="Q5200" s="37"/>
      <c r="R5200" s="47"/>
      <c r="S5200" s="46"/>
    </row>
    <row r="5201" spans="1:19" ht="15.6" hidden="1" customHeight="1" thickBot="1" x14ac:dyDescent="0.3">
      <c r="A5201" t="s">
        <v>23</v>
      </c>
      <c r="B5201" s="60" t="str">
        <f t="shared" ref="B5201:B5203" si="3726">IF(K5201=0,"hide","")</f>
        <v>hide</v>
      </c>
      <c r="D5201" s="48" t="str">
        <f>D5200</f>
        <v>96219</v>
      </c>
      <c r="E5201" s="7"/>
      <c r="F5201" s="27">
        <v>0</v>
      </c>
      <c r="G5201" s="27">
        <v>0</v>
      </c>
      <c r="H5201" s="27">
        <v>0</v>
      </c>
      <c r="I5201" s="27">
        <v>0</v>
      </c>
      <c r="J5201" s="27">
        <v>0</v>
      </c>
      <c r="K5201" s="63">
        <f>AVERAGE(I5201:J5201)</f>
        <v>0</v>
      </c>
      <c r="L5201" s="56" t="str">
        <f>"EQP-LAWPACK2"</f>
        <v>EQP-LAWPACK2</v>
      </c>
      <c r="M5201" s="14"/>
      <c r="N5201" s="15"/>
      <c r="O5201" s="12"/>
      <c r="P5201" s="34"/>
      <c r="Q5201" s="37"/>
      <c r="R5201" s="47"/>
      <c r="S5201" s="46"/>
    </row>
    <row r="5202" spans="1:19" ht="15.6" hidden="1" customHeight="1" thickBot="1" x14ac:dyDescent="0.3">
      <c r="A5202" t="s">
        <v>23</v>
      </c>
      <c r="B5202" s="60" t="str">
        <f t="shared" si="3726"/>
        <v>hide</v>
      </c>
      <c r="D5202" s="48" t="str">
        <f>D5201</f>
        <v>96219</v>
      </c>
      <c r="E5202" s="7"/>
      <c r="F5202" s="27">
        <v>0</v>
      </c>
      <c r="G5202" s="27">
        <v>0</v>
      </c>
      <c r="H5202" s="27">
        <v>0</v>
      </c>
      <c r="I5202" s="27">
        <v>0</v>
      </c>
      <c r="J5202" s="27">
        <v>0</v>
      </c>
      <c r="K5202" s="63">
        <f>AVERAGE(I5202:J5202)</f>
        <v>0</v>
      </c>
      <c r="L5202" s="56" t="str">
        <f>"SW-COMAS-PACKL"</f>
        <v>SW-COMAS-PACKL</v>
      </c>
      <c r="M5202" s="14"/>
      <c r="N5202" s="15"/>
      <c r="O5202" s="12"/>
      <c r="P5202" s="34"/>
      <c r="Q5202" s="37"/>
      <c r="R5202" s="47"/>
      <c r="S5202" s="46"/>
    </row>
    <row r="5203" spans="1:19" ht="15.6" hidden="1" customHeight="1" thickBot="1" x14ac:dyDescent="0.3">
      <c r="A5203" t="s">
        <v>23</v>
      </c>
      <c r="B5203" s="60" t="str">
        <f t="shared" si="3726"/>
        <v>hide</v>
      </c>
      <c r="D5203" s="48" t="str">
        <f>D5202</f>
        <v>96219</v>
      </c>
      <c r="E5203" s="7"/>
      <c r="F5203" s="27">
        <v>0</v>
      </c>
      <c r="G5203" s="27">
        <v>0</v>
      </c>
      <c r="H5203" s="27">
        <v>0</v>
      </c>
      <c r="I5203" s="27">
        <v>0</v>
      </c>
      <c r="J5203" s="27">
        <v>0</v>
      </c>
      <c r="K5203" s="63">
        <f>AVERAGE(I5203:J5203)</f>
        <v>0</v>
      </c>
      <c r="L5203" s="56" t="str">
        <f>"SW-RISER-PACK"</f>
        <v>SW-RISER-PACK</v>
      </c>
      <c r="M5203" s="14"/>
      <c r="N5203" s="15"/>
      <c r="O5203" s="12"/>
      <c r="P5203" s="34"/>
      <c r="Q5203" s="37"/>
      <c r="R5203" s="47"/>
      <c r="S5203" s="46"/>
    </row>
    <row r="5204" spans="1:19" ht="12" hidden="1" customHeight="1" x14ac:dyDescent="0.3">
      <c r="A5204" s="35" t="s">
        <v>908</v>
      </c>
      <c r="B5204" s="49" t="str">
        <f>B5200</f>
        <v>hide</v>
      </c>
      <c r="N5204"/>
      <c r="Q5204" s="33"/>
    </row>
    <row r="5205" spans="1:19" ht="13.8" hidden="1" thickBot="1" x14ac:dyDescent="0.3">
      <c r="A5205" t="s">
        <v>23</v>
      </c>
      <c r="B5205" s="49" t="str">
        <f t="shared" ref="B5205" si="3727">B5204</f>
        <v>hide</v>
      </c>
      <c r="D5205" s="58"/>
      <c r="E5205" s="58"/>
      <c r="F5205" s="52">
        <f>SUM(F5200:F5204)</f>
        <v>0</v>
      </c>
      <c r="G5205" s="52">
        <f>SUM(G5200:G5204)</f>
        <v>0</v>
      </c>
      <c r="H5205" s="52">
        <f>SUM(H5200:H5204)</f>
        <v>0</v>
      </c>
      <c r="I5205" s="52">
        <f>SUM(I5200:I5204)</f>
        <v>0</v>
      </c>
      <c r="J5205" s="52">
        <f>SUM(J5200:J5204)</f>
        <v>0</v>
      </c>
      <c r="K5205" s="52"/>
      <c r="L5205" s="51" t="s">
        <v>4</v>
      </c>
      <c r="M5205" s="58"/>
      <c r="N5205" s="58"/>
      <c r="O5205" s="58"/>
      <c r="P5205" s="58"/>
      <c r="Q5205" s="58"/>
      <c r="R5205" s="58"/>
      <c r="S5205" s="58"/>
    </row>
    <row r="5206" spans="1:19" s="59" customFormat="1" ht="18.75" customHeight="1" thickBot="1" x14ac:dyDescent="0.3">
      <c r="A5206" s="59" t="s">
        <v>23</v>
      </c>
      <c r="B5206" s="60" t="str">
        <f t="shared" ref="B5206:B5207" si="3728">IF(K5206=0,"hide","")</f>
        <v/>
      </c>
      <c r="D5206" s="61" t="str">
        <f>"96605"</f>
        <v>96605</v>
      </c>
      <c r="E5206" s="62" t="str">
        <f>"13"</f>
        <v>13</v>
      </c>
      <c r="F5206" s="63">
        <v>5610.416666666667</v>
      </c>
      <c r="G5206" s="63">
        <v>2204.5</v>
      </c>
      <c r="H5206" s="63">
        <v>3620.0833333333335</v>
      </c>
      <c r="I5206" s="63">
        <v>3411.3333333333335</v>
      </c>
      <c r="J5206" s="63">
        <v>3344.0371084337357</v>
      </c>
      <c r="K5206" s="63">
        <f>AVERAGE(I5206:J5206)</f>
        <v>3377.6852208835344</v>
      </c>
      <c r="L5206" s="64" t="str">
        <f>"WG CORN MUFFINS (2GE)"</f>
        <v>WG CORN MUFFINS (2GE)</v>
      </c>
      <c r="M5206" s="65" t="str">
        <f>"60-2.5 oz. I.W."</f>
        <v>60-2.5 oz. I.W.</v>
      </c>
      <c r="N5206" s="66">
        <v>60</v>
      </c>
      <c r="O5206" s="67">
        <v>2.8800000000000002E-3</v>
      </c>
      <c r="P5206" s="68">
        <f>1/O5206</f>
        <v>347.22222222222223</v>
      </c>
      <c r="Q5206" s="53">
        <v>2.8800000000000002E-3</v>
      </c>
      <c r="R5206" s="69">
        <f t="shared" ref="R5206" si="3729">1/Q5206</f>
        <v>347.22222222222223</v>
      </c>
      <c r="S5206" s="70">
        <f t="shared" ref="S5206" si="3730">R5206*N5206</f>
        <v>20833.333333333332</v>
      </c>
    </row>
    <row r="5207" spans="1:19" ht="15.6" customHeight="1" thickBot="1" x14ac:dyDescent="0.3">
      <c r="A5207" t="s">
        <v>23</v>
      </c>
      <c r="B5207" s="60" t="str">
        <f t="shared" si="3728"/>
        <v/>
      </c>
      <c r="D5207" s="48" t="str">
        <f>D5206</f>
        <v>96605</v>
      </c>
      <c r="E5207" s="7"/>
      <c r="F5207" s="27">
        <v>-5259.9674999999997</v>
      </c>
      <c r="G5207" s="27">
        <v>-1456.1016666666667</v>
      </c>
      <c r="H5207" s="27">
        <v>-2641.0158333333334</v>
      </c>
      <c r="I5207" s="27">
        <v>-2176</v>
      </c>
      <c r="J5207" s="27">
        <v>-2601.0768674698797</v>
      </c>
      <c r="K5207" s="63">
        <f>AVERAGE(I5207:J5207)</f>
        <v>-2388.5384337349396</v>
      </c>
      <c r="L5207" s="56" t="str">
        <f>"EQP-LAWPACK1"</f>
        <v>EQP-LAWPACK1</v>
      </c>
      <c r="M5207" s="14"/>
      <c r="N5207" s="15"/>
      <c r="O5207" s="12"/>
      <c r="P5207" s="34"/>
      <c r="Q5207" s="37"/>
      <c r="R5207" s="47"/>
      <c r="S5207" s="46"/>
    </row>
    <row r="5208" spans="1:19" ht="15.6" hidden="1" customHeight="1" thickBot="1" x14ac:dyDescent="0.3">
      <c r="A5208" t="s">
        <v>23</v>
      </c>
      <c r="B5208" s="60" t="str">
        <f t="shared" ref="B5208:B5210" si="3731">IF(K5208=0,"hide","")</f>
        <v>hide</v>
      </c>
      <c r="D5208" s="48" t="str">
        <f>D5207</f>
        <v>96605</v>
      </c>
      <c r="E5208" s="7"/>
      <c r="F5208" s="27">
        <v>0</v>
      </c>
      <c r="G5208" s="27">
        <v>0</v>
      </c>
      <c r="H5208" s="27">
        <v>0</v>
      </c>
      <c r="I5208" s="27">
        <v>0</v>
      </c>
      <c r="J5208" s="27">
        <v>0</v>
      </c>
      <c r="K5208" s="63">
        <f>AVERAGE(I5208:J5208)</f>
        <v>0</v>
      </c>
      <c r="L5208" s="56" t="str">
        <f>"EQP-LAWPACK2"</f>
        <v>EQP-LAWPACK2</v>
      </c>
      <c r="M5208" s="14"/>
      <c r="N5208" s="15"/>
      <c r="O5208" s="12"/>
      <c r="P5208" s="34"/>
      <c r="Q5208" s="37"/>
      <c r="R5208" s="47"/>
      <c r="S5208" s="46"/>
    </row>
    <row r="5209" spans="1:19" ht="15.6" hidden="1" customHeight="1" thickBot="1" x14ac:dyDescent="0.3">
      <c r="A5209" t="s">
        <v>23</v>
      </c>
      <c r="B5209" s="60" t="str">
        <f t="shared" si="3731"/>
        <v>hide</v>
      </c>
      <c r="D5209" s="48" t="str">
        <f>D5208</f>
        <v>96605</v>
      </c>
      <c r="E5209" s="7"/>
      <c r="F5209" s="27">
        <v>0</v>
      </c>
      <c r="G5209" s="27">
        <v>0</v>
      </c>
      <c r="H5209" s="27">
        <v>0</v>
      </c>
      <c r="I5209" s="27">
        <v>0</v>
      </c>
      <c r="J5209" s="27">
        <v>0</v>
      </c>
      <c r="K5209" s="63">
        <f>AVERAGE(I5209:J5209)</f>
        <v>0</v>
      </c>
      <c r="L5209" s="56" t="str">
        <f>"SW-COMAS-PACKL"</f>
        <v>SW-COMAS-PACKL</v>
      </c>
      <c r="M5209" s="14"/>
      <c r="N5209" s="15"/>
      <c r="O5209" s="12"/>
      <c r="P5209" s="34"/>
      <c r="Q5209" s="37"/>
      <c r="R5209" s="47"/>
      <c r="S5209" s="46"/>
    </row>
    <row r="5210" spans="1:19" ht="15.6" hidden="1" customHeight="1" thickBot="1" x14ac:dyDescent="0.3">
      <c r="A5210" t="s">
        <v>23</v>
      </c>
      <c r="B5210" s="60" t="str">
        <f t="shared" si="3731"/>
        <v>hide</v>
      </c>
      <c r="D5210" s="48" t="str">
        <f>D5209</f>
        <v>96605</v>
      </c>
      <c r="E5210" s="7"/>
      <c r="F5210" s="27">
        <v>0</v>
      </c>
      <c r="G5210" s="27">
        <v>0</v>
      </c>
      <c r="H5210" s="27">
        <v>0</v>
      </c>
      <c r="I5210" s="27">
        <v>0</v>
      </c>
      <c r="J5210" s="27">
        <v>0</v>
      </c>
      <c r="K5210" s="63">
        <f>AVERAGE(I5210:J5210)</f>
        <v>0</v>
      </c>
      <c r="L5210" s="56" t="str">
        <f>"SW-RISER-PACK"</f>
        <v>SW-RISER-PACK</v>
      </c>
      <c r="M5210" s="14"/>
      <c r="N5210" s="15"/>
      <c r="O5210" s="12"/>
      <c r="P5210" s="34"/>
      <c r="Q5210" s="37"/>
      <c r="R5210" s="47"/>
      <c r="S5210" s="46"/>
    </row>
    <row r="5211" spans="1:19" ht="12" hidden="1" customHeight="1" x14ac:dyDescent="0.25">
      <c r="A5211" s="35" t="s">
        <v>908</v>
      </c>
      <c r="B5211" s="49" t="str">
        <f>B5207</f>
        <v/>
      </c>
      <c r="N5211"/>
      <c r="Q5211" s="33"/>
    </row>
    <row r="5212" spans="1:19" ht="13.8" thickBot="1" x14ac:dyDescent="0.3">
      <c r="A5212" t="s">
        <v>23</v>
      </c>
      <c r="B5212" s="49" t="str">
        <f t="shared" ref="B5212" si="3732">B5211</f>
        <v/>
      </c>
      <c r="D5212" s="58"/>
      <c r="E5212" s="58"/>
      <c r="F5212" s="52">
        <f>SUM(F5207:F5211)</f>
        <v>-5259.9674999999997</v>
      </c>
      <c r="G5212" s="52">
        <f>SUM(G5207:G5211)</f>
        <v>-1456.1016666666667</v>
      </c>
      <c r="H5212" s="52">
        <f>SUM(H5207:H5211)</f>
        <v>-2641.0158333333334</v>
      </c>
      <c r="I5212" s="52">
        <f>SUM(I5207:I5211)</f>
        <v>-2176</v>
      </c>
      <c r="J5212" s="52">
        <f>SUM(J5207:J5211)</f>
        <v>-2601.0768674698797</v>
      </c>
      <c r="K5212" s="52"/>
      <c r="L5212" s="51" t="s">
        <v>4</v>
      </c>
      <c r="M5212" s="58"/>
      <c r="N5212" s="58"/>
      <c r="O5212" s="58"/>
      <c r="P5212" s="58"/>
      <c r="Q5212" s="58"/>
      <c r="R5212" s="58"/>
      <c r="S5212" s="58"/>
    </row>
    <row r="5213" spans="1:19" s="59" customFormat="1" ht="18.75" hidden="1" customHeight="1" thickBot="1" x14ac:dyDescent="0.3">
      <c r="A5213" s="59" t="s">
        <v>23</v>
      </c>
      <c r="B5213" s="60" t="str">
        <f t="shared" ref="B5213:B5215" si="3733">IF(K5213=0,"hide","")</f>
        <v>hide</v>
      </c>
      <c r="D5213" s="61" t="str">
        <f>"96625"</f>
        <v>96625</v>
      </c>
      <c r="E5213" s="62" t="str">
        <f>"2"</f>
        <v>2</v>
      </c>
      <c r="F5213" s="63">
        <v>1.0833333333333333</v>
      </c>
      <c r="G5213" s="63">
        <v>0</v>
      </c>
      <c r="H5213" s="63">
        <v>0</v>
      </c>
      <c r="I5213" s="63">
        <v>0</v>
      </c>
      <c r="J5213" s="63">
        <v>0</v>
      </c>
      <c r="K5213" s="63">
        <f t="shared" ref="K5213:K5218" si="3734">AVERAGE(I5213:J5213)</f>
        <v>0</v>
      </c>
      <c r="L5213" s="64" t="str">
        <f>"Whole Grain Jalapeno Corn Muffin"</f>
        <v>Whole Grain Jalapeno Corn Muffin</v>
      </c>
      <c r="M5213" s="65" t="str">
        <f>"60/2.5 oz. I.W."</f>
        <v>60/2.5 oz. I.W.</v>
      </c>
      <c r="N5213" s="66">
        <v>60</v>
      </c>
      <c r="O5213" s="67" t="str">
        <f>""</f>
        <v/>
      </c>
      <c r="P5213" s="68" t="e">
        <f>1/O5213</f>
        <v>#VALUE!</v>
      </c>
      <c r="Q5213" s="53">
        <v>1</v>
      </c>
      <c r="R5213" s="69">
        <f t="shared" ref="R5213:R5214" si="3735">1/Q5213</f>
        <v>1</v>
      </c>
      <c r="S5213" s="70">
        <f t="shared" ref="S5213" si="3736">R5213*N5213</f>
        <v>60</v>
      </c>
    </row>
    <row r="5214" spans="1:19" s="59" customFormat="1" ht="18.75" hidden="1" customHeight="1" thickBot="1" x14ac:dyDescent="0.3">
      <c r="A5214" s="59" t="s">
        <v>23</v>
      </c>
      <c r="B5214" s="60" t="str">
        <f t="shared" ref="B5214" si="3737">IF(K5214=0,"hide","")</f>
        <v>hide</v>
      </c>
      <c r="D5214" s="61" t="str">
        <f>"96625"</f>
        <v>96625</v>
      </c>
      <c r="E5214" s="62" t="str">
        <f>"3"</f>
        <v>3</v>
      </c>
      <c r="F5214" s="63">
        <v>1.0833333333333333</v>
      </c>
      <c r="G5214" s="63">
        <v>0</v>
      </c>
      <c r="H5214" s="63">
        <v>0</v>
      </c>
      <c r="I5214" s="63">
        <v>0</v>
      </c>
      <c r="J5214" s="63">
        <v>0</v>
      </c>
      <c r="K5214" s="63">
        <f t="shared" si="3734"/>
        <v>0</v>
      </c>
      <c r="L5214" s="64" t="str">
        <f>"Whole Grain Jalapeno Corn Muffin"</f>
        <v>Whole Grain Jalapeno Corn Muffin</v>
      </c>
      <c r="M5214" s="65" t="str">
        <f>"60/2.5 oz. I.W."</f>
        <v>60/2.5 oz. I.W.</v>
      </c>
      <c r="N5214" s="66">
        <v>60</v>
      </c>
      <c r="O5214" s="67" t="str">
        <f>""</f>
        <v/>
      </c>
      <c r="P5214" s="68" t="e">
        <f>1/O5214</f>
        <v>#VALUE!</v>
      </c>
      <c r="Q5214" s="53">
        <v>1</v>
      </c>
      <c r="R5214" s="69">
        <f t="shared" si="3735"/>
        <v>1</v>
      </c>
      <c r="S5214" s="70">
        <f t="shared" ref="S5214" si="3738">R5214*N5214</f>
        <v>60</v>
      </c>
    </row>
    <row r="5215" spans="1:19" ht="15.6" hidden="1" customHeight="1" thickBot="1" x14ac:dyDescent="0.3">
      <c r="A5215" t="s">
        <v>23</v>
      </c>
      <c r="B5215" s="60" t="str">
        <f t="shared" si="3733"/>
        <v>hide</v>
      </c>
      <c r="D5215" s="48" t="str">
        <f>D5213</f>
        <v>96625</v>
      </c>
      <c r="E5215" s="7"/>
      <c r="F5215" s="27">
        <v>0</v>
      </c>
      <c r="G5215" s="27">
        <v>0</v>
      </c>
      <c r="H5215" s="27">
        <v>0</v>
      </c>
      <c r="I5215" s="27">
        <v>0</v>
      </c>
      <c r="J5215" s="27">
        <v>0</v>
      </c>
      <c r="K5215" s="63">
        <f t="shared" si="3734"/>
        <v>0</v>
      </c>
      <c r="L5215" s="56" t="str">
        <f>"EQP-LAWPACK1"</f>
        <v>EQP-LAWPACK1</v>
      </c>
      <c r="M5215" s="14"/>
      <c r="N5215" s="15"/>
      <c r="O5215" s="12"/>
      <c r="P5215" s="34"/>
      <c r="Q5215" s="37"/>
      <c r="R5215" s="47"/>
      <c r="S5215" s="46"/>
    </row>
    <row r="5216" spans="1:19" ht="15.6" hidden="1" customHeight="1" thickBot="1" x14ac:dyDescent="0.3">
      <c r="A5216" t="s">
        <v>23</v>
      </c>
      <c r="B5216" s="60" t="str">
        <f t="shared" ref="B5216:B5218" si="3739">IF(K5216=0,"hide","")</f>
        <v>hide</v>
      </c>
      <c r="D5216" s="48" t="str">
        <f>D5214</f>
        <v>96625</v>
      </c>
      <c r="E5216" s="7"/>
      <c r="F5216" s="27">
        <v>0</v>
      </c>
      <c r="G5216" s="27">
        <v>0</v>
      </c>
      <c r="H5216" s="27">
        <v>0</v>
      </c>
      <c r="I5216" s="27">
        <v>0</v>
      </c>
      <c r="J5216" s="27">
        <v>0</v>
      </c>
      <c r="K5216" s="63">
        <f t="shared" si="3734"/>
        <v>0</v>
      </c>
      <c r="L5216" s="56" t="str">
        <f>"EQP-LAWPACK2"</f>
        <v>EQP-LAWPACK2</v>
      </c>
      <c r="M5216" s="14"/>
      <c r="N5216" s="15"/>
      <c r="O5216" s="12"/>
      <c r="P5216" s="34"/>
      <c r="Q5216" s="37"/>
      <c r="R5216" s="47"/>
      <c r="S5216" s="46"/>
    </row>
    <row r="5217" spans="1:19" ht="15.6" hidden="1" customHeight="1" thickBot="1" x14ac:dyDescent="0.3">
      <c r="A5217" t="s">
        <v>23</v>
      </c>
      <c r="B5217" s="60" t="str">
        <f t="shared" si="3739"/>
        <v>hide</v>
      </c>
      <c r="D5217" s="48" t="str">
        <f>D5215</f>
        <v>96625</v>
      </c>
      <c r="E5217" s="7"/>
      <c r="F5217" s="27">
        <v>0</v>
      </c>
      <c r="G5217" s="27">
        <v>0</v>
      </c>
      <c r="H5217" s="27">
        <v>0</v>
      </c>
      <c r="I5217" s="27">
        <v>0</v>
      </c>
      <c r="J5217" s="27">
        <v>0</v>
      </c>
      <c r="K5217" s="63">
        <f t="shared" si="3734"/>
        <v>0</v>
      </c>
      <c r="L5217" s="56" t="str">
        <f>"SW-COMAS-PACKL"</f>
        <v>SW-COMAS-PACKL</v>
      </c>
      <c r="M5217" s="14"/>
      <c r="N5217" s="15"/>
      <c r="O5217" s="12"/>
      <c r="P5217" s="34"/>
      <c r="Q5217" s="37"/>
      <c r="R5217" s="47"/>
      <c r="S5217" s="46"/>
    </row>
    <row r="5218" spans="1:19" ht="15.6" hidden="1" customHeight="1" thickBot="1" x14ac:dyDescent="0.3">
      <c r="A5218" t="s">
        <v>23</v>
      </c>
      <c r="B5218" s="60" t="str">
        <f t="shared" si="3739"/>
        <v>hide</v>
      </c>
      <c r="D5218" s="48" t="str">
        <f>D5216</f>
        <v>96625</v>
      </c>
      <c r="E5218" s="7"/>
      <c r="F5218" s="27">
        <v>0</v>
      </c>
      <c r="G5218" s="27">
        <v>0</v>
      </c>
      <c r="H5218" s="27">
        <v>0</v>
      </c>
      <c r="I5218" s="27">
        <v>0</v>
      </c>
      <c r="J5218" s="27">
        <v>0</v>
      </c>
      <c r="K5218" s="63">
        <f t="shared" si="3734"/>
        <v>0</v>
      </c>
      <c r="L5218" s="56" t="str">
        <f>"SW-RISER-PACK"</f>
        <v>SW-RISER-PACK</v>
      </c>
      <c r="M5218" s="14"/>
      <c r="N5218" s="15"/>
      <c r="O5218" s="12"/>
      <c r="P5218" s="34"/>
      <c r="Q5218" s="37"/>
      <c r="R5218" s="47"/>
      <c r="S5218" s="46"/>
    </row>
    <row r="5219" spans="1:19" ht="12" hidden="1" customHeight="1" x14ac:dyDescent="0.3">
      <c r="A5219" s="35" t="s">
        <v>908</v>
      </c>
      <c r="B5219" s="49" t="str">
        <f>B5215</f>
        <v>hide</v>
      </c>
      <c r="N5219"/>
      <c r="Q5219" s="33"/>
    </row>
    <row r="5220" spans="1:19" ht="13.8" hidden="1" thickBot="1" x14ac:dyDescent="0.3">
      <c r="A5220" t="s">
        <v>23</v>
      </c>
      <c r="B5220" s="49" t="str">
        <f t="shared" ref="B5220" si="3740">B5219</f>
        <v>hide</v>
      </c>
      <c r="D5220" s="58"/>
      <c r="E5220" s="58"/>
      <c r="F5220" s="52">
        <f>SUM(F5215:F5219)</f>
        <v>0</v>
      </c>
      <c r="G5220" s="52">
        <f>SUM(G5215:G5219)</f>
        <v>0</v>
      </c>
      <c r="H5220" s="52">
        <f>SUM(H5215:H5219)</f>
        <v>0</v>
      </c>
      <c r="I5220" s="52">
        <f>SUM(I5215:I5219)</f>
        <v>0</v>
      </c>
      <c r="J5220" s="52">
        <f>SUM(J5215:J5219)</f>
        <v>0</v>
      </c>
      <c r="K5220" s="52"/>
      <c r="L5220" s="51" t="s">
        <v>4</v>
      </c>
      <c r="M5220" s="58"/>
      <c r="N5220" s="58"/>
      <c r="O5220" s="58"/>
      <c r="P5220" s="58"/>
      <c r="Q5220" s="58"/>
      <c r="R5220" s="58"/>
      <c r="S5220" s="58"/>
    </row>
    <row r="5221" spans="1:19" s="59" customFormat="1" ht="18.75" customHeight="1" thickBot="1" x14ac:dyDescent="0.3">
      <c r="A5221" s="59" t="s">
        <v>23</v>
      </c>
      <c r="B5221" s="60" t="str">
        <f t="shared" ref="B5221:B5222" si="3741">IF(K5221=0,"hide","")</f>
        <v/>
      </c>
      <c r="D5221" s="61" t="str">
        <f>"96905"</f>
        <v>96905</v>
      </c>
      <c r="E5221" s="62" t="str">
        <f>"4"</f>
        <v>4</v>
      </c>
      <c r="F5221" s="63">
        <v>610.66666666666663</v>
      </c>
      <c r="G5221" s="63">
        <v>285.83333333333331</v>
      </c>
      <c r="H5221" s="63">
        <v>177</v>
      </c>
      <c r="I5221" s="63">
        <v>397</v>
      </c>
      <c r="J5221" s="63">
        <v>411.95253012048192</v>
      </c>
      <c r="K5221" s="63">
        <f>AVERAGE(I5221:J5221)</f>
        <v>404.47626506024096</v>
      </c>
      <c r="L5221" s="64" t="str">
        <f>"2175 WG Corn Muffin 60/2.5oz"</f>
        <v>2175 WG Corn Muffin 60/2.5oz</v>
      </c>
      <c r="M5221" s="65" t="str">
        <f>"60/2.5 oz. I.W."</f>
        <v>60/2.5 oz. I.W.</v>
      </c>
      <c r="N5221" s="66">
        <v>60</v>
      </c>
      <c r="O5221" s="67">
        <v>2.8800000000000002E-3</v>
      </c>
      <c r="P5221" s="68">
        <f>1/O5221</f>
        <v>347.22222222222223</v>
      </c>
      <c r="Q5221" s="53">
        <v>2.8800000000000002E-3</v>
      </c>
      <c r="R5221" s="69">
        <f t="shared" ref="R5221" si="3742">1/Q5221</f>
        <v>347.22222222222223</v>
      </c>
      <c r="S5221" s="70">
        <f t="shared" ref="S5221" si="3743">R5221*N5221</f>
        <v>20833.333333333332</v>
      </c>
    </row>
    <row r="5222" spans="1:19" ht="15.6" customHeight="1" thickBot="1" x14ac:dyDescent="0.3">
      <c r="A5222" t="s">
        <v>23</v>
      </c>
      <c r="B5222" s="60" t="str">
        <f t="shared" si="3741"/>
        <v/>
      </c>
      <c r="D5222" s="48" t="str">
        <f>D5221</f>
        <v>96905</v>
      </c>
      <c r="E5222" s="7"/>
      <c r="F5222" s="27">
        <v>-479.75</v>
      </c>
      <c r="G5222" s="27">
        <v>-222.59833333333333</v>
      </c>
      <c r="H5222" s="27">
        <v>-101.14833333333333</v>
      </c>
      <c r="I5222" s="27">
        <v>-141</v>
      </c>
      <c r="J5222" s="27">
        <v>-121.38313253012051</v>
      </c>
      <c r="K5222" s="63">
        <f>AVERAGE(I5222:J5222)</f>
        <v>-131.19156626506026</v>
      </c>
      <c r="L5222" s="56" t="str">
        <f>"EQP-LAWPACK1"</f>
        <v>EQP-LAWPACK1</v>
      </c>
      <c r="M5222" s="14"/>
      <c r="N5222" s="15"/>
      <c r="O5222" s="12"/>
      <c r="P5222" s="34"/>
      <c r="Q5222" s="37"/>
      <c r="R5222" s="47"/>
      <c r="S5222" s="46"/>
    </row>
    <row r="5223" spans="1:19" ht="15.6" hidden="1" customHeight="1" thickBot="1" x14ac:dyDescent="0.3">
      <c r="A5223" t="s">
        <v>23</v>
      </c>
      <c r="B5223" s="60" t="str">
        <f t="shared" ref="B5223:B5225" si="3744">IF(K5223=0,"hide","")</f>
        <v>hide</v>
      </c>
      <c r="D5223" s="48" t="str">
        <f>D5222</f>
        <v>96905</v>
      </c>
      <c r="E5223" s="7"/>
      <c r="F5223" s="27">
        <v>0</v>
      </c>
      <c r="G5223" s="27">
        <v>0</v>
      </c>
      <c r="H5223" s="27">
        <v>0</v>
      </c>
      <c r="I5223" s="27">
        <v>0</v>
      </c>
      <c r="J5223" s="27">
        <v>0</v>
      </c>
      <c r="K5223" s="63">
        <f>AVERAGE(I5223:J5223)</f>
        <v>0</v>
      </c>
      <c r="L5223" s="56" t="str">
        <f>"EQP-LAWPACK2"</f>
        <v>EQP-LAWPACK2</v>
      </c>
      <c r="M5223" s="14"/>
      <c r="N5223" s="15"/>
      <c r="O5223" s="12"/>
      <c r="P5223" s="34"/>
      <c r="Q5223" s="37"/>
      <c r="R5223" s="47"/>
      <c r="S5223" s="46"/>
    </row>
    <row r="5224" spans="1:19" ht="15.6" hidden="1" customHeight="1" thickBot="1" x14ac:dyDescent="0.3">
      <c r="A5224" t="s">
        <v>23</v>
      </c>
      <c r="B5224" s="60" t="str">
        <f t="shared" si="3744"/>
        <v>hide</v>
      </c>
      <c r="D5224" s="48" t="str">
        <f>D5223</f>
        <v>96905</v>
      </c>
      <c r="E5224" s="7"/>
      <c r="F5224" s="27">
        <v>0</v>
      </c>
      <c r="G5224" s="27">
        <v>0</v>
      </c>
      <c r="H5224" s="27">
        <v>0</v>
      </c>
      <c r="I5224" s="27">
        <v>0</v>
      </c>
      <c r="J5224" s="27">
        <v>0</v>
      </c>
      <c r="K5224" s="63">
        <f>AVERAGE(I5224:J5224)</f>
        <v>0</v>
      </c>
      <c r="L5224" s="56" t="str">
        <f>"SW-COMAS-PACKL"</f>
        <v>SW-COMAS-PACKL</v>
      </c>
      <c r="M5224" s="14"/>
      <c r="N5224" s="15"/>
      <c r="O5224" s="12"/>
      <c r="P5224" s="34"/>
      <c r="Q5224" s="37"/>
      <c r="R5224" s="47"/>
      <c r="S5224" s="46"/>
    </row>
    <row r="5225" spans="1:19" ht="15.6" hidden="1" customHeight="1" thickBot="1" x14ac:dyDescent="0.3">
      <c r="A5225" t="s">
        <v>23</v>
      </c>
      <c r="B5225" s="60" t="str">
        <f t="shared" si="3744"/>
        <v>hide</v>
      </c>
      <c r="D5225" s="48" t="str">
        <f>D5224</f>
        <v>96905</v>
      </c>
      <c r="E5225" s="7"/>
      <c r="F5225" s="27">
        <v>0</v>
      </c>
      <c r="G5225" s="27">
        <v>0</v>
      </c>
      <c r="H5225" s="27">
        <v>0</v>
      </c>
      <c r="I5225" s="27">
        <v>0</v>
      </c>
      <c r="J5225" s="27">
        <v>0</v>
      </c>
      <c r="K5225" s="63">
        <f>AVERAGE(I5225:J5225)</f>
        <v>0</v>
      </c>
      <c r="L5225" s="56" t="str">
        <f>"SW-RISER-PACK"</f>
        <v>SW-RISER-PACK</v>
      </c>
      <c r="M5225" s="14"/>
      <c r="N5225" s="15"/>
      <c r="O5225" s="12"/>
      <c r="P5225" s="34"/>
      <c r="Q5225" s="37"/>
      <c r="R5225" s="47"/>
      <c r="S5225" s="46"/>
    </row>
    <row r="5226" spans="1:19" ht="12" hidden="1" customHeight="1" x14ac:dyDescent="0.25">
      <c r="A5226" s="35" t="s">
        <v>908</v>
      </c>
      <c r="B5226" s="49" t="str">
        <f>B5222</f>
        <v/>
      </c>
      <c r="N5226"/>
      <c r="Q5226" s="33"/>
    </row>
    <row r="5227" spans="1:19" ht="13.8" thickBot="1" x14ac:dyDescent="0.3">
      <c r="A5227" t="s">
        <v>23</v>
      </c>
      <c r="B5227" s="49" t="str">
        <f t="shared" ref="B5227" si="3745">B5226</f>
        <v/>
      </c>
      <c r="D5227" s="58"/>
      <c r="E5227" s="58"/>
      <c r="F5227" s="52">
        <f>SUM(F5222:F5226)</f>
        <v>-479.75</v>
      </c>
      <c r="G5227" s="52">
        <f>SUM(G5222:G5226)</f>
        <v>-222.59833333333333</v>
      </c>
      <c r="H5227" s="52">
        <f>SUM(H5222:H5226)</f>
        <v>-101.14833333333333</v>
      </c>
      <c r="I5227" s="52">
        <f>SUM(I5222:I5226)</f>
        <v>-141</v>
      </c>
      <c r="J5227" s="52">
        <f>SUM(J5222:J5226)</f>
        <v>-121.38313253012051</v>
      </c>
      <c r="K5227" s="52"/>
      <c r="L5227" s="51" t="s">
        <v>4</v>
      </c>
      <c r="M5227" s="58"/>
      <c r="N5227" s="58"/>
      <c r="O5227" s="58"/>
      <c r="P5227" s="58"/>
      <c r="Q5227" s="58"/>
      <c r="R5227" s="58"/>
      <c r="S5227" s="58"/>
    </row>
    <row r="5228" spans="1:19" s="59" customFormat="1" ht="18.75" hidden="1" customHeight="1" thickBot="1" x14ac:dyDescent="0.3">
      <c r="A5228" s="59" t="s">
        <v>23</v>
      </c>
      <c r="B5228" s="60" t="str">
        <f t="shared" ref="B5228:B5229" si="3746">IF(K5228=0,"hide","")</f>
        <v>hide</v>
      </c>
      <c r="D5228" s="61" t="str">
        <f>"97116"</f>
        <v>97116</v>
      </c>
      <c r="E5228" s="62" t="str">
        <f>"3"</f>
        <v>3</v>
      </c>
      <c r="F5228" s="63">
        <v>65.833333333333329</v>
      </c>
      <c r="G5228" s="63">
        <v>4.416666666666667</v>
      </c>
      <c r="H5228" s="63">
        <v>13.583333333333334</v>
      </c>
      <c r="I5228" s="63">
        <v>0</v>
      </c>
      <c r="J5228" s="63">
        <v>0</v>
      </c>
      <c r="K5228" s="63">
        <f>AVERAGE(I5228:J5228)</f>
        <v>0</v>
      </c>
      <c r="L5228" s="64" t="str">
        <f>"CINNAMON RAISIN BAGELS SLICED"</f>
        <v>CINNAMON RAISIN BAGELS SLICED</v>
      </c>
      <c r="M5228" s="65" t="str">
        <f>"84-2.5 oz. Bulk"</f>
        <v>84-2.5 oz. Bulk</v>
      </c>
      <c r="N5228" s="66">
        <v>84</v>
      </c>
      <c r="O5228" s="67" t="str">
        <f>""</f>
        <v/>
      </c>
      <c r="P5228" s="68" t="e">
        <f>1/O5228</f>
        <v>#VALUE!</v>
      </c>
      <c r="Q5228" s="53">
        <v>1</v>
      </c>
      <c r="R5228" s="69">
        <f t="shared" ref="R5228" si="3747">1/Q5228</f>
        <v>1</v>
      </c>
      <c r="S5228" s="70">
        <f t="shared" ref="S5228" si="3748">R5228*N5228</f>
        <v>84</v>
      </c>
    </row>
    <row r="5229" spans="1:19" ht="15.6" hidden="1" customHeight="1" thickBot="1" x14ac:dyDescent="0.3">
      <c r="A5229" t="s">
        <v>23</v>
      </c>
      <c r="B5229" s="60" t="str">
        <f t="shared" si="3746"/>
        <v>hide</v>
      </c>
      <c r="D5229" s="48" t="str">
        <f>D5228</f>
        <v>97116</v>
      </c>
      <c r="E5229" s="7"/>
      <c r="F5229" s="27">
        <v>0</v>
      </c>
      <c r="G5229" s="27">
        <v>0</v>
      </c>
      <c r="H5229" s="27">
        <v>0</v>
      </c>
      <c r="I5229" s="27">
        <v>0</v>
      </c>
      <c r="J5229" s="27">
        <v>0</v>
      </c>
      <c r="K5229" s="63">
        <f>AVERAGE(I5229:J5229)</f>
        <v>0</v>
      </c>
      <c r="L5229" s="56" t="str">
        <f>"EQP-LAWPACK1"</f>
        <v>EQP-LAWPACK1</v>
      </c>
      <c r="M5229" s="14"/>
      <c r="N5229" s="15"/>
      <c r="O5229" s="12"/>
      <c r="P5229" s="34"/>
      <c r="Q5229" s="37"/>
      <c r="R5229" s="47"/>
      <c r="S5229" s="46"/>
    </row>
    <row r="5230" spans="1:19" ht="15.6" hidden="1" customHeight="1" thickBot="1" x14ac:dyDescent="0.3">
      <c r="A5230" t="s">
        <v>23</v>
      </c>
      <c r="B5230" s="60" t="str">
        <f t="shared" ref="B5230:B5232" si="3749">IF(K5230=0,"hide","")</f>
        <v>hide</v>
      </c>
      <c r="D5230" s="48" t="str">
        <f>D5229</f>
        <v>97116</v>
      </c>
      <c r="E5230" s="7"/>
      <c r="F5230" s="27">
        <v>0</v>
      </c>
      <c r="G5230" s="27">
        <v>0</v>
      </c>
      <c r="H5230" s="27">
        <v>0</v>
      </c>
      <c r="I5230" s="27">
        <v>0</v>
      </c>
      <c r="J5230" s="27">
        <v>0</v>
      </c>
      <c r="K5230" s="63">
        <f>AVERAGE(I5230:J5230)</f>
        <v>0</v>
      </c>
      <c r="L5230" s="56" t="str">
        <f>"EQP-LAWPACK2"</f>
        <v>EQP-LAWPACK2</v>
      </c>
      <c r="M5230" s="14"/>
      <c r="N5230" s="15"/>
      <c r="O5230" s="12"/>
      <c r="P5230" s="34"/>
      <c r="Q5230" s="37"/>
      <c r="R5230" s="47"/>
      <c r="S5230" s="46"/>
    </row>
    <row r="5231" spans="1:19" ht="15.6" hidden="1" customHeight="1" thickBot="1" x14ac:dyDescent="0.3">
      <c r="A5231" t="s">
        <v>23</v>
      </c>
      <c r="B5231" s="60" t="str">
        <f t="shared" si="3749"/>
        <v>hide</v>
      </c>
      <c r="D5231" s="48" t="str">
        <f>D5230</f>
        <v>97116</v>
      </c>
      <c r="E5231" s="7"/>
      <c r="F5231" s="27">
        <v>0</v>
      </c>
      <c r="G5231" s="27">
        <v>0</v>
      </c>
      <c r="H5231" s="27">
        <v>0</v>
      </c>
      <c r="I5231" s="27">
        <v>0</v>
      </c>
      <c r="J5231" s="27">
        <v>0</v>
      </c>
      <c r="K5231" s="63">
        <f>AVERAGE(I5231:J5231)</f>
        <v>0</v>
      </c>
      <c r="L5231" s="56" t="str">
        <f>"SW-COMAS-PACKL"</f>
        <v>SW-COMAS-PACKL</v>
      </c>
      <c r="M5231" s="14"/>
      <c r="N5231" s="15"/>
      <c r="O5231" s="12"/>
      <c r="P5231" s="34"/>
      <c r="Q5231" s="37"/>
      <c r="R5231" s="47"/>
      <c r="S5231" s="46"/>
    </row>
    <row r="5232" spans="1:19" ht="15.6" hidden="1" customHeight="1" thickBot="1" x14ac:dyDescent="0.3">
      <c r="A5232" t="s">
        <v>23</v>
      </c>
      <c r="B5232" s="60" t="str">
        <f t="shared" si="3749"/>
        <v>hide</v>
      </c>
      <c r="D5232" s="48" t="str">
        <f>D5231</f>
        <v>97116</v>
      </c>
      <c r="E5232" s="7"/>
      <c r="F5232" s="27">
        <v>0</v>
      </c>
      <c r="G5232" s="27">
        <v>0</v>
      </c>
      <c r="H5232" s="27">
        <v>0</v>
      </c>
      <c r="I5232" s="27">
        <v>0</v>
      </c>
      <c r="J5232" s="27">
        <v>0</v>
      </c>
      <c r="K5232" s="63">
        <f>AVERAGE(I5232:J5232)</f>
        <v>0</v>
      </c>
      <c r="L5232" s="56" t="str">
        <f>"SW-RISER-PACK"</f>
        <v>SW-RISER-PACK</v>
      </c>
      <c r="M5232" s="14"/>
      <c r="N5232" s="15"/>
      <c r="O5232" s="12"/>
      <c r="P5232" s="34"/>
      <c r="Q5232" s="37"/>
      <c r="R5232" s="47"/>
      <c r="S5232" s="46"/>
    </row>
    <row r="5233" spans="1:19" ht="12" hidden="1" customHeight="1" x14ac:dyDescent="0.3">
      <c r="A5233" s="35" t="s">
        <v>908</v>
      </c>
      <c r="B5233" s="49" t="str">
        <f>B5229</f>
        <v>hide</v>
      </c>
      <c r="N5233"/>
      <c r="Q5233" s="33"/>
    </row>
    <row r="5234" spans="1:19" ht="13.8" hidden="1" thickBot="1" x14ac:dyDescent="0.3">
      <c r="A5234" t="s">
        <v>23</v>
      </c>
      <c r="B5234" s="49" t="str">
        <f t="shared" ref="B5234" si="3750">B5233</f>
        <v>hide</v>
      </c>
      <c r="D5234" s="58"/>
      <c r="E5234" s="58"/>
      <c r="F5234" s="52">
        <f>SUM(F5229:F5233)</f>
        <v>0</v>
      </c>
      <c r="G5234" s="52">
        <f>SUM(G5229:G5233)</f>
        <v>0</v>
      </c>
      <c r="H5234" s="52">
        <f>SUM(H5229:H5233)</f>
        <v>0</v>
      </c>
      <c r="I5234" s="52">
        <f>SUM(I5229:I5233)</f>
        <v>0</v>
      </c>
      <c r="J5234" s="52">
        <f>SUM(J5229:J5233)</f>
        <v>0</v>
      </c>
      <c r="K5234" s="52"/>
      <c r="L5234" s="51" t="s">
        <v>4</v>
      </c>
      <c r="M5234" s="58"/>
      <c r="N5234" s="58"/>
      <c r="O5234" s="58"/>
      <c r="P5234" s="58"/>
      <c r="Q5234" s="58"/>
      <c r="R5234" s="58"/>
      <c r="S5234" s="58"/>
    </row>
    <row r="5235" spans="1:19" s="59" customFormat="1" ht="18.75" customHeight="1" thickBot="1" x14ac:dyDescent="0.3">
      <c r="A5235" s="59" t="s">
        <v>23</v>
      </c>
      <c r="B5235" s="60" t="str">
        <f t="shared" ref="B5235:B5236" si="3751">IF(K5235=0,"hide","")</f>
        <v/>
      </c>
      <c r="D5235" s="61" t="str">
        <f>"97129"</f>
        <v>97129</v>
      </c>
      <c r="E5235" s="62" t="str">
        <f>"4"</f>
        <v>4</v>
      </c>
      <c r="F5235" s="63">
        <v>172.75</v>
      </c>
      <c r="G5235" s="63">
        <v>285.25</v>
      </c>
      <c r="H5235" s="63">
        <v>338.91666666666669</v>
      </c>
      <c r="I5235" s="63">
        <v>82.5</v>
      </c>
      <c r="J5235" s="63">
        <v>40.097349397590364</v>
      </c>
      <c r="K5235" s="63">
        <f>AVERAGE(I5235:J5235)</f>
        <v>61.298674698795182</v>
      </c>
      <c r="L5235" s="64" t="str">
        <f>"PLAIN BAGELS SLICED"</f>
        <v>PLAIN BAGELS SLICED</v>
      </c>
      <c r="M5235" s="65" t="str">
        <f>"84-2.5 oz. Bulk"</f>
        <v>84-2.5 oz. Bulk</v>
      </c>
      <c r="N5235" s="66">
        <v>84</v>
      </c>
      <c r="O5235" s="67" t="str">
        <f>""</f>
        <v/>
      </c>
      <c r="P5235" s="68" t="e">
        <f>1/O5235</f>
        <v>#VALUE!</v>
      </c>
      <c r="Q5235" s="53">
        <v>1</v>
      </c>
      <c r="R5235" s="69">
        <f t="shared" ref="R5235" si="3752">1/Q5235</f>
        <v>1</v>
      </c>
      <c r="S5235" s="70">
        <f t="shared" ref="S5235" si="3753">R5235*N5235</f>
        <v>84</v>
      </c>
    </row>
    <row r="5236" spans="1:19" ht="15.6" hidden="1" customHeight="1" thickBot="1" x14ac:dyDescent="0.3">
      <c r="A5236" t="s">
        <v>23</v>
      </c>
      <c r="B5236" s="60" t="str">
        <f t="shared" si="3751"/>
        <v>hide</v>
      </c>
      <c r="D5236" s="48" t="str">
        <f>D5235</f>
        <v>97129</v>
      </c>
      <c r="E5236" s="7"/>
      <c r="F5236" s="27">
        <v>0</v>
      </c>
      <c r="G5236" s="27">
        <v>0</v>
      </c>
      <c r="H5236" s="27">
        <v>0</v>
      </c>
      <c r="I5236" s="27">
        <v>0</v>
      </c>
      <c r="J5236" s="27">
        <v>0</v>
      </c>
      <c r="K5236" s="63">
        <f>AVERAGE(I5236:J5236)</f>
        <v>0</v>
      </c>
      <c r="L5236" s="56" t="str">
        <f>"EQP-LAWPACK1"</f>
        <v>EQP-LAWPACK1</v>
      </c>
      <c r="M5236" s="14"/>
      <c r="N5236" s="15"/>
      <c r="O5236" s="12"/>
      <c r="P5236" s="34"/>
      <c r="Q5236" s="37"/>
      <c r="R5236" s="47"/>
      <c r="S5236" s="46"/>
    </row>
    <row r="5237" spans="1:19" ht="15.6" hidden="1" customHeight="1" thickBot="1" x14ac:dyDescent="0.3">
      <c r="A5237" t="s">
        <v>23</v>
      </c>
      <c r="B5237" s="60" t="str">
        <f t="shared" ref="B5237:B5239" si="3754">IF(K5237=0,"hide","")</f>
        <v>hide</v>
      </c>
      <c r="D5237" s="48" t="str">
        <f>D5236</f>
        <v>97129</v>
      </c>
      <c r="E5237" s="7"/>
      <c r="F5237" s="27">
        <v>0</v>
      </c>
      <c r="G5237" s="27">
        <v>0</v>
      </c>
      <c r="H5237" s="27">
        <v>0</v>
      </c>
      <c r="I5237" s="27">
        <v>0</v>
      </c>
      <c r="J5237" s="27">
        <v>0</v>
      </c>
      <c r="K5237" s="63">
        <f>AVERAGE(I5237:J5237)</f>
        <v>0</v>
      </c>
      <c r="L5237" s="56" t="str">
        <f>"EQP-LAWPACK2"</f>
        <v>EQP-LAWPACK2</v>
      </c>
      <c r="M5237" s="14"/>
      <c r="N5237" s="15"/>
      <c r="O5237" s="12"/>
      <c r="P5237" s="34"/>
      <c r="Q5237" s="37"/>
      <c r="R5237" s="47"/>
      <c r="S5237" s="46"/>
    </row>
    <row r="5238" spans="1:19" ht="15.6" hidden="1" customHeight="1" thickBot="1" x14ac:dyDescent="0.3">
      <c r="A5238" t="s">
        <v>23</v>
      </c>
      <c r="B5238" s="60" t="str">
        <f t="shared" si="3754"/>
        <v>hide</v>
      </c>
      <c r="D5238" s="48" t="str">
        <f>D5237</f>
        <v>97129</v>
      </c>
      <c r="E5238" s="7"/>
      <c r="F5238" s="27">
        <v>0</v>
      </c>
      <c r="G5238" s="27">
        <v>0</v>
      </c>
      <c r="H5238" s="27">
        <v>0</v>
      </c>
      <c r="I5238" s="27">
        <v>0</v>
      </c>
      <c r="J5238" s="27">
        <v>0</v>
      </c>
      <c r="K5238" s="63">
        <f>AVERAGE(I5238:J5238)</f>
        <v>0</v>
      </c>
      <c r="L5238" s="56" t="str">
        <f>"SW-COMAS-PACKL"</f>
        <v>SW-COMAS-PACKL</v>
      </c>
      <c r="M5238" s="14"/>
      <c r="N5238" s="15"/>
      <c r="O5238" s="12"/>
      <c r="P5238" s="34"/>
      <c r="Q5238" s="37"/>
      <c r="R5238" s="47"/>
      <c r="S5238" s="46"/>
    </row>
    <row r="5239" spans="1:19" ht="15.6" hidden="1" customHeight="1" thickBot="1" x14ac:dyDescent="0.3">
      <c r="A5239" t="s">
        <v>23</v>
      </c>
      <c r="B5239" s="60" t="str">
        <f t="shared" si="3754"/>
        <v>hide</v>
      </c>
      <c r="D5239" s="48" t="str">
        <f>D5238</f>
        <v>97129</v>
      </c>
      <c r="E5239" s="7"/>
      <c r="F5239" s="27">
        <v>0</v>
      </c>
      <c r="G5239" s="27">
        <v>0</v>
      </c>
      <c r="H5239" s="27">
        <v>0</v>
      </c>
      <c r="I5239" s="27">
        <v>0</v>
      </c>
      <c r="J5239" s="27">
        <v>0</v>
      </c>
      <c r="K5239" s="63">
        <f>AVERAGE(I5239:J5239)</f>
        <v>0</v>
      </c>
      <c r="L5239" s="56" t="str">
        <f>"SW-RISER-PACK"</f>
        <v>SW-RISER-PACK</v>
      </c>
      <c r="M5239" s="14"/>
      <c r="N5239" s="15"/>
      <c r="O5239" s="12"/>
      <c r="P5239" s="34"/>
      <c r="Q5239" s="37"/>
      <c r="R5239" s="47"/>
      <c r="S5239" s="46"/>
    </row>
    <row r="5240" spans="1:19" ht="12" hidden="1" customHeight="1" x14ac:dyDescent="0.3">
      <c r="A5240" s="35" t="s">
        <v>908</v>
      </c>
      <c r="B5240" s="49" t="str">
        <f>B5236</f>
        <v>hide</v>
      </c>
      <c r="N5240"/>
      <c r="Q5240" s="33"/>
    </row>
    <row r="5241" spans="1:19" ht="13.8" hidden="1" thickBot="1" x14ac:dyDescent="0.3">
      <c r="A5241" t="s">
        <v>23</v>
      </c>
      <c r="B5241" s="49" t="str">
        <f t="shared" ref="B5241" si="3755">B5240</f>
        <v>hide</v>
      </c>
      <c r="D5241" s="58"/>
      <c r="E5241" s="58"/>
      <c r="F5241" s="52">
        <f>SUM(F5236:F5240)</f>
        <v>0</v>
      </c>
      <c r="G5241" s="52">
        <f>SUM(G5236:G5240)</f>
        <v>0</v>
      </c>
      <c r="H5241" s="52">
        <f>SUM(H5236:H5240)</f>
        <v>0</v>
      </c>
      <c r="I5241" s="52">
        <f>SUM(I5236:I5240)</f>
        <v>0</v>
      </c>
      <c r="J5241" s="52">
        <f>SUM(J5236:J5240)</f>
        <v>0</v>
      </c>
      <c r="K5241" s="52"/>
      <c r="L5241" s="51" t="s">
        <v>4</v>
      </c>
      <c r="M5241" s="58"/>
      <c r="N5241" s="58"/>
      <c r="O5241" s="58"/>
      <c r="P5241" s="58"/>
      <c r="Q5241" s="58"/>
      <c r="R5241" s="58"/>
      <c r="S5241" s="58"/>
    </row>
    <row r="5242" spans="1:19" s="59" customFormat="1" ht="18.75" hidden="1" customHeight="1" thickBot="1" x14ac:dyDescent="0.3">
      <c r="A5242" s="59" t="s">
        <v>23</v>
      </c>
      <c r="B5242" s="60" t="str">
        <f t="shared" ref="B5242:B5243" si="3756">IF(K5242=0,"hide","")</f>
        <v>hide</v>
      </c>
      <c r="D5242" s="61" t="str">
        <f>"97132"</f>
        <v>97132</v>
      </c>
      <c r="E5242" s="62" t="str">
        <f>"1"</f>
        <v>1</v>
      </c>
      <c r="F5242" s="63">
        <v>0</v>
      </c>
      <c r="G5242" s="63">
        <v>0</v>
      </c>
      <c r="H5242" s="63">
        <v>0</v>
      </c>
      <c r="I5242" s="63">
        <v>0</v>
      </c>
      <c r="J5242" s="63">
        <v>0</v>
      </c>
      <c r="K5242" s="63">
        <f>AVERAGE(I5242:J5242)</f>
        <v>0</v>
      </c>
      <c r="L5242" s="64" t="str">
        <f>"EVERYTHING BAGELS SLICED"</f>
        <v>EVERYTHING BAGELS SLICED</v>
      </c>
      <c r="M5242" s="65" t="str">
        <f>"84-2.5 oz. Bulk"</f>
        <v>84-2.5 oz. Bulk</v>
      </c>
      <c r="N5242" s="66">
        <v>84</v>
      </c>
      <c r="O5242" s="67" t="str">
        <f>""</f>
        <v/>
      </c>
      <c r="P5242" s="68" t="e">
        <f>1/O5242</f>
        <v>#VALUE!</v>
      </c>
      <c r="Q5242" s="53">
        <v>1</v>
      </c>
      <c r="R5242" s="69">
        <f t="shared" ref="R5242" si="3757">1/Q5242</f>
        <v>1</v>
      </c>
      <c r="S5242" s="70">
        <f t="shared" ref="S5242" si="3758">R5242*N5242</f>
        <v>84</v>
      </c>
    </row>
    <row r="5243" spans="1:19" ht="15.6" hidden="1" customHeight="1" thickBot="1" x14ac:dyDescent="0.3">
      <c r="A5243" t="s">
        <v>23</v>
      </c>
      <c r="B5243" s="60" t="str">
        <f t="shared" si="3756"/>
        <v>hide</v>
      </c>
      <c r="D5243" s="48" t="str">
        <f>D5242</f>
        <v>97132</v>
      </c>
      <c r="E5243" s="7"/>
      <c r="F5243" s="27">
        <v>0</v>
      </c>
      <c r="G5243" s="27">
        <v>0</v>
      </c>
      <c r="H5243" s="27">
        <v>0</v>
      </c>
      <c r="I5243" s="27">
        <v>0</v>
      </c>
      <c r="J5243" s="27">
        <v>0</v>
      </c>
      <c r="K5243" s="63">
        <f>AVERAGE(I5243:J5243)</f>
        <v>0</v>
      </c>
      <c r="L5243" s="56" t="str">
        <f>"EQP-LAWPACK1"</f>
        <v>EQP-LAWPACK1</v>
      </c>
      <c r="M5243" s="14"/>
      <c r="N5243" s="15"/>
      <c r="O5243" s="12"/>
      <c r="P5243" s="34"/>
      <c r="Q5243" s="37"/>
      <c r="R5243" s="47"/>
      <c r="S5243" s="46"/>
    </row>
    <row r="5244" spans="1:19" ht="15.6" hidden="1" customHeight="1" thickBot="1" x14ac:dyDescent="0.3">
      <c r="A5244" t="s">
        <v>23</v>
      </c>
      <c r="B5244" s="60" t="str">
        <f t="shared" ref="B5244:B5246" si="3759">IF(K5244=0,"hide","")</f>
        <v>hide</v>
      </c>
      <c r="D5244" s="48" t="str">
        <f>D5243</f>
        <v>97132</v>
      </c>
      <c r="E5244" s="7"/>
      <c r="F5244" s="27">
        <v>0</v>
      </c>
      <c r="G5244" s="27">
        <v>0</v>
      </c>
      <c r="H5244" s="27">
        <v>0</v>
      </c>
      <c r="I5244" s="27">
        <v>0</v>
      </c>
      <c r="J5244" s="27">
        <v>0</v>
      </c>
      <c r="K5244" s="63">
        <f>AVERAGE(I5244:J5244)</f>
        <v>0</v>
      </c>
      <c r="L5244" s="56" t="str">
        <f>"EQP-LAWPACK2"</f>
        <v>EQP-LAWPACK2</v>
      </c>
      <c r="M5244" s="14"/>
      <c r="N5244" s="15"/>
      <c r="O5244" s="12"/>
      <c r="P5244" s="34"/>
      <c r="Q5244" s="37"/>
      <c r="R5244" s="47"/>
      <c r="S5244" s="46"/>
    </row>
    <row r="5245" spans="1:19" ht="15.6" hidden="1" customHeight="1" thickBot="1" x14ac:dyDescent="0.3">
      <c r="A5245" t="s">
        <v>23</v>
      </c>
      <c r="B5245" s="60" t="str">
        <f t="shared" si="3759"/>
        <v>hide</v>
      </c>
      <c r="D5245" s="48" t="str">
        <f>D5244</f>
        <v>97132</v>
      </c>
      <c r="E5245" s="7"/>
      <c r="F5245" s="27">
        <v>0</v>
      </c>
      <c r="G5245" s="27">
        <v>0</v>
      </c>
      <c r="H5245" s="27">
        <v>0</v>
      </c>
      <c r="I5245" s="27">
        <v>0</v>
      </c>
      <c r="J5245" s="27">
        <v>0</v>
      </c>
      <c r="K5245" s="63">
        <f>AVERAGE(I5245:J5245)</f>
        <v>0</v>
      </c>
      <c r="L5245" s="56" t="str">
        <f>"SW-COMAS-PACKL"</f>
        <v>SW-COMAS-PACKL</v>
      </c>
      <c r="M5245" s="14"/>
      <c r="N5245" s="15"/>
      <c r="O5245" s="12"/>
      <c r="P5245" s="34"/>
      <c r="Q5245" s="37"/>
      <c r="R5245" s="47"/>
      <c r="S5245" s="46"/>
    </row>
    <row r="5246" spans="1:19" ht="15.6" hidden="1" customHeight="1" thickBot="1" x14ac:dyDescent="0.3">
      <c r="A5246" t="s">
        <v>23</v>
      </c>
      <c r="B5246" s="60" t="str">
        <f t="shared" si="3759"/>
        <v>hide</v>
      </c>
      <c r="D5246" s="48" t="str">
        <f>D5245</f>
        <v>97132</v>
      </c>
      <c r="E5246" s="7"/>
      <c r="F5246" s="27">
        <v>0</v>
      </c>
      <c r="G5246" s="27">
        <v>0</v>
      </c>
      <c r="H5246" s="27">
        <v>0</v>
      </c>
      <c r="I5246" s="27">
        <v>0</v>
      </c>
      <c r="J5246" s="27">
        <v>0</v>
      </c>
      <c r="K5246" s="63">
        <f>AVERAGE(I5246:J5246)</f>
        <v>0</v>
      </c>
      <c r="L5246" s="56" t="str">
        <f>"SW-RISER-PACK"</f>
        <v>SW-RISER-PACK</v>
      </c>
      <c r="M5246" s="14"/>
      <c r="N5246" s="15"/>
      <c r="O5246" s="12"/>
      <c r="P5246" s="34"/>
      <c r="Q5246" s="37"/>
      <c r="R5246" s="47"/>
      <c r="S5246" s="46"/>
    </row>
    <row r="5247" spans="1:19" ht="12" hidden="1" customHeight="1" x14ac:dyDescent="0.3">
      <c r="A5247" s="35" t="s">
        <v>908</v>
      </c>
      <c r="B5247" s="49" t="str">
        <f>B5243</f>
        <v>hide</v>
      </c>
      <c r="N5247"/>
      <c r="Q5247" s="33"/>
    </row>
    <row r="5248" spans="1:19" ht="13.8" hidden="1" thickBot="1" x14ac:dyDescent="0.3">
      <c r="A5248" t="s">
        <v>23</v>
      </c>
      <c r="B5248" s="49" t="str">
        <f t="shared" ref="B5248" si="3760">B5247</f>
        <v>hide</v>
      </c>
      <c r="D5248" s="58"/>
      <c r="E5248" s="58"/>
      <c r="F5248" s="52">
        <f>SUM(F5243:F5247)</f>
        <v>0</v>
      </c>
      <c r="G5248" s="52">
        <f>SUM(G5243:G5247)</f>
        <v>0</v>
      </c>
      <c r="H5248" s="52">
        <f>SUM(H5243:H5247)</f>
        <v>0</v>
      </c>
      <c r="I5248" s="52">
        <f>SUM(I5243:I5247)</f>
        <v>0</v>
      </c>
      <c r="J5248" s="52">
        <f>SUM(J5243:J5247)</f>
        <v>0</v>
      </c>
      <c r="K5248" s="52"/>
      <c r="L5248" s="51" t="s">
        <v>4</v>
      </c>
      <c r="M5248" s="58"/>
      <c r="N5248" s="58"/>
      <c r="O5248" s="58"/>
      <c r="P5248" s="58"/>
      <c r="Q5248" s="58"/>
      <c r="R5248" s="58"/>
      <c r="S5248" s="58"/>
    </row>
    <row r="5249" spans="1:19" s="59" customFormat="1" ht="18.75" hidden="1" customHeight="1" thickBot="1" x14ac:dyDescent="0.3">
      <c r="A5249" s="59" t="s">
        <v>23</v>
      </c>
      <c r="B5249" s="60" t="str">
        <f t="shared" ref="B5249:B5250" si="3761">IF(K5249=0,"hide","")</f>
        <v>hide</v>
      </c>
      <c r="D5249" s="61" t="str">
        <f>"97144"</f>
        <v>97144</v>
      </c>
      <c r="E5249" s="62" t="str">
        <f>"1"</f>
        <v>1</v>
      </c>
      <c r="F5249" s="63">
        <v>0</v>
      </c>
      <c r="G5249" s="63">
        <v>0</v>
      </c>
      <c r="H5249" s="63">
        <v>0</v>
      </c>
      <c r="I5249" s="63">
        <v>0</v>
      </c>
      <c r="J5249" s="63">
        <v>0</v>
      </c>
      <c r="K5249" s="63">
        <f>AVERAGE(I5249:J5249)</f>
        <v>0</v>
      </c>
      <c r="L5249" s="64" t="str">
        <f>""</f>
        <v/>
      </c>
      <c r="M5249" s="65" t="str">
        <f>""</f>
        <v/>
      </c>
      <c r="N5249" s="66" t="str">
        <f>""</f>
        <v/>
      </c>
      <c r="O5249" s="67" t="str">
        <f>""</f>
        <v/>
      </c>
      <c r="P5249" s="68" t="e">
        <f>1/O5249</f>
        <v>#VALUE!</v>
      </c>
      <c r="Q5249" s="53">
        <v>1</v>
      </c>
      <c r="R5249" s="69">
        <f t="shared" ref="R5249" si="3762">1/Q5249</f>
        <v>1</v>
      </c>
      <c r="S5249" s="70" t="e">
        <f t="shared" ref="S5249" si="3763">R5249*N5249</f>
        <v>#VALUE!</v>
      </c>
    </row>
    <row r="5250" spans="1:19" ht="15.6" hidden="1" customHeight="1" thickBot="1" x14ac:dyDescent="0.3">
      <c r="A5250" t="s">
        <v>23</v>
      </c>
      <c r="B5250" s="60" t="str">
        <f t="shared" si="3761"/>
        <v>hide</v>
      </c>
      <c r="D5250" s="48" t="str">
        <f>D5249</f>
        <v>97144</v>
      </c>
      <c r="E5250" s="7"/>
      <c r="F5250" s="27">
        <v>0</v>
      </c>
      <c r="G5250" s="27">
        <v>0</v>
      </c>
      <c r="H5250" s="27">
        <v>0</v>
      </c>
      <c r="I5250" s="27">
        <v>0</v>
      </c>
      <c r="J5250" s="27">
        <v>0</v>
      </c>
      <c r="K5250" s="63">
        <f>AVERAGE(I5250:J5250)</f>
        <v>0</v>
      </c>
      <c r="L5250" s="56" t="str">
        <f>"EQP-LAWPACK1"</f>
        <v>EQP-LAWPACK1</v>
      </c>
      <c r="M5250" s="14"/>
      <c r="N5250" s="15"/>
      <c r="O5250" s="12"/>
      <c r="P5250" s="34"/>
      <c r="Q5250" s="37"/>
      <c r="R5250" s="47"/>
      <c r="S5250" s="46"/>
    </row>
    <row r="5251" spans="1:19" ht="15.6" hidden="1" customHeight="1" thickBot="1" x14ac:dyDescent="0.3">
      <c r="A5251" t="s">
        <v>23</v>
      </c>
      <c r="B5251" s="60" t="str">
        <f t="shared" ref="B5251:B5253" si="3764">IF(K5251=0,"hide","")</f>
        <v>hide</v>
      </c>
      <c r="D5251" s="48" t="str">
        <f>D5250</f>
        <v>97144</v>
      </c>
      <c r="E5251" s="7"/>
      <c r="F5251" s="27">
        <v>0</v>
      </c>
      <c r="G5251" s="27">
        <v>0</v>
      </c>
      <c r="H5251" s="27">
        <v>0</v>
      </c>
      <c r="I5251" s="27">
        <v>0</v>
      </c>
      <c r="J5251" s="27">
        <v>0</v>
      </c>
      <c r="K5251" s="63">
        <f>AVERAGE(I5251:J5251)</f>
        <v>0</v>
      </c>
      <c r="L5251" s="56" t="str">
        <f>"EQP-LAWPACK2"</f>
        <v>EQP-LAWPACK2</v>
      </c>
      <c r="M5251" s="14"/>
      <c r="N5251" s="15"/>
      <c r="O5251" s="12"/>
      <c r="P5251" s="34"/>
      <c r="Q5251" s="37"/>
      <c r="R5251" s="47"/>
      <c r="S5251" s="46"/>
    </row>
    <row r="5252" spans="1:19" ht="15.6" hidden="1" customHeight="1" thickBot="1" x14ac:dyDescent="0.3">
      <c r="A5252" t="s">
        <v>23</v>
      </c>
      <c r="B5252" s="60" t="str">
        <f t="shared" si="3764"/>
        <v>hide</v>
      </c>
      <c r="D5252" s="48" t="str">
        <f>D5251</f>
        <v>97144</v>
      </c>
      <c r="E5252" s="7"/>
      <c r="F5252" s="27">
        <v>0</v>
      </c>
      <c r="G5252" s="27">
        <v>0</v>
      </c>
      <c r="H5252" s="27">
        <v>0</v>
      </c>
      <c r="I5252" s="27">
        <v>0</v>
      </c>
      <c r="J5252" s="27">
        <v>0</v>
      </c>
      <c r="K5252" s="63">
        <f>AVERAGE(I5252:J5252)</f>
        <v>0</v>
      </c>
      <c r="L5252" s="56" t="str">
        <f>"SW-COMAS-PACKL"</f>
        <v>SW-COMAS-PACKL</v>
      </c>
      <c r="M5252" s="14"/>
      <c r="N5252" s="15"/>
      <c r="O5252" s="12"/>
      <c r="P5252" s="34"/>
      <c r="Q5252" s="37"/>
      <c r="R5252" s="47"/>
      <c r="S5252" s="46"/>
    </row>
    <row r="5253" spans="1:19" ht="15.6" hidden="1" customHeight="1" thickBot="1" x14ac:dyDescent="0.3">
      <c r="A5253" t="s">
        <v>23</v>
      </c>
      <c r="B5253" s="60" t="str">
        <f t="shared" si="3764"/>
        <v>hide</v>
      </c>
      <c r="D5253" s="48" t="str">
        <f>D5252</f>
        <v>97144</v>
      </c>
      <c r="E5253" s="7"/>
      <c r="F5253" s="27">
        <v>0</v>
      </c>
      <c r="G5253" s="27">
        <v>0</v>
      </c>
      <c r="H5253" s="27">
        <v>0</v>
      </c>
      <c r="I5253" s="27">
        <v>0</v>
      </c>
      <c r="J5253" s="27">
        <v>0</v>
      </c>
      <c r="K5253" s="63">
        <f>AVERAGE(I5253:J5253)</f>
        <v>0</v>
      </c>
      <c r="L5253" s="56" t="str">
        <f>"SW-RISER-PACK"</f>
        <v>SW-RISER-PACK</v>
      </c>
      <c r="M5253" s="14"/>
      <c r="N5253" s="15"/>
      <c r="O5253" s="12"/>
      <c r="P5253" s="34"/>
      <c r="Q5253" s="37"/>
      <c r="R5253" s="47"/>
      <c r="S5253" s="46"/>
    </row>
    <row r="5254" spans="1:19" ht="12" hidden="1" customHeight="1" x14ac:dyDescent="0.3">
      <c r="A5254" s="35" t="s">
        <v>908</v>
      </c>
      <c r="B5254" s="49" t="str">
        <f>B5250</f>
        <v>hide</v>
      </c>
      <c r="N5254"/>
      <c r="Q5254" s="33"/>
    </row>
    <row r="5255" spans="1:19" ht="13.8" hidden="1" thickBot="1" x14ac:dyDescent="0.3">
      <c r="A5255" t="s">
        <v>23</v>
      </c>
      <c r="B5255" s="49" t="str">
        <f t="shared" ref="B5255" si="3765">B5254</f>
        <v>hide</v>
      </c>
      <c r="D5255" s="58"/>
      <c r="E5255" s="58"/>
      <c r="F5255" s="52">
        <f>SUM(F5250:F5254)</f>
        <v>0</v>
      </c>
      <c r="G5255" s="52">
        <f>SUM(G5250:G5254)</f>
        <v>0</v>
      </c>
      <c r="H5255" s="52">
        <f>SUM(H5250:H5254)</f>
        <v>0</v>
      </c>
      <c r="I5255" s="52">
        <f>SUM(I5250:I5254)</f>
        <v>0</v>
      </c>
      <c r="J5255" s="52">
        <f>SUM(J5250:J5254)</f>
        <v>0</v>
      </c>
      <c r="K5255" s="52"/>
      <c r="L5255" s="51" t="s">
        <v>4</v>
      </c>
      <c r="M5255" s="58"/>
      <c r="N5255" s="58"/>
      <c r="O5255" s="58"/>
      <c r="P5255" s="58"/>
      <c r="Q5255" s="58"/>
      <c r="R5255" s="58"/>
      <c r="S5255" s="58"/>
    </row>
    <row r="5256" spans="1:19" s="59" customFormat="1" ht="18.75" customHeight="1" thickBot="1" x14ac:dyDescent="0.3">
      <c r="A5256" s="59" t="s">
        <v>23</v>
      </c>
      <c r="B5256" s="60" t="str">
        <f t="shared" ref="B5256:B5257" si="3766">IF(K5256=0,"hide","")</f>
        <v/>
      </c>
      <c r="D5256" s="61" t="str">
        <f>"97195"</f>
        <v>97195</v>
      </c>
      <c r="E5256" s="62" t="str">
        <f>"3"</f>
        <v>3</v>
      </c>
      <c r="F5256" s="63">
        <v>452.83333333333331</v>
      </c>
      <c r="G5256" s="63">
        <v>138.5</v>
      </c>
      <c r="H5256" s="63">
        <v>263.5</v>
      </c>
      <c r="I5256" s="63">
        <v>295</v>
      </c>
      <c r="J5256" s="63">
        <v>51.349156626506023</v>
      </c>
      <c r="K5256" s="63">
        <f>AVERAGE(I5256:J5256)</f>
        <v>173.17457831325302</v>
      </c>
      <c r="L5256" s="64" t="str">
        <f>"Smart Choice HONEY WHEAT BAGEL"</f>
        <v>Smart Choice HONEY WHEAT BAGEL</v>
      </c>
      <c r="M5256" s="65" t="str">
        <f>"84-2.5 oz. Bulk sliced"</f>
        <v>84-2.5 oz. Bulk sliced</v>
      </c>
      <c r="N5256" s="66">
        <v>84</v>
      </c>
      <c r="O5256" s="67" t="str">
        <f>""</f>
        <v/>
      </c>
      <c r="P5256" s="68" t="e">
        <f>1/O5256</f>
        <v>#VALUE!</v>
      </c>
      <c r="Q5256" s="53">
        <v>1</v>
      </c>
      <c r="R5256" s="69">
        <f t="shared" ref="R5256" si="3767">1/Q5256</f>
        <v>1</v>
      </c>
      <c r="S5256" s="70">
        <f t="shared" ref="S5256" si="3768">R5256*N5256</f>
        <v>84</v>
      </c>
    </row>
    <row r="5257" spans="1:19" ht="15.6" hidden="1" customHeight="1" thickBot="1" x14ac:dyDescent="0.3">
      <c r="A5257" t="s">
        <v>23</v>
      </c>
      <c r="B5257" s="60" t="str">
        <f t="shared" si="3766"/>
        <v>hide</v>
      </c>
      <c r="D5257" s="48" t="str">
        <f>D5256</f>
        <v>97195</v>
      </c>
      <c r="E5257" s="7"/>
      <c r="F5257" s="27">
        <v>0</v>
      </c>
      <c r="G5257" s="27">
        <v>0</v>
      </c>
      <c r="H5257" s="27">
        <v>0</v>
      </c>
      <c r="I5257" s="27">
        <v>0</v>
      </c>
      <c r="J5257" s="27">
        <v>0</v>
      </c>
      <c r="K5257" s="63">
        <f>AVERAGE(I5257:J5257)</f>
        <v>0</v>
      </c>
      <c r="L5257" s="56" t="str">
        <f>"EQP-LAWPACK1"</f>
        <v>EQP-LAWPACK1</v>
      </c>
      <c r="M5257" s="14"/>
      <c r="N5257" s="15"/>
      <c r="O5257" s="12"/>
      <c r="P5257" s="34"/>
      <c r="Q5257" s="37"/>
      <c r="R5257" s="47"/>
      <c r="S5257" s="46"/>
    </row>
    <row r="5258" spans="1:19" ht="15.6" hidden="1" customHeight="1" thickBot="1" x14ac:dyDescent="0.3">
      <c r="A5258" t="s">
        <v>23</v>
      </c>
      <c r="B5258" s="60" t="str">
        <f t="shared" ref="B5258:B5260" si="3769">IF(K5258=0,"hide","")</f>
        <v>hide</v>
      </c>
      <c r="D5258" s="48" t="str">
        <f>D5257</f>
        <v>97195</v>
      </c>
      <c r="E5258" s="7"/>
      <c r="F5258" s="27">
        <v>0</v>
      </c>
      <c r="G5258" s="27">
        <v>0</v>
      </c>
      <c r="H5258" s="27">
        <v>0</v>
      </c>
      <c r="I5258" s="27">
        <v>0</v>
      </c>
      <c r="J5258" s="27">
        <v>0</v>
      </c>
      <c r="K5258" s="63">
        <f>AVERAGE(I5258:J5258)</f>
        <v>0</v>
      </c>
      <c r="L5258" s="56" t="str">
        <f>"EQP-LAWPACK2"</f>
        <v>EQP-LAWPACK2</v>
      </c>
      <c r="M5258" s="14"/>
      <c r="N5258" s="15"/>
      <c r="O5258" s="12"/>
      <c r="P5258" s="34"/>
      <c r="Q5258" s="37"/>
      <c r="R5258" s="47"/>
      <c r="S5258" s="46"/>
    </row>
    <row r="5259" spans="1:19" ht="15.6" hidden="1" customHeight="1" thickBot="1" x14ac:dyDescent="0.3">
      <c r="A5259" t="s">
        <v>23</v>
      </c>
      <c r="B5259" s="60" t="str">
        <f t="shared" si="3769"/>
        <v>hide</v>
      </c>
      <c r="D5259" s="48" t="str">
        <f>D5258</f>
        <v>97195</v>
      </c>
      <c r="E5259" s="7"/>
      <c r="F5259" s="27">
        <v>0</v>
      </c>
      <c r="G5259" s="27">
        <v>0</v>
      </c>
      <c r="H5259" s="27">
        <v>0</v>
      </c>
      <c r="I5259" s="27">
        <v>0</v>
      </c>
      <c r="J5259" s="27">
        <v>0</v>
      </c>
      <c r="K5259" s="63">
        <f>AVERAGE(I5259:J5259)</f>
        <v>0</v>
      </c>
      <c r="L5259" s="56" t="str">
        <f>"SW-COMAS-PACKL"</f>
        <v>SW-COMAS-PACKL</v>
      </c>
      <c r="M5259" s="14"/>
      <c r="N5259" s="15"/>
      <c r="O5259" s="12"/>
      <c r="P5259" s="34"/>
      <c r="Q5259" s="37"/>
      <c r="R5259" s="47"/>
      <c r="S5259" s="46"/>
    </row>
    <row r="5260" spans="1:19" ht="15.6" hidden="1" customHeight="1" thickBot="1" x14ac:dyDescent="0.3">
      <c r="A5260" t="s">
        <v>23</v>
      </c>
      <c r="B5260" s="60" t="str">
        <f t="shared" si="3769"/>
        <v>hide</v>
      </c>
      <c r="D5260" s="48" t="str">
        <f>D5259</f>
        <v>97195</v>
      </c>
      <c r="E5260" s="7"/>
      <c r="F5260" s="27">
        <v>0</v>
      </c>
      <c r="G5260" s="27">
        <v>0</v>
      </c>
      <c r="H5260" s="27">
        <v>0</v>
      </c>
      <c r="I5260" s="27">
        <v>0</v>
      </c>
      <c r="J5260" s="27">
        <v>0</v>
      </c>
      <c r="K5260" s="63">
        <f>AVERAGE(I5260:J5260)</f>
        <v>0</v>
      </c>
      <c r="L5260" s="56" t="str">
        <f>"SW-RISER-PACK"</f>
        <v>SW-RISER-PACK</v>
      </c>
      <c r="M5260" s="14"/>
      <c r="N5260" s="15"/>
      <c r="O5260" s="12"/>
      <c r="P5260" s="34"/>
      <c r="Q5260" s="37"/>
      <c r="R5260" s="47"/>
      <c r="S5260" s="46"/>
    </row>
    <row r="5261" spans="1:19" ht="12" hidden="1" customHeight="1" x14ac:dyDescent="0.3">
      <c r="A5261" s="35" t="s">
        <v>908</v>
      </c>
      <c r="B5261" s="49" t="str">
        <f>B5257</f>
        <v>hide</v>
      </c>
      <c r="N5261"/>
      <c r="Q5261" s="33"/>
    </row>
    <row r="5262" spans="1:19" ht="13.8" hidden="1" thickBot="1" x14ac:dyDescent="0.3">
      <c r="A5262" t="s">
        <v>23</v>
      </c>
      <c r="B5262" s="49" t="str">
        <f t="shared" ref="B5262" si="3770">B5261</f>
        <v>hide</v>
      </c>
      <c r="D5262" s="58"/>
      <c r="E5262" s="58"/>
      <c r="F5262" s="52">
        <f>SUM(F5257:F5261)</f>
        <v>0</v>
      </c>
      <c r="G5262" s="52">
        <f>SUM(G5257:G5261)</f>
        <v>0</v>
      </c>
      <c r="H5262" s="52">
        <f>SUM(H5257:H5261)</f>
        <v>0</v>
      </c>
      <c r="I5262" s="52">
        <f>SUM(I5257:I5261)</f>
        <v>0</v>
      </c>
      <c r="J5262" s="52">
        <f>SUM(J5257:J5261)</f>
        <v>0</v>
      </c>
      <c r="K5262" s="52"/>
      <c r="L5262" s="51" t="s">
        <v>4</v>
      </c>
      <c r="M5262" s="58"/>
      <c r="N5262" s="58"/>
      <c r="O5262" s="58"/>
      <c r="P5262" s="58"/>
      <c r="Q5262" s="58"/>
      <c r="R5262" s="58"/>
      <c r="S5262" s="58"/>
    </row>
    <row r="5263" spans="1:19" s="59" customFormat="1" ht="18.75" hidden="1" customHeight="1" thickBot="1" x14ac:dyDescent="0.3">
      <c r="A5263" s="59" t="s">
        <v>23</v>
      </c>
      <c r="B5263" s="60" t="str">
        <f t="shared" ref="B5263:B5264" si="3771">IF(K5263=0,"hide","")</f>
        <v>hide</v>
      </c>
      <c r="D5263" s="61" t="str">
        <f>"97295"</f>
        <v>97295</v>
      </c>
      <c r="E5263" s="62" t="str">
        <f>"1"</f>
        <v>1</v>
      </c>
      <c r="F5263" s="63">
        <v>0</v>
      </c>
      <c r="G5263" s="63">
        <v>165.33333333333334</v>
      </c>
      <c r="H5263" s="63">
        <v>164.33333333333334</v>
      </c>
      <c r="I5263" s="63">
        <v>0</v>
      </c>
      <c r="J5263" s="63">
        <v>0</v>
      </c>
      <c r="K5263" s="63">
        <f>AVERAGE(I5263:J5263)</f>
        <v>0</v>
      </c>
      <c r="L5263" s="64" t="str">
        <f>"Smart Choice HONEY WHEAT BAGEL"</f>
        <v>Smart Choice HONEY WHEAT BAGEL</v>
      </c>
      <c r="M5263" s="65" t="str">
        <f>"84-2.5 oz. Bulk  Not sliced"</f>
        <v>84-2.5 oz. Bulk  Not sliced</v>
      </c>
      <c r="N5263" s="66">
        <v>84</v>
      </c>
      <c r="O5263" s="67" t="str">
        <f>""</f>
        <v/>
      </c>
      <c r="P5263" s="68" t="e">
        <f>1/O5263</f>
        <v>#VALUE!</v>
      </c>
      <c r="Q5263" s="53">
        <v>1</v>
      </c>
      <c r="R5263" s="69">
        <f t="shared" ref="R5263" si="3772">1/Q5263</f>
        <v>1</v>
      </c>
      <c r="S5263" s="70">
        <f t="shared" ref="S5263" si="3773">R5263*N5263</f>
        <v>84</v>
      </c>
    </row>
    <row r="5264" spans="1:19" ht="15.6" hidden="1" customHeight="1" thickBot="1" x14ac:dyDescent="0.3">
      <c r="A5264" t="s">
        <v>23</v>
      </c>
      <c r="B5264" s="60" t="str">
        <f t="shared" si="3771"/>
        <v>hide</v>
      </c>
      <c r="D5264" s="48" t="str">
        <f>D5263</f>
        <v>97295</v>
      </c>
      <c r="E5264" s="7"/>
      <c r="F5264" s="27">
        <v>0</v>
      </c>
      <c r="G5264" s="27">
        <v>0</v>
      </c>
      <c r="H5264" s="27">
        <v>0</v>
      </c>
      <c r="I5264" s="27">
        <v>0</v>
      </c>
      <c r="J5264" s="27">
        <v>0</v>
      </c>
      <c r="K5264" s="63">
        <f>AVERAGE(I5264:J5264)</f>
        <v>0</v>
      </c>
      <c r="L5264" s="56" t="str">
        <f>"EQP-LAWPACK1"</f>
        <v>EQP-LAWPACK1</v>
      </c>
      <c r="M5264" s="14"/>
      <c r="N5264" s="15"/>
      <c r="O5264" s="12"/>
      <c r="P5264" s="34"/>
      <c r="Q5264" s="37"/>
      <c r="R5264" s="47"/>
      <c r="S5264" s="46"/>
    </row>
    <row r="5265" spans="1:19" ht="15.6" hidden="1" customHeight="1" thickBot="1" x14ac:dyDescent="0.3">
      <c r="A5265" t="s">
        <v>23</v>
      </c>
      <c r="B5265" s="60" t="str">
        <f t="shared" ref="B5265:B5267" si="3774">IF(K5265=0,"hide","")</f>
        <v>hide</v>
      </c>
      <c r="D5265" s="48" t="str">
        <f>D5264</f>
        <v>97295</v>
      </c>
      <c r="E5265" s="7"/>
      <c r="F5265" s="27">
        <v>0</v>
      </c>
      <c r="G5265" s="27">
        <v>0</v>
      </c>
      <c r="H5265" s="27">
        <v>0</v>
      </c>
      <c r="I5265" s="27">
        <v>0</v>
      </c>
      <c r="J5265" s="27">
        <v>0</v>
      </c>
      <c r="K5265" s="63">
        <f>AVERAGE(I5265:J5265)</f>
        <v>0</v>
      </c>
      <c r="L5265" s="56" t="str">
        <f>"EQP-LAWPACK2"</f>
        <v>EQP-LAWPACK2</v>
      </c>
      <c r="M5265" s="14"/>
      <c r="N5265" s="15"/>
      <c r="O5265" s="12"/>
      <c r="P5265" s="34"/>
      <c r="Q5265" s="37"/>
      <c r="R5265" s="47"/>
      <c r="S5265" s="46"/>
    </row>
    <row r="5266" spans="1:19" ht="15.6" hidden="1" customHeight="1" thickBot="1" x14ac:dyDescent="0.3">
      <c r="A5266" t="s">
        <v>23</v>
      </c>
      <c r="B5266" s="60" t="str">
        <f t="shared" si="3774"/>
        <v>hide</v>
      </c>
      <c r="D5266" s="48" t="str">
        <f>D5265</f>
        <v>97295</v>
      </c>
      <c r="E5266" s="7"/>
      <c r="F5266" s="27">
        <v>0</v>
      </c>
      <c r="G5266" s="27">
        <v>0</v>
      </c>
      <c r="H5266" s="27">
        <v>0</v>
      </c>
      <c r="I5266" s="27">
        <v>0</v>
      </c>
      <c r="J5266" s="27">
        <v>0</v>
      </c>
      <c r="K5266" s="63">
        <f>AVERAGE(I5266:J5266)</f>
        <v>0</v>
      </c>
      <c r="L5266" s="56" t="str">
        <f>"SW-COMAS-PACKL"</f>
        <v>SW-COMAS-PACKL</v>
      </c>
      <c r="M5266" s="14"/>
      <c r="N5266" s="15"/>
      <c r="O5266" s="12"/>
      <c r="P5266" s="34"/>
      <c r="Q5266" s="37"/>
      <c r="R5266" s="47"/>
      <c r="S5266" s="46"/>
    </row>
    <row r="5267" spans="1:19" ht="15.6" hidden="1" customHeight="1" thickBot="1" x14ac:dyDescent="0.3">
      <c r="A5267" t="s">
        <v>23</v>
      </c>
      <c r="B5267" s="60" t="str">
        <f t="shared" si="3774"/>
        <v>hide</v>
      </c>
      <c r="D5267" s="48" t="str">
        <f>D5266</f>
        <v>97295</v>
      </c>
      <c r="E5267" s="7"/>
      <c r="F5267" s="27">
        <v>0</v>
      </c>
      <c r="G5267" s="27">
        <v>0</v>
      </c>
      <c r="H5267" s="27">
        <v>0</v>
      </c>
      <c r="I5267" s="27">
        <v>0</v>
      </c>
      <c r="J5267" s="27">
        <v>0</v>
      </c>
      <c r="K5267" s="63">
        <f>AVERAGE(I5267:J5267)</f>
        <v>0</v>
      </c>
      <c r="L5267" s="56" t="str">
        <f>"SW-RISER-PACK"</f>
        <v>SW-RISER-PACK</v>
      </c>
      <c r="M5267" s="14"/>
      <c r="N5267" s="15"/>
      <c r="O5267" s="12"/>
      <c r="P5267" s="34"/>
      <c r="Q5267" s="37"/>
      <c r="R5267" s="47"/>
      <c r="S5267" s="46"/>
    </row>
    <row r="5268" spans="1:19" ht="12" hidden="1" customHeight="1" x14ac:dyDescent="0.3">
      <c r="A5268" s="35" t="s">
        <v>908</v>
      </c>
      <c r="B5268" s="49" t="str">
        <f>B5264</f>
        <v>hide</v>
      </c>
      <c r="N5268"/>
      <c r="Q5268" s="33"/>
    </row>
    <row r="5269" spans="1:19" ht="13.8" hidden="1" thickBot="1" x14ac:dyDescent="0.3">
      <c r="A5269" t="s">
        <v>23</v>
      </c>
      <c r="B5269" s="49" t="str">
        <f t="shared" ref="B5269" si="3775">B5268</f>
        <v>hide</v>
      </c>
      <c r="D5269" s="58"/>
      <c r="E5269" s="58"/>
      <c r="F5269" s="52">
        <f>SUM(F5264:F5268)</f>
        <v>0</v>
      </c>
      <c r="G5269" s="52">
        <f>SUM(G5264:G5268)</f>
        <v>0</v>
      </c>
      <c r="H5269" s="52">
        <f>SUM(H5264:H5268)</f>
        <v>0</v>
      </c>
      <c r="I5269" s="52">
        <f>SUM(I5264:I5268)</f>
        <v>0</v>
      </c>
      <c r="J5269" s="52">
        <f>SUM(J5264:J5268)</f>
        <v>0</v>
      </c>
      <c r="K5269" s="52"/>
      <c r="L5269" s="51" t="s">
        <v>4</v>
      </c>
      <c r="M5269" s="58"/>
      <c r="N5269" s="58"/>
      <c r="O5269" s="58"/>
      <c r="P5269" s="58"/>
      <c r="Q5269" s="58"/>
      <c r="R5269" s="58"/>
      <c r="S5269" s="58"/>
    </row>
    <row r="5270" spans="1:19" s="59" customFormat="1" ht="18.75" hidden="1" customHeight="1" thickBot="1" x14ac:dyDescent="0.3">
      <c r="A5270" s="59" t="s">
        <v>23</v>
      </c>
      <c r="B5270" s="60" t="str">
        <f t="shared" ref="B5270:B5271" si="3776">IF(K5270=0,"hide","")</f>
        <v>hide</v>
      </c>
      <c r="D5270" s="61" t="str">
        <f>"97616"</f>
        <v>97616</v>
      </c>
      <c r="E5270" s="62" t="str">
        <f>"2"</f>
        <v>2</v>
      </c>
      <c r="F5270" s="63">
        <v>0</v>
      </c>
      <c r="G5270" s="63">
        <v>0</v>
      </c>
      <c r="H5270" s="63">
        <v>0</v>
      </c>
      <c r="I5270" s="63">
        <v>0</v>
      </c>
      <c r="J5270" s="63">
        <v>0</v>
      </c>
      <c r="K5270" s="63">
        <f>AVERAGE(I5270:J5270)</f>
        <v>0</v>
      </c>
      <c r="L5270" s="64" t="str">
        <f>"Smart Choice Cin. Raisin BAGEL"</f>
        <v>Smart Choice Cin. Raisin BAGEL</v>
      </c>
      <c r="M5270" s="65" t="str">
        <f>"84-2.5 oz. Bulk sliced"</f>
        <v>84-2.5 oz. Bulk sliced</v>
      </c>
      <c r="N5270" s="66">
        <v>84</v>
      </c>
      <c r="O5270" s="67" t="str">
        <f>""</f>
        <v/>
      </c>
      <c r="P5270" s="68" t="e">
        <f>1/O5270</f>
        <v>#VALUE!</v>
      </c>
      <c r="Q5270" s="53">
        <v>1</v>
      </c>
      <c r="R5270" s="69">
        <f t="shared" ref="R5270" si="3777">1/Q5270</f>
        <v>1</v>
      </c>
      <c r="S5270" s="70">
        <f t="shared" ref="S5270" si="3778">R5270*N5270</f>
        <v>84</v>
      </c>
    </row>
    <row r="5271" spans="1:19" ht="15.6" hidden="1" customHeight="1" thickBot="1" x14ac:dyDescent="0.3">
      <c r="A5271" t="s">
        <v>23</v>
      </c>
      <c r="B5271" s="60" t="str">
        <f t="shared" si="3776"/>
        <v>hide</v>
      </c>
      <c r="D5271" s="48" t="str">
        <f>D5270</f>
        <v>97616</v>
      </c>
      <c r="E5271" s="7"/>
      <c r="F5271" s="27">
        <v>0</v>
      </c>
      <c r="G5271" s="27">
        <v>0</v>
      </c>
      <c r="H5271" s="27">
        <v>0</v>
      </c>
      <c r="I5271" s="27">
        <v>0</v>
      </c>
      <c r="J5271" s="27">
        <v>0</v>
      </c>
      <c r="K5271" s="63">
        <f>AVERAGE(I5271:J5271)</f>
        <v>0</v>
      </c>
      <c r="L5271" s="56" t="str">
        <f>"EQP-LAWPACK1"</f>
        <v>EQP-LAWPACK1</v>
      </c>
      <c r="M5271" s="14"/>
      <c r="N5271" s="15"/>
      <c r="O5271" s="12"/>
      <c r="P5271" s="34"/>
      <c r="Q5271" s="37"/>
      <c r="R5271" s="47"/>
      <c r="S5271" s="46"/>
    </row>
    <row r="5272" spans="1:19" ht="15.6" hidden="1" customHeight="1" thickBot="1" x14ac:dyDescent="0.3">
      <c r="A5272" t="s">
        <v>23</v>
      </c>
      <c r="B5272" s="60" t="str">
        <f t="shared" ref="B5272:B5274" si="3779">IF(K5272=0,"hide","")</f>
        <v>hide</v>
      </c>
      <c r="D5272" s="48" t="str">
        <f>D5271</f>
        <v>97616</v>
      </c>
      <c r="E5272" s="7"/>
      <c r="F5272" s="27">
        <v>0</v>
      </c>
      <c r="G5272" s="27">
        <v>0</v>
      </c>
      <c r="H5272" s="27">
        <v>0</v>
      </c>
      <c r="I5272" s="27">
        <v>0</v>
      </c>
      <c r="J5272" s="27">
        <v>0</v>
      </c>
      <c r="K5272" s="63">
        <f>AVERAGE(I5272:J5272)</f>
        <v>0</v>
      </c>
      <c r="L5272" s="56" t="str">
        <f>"EQP-LAWPACK2"</f>
        <v>EQP-LAWPACK2</v>
      </c>
      <c r="M5272" s="14"/>
      <c r="N5272" s="15"/>
      <c r="O5272" s="12"/>
      <c r="P5272" s="34"/>
      <c r="Q5272" s="37"/>
      <c r="R5272" s="47"/>
      <c r="S5272" s="46"/>
    </row>
    <row r="5273" spans="1:19" ht="15.6" hidden="1" customHeight="1" thickBot="1" x14ac:dyDescent="0.3">
      <c r="A5273" t="s">
        <v>23</v>
      </c>
      <c r="B5273" s="60" t="str">
        <f t="shared" si="3779"/>
        <v>hide</v>
      </c>
      <c r="D5273" s="48" t="str">
        <f>D5272</f>
        <v>97616</v>
      </c>
      <c r="E5273" s="7"/>
      <c r="F5273" s="27">
        <v>0</v>
      </c>
      <c r="G5273" s="27">
        <v>0</v>
      </c>
      <c r="H5273" s="27">
        <v>0</v>
      </c>
      <c r="I5273" s="27">
        <v>0</v>
      </c>
      <c r="J5273" s="27">
        <v>0</v>
      </c>
      <c r="K5273" s="63">
        <f>AVERAGE(I5273:J5273)</f>
        <v>0</v>
      </c>
      <c r="L5273" s="56" t="str">
        <f>"SW-COMAS-PACKL"</f>
        <v>SW-COMAS-PACKL</v>
      </c>
      <c r="M5273" s="14"/>
      <c r="N5273" s="15"/>
      <c r="O5273" s="12"/>
      <c r="P5273" s="34"/>
      <c r="Q5273" s="37"/>
      <c r="R5273" s="47"/>
      <c r="S5273" s="46"/>
    </row>
    <row r="5274" spans="1:19" ht="15.6" hidden="1" customHeight="1" thickBot="1" x14ac:dyDescent="0.3">
      <c r="A5274" t="s">
        <v>23</v>
      </c>
      <c r="B5274" s="60" t="str">
        <f t="shared" si="3779"/>
        <v>hide</v>
      </c>
      <c r="D5274" s="48" t="str">
        <f>D5273</f>
        <v>97616</v>
      </c>
      <c r="E5274" s="7"/>
      <c r="F5274" s="27">
        <v>0</v>
      </c>
      <c r="G5274" s="27">
        <v>0</v>
      </c>
      <c r="H5274" s="27">
        <v>0</v>
      </c>
      <c r="I5274" s="27">
        <v>0</v>
      </c>
      <c r="J5274" s="27">
        <v>0</v>
      </c>
      <c r="K5274" s="63">
        <f>AVERAGE(I5274:J5274)</f>
        <v>0</v>
      </c>
      <c r="L5274" s="56" t="str">
        <f>"SW-RISER-PACK"</f>
        <v>SW-RISER-PACK</v>
      </c>
      <c r="M5274" s="14"/>
      <c r="N5274" s="15"/>
      <c r="O5274" s="12"/>
      <c r="P5274" s="34"/>
      <c r="Q5274" s="37"/>
      <c r="R5274" s="47"/>
      <c r="S5274" s="46"/>
    </row>
    <row r="5275" spans="1:19" ht="12" hidden="1" customHeight="1" x14ac:dyDescent="0.3">
      <c r="A5275" s="35" t="s">
        <v>908</v>
      </c>
      <c r="B5275" s="49" t="str">
        <f>B5271</f>
        <v>hide</v>
      </c>
      <c r="N5275"/>
      <c r="Q5275" s="33"/>
    </row>
    <row r="5276" spans="1:19" ht="13.8" hidden="1" thickBot="1" x14ac:dyDescent="0.3">
      <c r="A5276" t="s">
        <v>23</v>
      </c>
      <c r="B5276" s="49" t="str">
        <f t="shared" ref="B5276" si="3780">B5275</f>
        <v>hide</v>
      </c>
      <c r="D5276" s="58"/>
      <c r="E5276" s="58"/>
      <c r="F5276" s="52">
        <f>SUM(F5271:F5275)</f>
        <v>0</v>
      </c>
      <c r="G5276" s="52">
        <f>SUM(G5271:G5275)</f>
        <v>0</v>
      </c>
      <c r="H5276" s="52">
        <f>SUM(H5271:H5275)</f>
        <v>0</v>
      </c>
      <c r="I5276" s="52">
        <f>SUM(I5271:I5275)</f>
        <v>0</v>
      </c>
      <c r="J5276" s="52">
        <f>SUM(J5271:J5275)</f>
        <v>0</v>
      </c>
      <c r="K5276" s="52"/>
      <c r="L5276" s="51" t="s">
        <v>4</v>
      </c>
      <c r="M5276" s="58"/>
      <c r="N5276" s="58"/>
      <c r="O5276" s="58"/>
      <c r="P5276" s="58"/>
      <c r="Q5276" s="58"/>
      <c r="R5276" s="58"/>
      <c r="S5276" s="58"/>
    </row>
    <row r="5277" spans="1:19" s="59" customFormat="1" ht="18.75" customHeight="1" thickBot="1" x14ac:dyDescent="0.3">
      <c r="A5277" s="59" t="s">
        <v>23</v>
      </c>
      <c r="B5277" s="60" t="str">
        <f t="shared" ref="B5277:B5278" si="3781">IF(K5277=0,"hide","")</f>
        <v/>
      </c>
      <c r="D5277" s="61" t="str">
        <f>"97629"</f>
        <v>97629</v>
      </c>
      <c r="E5277" s="62" t="str">
        <f>"1"</f>
        <v>1</v>
      </c>
      <c r="F5277" s="63">
        <v>59.333333333333336</v>
      </c>
      <c r="G5277" s="63">
        <v>55.333333333333336</v>
      </c>
      <c r="H5277" s="63">
        <v>55.75</v>
      </c>
      <c r="I5277" s="63">
        <v>10.5</v>
      </c>
      <c r="J5277" s="63">
        <v>0</v>
      </c>
      <c r="K5277" s="63">
        <f>AVERAGE(I5277:J5277)</f>
        <v>5.25</v>
      </c>
      <c r="L5277" s="64" t="str">
        <f>"WG Plain Bagel (sliced)"</f>
        <v>WG Plain Bagel (sliced)</v>
      </c>
      <c r="M5277" s="65" t="str">
        <f>"84-2.5 oz. Bulk sliced"</f>
        <v>84-2.5 oz. Bulk sliced</v>
      </c>
      <c r="N5277" s="66">
        <v>84</v>
      </c>
      <c r="O5277" s="67" t="str">
        <f>""</f>
        <v/>
      </c>
      <c r="P5277" s="68" t="e">
        <f>1/O5277</f>
        <v>#VALUE!</v>
      </c>
      <c r="Q5277" s="53">
        <v>1</v>
      </c>
      <c r="R5277" s="69">
        <f t="shared" ref="R5277" si="3782">1/Q5277</f>
        <v>1</v>
      </c>
      <c r="S5277" s="70">
        <f t="shared" ref="S5277" si="3783">R5277*N5277</f>
        <v>84</v>
      </c>
    </row>
    <row r="5278" spans="1:19" ht="15.6" hidden="1" customHeight="1" thickBot="1" x14ac:dyDescent="0.3">
      <c r="A5278" t="s">
        <v>23</v>
      </c>
      <c r="B5278" s="60" t="str">
        <f t="shared" si="3781"/>
        <v>hide</v>
      </c>
      <c r="D5278" s="48" t="str">
        <f>D5277</f>
        <v>97629</v>
      </c>
      <c r="E5278" s="7"/>
      <c r="F5278" s="27">
        <v>0</v>
      </c>
      <c r="G5278" s="27">
        <v>0</v>
      </c>
      <c r="H5278" s="27">
        <v>0</v>
      </c>
      <c r="I5278" s="27">
        <v>0</v>
      </c>
      <c r="J5278" s="27">
        <v>0</v>
      </c>
      <c r="K5278" s="63">
        <f>AVERAGE(I5278:J5278)</f>
        <v>0</v>
      </c>
      <c r="L5278" s="56" t="str">
        <f>"EQP-LAWPACK1"</f>
        <v>EQP-LAWPACK1</v>
      </c>
      <c r="M5278" s="14"/>
      <c r="N5278" s="15"/>
      <c r="O5278" s="12"/>
      <c r="P5278" s="34"/>
      <c r="Q5278" s="37"/>
      <c r="R5278" s="47"/>
      <c r="S5278" s="46"/>
    </row>
    <row r="5279" spans="1:19" ht="15.6" hidden="1" customHeight="1" thickBot="1" x14ac:dyDescent="0.3">
      <c r="A5279" t="s">
        <v>23</v>
      </c>
      <c r="B5279" s="60" t="str">
        <f t="shared" ref="B5279:B5281" si="3784">IF(K5279=0,"hide","")</f>
        <v>hide</v>
      </c>
      <c r="D5279" s="48" t="str">
        <f>D5278</f>
        <v>97629</v>
      </c>
      <c r="E5279" s="7"/>
      <c r="F5279" s="27">
        <v>0</v>
      </c>
      <c r="G5279" s="27">
        <v>0</v>
      </c>
      <c r="H5279" s="27">
        <v>0</v>
      </c>
      <c r="I5279" s="27">
        <v>0</v>
      </c>
      <c r="J5279" s="27">
        <v>0</v>
      </c>
      <c r="K5279" s="63">
        <f>AVERAGE(I5279:J5279)</f>
        <v>0</v>
      </c>
      <c r="L5279" s="56" t="str">
        <f>"EQP-LAWPACK2"</f>
        <v>EQP-LAWPACK2</v>
      </c>
      <c r="M5279" s="14"/>
      <c r="N5279" s="15"/>
      <c r="O5279" s="12"/>
      <c r="P5279" s="34"/>
      <c r="Q5279" s="37"/>
      <c r="R5279" s="47"/>
      <c r="S5279" s="46"/>
    </row>
    <row r="5280" spans="1:19" ht="15.6" hidden="1" customHeight="1" thickBot="1" x14ac:dyDescent="0.3">
      <c r="A5280" t="s">
        <v>23</v>
      </c>
      <c r="B5280" s="60" t="str">
        <f t="shared" si="3784"/>
        <v>hide</v>
      </c>
      <c r="D5280" s="48" t="str">
        <f>D5279</f>
        <v>97629</v>
      </c>
      <c r="E5280" s="7"/>
      <c r="F5280" s="27">
        <v>0</v>
      </c>
      <c r="G5280" s="27">
        <v>0</v>
      </c>
      <c r="H5280" s="27">
        <v>0</v>
      </c>
      <c r="I5280" s="27">
        <v>0</v>
      </c>
      <c r="J5280" s="27">
        <v>0</v>
      </c>
      <c r="K5280" s="63">
        <f>AVERAGE(I5280:J5280)</f>
        <v>0</v>
      </c>
      <c r="L5280" s="56" t="str">
        <f>"SW-COMAS-PACKL"</f>
        <v>SW-COMAS-PACKL</v>
      </c>
      <c r="M5280" s="14"/>
      <c r="N5280" s="15"/>
      <c r="O5280" s="12"/>
      <c r="P5280" s="34"/>
      <c r="Q5280" s="37"/>
      <c r="R5280" s="47"/>
      <c r="S5280" s="46"/>
    </row>
    <row r="5281" spans="1:19" ht="15.6" hidden="1" customHeight="1" thickBot="1" x14ac:dyDescent="0.3">
      <c r="A5281" t="s">
        <v>23</v>
      </c>
      <c r="B5281" s="60" t="str">
        <f t="shared" si="3784"/>
        <v>hide</v>
      </c>
      <c r="D5281" s="48" t="str">
        <f>D5280</f>
        <v>97629</v>
      </c>
      <c r="E5281" s="7"/>
      <c r="F5281" s="27">
        <v>0</v>
      </c>
      <c r="G5281" s="27">
        <v>0</v>
      </c>
      <c r="H5281" s="27">
        <v>0</v>
      </c>
      <c r="I5281" s="27">
        <v>0</v>
      </c>
      <c r="J5281" s="27">
        <v>0</v>
      </c>
      <c r="K5281" s="63">
        <f>AVERAGE(I5281:J5281)</f>
        <v>0</v>
      </c>
      <c r="L5281" s="56" t="str">
        <f>"SW-RISER-PACK"</f>
        <v>SW-RISER-PACK</v>
      </c>
      <c r="M5281" s="14"/>
      <c r="N5281" s="15"/>
      <c r="O5281" s="12"/>
      <c r="P5281" s="34"/>
      <c r="Q5281" s="37"/>
      <c r="R5281" s="47"/>
      <c r="S5281" s="46"/>
    </row>
    <row r="5282" spans="1:19" ht="12" hidden="1" customHeight="1" x14ac:dyDescent="0.3">
      <c r="A5282" s="35" t="s">
        <v>908</v>
      </c>
      <c r="B5282" s="49" t="str">
        <f>B5278</f>
        <v>hide</v>
      </c>
      <c r="N5282"/>
      <c r="Q5282" s="33"/>
    </row>
    <row r="5283" spans="1:19" ht="13.8" hidden="1" thickBot="1" x14ac:dyDescent="0.3">
      <c r="A5283" t="s">
        <v>23</v>
      </c>
      <c r="B5283" s="49" t="str">
        <f t="shared" ref="B5283" si="3785">B5282</f>
        <v>hide</v>
      </c>
      <c r="D5283" s="58"/>
      <c r="E5283" s="58"/>
      <c r="F5283" s="52">
        <f>SUM(F5278:F5282)</f>
        <v>0</v>
      </c>
      <c r="G5283" s="52">
        <f>SUM(G5278:G5282)</f>
        <v>0</v>
      </c>
      <c r="H5283" s="52">
        <f>SUM(H5278:H5282)</f>
        <v>0</v>
      </c>
      <c r="I5283" s="52">
        <f>SUM(I5278:I5282)</f>
        <v>0</v>
      </c>
      <c r="J5283" s="52">
        <f>SUM(J5278:J5282)</f>
        <v>0</v>
      </c>
      <c r="K5283" s="52"/>
      <c r="L5283" s="51" t="s">
        <v>4</v>
      </c>
      <c r="M5283" s="58"/>
      <c r="N5283" s="58"/>
      <c r="O5283" s="58"/>
      <c r="P5283" s="58"/>
      <c r="Q5283" s="58"/>
      <c r="R5283" s="58"/>
      <c r="S5283" s="58"/>
    </row>
    <row r="5284" spans="1:19" s="59" customFormat="1" ht="18.75" hidden="1" customHeight="1" thickBot="1" x14ac:dyDescent="0.3">
      <c r="A5284" s="59" t="s">
        <v>23</v>
      </c>
      <c r="B5284" s="60" t="str">
        <f t="shared" ref="B5284:B5285" si="3786">IF(K5284=0,"hide","")</f>
        <v>hide</v>
      </c>
      <c r="D5284" s="61" t="str">
        <f>"98110"</f>
        <v>98110</v>
      </c>
      <c r="E5284" s="62" t="str">
        <f>"2"</f>
        <v>2</v>
      </c>
      <c r="F5284" s="63">
        <v>0</v>
      </c>
      <c r="G5284" s="63">
        <v>0</v>
      </c>
      <c r="H5284" s="63">
        <v>0</v>
      </c>
      <c r="I5284" s="63">
        <v>0</v>
      </c>
      <c r="J5284" s="63">
        <v>0</v>
      </c>
      <c r="K5284" s="63">
        <f>AVERAGE(I5284:J5284)</f>
        <v>0</v>
      </c>
      <c r="L5284" s="64" t="str">
        <f>"CHOCOLATE CHIP BAGELS"</f>
        <v>CHOCOLATE CHIP BAGELS</v>
      </c>
      <c r="M5284" s="65" t="str">
        <f>"60-4.5 oz. Bulk"</f>
        <v>60-4.5 oz. Bulk</v>
      </c>
      <c r="N5284" s="66">
        <v>60</v>
      </c>
      <c r="O5284" s="67" t="str">
        <f>""</f>
        <v/>
      </c>
      <c r="P5284" s="68" t="e">
        <f>1/O5284</f>
        <v>#VALUE!</v>
      </c>
      <c r="Q5284" s="53">
        <v>1</v>
      </c>
      <c r="R5284" s="69">
        <f t="shared" ref="R5284" si="3787">1/Q5284</f>
        <v>1</v>
      </c>
      <c r="S5284" s="70">
        <f t="shared" ref="S5284" si="3788">R5284*N5284</f>
        <v>60</v>
      </c>
    </row>
    <row r="5285" spans="1:19" ht="15.6" hidden="1" customHeight="1" thickBot="1" x14ac:dyDescent="0.3">
      <c r="A5285" t="s">
        <v>23</v>
      </c>
      <c r="B5285" s="60" t="str">
        <f t="shared" si="3786"/>
        <v>hide</v>
      </c>
      <c r="D5285" s="48" t="str">
        <f>D5284</f>
        <v>98110</v>
      </c>
      <c r="E5285" s="7"/>
      <c r="F5285" s="27">
        <v>0</v>
      </c>
      <c r="G5285" s="27">
        <v>0</v>
      </c>
      <c r="H5285" s="27">
        <v>0</v>
      </c>
      <c r="I5285" s="27">
        <v>0</v>
      </c>
      <c r="J5285" s="27">
        <v>0</v>
      </c>
      <c r="K5285" s="63">
        <f>AVERAGE(I5285:J5285)</f>
        <v>0</v>
      </c>
      <c r="L5285" s="56" t="str">
        <f>"EQP-LAWPACK1"</f>
        <v>EQP-LAWPACK1</v>
      </c>
      <c r="M5285" s="14"/>
      <c r="N5285" s="15"/>
      <c r="O5285" s="12"/>
      <c r="P5285" s="34"/>
      <c r="Q5285" s="37"/>
      <c r="R5285" s="47"/>
      <c r="S5285" s="46"/>
    </row>
    <row r="5286" spans="1:19" ht="15.6" hidden="1" customHeight="1" thickBot="1" x14ac:dyDescent="0.3">
      <c r="A5286" t="s">
        <v>23</v>
      </c>
      <c r="B5286" s="60" t="str">
        <f t="shared" ref="B5286:B5288" si="3789">IF(K5286=0,"hide","")</f>
        <v>hide</v>
      </c>
      <c r="D5286" s="48" t="str">
        <f>D5285</f>
        <v>98110</v>
      </c>
      <c r="E5286" s="7"/>
      <c r="F5286" s="27">
        <v>0</v>
      </c>
      <c r="G5286" s="27">
        <v>0</v>
      </c>
      <c r="H5286" s="27">
        <v>0</v>
      </c>
      <c r="I5286" s="27">
        <v>0</v>
      </c>
      <c r="J5286" s="27">
        <v>0</v>
      </c>
      <c r="K5286" s="63">
        <f>AVERAGE(I5286:J5286)</f>
        <v>0</v>
      </c>
      <c r="L5286" s="56" t="str">
        <f>"EQP-LAWPACK2"</f>
        <v>EQP-LAWPACK2</v>
      </c>
      <c r="M5286" s="14"/>
      <c r="N5286" s="15"/>
      <c r="O5286" s="12"/>
      <c r="P5286" s="34"/>
      <c r="Q5286" s="37"/>
      <c r="R5286" s="47"/>
      <c r="S5286" s="46"/>
    </row>
    <row r="5287" spans="1:19" ht="15.6" hidden="1" customHeight="1" thickBot="1" x14ac:dyDescent="0.3">
      <c r="A5287" t="s">
        <v>23</v>
      </c>
      <c r="B5287" s="60" t="str">
        <f t="shared" si="3789"/>
        <v>hide</v>
      </c>
      <c r="D5287" s="48" t="str">
        <f>D5286</f>
        <v>98110</v>
      </c>
      <c r="E5287" s="7"/>
      <c r="F5287" s="27">
        <v>0</v>
      </c>
      <c r="G5287" s="27">
        <v>0</v>
      </c>
      <c r="H5287" s="27">
        <v>0</v>
      </c>
      <c r="I5287" s="27">
        <v>0</v>
      </c>
      <c r="J5287" s="27">
        <v>0</v>
      </c>
      <c r="K5287" s="63">
        <f>AVERAGE(I5287:J5287)</f>
        <v>0</v>
      </c>
      <c r="L5287" s="56" t="str">
        <f>"SW-COMAS-PACKL"</f>
        <v>SW-COMAS-PACKL</v>
      </c>
      <c r="M5287" s="14"/>
      <c r="N5287" s="15"/>
      <c r="O5287" s="12"/>
      <c r="P5287" s="34"/>
      <c r="Q5287" s="37"/>
      <c r="R5287" s="47"/>
      <c r="S5287" s="46"/>
    </row>
    <row r="5288" spans="1:19" ht="15.6" hidden="1" customHeight="1" thickBot="1" x14ac:dyDescent="0.3">
      <c r="A5288" t="s">
        <v>23</v>
      </c>
      <c r="B5288" s="60" t="str">
        <f t="shared" si="3789"/>
        <v>hide</v>
      </c>
      <c r="D5288" s="48" t="str">
        <f>D5287</f>
        <v>98110</v>
      </c>
      <c r="E5288" s="7"/>
      <c r="F5288" s="27">
        <v>0</v>
      </c>
      <c r="G5288" s="27">
        <v>0</v>
      </c>
      <c r="H5288" s="27">
        <v>0</v>
      </c>
      <c r="I5288" s="27">
        <v>0</v>
      </c>
      <c r="J5288" s="27">
        <v>0</v>
      </c>
      <c r="K5288" s="63">
        <f>AVERAGE(I5288:J5288)</f>
        <v>0</v>
      </c>
      <c r="L5288" s="56" t="str">
        <f>"SW-RISER-PACK"</f>
        <v>SW-RISER-PACK</v>
      </c>
      <c r="M5288" s="14"/>
      <c r="N5288" s="15"/>
      <c r="O5288" s="12"/>
      <c r="P5288" s="34"/>
      <c r="Q5288" s="37"/>
      <c r="R5288" s="47"/>
      <c r="S5288" s="46"/>
    </row>
    <row r="5289" spans="1:19" ht="12" hidden="1" customHeight="1" x14ac:dyDescent="0.3">
      <c r="A5289" s="35" t="s">
        <v>908</v>
      </c>
      <c r="B5289" s="49" t="str">
        <f>B5285</f>
        <v>hide</v>
      </c>
      <c r="N5289"/>
      <c r="Q5289" s="33"/>
    </row>
    <row r="5290" spans="1:19" ht="13.8" hidden="1" thickBot="1" x14ac:dyDescent="0.3">
      <c r="A5290" t="s">
        <v>23</v>
      </c>
      <c r="B5290" s="49" t="str">
        <f t="shared" ref="B5290" si="3790">B5289</f>
        <v>hide</v>
      </c>
      <c r="D5290" s="58"/>
      <c r="E5290" s="58"/>
      <c r="F5290" s="52">
        <f>SUM(F5285:F5289)</f>
        <v>0</v>
      </c>
      <c r="G5290" s="52">
        <f>SUM(G5285:G5289)</f>
        <v>0</v>
      </c>
      <c r="H5290" s="52">
        <f>SUM(H5285:H5289)</f>
        <v>0</v>
      </c>
      <c r="I5290" s="52">
        <f>SUM(I5285:I5289)</f>
        <v>0</v>
      </c>
      <c r="J5290" s="52">
        <f>SUM(J5285:J5289)</f>
        <v>0</v>
      </c>
      <c r="K5290" s="52"/>
      <c r="L5290" s="51" t="s">
        <v>4</v>
      </c>
      <c r="M5290" s="58"/>
      <c r="N5290" s="58"/>
      <c r="O5290" s="58"/>
      <c r="P5290" s="58"/>
      <c r="Q5290" s="58"/>
      <c r="R5290" s="58"/>
      <c r="S5290" s="58"/>
    </row>
    <row r="5291" spans="1:19" s="59" customFormat="1" ht="18.75" hidden="1" customHeight="1" thickBot="1" x14ac:dyDescent="0.3">
      <c r="A5291" s="59" t="s">
        <v>23</v>
      </c>
      <c r="B5291" s="60" t="str">
        <f t="shared" ref="B5291:B5292" si="3791">IF(K5291=0,"hide","")</f>
        <v>hide</v>
      </c>
      <c r="D5291" s="61" t="str">
        <f>"98116"</f>
        <v>98116</v>
      </c>
      <c r="E5291" s="62" t="str">
        <f>"2"</f>
        <v>2</v>
      </c>
      <c r="F5291" s="63">
        <v>0</v>
      </c>
      <c r="G5291" s="63">
        <v>0</v>
      </c>
      <c r="H5291" s="63">
        <v>0</v>
      </c>
      <c r="I5291" s="63">
        <v>0</v>
      </c>
      <c r="J5291" s="63">
        <v>0</v>
      </c>
      <c r="K5291" s="63">
        <f>AVERAGE(I5291:J5291)</f>
        <v>0</v>
      </c>
      <c r="L5291" s="64" t="str">
        <f>"CINNAMON RAISIN BAGELS"</f>
        <v>CINNAMON RAISIN BAGELS</v>
      </c>
      <c r="M5291" s="65" t="str">
        <f>"60-4.5 oz. Bulk"</f>
        <v>60-4.5 oz. Bulk</v>
      </c>
      <c r="N5291" s="66">
        <v>60</v>
      </c>
      <c r="O5291" s="67" t="str">
        <f>""</f>
        <v/>
      </c>
      <c r="P5291" s="68" t="e">
        <f>1/O5291</f>
        <v>#VALUE!</v>
      </c>
      <c r="Q5291" s="53">
        <v>1</v>
      </c>
      <c r="R5291" s="69">
        <f t="shared" ref="R5291" si="3792">1/Q5291</f>
        <v>1</v>
      </c>
      <c r="S5291" s="70">
        <f t="shared" ref="S5291" si="3793">R5291*N5291</f>
        <v>60</v>
      </c>
    </row>
    <row r="5292" spans="1:19" ht="15.6" hidden="1" customHeight="1" thickBot="1" x14ac:dyDescent="0.3">
      <c r="A5292" t="s">
        <v>23</v>
      </c>
      <c r="B5292" s="60" t="str">
        <f t="shared" si="3791"/>
        <v>hide</v>
      </c>
      <c r="D5292" s="48" t="str">
        <f>D5291</f>
        <v>98116</v>
      </c>
      <c r="E5292" s="7"/>
      <c r="F5292" s="27">
        <v>0</v>
      </c>
      <c r="G5292" s="27">
        <v>0</v>
      </c>
      <c r="H5292" s="27">
        <v>0</v>
      </c>
      <c r="I5292" s="27">
        <v>0</v>
      </c>
      <c r="J5292" s="27">
        <v>0</v>
      </c>
      <c r="K5292" s="63">
        <f>AVERAGE(I5292:J5292)</f>
        <v>0</v>
      </c>
      <c r="L5292" s="56" t="str">
        <f>"EQP-LAWPACK1"</f>
        <v>EQP-LAWPACK1</v>
      </c>
      <c r="M5292" s="14"/>
      <c r="N5292" s="15"/>
      <c r="O5292" s="12"/>
      <c r="P5292" s="34"/>
      <c r="Q5292" s="37"/>
      <c r="R5292" s="47"/>
      <c r="S5292" s="46"/>
    </row>
    <row r="5293" spans="1:19" ht="15.6" hidden="1" customHeight="1" thickBot="1" x14ac:dyDescent="0.3">
      <c r="A5293" t="s">
        <v>23</v>
      </c>
      <c r="B5293" s="60" t="str">
        <f t="shared" ref="B5293:B5295" si="3794">IF(K5293=0,"hide","")</f>
        <v>hide</v>
      </c>
      <c r="D5293" s="48" t="str">
        <f>D5292</f>
        <v>98116</v>
      </c>
      <c r="E5293" s="7"/>
      <c r="F5293" s="27">
        <v>0</v>
      </c>
      <c r="G5293" s="27">
        <v>0</v>
      </c>
      <c r="H5293" s="27">
        <v>0</v>
      </c>
      <c r="I5293" s="27">
        <v>0</v>
      </c>
      <c r="J5293" s="27">
        <v>0</v>
      </c>
      <c r="K5293" s="63">
        <f>AVERAGE(I5293:J5293)</f>
        <v>0</v>
      </c>
      <c r="L5293" s="56" t="str">
        <f>"EQP-LAWPACK2"</f>
        <v>EQP-LAWPACK2</v>
      </c>
      <c r="M5293" s="14"/>
      <c r="N5293" s="15"/>
      <c r="O5293" s="12"/>
      <c r="P5293" s="34"/>
      <c r="Q5293" s="37"/>
      <c r="R5293" s="47"/>
      <c r="S5293" s="46"/>
    </row>
    <row r="5294" spans="1:19" ht="15.6" hidden="1" customHeight="1" thickBot="1" x14ac:dyDescent="0.3">
      <c r="A5294" t="s">
        <v>23</v>
      </c>
      <c r="B5294" s="60" t="str">
        <f t="shared" si="3794"/>
        <v>hide</v>
      </c>
      <c r="D5294" s="48" t="str">
        <f>D5293</f>
        <v>98116</v>
      </c>
      <c r="E5294" s="7"/>
      <c r="F5294" s="27">
        <v>0</v>
      </c>
      <c r="G5294" s="27">
        <v>0</v>
      </c>
      <c r="H5294" s="27">
        <v>0</v>
      </c>
      <c r="I5294" s="27">
        <v>0</v>
      </c>
      <c r="J5294" s="27">
        <v>0</v>
      </c>
      <c r="K5294" s="63">
        <f>AVERAGE(I5294:J5294)</f>
        <v>0</v>
      </c>
      <c r="L5294" s="56" t="str">
        <f>"SW-COMAS-PACKL"</f>
        <v>SW-COMAS-PACKL</v>
      </c>
      <c r="M5294" s="14"/>
      <c r="N5294" s="15"/>
      <c r="O5294" s="12"/>
      <c r="P5294" s="34"/>
      <c r="Q5294" s="37"/>
      <c r="R5294" s="47"/>
      <c r="S5294" s="46"/>
    </row>
    <row r="5295" spans="1:19" ht="15.6" hidden="1" customHeight="1" thickBot="1" x14ac:dyDescent="0.3">
      <c r="A5295" t="s">
        <v>23</v>
      </c>
      <c r="B5295" s="60" t="str">
        <f t="shared" si="3794"/>
        <v>hide</v>
      </c>
      <c r="D5295" s="48" t="str">
        <f>D5294</f>
        <v>98116</v>
      </c>
      <c r="E5295" s="7"/>
      <c r="F5295" s="27">
        <v>0</v>
      </c>
      <c r="G5295" s="27">
        <v>0</v>
      </c>
      <c r="H5295" s="27">
        <v>0</v>
      </c>
      <c r="I5295" s="27">
        <v>0</v>
      </c>
      <c r="J5295" s="27">
        <v>0</v>
      </c>
      <c r="K5295" s="63">
        <f>AVERAGE(I5295:J5295)</f>
        <v>0</v>
      </c>
      <c r="L5295" s="56" t="str">
        <f>"SW-RISER-PACK"</f>
        <v>SW-RISER-PACK</v>
      </c>
      <c r="M5295" s="14"/>
      <c r="N5295" s="15"/>
      <c r="O5295" s="12"/>
      <c r="P5295" s="34"/>
      <c r="Q5295" s="37"/>
      <c r="R5295" s="47"/>
      <c r="S5295" s="46"/>
    </row>
    <row r="5296" spans="1:19" ht="12" hidden="1" customHeight="1" x14ac:dyDescent="0.3">
      <c r="A5296" s="35" t="s">
        <v>908</v>
      </c>
      <c r="B5296" s="49" t="str">
        <f>B5292</f>
        <v>hide</v>
      </c>
      <c r="N5296"/>
      <c r="Q5296" s="33"/>
    </row>
    <row r="5297" spans="1:19" ht="13.8" hidden="1" thickBot="1" x14ac:dyDescent="0.3">
      <c r="A5297" t="s">
        <v>23</v>
      </c>
      <c r="B5297" s="49" t="str">
        <f t="shared" ref="B5297" si="3795">B5296</f>
        <v>hide</v>
      </c>
      <c r="D5297" s="58"/>
      <c r="E5297" s="58"/>
      <c r="F5297" s="52">
        <f>SUM(F5292:F5296)</f>
        <v>0</v>
      </c>
      <c r="G5297" s="52">
        <f>SUM(G5292:G5296)</f>
        <v>0</v>
      </c>
      <c r="H5297" s="52">
        <f>SUM(H5292:H5296)</f>
        <v>0</v>
      </c>
      <c r="I5297" s="52">
        <f>SUM(I5292:I5296)</f>
        <v>0</v>
      </c>
      <c r="J5297" s="52">
        <f>SUM(J5292:J5296)</f>
        <v>0</v>
      </c>
      <c r="K5297" s="52"/>
      <c r="L5297" s="51" t="s">
        <v>4</v>
      </c>
      <c r="M5297" s="58"/>
      <c r="N5297" s="58"/>
      <c r="O5297" s="58"/>
      <c r="P5297" s="58"/>
      <c r="Q5297" s="58"/>
      <c r="R5297" s="58"/>
      <c r="S5297" s="58"/>
    </row>
    <row r="5298" spans="1:19" s="59" customFormat="1" ht="18.75" hidden="1" customHeight="1" thickBot="1" x14ac:dyDescent="0.3">
      <c r="A5298" s="59" t="s">
        <v>23</v>
      </c>
      <c r="B5298" s="60" t="str">
        <f t="shared" ref="B5298:B5299" si="3796">IF(K5298=0,"hide","")</f>
        <v>hide</v>
      </c>
      <c r="D5298" s="61" t="str">
        <f>"98126"</f>
        <v>98126</v>
      </c>
      <c r="E5298" s="62" t="str">
        <f>"2"</f>
        <v>2</v>
      </c>
      <c r="F5298" s="63">
        <v>0</v>
      </c>
      <c r="G5298" s="63">
        <v>0</v>
      </c>
      <c r="H5298" s="63">
        <v>0</v>
      </c>
      <c r="I5298" s="63">
        <v>0</v>
      </c>
      <c r="J5298" s="63">
        <v>0</v>
      </c>
      <c r="K5298" s="63">
        <f>AVERAGE(I5298:J5298)</f>
        <v>0</v>
      </c>
      <c r="L5298" s="64" t="str">
        <f>"EGG BAGELS"</f>
        <v>EGG BAGELS</v>
      </c>
      <c r="M5298" s="65" t="str">
        <f>"60-4.5 oz. Bulk"</f>
        <v>60-4.5 oz. Bulk</v>
      </c>
      <c r="N5298" s="66">
        <v>60</v>
      </c>
      <c r="O5298" s="67" t="str">
        <f>""</f>
        <v/>
      </c>
      <c r="P5298" s="68" t="e">
        <f>1/O5298</f>
        <v>#VALUE!</v>
      </c>
      <c r="Q5298" s="53">
        <v>1</v>
      </c>
      <c r="R5298" s="69">
        <f t="shared" ref="R5298" si="3797">1/Q5298</f>
        <v>1</v>
      </c>
      <c r="S5298" s="70">
        <f t="shared" ref="S5298" si="3798">R5298*N5298</f>
        <v>60</v>
      </c>
    </row>
    <row r="5299" spans="1:19" ht="15.6" hidden="1" customHeight="1" thickBot="1" x14ac:dyDescent="0.3">
      <c r="A5299" t="s">
        <v>23</v>
      </c>
      <c r="B5299" s="60" t="str">
        <f t="shared" si="3796"/>
        <v>hide</v>
      </c>
      <c r="D5299" s="48" t="str">
        <f>D5298</f>
        <v>98126</v>
      </c>
      <c r="E5299" s="7"/>
      <c r="F5299" s="27">
        <v>0</v>
      </c>
      <c r="G5299" s="27">
        <v>0</v>
      </c>
      <c r="H5299" s="27">
        <v>0</v>
      </c>
      <c r="I5299" s="27">
        <v>0</v>
      </c>
      <c r="J5299" s="27">
        <v>0</v>
      </c>
      <c r="K5299" s="63">
        <f>AVERAGE(I5299:J5299)</f>
        <v>0</v>
      </c>
      <c r="L5299" s="56" t="str">
        <f>"EQP-LAWPACK1"</f>
        <v>EQP-LAWPACK1</v>
      </c>
      <c r="M5299" s="14"/>
      <c r="N5299" s="15"/>
      <c r="O5299" s="12"/>
      <c r="P5299" s="34"/>
      <c r="Q5299" s="37"/>
      <c r="R5299" s="47"/>
      <c r="S5299" s="46"/>
    </row>
    <row r="5300" spans="1:19" ht="15.6" hidden="1" customHeight="1" thickBot="1" x14ac:dyDescent="0.3">
      <c r="A5300" t="s">
        <v>23</v>
      </c>
      <c r="B5300" s="60" t="str">
        <f t="shared" ref="B5300:B5302" si="3799">IF(K5300=0,"hide","")</f>
        <v>hide</v>
      </c>
      <c r="D5300" s="48" t="str">
        <f>D5299</f>
        <v>98126</v>
      </c>
      <c r="E5300" s="7"/>
      <c r="F5300" s="27">
        <v>0</v>
      </c>
      <c r="G5300" s="27">
        <v>0</v>
      </c>
      <c r="H5300" s="27">
        <v>0</v>
      </c>
      <c r="I5300" s="27">
        <v>0</v>
      </c>
      <c r="J5300" s="27">
        <v>0</v>
      </c>
      <c r="K5300" s="63">
        <f>AVERAGE(I5300:J5300)</f>
        <v>0</v>
      </c>
      <c r="L5300" s="56" t="str">
        <f>"EQP-LAWPACK2"</f>
        <v>EQP-LAWPACK2</v>
      </c>
      <c r="M5300" s="14"/>
      <c r="N5300" s="15"/>
      <c r="O5300" s="12"/>
      <c r="P5300" s="34"/>
      <c r="Q5300" s="37"/>
      <c r="R5300" s="47"/>
      <c r="S5300" s="46"/>
    </row>
    <row r="5301" spans="1:19" ht="15.6" hidden="1" customHeight="1" thickBot="1" x14ac:dyDescent="0.3">
      <c r="A5301" t="s">
        <v>23</v>
      </c>
      <c r="B5301" s="60" t="str">
        <f t="shared" si="3799"/>
        <v>hide</v>
      </c>
      <c r="D5301" s="48" t="str">
        <f>D5300</f>
        <v>98126</v>
      </c>
      <c r="E5301" s="7"/>
      <c r="F5301" s="27">
        <v>0</v>
      </c>
      <c r="G5301" s="27">
        <v>0</v>
      </c>
      <c r="H5301" s="27">
        <v>0</v>
      </c>
      <c r="I5301" s="27">
        <v>0</v>
      </c>
      <c r="J5301" s="27">
        <v>0</v>
      </c>
      <c r="K5301" s="63">
        <f>AVERAGE(I5301:J5301)</f>
        <v>0</v>
      </c>
      <c r="L5301" s="56" t="str">
        <f>"SW-COMAS-PACKL"</f>
        <v>SW-COMAS-PACKL</v>
      </c>
      <c r="M5301" s="14"/>
      <c r="N5301" s="15"/>
      <c r="O5301" s="12"/>
      <c r="P5301" s="34"/>
      <c r="Q5301" s="37"/>
      <c r="R5301" s="47"/>
      <c r="S5301" s="46"/>
    </row>
    <row r="5302" spans="1:19" ht="15.6" hidden="1" customHeight="1" thickBot="1" x14ac:dyDescent="0.3">
      <c r="A5302" t="s">
        <v>23</v>
      </c>
      <c r="B5302" s="60" t="str">
        <f t="shared" si="3799"/>
        <v>hide</v>
      </c>
      <c r="D5302" s="48" t="str">
        <f>D5301</f>
        <v>98126</v>
      </c>
      <c r="E5302" s="7"/>
      <c r="F5302" s="27">
        <v>0</v>
      </c>
      <c r="G5302" s="27">
        <v>0</v>
      </c>
      <c r="H5302" s="27">
        <v>0</v>
      </c>
      <c r="I5302" s="27">
        <v>0</v>
      </c>
      <c r="J5302" s="27">
        <v>0</v>
      </c>
      <c r="K5302" s="63">
        <f>AVERAGE(I5302:J5302)</f>
        <v>0</v>
      </c>
      <c r="L5302" s="56" t="str">
        <f>"SW-RISER-PACK"</f>
        <v>SW-RISER-PACK</v>
      </c>
      <c r="M5302" s="14"/>
      <c r="N5302" s="15"/>
      <c r="O5302" s="12"/>
      <c r="P5302" s="34"/>
      <c r="Q5302" s="37"/>
      <c r="R5302" s="47"/>
      <c r="S5302" s="46"/>
    </row>
    <row r="5303" spans="1:19" ht="12" hidden="1" customHeight="1" x14ac:dyDescent="0.3">
      <c r="A5303" s="35" t="s">
        <v>908</v>
      </c>
      <c r="B5303" s="49" t="str">
        <f>B5299</f>
        <v>hide</v>
      </c>
      <c r="N5303"/>
      <c r="Q5303" s="33"/>
    </row>
    <row r="5304" spans="1:19" ht="13.8" hidden="1" thickBot="1" x14ac:dyDescent="0.3">
      <c r="A5304" t="s">
        <v>23</v>
      </c>
      <c r="B5304" s="49" t="str">
        <f t="shared" ref="B5304" si="3800">B5303</f>
        <v>hide</v>
      </c>
      <c r="D5304" s="58"/>
      <c r="E5304" s="58"/>
      <c r="F5304" s="52">
        <f>SUM(F5299:F5303)</f>
        <v>0</v>
      </c>
      <c r="G5304" s="52">
        <f>SUM(G5299:G5303)</f>
        <v>0</v>
      </c>
      <c r="H5304" s="52">
        <f>SUM(H5299:H5303)</f>
        <v>0</v>
      </c>
      <c r="I5304" s="52">
        <f>SUM(I5299:I5303)</f>
        <v>0</v>
      </c>
      <c r="J5304" s="52">
        <f>SUM(J5299:J5303)</f>
        <v>0</v>
      </c>
      <c r="K5304" s="52"/>
      <c r="L5304" s="51" t="s">
        <v>4</v>
      </c>
      <c r="M5304" s="58"/>
      <c r="N5304" s="58"/>
      <c r="O5304" s="58"/>
      <c r="P5304" s="58"/>
      <c r="Q5304" s="58"/>
      <c r="R5304" s="58"/>
      <c r="S5304" s="58"/>
    </row>
    <row r="5305" spans="1:19" s="59" customFormat="1" ht="18.75" customHeight="1" thickBot="1" x14ac:dyDescent="0.3">
      <c r="A5305" s="59" t="s">
        <v>23</v>
      </c>
      <c r="B5305" s="60" t="str">
        <f t="shared" ref="B5305:B5306" si="3801">IF(K5305=0,"hide","")</f>
        <v/>
      </c>
      <c r="D5305" s="61" t="str">
        <f>"98129"</f>
        <v>98129</v>
      </c>
      <c r="E5305" s="62" t="str">
        <f>"4"</f>
        <v>4</v>
      </c>
      <c r="F5305" s="63">
        <v>43</v>
      </c>
      <c r="G5305" s="63">
        <v>6.416666666666667</v>
      </c>
      <c r="H5305" s="63">
        <v>31.5</v>
      </c>
      <c r="I5305" s="63">
        <v>12.583333333333334</v>
      </c>
      <c r="J5305" s="63">
        <v>5.7963855421686752</v>
      </c>
      <c r="K5305" s="63">
        <f>AVERAGE(I5305:J5305)</f>
        <v>9.1898594377510037</v>
      </c>
      <c r="L5305" s="64" t="str">
        <f>"PLAIN BAGELS"</f>
        <v>PLAIN BAGELS</v>
      </c>
      <c r="M5305" s="65" t="str">
        <f>"60-4.5 oz. Bulk"</f>
        <v>60-4.5 oz. Bulk</v>
      </c>
      <c r="N5305" s="66">
        <v>60</v>
      </c>
      <c r="O5305" s="67" t="str">
        <f>""</f>
        <v/>
      </c>
      <c r="P5305" s="68" t="e">
        <f>1/O5305</f>
        <v>#VALUE!</v>
      </c>
      <c r="Q5305" s="53">
        <v>1</v>
      </c>
      <c r="R5305" s="69">
        <f t="shared" ref="R5305" si="3802">1/Q5305</f>
        <v>1</v>
      </c>
      <c r="S5305" s="70">
        <f t="shared" ref="S5305" si="3803">R5305*N5305</f>
        <v>60</v>
      </c>
    </row>
    <row r="5306" spans="1:19" ht="15.6" hidden="1" customHeight="1" thickBot="1" x14ac:dyDescent="0.3">
      <c r="A5306" t="s">
        <v>23</v>
      </c>
      <c r="B5306" s="60" t="str">
        <f t="shared" si="3801"/>
        <v>hide</v>
      </c>
      <c r="D5306" s="48" t="str">
        <f>D5305</f>
        <v>98129</v>
      </c>
      <c r="E5306" s="7"/>
      <c r="F5306" s="27">
        <v>0</v>
      </c>
      <c r="G5306" s="27">
        <v>0</v>
      </c>
      <c r="H5306" s="27">
        <v>0</v>
      </c>
      <c r="I5306" s="27">
        <v>0</v>
      </c>
      <c r="J5306" s="27">
        <v>0</v>
      </c>
      <c r="K5306" s="63">
        <f>AVERAGE(I5306:J5306)</f>
        <v>0</v>
      </c>
      <c r="L5306" s="56" t="str">
        <f>"EQP-LAWPACK1"</f>
        <v>EQP-LAWPACK1</v>
      </c>
      <c r="M5306" s="14"/>
      <c r="N5306" s="15"/>
      <c r="O5306" s="12"/>
      <c r="P5306" s="34"/>
      <c r="Q5306" s="37"/>
      <c r="R5306" s="47"/>
      <c r="S5306" s="46"/>
    </row>
    <row r="5307" spans="1:19" ht="15.6" hidden="1" customHeight="1" thickBot="1" x14ac:dyDescent="0.3">
      <c r="A5307" t="s">
        <v>23</v>
      </c>
      <c r="B5307" s="60" t="str">
        <f t="shared" ref="B5307:B5309" si="3804">IF(K5307=0,"hide","")</f>
        <v>hide</v>
      </c>
      <c r="D5307" s="48" t="str">
        <f>D5306</f>
        <v>98129</v>
      </c>
      <c r="E5307" s="7"/>
      <c r="F5307" s="27">
        <v>0</v>
      </c>
      <c r="G5307" s="27">
        <v>0</v>
      </c>
      <c r="H5307" s="27">
        <v>0</v>
      </c>
      <c r="I5307" s="27">
        <v>0</v>
      </c>
      <c r="J5307" s="27">
        <v>0</v>
      </c>
      <c r="K5307" s="63">
        <f>AVERAGE(I5307:J5307)</f>
        <v>0</v>
      </c>
      <c r="L5307" s="56" t="str">
        <f>"EQP-LAWPACK2"</f>
        <v>EQP-LAWPACK2</v>
      </c>
      <c r="M5307" s="14"/>
      <c r="N5307" s="15"/>
      <c r="O5307" s="12"/>
      <c r="P5307" s="34"/>
      <c r="Q5307" s="37"/>
      <c r="R5307" s="47"/>
      <c r="S5307" s="46"/>
    </row>
    <row r="5308" spans="1:19" ht="15.6" hidden="1" customHeight="1" thickBot="1" x14ac:dyDescent="0.3">
      <c r="A5308" t="s">
        <v>23</v>
      </c>
      <c r="B5308" s="60" t="str">
        <f t="shared" si="3804"/>
        <v>hide</v>
      </c>
      <c r="D5308" s="48" t="str">
        <f>D5307</f>
        <v>98129</v>
      </c>
      <c r="E5308" s="7"/>
      <c r="F5308" s="27">
        <v>0</v>
      </c>
      <c r="G5308" s="27">
        <v>0</v>
      </c>
      <c r="H5308" s="27">
        <v>0</v>
      </c>
      <c r="I5308" s="27">
        <v>0</v>
      </c>
      <c r="J5308" s="27">
        <v>0</v>
      </c>
      <c r="K5308" s="63">
        <f>AVERAGE(I5308:J5308)</f>
        <v>0</v>
      </c>
      <c r="L5308" s="56" t="str">
        <f>"SW-COMAS-PACKL"</f>
        <v>SW-COMAS-PACKL</v>
      </c>
      <c r="M5308" s="14"/>
      <c r="N5308" s="15"/>
      <c r="O5308" s="12"/>
      <c r="P5308" s="34"/>
      <c r="Q5308" s="37"/>
      <c r="R5308" s="47"/>
      <c r="S5308" s="46"/>
    </row>
    <row r="5309" spans="1:19" ht="15.6" hidden="1" customHeight="1" thickBot="1" x14ac:dyDescent="0.3">
      <c r="A5309" t="s">
        <v>23</v>
      </c>
      <c r="B5309" s="60" t="str">
        <f t="shared" si="3804"/>
        <v>hide</v>
      </c>
      <c r="D5309" s="48" t="str">
        <f>D5308</f>
        <v>98129</v>
      </c>
      <c r="E5309" s="7"/>
      <c r="F5309" s="27">
        <v>0</v>
      </c>
      <c r="G5309" s="27">
        <v>0</v>
      </c>
      <c r="H5309" s="27">
        <v>0</v>
      </c>
      <c r="I5309" s="27">
        <v>0</v>
      </c>
      <c r="J5309" s="27">
        <v>0</v>
      </c>
      <c r="K5309" s="63">
        <f>AVERAGE(I5309:J5309)</f>
        <v>0</v>
      </c>
      <c r="L5309" s="56" t="str">
        <f>"SW-RISER-PACK"</f>
        <v>SW-RISER-PACK</v>
      </c>
      <c r="M5309" s="14"/>
      <c r="N5309" s="15"/>
      <c r="O5309" s="12"/>
      <c r="P5309" s="34"/>
      <c r="Q5309" s="37"/>
      <c r="R5309" s="47"/>
      <c r="S5309" s="46"/>
    </row>
    <row r="5310" spans="1:19" ht="12" hidden="1" customHeight="1" x14ac:dyDescent="0.3">
      <c r="A5310" s="35" t="s">
        <v>908</v>
      </c>
      <c r="B5310" s="49" t="str">
        <f>B5306</f>
        <v>hide</v>
      </c>
      <c r="N5310"/>
      <c r="Q5310" s="33"/>
    </row>
    <row r="5311" spans="1:19" ht="13.8" hidden="1" thickBot="1" x14ac:dyDescent="0.3">
      <c r="A5311" t="s">
        <v>23</v>
      </c>
      <c r="B5311" s="49" t="str">
        <f t="shared" ref="B5311" si="3805">B5310</f>
        <v>hide</v>
      </c>
      <c r="D5311" s="58"/>
      <c r="E5311" s="58"/>
      <c r="F5311" s="52">
        <f>SUM(F5306:F5310)</f>
        <v>0</v>
      </c>
      <c r="G5311" s="52">
        <f>SUM(G5306:G5310)</f>
        <v>0</v>
      </c>
      <c r="H5311" s="52">
        <f>SUM(H5306:H5310)</f>
        <v>0</v>
      </c>
      <c r="I5311" s="52">
        <f>SUM(I5306:I5310)</f>
        <v>0</v>
      </c>
      <c r="J5311" s="52">
        <f>SUM(J5306:J5310)</f>
        <v>0</v>
      </c>
      <c r="K5311" s="52"/>
      <c r="L5311" s="51" t="s">
        <v>4</v>
      </c>
      <c r="M5311" s="58"/>
      <c r="N5311" s="58"/>
      <c r="O5311" s="58"/>
      <c r="P5311" s="58"/>
      <c r="Q5311" s="58"/>
      <c r="R5311" s="58"/>
      <c r="S5311" s="58"/>
    </row>
    <row r="5312" spans="1:19" s="59" customFormat="1" ht="18.75" hidden="1" customHeight="1" thickBot="1" x14ac:dyDescent="0.3">
      <c r="A5312" s="59" t="s">
        <v>23</v>
      </c>
      <c r="B5312" s="60" t="str">
        <f t="shared" ref="B5312:B5313" si="3806">IF(K5312=0,"hide","")</f>
        <v>hide</v>
      </c>
      <c r="D5312" s="61" t="str">
        <f>"98132"</f>
        <v>98132</v>
      </c>
      <c r="E5312" s="62" t="str">
        <f>"2"</f>
        <v>2</v>
      </c>
      <c r="F5312" s="63">
        <v>0</v>
      </c>
      <c r="G5312" s="63">
        <v>0</v>
      </c>
      <c r="H5312" s="63">
        <v>0</v>
      </c>
      <c r="I5312" s="63">
        <v>0</v>
      </c>
      <c r="J5312" s="63">
        <v>0</v>
      </c>
      <c r="K5312" s="63">
        <f>AVERAGE(I5312:J5312)</f>
        <v>0</v>
      </c>
      <c r="L5312" s="64" t="str">
        <f>"EVERYTHING BAGELS"</f>
        <v>EVERYTHING BAGELS</v>
      </c>
      <c r="M5312" s="65" t="str">
        <f>"60-4.5 oz. Bulk"</f>
        <v>60-4.5 oz. Bulk</v>
      </c>
      <c r="N5312" s="66">
        <v>60</v>
      </c>
      <c r="O5312" s="67" t="str">
        <f>""</f>
        <v/>
      </c>
      <c r="P5312" s="68" t="e">
        <f>1/O5312</f>
        <v>#VALUE!</v>
      </c>
      <c r="Q5312" s="53">
        <v>1</v>
      </c>
      <c r="R5312" s="69">
        <f t="shared" ref="R5312" si="3807">1/Q5312</f>
        <v>1</v>
      </c>
      <c r="S5312" s="70">
        <f t="shared" ref="S5312" si="3808">R5312*N5312</f>
        <v>60</v>
      </c>
    </row>
    <row r="5313" spans="1:19" ht="15.6" hidden="1" customHeight="1" thickBot="1" x14ac:dyDescent="0.3">
      <c r="A5313" t="s">
        <v>23</v>
      </c>
      <c r="B5313" s="60" t="str">
        <f t="shared" si="3806"/>
        <v>hide</v>
      </c>
      <c r="D5313" s="48" t="str">
        <f>D5312</f>
        <v>98132</v>
      </c>
      <c r="E5313" s="7"/>
      <c r="F5313" s="27">
        <v>0</v>
      </c>
      <c r="G5313" s="27">
        <v>0</v>
      </c>
      <c r="H5313" s="27">
        <v>0</v>
      </c>
      <c r="I5313" s="27">
        <v>0</v>
      </c>
      <c r="J5313" s="27">
        <v>0</v>
      </c>
      <c r="K5313" s="63">
        <f>AVERAGE(I5313:J5313)</f>
        <v>0</v>
      </c>
      <c r="L5313" s="56" t="str">
        <f>"EQP-LAWPACK1"</f>
        <v>EQP-LAWPACK1</v>
      </c>
      <c r="M5313" s="14"/>
      <c r="N5313" s="15"/>
      <c r="O5313" s="12"/>
      <c r="P5313" s="34"/>
      <c r="Q5313" s="37"/>
      <c r="R5313" s="47"/>
      <c r="S5313" s="46"/>
    </row>
    <row r="5314" spans="1:19" ht="15.6" hidden="1" customHeight="1" thickBot="1" x14ac:dyDescent="0.3">
      <c r="A5314" t="s">
        <v>23</v>
      </c>
      <c r="B5314" s="60" t="str">
        <f t="shared" ref="B5314:B5316" si="3809">IF(K5314=0,"hide","")</f>
        <v>hide</v>
      </c>
      <c r="D5314" s="48" t="str">
        <f>D5313</f>
        <v>98132</v>
      </c>
      <c r="E5314" s="7"/>
      <c r="F5314" s="27">
        <v>0</v>
      </c>
      <c r="G5314" s="27">
        <v>0</v>
      </c>
      <c r="H5314" s="27">
        <v>0</v>
      </c>
      <c r="I5314" s="27">
        <v>0</v>
      </c>
      <c r="J5314" s="27">
        <v>0</v>
      </c>
      <c r="K5314" s="63">
        <f>AVERAGE(I5314:J5314)</f>
        <v>0</v>
      </c>
      <c r="L5314" s="56" t="str">
        <f>"EQP-LAWPACK2"</f>
        <v>EQP-LAWPACK2</v>
      </c>
      <c r="M5314" s="14"/>
      <c r="N5314" s="15"/>
      <c r="O5314" s="12"/>
      <c r="P5314" s="34"/>
      <c r="Q5314" s="37"/>
      <c r="R5314" s="47"/>
      <c r="S5314" s="46"/>
    </row>
    <row r="5315" spans="1:19" ht="15.6" hidden="1" customHeight="1" thickBot="1" x14ac:dyDescent="0.3">
      <c r="A5315" t="s">
        <v>23</v>
      </c>
      <c r="B5315" s="60" t="str">
        <f t="shared" si="3809"/>
        <v>hide</v>
      </c>
      <c r="D5315" s="48" t="str">
        <f>D5314</f>
        <v>98132</v>
      </c>
      <c r="E5315" s="7"/>
      <c r="F5315" s="27">
        <v>0</v>
      </c>
      <c r="G5315" s="27">
        <v>0</v>
      </c>
      <c r="H5315" s="27">
        <v>0</v>
      </c>
      <c r="I5315" s="27">
        <v>0</v>
      </c>
      <c r="J5315" s="27">
        <v>0</v>
      </c>
      <c r="K5315" s="63">
        <f>AVERAGE(I5315:J5315)</f>
        <v>0</v>
      </c>
      <c r="L5315" s="56" t="str">
        <f>"SW-COMAS-PACKL"</f>
        <v>SW-COMAS-PACKL</v>
      </c>
      <c r="M5315" s="14"/>
      <c r="N5315" s="15"/>
      <c r="O5315" s="12"/>
      <c r="P5315" s="34"/>
      <c r="Q5315" s="37"/>
      <c r="R5315" s="47"/>
      <c r="S5315" s="46"/>
    </row>
    <row r="5316" spans="1:19" ht="15.6" hidden="1" customHeight="1" thickBot="1" x14ac:dyDescent="0.3">
      <c r="A5316" t="s">
        <v>23</v>
      </c>
      <c r="B5316" s="60" t="str">
        <f t="shared" si="3809"/>
        <v>hide</v>
      </c>
      <c r="D5316" s="48" t="str">
        <f>D5315</f>
        <v>98132</v>
      </c>
      <c r="E5316" s="7"/>
      <c r="F5316" s="27">
        <v>0</v>
      </c>
      <c r="G5316" s="27">
        <v>0</v>
      </c>
      <c r="H5316" s="27">
        <v>0</v>
      </c>
      <c r="I5316" s="27">
        <v>0</v>
      </c>
      <c r="J5316" s="27">
        <v>0</v>
      </c>
      <c r="K5316" s="63">
        <f>AVERAGE(I5316:J5316)</f>
        <v>0</v>
      </c>
      <c r="L5316" s="56" t="str">
        <f>"SW-RISER-PACK"</f>
        <v>SW-RISER-PACK</v>
      </c>
      <c r="M5316" s="14"/>
      <c r="N5316" s="15"/>
      <c r="O5316" s="12"/>
      <c r="P5316" s="34"/>
      <c r="Q5316" s="37"/>
      <c r="R5316" s="47"/>
      <c r="S5316" s="46"/>
    </row>
    <row r="5317" spans="1:19" ht="12" hidden="1" customHeight="1" x14ac:dyDescent="0.3">
      <c r="A5317" s="35" t="s">
        <v>908</v>
      </c>
      <c r="B5317" s="49" t="str">
        <f>B5313</f>
        <v>hide</v>
      </c>
      <c r="N5317"/>
      <c r="Q5317" s="33"/>
    </row>
    <row r="5318" spans="1:19" ht="13.8" hidden="1" thickBot="1" x14ac:dyDescent="0.3">
      <c r="A5318" t="s">
        <v>23</v>
      </c>
      <c r="B5318" s="49" t="str">
        <f t="shared" ref="B5318" si="3810">B5317</f>
        <v>hide</v>
      </c>
      <c r="D5318" s="58"/>
      <c r="E5318" s="58"/>
      <c r="F5318" s="52">
        <f>SUM(F5313:F5317)</f>
        <v>0</v>
      </c>
      <c r="G5318" s="52">
        <f>SUM(G5313:G5317)</f>
        <v>0</v>
      </c>
      <c r="H5318" s="52">
        <f>SUM(H5313:H5317)</f>
        <v>0</v>
      </c>
      <c r="I5318" s="52">
        <f>SUM(I5313:I5317)</f>
        <v>0</v>
      </c>
      <c r="J5318" s="52">
        <f>SUM(J5313:J5317)</f>
        <v>0</v>
      </c>
      <c r="K5318" s="52"/>
      <c r="L5318" s="51" t="s">
        <v>4</v>
      </c>
      <c r="M5318" s="58"/>
      <c r="N5318" s="58"/>
      <c r="O5318" s="58"/>
      <c r="P5318" s="58"/>
      <c r="Q5318" s="58"/>
      <c r="R5318" s="58"/>
      <c r="S5318" s="58"/>
    </row>
    <row r="5319" spans="1:19" s="59" customFormat="1" ht="18.75" hidden="1" customHeight="1" thickBot="1" x14ac:dyDescent="0.3">
      <c r="A5319" s="59" t="s">
        <v>23</v>
      </c>
      <c r="B5319" s="60" t="str">
        <f t="shared" ref="B5319:B5320" si="3811">IF(K5319=0,"hide","")</f>
        <v>hide</v>
      </c>
      <c r="D5319" s="61" t="str">
        <f>"98137"</f>
        <v>98137</v>
      </c>
      <c r="E5319" s="62" t="str">
        <f>"2"</f>
        <v>2</v>
      </c>
      <c r="F5319" s="63">
        <v>0</v>
      </c>
      <c r="G5319" s="63">
        <v>0</v>
      </c>
      <c r="H5319" s="63">
        <v>0</v>
      </c>
      <c r="I5319" s="63">
        <v>0</v>
      </c>
      <c r="J5319" s="63">
        <v>0</v>
      </c>
      <c r="K5319" s="63">
        <f>AVERAGE(I5319:J5319)</f>
        <v>0</v>
      </c>
      <c r="L5319" s="64" t="str">
        <f>"SESAME BAGELS"</f>
        <v>SESAME BAGELS</v>
      </c>
      <c r="M5319" s="65" t="str">
        <f>"60-4.5 oz. Bulk"</f>
        <v>60-4.5 oz. Bulk</v>
      </c>
      <c r="N5319" s="66">
        <v>60</v>
      </c>
      <c r="O5319" s="67" t="str">
        <f>""</f>
        <v/>
      </c>
      <c r="P5319" s="68" t="e">
        <f>1/O5319</f>
        <v>#VALUE!</v>
      </c>
      <c r="Q5319" s="53">
        <v>1</v>
      </c>
      <c r="R5319" s="69">
        <f t="shared" ref="R5319" si="3812">1/Q5319</f>
        <v>1</v>
      </c>
      <c r="S5319" s="70">
        <f t="shared" ref="S5319" si="3813">R5319*N5319</f>
        <v>60</v>
      </c>
    </row>
    <row r="5320" spans="1:19" ht="15.6" hidden="1" customHeight="1" thickBot="1" x14ac:dyDescent="0.3">
      <c r="A5320" t="s">
        <v>23</v>
      </c>
      <c r="B5320" s="60" t="str">
        <f t="shared" si="3811"/>
        <v>hide</v>
      </c>
      <c r="D5320" s="48" t="str">
        <f>D5319</f>
        <v>98137</v>
      </c>
      <c r="E5320" s="7"/>
      <c r="F5320" s="27">
        <v>0</v>
      </c>
      <c r="G5320" s="27">
        <v>0</v>
      </c>
      <c r="H5320" s="27">
        <v>0</v>
      </c>
      <c r="I5320" s="27">
        <v>0</v>
      </c>
      <c r="J5320" s="27">
        <v>0</v>
      </c>
      <c r="K5320" s="63">
        <f>AVERAGE(I5320:J5320)</f>
        <v>0</v>
      </c>
      <c r="L5320" s="56" t="str">
        <f>"EQP-LAWPACK1"</f>
        <v>EQP-LAWPACK1</v>
      </c>
      <c r="M5320" s="14"/>
      <c r="N5320" s="15"/>
      <c r="O5320" s="12"/>
      <c r="P5320" s="34"/>
      <c r="Q5320" s="37"/>
      <c r="R5320" s="47"/>
      <c r="S5320" s="46"/>
    </row>
    <row r="5321" spans="1:19" ht="15.6" hidden="1" customHeight="1" thickBot="1" x14ac:dyDescent="0.3">
      <c r="A5321" t="s">
        <v>23</v>
      </c>
      <c r="B5321" s="60" t="str">
        <f t="shared" ref="B5321:B5323" si="3814">IF(K5321=0,"hide","")</f>
        <v>hide</v>
      </c>
      <c r="D5321" s="48" t="str">
        <f>D5320</f>
        <v>98137</v>
      </c>
      <c r="E5321" s="7"/>
      <c r="F5321" s="27">
        <v>0</v>
      </c>
      <c r="G5321" s="27">
        <v>0</v>
      </c>
      <c r="H5321" s="27">
        <v>0</v>
      </c>
      <c r="I5321" s="27">
        <v>0</v>
      </c>
      <c r="J5321" s="27">
        <v>0</v>
      </c>
      <c r="K5321" s="63">
        <f>AVERAGE(I5321:J5321)</f>
        <v>0</v>
      </c>
      <c r="L5321" s="56" t="str">
        <f>"EQP-LAWPACK2"</f>
        <v>EQP-LAWPACK2</v>
      </c>
      <c r="M5321" s="14"/>
      <c r="N5321" s="15"/>
      <c r="O5321" s="12"/>
      <c r="P5321" s="34"/>
      <c r="Q5321" s="37"/>
      <c r="R5321" s="47"/>
      <c r="S5321" s="46"/>
    </row>
    <row r="5322" spans="1:19" ht="15.6" hidden="1" customHeight="1" thickBot="1" x14ac:dyDescent="0.3">
      <c r="A5322" t="s">
        <v>23</v>
      </c>
      <c r="B5322" s="60" t="str">
        <f t="shared" si="3814"/>
        <v>hide</v>
      </c>
      <c r="D5322" s="48" t="str">
        <f>D5321</f>
        <v>98137</v>
      </c>
      <c r="E5322" s="7"/>
      <c r="F5322" s="27">
        <v>0</v>
      </c>
      <c r="G5322" s="27">
        <v>0</v>
      </c>
      <c r="H5322" s="27">
        <v>0</v>
      </c>
      <c r="I5322" s="27">
        <v>0</v>
      </c>
      <c r="J5322" s="27">
        <v>0</v>
      </c>
      <c r="K5322" s="63">
        <f>AVERAGE(I5322:J5322)</f>
        <v>0</v>
      </c>
      <c r="L5322" s="56" t="str">
        <f>"SW-COMAS-PACKL"</f>
        <v>SW-COMAS-PACKL</v>
      </c>
      <c r="M5322" s="14"/>
      <c r="N5322" s="15"/>
      <c r="O5322" s="12"/>
      <c r="P5322" s="34"/>
      <c r="Q5322" s="37"/>
      <c r="R5322" s="47"/>
      <c r="S5322" s="46"/>
    </row>
    <row r="5323" spans="1:19" ht="15.6" hidden="1" customHeight="1" thickBot="1" x14ac:dyDescent="0.3">
      <c r="A5323" t="s">
        <v>23</v>
      </c>
      <c r="B5323" s="60" t="str">
        <f t="shared" si="3814"/>
        <v>hide</v>
      </c>
      <c r="D5323" s="48" t="str">
        <f>D5322</f>
        <v>98137</v>
      </c>
      <c r="E5323" s="7"/>
      <c r="F5323" s="27">
        <v>0</v>
      </c>
      <c r="G5323" s="27">
        <v>0</v>
      </c>
      <c r="H5323" s="27">
        <v>0</v>
      </c>
      <c r="I5323" s="27">
        <v>0</v>
      </c>
      <c r="J5323" s="27">
        <v>0</v>
      </c>
      <c r="K5323" s="63">
        <f>AVERAGE(I5323:J5323)</f>
        <v>0</v>
      </c>
      <c r="L5323" s="56" t="str">
        <f>"SW-RISER-PACK"</f>
        <v>SW-RISER-PACK</v>
      </c>
      <c r="M5323" s="14"/>
      <c r="N5323" s="15"/>
      <c r="O5323" s="12"/>
      <c r="P5323" s="34"/>
      <c r="Q5323" s="37"/>
      <c r="R5323" s="47"/>
      <c r="S5323" s="46"/>
    </row>
    <row r="5324" spans="1:19" ht="12" hidden="1" customHeight="1" x14ac:dyDescent="0.3">
      <c r="A5324" s="35" t="s">
        <v>908</v>
      </c>
      <c r="B5324" s="49" t="str">
        <f>B5320</f>
        <v>hide</v>
      </c>
      <c r="N5324"/>
      <c r="Q5324" s="33"/>
    </row>
    <row r="5325" spans="1:19" ht="13.8" hidden="1" thickBot="1" x14ac:dyDescent="0.3">
      <c r="A5325" t="s">
        <v>23</v>
      </c>
      <c r="B5325" s="49" t="str">
        <f t="shared" ref="B5325" si="3815">B5324</f>
        <v>hide</v>
      </c>
      <c r="D5325" s="58"/>
      <c r="E5325" s="58"/>
      <c r="F5325" s="52">
        <f>SUM(F5320:F5324)</f>
        <v>0</v>
      </c>
      <c r="G5325" s="52">
        <f>SUM(G5320:G5324)</f>
        <v>0</v>
      </c>
      <c r="H5325" s="52">
        <f>SUM(H5320:H5324)</f>
        <v>0</v>
      </c>
      <c r="I5325" s="52">
        <f>SUM(I5320:I5324)</f>
        <v>0</v>
      </c>
      <c r="J5325" s="52">
        <f>SUM(J5320:J5324)</f>
        <v>0</v>
      </c>
      <c r="K5325" s="52"/>
      <c r="L5325" s="51" t="s">
        <v>4</v>
      </c>
      <c r="M5325" s="58"/>
      <c r="N5325" s="58"/>
      <c r="O5325" s="58"/>
      <c r="P5325" s="58"/>
      <c r="Q5325" s="58"/>
      <c r="R5325" s="58"/>
      <c r="S5325" s="58"/>
    </row>
    <row r="5326" spans="1:19" s="59" customFormat="1" ht="18.75" hidden="1" customHeight="1" thickBot="1" x14ac:dyDescent="0.3">
      <c r="A5326" s="59" t="s">
        <v>23</v>
      </c>
      <c r="B5326" s="60" t="str">
        <f t="shared" ref="B5326:B5327" si="3816">IF(K5326=0,"hide","")</f>
        <v>hide</v>
      </c>
      <c r="D5326" s="61" t="str">
        <f>"98144"</f>
        <v>98144</v>
      </c>
      <c r="E5326" s="62" t="str">
        <f>"2"</f>
        <v>2</v>
      </c>
      <c r="F5326" s="63">
        <v>0</v>
      </c>
      <c r="G5326" s="63">
        <v>0</v>
      </c>
      <c r="H5326" s="63">
        <v>0</v>
      </c>
      <c r="I5326" s="63">
        <v>0</v>
      </c>
      <c r="J5326" s="63">
        <v>0</v>
      </c>
      <c r="K5326" s="63">
        <f>AVERAGE(I5326:J5326)</f>
        <v>0</v>
      </c>
      <c r="L5326" s="64" t="str">
        <f>"ONION BAGELS"</f>
        <v>ONION BAGELS</v>
      </c>
      <c r="M5326" s="65" t="str">
        <f>"60-4.5 oz. Bulk"</f>
        <v>60-4.5 oz. Bulk</v>
      </c>
      <c r="N5326" s="66">
        <v>60</v>
      </c>
      <c r="O5326" s="67" t="str">
        <f>""</f>
        <v/>
      </c>
      <c r="P5326" s="68" t="e">
        <f>1/O5326</f>
        <v>#VALUE!</v>
      </c>
      <c r="Q5326" s="53">
        <v>1</v>
      </c>
      <c r="R5326" s="69">
        <f t="shared" ref="R5326" si="3817">1/Q5326</f>
        <v>1</v>
      </c>
      <c r="S5326" s="70">
        <f t="shared" ref="S5326" si="3818">R5326*N5326</f>
        <v>60</v>
      </c>
    </row>
    <row r="5327" spans="1:19" ht="15.6" hidden="1" customHeight="1" thickBot="1" x14ac:dyDescent="0.3">
      <c r="A5327" t="s">
        <v>23</v>
      </c>
      <c r="B5327" s="60" t="str">
        <f t="shared" si="3816"/>
        <v>hide</v>
      </c>
      <c r="D5327" s="48" t="str">
        <f>D5326</f>
        <v>98144</v>
      </c>
      <c r="E5327" s="7"/>
      <c r="F5327" s="27">
        <v>0</v>
      </c>
      <c r="G5327" s="27">
        <v>0</v>
      </c>
      <c r="H5327" s="27">
        <v>0</v>
      </c>
      <c r="I5327" s="27">
        <v>0</v>
      </c>
      <c r="J5327" s="27">
        <v>0</v>
      </c>
      <c r="K5327" s="63">
        <f>AVERAGE(I5327:J5327)</f>
        <v>0</v>
      </c>
      <c r="L5327" s="56" t="str">
        <f>"EQP-LAWPACK1"</f>
        <v>EQP-LAWPACK1</v>
      </c>
      <c r="M5327" s="14"/>
      <c r="N5327" s="15"/>
      <c r="O5327" s="12"/>
      <c r="P5327" s="34"/>
      <c r="Q5327" s="37"/>
      <c r="R5327" s="47"/>
      <c r="S5327" s="46"/>
    </row>
    <row r="5328" spans="1:19" ht="15.6" hidden="1" customHeight="1" thickBot="1" x14ac:dyDescent="0.3">
      <c r="A5328" t="s">
        <v>23</v>
      </c>
      <c r="B5328" s="60" t="str">
        <f t="shared" ref="B5328:B5330" si="3819">IF(K5328=0,"hide","")</f>
        <v>hide</v>
      </c>
      <c r="D5328" s="48" t="str">
        <f>D5327</f>
        <v>98144</v>
      </c>
      <c r="E5328" s="7"/>
      <c r="F5328" s="27">
        <v>0</v>
      </c>
      <c r="G5328" s="27">
        <v>0</v>
      </c>
      <c r="H5328" s="27">
        <v>0</v>
      </c>
      <c r="I5328" s="27">
        <v>0</v>
      </c>
      <c r="J5328" s="27">
        <v>0</v>
      </c>
      <c r="K5328" s="63">
        <f>AVERAGE(I5328:J5328)</f>
        <v>0</v>
      </c>
      <c r="L5328" s="56" t="str">
        <f>"EQP-LAWPACK2"</f>
        <v>EQP-LAWPACK2</v>
      </c>
      <c r="M5328" s="14"/>
      <c r="N5328" s="15"/>
      <c r="O5328" s="12"/>
      <c r="P5328" s="34"/>
      <c r="Q5328" s="37"/>
      <c r="R5328" s="47"/>
      <c r="S5328" s="46"/>
    </row>
    <row r="5329" spans="1:19" ht="15.6" hidden="1" customHeight="1" thickBot="1" x14ac:dyDescent="0.3">
      <c r="A5329" t="s">
        <v>23</v>
      </c>
      <c r="B5329" s="60" t="str">
        <f t="shared" si="3819"/>
        <v>hide</v>
      </c>
      <c r="D5329" s="48" t="str">
        <f>D5328</f>
        <v>98144</v>
      </c>
      <c r="E5329" s="7"/>
      <c r="F5329" s="27">
        <v>0</v>
      </c>
      <c r="G5329" s="27">
        <v>0</v>
      </c>
      <c r="H5329" s="27">
        <v>0</v>
      </c>
      <c r="I5329" s="27">
        <v>0</v>
      </c>
      <c r="J5329" s="27">
        <v>0</v>
      </c>
      <c r="K5329" s="63">
        <f>AVERAGE(I5329:J5329)</f>
        <v>0</v>
      </c>
      <c r="L5329" s="56" t="str">
        <f>"SW-COMAS-PACKL"</f>
        <v>SW-COMAS-PACKL</v>
      </c>
      <c r="M5329" s="14"/>
      <c r="N5329" s="15"/>
      <c r="O5329" s="12"/>
      <c r="P5329" s="34"/>
      <c r="Q5329" s="37"/>
      <c r="R5329" s="47"/>
      <c r="S5329" s="46"/>
    </row>
    <row r="5330" spans="1:19" ht="15.6" hidden="1" customHeight="1" thickBot="1" x14ac:dyDescent="0.3">
      <c r="A5330" t="s">
        <v>23</v>
      </c>
      <c r="B5330" s="60" t="str">
        <f t="shared" si="3819"/>
        <v>hide</v>
      </c>
      <c r="D5330" s="48" t="str">
        <f>D5329</f>
        <v>98144</v>
      </c>
      <c r="E5330" s="7"/>
      <c r="F5330" s="27">
        <v>0</v>
      </c>
      <c r="G5330" s="27">
        <v>0</v>
      </c>
      <c r="H5330" s="27">
        <v>0</v>
      </c>
      <c r="I5330" s="27">
        <v>0</v>
      </c>
      <c r="J5330" s="27">
        <v>0</v>
      </c>
      <c r="K5330" s="63">
        <f>AVERAGE(I5330:J5330)</f>
        <v>0</v>
      </c>
      <c r="L5330" s="56" t="str">
        <f>"SW-RISER-PACK"</f>
        <v>SW-RISER-PACK</v>
      </c>
      <c r="M5330" s="14"/>
      <c r="N5330" s="15"/>
      <c r="O5330" s="12"/>
      <c r="P5330" s="34"/>
      <c r="Q5330" s="37"/>
      <c r="R5330" s="47"/>
      <c r="S5330" s="46"/>
    </row>
    <row r="5331" spans="1:19" ht="12" hidden="1" customHeight="1" x14ac:dyDescent="0.3">
      <c r="A5331" s="35" t="s">
        <v>908</v>
      </c>
      <c r="B5331" s="49" t="str">
        <f>B5327</f>
        <v>hide</v>
      </c>
      <c r="N5331"/>
      <c r="Q5331" s="33"/>
    </row>
    <row r="5332" spans="1:19" ht="13.8" hidden="1" thickBot="1" x14ac:dyDescent="0.3">
      <c r="A5332" t="s">
        <v>23</v>
      </c>
      <c r="B5332" s="49" t="str">
        <f t="shared" ref="B5332" si="3820">B5331</f>
        <v>hide</v>
      </c>
      <c r="D5332" s="58"/>
      <c r="E5332" s="58"/>
      <c r="F5332" s="52">
        <f>SUM(F5327:F5331)</f>
        <v>0</v>
      </c>
      <c r="G5332" s="52">
        <f>SUM(G5327:G5331)</f>
        <v>0</v>
      </c>
      <c r="H5332" s="52">
        <f>SUM(H5327:H5331)</f>
        <v>0</v>
      </c>
      <c r="I5332" s="52">
        <f>SUM(I5327:I5331)</f>
        <v>0</v>
      </c>
      <c r="J5332" s="52">
        <f>SUM(J5327:J5331)</f>
        <v>0</v>
      </c>
      <c r="K5332" s="52"/>
      <c r="L5332" s="51" t="s">
        <v>4</v>
      </c>
      <c r="M5332" s="58"/>
      <c r="N5332" s="58"/>
      <c r="O5332" s="58"/>
      <c r="P5332" s="58"/>
      <c r="Q5332" s="58"/>
      <c r="R5332" s="58"/>
      <c r="S5332" s="58"/>
    </row>
    <row r="5333" spans="1:19" s="59" customFormat="1" ht="18.75" hidden="1" customHeight="1" thickBot="1" x14ac:dyDescent="0.3">
      <c r="A5333" s="59" t="s">
        <v>23</v>
      </c>
      <c r="B5333" s="60" t="str">
        <f t="shared" ref="B5333:B5334" si="3821">IF(K5333=0,"hide","")</f>
        <v>hide</v>
      </c>
      <c r="D5333" s="61" t="str">
        <f>"98160"</f>
        <v>98160</v>
      </c>
      <c r="E5333" s="62" t="str">
        <f>"2"</f>
        <v>2</v>
      </c>
      <c r="F5333" s="63">
        <v>0</v>
      </c>
      <c r="G5333" s="63">
        <v>0</v>
      </c>
      <c r="H5333" s="63">
        <v>0</v>
      </c>
      <c r="I5333" s="63">
        <v>0</v>
      </c>
      <c r="J5333" s="63">
        <v>0</v>
      </c>
      <c r="K5333" s="63">
        <f>AVERAGE(I5333:J5333)</f>
        <v>0</v>
      </c>
      <c r="L5333" s="64" t="str">
        <f>"FRENCH TOAST BAGELS"</f>
        <v>FRENCH TOAST BAGELS</v>
      </c>
      <c r="M5333" s="65" t="str">
        <f>"60-4.5 oz. Bulk"</f>
        <v>60-4.5 oz. Bulk</v>
      </c>
      <c r="N5333" s="66">
        <v>60</v>
      </c>
      <c r="O5333" s="67" t="str">
        <f>""</f>
        <v/>
      </c>
      <c r="P5333" s="68" t="e">
        <f>1/O5333</f>
        <v>#VALUE!</v>
      </c>
      <c r="Q5333" s="53">
        <v>1</v>
      </c>
      <c r="R5333" s="69">
        <f t="shared" ref="R5333" si="3822">1/Q5333</f>
        <v>1</v>
      </c>
      <c r="S5333" s="70">
        <f t="shared" ref="S5333" si="3823">R5333*N5333</f>
        <v>60</v>
      </c>
    </row>
    <row r="5334" spans="1:19" ht="15.6" hidden="1" customHeight="1" thickBot="1" x14ac:dyDescent="0.3">
      <c r="A5334" t="s">
        <v>23</v>
      </c>
      <c r="B5334" s="60" t="str">
        <f t="shared" si="3821"/>
        <v>hide</v>
      </c>
      <c r="D5334" s="48" t="str">
        <f>D5333</f>
        <v>98160</v>
      </c>
      <c r="E5334" s="7"/>
      <c r="F5334" s="27">
        <v>0</v>
      </c>
      <c r="G5334" s="27">
        <v>0</v>
      </c>
      <c r="H5334" s="27">
        <v>0</v>
      </c>
      <c r="I5334" s="27">
        <v>0</v>
      </c>
      <c r="J5334" s="27">
        <v>0</v>
      </c>
      <c r="K5334" s="63">
        <f>AVERAGE(I5334:J5334)</f>
        <v>0</v>
      </c>
      <c r="L5334" s="56" t="str">
        <f>"EQP-LAWPACK1"</f>
        <v>EQP-LAWPACK1</v>
      </c>
      <c r="M5334" s="14"/>
      <c r="N5334" s="15"/>
      <c r="O5334" s="12"/>
      <c r="P5334" s="34"/>
      <c r="Q5334" s="37"/>
      <c r="R5334" s="47"/>
      <c r="S5334" s="46"/>
    </row>
    <row r="5335" spans="1:19" ht="15.6" hidden="1" customHeight="1" thickBot="1" x14ac:dyDescent="0.3">
      <c r="A5335" t="s">
        <v>23</v>
      </c>
      <c r="B5335" s="60" t="str">
        <f t="shared" ref="B5335:B5337" si="3824">IF(K5335=0,"hide","")</f>
        <v>hide</v>
      </c>
      <c r="D5335" s="48" t="str">
        <f>D5334</f>
        <v>98160</v>
      </c>
      <c r="E5335" s="7"/>
      <c r="F5335" s="27">
        <v>0</v>
      </c>
      <c r="G5335" s="27">
        <v>0</v>
      </c>
      <c r="H5335" s="27">
        <v>0</v>
      </c>
      <c r="I5335" s="27">
        <v>0</v>
      </c>
      <c r="J5335" s="27">
        <v>0</v>
      </c>
      <c r="K5335" s="63">
        <f>AVERAGE(I5335:J5335)</f>
        <v>0</v>
      </c>
      <c r="L5335" s="56" t="str">
        <f>"EQP-LAWPACK2"</f>
        <v>EQP-LAWPACK2</v>
      </c>
      <c r="M5335" s="14"/>
      <c r="N5335" s="15"/>
      <c r="O5335" s="12"/>
      <c r="P5335" s="34"/>
      <c r="Q5335" s="37"/>
      <c r="R5335" s="47"/>
      <c r="S5335" s="46"/>
    </row>
    <row r="5336" spans="1:19" ht="15.6" hidden="1" customHeight="1" thickBot="1" x14ac:dyDescent="0.3">
      <c r="A5336" t="s">
        <v>23</v>
      </c>
      <c r="B5336" s="60" t="str">
        <f t="shared" si="3824"/>
        <v>hide</v>
      </c>
      <c r="D5336" s="48" t="str">
        <f>D5335</f>
        <v>98160</v>
      </c>
      <c r="E5336" s="7"/>
      <c r="F5336" s="27">
        <v>0</v>
      </c>
      <c r="G5336" s="27">
        <v>0</v>
      </c>
      <c r="H5336" s="27">
        <v>0</v>
      </c>
      <c r="I5336" s="27">
        <v>0</v>
      </c>
      <c r="J5336" s="27">
        <v>0</v>
      </c>
      <c r="K5336" s="63">
        <f>AVERAGE(I5336:J5336)</f>
        <v>0</v>
      </c>
      <c r="L5336" s="56" t="str">
        <f>"SW-COMAS-PACKL"</f>
        <v>SW-COMAS-PACKL</v>
      </c>
      <c r="M5336" s="14"/>
      <c r="N5336" s="15"/>
      <c r="O5336" s="12"/>
      <c r="P5336" s="34"/>
      <c r="Q5336" s="37"/>
      <c r="R5336" s="47"/>
      <c r="S5336" s="46"/>
    </row>
    <row r="5337" spans="1:19" ht="15.6" hidden="1" customHeight="1" thickBot="1" x14ac:dyDescent="0.3">
      <c r="A5337" t="s">
        <v>23</v>
      </c>
      <c r="B5337" s="60" t="str">
        <f t="shared" si="3824"/>
        <v>hide</v>
      </c>
      <c r="D5337" s="48" t="str">
        <f>D5336</f>
        <v>98160</v>
      </c>
      <c r="E5337" s="7"/>
      <c r="F5337" s="27">
        <v>0</v>
      </c>
      <c r="G5337" s="27">
        <v>0</v>
      </c>
      <c r="H5337" s="27">
        <v>0</v>
      </c>
      <c r="I5337" s="27">
        <v>0</v>
      </c>
      <c r="J5337" s="27">
        <v>0</v>
      </c>
      <c r="K5337" s="63">
        <f>AVERAGE(I5337:J5337)</f>
        <v>0</v>
      </c>
      <c r="L5337" s="56" t="str">
        <f>"SW-RISER-PACK"</f>
        <v>SW-RISER-PACK</v>
      </c>
      <c r="M5337" s="14"/>
      <c r="N5337" s="15"/>
      <c r="O5337" s="12"/>
      <c r="P5337" s="34"/>
      <c r="Q5337" s="37"/>
      <c r="R5337" s="47"/>
      <c r="S5337" s="46"/>
    </row>
    <row r="5338" spans="1:19" ht="12" hidden="1" customHeight="1" x14ac:dyDescent="0.3">
      <c r="A5338" s="35" t="s">
        <v>908</v>
      </c>
      <c r="B5338" s="49" t="str">
        <f>B5334</f>
        <v>hide</v>
      </c>
      <c r="N5338"/>
      <c r="Q5338" s="33"/>
    </row>
    <row r="5339" spans="1:19" ht="13.8" hidden="1" thickBot="1" x14ac:dyDescent="0.3">
      <c r="A5339" t="s">
        <v>23</v>
      </c>
      <c r="B5339" s="49" t="str">
        <f t="shared" ref="B5339" si="3825">B5338</f>
        <v>hide</v>
      </c>
      <c r="D5339" s="58"/>
      <c r="E5339" s="58"/>
      <c r="F5339" s="52">
        <f>SUM(F5334:F5338)</f>
        <v>0</v>
      </c>
      <c r="G5339" s="52">
        <f>SUM(G5334:G5338)</f>
        <v>0</v>
      </c>
      <c r="H5339" s="52">
        <f>SUM(H5334:H5338)</f>
        <v>0</v>
      </c>
      <c r="I5339" s="52">
        <f>SUM(I5334:I5338)</f>
        <v>0</v>
      </c>
      <c r="J5339" s="52">
        <f>SUM(J5334:J5338)</f>
        <v>0</v>
      </c>
      <c r="K5339" s="52"/>
      <c r="L5339" s="51" t="s">
        <v>4</v>
      </c>
      <c r="M5339" s="58"/>
      <c r="N5339" s="58"/>
      <c r="O5339" s="58"/>
      <c r="P5339" s="58"/>
      <c r="Q5339" s="58"/>
      <c r="R5339" s="58"/>
      <c r="S5339" s="58"/>
    </row>
    <row r="5340" spans="1:19" s="59" customFormat="1" ht="18.75" hidden="1" customHeight="1" thickBot="1" x14ac:dyDescent="0.3">
      <c r="A5340" s="59" t="s">
        <v>23</v>
      </c>
      <c r="B5340" s="60" t="str">
        <f t="shared" ref="B5340:B5341" si="3826">IF(K5340=0,"hide","")</f>
        <v>hide</v>
      </c>
      <c r="D5340" s="61" t="str">
        <f>"98172"</f>
        <v>98172</v>
      </c>
      <c r="E5340" s="62" t="str">
        <f>"1"</f>
        <v>1</v>
      </c>
      <c r="F5340" s="63">
        <v>0</v>
      </c>
      <c r="G5340" s="63">
        <v>0</v>
      </c>
      <c r="H5340" s="63">
        <v>0</v>
      </c>
      <c r="I5340" s="63">
        <v>0</v>
      </c>
      <c r="J5340" s="63">
        <v>0</v>
      </c>
      <c r="K5340" s="63">
        <f>AVERAGE(I5340:J5340)</f>
        <v>0</v>
      </c>
      <c r="L5340" s="64" t="str">
        <f>""</f>
        <v/>
      </c>
      <c r="M5340" s="65" t="str">
        <f>""</f>
        <v/>
      </c>
      <c r="N5340" s="66" t="str">
        <f>""</f>
        <v/>
      </c>
      <c r="O5340" s="67" t="str">
        <f>""</f>
        <v/>
      </c>
      <c r="P5340" s="68" t="e">
        <f>1/O5340</f>
        <v>#VALUE!</v>
      </c>
      <c r="Q5340" s="53">
        <v>1</v>
      </c>
      <c r="R5340" s="69">
        <f t="shared" ref="R5340" si="3827">1/Q5340</f>
        <v>1</v>
      </c>
      <c r="S5340" s="70" t="e">
        <f t="shared" ref="S5340" si="3828">R5340*N5340</f>
        <v>#VALUE!</v>
      </c>
    </row>
    <row r="5341" spans="1:19" ht="15.6" hidden="1" customHeight="1" thickBot="1" x14ac:dyDescent="0.3">
      <c r="A5341" t="s">
        <v>23</v>
      </c>
      <c r="B5341" s="60" t="str">
        <f t="shared" si="3826"/>
        <v>hide</v>
      </c>
      <c r="D5341" s="48" t="str">
        <f>D5340</f>
        <v>98172</v>
      </c>
      <c r="E5341" s="7"/>
      <c r="F5341" s="27">
        <v>0</v>
      </c>
      <c r="G5341" s="27">
        <v>0</v>
      </c>
      <c r="H5341" s="27">
        <v>0</v>
      </c>
      <c r="I5341" s="27">
        <v>0</v>
      </c>
      <c r="J5341" s="27">
        <v>0</v>
      </c>
      <c r="K5341" s="63">
        <f>AVERAGE(I5341:J5341)</f>
        <v>0</v>
      </c>
      <c r="L5341" s="56" t="str">
        <f>"EQP-LAWPACK1"</f>
        <v>EQP-LAWPACK1</v>
      </c>
      <c r="M5341" s="14"/>
      <c r="N5341" s="15"/>
      <c r="O5341" s="12"/>
      <c r="P5341" s="34"/>
      <c r="Q5341" s="37"/>
      <c r="R5341" s="47"/>
      <c r="S5341" s="46"/>
    </row>
    <row r="5342" spans="1:19" ht="15.6" hidden="1" customHeight="1" thickBot="1" x14ac:dyDescent="0.3">
      <c r="A5342" t="s">
        <v>23</v>
      </c>
      <c r="B5342" s="60" t="str">
        <f t="shared" ref="B5342:B5344" si="3829">IF(K5342=0,"hide","")</f>
        <v>hide</v>
      </c>
      <c r="D5342" s="48" t="str">
        <f>D5341</f>
        <v>98172</v>
      </c>
      <c r="E5342" s="7"/>
      <c r="F5342" s="27">
        <v>0</v>
      </c>
      <c r="G5342" s="27">
        <v>0</v>
      </c>
      <c r="H5342" s="27">
        <v>0</v>
      </c>
      <c r="I5342" s="27">
        <v>0</v>
      </c>
      <c r="J5342" s="27">
        <v>0</v>
      </c>
      <c r="K5342" s="63">
        <f>AVERAGE(I5342:J5342)</f>
        <v>0</v>
      </c>
      <c r="L5342" s="56" t="str">
        <f>"EQP-LAWPACK2"</f>
        <v>EQP-LAWPACK2</v>
      </c>
      <c r="M5342" s="14"/>
      <c r="N5342" s="15"/>
      <c r="O5342" s="12"/>
      <c r="P5342" s="34"/>
      <c r="Q5342" s="37"/>
      <c r="R5342" s="47"/>
      <c r="S5342" s="46"/>
    </row>
    <row r="5343" spans="1:19" ht="15.6" hidden="1" customHeight="1" thickBot="1" x14ac:dyDescent="0.3">
      <c r="A5343" t="s">
        <v>23</v>
      </c>
      <c r="B5343" s="60" t="str">
        <f t="shared" si="3829"/>
        <v>hide</v>
      </c>
      <c r="D5343" s="48" t="str">
        <f>D5342</f>
        <v>98172</v>
      </c>
      <c r="E5343" s="7"/>
      <c r="F5343" s="27">
        <v>0</v>
      </c>
      <c r="G5343" s="27">
        <v>0</v>
      </c>
      <c r="H5343" s="27">
        <v>0</v>
      </c>
      <c r="I5343" s="27">
        <v>0</v>
      </c>
      <c r="J5343" s="27">
        <v>0</v>
      </c>
      <c r="K5343" s="63">
        <f>AVERAGE(I5343:J5343)</f>
        <v>0</v>
      </c>
      <c r="L5343" s="56" t="str">
        <f>"SW-COMAS-PACKL"</f>
        <v>SW-COMAS-PACKL</v>
      </c>
      <c r="M5343" s="14"/>
      <c r="N5343" s="15"/>
      <c r="O5343" s="12"/>
      <c r="P5343" s="34"/>
      <c r="Q5343" s="37"/>
      <c r="R5343" s="47"/>
      <c r="S5343" s="46"/>
    </row>
    <row r="5344" spans="1:19" ht="15.6" hidden="1" customHeight="1" thickBot="1" x14ac:dyDescent="0.3">
      <c r="A5344" t="s">
        <v>23</v>
      </c>
      <c r="B5344" s="60" t="str">
        <f t="shared" si="3829"/>
        <v>hide</v>
      </c>
      <c r="D5344" s="48" t="str">
        <f>D5343</f>
        <v>98172</v>
      </c>
      <c r="E5344" s="7"/>
      <c r="F5344" s="27">
        <v>0</v>
      </c>
      <c r="G5344" s="27">
        <v>0</v>
      </c>
      <c r="H5344" s="27">
        <v>0</v>
      </c>
      <c r="I5344" s="27">
        <v>0</v>
      </c>
      <c r="J5344" s="27">
        <v>0</v>
      </c>
      <c r="K5344" s="63">
        <f>AVERAGE(I5344:J5344)</f>
        <v>0</v>
      </c>
      <c r="L5344" s="56" t="str">
        <f>"SW-RISER-PACK"</f>
        <v>SW-RISER-PACK</v>
      </c>
      <c r="M5344" s="14"/>
      <c r="N5344" s="15"/>
      <c r="O5344" s="12"/>
      <c r="P5344" s="34"/>
      <c r="Q5344" s="37"/>
      <c r="R5344" s="47"/>
      <c r="S5344" s="46"/>
    </row>
    <row r="5345" spans="1:19" ht="12" hidden="1" customHeight="1" x14ac:dyDescent="0.3">
      <c r="A5345" s="35" t="s">
        <v>908</v>
      </c>
      <c r="B5345" s="49" t="str">
        <f>B5341</f>
        <v>hide</v>
      </c>
      <c r="N5345"/>
      <c r="Q5345" s="33"/>
    </row>
    <row r="5346" spans="1:19" ht="13.8" hidden="1" thickBot="1" x14ac:dyDescent="0.3">
      <c r="A5346" t="s">
        <v>23</v>
      </c>
      <c r="B5346" s="49" t="str">
        <f t="shared" ref="B5346" si="3830">B5345</f>
        <v>hide</v>
      </c>
      <c r="D5346" s="58"/>
      <c r="E5346" s="58"/>
      <c r="F5346" s="52">
        <f>SUM(F5341:F5345)</f>
        <v>0</v>
      </c>
      <c r="G5346" s="52">
        <f>SUM(G5341:G5345)</f>
        <v>0</v>
      </c>
      <c r="H5346" s="52">
        <f>SUM(H5341:H5345)</f>
        <v>0</v>
      </c>
      <c r="I5346" s="52">
        <f>SUM(I5341:I5345)</f>
        <v>0</v>
      </c>
      <c r="J5346" s="52">
        <f>SUM(J5341:J5345)</f>
        <v>0</v>
      </c>
      <c r="K5346" s="52"/>
      <c r="L5346" s="51" t="s">
        <v>4</v>
      </c>
      <c r="M5346" s="58"/>
      <c r="N5346" s="58"/>
      <c r="O5346" s="58"/>
      <c r="P5346" s="58"/>
      <c r="Q5346" s="58"/>
      <c r="R5346" s="58"/>
      <c r="S5346" s="58"/>
    </row>
    <row r="5347" spans="1:19" s="59" customFormat="1" ht="18.75" hidden="1" customHeight="1" thickBot="1" x14ac:dyDescent="0.3">
      <c r="A5347" s="59" t="s">
        <v>23</v>
      </c>
      <c r="B5347" s="60" t="str">
        <f t="shared" ref="B5347:B5348" si="3831">IF(K5347=0,"hide","")</f>
        <v>hide</v>
      </c>
      <c r="D5347" s="61" t="str">
        <f>"98188"</f>
        <v>98188</v>
      </c>
      <c r="E5347" s="62" t="str">
        <f>"1"</f>
        <v>1</v>
      </c>
      <c r="F5347" s="63">
        <v>0</v>
      </c>
      <c r="G5347" s="63">
        <v>0</v>
      </c>
      <c r="H5347" s="63">
        <v>0</v>
      </c>
      <c r="I5347" s="63">
        <v>0</v>
      </c>
      <c r="J5347" s="63">
        <v>0</v>
      </c>
      <c r="K5347" s="63">
        <f>AVERAGE(I5347:J5347)</f>
        <v>0</v>
      </c>
      <c r="L5347" s="64" t="str">
        <f>""</f>
        <v/>
      </c>
      <c r="M5347" s="65" t="str">
        <f>""</f>
        <v/>
      </c>
      <c r="N5347" s="66" t="str">
        <f>""</f>
        <v/>
      </c>
      <c r="O5347" s="67" t="str">
        <f>""</f>
        <v/>
      </c>
      <c r="P5347" s="68" t="e">
        <f>1/O5347</f>
        <v>#VALUE!</v>
      </c>
      <c r="Q5347" s="53">
        <v>1</v>
      </c>
      <c r="R5347" s="69">
        <f t="shared" ref="R5347" si="3832">1/Q5347</f>
        <v>1</v>
      </c>
      <c r="S5347" s="70" t="e">
        <f t="shared" ref="S5347" si="3833">R5347*N5347</f>
        <v>#VALUE!</v>
      </c>
    </row>
    <row r="5348" spans="1:19" ht="15.6" hidden="1" customHeight="1" thickBot="1" x14ac:dyDescent="0.3">
      <c r="A5348" t="s">
        <v>23</v>
      </c>
      <c r="B5348" s="60" t="str">
        <f t="shared" si="3831"/>
        <v>hide</v>
      </c>
      <c r="D5348" s="48" t="str">
        <f>D5347</f>
        <v>98188</v>
      </c>
      <c r="E5348" s="7"/>
      <c r="F5348" s="27">
        <v>0</v>
      </c>
      <c r="G5348" s="27">
        <v>0</v>
      </c>
      <c r="H5348" s="27">
        <v>0</v>
      </c>
      <c r="I5348" s="27">
        <v>0</v>
      </c>
      <c r="J5348" s="27">
        <v>0</v>
      </c>
      <c r="K5348" s="63">
        <f>AVERAGE(I5348:J5348)</f>
        <v>0</v>
      </c>
      <c r="L5348" s="56" t="str">
        <f>"EQP-LAWPACK1"</f>
        <v>EQP-LAWPACK1</v>
      </c>
      <c r="M5348" s="14"/>
      <c r="N5348" s="15"/>
      <c r="O5348" s="12"/>
      <c r="P5348" s="34"/>
      <c r="Q5348" s="37"/>
      <c r="R5348" s="47"/>
      <c r="S5348" s="46"/>
    </row>
    <row r="5349" spans="1:19" ht="15.6" hidden="1" customHeight="1" thickBot="1" x14ac:dyDescent="0.3">
      <c r="A5349" t="s">
        <v>23</v>
      </c>
      <c r="B5349" s="60" t="str">
        <f t="shared" ref="B5349:B5351" si="3834">IF(K5349=0,"hide","")</f>
        <v>hide</v>
      </c>
      <c r="D5349" s="48" t="str">
        <f>D5348</f>
        <v>98188</v>
      </c>
      <c r="E5349" s="7"/>
      <c r="F5349" s="27">
        <v>0</v>
      </c>
      <c r="G5349" s="27">
        <v>0</v>
      </c>
      <c r="H5349" s="27">
        <v>0</v>
      </c>
      <c r="I5349" s="27">
        <v>0</v>
      </c>
      <c r="J5349" s="27">
        <v>0</v>
      </c>
      <c r="K5349" s="63">
        <f>AVERAGE(I5349:J5349)</f>
        <v>0</v>
      </c>
      <c r="L5349" s="56" t="str">
        <f>"EQP-LAWPACK2"</f>
        <v>EQP-LAWPACK2</v>
      </c>
      <c r="M5349" s="14"/>
      <c r="N5349" s="15"/>
      <c r="O5349" s="12"/>
      <c r="P5349" s="34"/>
      <c r="Q5349" s="37"/>
      <c r="R5349" s="47"/>
      <c r="S5349" s="46"/>
    </row>
    <row r="5350" spans="1:19" ht="15.6" hidden="1" customHeight="1" thickBot="1" x14ac:dyDescent="0.3">
      <c r="A5350" t="s">
        <v>23</v>
      </c>
      <c r="B5350" s="60" t="str">
        <f t="shared" si="3834"/>
        <v>hide</v>
      </c>
      <c r="D5350" s="48" t="str">
        <f>D5349</f>
        <v>98188</v>
      </c>
      <c r="E5350" s="7"/>
      <c r="F5350" s="27">
        <v>0</v>
      </c>
      <c r="G5350" s="27">
        <v>0</v>
      </c>
      <c r="H5350" s="27">
        <v>0</v>
      </c>
      <c r="I5350" s="27">
        <v>0</v>
      </c>
      <c r="J5350" s="27">
        <v>0</v>
      </c>
      <c r="K5350" s="63">
        <f>AVERAGE(I5350:J5350)</f>
        <v>0</v>
      </c>
      <c r="L5350" s="56" t="str">
        <f>"SW-COMAS-PACKL"</f>
        <v>SW-COMAS-PACKL</v>
      </c>
      <c r="M5350" s="14"/>
      <c r="N5350" s="15"/>
      <c r="O5350" s="12"/>
      <c r="P5350" s="34"/>
      <c r="Q5350" s="37"/>
      <c r="R5350" s="47"/>
      <c r="S5350" s="46"/>
    </row>
    <row r="5351" spans="1:19" ht="15.6" hidden="1" customHeight="1" thickBot="1" x14ac:dyDescent="0.3">
      <c r="A5351" t="s">
        <v>23</v>
      </c>
      <c r="B5351" s="60" t="str">
        <f t="shared" si="3834"/>
        <v>hide</v>
      </c>
      <c r="D5351" s="48" t="str">
        <f>D5350</f>
        <v>98188</v>
      </c>
      <c r="E5351" s="7"/>
      <c r="F5351" s="27">
        <v>0</v>
      </c>
      <c r="G5351" s="27">
        <v>0</v>
      </c>
      <c r="H5351" s="27">
        <v>0</v>
      </c>
      <c r="I5351" s="27">
        <v>0</v>
      </c>
      <c r="J5351" s="27">
        <v>0</v>
      </c>
      <c r="K5351" s="63">
        <f>AVERAGE(I5351:J5351)</f>
        <v>0</v>
      </c>
      <c r="L5351" s="56" t="str">
        <f>"SW-RISER-PACK"</f>
        <v>SW-RISER-PACK</v>
      </c>
      <c r="M5351" s="14"/>
      <c r="N5351" s="15"/>
      <c r="O5351" s="12"/>
      <c r="P5351" s="34"/>
      <c r="Q5351" s="37"/>
      <c r="R5351" s="47"/>
      <c r="S5351" s="46"/>
    </row>
    <row r="5352" spans="1:19" ht="12" hidden="1" customHeight="1" x14ac:dyDescent="0.3">
      <c r="A5352" s="35" t="s">
        <v>908</v>
      </c>
      <c r="B5352" s="49" t="str">
        <f>B5348</f>
        <v>hide</v>
      </c>
      <c r="N5352"/>
      <c r="Q5352" s="33"/>
    </row>
    <row r="5353" spans="1:19" ht="13.8" hidden="1" thickBot="1" x14ac:dyDescent="0.3">
      <c r="A5353" t="s">
        <v>23</v>
      </c>
      <c r="B5353" s="49" t="str">
        <f t="shared" ref="B5353" si="3835">B5352</f>
        <v>hide</v>
      </c>
      <c r="D5353" s="58"/>
      <c r="E5353" s="58"/>
      <c r="F5353" s="52">
        <f>SUM(F5348:F5352)</f>
        <v>0</v>
      </c>
      <c r="G5353" s="52">
        <f>SUM(G5348:G5352)</f>
        <v>0</v>
      </c>
      <c r="H5353" s="52">
        <f>SUM(H5348:H5352)</f>
        <v>0</v>
      </c>
      <c r="I5353" s="52">
        <f>SUM(I5348:I5352)</f>
        <v>0</v>
      </c>
      <c r="J5353" s="52">
        <f>SUM(J5348:J5352)</f>
        <v>0</v>
      </c>
      <c r="K5353" s="52"/>
      <c r="L5353" s="51" t="s">
        <v>4</v>
      </c>
      <c r="M5353" s="58"/>
      <c r="N5353" s="58"/>
      <c r="O5353" s="58"/>
      <c r="P5353" s="58"/>
      <c r="Q5353" s="58"/>
      <c r="R5353" s="58"/>
      <c r="S5353" s="58"/>
    </row>
    <row r="5354" spans="1:19" s="59" customFormat="1" ht="18.75" hidden="1" customHeight="1" thickBot="1" x14ac:dyDescent="0.3">
      <c r="A5354" s="59" t="s">
        <v>23</v>
      </c>
      <c r="B5354" s="60" t="str">
        <f t="shared" ref="B5354:B5355" si="3836">IF(K5354=0,"hide","")</f>
        <v>hide</v>
      </c>
      <c r="D5354" s="61" t="str">
        <f>"98192"</f>
        <v>98192</v>
      </c>
      <c r="E5354" s="62" t="str">
        <f>"2"</f>
        <v>2</v>
      </c>
      <c r="F5354" s="63">
        <v>0</v>
      </c>
      <c r="G5354" s="63">
        <v>0</v>
      </c>
      <c r="H5354" s="63">
        <v>0</v>
      </c>
      <c r="I5354" s="63">
        <v>0</v>
      </c>
      <c r="J5354" s="63">
        <v>0</v>
      </c>
      <c r="K5354" s="63">
        <f>AVERAGE(I5354:J5354)</f>
        <v>0</v>
      </c>
      <c r="L5354" s="64" t="str">
        <f>"POPPY BAGELS"</f>
        <v>POPPY BAGELS</v>
      </c>
      <c r="M5354" s="65" t="str">
        <f>"60-4.5 oz. Bulk"</f>
        <v>60-4.5 oz. Bulk</v>
      </c>
      <c r="N5354" s="66">
        <v>60</v>
      </c>
      <c r="O5354" s="67" t="str">
        <f>""</f>
        <v/>
      </c>
      <c r="P5354" s="68" t="e">
        <f>1/O5354</f>
        <v>#VALUE!</v>
      </c>
      <c r="Q5354" s="53">
        <v>1</v>
      </c>
      <c r="R5354" s="69">
        <f t="shared" ref="R5354" si="3837">1/Q5354</f>
        <v>1</v>
      </c>
      <c r="S5354" s="70">
        <f t="shared" ref="S5354" si="3838">R5354*N5354</f>
        <v>60</v>
      </c>
    </row>
    <row r="5355" spans="1:19" ht="15.6" hidden="1" customHeight="1" thickBot="1" x14ac:dyDescent="0.3">
      <c r="A5355" t="s">
        <v>23</v>
      </c>
      <c r="B5355" s="60" t="str">
        <f t="shared" si="3836"/>
        <v>hide</v>
      </c>
      <c r="D5355" s="48" t="str">
        <f>D5354</f>
        <v>98192</v>
      </c>
      <c r="E5355" s="7"/>
      <c r="F5355" s="27">
        <v>0</v>
      </c>
      <c r="G5355" s="27">
        <v>0</v>
      </c>
      <c r="H5355" s="27">
        <v>0</v>
      </c>
      <c r="I5355" s="27">
        <v>0</v>
      </c>
      <c r="J5355" s="27">
        <v>0</v>
      </c>
      <c r="K5355" s="63">
        <f>AVERAGE(I5355:J5355)</f>
        <v>0</v>
      </c>
      <c r="L5355" s="56" t="str">
        <f>"EQP-LAWPACK1"</f>
        <v>EQP-LAWPACK1</v>
      </c>
      <c r="M5355" s="14"/>
      <c r="N5355" s="15"/>
      <c r="O5355" s="12"/>
      <c r="P5355" s="34"/>
      <c r="Q5355" s="37"/>
      <c r="R5355" s="47"/>
      <c r="S5355" s="46"/>
    </row>
    <row r="5356" spans="1:19" ht="15.6" hidden="1" customHeight="1" thickBot="1" x14ac:dyDescent="0.3">
      <c r="A5356" t="s">
        <v>23</v>
      </c>
      <c r="B5356" s="60" t="str">
        <f t="shared" ref="B5356:B5358" si="3839">IF(K5356=0,"hide","")</f>
        <v>hide</v>
      </c>
      <c r="D5356" s="48" t="str">
        <f>D5355</f>
        <v>98192</v>
      </c>
      <c r="E5356" s="7"/>
      <c r="F5356" s="27">
        <v>0</v>
      </c>
      <c r="G5356" s="27">
        <v>0</v>
      </c>
      <c r="H5356" s="27">
        <v>0</v>
      </c>
      <c r="I5356" s="27">
        <v>0</v>
      </c>
      <c r="J5356" s="27">
        <v>0</v>
      </c>
      <c r="K5356" s="63">
        <f>AVERAGE(I5356:J5356)</f>
        <v>0</v>
      </c>
      <c r="L5356" s="56" t="str">
        <f>"EQP-LAWPACK2"</f>
        <v>EQP-LAWPACK2</v>
      </c>
      <c r="M5356" s="14"/>
      <c r="N5356" s="15"/>
      <c r="O5356" s="12"/>
      <c r="P5356" s="34"/>
      <c r="Q5356" s="37"/>
      <c r="R5356" s="47"/>
      <c r="S5356" s="46"/>
    </row>
    <row r="5357" spans="1:19" ht="15.6" hidden="1" customHeight="1" thickBot="1" x14ac:dyDescent="0.3">
      <c r="A5357" t="s">
        <v>23</v>
      </c>
      <c r="B5357" s="60" t="str">
        <f t="shared" si="3839"/>
        <v>hide</v>
      </c>
      <c r="D5357" s="48" t="str">
        <f>D5356</f>
        <v>98192</v>
      </c>
      <c r="E5357" s="7"/>
      <c r="F5357" s="27">
        <v>0</v>
      </c>
      <c r="G5357" s="27">
        <v>0</v>
      </c>
      <c r="H5357" s="27">
        <v>0</v>
      </c>
      <c r="I5357" s="27">
        <v>0</v>
      </c>
      <c r="J5357" s="27">
        <v>0</v>
      </c>
      <c r="K5357" s="63">
        <f>AVERAGE(I5357:J5357)</f>
        <v>0</v>
      </c>
      <c r="L5357" s="56" t="str">
        <f>"SW-COMAS-PACKL"</f>
        <v>SW-COMAS-PACKL</v>
      </c>
      <c r="M5357" s="14"/>
      <c r="N5357" s="15"/>
      <c r="O5357" s="12"/>
      <c r="P5357" s="34"/>
      <c r="Q5357" s="37"/>
      <c r="R5357" s="47"/>
      <c r="S5357" s="46"/>
    </row>
    <row r="5358" spans="1:19" ht="15.6" hidden="1" customHeight="1" thickBot="1" x14ac:dyDescent="0.3">
      <c r="A5358" t="s">
        <v>23</v>
      </c>
      <c r="B5358" s="60" t="str">
        <f t="shared" si="3839"/>
        <v>hide</v>
      </c>
      <c r="D5358" s="48" t="str">
        <f>D5357</f>
        <v>98192</v>
      </c>
      <c r="E5358" s="7"/>
      <c r="F5358" s="27">
        <v>0</v>
      </c>
      <c r="G5358" s="27">
        <v>0</v>
      </c>
      <c r="H5358" s="27">
        <v>0</v>
      </c>
      <c r="I5358" s="27">
        <v>0</v>
      </c>
      <c r="J5358" s="27">
        <v>0</v>
      </c>
      <c r="K5358" s="63">
        <f>AVERAGE(I5358:J5358)</f>
        <v>0</v>
      </c>
      <c r="L5358" s="56" t="str">
        <f>"SW-RISER-PACK"</f>
        <v>SW-RISER-PACK</v>
      </c>
      <c r="M5358" s="14"/>
      <c r="N5358" s="15"/>
      <c r="O5358" s="12"/>
      <c r="P5358" s="34"/>
      <c r="Q5358" s="37"/>
      <c r="R5358" s="47"/>
      <c r="S5358" s="46"/>
    </row>
    <row r="5359" spans="1:19" ht="12" hidden="1" customHeight="1" x14ac:dyDescent="0.3">
      <c r="A5359" s="35" t="s">
        <v>908</v>
      </c>
      <c r="B5359" s="49" t="str">
        <f>B5355</f>
        <v>hide</v>
      </c>
      <c r="N5359"/>
      <c r="Q5359" s="33"/>
    </row>
    <row r="5360" spans="1:19" ht="13.8" hidden="1" thickBot="1" x14ac:dyDescent="0.3">
      <c r="A5360" t="s">
        <v>23</v>
      </c>
      <c r="B5360" s="49" t="str">
        <f t="shared" ref="B5360" si="3840">B5359</f>
        <v>hide</v>
      </c>
      <c r="D5360" s="58"/>
      <c r="E5360" s="58"/>
      <c r="F5360" s="52">
        <f>SUM(F5355:F5359)</f>
        <v>0</v>
      </c>
      <c r="G5360" s="52">
        <f>SUM(G5355:G5359)</f>
        <v>0</v>
      </c>
      <c r="H5360" s="52">
        <f>SUM(H5355:H5359)</f>
        <v>0</v>
      </c>
      <c r="I5360" s="52">
        <f>SUM(I5355:I5359)</f>
        <v>0</v>
      </c>
      <c r="J5360" s="52">
        <f>SUM(J5355:J5359)</f>
        <v>0</v>
      </c>
      <c r="K5360" s="52"/>
      <c r="L5360" s="51" t="s">
        <v>4</v>
      </c>
      <c r="M5360" s="58"/>
      <c r="N5360" s="58"/>
      <c r="O5360" s="58"/>
      <c r="P5360" s="58"/>
      <c r="Q5360" s="58"/>
      <c r="R5360" s="58"/>
      <c r="S5360" s="58"/>
    </row>
    <row r="5361" spans="1:19" s="59" customFormat="1" ht="18.75" hidden="1" customHeight="1" thickBot="1" x14ac:dyDescent="0.3">
      <c r="A5361" s="59" t="s">
        <v>23</v>
      </c>
      <c r="B5361" s="60" t="str">
        <f t="shared" ref="B5361:B5362" si="3841">IF(K5361=0,"hide","")</f>
        <v>hide</v>
      </c>
      <c r="D5361" s="61" t="str">
        <f>"98195"</f>
        <v>98195</v>
      </c>
      <c r="E5361" s="62" t="str">
        <f>"3"</f>
        <v>3</v>
      </c>
      <c r="F5361" s="63">
        <v>20.833333333333332</v>
      </c>
      <c r="G5361" s="63">
        <v>2.75</v>
      </c>
      <c r="H5361" s="63">
        <v>0</v>
      </c>
      <c r="I5361" s="63">
        <v>0</v>
      </c>
      <c r="J5361" s="63">
        <v>0</v>
      </c>
      <c r="K5361" s="63">
        <f>AVERAGE(I5361:J5361)</f>
        <v>0</v>
      </c>
      <c r="L5361" s="64" t="str">
        <f>"HONEY WHEAT BAGELS"</f>
        <v>HONEY WHEAT BAGELS</v>
      </c>
      <c r="M5361" s="65" t="str">
        <f>"60-4.5 oz. Bulk"</f>
        <v>60-4.5 oz. Bulk</v>
      </c>
      <c r="N5361" s="66">
        <v>60</v>
      </c>
      <c r="O5361" s="67" t="str">
        <f>""</f>
        <v/>
      </c>
      <c r="P5361" s="68" t="e">
        <f>1/O5361</f>
        <v>#VALUE!</v>
      </c>
      <c r="Q5361" s="53">
        <v>1</v>
      </c>
      <c r="R5361" s="69">
        <f t="shared" ref="R5361" si="3842">1/Q5361</f>
        <v>1</v>
      </c>
      <c r="S5361" s="70">
        <f t="shared" ref="S5361" si="3843">R5361*N5361</f>
        <v>60</v>
      </c>
    </row>
    <row r="5362" spans="1:19" ht="15.6" hidden="1" customHeight="1" thickBot="1" x14ac:dyDescent="0.3">
      <c r="A5362" t="s">
        <v>23</v>
      </c>
      <c r="B5362" s="60" t="str">
        <f t="shared" si="3841"/>
        <v>hide</v>
      </c>
      <c r="D5362" s="48" t="str">
        <f>D5361</f>
        <v>98195</v>
      </c>
      <c r="E5362" s="7"/>
      <c r="F5362" s="27">
        <v>0</v>
      </c>
      <c r="G5362" s="27">
        <v>0</v>
      </c>
      <c r="H5362" s="27">
        <v>0</v>
      </c>
      <c r="I5362" s="27">
        <v>0</v>
      </c>
      <c r="J5362" s="27">
        <v>0</v>
      </c>
      <c r="K5362" s="63">
        <f>AVERAGE(I5362:J5362)</f>
        <v>0</v>
      </c>
      <c r="L5362" s="56" t="str">
        <f>"EQP-LAWPACK1"</f>
        <v>EQP-LAWPACK1</v>
      </c>
      <c r="M5362" s="14"/>
      <c r="N5362" s="15"/>
      <c r="O5362" s="12"/>
      <c r="P5362" s="34"/>
      <c r="Q5362" s="37"/>
      <c r="R5362" s="47"/>
      <c r="S5362" s="46"/>
    </row>
    <row r="5363" spans="1:19" ht="15.6" hidden="1" customHeight="1" thickBot="1" x14ac:dyDescent="0.3">
      <c r="A5363" t="s">
        <v>23</v>
      </c>
      <c r="B5363" s="60" t="str">
        <f t="shared" ref="B5363:B5365" si="3844">IF(K5363=0,"hide","")</f>
        <v>hide</v>
      </c>
      <c r="D5363" s="48" t="str">
        <f>D5362</f>
        <v>98195</v>
      </c>
      <c r="E5363" s="7"/>
      <c r="F5363" s="27">
        <v>0</v>
      </c>
      <c r="G5363" s="27">
        <v>0</v>
      </c>
      <c r="H5363" s="27">
        <v>0</v>
      </c>
      <c r="I5363" s="27">
        <v>0</v>
      </c>
      <c r="J5363" s="27">
        <v>0</v>
      </c>
      <c r="K5363" s="63">
        <f>AVERAGE(I5363:J5363)</f>
        <v>0</v>
      </c>
      <c r="L5363" s="56" t="str">
        <f>"EQP-LAWPACK2"</f>
        <v>EQP-LAWPACK2</v>
      </c>
      <c r="M5363" s="14"/>
      <c r="N5363" s="15"/>
      <c r="O5363" s="12"/>
      <c r="P5363" s="34"/>
      <c r="Q5363" s="37"/>
      <c r="R5363" s="47"/>
      <c r="S5363" s="46"/>
    </row>
    <row r="5364" spans="1:19" ht="15.6" hidden="1" customHeight="1" thickBot="1" x14ac:dyDescent="0.3">
      <c r="A5364" t="s">
        <v>23</v>
      </c>
      <c r="B5364" s="60" t="str">
        <f t="shared" si="3844"/>
        <v>hide</v>
      </c>
      <c r="D5364" s="48" t="str">
        <f>D5363</f>
        <v>98195</v>
      </c>
      <c r="E5364" s="7"/>
      <c r="F5364" s="27">
        <v>0</v>
      </c>
      <c r="G5364" s="27">
        <v>0</v>
      </c>
      <c r="H5364" s="27">
        <v>0</v>
      </c>
      <c r="I5364" s="27">
        <v>0</v>
      </c>
      <c r="J5364" s="27">
        <v>0</v>
      </c>
      <c r="K5364" s="63">
        <f>AVERAGE(I5364:J5364)</f>
        <v>0</v>
      </c>
      <c r="L5364" s="56" t="str">
        <f>"SW-COMAS-PACKL"</f>
        <v>SW-COMAS-PACKL</v>
      </c>
      <c r="M5364" s="14"/>
      <c r="N5364" s="15"/>
      <c r="O5364" s="12"/>
      <c r="P5364" s="34"/>
      <c r="Q5364" s="37"/>
      <c r="R5364" s="47"/>
      <c r="S5364" s="46"/>
    </row>
    <row r="5365" spans="1:19" ht="15.6" hidden="1" customHeight="1" thickBot="1" x14ac:dyDescent="0.3">
      <c r="A5365" t="s">
        <v>23</v>
      </c>
      <c r="B5365" s="60" t="str">
        <f t="shared" si="3844"/>
        <v>hide</v>
      </c>
      <c r="D5365" s="48" t="str">
        <f>D5364</f>
        <v>98195</v>
      </c>
      <c r="E5365" s="7"/>
      <c r="F5365" s="27">
        <v>0</v>
      </c>
      <c r="G5365" s="27">
        <v>0</v>
      </c>
      <c r="H5365" s="27">
        <v>0</v>
      </c>
      <c r="I5365" s="27">
        <v>0</v>
      </c>
      <c r="J5365" s="27">
        <v>0</v>
      </c>
      <c r="K5365" s="63">
        <f>AVERAGE(I5365:J5365)</f>
        <v>0</v>
      </c>
      <c r="L5365" s="56" t="str">
        <f>"SW-RISER-PACK"</f>
        <v>SW-RISER-PACK</v>
      </c>
      <c r="M5365" s="14"/>
      <c r="N5365" s="15"/>
      <c r="O5365" s="12"/>
      <c r="P5365" s="34"/>
      <c r="Q5365" s="37"/>
      <c r="R5365" s="47"/>
      <c r="S5365" s="46"/>
    </row>
    <row r="5366" spans="1:19" ht="12" hidden="1" customHeight="1" x14ac:dyDescent="0.3">
      <c r="A5366" s="35" t="s">
        <v>908</v>
      </c>
      <c r="B5366" s="49" t="str">
        <f>B5362</f>
        <v>hide</v>
      </c>
      <c r="N5366"/>
      <c r="Q5366" s="33"/>
    </row>
    <row r="5367" spans="1:19" ht="13.8" hidden="1" thickBot="1" x14ac:dyDescent="0.3">
      <c r="A5367" t="s">
        <v>23</v>
      </c>
      <c r="B5367" s="49" t="str">
        <f t="shared" ref="B5367" si="3845">B5366</f>
        <v>hide</v>
      </c>
      <c r="D5367" s="58"/>
      <c r="E5367" s="58"/>
      <c r="F5367" s="52">
        <f>SUM(F5362:F5366)</f>
        <v>0</v>
      </c>
      <c r="G5367" s="52">
        <f>SUM(G5362:G5366)</f>
        <v>0</v>
      </c>
      <c r="H5367" s="52">
        <f>SUM(H5362:H5366)</f>
        <v>0</v>
      </c>
      <c r="I5367" s="52">
        <f>SUM(I5362:I5366)</f>
        <v>0</v>
      </c>
      <c r="J5367" s="52">
        <f>SUM(J5362:J5366)</f>
        <v>0</v>
      </c>
      <c r="K5367" s="52"/>
      <c r="L5367" s="51" t="s">
        <v>4</v>
      </c>
      <c r="M5367" s="58"/>
      <c r="N5367" s="58"/>
      <c r="O5367" s="58"/>
      <c r="P5367" s="58"/>
      <c r="Q5367" s="58"/>
      <c r="R5367" s="58"/>
      <c r="S5367" s="58"/>
    </row>
    <row r="5368" spans="1:19" s="59" customFormat="1" ht="18.75" customHeight="1" thickBot="1" x14ac:dyDescent="0.3">
      <c r="A5368" s="59" t="s">
        <v>23</v>
      </c>
      <c r="B5368" s="60" t="str">
        <f t="shared" ref="B5368:B5369" si="3846">IF(K5368=0,"hide","")</f>
        <v/>
      </c>
      <c r="D5368" s="61" t="str">
        <f>"99100"</f>
        <v>99100</v>
      </c>
      <c r="E5368" s="62" t="str">
        <f>"3"</f>
        <v>3</v>
      </c>
      <c r="F5368" s="63">
        <v>345.08333333333331</v>
      </c>
      <c r="G5368" s="63">
        <v>161.25</v>
      </c>
      <c r="H5368" s="63">
        <v>77.999999999999986</v>
      </c>
      <c r="I5368" s="63">
        <v>164.66666666666666</v>
      </c>
      <c r="J5368" s="63">
        <v>0</v>
      </c>
      <c r="K5368" s="63">
        <f>AVERAGE(I5368:J5368)</f>
        <v>82.333333333333329</v>
      </c>
      <c r="L5368" s="64" t="str">
        <f>"PLAIN,RAISIN,POPPY,SESAME"</f>
        <v>PLAIN,RAISIN,POPPY,SESAME</v>
      </c>
      <c r="M5368" s="65" t="str">
        <f>"72-4 oz. 12-6pk Bagels"</f>
        <v>72-4 oz. 12-6pk Bagels</v>
      </c>
      <c r="N5368" s="66">
        <v>72</v>
      </c>
      <c r="O5368" s="67" t="str">
        <f>""</f>
        <v/>
      </c>
      <c r="P5368" s="68" t="e">
        <f>1/O5368</f>
        <v>#VALUE!</v>
      </c>
      <c r="Q5368" s="53">
        <v>1</v>
      </c>
      <c r="R5368" s="69">
        <f t="shared" ref="R5368" si="3847">1/Q5368</f>
        <v>1</v>
      </c>
      <c r="S5368" s="70">
        <f t="shared" ref="S5368" si="3848">R5368*N5368</f>
        <v>72</v>
      </c>
    </row>
    <row r="5369" spans="1:19" ht="15.6" hidden="1" customHeight="1" thickBot="1" x14ac:dyDescent="0.3">
      <c r="A5369" t="s">
        <v>23</v>
      </c>
      <c r="B5369" s="60" t="str">
        <f t="shared" si="3846"/>
        <v>hide</v>
      </c>
      <c r="D5369" s="48" t="str">
        <f>D5368</f>
        <v>99100</v>
      </c>
      <c r="E5369" s="7"/>
      <c r="F5369" s="27">
        <v>0</v>
      </c>
      <c r="G5369" s="27">
        <v>0</v>
      </c>
      <c r="H5369" s="27">
        <v>0</v>
      </c>
      <c r="I5369" s="27">
        <v>0</v>
      </c>
      <c r="J5369" s="27">
        <v>0</v>
      </c>
      <c r="K5369" s="63">
        <f>AVERAGE(I5369:J5369)</f>
        <v>0</v>
      </c>
      <c r="L5369" s="56" t="str">
        <f>"EQP-LAWPACK1"</f>
        <v>EQP-LAWPACK1</v>
      </c>
      <c r="M5369" s="14"/>
      <c r="N5369" s="15"/>
      <c r="O5369" s="12"/>
      <c r="P5369" s="34"/>
      <c r="Q5369" s="37"/>
      <c r="R5369" s="47"/>
      <c r="S5369" s="46"/>
    </row>
    <row r="5370" spans="1:19" ht="15.6" hidden="1" customHeight="1" thickBot="1" x14ac:dyDescent="0.3">
      <c r="A5370" t="s">
        <v>23</v>
      </c>
      <c r="B5370" s="60" t="str">
        <f t="shared" ref="B5370:B5372" si="3849">IF(K5370=0,"hide","")</f>
        <v>hide</v>
      </c>
      <c r="D5370" s="48" t="str">
        <f>D5369</f>
        <v>99100</v>
      </c>
      <c r="E5370" s="7"/>
      <c r="F5370" s="27">
        <v>0</v>
      </c>
      <c r="G5370" s="27">
        <v>0</v>
      </c>
      <c r="H5370" s="27">
        <v>0</v>
      </c>
      <c r="I5370" s="27">
        <v>0</v>
      </c>
      <c r="J5370" s="27">
        <v>0</v>
      </c>
      <c r="K5370" s="63">
        <f>AVERAGE(I5370:J5370)</f>
        <v>0</v>
      </c>
      <c r="L5370" s="56" t="str">
        <f>"EQP-LAWPACK2"</f>
        <v>EQP-LAWPACK2</v>
      </c>
      <c r="M5370" s="14"/>
      <c r="N5370" s="15"/>
      <c r="O5370" s="12"/>
      <c r="P5370" s="34"/>
      <c r="Q5370" s="37"/>
      <c r="R5370" s="47"/>
      <c r="S5370" s="46"/>
    </row>
    <row r="5371" spans="1:19" ht="15.6" hidden="1" customHeight="1" thickBot="1" x14ac:dyDescent="0.3">
      <c r="A5371" t="s">
        <v>23</v>
      </c>
      <c r="B5371" s="60" t="str">
        <f t="shared" si="3849"/>
        <v>hide</v>
      </c>
      <c r="D5371" s="48" t="str">
        <f>D5370</f>
        <v>99100</v>
      </c>
      <c r="E5371" s="7"/>
      <c r="F5371" s="27">
        <v>0</v>
      </c>
      <c r="G5371" s="27">
        <v>0</v>
      </c>
      <c r="H5371" s="27">
        <v>0</v>
      </c>
      <c r="I5371" s="27">
        <v>0</v>
      </c>
      <c r="J5371" s="27">
        <v>0</v>
      </c>
      <c r="K5371" s="63">
        <f>AVERAGE(I5371:J5371)</f>
        <v>0</v>
      </c>
      <c r="L5371" s="56" t="str">
        <f>"SW-COMAS-PACKL"</f>
        <v>SW-COMAS-PACKL</v>
      </c>
      <c r="M5371" s="14"/>
      <c r="N5371" s="15"/>
      <c r="O5371" s="12"/>
      <c r="P5371" s="34"/>
      <c r="Q5371" s="37"/>
      <c r="R5371" s="47"/>
      <c r="S5371" s="46"/>
    </row>
    <row r="5372" spans="1:19" ht="15.6" hidden="1" customHeight="1" thickBot="1" x14ac:dyDescent="0.3">
      <c r="A5372" t="s">
        <v>23</v>
      </c>
      <c r="B5372" s="60" t="str">
        <f t="shared" si="3849"/>
        <v>hide</v>
      </c>
      <c r="D5372" s="48" t="str">
        <f>D5371</f>
        <v>99100</v>
      </c>
      <c r="E5372" s="7"/>
      <c r="F5372" s="27">
        <v>0</v>
      </c>
      <c r="G5372" s="27">
        <v>0</v>
      </c>
      <c r="H5372" s="27">
        <v>0</v>
      </c>
      <c r="I5372" s="27">
        <v>0</v>
      </c>
      <c r="J5372" s="27">
        <v>0</v>
      </c>
      <c r="K5372" s="63">
        <f>AVERAGE(I5372:J5372)</f>
        <v>0</v>
      </c>
      <c r="L5372" s="56" t="str">
        <f>"SW-RISER-PACK"</f>
        <v>SW-RISER-PACK</v>
      </c>
      <c r="M5372" s="14"/>
      <c r="N5372" s="15"/>
      <c r="O5372" s="12"/>
      <c r="P5372" s="34"/>
      <c r="Q5372" s="37"/>
      <c r="R5372" s="47"/>
      <c r="S5372" s="46"/>
    </row>
    <row r="5373" spans="1:19" ht="12" hidden="1" customHeight="1" x14ac:dyDescent="0.3">
      <c r="A5373" s="35" t="s">
        <v>908</v>
      </c>
      <c r="B5373" s="49" t="str">
        <f>B5369</f>
        <v>hide</v>
      </c>
      <c r="N5373"/>
      <c r="Q5373" s="33"/>
    </row>
    <row r="5374" spans="1:19" ht="13.8" hidden="1" thickBot="1" x14ac:dyDescent="0.3">
      <c r="A5374" t="s">
        <v>23</v>
      </c>
      <c r="B5374" s="49" t="str">
        <f t="shared" ref="B5374" si="3850">B5373</f>
        <v>hide</v>
      </c>
      <c r="D5374" s="58"/>
      <c r="E5374" s="58"/>
      <c r="F5374" s="52">
        <f>SUM(F5369:F5373)</f>
        <v>0</v>
      </c>
      <c r="G5374" s="52">
        <f>SUM(G5369:G5373)</f>
        <v>0</v>
      </c>
      <c r="H5374" s="52">
        <f>SUM(H5369:H5373)</f>
        <v>0</v>
      </c>
      <c r="I5374" s="52">
        <f>SUM(I5369:I5373)</f>
        <v>0</v>
      </c>
      <c r="J5374" s="52">
        <f>SUM(J5369:J5373)</f>
        <v>0</v>
      </c>
      <c r="K5374" s="52"/>
      <c r="L5374" s="51" t="s">
        <v>4</v>
      </c>
      <c r="M5374" s="58"/>
      <c r="N5374" s="58"/>
      <c r="O5374" s="58"/>
      <c r="P5374" s="58"/>
      <c r="Q5374" s="58"/>
      <c r="R5374" s="58"/>
      <c r="S5374" s="58"/>
    </row>
    <row r="5375" spans="1:19" s="59" customFormat="1" ht="18.75" hidden="1" customHeight="1" thickBot="1" x14ac:dyDescent="0.3">
      <c r="A5375" s="59" t="s">
        <v>23</v>
      </c>
      <c r="B5375" s="60" t="str">
        <f t="shared" ref="B5375:B5376" si="3851">IF(K5375=0,"hide","")</f>
        <v>hide</v>
      </c>
      <c r="D5375" s="61" t="str">
        <f>"99101"</f>
        <v>99101</v>
      </c>
      <c r="E5375" s="62" t="str">
        <f>"2"</f>
        <v>2</v>
      </c>
      <c r="F5375" s="63">
        <v>2.25</v>
      </c>
      <c r="G5375" s="63">
        <v>0</v>
      </c>
      <c r="H5375" s="63">
        <v>0</v>
      </c>
      <c r="I5375" s="63">
        <v>0</v>
      </c>
      <c r="J5375" s="63">
        <v>0</v>
      </c>
      <c r="K5375" s="63">
        <f>AVERAGE(I5375:J5375)</f>
        <v>0</v>
      </c>
      <c r="L5375" s="64" t="str">
        <f>"BLUEBERRY BAGELS SLICED"</f>
        <v>BLUEBERRY BAGELS SLICED</v>
      </c>
      <c r="M5375" s="65" t="str">
        <f>"72-4 oz. 12-6 Pack"</f>
        <v>72-4 oz. 12-6 Pack</v>
      </c>
      <c r="N5375" s="66">
        <v>72</v>
      </c>
      <c r="O5375" s="67" t="str">
        <f>""</f>
        <v/>
      </c>
      <c r="P5375" s="68" t="e">
        <f>1/O5375</f>
        <v>#VALUE!</v>
      </c>
      <c r="Q5375" s="53">
        <v>1</v>
      </c>
      <c r="R5375" s="69">
        <f t="shared" ref="R5375" si="3852">1/Q5375</f>
        <v>1</v>
      </c>
      <c r="S5375" s="70">
        <f t="shared" ref="S5375" si="3853">R5375*N5375</f>
        <v>72</v>
      </c>
    </row>
    <row r="5376" spans="1:19" ht="15.6" hidden="1" customHeight="1" thickBot="1" x14ac:dyDescent="0.3">
      <c r="A5376" t="s">
        <v>23</v>
      </c>
      <c r="B5376" s="60" t="str">
        <f t="shared" si="3851"/>
        <v>hide</v>
      </c>
      <c r="D5376" s="48" t="str">
        <f>D5375</f>
        <v>99101</v>
      </c>
      <c r="E5376" s="7"/>
      <c r="F5376" s="27">
        <v>0</v>
      </c>
      <c r="G5376" s="27">
        <v>0</v>
      </c>
      <c r="H5376" s="27">
        <v>0</v>
      </c>
      <c r="I5376" s="27">
        <v>0</v>
      </c>
      <c r="J5376" s="27">
        <v>0</v>
      </c>
      <c r="K5376" s="63">
        <f>AVERAGE(I5376:J5376)</f>
        <v>0</v>
      </c>
      <c r="L5376" s="56" t="str">
        <f>"EQP-LAWPACK1"</f>
        <v>EQP-LAWPACK1</v>
      </c>
      <c r="M5376" s="14"/>
      <c r="N5376" s="15"/>
      <c r="O5376" s="12"/>
      <c r="P5376" s="34"/>
      <c r="Q5376" s="37"/>
      <c r="R5376" s="47"/>
      <c r="S5376" s="46"/>
    </row>
    <row r="5377" spans="1:19" ht="15.6" hidden="1" customHeight="1" thickBot="1" x14ac:dyDescent="0.3">
      <c r="A5377" t="s">
        <v>23</v>
      </c>
      <c r="B5377" s="60" t="str">
        <f t="shared" ref="B5377:B5379" si="3854">IF(K5377=0,"hide","")</f>
        <v>hide</v>
      </c>
      <c r="D5377" s="48" t="str">
        <f>D5376</f>
        <v>99101</v>
      </c>
      <c r="E5377" s="7"/>
      <c r="F5377" s="27">
        <v>0</v>
      </c>
      <c r="G5377" s="27">
        <v>0</v>
      </c>
      <c r="H5377" s="27">
        <v>0</v>
      </c>
      <c r="I5377" s="27">
        <v>0</v>
      </c>
      <c r="J5377" s="27">
        <v>0</v>
      </c>
      <c r="K5377" s="63">
        <f>AVERAGE(I5377:J5377)</f>
        <v>0</v>
      </c>
      <c r="L5377" s="56" t="str">
        <f>"EQP-LAWPACK2"</f>
        <v>EQP-LAWPACK2</v>
      </c>
      <c r="M5377" s="14"/>
      <c r="N5377" s="15"/>
      <c r="O5377" s="12"/>
      <c r="P5377" s="34"/>
      <c r="Q5377" s="37"/>
      <c r="R5377" s="47"/>
      <c r="S5377" s="46"/>
    </row>
    <row r="5378" spans="1:19" ht="15.6" hidden="1" customHeight="1" thickBot="1" x14ac:dyDescent="0.3">
      <c r="A5378" t="s">
        <v>23</v>
      </c>
      <c r="B5378" s="60" t="str">
        <f t="shared" si="3854"/>
        <v>hide</v>
      </c>
      <c r="D5378" s="48" t="str">
        <f>D5377</f>
        <v>99101</v>
      </c>
      <c r="E5378" s="7"/>
      <c r="F5378" s="27">
        <v>0</v>
      </c>
      <c r="G5378" s="27">
        <v>0</v>
      </c>
      <c r="H5378" s="27">
        <v>0</v>
      </c>
      <c r="I5378" s="27">
        <v>0</v>
      </c>
      <c r="J5378" s="27">
        <v>0</v>
      </c>
      <c r="K5378" s="63">
        <f>AVERAGE(I5378:J5378)</f>
        <v>0</v>
      </c>
      <c r="L5378" s="56" t="str">
        <f>"SW-COMAS-PACKL"</f>
        <v>SW-COMAS-PACKL</v>
      </c>
      <c r="M5378" s="14"/>
      <c r="N5378" s="15"/>
      <c r="O5378" s="12"/>
      <c r="P5378" s="34"/>
      <c r="Q5378" s="37"/>
      <c r="R5378" s="47"/>
      <c r="S5378" s="46"/>
    </row>
    <row r="5379" spans="1:19" ht="15.6" hidden="1" customHeight="1" thickBot="1" x14ac:dyDescent="0.3">
      <c r="A5379" t="s">
        <v>23</v>
      </c>
      <c r="B5379" s="60" t="str">
        <f t="shared" si="3854"/>
        <v>hide</v>
      </c>
      <c r="D5379" s="48" t="str">
        <f>D5378</f>
        <v>99101</v>
      </c>
      <c r="E5379" s="7"/>
      <c r="F5379" s="27">
        <v>0</v>
      </c>
      <c r="G5379" s="27">
        <v>0</v>
      </c>
      <c r="H5379" s="27">
        <v>0</v>
      </c>
      <c r="I5379" s="27">
        <v>0</v>
      </c>
      <c r="J5379" s="27">
        <v>0</v>
      </c>
      <c r="K5379" s="63">
        <f>AVERAGE(I5379:J5379)</f>
        <v>0</v>
      </c>
      <c r="L5379" s="56" t="str">
        <f>"SW-RISER-PACK"</f>
        <v>SW-RISER-PACK</v>
      </c>
      <c r="M5379" s="14"/>
      <c r="N5379" s="15"/>
      <c r="O5379" s="12"/>
      <c r="P5379" s="34"/>
      <c r="Q5379" s="37"/>
      <c r="R5379" s="47"/>
      <c r="S5379" s="46"/>
    </row>
    <row r="5380" spans="1:19" ht="12" hidden="1" customHeight="1" x14ac:dyDescent="0.3">
      <c r="A5380" s="35" t="s">
        <v>908</v>
      </c>
      <c r="B5380" s="49" t="str">
        <f>B5376</f>
        <v>hide</v>
      </c>
      <c r="N5380"/>
      <c r="Q5380" s="33"/>
    </row>
    <row r="5381" spans="1:19" ht="13.8" hidden="1" thickBot="1" x14ac:dyDescent="0.3">
      <c r="A5381" t="s">
        <v>23</v>
      </c>
      <c r="B5381" s="49" t="str">
        <f t="shared" ref="B5381" si="3855">B5380</f>
        <v>hide</v>
      </c>
      <c r="D5381" s="58"/>
      <c r="E5381" s="58"/>
      <c r="F5381" s="52">
        <f>SUM(F5376:F5380)</f>
        <v>0</v>
      </c>
      <c r="G5381" s="52">
        <f>SUM(G5376:G5380)</f>
        <v>0</v>
      </c>
      <c r="H5381" s="52">
        <f>SUM(H5376:H5380)</f>
        <v>0</v>
      </c>
      <c r="I5381" s="52">
        <f>SUM(I5376:I5380)</f>
        <v>0</v>
      </c>
      <c r="J5381" s="52">
        <f>SUM(J5376:J5380)</f>
        <v>0</v>
      </c>
      <c r="K5381" s="52"/>
      <c r="L5381" s="51" t="s">
        <v>4</v>
      </c>
      <c r="M5381" s="58"/>
      <c r="N5381" s="58"/>
      <c r="O5381" s="58"/>
      <c r="P5381" s="58"/>
      <c r="Q5381" s="58"/>
      <c r="R5381" s="58"/>
      <c r="S5381" s="58"/>
    </row>
    <row r="5382" spans="1:19" s="59" customFormat="1" ht="18.75" hidden="1" customHeight="1" thickBot="1" x14ac:dyDescent="0.3">
      <c r="A5382" s="59" t="s">
        <v>23</v>
      </c>
      <c r="B5382" s="60" t="str">
        <f t="shared" ref="B5382:B5383" si="3856">IF(K5382=0,"hide","")</f>
        <v>hide</v>
      </c>
      <c r="D5382" s="61" t="str">
        <f>"99116"</f>
        <v>99116</v>
      </c>
      <c r="E5382" s="62" t="str">
        <f>"2"</f>
        <v>2</v>
      </c>
      <c r="F5382" s="63">
        <v>1.5</v>
      </c>
      <c r="G5382" s="63">
        <v>0</v>
      </c>
      <c r="H5382" s="63">
        <v>0</v>
      </c>
      <c r="I5382" s="63">
        <v>0</v>
      </c>
      <c r="J5382" s="63">
        <v>0</v>
      </c>
      <c r="K5382" s="63">
        <f>AVERAGE(I5382:J5382)</f>
        <v>0</v>
      </c>
      <c r="L5382" s="64" t="str">
        <f>"CINNAMON RAISIN BAGELS SLICED"</f>
        <v>CINNAMON RAISIN BAGELS SLICED</v>
      </c>
      <c r="M5382" s="65" t="str">
        <f>"72-4 oz. 12-6 Pack"</f>
        <v>72-4 oz. 12-6 Pack</v>
      </c>
      <c r="N5382" s="66">
        <v>72</v>
      </c>
      <c r="O5382" s="67" t="str">
        <f>""</f>
        <v/>
      </c>
      <c r="P5382" s="68" t="e">
        <f>1/O5382</f>
        <v>#VALUE!</v>
      </c>
      <c r="Q5382" s="53">
        <v>1</v>
      </c>
      <c r="R5382" s="69">
        <f t="shared" ref="R5382" si="3857">1/Q5382</f>
        <v>1</v>
      </c>
      <c r="S5382" s="70">
        <f t="shared" ref="S5382" si="3858">R5382*N5382</f>
        <v>72</v>
      </c>
    </row>
    <row r="5383" spans="1:19" ht="15.6" hidden="1" customHeight="1" thickBot="1" x14ac:dyDescent="0.3">
      <c r="A5383" t="s">
        <v>23</v>
      </c>
      <c r="B5383" s="60" t="str">
        <f t="shared" si="3856"/>
        <v>hide</v>
      </c>
      <c r="D5383" s="48" t="str">
        <f>D5382</f>
        <v>99116</v>
      </c>
      <c r="E5383" s="7"/>
      <c r="F5383" s="27">
        <v>0</v>
      </c>
      <c r="G5383" s="27">
        <v>0</v>
      </c>
      <c r="H5383" s="27">
        <v>0</v>
      </c>
      <c r="I5383" s="27">
        <v>0</v>
      </c>
      <c r="J5383" s="27">
        <v>0</v>
      </c>
      <c r="K5383" s="63">
        <f>AVERAGE(I5383:J5383)</f>
        <v>0</v>
      </c>
      <c r="L5383" s="56" t="str">
        <f>"EQP-LAWPACK1"</f>
        <v>EQP-LAWPACK1</v>
      </c>
      <c r="M5383" s="14"/>
      <c r="N5383" s="15"/>
      <c r="O5383" s="12"/>
      <c r="P5383" s="34"/>
      <c r="Q5383" s="37"/>
      <c r="R5383" s="47"/>
      <c r="S5383" s="46"/>
    </row>
    <row r="5384" spans="1:19" ht="15.6" hidden="1" customHeight="1" thickBot="1" x14ac:dyDescent="0.3">
      <c r="A5384" t="s">
        <v>23</v>
      </c>
      <c r="B5384" s="60" t="str">
        <f t="shared" ref="B5384:B5386" si="3859">IF(K5384=0,"hide","")</f>
        <v>hide</v>
      </c>
      <c r="D5384" s="48" t="str">
        <f>D5383</f>
        <v>99116</v>
      </c>
      <c r="E5384" s="7"/>
      <c r="F5384" s="27">
        <v>0</v>
      </c>
      <c r="G5384" s="27">
        <v>0</v>
      </c>
      <c r="H5384" s="27">
        <v>0</v>
      </c>
      <c r="I5384" s="27">
        <v>0</v>
      </c>
      <c r="J5384" s="27">
        <v>0</v>
      </c>
      <c r="K5384" s="63">
        <f>AVERAGE(I5384:J5384)</f>
        <v>0</v>
      </c>
      <c r="L5384" s="56" t="str">
        <f>"EQP-LAWPACK2"</f>
        <v>EQP-LAWPACK2</v>
      </c>
      <c r="M5384" s="14"/>
      <c r="N5384" s="15"/>
      <c r="O5384" s="12"/>
      <c r="P5384" s="34"/>
      <c r="Q5384" s="37"/>
      <c r="R5384" s="47"/>
      <c r="S5384" s="46"/>
    </row>
    <row r="5385" spans="1:19" ht="15.6" hidden="1" customHeight="1" thickBot="1" x14ac:dyDescent="0.3">
      <c r="A5385" t="s">
        <v>23</v>
      </c>
      <c r="B5385" s="60" t="str">
        <f t="shared" si="3859"/>
        <v>hide</v>
      </c>
      <c r="D5385" s="48" t="str">
        <f>D5384</f>
        <v>99116</v>
      </c>
      <c r="E5385" s="7"/>
      <c r="F5385" s="27">
        <v>0</v>
      </c>
      <c r="G5385" s="27">
        <v>0</v>
      </c>
      <c r="H5385" s="27">
        <v>0</v>
      </c>
      <c r="I5385" s="27">
        <v>0</v>
      </c>
      <c r="J5385" s="27">
        <v>0</v>
      </c>
      <c r="K5385" s="63">
        <f>AVERAGE(I5385:J5385)</f>
        <v>0</v>
      </c>
      <c r="L5385" s="56" t="str">
        <f>"SW-COMAS-PACKL"</f>
        <v>SW-COMAS-PACKL</v>
      </c>
      <c r="M5385" s="14"/>
      <c r="N5385" s="15"/>
      <c r="O5385" s="12"/>
      <c r="P5385" s="34"/>
      <c r="Q5385" s="37"/>
      <c r="R5385" s="47"/>
      <c r="S5385" s="46"/>
    </row>
    <row r="5386" spans="1:19" ht="15.6" hidden="1" customHeight="1" thickBot="1" x14ac:dyDescent="0.3">
      <c r="A5386" t="s">
        <v>23</v>
      </c>
      <c r="B5386" s="60" t="str">
        <f t="shared" si="3859"/>
        <v>hide</v>
      </c>
      <c r="D5386" s="48" t="str">
        <f>D5385</f>
        <v>99116</v>
      </c>
      <c r="E5386" s="7"/>
      <c r="F5386" s="27">
        <v>0</v>
      </c>
      <c r="G5386" s="27">
        <v>0</v>
      </c>
      <c r="H5386" s="27">
        <v>0</v>
      </c>
      <c r="I5386" s="27">
        <v>0</v>
      </c>
      <c r="J5386" s="27">
        <v>0</v>
      </c>
      <c r="K5386" s="63">
        <f>AVERAGE(I5386:J5386)</f>
        <v>0</v>
      </c>
      <c r="L5386" s="56" t="str">
        <f>"SW-RISER-PACK"</f>
        <v>SW-RISER-PACK</v>
      </c>
      <c r="M5386" s="14"/>
      <c r="N5386" s="15"/>
      <c r="O5386" s="12"/>
      <c r="P5386" s="34"/>
      <c r="Q5386" s="37"/>
      <c r="R5386" s="47"/>
      <c r="S5386" s="46"/>
    </row>
    <row r="5387" spans="1:19" ht="12" hidden="1" customHeight="1" x14ac:dyDescent="0.3">
      <c r="A5387" s="35" t="s">
        <v>908</v>
      </c>
      <c r="B5387" s="49" t="str">
        <f>B5383</f>
        <v>hide</v>
      </c>
      <c r="N5387"/>
      <c r="Q5387" s="33"/>
    </row>
    <row r="5388" spans="1:19" ht="13.8" hidden="1" thickBot="1" x14ac:dyDescent="0.3">
      <c r="A5388" t="s">
        <v>23</v>
      </c>
      <c r="B5388" s="49" t="str">
        <f t="shared" ref="B5388" si="3860">B5387</f>
        <v>hide</v>
      </c>
      <c r="D5388" s="58"/>
      <c r="E5388" s="58"/>
      <c r="F5388" s="52">
        <f>SUM(F5383:F5387)</f>
        <v>0</v>
      </c>
      <c r="G5388" s="52">
        <f>SUM(G5383:G5387)</f>
        <v>0</v>
      </c>
      <c r="H5388" s="52">
        <f>SUM(H5383:H5387)</f>
        <v>0</v>
      </c>
      <c r="I5388" s="52">
        <f>SUM(I5383:I5387)</f>
        <v>0</v>
      </c>
      <c r="J5388" s="52">
        <f>SUM(J5383:J5387)</f>
        <v>0</v>
      </c>
      <c r="K5388" s="52"/>
      <c r="L5388" s="51" t="s">
        <v>4</v>
      </c>
      <c r="M5388" s="58"/>
      <c r="N5388" s="58"/>
      <c r="O5388" s="58"/>
      <c r="P5388" s="58"/>
      <c r="Q5388" s="58"/>
      <c r="R5388" s="58"/>
      <c r="S5388" s="58"/>
    </row>
    <row r="5389" spans="1:19" s="59" customFormat="1" ht="18.75" customHeight="1" thickBot="1" x14ac:dyDescent="0.3">
      <c r="A5389" s="59" t="s">
        <v>23</v>
      </c>
      <c r="B5389" s="60" t="str">
        <f t="shared" ref="B5389:B5390" si="3861">IF(K5389=0,"hide","")</f>
        <v/>
      </c>
      <c r="D5389" s="61" t="str">
        <f>"99129"</f>
        <v>99129</v>
      </c>
      <c r="E5389" s="62" t="str">
        <f>"4"</f>
        <v>4</v>
      </c>
      <c r="F5389" s="63">
        <v>173.41666666666666</v>
      </c>
      <c r="G5389" s="63">
        <v>73.416666666666671</v>
      </c>
      <c r="H5389" s="63">
        <v>93.666666666666671</v>
      </c>
      <c r="I5389" s="63">
        <v>55.333333333333336</v>
      </c>
      <c r="J5389" s="63">
        <v>71.738795180722889</v>
      </c>
      <c r="K5389" s="63">
        <f>AVERAGE(I5389:J5389)</f>
        <v>63.536064257028116</v>
      </c>
      <c r="L5389" s="64" t="str">
        <f>"PLAIN BAGELS SLICED"</f>
        <v>PLAIN BAGELS SLICED</v>
      </c>
      <c r="M5389" s="65" t="str">
        <f>"72-4 oz. 12-6 Pack"</f>
        <v>72-4 oz. 12-6 Pack</v>
      </c>
      <c r="N5389" s="66">
        <v>72</v>
      </c>
      <c r="O5389" s="67" t="str">
        <f>""</f>
        <v/>
      </c>
      <c r="P5389" s="68" t="e">
        <f>1/O5389</f>
        <v>#VALUE!</v>
      </c>
      <c r="Q5389" s="53">
        <v>1</v>
      </c>
      <c r="R5389" s="69">
        <f t="shared" ref="R5389" si="3862">1/Q5389</f>
        <v>1</v>
      </c>
      <c r="S5389" s="70">
        <f t="shared" ref="S5389" si="3863">R5389*N5389</f>
        <v>72</v>
      </c>
    </row>
    <row r="5390" spans="1:19" ht="15.6" hidden="1" customHeight="1" thickBot="1" x14ac:dyDescent="0.3">
      <c r="A5390" t="s">
        <v>23</v>
      </c>
      <c r="B5390" s="60" t="str">
        <f t="shared" si="3861"/>
        <v>hide</v>
      </c>
      <c r="D5390" s="48" t="str">
        <f>D5389</f>
        <v>99129</v>
      </c>
      <c r="E5390" s="7"/>
      <c r="F5390" s="27">
        <v>0</v>
      </c>
      <c r="G5390" s="27">
        <v>0</v>
      </c>
      <c r="H5390" s="27">
        <v>0</v>
      </c>
      <c r="I5390" s="27">
        <v>0</v>
      </c>
      <c r="J5390" s="27">
        <v>0</v>
      </c>
      <c r="K5390" s="63">
        <f>AVERAGE(I5390:J5390)</f>
        <v>0</v>
      </c>
      <c r="L5390" s="56" t="str">
        <f>"EQP-LAWPACK1"</f>
        <v>EQP-LAWPACK1</v>
      </c>
      <c r="M5390" s="14"/>
      <c r="N5390" s="15"/>
      <c r="O5390" s="12"/>
      <c r="P5390" s="34"/>
      <c r="Q5390" s="37"/>
      <c r="R5390" s="47"/>
      <c r="S5390" s="46"/>
    </row>
    <row r="5391" spans="1:19" ht="15.6" hidden="1" customHeight="1" thickBot="1" x14ac:dyDescent="0.3">
      <c r="A5391" t="s">
        <v>23</v>
      </c>
      <c r="B5391" s="60" t="str">
        <f t="shared" ref="B5391:B5393" si="3864">IF(K5391=0,"hide","")</f>
        <v>hide</v>
      </c>
      <c r="D5391" s="48" t="str">
        <f>D5390</f>
        <v>99129</v>
      </c>
      <c r="E5391" s="7"/>
      <c r="F5391" s="27">
        <v>0</v>
      </c>
      <c r="G5391" s="27">
        <v>0</v>
      </c>
      <c r="H5391" s="27">
        <v>0</v>
      </c>
      <c r="I5391" s="27">
        <v>0</v>
      </c>
      <c r="J5391" s="27">
        <v>0</v>
      </c>
      <c r="K5391" s="63">
        <f>AVERAGE(I5391:J5391)</f>
        <v>0</v>
      </c>
      <c r="L5391" s="56" t="str">
        <f>"EQP-LAWPACK2"</f>
        <v>EQP-LAWPACK2</v>
      </c>
      <c r="M5391" s="14"/>
      <c r="N5391" s="15"/>
      <c r="O5391" s="12"/>
      <c r="P5391" s="34"/>
      <c r="Q5391" s="37"/>
      <c r="R5391" s="47"/>
      <c r="S5391" s="46"/>
    </row>
    <row r="5392" spans="1:19" ht="15.6" hidden="1" customHeight="1" thickBot="1" x14ac:dyDescent="0.3">
      <c r="A5392" t="s">
        <v>23</v>
      </c>
      <c r="B5392" s="60" t="str">
        <f t="shared" si="3864"/>
        <v>hide</v>
      </c>
      <c r="D5392" s="48" t="str">
        <f>D5391</f>
        <v>99129</v>
      </c>
      <c r="E5392" s="7"/>
      <c r="F5392" s="27">
        <v>0</v>
      </c>
      <c r="G5392" s="27">
        <v>0</v>
      </c>
      <c r="H5392" s="27">
        <v>0</v>
      </c>
      <c r="I5392" s="27">
        <v>0</v>
      </c>
      <c r="J5392" s="27">
        <v>0</v>
      </c>
      <c r="K5392" s="63">
        <f>AVERAGE(I5392:J5392)</f>
        <v>0</v>
      </c>
      <c r="L5392" s="56" t="str">
        <f>"SW-COMAS-PACKL"</f>
        <v>SW-COMAS-PACKL</v>
      </c>
      <c r="M5392" s="14"/>
      <c r="N5392" s="15"/>
      <c r="O5392" s="12"/>
      <c r="P5392" s="34"/>
      <c r="Q5392" s="37"/>
      <c r="R5392" s="47"/>
      <c r="S5392" s="46"/>
    </row>
    <row r="5393" spans="1:19" ht="15.6" hidden="1" customHeight="1" thickBot="1" x14ac:dyDescent="0.3">
      <c r="A5393" t="s">
        <v>23</v>
      </c>
      <c r="B5393" s="60" t="str">
        <f t="shared" si="3864"/>
        <v>hide</v>
      </c>
      <c r="D5393" s="48" t="str">
        <f>D5392</f>
        <v>99129</v>
      </c>
      <c r="E5393" s="7"/>
      <c r="F5393" s="27">
        <v>0</v>
      </c>
      <c r="G5393" s="27">
        <v>0</v>
      </c>
      <c r="H5393" s="27">
        <v>0</v>
      </c>
      <c r="I5393" s="27">
        <v>0</v>
      </c>
      <c r="J5393" s="27">
        <v>0</v>
      </c>
      <c r="K5393" s="63">
        <f>AVERAGE(I5393:J5393)</f>
        <v>0</v>
      </c>
      <c r="L5393" s="56" t="str">
        <f>"SW-RISER-PACK"</f>
        <v>SW-RISER-PACK</v>
      </c>
      <c r="M5393" s="14"/>
      <c r="N5393" s="15"/>
      <c r="O5393" s="12"/>
      <c r="P5393" s="34"/>
      <c r="Q5393" s="37"/>
      <c r="R5393" s="47"/>
      <c r="S5393" s="46"/>
    </row>
    <row r="5394" spans="1:19" ht="12" hidden="1" customHeight="1" x14ac:dyDescent="0.3">
      <c r="A5394" s="35" t="s">
        <v>908</v>
      </c>
      <c r="B5394" s="49" t="str">
        <f>B5390</f>
        <v>hide</v>
      </c>
      <c r="N5394"/>
      <c r="Q5394" s="33"/>
    </row>
    <row r="5395" spans="1:19" ht="13.8" hidden="1" thickBot="1" x14ac:dyDescent="0.3">
      <c r="A5395" t="s">
        <v>23</v>
      </c>
      <c r="B5395" s="49" t="str">
        <f t="shared" ref="B5395" si="3865">B5394</f>
        <v>hide</v>
      </c>
      <c r="D5395" s="58"/>
      <c r="E5395" s="58"/>
      <c r="F5395" s="52">
        <f>SUM(F5390:F5394)</f>
        <v>0</v>
      </c>
      <c r="G5395" s="52">
        <f>SUM(G5390:G5394)</f>
        <v>0</v>
      </c>
      <c r="H5395" s="52">
        <f>SUM(H5390:H5394)</f>
        <v>0</v>
      </c>
      <c r="I5395" s="52">
        <f>SUM(I5390:I5394)</f>
        <v>0</v>
      </c>
      <c r="J5395" s="52">
        <f>SUM(J5390:J5394)</f>
        <v>0</v>
      </c>
      <c r="K5395" s="52"/>
      <c r="L5395" s="51" t="s">
        <v>4</v>
      </c>
      <c r="M5395" s="58"/>
      <c r="N5395" s="58"/>
      <c r="O5395" s="58"/>
      <c r="P5395" s="58"/>
      <c r="Q5395" s="58"/>
      <c r="R5395" s="58"/>
      <c r="S5395" s="58"/>
    </row>
    <row r="5396" spans="1:19" s="59" customFormat="1" ht="18.75" hidden="1" customHeight="1" thickBot="1" x14ac:dyDescent="0.3">
      <c r="A5396" s="59" t="s">
        <v>23</v>
      </c>
      <c r="B5396" s="60" t="str">
        <f t="shared" ref="B5396:B5397" si="3866">IF(K5396=0,"hide","")</f>
        <v>hide</v>
      </c>
      <c r="D5396" s="61" t="str">
        <f>"99132"</f>
        <v>99132</v>
      </c>
      <c r="E5396" s="62" t="str">
        <f>"2"</f>
        <v>2</v>
      </c>
      <c r="F5396" s="63">
        <v>1.5833333333333333</v>
      </c>
      <c r="G5396" s="63">
        <v>0</v>
      </c>
      <c r="H5396" s="63">
        <v>0</v>
      </c>
      <c r="I5396" s="63">
        <v>0</v>
      </c>
      <c r="J5396" s="63">
        <v>0</v>
      </c>
      <c r="K5396" s="63">
        <f>AVERAGE(I5396:J5396)</f>
        <v>0</v>
      </c>
      <c r="L5396" s="64" t="str">
        <f>"EVERYTHING BAGELS SLICED"</f>
        <v>EVERYTHING BAGELS SLICED</v>
      </c>
      <c r="M5396" s="65" t="str">
        <f>"72-4 oz. 12-6 Pack"</f>
        <v>72-4 oz. 12-6 Pack</v>
      </c>
      <c r="N5396" s="66">
        <v>72</v>
      </c>
      <c r="O5396" s="67" t="str">
        <f>""</f>
        <v/>
      </c>
      <c r="P5396" s="68" t="e">
        <f>1/O5396</f>
        <v>#VALUE!</v>
      </c>
      <c r="Q5396" s="53">
        <v>1</v>
      </c>
      <c r="R5396" s="69">
        <f t="shared" ref="R5396" si="3867">1/Q5396</f>
        <v>1</v>
      </c>
      <c r="S5396" s="70">
        <f t="shared" ref="S5396" si="3868">R5396*N5396</f>
        <v>72</v>
      </c>
    </row>
    <row r="5397" spans="1:19" ht="15.6" hidden="1" customHeight="1" thickBot="1" x14ac:dyDescent="0.3">
      <c r="A5397" t="s">
        <v>23</v>
      </c>
      <c r="B5397" s="60" t="str">
        <f t="shared" si="3866"/>
        <v>hide</v>
      </c>
      <c r="D5397" s="48" t="str">
        <f>D5396</f>
        <v>99132</v>
      </c>
      <c r="E5397" s="7"/>
      <c r="F5397" s="27">
        <v>0</v>
      </c>
      <c r="G5397" s="27">
        <v>0</v>
      </c>
      <c r="H5397" s="27">
        <v>0</v>
      </c>
      <c r="I5397" s="27">
        <v>0</v>
      </c>
      <c r="J5397" s="27">
        <v>0</v>
      </c>
      <c r="K5397" s="63">
        <f>AVERAGE(I5397:J5397)</f>
        <v>0</v>
      </c>
      <c r="L5397" s="56" t="str">
        <f>"EQP-LAWPACK1"</f>
        <v>EQP-LAWPACK1</v>
      </c>
      <c r="M5397" s="14"/>
      <c r="N5397" s="15"/>
      <c r="O5397" s="12"/>
      <c r="P5397" s="34"/>
      <c r="Q5397" s="37"/>
      <c r="R5397" s="47"/>
      <c r="S5397" s="46"/>
    </row>
    <row r="5398" spans="1:19" ht="15.6" hidden="1" customHeight="1" thickBot="1" x14ac:dyDescent="0.3">
      <c r="A5398" t="s">
        <v>23</v>
      </c>
      <c r="B5398" s="60" t="str">
        <f t="shared" ref="B5398:B5400" si="3869">IF(K5398=0,"hide","")</f>
        <v>hide</v>
      </c>
      <c r="D5398" s="48" t="str">
        <f>D5397</f>
        <v>99132</v>
      </c>
      <c r="E5398" s="7"/>
      <c r="F5398" s="27">
        <v>0</v>
      </c>
      <c r="G5398" s="27">
        <v>0</v>
      </c>
      <c r="H5398" s="27">
        <v>0</v>
      </c>
      <c r="I5398" s="27">
        <v>0</v>
      </c>
      <c r="J5398" s="27">
        <v>0</v>
      </c>
      <c r="K5398" s="63">
        <f>AVERAGE(I5398:J5398)</f>
        <v>0</v>
      </c>
      <c r="L5398" s="56" t="str">
        <f>"EQP-LAWPACK2"</f>
        <v>EQP-LAWPACK2</v>
      </c>
      <c r="M5398" s="14"/>
      <c r="N5398" s="15"/>
      <c r="O5398" s="12"/>
      <c r="P5398" s="34"/>
      <c r="Q5398" s="37"/>
      <c r="R5398" s="47"/>
      <c r="S5398" s="46"/>
    </row>
    <row r="5399" spans="1:19" ht="15.6" hidden="1" customHeight="1" thickBot="1" x14ac:dyDescent="0.3">
      <c r="A5399" t="s">
        <v>23</v>
      </c>
      <c r="B5399" s="60" t="str">
        <f t="shared" si="3869"/>
        <v>hide</v>
      </c>
      <c r="D5399" s="48" t="str">
        <f>D5398</f>
        <v>99132</v>
      </c>
      <c r="E5399" s="7"/>
      <c r="F5399" s="27">
        <v>0</v>
      </c>
      <c r="G5399" s="27">
        <v>0</v>
      </c>
      <c r="H5399" s="27">
        <v>0</v>
      </c>
      <c r="I5399" s="27">
        <v>0</v>
      </c>
      <c r="J5399" s="27">
        <v>0</v>
      </c>
      <c r="K5399" s="63">
        <f>AVERAGE(I5399:J5399)</f>
        <v>0</v>
      </c>
      <c r="L5399" s="56" t="str">
        <f>"SW-COMAS-PACKL"</f>
        <v>SW-COMAS-PACKL</v>
      </c>
      <c r="M5399" s="14"/>
      <c r="N5399" s="15"/>
      <c r="O5399" s="12"/>
      <c r="P5399" s="34"/>
      <c r="Q5399" s="37"/>
      <c r="R5399" s="47"/>
      <c r="S5399" s="46"/>
    </row>
    <row r="5400" spans="1:19" ht="15.6" hidden="1" customHeight="1" thickBot="1" x14ac:dyDescent="0.3">
      <c r="A5400" t="s">
        <v>23</v>
      </c>
      <c r="B5400" s="60" t="str">
        <f t="shared" si="3869"/>
        <v>hide</v>
      </c>
      <c r="D5400" s="48" t="str">
        <f>D5399</f>
        <v>99132</v>
      </c>
      <c r="E5400" s="7"/>
      <c r="F5400" s="27">
        <v>0</v>
      </c>
      <c r="G5400" s="27">
        <v>0</v>
      </c>
      <c r="H5400" s="27">
        <v>0</v>
      </c>
      <c r="I5400" s="27">
        <v>0</v>
      </c>
      <c r="J5400" s="27">
        <v>0</v>
      </c>
      <c r="K5400" s="63">
        <f>AVERAGE(I5400:J5400)</f>
        <v>0</v>
      </c>
      <c r="L5400" s="56" t="str">
        <f>"SW-RISER-PACK"</f>
        <v>SW-RISER-PACK</v>
      </c>
      <c r="M5400" s="14"/>
      <c r="N5400" s="15"/>
      <c r="O5400" s="12"/>
      <c r="P5400" s="34"/>
      <c r="Q5400" s="37"/>
      <c r="R5400" s="47"/>
      <c r="S5400" s="46"/>
    </row>
    <row r="5401" spans="1:19" ht="12" hidden="1" customHeight="1" x14ac:dyDescent="0.3">
      <c r="A5401" s="35" t="s">
        <v>908</v>
      </c>
      <c r="B5401" s="49" t="str">
        <f>B5397</f>
        <v>hide</v>
      </c>
      <c r="N5401"/>
      <c r="Q5401" s="33"/>
    </row>
    <row r="5402" spans="1:19" ht="13.8" hidden="1" thickBot="1" x14ac:dyDescent="0.3">
      <c r="A5402" t="s">
        <v>23</v>
      </c>
      <c r="B5402" s="49" t="str">
        <f t="shared" ref="B5402" si="3870">B5401</f>
        <v>hide</v>
      </c>
      <c r="D5402" s="58"/>
      <c r="E5402" s="58"/>
      <c r="F5402" s="52">
        <f>SUM(F5397:F5401)</f>
        <v>0</v>
      </c>
      <c r="G5402" s="52">
        <f>SUM(G5397:G5401)</f>
        <v>0</v>
      </c>
      <c r="H5402" s="52">
        <f>SUM(H5397:H5401)</f>
        <v>0</v>
      </c>
      <c r="I5402" s="52">
        <f>SUM(I5397:I5401)</f>
        <v>0</v>
      </c>
      <c r="J5402" s="52">
        <f>SUM(J5397:J5401)</f>
        <v>0</v>
      </c>
      <c r="K5402" s="52"/>
      <c r="L5402" s="51" t="s">
        <v>4</v>
      </c>
      <c r="M5402" s="58"/>
      <c r="N5402" s="58"/>
      <c r="O5402" s="58"/>
      <c r="P5402" s="58"/>
      <c r="Q5402" s="58"/>
      <c r="R5402" s="58"/>
      <c r="S5402" s="58"/>
    </row>
    <row r="5403" spans="1:19" s="59" customFormat="1" ht="18.75" hidden="1" customHeight="1" thickBot="1" x14ac:dyDescent="0.3">
      <c r="A5403" s="59" t="s">
        <v>23</v>
      </c>
      <c r="B5403" s="60" t="str">
        <f t="shared" ref="B5403:B5404" si="3871">IF(K5403=0,"hide","")</f>
        <v>hide</v>
      </c>
      <c r="D5403" s="61" t="str">
        <f>"99192"</f>
        <v>99192</v>
      </c>
      <c r="E5403" s="62" t="str">
        <f>"2"</f>
        <v>2</v>
      </c>
      <c r="F5403" s="63">
        <v>0</v>
      </c>
      <c r="G5403" s="63">
        <v>0</v>
      </c>
      <c r="H5403" s="63">
        <v>0</v>
      </c>
      <c r="I5403" s="63">
        <v>0</v>
      </c>
      <c r="J5403" s="63">
        <v>0</v>
      </c>
      <c r="K5403" s="63">
        <f>AVERAGE(I5403:J5403)</f>
        <v>0</v>
      </c>
      <c r="L5403" s="64" t="str">
        <f>"POPPY BAGELS SLICED"</f>
        <v>POPPY BAGELS SLICED</v>
      </c>
      <c r="M5403" s="65" t="str">
        <f>"72-4 oz. 12-6 Pack"</f>
        <v>72-4 oz. 12-6 Pack</v>
      </c>
      <c r="N5403" s="66">
        <v>72</v>
      </c>
      <c r="O5403" s="67" t="str">
        <f>""</f>
        <v/>
      </c>
      <c r="P5403" s="68" t="e">
        <f>1/O5403</f>
        <v>#VALUE!</v>
      </c>
      <c r="Q5403" s="53">
        <v>1</v>
      </c>
      <c r="R5403" s="69">
        <f t="shared" ref="R5403" si="3872">1/Q5403</f>
        <v>1</v>
      </c>
      <c r="S5403" s="70">
        <f t="shared" ref="S5403" si="3873">R5403*N5403</f>
        <v>72</v>
      </c>
    </row>
    <row r="5404" spans="1:19" ht="15.6" hidden="1" customHeight="1" thickBot="1" x14ac:dyDescent="0.3">
      <c r="A5404" t="s">
        <v>23</v>
      </c>
      <c r="B5404" s="60" t="str">
        <f t="shared" si="3871"/>
        <v>hide</v>
      </c>
      <c r="D5404" s="48" t="str">
        <f>D5403</f>
        <v>99192</v>
      </c>
      <c r="E5404" s="7"/>
      <c r="F5404" s="27">
        <v>0</v>
      </c>
      <c r="G5404" s="27">
        <v>0</v>
      </c>
      <c r="H5404" s="27">
        <v>0</v>
      </c>
      <c r="I5404" s="27">
        <v>0</v>
      </c>
      <c r="J5404" s="27">
        <v>0</v>
      </c>
      <c r="K5404" s="63">
        <f>AVERAGE(I5404:J5404)</f>
        <v>0</v>
      </c>
      <c r="L5404" s="56" t="str">
        <f>"EQP-LAWPACK1"</f>
        <v>EQP-LAWPACK1</v>
      </c>
      <c r="M5404" s="14"/>
      <c r="N5404" s="15"/>
      <c r="O5404" s="12"/>
      <c r="P5404" s="34"/>
      <c r="Q5404" s="37"/>
      <c r="R5404" s="47"/>
      <c r="S5404" s="46"/>
    </row>
    <row r="5405" spans="1:19" ht="15.6" hidden="1" customHeight="1" thickBot="1" x14ac:dyDescent="0.3">
      <c r="A5405" t="s">
        <v>23</v>
      </c>
      <c r="B5405" s="60" t="str">
        <f t="shared" ref="B5405:B5407" si="3874">IF(K5405=0,"hide","")</f>
        <v>hide</v>
      </c>
      <c r="D5405" s="48" t="str">
        <f>D5404</f>
        <v>99192</v>
      </c>
      <c r="E5405" s="7"/>
      <c r="F5405" s="27">
        <v>0</v>
      </c>
      <c r="G5405" s="27">
        <v>0</v>
      </c>
      <c r="H5405" s="27">
        <v>0</v>
      </c>
      <c r="I5405" s="27">
        <v>0</v>
      </c>
      <c r="J5405" s="27">
        <v>0</v>
      </c>
      <c r="K5405" s="63">
        <f>AVERAGE(I5405:J5405)</f>
        <v>0</v>
      </c>
      <c r="L5405" s="56" t="str">
        <f>"EQP-LAWPACK2"</f>
        <v>EQP-LAWPACK2</v>
      </c>
      <c r="M5405" s="14"/>
      <c r="N5405" s="15"/>
      <c r="O5405" s="12"/>
      <c r="P5405" s="34"/>
      <c r="Q5405" s="37"/>
      <c r="R5405" s="47"/>
      <c r="S5405" s="46"/>
    </row>
    <row r="5406" spans="1:19" ht="15.6" hidden="1" customHeight="1" thickBot="1" x14ac:dyDescent="0.3">
      <c r="A5406" t="s">
        <v>23</v>
      </c>
      <c r="B5406" s="60" t="str">
        <f t="shared" si="3874"/>
        <v>hide</v>
      </c>
      <c r="D5406" s="48" t="str">
        <f>D5405</f>
        <v>99192</v>
      </c>
      <c r="E5406" s="7"/>
      <c r="F5406" s="27">
        <v>0</v>
      </c>
      <c r="G5406" s="27">
        <v>0</v>
      </c>
      <c r="H5406" s="27">
        <v>0</v>
      </c>
      <c r="I5406" s="27">
        <v>0</v>
      </c>
      <c r="J5406" s="27">
        <v>0</v>
      </c>
      <c r="K5406" s="63">
        <f>AVERAGE(I5406:J5406)</f>
        <v>0</v>
      </c>
      <c r="L5406" s="56" t="str">
        <f>"SW-COMAS-PACKL"</f>
        <v>SW-COMAS-PACKL</v>
      </c>
      <c r="M5406" s="14"/>
      <c r="N5406" s="15"/>
      <c r="O5406" s="12"/>
      <c r="P5406" s="34"/>
      <c r="Q5406" s="37"/>
      <c r="R5406" s="47"/>
      <c r="S5406" s="46"/>
    </row>
    <row r="5407" spans="1:19" ht="15.6" hidden="1" customHeight="1" thickBot="1" x14ac:dyDescent="0.3">
      <c r="A5407" t="s">
        <v>23</v>
      </c>
      <c r="B5407" s="60" t="str">
        <f t="shared" si="3874"/>
        <v>hide</v>
      </c>
      <c r="D5407" s="48" t="str">
        <f>D5406</f>
        <v>99192</v>
      </c>
      <c r="E5407" s="7"/>
      <c r="F5407" s="27">
        <v>0</v>
      </c>
      <c r="G5407" s="27">
        <v>0</v>
      </c>
      <c r="H5407" s="27">
        <v>0</v>
      </c>
      <c r="I5407" s="27">
        <v>0</v>
      </c>
      <c r="J5407" s="27">
        <v>0</v>
      </c>
      <c r="K5407" s="63">
        <f>AVERAGE(I5407:J5407)</f>
        <v>0</v>
      </c>
      <c r="L5407" s="56" t="str">
        <f>"SW-RISER-PACK"</f>
        <v>SW-RISER-PACK</v>
      </c>
      <c r="M5407" s="14"/>
      <c r="N5407" s="15"/>
      <c r="O5407" s="12"/>
      <c r="P5407" s="34"/>
      <c r="Q5407" s="37"/>
      <c r="R5407" s="47"/>
      <c r="S5407" s="46"/>
    </row>
    <row r="5408" spans="1:19" ht="12" hidden="1" customHeight="1" x14ac:dyDescent="0.3">
      <c r="A5408" s="35" t="s">
        <v>908</v>
      </c>
      <c r="B5408" s="49" t="str">
        <f>B5404</f>
        <v>hide</v>
      </c>
      <c r="N5408"/>
      <c r="Q5408" s="33"/>
    </row>
    <row r="5409" spans="1:19" ht="13.8" hidden="1" thickBot="1" x14ac:dyDescent="0.3">
      <c r="A5409" t="s">
        <v>23</v>
      </c>
      <c r="B5409" s="49" t="str">
        <f t="shared" ref="B5409" si="3875">B5408</f>
        <v>hide</v>
      </c>
      <c r="D5409" s="58"/>
      <c r="E5409" s="58"/>
      <c r="F5409" s="52">
        <f>SUM(F5404:F5408)</f>
        <v>0</v>
      </c>
      <c r="G5409" s="52">
        <f>SUM(G5404:G5408)</f>
        <v>0</v>
      </c>
      <c r="H5409" s="52">
        <f>SUM(H5404:H5408)</f>
        <v>0</v>
      </c>
      <c r="I5409" s="52">
        <f>SUM(I5404:I5408)</f>
        <v>0</v>
      </c>
      <c r="J5409" s="52">
        <f>SUM(J5404:J5408)</f>
        <v>0</v>
      </c>
      <c r="K5409" s="52"/>
      <c r="L5409" s="51" t="s">
        <v>4</v>
      </c>
      <c r="M5409" s="58"/>
      <c r="N5409" s="58"/>
      <c r="O5409" s="58"/>
      <c r="P5409" s="58"/>
      <c r="Q5409" s="58"/>
      <c r="R5409" s="58"/>
      <c r="S5409" s="58"/>
    </row>
    <row r="5410" spans="1:19" s="59" customFormat="1" ht="18.75" customHeight="1" thickBot="1" x14ac:dyDescent="0.3">
      <c r="A5410" s="59" t="s">
        <v>23</v>
      </c>
      <c r="B5410" s="60" t="str">
        <f t="shared" ref="B5410:B5411" si="3876">IF(K5410=0,"hide","")</f>
        <v/>
      </c>
      <c r="D5410" s="61" t="str">
        <f>"99195"</f>
        <v>99195</v>
      </c>
      <c r="E5410" s="62" t="str">
        <f>"4"</f>
        <v>4</v>
      </c>
      <c r="F5410" s="63">
        <v>125.58333333333333</v>
      </c>
      <c r="G5410" s="63">
        <v>75.500000000000014</v>
      </c>
      <c r="H5410" s="63">
        <v>56</v>
      </c>
      <c r="I5410" s="63">
        <v>51</v>
      </c>
      <c r="J5410" s="63">
        <v>13.843132530120483</v>
      </c>
      <c r="K5410" s="63">
        <f>AVERAGE(I5410:J5410)</f>
        <v>32.421566265060243</v>
      </c>
      <c r="L5410" s="64" t="str">
        <f>"Smart Choice Honey Wheat Bagel"</f>
        <v>Smart Choice Honey Wheat Bagel</v>
      </c>
      <c r="M5410" s="65" t="str">
        <f>"72-4 oz. 12-6 Pack"</f>
        <v>72-4 oz. 12-6 Pack</v>
      </c>
      <c r="N5410" s="66">
        <v>72</v>
      </c>
      <c r="O5410" s="67" t="str">
        <f>""</f>
        <v/>
      </c>
      <c r="P5410" s="68" t="e">
        <f>1/O5410</f>
        <v>#VALUE!</v>
      </c>
      <c r="Q5410" s="53">
        <v>1</v>
      </c>
      <c r="R5410" s="69">
        <f t="shared" ref="R5410" si="3877">1/Q5410</f>
        <v>1</v>
      </c>
      <c r="S5410" s="70">
        <f t="shared" ref="S5410" si="3878">R5410*N5410</f>
        <v>72</v>
      </c>
    </row>
    <row r="5411" spans="1:19" ht="15.6" hidden="1" customHeight="1" thickBot="1" x14ac:dyDescent="0.3">
      <c r="A5411" t="s">
        <v>23</v>
      </c>
      <c r="B5411" s="60" t="str">
        <f t="shared" si="3876"/>
        <v>hide</v>
      </c>
      <c r="D5411" s="48" t="str">
        <f>D5410</f>
        <v>99195</v>
      </c>
      <c r="E5411" s="7"/>
      <c r="F5411" s="27">
        <v>0</v>
      </c>
      <c r="G5411" s="27">
        <v>0</v>
      </c>
      <c r="H5411" s="27">
        <v>0</v>
      </c>
      <c r="I5411" s="27">
        <v>0</v>
      </c>
      <c r="J5411" s="27">
        <v>0</v>
      </c>
      <c r="K5411" s="63">
        <f>AVERAGE(I5411:J5411)</f>
        <v>0</v>
      </c>
      <c r="L5411" s="56" t="str">
        <f>"EQP-LAWPACK1"</f>
        <v>EQP-LAWPACK1</v>
      </c>
      <c r="M5411" s="14"/>
      <c r="N5411" s="15"/>
      <c r="O5411" s="12"/>
      <c r="P5411" s="34"/>
      <c r="Q5411" s="37"/>
      <c r="R5411" s="47"/>
      <c r="S5411" s="46"/>
    </row>
    <row r="5412" spans="1:19" ht="15.6" hidden="1" customHeight="1" thickBot="1" x14ac:dyDescent="0.3">
      <c r="A5412" t="s">
        <v>23</v>
      </c>
      <c r="B5412" s="60" t="str">
        <f t="shared" ref="B5412:B5414" si="3879">IF(K5412=0,"hide","")</f>
        <v>hide</v>
      </c>
      <c r="D5412" s="48" t="str">
        <f>D5411</f>
        <v>99195</v>
      </c>
      <c r="E5412" s="7"/>
      <c r="F5412" s="27">
        <v>0</v>
      </c>
      <c r="G5412" s="27">
        <v>0</v>
      </c>
      <c r="H5412" s="27">
        <v>0</v>
      </c>
      <c r="I5412" s="27">
        <v>0</v>
      </c>
      <c r="J5412" s="27">
        <v>0</v>
      </c>
      <c r="K5412" s="63">
        <f>AVERAGE(I5412:J5412)</f>
        <v>0</v>
      </c>
      <c r="L5412" s="56" t="str">
        <f>"EQP-LAWPACK2"</f>
        <v>EQP-LAWPACK2</v>
      </c>
      <c r="M5412" s="14"/>
      <c r="N5412" s="15"/>
      <c r="O5412" s="12"/>
      <c r="P5412" s="34"/>
      <c r="Q5412" s="37"/>
      <c r="R5412" s="47"/>
      <c r="S5412" s="46"/>
    </row>
    <row r="5413" spans="1:19" ht="15.6" hidden="1" customHeight="1" thickBot="1" x14ac:dyDescent="0.3">
      <c r="A5413" t="s">
        <v>23</v>
      </c>
      <c r="B5413" s="60" t="str">
        <f t="shared" si="3879"/>
        <v>hide</v>
      </c>
      <c r="D5413" s="48" t="str">
        <f>D5412</f>
        <v>99195</v>
      </c>
      <c r="E5413" s="7"/>
      <c r="F5413" s="27">
        <v>0</v>
      </c>
      <c r="G5413" s="27">
        <v>0</v>
      </c>
      <c r="H5413" s="27">
        <v>0</v>
      </c>
      <c r="I5413" s="27">
        <v>0</v>
      </c>
      <c r="J5413" s="27">
        <v>0</v>
      </c>
      <c r="K5413" s="63">
        <f>AVERAGE(I5413:J5413)</f>
        <v>0</v>
      </c>
      <c r="L5413" s="56" t="str">
        <f>"SW-COMAS-PACKL"</f>
        <v>SW-COMAS-PACKL</v>
      </c>
      <c r="M5413" s="14"/>
      <c r="N5413" s="15"/>
      <c r="O5413" s="12"/>
      <c r="P5413" s="34"/>
      <c r="Q5413" s="37"/>
      <c r="R5413" s="47"/>
      <c r="S5413" s="46"/>
    </row>
    <row r="5414" spans="1:19" ht="15.6" hidden="1" customHeight="1" thickBot="1" x14ac:dyDescent="0.3">
      <c r="A5414" t="s">
        <v>23</v>
      </c>
      <c r="B5414" s="60" t="str">
        <f t="shared" si="3879"/>
        <v>hide</v>
      </c>
      <c r="D5414" s="48" t="str">
        <f>D5413</f>
        <v>99195</v>
      </c>
      <c r="E5414" s="7"/>
      <c r="F5414" s="27">
        <v>0</v>
      </c>
      <c r="G5414" s="27">
        <v>0</v>
      </c>
      <c r="H5414" s="27">
        <v>0</v>
      </c>
      <c r="I5414" s="27">
        <v>0</v>
      </c>
      <c r="J5414" s="27">
        <v>0</v>
      </c>
      <c r="K5414" s="63">
        <f>AVERAGE(I5414:J5414)</f>
        <v>0</v>
      </c>
      <c r="L5414" s="56" t="str">
        <f>"SW-RISER-PACK"</f>
        <v>SW-RISER-PACK</v>
      </c>
      <c r="M5414" s="14"/>
      <c r="N5414" s="15"/>
      <c r="O5414" s="12"/>
      <c r="P5414" s="34"/>
      <c r="Q5414" s="37"/>
      <c r="R5414" s="47"/>
      <c r="S5414" s="46"/>
    </row>
    <row r="5415" spans="1:19" ht="12" hidden="1" customHeight="1" x14ac:dyDescent="0.3">
      <c r="A5415" s="35" t="s">
        <v>908</v>
      </c>
      <c r="B5415" s="49" t="str">
        <f>B5411</f>
        <v>hide</v>
      </c>
      <c r="N5415"/>
      <c r="Q5415" s="33"/>
    </row>
    <row r="5416" spans="1:19" ht="13.8" hidden="1" thickBot="1" x14ac:dyDescent="0.3">
      <c r="A5416" t="s">
        <v>23</v>
      </c>
      <c r="B5416" s="49" t="str">
        <f t="shared" ref="B5416" si="3880">B5415</f>
        <v>hide</v>
      </c>
      <c r="D5416" s="58"/>
      <c r="E5416" s="58"/>
      <c r="F5416" s="52">
        <f>SUM(F5411:F5415)</f>
        <v>0</v>
      </c>
      <c r="G5416" s="52">
        <f>SUM(G5411:G5415)</f>
        <v>0</v>
      </c>
      <c r="H5416" s="52">
        <f>SUM(H5411:H5415)</f>
        <v>0</v>
      </c>
      <c r="I5416" s="52">
        <f>SUM(I5411:I5415)</f>
        <v>0</v>
      </c>
      <c r="J5416" s="52">
        <f>SUM(J5411:J5415)</f>
        <v>0</v>
      </c>
      <c r="K5416" s="52"/>
      <c r="L5416" s="51" t="s">
        <v>4</v>
      </c>
      <c r="M5416" s="58"/>
      <c r="N5416" s="58"/>
      <c r="O5416" s="58"/>
      <c r="P5416" s="58"/>
      <c r="Q5416" s="58"/>
      <c r="R5416" s="58"/>
      <c r="S5416" s="58"/>
    </row>
    <row r="5417" spans="1:19" s="59" customFormat="1" ht="18.75" hidden="1" customHeight="1" thickBot="1" x14ac:dyDescent="0.3">
      <c r="A5417" s="59" t="s">
        <v>23</v>
      </c>
      <c r="B5417" s="60" t="str">
        <f t="shared" ref="B5417:B5418" si="3881">IF(K5417=0,"hide","")</f>
        <v>hide</v>
      </c>
      <c r="D5417" s="61" t="str">
        <f>"BC MINI MINIS"</f>
        <v>BC MINI MINIS</v>
      </c>
      <c r="E5417" s="62" t="str">
        <f>""</f>
        <v/>
      </c>
      <c r="F5417" s="63">
        <v>0</v>
      </c>
      <c r="G5417" s="63">
        <v>0</v>
      </c>
      <c r="H5417" s="63">
        <v>0</v>
      </c>
      <c r="I5417" s="63">
        <v>0</v>
      </c>
      <c r="J5417" s="63">
        <v>0</v>
      </c>
      <c r="K5417" s="63">
        <f>AVERAGE(I5417:J5417)</f>
        <v>0</v>
      </c>
      <c r="L5417" s="64" t="str">
        <f>""</f>
        <v/>
      </c>
      <c r="M5417" s="65" t="str">
        <f>""</f>
        <v/>
      </c>
      <c r="N5417" s="66" t="str">
        <f>""</f>
        <v/>
      </c>
      <c r="O5417" s="67" t="e">
        <v>#VALUE!</v>
      </c>
      <c r="P5417" s="68" t="e">
        <f>1/O5417</f>
        <v>#VALUE!</v>
      </c>
      <c r="Q5417" s="53" t="e">
        <v>#VALUE!</v>
      </c>
      <c r="R5417" s="69" t="e">
        <f t="shared" ref="R5417" si="3882">1/Q5417</f>
        <v>#VALUE!</v>
      </c>
      <c r="S5417" s="70" t="e">
        <f t="shared" ref="S5417" si="3883">R5417*N5417</f>
        <v>#VALUE!</v>
      </c>
    </row>
    <row r="5418" spans="1:19" ht="15.6" hidden="1" customHeight="1" thickBot="1" x14ac:dyDescent="0.3">
      <c r="A5418" t="s">
        <v>23</v>
      </c>
      <c r="B5418" s="60" t="str">
        <f t="shared" si="3881"/>
        <v>hide</v>
      </c>
      <c r="D5418" s="48" t="str">
        <f>D5417</f>
        <v>BC MINI MINIS</v>
      </c>
      <c r="E5418" s="7"/>
      <c r="F5418" s="27">
        <v>0</v>
      </c>
      <c r="G5418" s="27">
        <v>0</v>
      </c>
      <c r="H5418" s="27">
        <v>0</v>
      </c>
      <c r="I5418" s="27">
        <v>0</v>
      </c>
      <c r="J5418" s="27">
        <v>0</v>
      </c>
      <c r="K5418" s="63">
        <f>AVERAGE(I5418:J5418)</f>
        <v>0</v>
      </c>
      <c r="L5418" s="56" t="str">
        <f>"EQP-LAWPACK1"</f>
        <v>EQP-LAWPACK1</v>
      </c>
      <c r="M5418" s="14"/>
      <c r="N5418" s="15"/>
      <c r="O5418" s="12"/>
      <c r="P5418" s="34"/>
      <c r="Q5418" s="37"/>
      <c r="R5418" s="47"/>
      <c r="S5418" s="46"/>
    </row>
    <row r="5419" spans="1:19" ht="15.6" hidden="1" customHeight="1" thickBot="1" x14ac:dyDescent="0.3">
      <c r="A5419" t="s">
        <v>23</v>
      </c>
      <c r="B5419" s="60" t="str">
        <f t="shared" ref="B5419:B5421" si="3884">IF(K5419=0,"hide","")</f>
        <v>hide</v>
      </c>
      <c r="D5419" s="48" t="str">
        <f>D5418</f>
        <v>BC MINI MINIS</v>
      </c>
      <c r="E5419" s="7"/>
      <c r="F5419" s="27">
        <v>0</v>
      </c>
      <c r="G5419" s="27">
        <v>0</v>
      </c>
      <c r="H5419" s="27">
        <v>0</v>
      </c>
      <c r="I5419" s="27">
        <v>0</v>
      </c>
      <c r="J5419" s="27">
        <v>0</v>
      </c>
      <c r="K5419" s="63">
        <f>AVERAGE(I5419:J5419)</f>
        <v>0</v>
      </c>
      <c r="L5419" s="56" t="str">
        <f>"EQP-LAWPACK2"</f>
        <v>EQP-LAWPACK2</v>
      </c>
      <c r="M5419" s="14"/>
      <c r="N5419" s="15"/>
      <c r="O5419" s="12"/>
      <c r="P5419" s="34"/>
      <c r="Q5419" s="37"/>
      <c r="R5419" s="47"/>
      <c r="S5419" s="46"/>
    </row>
    <row r="5420" spans="1:19" ht="15.6" hidden="1" customHeight="1" thickBot="1" x14ac:dyDescent="0.3">
      <c r="A5420" t="s">
        <v>23</v>
      </c>
      <c r="B5420" s="60" t="str">
        <f t="shared" si="3884"/>
        <v>hide</v>
      </c>
      <c r="D5420" s="48" t="str">
        <f>D5419</f>
        <v>BC MINI MINIS</v>
      </c>
      <c r="E5420" s="7"/>
      <c r="F5420" s="27">
        <v>0</v>
      </c>
      <c r="G5420" s="27">
        <v>0</v>
      </c>
      <c r="H5420" s="27">
        <v>0</v>
      </c>
      <c r="I5420" s="27">
        <v>0</v>
      </c>
      <c r="J5420" s="27">
        <v>0</v>
      </c>
      <c r="K5420" s="63">
        <f>AVERAGE(I5420:J5420)</f>
        <v>0</v>
      </c>
      <c r="L5420" s="56" t="str">
        <f>"SW-COMAS-PACKL"</f>
        <v>SW-COMAS-PACKL</v>
      </c>
      <c r="M5420" s="14"/>
      <c r="N5420" s="15"/>
      <c r="O5420" s="12"/>
      <c r="P5420" s="34"/>
      <c r="Q5420" s="37"/>
      <c r="R5420" s="47"/>
      <c r="S5420" s="46"/>
    </row>
    <row r="5421" spans="1:19" ht="15.6" hidden="1" customHeight="1" thickBot="1" x14ac:dyDescent="0.3">
      <c r="A5421" t="s">
        <v>23</v>
      </c>
      <c r="B5421" s="60" t="str">
        <f t="shared" si="3884"/>
        <v>hide</v>
      </c>
      <c r="D5421" s="48" t="str">
        <f>D5420</f>
        <v>BC MINI MINIS</v>
      </c>
      <c r="E5421" s="7"/>
      <c r="F5421" s="27">
        <v>0</v>
      </c>
      <c r="G5421" s="27">
        <v>0</v>
      </c>
      <c r="H5421" s="27">
        <v>0</v>
      </c>
      <c r="I5421" s="27">
        <v>0</v>
      </c>
      <c r="J5421" s="27">
        <v>0</v>
      </c>
      <c r="K5421" s="63">
        <f>AVERAGE(I5421:J5421)</f>
        <v>0</v>
      </c>
      <c r="L5421" s="56" t="str">
        <f>"SW-RISER-PACK"</f>
        <v>SW-RISER-PACK</v>
      </c>
      <c r="M5421" s="14"/>
      <c r="N5421" s="15"/>
      <c r="O5421" s="12"/>
      <c r="P5421" s="34"/>
      <c r="Q5421" s="37"/>
      <c r="R5421" s="47"/>
      <c r="S5421" s="46"/>
    </row>
    <row r="5422" spans="1:19" ht="12" hidden="1" customHeight="1" x14ac:dyDescent="0.3">
      <c r="A5422" s="35" t="s">
        <v>908</v>
      </c>
      <c r="B5422" s="49" t="str">
        <f>B5418</f>
        <v>hide</v>
      </c>
      <c r="N5422"/>
      <c r="Q5422" s="33"/>
    </row>
    <row r="5423" spans="1:19" ht="13.8" hidden="1" thickBot="1" x14ac:dyDescent="0.3">
      <c r="A5423" t="s">
        <v>23</v>
      </c>
      <c r="B5423" s="49" t="str">
        <f t="shared" ref="B5423" si="3885">B5422</f>
        <v>hide</v>
      </c>
      <c r="D5423" s="58"/>
      <c r="E5423" s="58"/>
      <c r="F5423" s="52">
        <f>SUM(F5418:F5422)</f>
        <v>0</v>
      </c>
      <c r="G5423" s="52">
        <f>SUM(G5418:G5422)</f>
        <v>0</v>
      </c>
      <c r="H5423" s="52">
        <f>SUM(H5418:H5422)</f>
        <v>0</v>
      </c>
      <c r="I5423" s="52">
        <f>SUM(I5418:I5422)</f>
        <v>0</v>
      </c>
      <c r="J5423" s="52">
        <f>SUM(J5418:J5422)</f>
        <v>0</v>
      </c>
      <c r="K5423" s="52"/>
      <c r="L5423" s="51" t="s">
        <v>4</v>
      </c>
      <c r="M5423" s="58"/>
      <c r="N5423" s="58"/>
      <c r="O5423" s="58"/>
      <c r="P5423" s="58"/>
      <c r="Q5423" s="58"/>
      <c r="R5423" s="58"/>
      <c r="S5423" s="58"/>
    </row>
    <row r="5424" spans="1:19" s="59" customFormat="1" ht="18.75" customHeight="1" thickBot="1" x14ac:dyDescent="0.3">
      <c r="A5424" s="59" t="s">
        <v>23</v>
      </c>
      <c r="B5424" s="60" t="str">
        <f t="shared" ref="B5424:B5425" si="3886">IF(K5424=0,"hide","")</f>
        <v/>
      </c>
      <c r="D5424" s="61" t="str">
        <f>"BCR272"</f>
        <v>BCR272</v>
      </c>
      <c r="E5424" s="62" t="str">
        <f>"2"</f>
        <v>2</v>
      </c>
      <c r="F5424" s="63">
        <v>371.5</v>
      </c>
      <c r="G5424" s="63">
        <v>391.83333333333331</v>
      </c>
      <c r="H5424" s="63">
        <v>517.41666666666663</v>
      </c>
      <c r="I5424" s="63">
        <v>1693.0833333333333</v>
      </c>
      <c r="J5424" s="63">
        <v>714.59204819277113</v>
      </c>
      <c r="K5424" s="63">
        <f>AVERAGE(I5424:J5424)</f>
        <v>1203.8376907630523</v>
      </c>
      <c r="L5424" s="64" t="str">
        <f>"WG Blueberry Crumb LOAVES 2CG"</f>
        <v>WG Blueberry Crumb LOAVES 2CG</v>
      </c>
      <c r="M5424" s="65" t="str">
        <f>"72-3oz IW"</f>
        <v>72-3oz IW</v>
      </c>
      <c r="N5424" s="66">
        <v>72</v>
      </c>
      <c r="O5424" s="67" t="str">
        <f>""</f>
        <v/>
      </c>
      <c r="P5424" s="68" t="e">
        <f>1/O5424</f>
        <v>#VALUE!</v>
      </c>
      <c r="Q5424" s="53">
        <v>1</v>
      </c>
      <c r="R5424" s="69">
        <f t="shared" ref="R5424" si="3887">1/Q5424</f>
        <v>1</v>
      </c>
      <c r="S5424" s="70">
        <f t="shared" ref="S5424" si="3888">R5424*N5424</f>
        <v>72</v>
      </c>
    </row>
    <row r="5425" spans="1:19" ht="15.6" hidden="1" customHeight="1" thickBot="1" x14ac:dyDescent="0.3">
      <c r="A5425" t="s">
        <v>23</v>
      </c>
      <c r="B5425" s="60" t="str">
        <f t="shared" si="3886"/>
        <v>hide</v>
      </c>
      <c r="D5425" s="48" t="str">
        <f>D5424</f>
        <v>BCR272</v>
      </c>
      <c r="E5425" s="7"/>
      <c r="F5425" s="27">
        <v>0</v>
      </c>
      <c r="G5425" s="27">
        <v>0</v>
      </c>
      <c r="H5425" s="27">
        <v>0</v>
      </c>
      <c r="I5425" s="27">
        <v>0</v>
      </c>
      <c r="J5425" s="27">
        <v>0</v>
      </c>
      <c r="K5425" s="63">
        <f>AVERAGE(I5425:J5425)</f>
        <v>0</v>
      </c>
      <c r="L5425" s="56" t="str">
        <f>"EQP-LAWPACK1"</f>
        <v>EQP-LAWPACK1</v>
      </c>
      <c r="M5425" s="14"/>
      <c r="N5425" s="15"/>
      <c r="O5425" s="12"/>
      <c r="P5425" s="34"/>
      <c r="Q5425" s="37"/>
      <c r="R5425" s="47"/>
      <c r="S5425" s="46"/>
    </row>
    <row r="5426" spans="1:19" ht="15.6" hidden="1" customHeight="1" thickBot="1" x14ac:dyDescent="0.3">
      <c r="A5426" t="s">
        <v>23</v>
      </c>
      <c r="B5426" s="60" t="str">
        <f t="shared" ref="B5426:B5428" si="3889">IF(K5426=0,"hide","")</f>
        <v>hide</v>
      </c>
      <c r="D5426" s="48" t="str">
        <f>D5425</f>
        <v>BCR272</v>
      </c>
      <c r="E5426" s="7"/>
      <c r="F5426" s="27">
        <v>0</v>
      </c>
      <c r="G5426" s="27">
        <v>0</v>
      </c>
      <c r="H5426" s="27">
        <v>0</v>
      </c>
      <c r="I5426" s="27">
        <v>0</v>
      </c>
      <c r="J5426" s="27">
        <v>0</v>
      </c>
      <c r="K5426" s="63">
        <f>AVERAGE(I5426:J5426)</f>
        <v>0</v>
      </c>
      <c r="L5426" s="56" t="str">
        <f>"EQP-LAWPACK2"</f>
        <v>EQP-LAWPACK2</v>
      </c>
      <c r="M5426" s="14"/>
      <c r="N5426" s="15"/>
      <c r="O5426" s="12"/>
      <c r="P5426" s="34"/>
      <c r="Q5426" s="37"/>
      <c r="R5426" s="47"/>
      <c r="S5426" s="46"/>
    </row>
    <row r="5427" spans="1:19" ht="15.6" hidden="1" customHeight="1" thickBot="1" x14ac:dyDescent="0.3">
      <c r="A5427" t="s">
        <v>23</v>
      </c>
      <c r="B5427" s="60" t="str">
        <f t="shared" si="3889"/>
        <v>hide</v>
      </c>
      <c r="D5427" s="48" t="str">
        <f>D5426</f>
        <v>BCR272</v>
      </c>
      <c r="E5427" s="7"/>
      <c r="F5427" s="27">
        <v>0</v>
      </c>
      <c r="G5427" s="27">
        <v>0</v>
      </c>
      <c r="H5427" s="27">
        <v>0</v>
      </c>
      <c r="I5427" s="27">
        <v>0</v>
      </c>
      <c r="J5427" s="27">
        <v>0</v>
      </c>
      <c r="K5427" s="63">
        <f>AVERAGE(I5427:J5427)</f>
        <v>0</v>
      </c>
      <c r="L5427" s="56" t="str">
        <f>"SW-COMAS-PACKL"</f>
        <v>SW-COMAS-PACKL</v>
      </c>
      <c r="M5427" s="14"/>
      <c r="N5427" s="15"/>
      <c r="O5427" s="12"/>
      <c r="P5427" s="34"/>
      <c r="Q5427" s="37"/>
      <c r="R5427" s="47"/>
      <c r="S5427" s="46"/>
    </row>
    <row r="5428" spans="1:19" ht="15.6" hidden="1" customHeight="1" thickBot="1" x14ac:dyDescent="0.3">
      <c r="A5428" t="s">
        <v>23</v>
      </c>
      <c r="B5428" s="60" t="str">
        <f t="shared" si="3889"/>
        <v>hide</v>
      </c>
      <c r="D5428" s="48" t="str">
        <f>D5427</f>
        <v>BCR272</v>
      </c>
      <c r="E5428" s="7"/>
      <c r="F5428" s="27">
        <v>0</v>
      </c>
      <c r="G5428" s="27">
        <v>0</v>
      </c>
      <c r="H5428" s="27">
        <v>0</v>
      </c>
      <c r="I5428" s="27">
        <v>0</v>
      </c>
      <c r="J5428" s="27">
        <v>0</v>
      </c>
      <c r="K5428" s="63">
        <f>AVERAGE(I5428:J5428)</f>
        <v>0</v>
      </c>
      <c r="L5428" s="56" t="str">
        <f>"SW-RISER-PACK"</f>
        <v>SW-RISER-PACK</v>
      </c>
      <c r="M5428" s="14"/>
      <c r="N5428" s="15"/>
      <c r="O5428" s="12"/>
      <c r="P5428" s="34"/>
      <c r="Q5428" s="37"/>
      <c r="R5428" s="47"/>
      <c r="S5428" s="46"/>
    </row>
    <row r="5429" spans="1:19" ht="12" hidden="1" customHeight="1" x14ac:dyDescent="0.3">
      <c r="A5429" s="35" t="s">
        <v>908</v>
      </c>
      <c r="B5429" s="49" t="str">
        <f>B5425</f>
        <v>hide</v>
      </c>
      <c r="N5429"/>
      <c r="Q5429" s="33"/>
    </row>
    <row r="5430" spans="1:19" ht="13.8" hidden="1" thickBot="1" x14ac:dyDescent="0.3">
      <c r="A5430" t="s">
        <v>23</v>
      </c>
      <c r="B5430" s="49" t="str">
        <f t="shared" ref="B5430" si="3890">B5429</f>
        <v>hide</v>
      </c>
      <c r="D5430" s="58"/>
      <c r="E5430" s="58"/>
      <c r="F5430" s="52">
        <f>SUM(F5425:F5429)</f>
        <v>0</v>
      </c>
      <c r="G5430" s="52">
        <f>SUM(G5425:G5429)</f>
        <v>0</v>
      </c>
      <c r="H5430" s="52">
        <f>SUM(H5425:H5429)</f>
        <v>0</v>
      </c>
      <c r="I5430" s="52">
        <f>SUM(I5425:I5429)</f>
        <v>0</v>
      </c>
      <c r="J5430" s="52">
        <f>SUM(J5425:J5429)</f>
        <v>0</v>
      </c>
      <c r="K5430" s="52"/>
      <c r="L5430" s="51" t="s">
        <v>4</v>
      </c>
      <c r="M5430" s="58"/>
      <c r="N5430" s="58"/>
      <c r="O5430" s="58"/>
      <c r="P5430" s="58"/>
      <c r="Q5430" s="58"/>
      <c r="R5430" s="58"/>
      <c r="S5430" s="58"/>
    </row>
    <row r="5431" spans="1:19" s="59" customFormat="1" ht="18.75" customHeight="1" thickBot="1" x14ac:dyDescent="0.3">
      <c r="A5431" s="59" t="s">
        <v>23</v>
      </c>
      <c r="B5431" s="60" t="str">
        <f t="shared" ref="B5431:B5432" si="3891">IF(K5431=0,"hide","")</f>
        <v/>
      </c>
      <c r="D5431" s="61" t="str">
        <f>"CBLD196"</f>
        <v>CBLD196</v>
      </c>
      <c r="E5431" s="62" t="str">
        <f>"4"</f>
        <v>4</v>
      </c>
      <c r="F5431" s="63">
        <v>375.91666666666669</v>
      </c>
      <c r="G5431" s="63">
        <v>224.91666666666666</v>
      </c>
      <c r="H5431" s="63">
        <v>300.25000000000006</v>
      </c>
      <c r="I5431" s="63">
        <v>827.58333333333337</v>
      </c>
      <c r="J5431" s="63">
        <v>971.5424096385542</v>
      </c>
      <c r="K5431" s="63">
        <f>AVERAGE(I5431:J5431)</f>
        <v>899.56287148594379</v>
      </c>
      <c r="L5431" s="64" t="str">
        <f>"WG Corn Bread Muffin"</f>
        <v>WG Corn Bread Muffin</v>
      </c>
      <c r="M5431" s="65" t="str">
        <f>"96-1.5oz IW"</f>
        <v>96-1.5oz IW</v>
      </c>
      <c r="N5431" s="66">
        <v>96</v>
      </c>
      <c r="O5431" s="67" t="str">
        <f>""</f>
        <v/>
      </c>
      <c r="P5431" s="68" t="e">
        <f>1/O5431</f>
        <v>#VALUE!</v>
      </c>
      <c r="Q5431" s="53">
        <v>1</v>
      </c>
      <c r="R5431" s="69">
        <f t="shared" ref="R5431" si="3892">1/Q5431</f>
        <v>1</v>
      </c>
      <c r="S5431" s="70">
        <f t="shared" ref="S5431" si="3893">R5431*N5431</f>
        <v>96</v>
      </c>
    </row>
    <row r="5432" spans="1:19" ht="15.6" hidden="1" customHeight="1" thickBot="1" x14ac:dyDescent="0.3">
      <c r="A5432" t="s">
        <v>23</v>
      </c>
      <c r="B5432" s="60" t="str">
        <f t="shared" si="3891"/>
        <v>hide</v>
      </c>
      <c r="D5432" s="48" t="str">
        <f>D5431</f>
        <v>CBLD196</v>
      </c>
      <c r="E5432" s="7"/>
      <c r="F5432" s="27">
        <v>0</v>
      </c>
      <c r="G5432" s="27">
        <v>0</v>
      </c>
      <c r="H5432" s="27">
        <v>0</v>
      </c>
      <c r="I5432" s="27">
        <v>0</v>
      </c>
      <c r="J5432" s="27">
        <v>0</v>
      </c>
      <c r="K5432" s="63">
        <f>AVERAGE(I5432:J5432)</f>
        <v>0</v>
      </c>
      <c r="L5432" s="56" t="str">
        <f>"EQP-LAWPACK1"</f>
        <v>EQP-LAWPACK1</v>
      </c>
      <c r="M5432" s="14"/>
      <c r="N5432" s="15"/>
      <c r="O5432" s="12"/>
      <c r="P5432" s="34"/>
      <c r="Q5432" s="37"/>
      <c r="R5432" s="47"/>
      <c r="S5432" s="46"/>
    </row>
    <row r="5433" spans="1:19" ht="15.6" hidden="1" customHeight="1" thickBot="1" x14ac:dyDescent="0.3">
      <c r="A5433" t="s">
        <v>23</v>
      </c>
      <c r="B5433" s="60" t="str">
        <f t="shared" ref="B5433:B5435" si="3894">IF(K5433=0,"hide","")</f>
        <v>hide</v>
      </c>
      <c r="D5433" s="48" t="str">
        <f>D5432</f>
        <v>CBLD196</v>
      </c>
      <c r="E5433" s="7"/>
      <c r="F5433" s="27">
        <v>0</v>
      </c>
      <c r="G5433" s="27">
        <v>0</v>
      </c>
      <c r="H5433" s="27">
        <v>0</v>
      </c>
      <c r="I5433" s="27">
        <v>0</v>
      </c>
      <c r="J5433" s="27">
        <v>0</v>
      </c>
      <c r="K5433" s="63">
        <f>AVERAGE(I5433:J5433)</f>
        <v>0</v>
      </c>
      <c r="L5433" s="56" t="str">
        <f>"EQP-LAWPACK2"</f>
        <v>EQP-LAWPACK2</v>
      </c>
      <c r="M5433" s="14"/>
      <c r="N5433" s="15"/>
      <c r="O5433" s="12"/>
      <c r="P5433" s="34"/>
      <c r="Q5433" s="37"/>
      <c r="R5433" s="47"/>
      <c r="S5433" s="46"/>
    </row>
    <row r="5434" spans="1:19" ht="15.6" hidden="1" customHeight="1" thickBot="1" x14ac:dyDescent="0.3">
      <c r="A5434" t="s">
        <v>23</v>
      </c>
      <c r="B5434" s="60" t="str">
        <f t="shared" si="3894"/>
        <v>hide</v>
      </c>
      <c r="D5434" s="48" t="str">
        <f>D5433</f>
        <v>CBLD196</v>
      </c>
      <c r="E5434" s="7"/>
      <c r="F5434" s="27">
        <v>0</v>
      </c>
      <c r="G5434" s="27">
        <v>0</v>
      </c>
      <c r="H5434" s="27">
        <v>0</v>
      </c>
      <c r="I5434" s="27">
        <v>0</v>
      </c>
      <c r="J5434" s="27">
        <v>0</v>
      </c>
      <c r="K5434" s="63">
        <f>AVERAGE(I5434:J5434)</f>
        <v>0</v>
      </c>
      <c r="L5434" s="56" t="str">
        <f>"SW-COMAS-PACKL"</f>
        <v>SW-COMAS-PACKL</v>
      </c>
      <c r="M5434" s="14"/>
      <c r="N5434" s="15"/>
      <c r="O5434" s="12"/>
      <c r="P5434" s="34"/>
      <c r="Q5434" s="37"/>
      <c r="R5434" s="47"/>
      <c r="S5434" s="46"/>
    </row>
    <row r="5435" spans="1:19" ht="15.6" hidden="1" customHeight="1" thickBot="1" x14ac:dyDescent="0.3">
      <c r="A5435" t="s">
        <v>23</v>
      </c>
      <c r="B5435" s="60" t="str">
        <f t="shared" si="3894"/>
        <v>hide</v>
      </c>
      <c r="D5435" s="48" t="str">
        <f>D5434</f>
        <v>CBLD196</v>
      </c>
      <c r="E5435" s="7"/>
      <c r="F5435" s="27">
        <v>0</v>
      </c>
      <c r="G5435" s="27">
        <v>0</v>
      </c>
      <c r="H5435" s="27">
        <v>0</v>
      </c>
      <c r="I5435" s="27">
        <v>0</v>
      </c>
      <c r="J5435" s="27">
        <v>0</v>
      </c>
      <c r="K5435" s="63">
        <f>AVERAGE(I5435:J5435)</f>
        <v>0</v>
      </c>
      <c r="L5435" s="56" t="str">
        <f>"SW-RISER-PACK"</f>
        <v>SW-RISER-PACK</v>
      </c>
      <c r="M5435" s="14"/>
      <c r="N5435" s="15"/>
      <c r="O5435" s="12"/>
      <c r="P5435" s="34"/>
      <c r="Q5435" s="37"/>
      <c r="R5435" s="47"/>
      <c r="S5435" s="46"/>
    </row>
    <row r="5436" spans="1:19" ht="12" hidden="1" customHeight="1" x14ac:dyDescent="0.3">
      <c r="A5436" s="35" t="s">
        <v>908</v>
      </c>
      <c r="B5436" s="49" t="str">
        <f>B5432</f>
        <v>hide</v>
      </c>
      <c r="N5436"/>
      <c r="Q5436" s="33"/>
    </row>
    <row r="5437" spans="1:19" ht="13.8" hidden="1" thickBot="1" x14ac:dyDescent="0.3">
      <c r="A5437" t="s">
        <v>23</v>
      </c>
      <c r="B5437" s="49" t="str">
        <f t="shared" ref="B5437" si="3895">B5436</f>
        <v>hide</v>
      </c>
      <c r="D5437" s="58"/>
      <c r="E5437" s="58"/>
      <c r="F5437" s="52">
        <f>SUM(F5432:F5436)</f>
        <v>0</v>
      </c>
      <c r="G5437" s="52">
        <f>SUM(G5432:G5436)</f>
        <v>0</v>
      </c>
      <c r="H5437" s="52">
        <f>SUM(H5432:H5436)</f>
        <v>0</v>
      </c>
      <c r="I5437" s="52">
        <f>SUM(I5432:I5436)</f>
        <v>0</v>
      </c>
      <c r="J5437" s="52">
        <f>SUM(J5432:J5436)</f>
        <v>0</v>
      </c>
      <c r="K5437" s="52"/>
      <c r="L5437" s="51" t="s">
        <v>4</v>
      </c>
      <c r="M5437" s="58"/>
      <c r="N5437" s="58"/>
      <c r="O5437" s="58"/>
      <c r="P5437" s="58"/>
      <c r="Q5437" s="58"/>
      <c r="R5437" s="58"/>
      <c r="S5437" s="58"/>
    </row>
    <row r="5438" spans="1:19" s="59" customFormat="1" ht="18.75" customHeight="1" thickBot="1" x14ac:dyDescent="0.3">
      <c r="A5438" s="59" t="s">
        <v>23</v>
      </c>
      <c r="B5438" s="60" t="str">
        <f t="shared" ref="B5438:B5439" si="3896">IF(K5438=0,"hide","")</f>
        <v/>
      </c>
      <c r="D5438" s="61" t="str">
        <f>"CBLD248"</f>
        <v>CBLD248</v>
      </c>
      <c r="E5438" s="62" t="str">
        <f>"3"</f>
        <v>3</v>
      </c>
      <c r="F5438" s="63">
        <v>337.24999999999994</v>
      </c>
      <c r="G5438" s="63">
        <v>25.5</v>
      </c>
      <c r="H5438" s="63">
        <v>90</v>
      </c>
      <c r="I5438" s="63">
        <v>38.999999999999993</v>
      </c>
      <c r="J5438" s="63">
        <v>160.66216867469879</v>
      </c>
      <c r="K5438" s="63">
        <f>AVERAGE(I5438:J5438)</f>
        <v>99.831084337349395</v>
      </c>
      <c r="L5438" s="64" t="str">
        <f>" WG Corn Bread Muffin 2G"</f>
        <v xml:space="preserve"> WG Corn Bread Muffin 2G</v>
      </c>
      <c r="M5438" s="65" t="str">
        <f>"48-2.5oz IW"</f>
        <v>48-2.5oz IW</v>
      </c>
      <c r="N5438" s="66">
        <v>48</v>
      </c>
      <c r="O5438" s="67" t="str">
        <f>""</f>
        <v/>
      </c>
      <c r="P5438" s="68" t="e">
        <f>1/O5438</f>
        <v>#VALUE!</v>
      </c>
      <c r="Q5438" s="53">
        <v>1</v>
      </c>
      <c r="R5438" s="69">
        <f t="shared" ref="R5438" si="3897">1/Q5438</f>
        <v>1</v>
      </c>
      <c r="S5438" s="70">
        <f t="shared" ref="S5438" si="3898">R5438*N5438</f>
        <v>48</v>
      </c>
    </row>
    <row r="5439" spans="1:19" ht="15.6" hidden="1" customHeight="1" thickBot="1" x14ac:dyDescent="0.3">
      <c r="A5439" t="s">
        <v>23</v>
      </c>
      <c r="B5439" s="60" t="str">
        <f t="shared" si="3896"/>
        <v>hide</v>
      </c>
      <c r="D5439" s="48" t="str">
        <f>D5438</f>
        <v>CBLD248</v>
      </c>
      <c r="E5439" s="7"/>
      <c r="F5439" s="27">
        <v>0</v>
      </c>
      <c r="G5439" s="27">
        <v>0</v>
      </c>
      <c r="H5439" s="27">
        <v>0</v>
      </c>
      <c r="I5439" s="27">
        <v>0</v>
      </c>
      <c r="J5439" s="27">
        <v>0</v>
      </c>
      <c r="K5439" s="63">
        <f>AVERAGE(I5439:J5439)</f>
        <v>0</v>
      </c>
      <c r="L5439" s="56" t="str">
        <f>"EQP-LAWPACK1"</f>
        <v>EQP-LAWPACK1</v>
      </c>
      <c r="M5439" s="14"/>
      <c r="N5439" s="15"/>
      <c r="O5439" s="12"/>
      <c r="P5439" s="34"/>
      <c r="Q5439" s="37"/>
      <c r="R5439" s="47"/>
      <c r="S5439" s="46"/>
    </row>
    <row r="5440" spans="1:19" ht="15.6" hidden="1" customHeight="1" thickBot="1" x14ac:dyDescent="0.3">
      <c r="A5440" t="s">
        <v>23</v>
      </c>
      <c r="B5440" s="60" t="str">
        <f t="shared" ref="B5440:B5442" si="3899">IF(K5440=0,"hide","")</f>
        <v>hide</v>
      </c>
      <c r="D5440" s="48" t="str">
        <f>D5439</f>
        <v>CBLD248</v>
      </c>
      <c r="E5440" s="7"/>
      <c r="F5440" s="27">
        <v>0</v>
      </c>
      <c r="G5440" s="27">
        <v>0</v>
      </c>
      <c r="H5440" s="27">
        <v>0</v>
      </c>
      <c r="I5440" s="27">
        <v>0</v>
      </c>
      <c r="J5440" s="27">
        <v>0</v>
      </c>
      <c r="K5440" s="63">
        <f>AVERAGE(I5440:J5440)</f>
        <v>0</v>
      </c>
      <c r="L5440" s="56" t="str">
        <f>"EQP-LAWPACK2"</f>
        <v>EQP-LAWPACK2</v>
      </c>
      <c r="M5440" s="14"/>
      <c r="N5440" s="15"/>
      <c r="O5440" s="12"/>
      <c r="P5440" s="34"/>
      <c r="Q5440" s="37"/>
      <c r="R5440" s="47"/>
      <c r="S5440" s="46"/>
    </row>
    <row r="5441" spans="1:19" ht="15.6" hidden="1" customHeight="1" thickBot="1" x14ac:dyDescent="0.3">
      <c r="A5441" t="s">
        <v>23</v>
      </c>
      <c r="B5441" s="60" t="str">
        <f t="shared" si="3899"/>
        <v>hide</v>
      </c>
      <c r="D5441" s="48" t="str">
        <f>D5440</f>
        <v>CBLD248</v>
      </c>
      <c r="E5441" s="7"/>
      <c r="F5441" s="27">
        <v>0</v>
      </c>
      <c r="G5441" s="27">
        <v>0</v>
      </c>
      <c r="H5441" s="27">
        <v>0</v>
      </c>
      <c r="I5441" s="27">
        <v>0</v>
      </c>
      <c r="J5441" s="27">
        <v>0</v>
      </c>
      <c r="K5441" s="63">
        <f>AVERAGE(I5441:J5441)</f>
        <v>0</v>
      </c>
      <c r="L5441" s="56" t="str">
        <f>"SW-COMAS-PACKL"</f>
        <v>SW-COMAS-PACKL</v>
      </c>
      <c r="M5441" s="14"/>
      <c r="N5441" s="15"/>
      <c r="O5441" s="12"/>
      <c r="P5441" s="34"/>
      <c r="Q5441" s="37"/>
      <c r="R5441" s="47"/>
      <c r="S5441" s="46"/>
    </row>
    <row r="5442" spans="1:19" ht="15.6" hidden="1" customHeight="1" thickBot="1" x14ac:dyDescent="0.3">
      <c r="A5442" t="s">
        <v>23</v>
      </c>
      <c r="B5442" s="60" t="str">
        <f t="shared" si="3899"/>
        <v>hide</v>
      </c>
      <c r="D5442" s="48" t="str">
        <f>D5441</f>
        <v>CBLD248</v>
      </c>
      <c r="E5442" s="7"/>
      <c r="F5442" s="27">
        <v>0</v>
      </c>
      <c r="G5442" s="27">
        <v>0</v>
      </c>
      <c r="H5442" s="27">
        <v>0</v>
      </c>
      <c r="I5442" s="27">
        <v>0</v>
      </c>
      <c r="J5442" s="27">
        <v>0</v>
      </c>
      <c r="K5442" s="63">
        <f>AVERAGE(I5442:J5442)</f>
        <v>0</v>
      </c>
      <c r="L5442" s="56" t="str">
        <f>"SW-RISER-PACK"</f>
        <v>SW-RISER-PACK</v>
      </c>
      <c r="M5442" s="14"/>
      <c r="N5442" s="15"/>
      <c r="O5442" s="12"/>
      <c r="P5442" s="34"/>
      <c r="Q5442" s="37"/>
      <c r="R5442" s="47"/>
      <c r="S5442" s="46"/>
    </row>
    <row r="5443" spans="1:19" ht="12" hidden="1" customHeight="1" x14ac:dyDescent="0.3">
      <c r="A5443" s="35" t="s">
        <v>908</v>
      </c>
      <c r="B5443" s="49" t="str">
        <f>B5439</f>
        <v>hide</v>
      </c>
      <c r="N5443"/>
      <c r="Q5443" s="33"/>
    </row>
    <row r="5444" spans="1:19" ht="13.8" hidden="1" thickBot="1" x14ac:dyDescent="0.3">
      <c r="A5444" t="s">
        <v>23</v>
      </c>
      <c r="B5444" s="49" t="str">
        <f t="shared" ref="B5444" si="3900">B5443</f>
        <v>hide</v>
      </c>
      <c r="D5444" s="58"/>
      <c r="E5444" s="58"/>
      <c r="F5444" s="52">
        <f>SUM(F5439:F5443)</f>
        <v>0</v>
      </c>
      <c r="G5444" s="52">
        <f>SUM(G5439:G5443)</f>
        <v>0</v>
      </c>
      <c r="H5444" s="52">
        <f>SUM(H5439:H5443)</f>
        <v>0</v>
      </c>
      <c r="I5444" s="52">
        <f>SUM(I5439:I5443)</f>
        <v>0</v>
      </c>
      <c r="J5444" s="52">
        <f>SUM(J5439:J5443)</f>
        <v>0</v>
      </c>
      <c r="K5444" s="52"/>
      <c r="L5444" s="51" t="s">
        <v>4</v>
      </c>
      <c r="M5444" s="58"/>
      <c r="N5444" s="58"/>
      <c r="O5444" s="58"/>
      <c r="P5444" s="58"/>
      <c r="Q5444" s="58"/>
      <c r="R5444" s="58"/>
      <c r="S5444" s="58"/>
    </row>
    <row r="5445" spans="1:19" s="59" customFormat="1" ht="18.75" customHeight="1" thickBot="1" x14ac:dyDescent="0.3">
      <c r="A5445" s="59" t="s">
        <v>23</v>
      </c>
      <c r="B5445" s="60" t="str">
        <f t="shared" ref="B5445:B5446" si="3901">IF(K5445=0,"hide","")</f>
        <v/>
      </c>
      <c r="D5445" s="61" t="str">
        <f>"CBLD296"</f>
        <v>CBLD296</v>
      </c>
      <c r="E5445" s="62" t="str">
        <f>"4"</f>
        <v>4</v>
      </c>
      <c r="F5445" s="63">
        <v>347.33333333333331</v>
      </c>
      <c r="G5445" s="63">
        <v>223.91666666666666</v>
      </c>
      <c r="H5445" s="63">
        <v>224.75</v>
      </c>
      <c r="I5445" s="63">
        <v>436.33333333333331</v>
      </c>
      <c r="J5445" s="63">
        <v>956.54000000000008</v>
      </c>
      <c r="K5445" s="63">
        <f>AVERAGE(I5445:J5445)</f>
        <v>696.43666666666672</v>
      </c>
      <c r="L5445" s="64" t="str">
        <f>"Whole Grain Corn Bread Loaf 2.5oz"</f>
        <v>Whole Grain Corn Bread Loaf 2.5oz</v>
      </c>
      <c r="M5445" s="65" t="str">
        <f>"96-2.5oz IW"</f>
        <v>96-2.5oz IW</v>
      </c>
      <c r="N5445" s="66">
        <v>96</v>
      </c>
      <c r="O5445" s="67" t="str">
        <f>""</f>
        <v/>
      </c>
      <c r="P5445" s="68" t="e">
        <f>1/O5445</f>
        <v>#VALUE!</v>
      </c>
      <c r="Q5445" s="53">
        <v>1</v>
      </c>
      <c r="R5445" s="69">
        <f t="shared" ref="R5445" si="3902">1/Q5445</f>
        <v>1</v>
      </c>
      <c r="S5445" s="70">
        <f t="shared" ref="S5445" si="3903">R5445*N5445</f>
        <v>96</v>
      </c>
    </row>
    <row r="5446" spans="1:19" ht="15.6" hidden="1" customHeight="1" thickBot="1" x14ac:dyDescent="0.3">
      <c r="A5446" t="s">
        <v>23</v>
      </c>
      <c r="B5446" s="60" t="str">
        <f t="shared" si="3901"/>
        <v>hide</v>
      </c>
      <c r="D5446" s="48" t="str">
        <f>D5445</f>
        <v>CBLD296</v>
      </c>
      <c r="E5446" s="7"/>
      <c r="F5446" s="27">
        <v>0</v>
      </c>
      <c r="G5446" s="27">
        <v>0</v>
      </c>
      <c r="H5446" s="27">
        <v>0</v>
      </c>
      <c r="I5446" s="27">
        <v>0</v>
      </c>
      <c r="J5446" s="27">
        <v>0</v>
      </c>
      <c r="K5446" s="63">
        <f>AVERAGE(I5446:J5446)</f>
        <v>0</v>
      </c>
      <c r="L5446" s="56" t="str">
        <f>"EQP-LAWPACK1"</f>
        <v>EQP-LAWPACK1</v>
      </c>
      <c r="M5446" s="14"/>
      <c r="N5446" s="15"/>
      <c r="O5446" s="12"/>
      <c r="P5446" s="34"/>
      <c r="Q5446" s="37"/>
      <c r="R5446" s="47"/>
      <c r="S5446" s="46"/>
    </row>
    <row r="5447" spans="1:19" ht="15.6" hidden="1" customHeight="1" thickBot="1" x14ac:dyDescent="0.3">
      <c r="A5447" t="s">
        <v>23</v>
      </c>
      <c r="B5447" s="60" t="str">
        <f t="shared" ref="B5447:B5449" si="3904">IF(K5447=0,"hide","")</f>
        <v>hide</v>
      </c>
      <c r="D5447" s="48" t="str">
        <f>D5446</f>
        <v>CBLD296</v>
      </c>
      <c r="E5447" s="7"/>
      <c r="F5447" s="27">
        <v>0</v>
      </c>
      <c r="G5447" s="27">
        <v>0</v>
      </c>
      <c r="H5447" s="27">
        <v>0</v>
      </c>
      <c r="I5447" s="27">
        <v>0</v>
      </c>
      <c r="J5447" s="27">
        <v>0</v>
      </c>
      <c r="K5447" s="63">
        <f>AVERAGE(I5447:J5447)</f>
        <v>0</v>
      </c>
      <c r="L5447" s="56" t="str">
        <f>"EQP-LAWPACK2"</f>
        <v>EQP-LAWPACK2</v>
      </c>
      <c r="M5447" s="14"/>
      <c r="N5447" s="15"/>
      <c r="O5447" s="12"/>
      <c r="P5447" s="34"/>
      <c r="Q5447" s="37"/>
      <c r="R5447" s="47"/>
      <c r="S5447" s="46"/>
    </row>
    <row r="5448" spans="1:19" ht="15.6" hidden="1" customHeight="1" thickBot="1" x14ac:dyDescent="0.3">
      <c r="A5448" t="s">
        <v>23</v>
      </c>
      <c r="B5448" s="60" t="str">
        <f t="shared" si="3904"/>
        <v>hide</v>
      </c>
      <c r="D5448" s="48" t="str">
        <f>D5447</f>
        <v>CBLD296</v>
      </c>
      <c r="E5448" s="7"/>
      <c r="F5448" s="27">
        <v>0</v>
      </c>
      <c r="G5448" s="27">
        <v>0</v>
      </c>
      <c r="H5448" s="27">
        <v>0</v>
      </c>
      <c r="I5448" s="27">
        <v>0</v>
      </c>
      <c r="J5448" s="27">
        <v>0</v>
      </c>
      <c r="K5448" s="63">
        <f>AVERAGE(I5448:J5448)</f>
        <v>0</v>
      </c>
      <c r="L5448" s="56" t="str">
        <f>"SW-COMAS-PACKL"</f>
        <v>SW-COMAS-PACKL</v>
      </c>
      <c r="M5448" s="14"/>
      <c r="N5448" s="15"/>
      <c r="O5448" s="12"/>
      <c r="P5448" s="34"/>
      <c r="Q5448" s="37"/>
      <c r="R5448" s="47"/>
      <c r="S5448" s="46"/>
    </row>
    <row r="5449" spans="1:19" ht="15.6" hidden="1" customHeight="1" thickBot="1" x14ac:dyDescent="0.3">
      <c r="A5449" t="s">
        <v>23</v>
      </c>
      <c r="B5449" s="60" t="str">
        <f t="shared" si="3904"/>
        <v>hide</v>
      </c>
      <c r="D5449" s="48" t="str">
        <f>D5448</f>
        <v>CBLD296</v>
      </c>
      <c r="E5449" s="7"/>
      <c r="F5449" s="27">
        <v>0</v>
      </c>
      <c r="G5449" s="27">
        <v>0</v>
      </c>
      <c r="H5449" s="27">
        <v>0</v>
      </c>
      <c r="I5449" s="27">
        <v>0</v>
      </c>
      <c r="J5449" s="27">
        <v>0</v>
      </c>
      <c r="K5449" s="63">
        <f>AVERAGE(I5449:J5449)</f>
        <v>0</v>
      </c>
      <c r="L5449" s="56" t="str">
        <f>"SW-RISER-PACK"</f>
        <v>SW-RISER-PACK</v>
      </c>
      <c r="M5449" s="14"/>
      <c r="N5449" s="15"/>
      <c r="O5449" s="12"/>
      <c r="P5449" s="34"/>
      <c r="Q5449" s="37"/>
      <c r="R5449" s="47"/>
      <c r="S5449" s="46"/>
    </row>
    <row r="5450" spans="1:19" ht="12" hidden="1" customHeight="1" x14ac:dyDescent="0.3">
      <c r="A5450" s="35" t="s">
        <v>908</v>
      </c>
      <c r="B5450" s="49" t="str">
        <f>B5446</f>
        <v>hide</v>
      </c>
      <c r="N5450"/>
      <c r="Q5450" s="33"/>
    </row>
    <row r="5451" spans="1:19" ht="13.8" hidden="1" thickBot="1" x14ac:dyDescent="0.3">
      <c r="A5451" t="s">
        <v>23</v>
      </c>
      <c r="B5451" s="49" t="str">
        <f t="shared" ref="B5451" si="3905">B5450</f>
        <v>hide</v>
      </c>
      <c r="D5451" s="58"/>
      <c r="E5451" s="58"/>
      <c r="F5451" s="52">
        <f>SUM(F5446:F5450)</f>
        <v>0</v>
      </c>
      <c r="G5451" s="52">
        <f>SUM(G5446:G5450)</f>
        <v>0</v>
      </c>
      <c r="H5451" s="52">
        <f>SUM(H5446:H5450)</f>
        <v>0</v>
      </c>
      <c r="I5451" s="52">
        <f>SUM(I5446:I5450)</f>
        <v>0</v>
      </c>
      <c r="J5451" s="52">
        <f>SUM(J5446:J5450)</f>
        <v>0</v>
      </c>
      <c r="K5451" s="52"/>
      <c r="L5451" s="51" t="s">
        <v>4</v>
      </c>
      <c r="M5451" s="58"/>
      <c r="N5451" s="58"/>
      <c r="O5451" s="58"/>
      <c r="P5451" s="58"/>
      <c r="Q5451" s="58"/>
      <c r="R5451" s="58"/>
      <c r="S5451" s="58"/>
    </row>
    <row r="5452" spans="1:19" s="59" customFormat="1" ht="18.75" hidden="1" customHeight="1" thickBot="1" x14ac:dyDescent="0.3">
      <c r="A5452" s="59" t="s">
        <v>23</v>
      </c>
      <c r="B5452" s="60" t="str">
        <f t="shared" ref="B5452:B5453" si="3906">IF(K5452=0,"hide","")</f>
        <v>hide</v>
      </c>
      <c r="D5452" s="61" t="str">
        <f>"CHOCOLATE BOWLS"</f>
        <v>CHOCOLATE BOWLS</v>
      </c>
      <c r="E5452" s="62" t="str">
        <f>""</f>
        <v/>
      </c>
      <c r="F5452" s="63">
        <v>0</v>
      </c>
      <c r="G5452" s="63">
        <v>0</v>
      </c>
      <c r="H5452" s="63">
        <v>0</v>
      </c>
      <c r="I5452" s="63">
        <v>0</v>
      </c>
      <c r="J5452" s="63">
        <v>0</v>
      </c>
      <c r="K5452" s="63">
        <f>AVERAGE(I5452:J5452)</f>
        <v>0</v>
      </c>
      <c r="L5452" s="64" t="str">
        <f>""</f>
        <v/>
      </c>
      <c r="M5452" s="65" t="str">
        <f>""</f>
        <v/>
      </c>
      <c r="N5452" s="66" t="str">
        <f>""</f>
        <v/>
      </c>
      <c r="O5452" s="67" t="e">
        <v>#VALUE!</v>
      </c>
      <c r="P5452" s="68" t="e">
        <f>1/O5452</f>
        <v>#VALUE!</v>
      </c>
      <c r="Q5452" s="53" t="e">
        <v>#VALUE!</v>
      </c>
      <c r="R5452" s="69" t="e">
        <f t="shared" ref="R5452" si="3907">1/Q5452</f>
        <v>#VALUE!</v>
      </c>
      <c r="S5452" s="70" t="e">
        <f t="shared" ref="S5452" si="3908">R5452*N5452</f>
        <v>#VALUE!</v>
      </c>
    </row>
    <row r="5453" spans="1:19" ht="15.6" hidden="1" customHeight="1" thickBot="1" x14ac:dyDescent="0.3">
      <c r="A5453" t="s">
        <v>23</v>
      </c>
      <c r="B5453" s="60" t="str">
        <f t="shared" si="3906"/>
        <v>hide</v>
      </c>
      <c r="D5453" s="48" t="str">
        <f>D5452</f>
        <v>CHOCOLATE BOWLS</v>
      </c>
      <c r="E5453" s="7"/>
      <c r="F5453" s="27">
        <v>0</v>
      </c>
      <c r="G5453" s="27">
        <v>0</v>
      </c>
      <c r="H5453" s="27">
        <v>0</v>
      </c>
      <c r="I5453" s="27">
        <v>0</v>
      </c>
      <c r="J5453" s="27">
        <v>0</v>
      </c>
      <c r="K5453" s="63">
        <f>AVERAGE(I5453:J5453)</f>
        <v>0</v>
      </c>
      <c r="L5453" s="56" t="str">
        <f>"EQP-LAWPACK1"</f>
        <v>EQP-LAWPACK1</v>
      </c>
      <c r="M5453" s="14"/>
      <c r="N5453" s="15"/>
      <c r="O5453" s="12"/>
      <c r="P5453" s="34"/>
      <c r="Q5453" s="37"/>
      <c r="R5453" s="47"/>
      <c r="S5453" s="46"/>
    </row>
    <row r="5454" spans="1:19" ht="15.6" hidden="1" customHeight="1" thickBot="1" x14ac:dyDescent="0.3">
      <c r="A5454" t="s">
        <v>23</v>
      </c>
      <c r="B5454" s="60" t="str">
        <f t="shared" ref="B5454:B5456" si="3909">IF(K5454=0,"hide","")</f>
        <v>hide</v>
      </c>
      <c r="D5454" s="48" t="str">
        <f>D5453</f>
        <v>CHOCOLATE BOWLS</v>
      </c>
      <c r="E5454" s="7"/>
      <c r="F5454" s="27">
        <v>0</v>
      </c>
      <c r="G5454" s="27">
        <v>0</v>
      </c>
      <c r="H5454" s="27">
        <v>0</v>
      </c>
      <c r="I5454" s="27">
        <v>0</v>
      </c>
      <c r="J5454" s="27">
        <v>0</v>
      </c>
      <c r="K5454" s="63">
        <f>AVERAGE(I5454:J5454)</f>
        <v>0</v>
      </c>
      <c r="L5454" s="56" t="str">
        <f>"EQP-LAWPACK2"</f>
        <v>EQP-LAWPACK2</v>
      </c>
      <c r="M5454" s="14"/>
      <c r="N5454" s="15"/>
      <c r="O5454" s="12"/>
      <c r="P5454" s="34"/>
      <c r="Q5454" s="37"/>
      <c r="R5454" s="47"/>
      <c r="S5454" s="46"/>
    </row>
    <row r="5455" spans="1:19" ht="15.6" hidden="1" customHeight="1" thickBot="1" x14ac:dyDescent="0.3">
      <c r="A5455" t="s">
        <v>23</v>
      </c>
      <c r="B5455" s="60" t="str">
        <f t="shared" si="3909"/>
        <v>hide</v>
      </c>
      <c r="D5455" s="48" t="str">
        <f>D5454</f>
        <v>CHOCOLATE BOWLS</v>
      </c>
      <c r="E5455" s="7"/>
      <c r="F5455" s="27">
        <v>0</v>
      </c>
      <c r="G5455" s="27">
        <v>0</v>
      </c>
      <c r="H5455" s="27">
        <v>0</v>
      </c>
      <c r="I5455" s="27">
        <v>0</v>
      </c>
      <c r="J5455" s="27">
        <v>0</v>
      </c>
      <c r="K5455" s="63">
        <f>AVERAGE(I5455:J5455)</f>
        <v>0</v>
      </c>
      <c r="L5455" s="56" t="str">
        <f>"SW-COMAS-PACKL"</f>
        <v>SW-COMAS-PACKL</v>
      </c>
      <c r="M5455" s="14"/>
      <c r="N5455" s="15"/>
      <c r="O5455" s="12"/>
      <c r="P5455" s="34"/>
      <c r="Q5455" s="37"/>
      <c r="R5455" s="47"/>
      <c r="S5455" s="46"/>
    </row>
    <row r="5456" spans="1:19" ht="15.6" hidden="1" customHeight="1" thickBot="1" x14ac:dyDescent="0.3">
      <c r="A5456" t="s">
        <v>23</v>
      </c>
      <c r="B5456" s="60" t="str">
        <f t="shared" si="3909"/>
        <v>hide</v>
      </c>
      <c r="D5456" s="48" t="str">
        <f>D5455</f>
        <v>CHOCOLATE BOWLS</v>
      </c>
      <c r="E5456" s="7"/>
      <c r="F5456" s="27">
        <v>0</v>
      </c>
      <c r="G5456" s="27">
        <v>0</v>
      </c>
      <c r="H5456" s="27">
        <v>0</v>
      </c>
      <c r="I5456" s="27">
        <v>0</v>
      </c>
      <c r="J5456" s="27">
        <v>0</v>
      </c>
      <c r="K5456" s="63">
        <f>AVERAGE(I5456:J5456)</f>
        <v>0</v>
      </c>
      <c r="L5456" s="56" t="str">
        <f>"SW-RISER-PACK"</f>
        <v>SW-RISER-PACK</v>
      </c>
      <c r="M5456" s="14"/>
      <c r="N5456" s="15"/>
      <c r="O5456" s="12"/>
      <c r="P5456" s="34"/>
      <c r="Q5456" s="37"/>
      <c r="R5456" s="47"/>
      <c r="S5456" s="46"/>
    </row>
    <row r="5457" spans="1:19" ht="12" hidden="1" customHeight="1" x14ac:dyDescent="0.3">
      <c r="A5457" s="35" t="s">
        <v>908</v>
      </c>
      <c r="B5457" s="49" t="str">
        <f>B5453</f>
        <v>hide</v>
      </c>
      <c r="N5457"/>
      <c r="Q5457" s="33"/>
    </row>
    <row r="5458" spans="1:19" ht="13.8" hidden="1" thickBot="1" x14ac:dyDescent="0.3">
      <c r="A5458" t="s">
        <v>23</v>
      </c>
      <c r="B5458" s="49" t="str">
        <f t="shared" ref="B5458" si="3910">B5457</f>
        <v>hide</v>
      </c>
      <c r="D5458" s="58"/>
      <c r="E5458" s="58"/>
      <c r="F5458" s="52">
        <f>SUM(F5453:F5457)</f>
        <v>0</v>
      </c>
      <c r="G5458" s="52">
        <f>SUM(G5453:G5457)</f>
        <v>0</v>
      </c>
      <c r="H5458" s="52">
        <f>SUM(H5453:H5457)</f>
        <v>0</v>
      </c>
      <c r="I5458" s="52">
        <f>SUM(I5453:I5457)</f>
        <v>0</v>
      </c>
      <c r="J5458" s="52">
        <f>SUM(J5453:J5457)</f>
        <v>0</v>
      </c>
      <c r="K5458" s="52"/>
      <c r="L5458" s="51" t="s">
        <v>4</v>
      </c>
      <c r="M5458" s="58"/>
      <c r="N5458" s="58"/>
      <c r="O5458" s="58"/>
      <c r="P5458" s="58"/>
      <c r="Q5458" s="58"/>
      <c r="R5458" s="58"/>
      <c r="S5458" s="58"/>
    </row>
    <row r="5459" spans="1:19" s="59" customFormat="1" ht="18.75" customHeight="1" thickBot="1" x14ac:dyDescent="0.3">
      <c r="A5459" s="59" t="s">
        <v>23</v>
      </c>
      <c r="B5459" s="60" t="str">
        <f t="shared" ref="B5459:B5460" si="3911">IF(K5459=0,"hide","")</f>
        <v/>
      </c>
      <c r="D5459" s="61" t="str">
        <f>"CHR272"</f>
        <v>CHR272</v>
      </c>
      <c r="E5459" s="62" t="str">
        <f>"2"</f>
        <v>2</v>
      </c>
      <c r="F5459" s="63">
        <v>452.66666666666669</v>
      </c>
      <c r="G5459" s="63">
        <v>504.91666666666657</v>
      </c>
      <c r="H5459" s="63">
        <v>396.16666666666669</v>
      </c>
      <c r="I5459" s="63">
        <v>1044.7500000000002</v>
      </c>
      <c r="J5459" s="63">
        <v>545.40578313253013</v>
      </c>
      <c r="K5459" s="63">
        <f>AVERAGE(I5459:J5459)</f>
        <v>795.07789156626518</v>
      </c>
      <c r="L5459" s="64" t="str">
        <f>"WG Chocolate Chip Crumb LOAVES 2CG "</f>
        <v xml:space="preserve">WG Chocolate Chip Crumb LOAVES 2CG </v>
      </c>
      <c r="M5459" s="65" t="str">
        <f>"72-3oz IW"</f>
        <v>72-3oz IW</v>
      </c>
      <c r="N5459" s="66">
        <v>72</v>
      </c>
      <c r="O5459" s="67" t="str">
        <f>""</f>
        <v/>
      </c>
      <c r="P5459" s="68" t="e">
        <f>1/O5459</f>
        <v>#VALUE!</v>
      </c>
      <c r="Q5459" s="53">
        <v>1</v>
      </c>
      <c r="R5459" s="69">
        <f t="shared" ref="R5459" si="3912">1/Q5459</f>
        <v>1</v>
      </c>
      <c r="S5459" s="70">
        <f t="shared" ref="S5459" si="3913">R5459*N5459</f>
        <v>72</v>
      </c>
    </row>
    <row r="5460" spans="1:19" ht="15.6" hidden="1" customHeight="1" thickBot="1" x14ac:dyDescent="0.3">
      <c r="A5460" t="s">
        <v>23</v>
      </c>
      <c r="B5460" s="60" t="str">
        <f t="shared" si="3911"/>
        <v>hide</v>
      </c>
      <c r="D5460" s="48" t="str">
        <f>D5459</f>
        <v>CHR272</v>
      </c>
      <c r="E5460" s="7"/>
      <c r="F5460" s="27">
        <v>0</v>
      </c>
      <c r="G5460" s="27">
        <v>0</v>
      </c>
      <c r="H5460" s="27">
        <v>0</v>
      </c>
      <c r="I5460" s="27">
        <v>0</v>
      </c>
      <c r="J5460" s="27">
        <v>0</v>
      </c>
      <c r="K5460" s="63">
        <f>AVERAGE(I5460:J5460)</f>
        <v>0</v>
      </c>
      <c r="L5460" s="56" t="str">
        <f>"EQP-LAWPACK1"</f>
        <v>EQP-LAWPACK1</v>
      </c>
      <c r="M5460" s="14"/>
      <c r="N5460" s="15"/>
      <c r="O5460" s="12"/>
      <c r="P5460" s="34"/>
      <c r="Q5460" s="37"/>
      <c r="R5460" s="47"/>
      <c r="S5460" s="46"/>
    </row>
    <row r="5461" spans="1:19" ht="15.6" hidden="1" customHeight="1" thickBot="1" x14ac:dyDescent="0.3">
      <c r="A5461" t="s">
        <v>23</v>
      </c>
      <c r="B5461" s="60" t="str">
        <f t="shared" ref="B5461:B5463" si="3914">IF(K5461=0,"hide","")</f>
        <v>hide</v>
      </c>
      <c r="D5461" s="48" t="str">
        <f>D5460</f>
        <v>CHR272</v>
      </c>
      <c r="E5461" s="7"/>
      <c r="F5461" s="27">
        <v>0</v>
      </c>
      <c r="G5461" s="27">
        <v>0</v>
      </c>
      <c r="H5461" s="27">
        <v>0</v>
      </c>
      <c r="I5461" s="27">
        <v>0</v>
      </c>
      <c r="J5461" s="27">
        <v>0</v>
      </c>
      <c r="K5461" s="63">
        <f>AVERAGE(I5461:J5461)</f>
        <v>0</v>
      </c>
      <c r="L5461" s="56" t="str">
        <f>"EQP-LAWPACK2"</f>
        <v>EQP-LAWPACK2</v>
      </c>
      <c r="M5461" s="14"/>
      <c r="N5461" s="15"/>
      <c r="O5461" s="12"/>
      <c r="P5461" s="34"/>
      <c r="Q5461" s="37"/>
      <c r="R5461" s="47"/>
      <c r="S5461" s="46"/>
    </row>
    <row r="5462" spans="1:19" ht="15.6" hidden="1" customHeight="1" thickBot="1" x14ac:dyDescent="0.3">
      <c r="A5462" t="s">
        <v>23</v>
      </c>
      <c r="B5462" s="60" t="str">
        <f t="shared" si="3914"/>
        <v>hide</v>
      </c>
      <c r="D5462" s="48" t="str">
        <f>D5461</f>
        <v>CHR272</v>
      </c>
      <c r="E5462" s="7"/>
      <c r="F5462" s="27">
        <v>0</v>
      </c>
      <c r="G5462" s="27">
        <v>0</v>
      </c>
      <c r="H5462" s="27">
        <v>0</v>
      </c>
      <c r="I5462" s="27">
        <v>0</v>
      </c>
      <c r="J5462" s="27">
        <v>0</v>
      </c>
      <c r="K5462" s="63">
        <f>AVERAGE(I5462:J5462)</f>
        <v>0</v>
      </c>
      <c r="L5462" s="56" t="str">
        <f>"SW-COMAS-PACKL"</f>
        <v>SW-COMAS-PACKL</v>
      </c>
      <c r="M5462" s="14"/>
      <c r="N5462" s="15"/>
      <c r="O5462" s="12"/>
      <c r="P5462" s="34"/>
      <c r="Q5462" s="37"/>
      <c r="R5462" s="47"/>
      <c r="S5462" s="46"/>
    </row>
    <row r="5463" spans="1:19" ht="15.6" hidden="1" customHeight="1" thickBot="1" x14ac:dyDescent="0.3">
      <c r="A5463" t="s">
        <v>23</v>
      </c>
      <c r="B5463" s="60" t="str">
        <f t="shared" si="3914"/>
        <v>hide</v>
      </c>
      <c r="D5463" s="48" t="str">
        <f>D5462</f>
        <v>CHR272</v>
      </c>
      <c r="E5463" s="7"/>
      <c r="F5463" s="27">
        <v>0</v>
      </c>
      <c r="G5463" s="27">
        <v>0</v>
      </c>
      <c r="H5463" s="27">
        <v>0</v>
      </c>
      <c r="I5463" s="27">
        <v>0</v>
      </c>
      <c r="J5463" s="27">
        <v>0</v>
      </c>
      <c r="K5463" s="63">
        <f>AVERAGE(I5463:J5463)</f>
        <v>0</v>
      </c>
      <c r="L5463" s="56" t="str">
        <f>"SW-RISER-PACK"</f>
        <v>SW-RISER-PACK</v>
      </c>
      <c r="M5463" s="14"/>
      <c r="N5463" s="15"/>
      <c r="O5463" s="12"/>
      <c r="P5463" s="34"/>
      <c r="Q5463" s="37"/>
      <c r="R5463" s="47"/>
      <c r="S5463" s="46"/>
    </row>
    <row r="5464" spans="1:19" ht="12" hidden="1" customHeight="1" x14ac:dyDescent="0.3">
      <c r="A5464" s="35" t="s">
        <v>908</v>
      </c>
      <c r="B5464" s="49" t="str">
        <f>B5460</f>
        <v>hide</v>
      </c>
      <c r="N5464"/>
      <c r="Q5464" s="33"/>
    </row>
    <row r="5465" spans="1:19" ht="13.8" hidden="1" thickBot="1" x14ac:dyDescent="0.3">
      <c r="A5465" t="s">
        <v>23</v>
      </c>
      <c r="B5465" s="49" t="str">
        <f t="shared" ref="B5465" si="3915">B5464</f>
        <v>hide</v>
      </c>
      <c r="D5465" s="58"/>
      <c r="E5465" s="58"/>
      <c r="F5465" s="52">
        <f>SUM(F5460:F5464)</f>
        <v>0</v>
      </c>
      <c r="G5465" s="52">
        <f>SUM(G5460:G5464)</f>
        <v>0</v>
      </c>
      <c r="H5465" s="52">
        <f>SUM(H5460:H5464)</f>
        <v>0</v>
      </c>
      <c r="I5465" s="52">
        <f>SUM(I5460:I5464)</f>
        <v>0</v>
      </c>
      <c r="J5465" s="52">
        <f>SUM(J5460:J5464)</f>
        <v>0</v>
      </c>
      <c r="K5465" s="52"/>
      <c r="L5465" s="51" t="s">
        <v>4</v>
      </c>
      <c r="M5465" s="58"/>
      <c r="N5465" s="58"/>
      <c r="O5465" s="58"/>
      <c r="P5465" s="58"/>
      <c r="Q5465" s="58"/>
      <c r="R5465" s="58"/>
      <c r="S5465" s="58"/>
    </row>
    <row r="5466" spans="1:19" s="59" customFormat="1" ht="18.75" customHeight="1" thickBot="1" x14ac:dyDescent="0.3">
      <c r="A5466" s="59" t="s">
        <v>23</v>
      </c>
      <c r="B5466" s="60" t="str">
        <f t="shared" ref="B5466:B5467" si="3916">IF(K5466=0,"hide","")</f>
        <v/>
      </c>
      <c r="D5466" s="61" t="str">
        <f>"CRC272"</f>
        <v>CRC272</v>
      </c>
      <c r="E5466" s="62" t="str">
        <f>"1"</f>
        <v>1</v>
      </c>
      <c r="F5466" s="63">
        <v>1735.5833333333333</v>
      </c>
      <c r="G5466" s="63">
        <v>1905.75</v>
      </c>
      <c r="H5466" s="63">
        <v>1879.25</v>
      </c>
      <c r="I5466" s="63">
        <v>3551.5</v>
      </c>
      <c r="J5466" s="63">
        <v>2423.2983132530121</v>
      </c>
      <c r="K5466" s="63">
        <f>AVERAGE(I5466:J5466)</f>
        <v>2987.3991566265058</v>
      </c>
      <c r="L5466" s="64" t="str">
        <f>"WG Cinnamon Crumb LOAVES 2CG "</f>
        <v xml:space="preserve">WG Cinnamon Crumb LOAVES 2CG </v>
      </c>
      <c r="M5466" s="65" t="str">
        <f>"72-3oz IW"</f>
        <v>72-3oz IW</v>
      </c>
      <c r="N5466" s="66">
        <v>72</v>
      </c>
      <c r="O5466" s="67" t="str">
        <f>""</f>
        <v/>
      </c>
      <c r="P5466" s="68" t="e">
        <f>1/O5466</f>
        <v>#VALUE!</v>
      </c>
      <c r="Q5466" s="53">
        <v>1</v>
      </c>
      <c r="R5466" s="69">
        <f t="shared" ref="R5466" si="3917">1/Q5466</f>
        <v>1</v>
      </c>
      <c r="S5466" s="70">
        <f t="shared" ref="S5466" si="3918">R5466*N5466</f>
        <v>72</v>
      </c>
    </row>
    <row r="5467" spans="1:19" ht="15.6" hidden="1" customHeight="1" thickBot="1" x14ac:dyDescent="0.3">
      <c r="A5467" t="s">
        <v>23</v>
      </c>
      <c r="B5467" s="60" t="str">
        <f t="shared" si="3916"/>
        <v>hide</v>
      </c>
      <c r="D5467" s="48" t="str">
        <f>D5466</f>
        <v>CRC272</v>
      </c>
      <c r="E5467" s="7"/>
      <c r="F5467" s="27">
        <v>0</v>
      </c>
      <c r="G5467" s="27">
        <v>0</v>
      </c>
      <c r="H5467" s="27">
        <v>0</v>
      </c>
      <c r="I5467" s="27">
        <v>0</v>
      </c>
      <c r="J5467" s="27">
        <v>0</v>
      </c>
      <c r="K5467" s="63">
        <f>AVERAGE(I5467:J5467)</f>
        <v>0</v>
      </c>
      <c r="L5467" s="56" t="str">
        <f>"EQP-LAWPACK1"</f>
        <v>EQP-LAWPACK1</v>
      </c>
      <c r="M5467" s="14"/>
      <c r="N5467" s="15"/>
      <c r="O5467" s="12"/>
      <c r="P5467" s="34"/>
      <c r="Q5467" s="37"/>
      <c r="R5467" s="47"/>
      <c r="S5467" s="46"/>
    </row>
    <row r="5468" spans="1:19" ht="15.6" hidden="1" customHeight="1" thickBot="1" x14ac:dyDescent="0.3">
      <c r="A5468" t="s">
        <v>23</v>
      </c>
      <c r="B5468" s="60" t="str">
        <f t="shared" ref="B5468:B5470" si="3919">IF(K5468=0,"hide","")</f>
        <v>hide</v>
      </c>
      <c r="D5468" s="48" t="str">
        <f>D5467</f>
        <v>CRC272</v>
      </c>
      <c r="E5468" s="7"/>
      <c r="F5468" s="27">
        <v>0</v>
      </c>
      <c r="G5468" s="27">
        <v>0</v>
      </c>
      <c r="H5468" s="27">
        <v>0</v>
      </c>
      <c r="I5468" s="27">
        <v>0</v>
      </c>
      <c r="J5468" s="27">
        <v>0</v>
      </c>
      <c r="K5468" s="63">
        <f>AVERAGE(I5468:J5468)</f>
        <v>0</v>
      </c>
      <c r="L5468" s="56" t="str">
        <f>"EQP-LAWPACK2"</f>
        <v>EQP-LAWPACK2</v>
      </c>
      <c r="M5468" s="14"/>
      <c r="N5468" s="15"/>
      <c r="O5468" s="12"/>
      <c r="P5468" s="34"/>
      <c r="Q5468" s="37"/>
      <c r="R5468" s="47"/>
      <c r="S5468" s="46"/>
    </row>
    <row r="5469" spans="1:19" ht="15.6" hidden="1" customHeight="1" thickBot="1" x14ac:dyDescent="0.3">
      <c r="A5469" t="s">
        <v>23</v>
      </c>
      <c r="B5469" s="60" t="str">
        <f t="shared" si="3919"/>
        <v>hide</v>
      </c>
      <c r="D5469" s="48" t="str">
        <f>D5468</f>
        <v>CRC272</v>
      </c>
      <c r="E5469" s="7"/>
      <c r="F5469" s="27">
        <v>0</v>
      </c>
      <c r="G5469" s="27">
        <v>0</v>
      </c>
      <c r="H5469" s="27">
        <v>0</v>
      </c>
      <c r="I5469" s="27">
        <v>0</v>
      </c>
      <c r="J5469" s="27">
        <v>0</v>
      </c>
      <c r="K5469" s="63">
        <f>AVERAGE(I5469:J5469)</f>
        <v>0</v>
      </c>
      <c r="L5469" s="56" t="str">
        <f>"SW-COMAS-PACKL"</f>
        <v>SW-COMAS-PACKL</v>
      </c>
      <c r="M5469" s="14"/>
      <c r="N5469" s="15"/>
      <c r="O5469" s="12"/>
      <c r="P5469" s="34"/>
      <c r="Q5469" s="37"/>
      <c r="R5469" s="47"/>
      <c r="S5469" s="46"/>
    </row>
    <row r="5470" spans="1:19" ht="15.6" hidden="1" customHeight="1" thickBot="1" x14ac:dyDescent="0.3">
      <c r="A5470" t="s">
        <v>23</v>
      </c>
      <c r="B5470" s="60" t="str">
        <f t="shared" si="3919"/>
        <v>hide</v>
      </c>
      <c r="D5470" s="48" t="str">
        <f>D5469</f>
        <v>CRC272</v>
      </c>
      <c r="E5470" s="7"/>
      <c r="F5470" s="27">
        <v>0</v>
      </c>
      <c r="G5470" s="27">
        <v>0</v>
      </c>
      <c r="H5470" s="27">
        <v>0</v>
      </c>
      <c r="I5470" s="27">
        <v>0</v>
      </c>
      <c r="J5470" s="27">
        <v>0</v>
      </c>
      <c r="K5470" s="63">
        <f>AVERAGE(I5470:J5470)</f>
        <v>0</v>
      </c>
      <c r="L5470" s="56" t="str">
        <f>"SW-RISER-PACK"</f>
        <v>SW-RISER-PACK</v>
      </c>
      <c r="M5470" s="14"/>
      <c r="N5470" s="15"/>
      <c r="O5470" s="12"/>
      <c r="P5470" s="34"/>
      <c r="Q5470" s="37"/>
      <c r="R5470" s="47"/>
      <c r="S5470" s="46"/>
    </row>
    <row r="5471" spans="1:19" ht="12" hidden="1" customHeight="1" x14ac:dyDescent="0.3">
      <c r="A5471" s="35" t="s">
        <v>908</v>
      </c>
      <c r="B5471" s="49" t="str">
        <f>B5467</f>
        <v>hide</v>
      </c>
      <c r="N5471"/>
      <c r="Q5471" s="33"/>
    </row>
    <row r="5472" spans="1:19" ht="13.8" hidden="1" thickBot="1" x14ac:dyDescent="0.3">
      <c r="A5472" t="s">
        <v>23</v>
      </c>
      <c r="B5472" s="49" t="str">
        <f t="shared" ref="B5472" si="3920">B5471</f>
        <v>hide</v>
      </c>
      <c r="D5472" s="58"/>
      <c r="E5472" s="58"/>
      <c r="F5472" s="52">
        <f>SUM(F5467:F5471)</f>
        <v>0</v>
      </c>
      <c r="G5472" s="52">
        <f>SUM(G5467:G5471)</f>
        <v>0</v>
      </c>
      <c r="H5472" s="52">
        <f>SUM(H5467:H5471)</f>
        <v>0</v>
      </c>
      <c r="I5472" s="52">
        <f>SUM(I5467:I5471)</f>
        <v>0</v>
      </c>
      <c r="J5472" s="52">
        <f>SUM(J5467:J5471)</f>
        <v>0</v>
      </c>
      <c r="K5472" s="52"/>
      <c r="L5472" s="51" t="s">
        <v>4</v>
      </c>
      <c r="M5472" s="58"/>
      <c r="N5472" s="58"/>
      <c r="O5472" s="58"/>
      <c r="P5472" s="58"/>
      <c r="Q5472" s="58"/>
      <c r="R5472" s="58"/>
      <c r="S5472" s="58"/>
    </row>
    <row r="5473" spans="1:19" s="59" customFormat="1" ht="18.75" hidden="1" customHeight="1" thickBot="1" x14ac:dyDescent="0.3">
      <c r="A5473" s="59" t="s">
        <v>23</v>
      </c>
      <c r="B5473" s="60" t="str">
        <f t="shared" ref="B5473:B5475" si="3921">IF(K5473=0,"hide","")</f>
        <v>hide</v>
      </c>
      <c r="D5473" s="61" t="str">
        <f>"JCBLD296"</f>
        <v>JCBLD296</v>
      </c>
      <c r="E5473" s="62" t="str">
        <f>"3"</f>
        <v>3</v>
      </c>
      <c r="F5473" s="63">
        <v>0</v>
      </c>
      <c r="G5473" s="63">
        <v>0</v>
      </c>
      <c r="H5473" s="63">
        <v>0</v>
      </c>
      <c r="I5473" s="63">
        <v>0</v>
      </c>
      <c r="J5473" s="63">
        <v>0</v>
      </c>
      <c r="K5473" s="63">
        <f t="shared" ref="K5473:K5478" si="3922">AVERAGE(I5473:J5473)</f>
        <v>0</v>
      </c>
      <c r="L5473" s="64" t="str">
        <f>"WG Honey Jalapeno Corn Bread Loaf"</f>
        <v>WG Honey Jalapeno Corn Bread Loaf</v>
      </c>
      <c r="M5473" s="65" t="str">
        <f>"96-2.5oz IW"</f>
        <v>96-2.5oz IW</v>
      </c>
      <c r="N5473" s="66">
        <v>96</v>
      </c>
      <c r="O5473" s="67">
        <v>8.6899999999999998E-3</v>
      </c>
      <c r="P5473" s="68">
        <f>1/O5473</f>
        <v>115.07479861910242</v>
      </c>
      <c r="Q5473" s="53">
        <v>8.6899999999999998E-3</v>
      </c>
      <c r="R5473" s="69">
        <f t="shared" ref="R5473:R5474" si="3923">1/Q5473</f>
        <v>115.07479861910242</v>
      </c>
      <c r="S5473" s="70">
        <f t="shared" ref="S5473" si="3924">R5473*N5473</f>
        <v>11047.180667433833</v>
      </c>
    </row>
    <row r="5474" spans="1:19" s="59" customFormat="1" ht="18.75" hidden="1" customHeight="1" thickBot="1" x14ac:dyDescent="0.3">
      <c r="A5474" s="59" t="s">
        <v>23</v>
      </c>
      <c r="B5474" s="60" t="str">
        <f t="shared" ref="B5474" si="3925">IF(K5474=0,"hide","")</f>
        <v>hide</v>
      </c>
      <c r="D5474" s="61" t="str">
        <f>"JCBLD296"</f>
        <v>JCBLD296</v>
      </c>
      <c r="E5474" s="62" t="str">
        <f>"4"</f>
        <v>4</v>
      </c>
      <c r="F5474" s="63">
        <v>0</v>
      </c>
      <c r="G5474" s="63">
        <v>0</v>
      </c>
      <c r="H5474" s="63">
        <v>0</v>
      </c>
      <c r="I5474" s="63">
        <v>0</v>
      </c>
      <c r="J5474" s="63">
        <v>0</v>
      </c>
      <c r="K5474" s="63">
        <f t="shared" si="3922"/>
        <v>0</v>
      </c>
      <c r="L5474" s="64" t="str">
        <f>"WG Honey Jalapeno Corn Bread Loaf"</f>
        <v>WG Honey Jalapeno Corn Bread Loaf</v>
      </c>
      <c r="M5474" s="65" t="str">
        <f>"96-2.5oz IW"</f>
        <v>96-2.5oz IW</v>
      </c>
      <c r="N5474" s="66">
        <v>96</v>
      </c>
      <c r="O5474" s="67">
        <v>8.6899999999999998E-3</v>
      </c>
      <c r="P5474" s="68">
        <f>1/O5474</f>
        <v>115.07479861910242</v>
      </c>
      <c r="Q5474" s="53">
        <v>8.6899999999999998E-3</v>
      </c>
      <c r="R5474" s="69">
        <f t="shared" si="3923"/>
        <v>115.07479861910242</v>
      </c>
      <c r="S5474" s="70">
        <f t="shared" ref="S5474" si="3926">R5474*N5474</f>
        <v>11047.180667433833</v>
      </c>
    </row>
    <row r="5475" spans="1:19" ht="15.6" hidden="1" customHeight="1" thickBot="1" x14ac:dyDescent="0.3">
      <c r="A5475" t="s">
        <v>23</v>
      </c>
      <c r="B5475" s="60" t="str">
        <f t="shared" si="3921"/>
        <v>hide</v>
      </c>
      <c r="D5475" s="48" t="str">
        <f>D5473</f>
        <v>JCBLD296</v>
      </c>
      <c r="E5475" s="7"/>
      <c r="F5475" s="27">
        <v>0</v>
      </c>
      <c r="G5475" s="27">
        <v>0</v>
      </c>
      <c r="H5475" s="27">
        <v>0</v>
      </c>
      <c r="I5475" s="27">
        <v>0</v>
      </c>
      <c r="J5475" s="27">
        <v>0</v>
      </c>
      <c r="K5475" s="63">
        <f t="shared" si="3922"/>
        <v>0</v>
      </c>
      <c r="L5475" s="56" t="str">
        <f>"EQP-LAWPACK1"</f>
        <v>EQP-LAWPACK1</v>
      </c>
      <c r="M5475" s="14"/>
      <c r="N5475" s="15"/>
      <c r="O5475" s="12"/>
      <c r="P5475" s="34"/>
      <c r="Q5475" s="37"/>
      <c r="R5475" s="47"/>
      <c r="S5475" s="46"/>
    </row>
    <row r="5476" spans="1:19" ht="15.6" hidden="1" customHeight="1" thickBot="1" x14ac:dyDescent="0.3">
      <c r="A5476" t="s">
        <v>23</v>
      </c>
      <c r="B5476" s="60" t="str">
        <f t="shared" ref="B5476:B5478" si="3927">IF(K5476=0,"hide","")</f>
        <v>hide</v>
      </c>
      <c r="D5476" s="48" t="str">
        <f>D5474</f>
        <v>JCBLD296</v>
      </c>
      <c r="E5476" s="7"/>
      <c r="F5476" s="27">
        <v>0</v>
      </c>
      <c r="G5476" s="27">
        <v>0</v>
      </c>
      <c r="H5476" s="27">
        <v>0</v>
      </c>
      <c r="I5476" s="27">
        <v>0</v>
      </c>
      <c r="J5476" s="27">
        <v>0</v>
      </c>
      <c r="K5476" s="63">
        <f t="shared" si="3922"/>
        <v>0</v>
      </c>
      <c r="L5476" s="56" t="str">
        <f>"EQP-LAWPACK2"</f>
        <v>EQP-LAWPACK2</v>
      </c>
      <c r="M5476" s="14"/>
      <c r="N5476" s="15"/>
      <c r="O5476" s="12"/>
      <c r="P5476" s="34"/>
      <c r="Q5476" s="37"/>
      <c r="R5476" s="47"/>
      <c r="S5476" s="46"/>
    </row>
    <row r="5477" spans="1:19" ht="15.6" hidden="1" customHeight="1" thickBot="1" x14ac:dyDescent="0.3">
      <c r="A5477" t="s">
        <v>23</v>
      </c>
      <c r="B5477" s="60" t="str">
        <f t="shared" si="3927"/>
        <v>hide</v>
      </c>
      <c r="D5477" s="48" t="str">
        <f>D5475</f>
        <v>JCBLD296</v>
      </c>
      <c r="E5477" s="7"/>
      <c r="F5477" s="27">
        <v>0</v>
      </c>
      <c r="G5477" s="27">
        <v>0</v>
      </c>
      <c r="H5477" s="27">
        <v>0</v>
      </c>
      <c r="I5477" s="27">
        <v>0</v>
      </c>
      <c r="J5477" s="27">
        <v>0</v>
      </c>
      <c r="K5477" s="63">
        <f t="shared" si="3922"/>
        <v>0</v>
      </c>
      <c r="L5477" s="56" t="str">
        <f>"SW-COMAS-PACKL"</f>
        <v>SW-COMAS-PACKL</v>
      </c>
      <c r="M5477" s="14"/>
      <c r="N5477" s="15"/>
      <c r="O5477" s="12"/>
      <c r="P5477" s="34"/>
      <c r="Q5477" s="37"/>
      <c r="R5477" s="47"/>
      <c r="S5477" s="46"/>
    </row>
    <row r="5478" spans="1:19" ht="15.6" hidden="1" customHeight="1" thickBot="1" x14ac:dyDescent="0.3">
      <c r="A5478" t="s">
        <v>23</v>
      </c>
      <c r="B5478" s="60" t="str">
        <f t="shared" si="3927"/>
        <v>hide</v>
      </c>
      <c r="D5478" s="48" t="str">
        <f>D5476</f>
        <v>JCBLD296</v>
      </c>
      <c r="E5478" s="7"/>
      <c r="F5478" s="27">
        <v>0</v>
      </c>
      <c r="G5478" s="27">
        <v>0</v>
      </c>
      <c r="H5478" s="27">
        <v>0</v>
      </c>
      <c r="I5478" s="27">
        <v>0</v>
      </c>
      <c r="J5478" s="27">
        <v>0</v>
      </c>
      <c r="K5478" s="63">
        <f t="shared" si="3922"/>
        <v>0</v>
      </c>
      <c r="L5478" s="56" t="str">
        <f>"SW-RISER-PACK"</f>
        <v>SW-RISER-PACK</v>
      </c>
      <c r="M5478" s="14"/>
      <c r="N5478" s="15"/>
      <c r="O5478" s="12"/>
      <c r="P5478" s="34"/>
      <c r="Q5478" s="37"/>
      <c r="R5478" s="47"/>
      <c r="S5478" s="46"/>
    </row>
    <row r="5479" spans="1:19" ht="12" hidden="1" customHeight="1" x14ac:dyDescent="0.3">
      <c r="A5479" s="35" t="s">
        <v>908</v>
      </c>
      <c r="B5479" s="49" t="str">
        <f>B5475</f>
        <v>hide</v>
      </c>
      <c r="N5479"/>
      <c r="Q5479" s="33"/>
    </row>
    <row r="5480" spans="1:19" ht="13.8" hidden="1" thickBot="1" x14ac:dyDescent="0.3">
      <c r="A5480" t="s">
        <v>23</v>
      </c>
      <c r="B5480" s="49" t="str">
        <f t="shared" ref="B5480" si="3928">B5479</f>
        <v>hide</v>
      </c>
      <c r="D5480" s="58"/>
      <c r="E5480" s="58"/>
      <c r="F5480" s="52">
        <f>SUM(F5475:F5479)</f>
        <v>0</v>
      </c>
      <c r="G5480" s="52">
        <f>SUM(G5475:G5479)</f>
        <v>0</v>
      </c>
      <c r="H5480" s="52">
        <f>SUM(H5475:H5479)</f>
        <v>0</v>
      </c>
      <c r="I5480" s="52">
        <f>SUM(I5475:I5479)</f>
        <v>0</v>
      </c>
      <c r="J5480" s="52">
        <f>SUM(J5475:J5479)</f>
        <v>0</v>
      </c>
      <c r="K5480" s="52"/>
      <c r="L5480" s="51" t="s">
        <v>4</v>
      </c>
      <c r="M5480" s="58"/>
      <c r="N5480" s="58"/>
      <c r="O5480" s="58"/>
      <c r="P5480" s="58"/>
      <c r="Q5480" s="58"/>
      <c r="R5480" s="58"/>
      <c r="S5480" s="58"/>
    </row>
    <row r="5481" spans="1:19" s="59" customFormat="1" ht="18.75" customHeight="1" thickBot="1" x14ac:dyDescent="0.3">
      <c r="A5481" s="59" t="s">
        <v>23</v>
      </c>
      <c r="B5481" s="60" t="str">
        <f t="shared" ref="B5481:B5482" si="3929">IF(K5481=0,"hide","")</f>
        <v/>
      </c>
      <c r="D5481" s="61" t="str">
        <f>"MTAPL260"</f>
        <v>MTAPL260</v>
      </c>
      <c r="E5481" s="62" t="str">
        <f>"2"</f>
        <v>2</v>
      </c>
      <c r="F5481" s="63">
        <v>298.58333333333331</v>
      </c>
      <c r="G5481" s="63">
        <v>150.49999999999997</v>
      </c>
      <c r="H5481" s="63">
        <v>5</v>
      </c>
      <c r="I5481" s="63">
        <v>152.66666666666666</v>
      </c>
      <c r="J5481" s="63">
        <v>137.88578313253012</v>
      </c>
      <c r="K5481" s="63">
        <f>AVERAGE(I5481:J5481)</f>
        <v>145.27622489959839</v>
      </c>
      <c r="L5481" s="64" t="str">
        <f>" Whole Grain Apple TOPS"</f>
        <v xml:space="preserve"> Whole Grain Apple TOPS</v>
      </c>
      <c r="M5481" s="65" t="str">
        <f>"60-3.2oz IW"</f>
        <v>60-3.2oz IW</v>
      </c>
      <c r="N5481" s="66">
        <v>60</v>
      </c>
      <c r="O5481" s="67" t="str">
        <f>""</f>
        <v/>
      </c>
      <c r="P5481" s="68" t="e">
        <f>1/O5481</f>
        <v>#VALUE!</v>
      </c>
      <c r="Q5481" s="53">
        <v>1</v>
      </c>
      <c r="R5481" s="69">
        <f t="shared" ref="R5481" si="3930">1/Q5481</f>
        <v>1</v>
      </c>
      <c r="S5481" s="70">
        <f t="shared" ref="S5481" si="3931">R5481*N5481</f>
        <v>60</v>
      </c>
    </row>
    <row r="5482" spans="1:19" ht="15.6" hidden="1" customHeight="1" thickBot="1" x14ac:dyDescent="0.3">
      <c r="A5482" t="s">
        <v>23</v>
      </c>
      <c r="B5482" s="60" t="str">
        <f t="shared" si="3929"/>
        <v>hide</v>
      </c>
      <c r="D5482" s="48" t="str">
        <f>D5481</f>
        <v>MTAPL260</v>
      </c>
      <c r="E5482" s="7"/>
      <c r="F5482" s="27">
        <v>0</v>
      </c>
      <c r="G5482" s="27">
        <v>0</v>
      </c>
      <c r="H5482" s="27">
        <v>0</v>
      </c>
      <c r="I5482" s="27">
        <v>0</v>
      </c>
      <c r="J5482" s="27">
        <v>0</v>
      </c>
      <c r="K5482" s="63">
        <f>AVERAGE(I5482:J5482)</f>
        <v>0</v>
      </c>
      <c r="L5482" s="56" t="str">
        <f>"EQP-LAWPACK1"</f>
        <v>EQP-LAWPACK1</v>
      </c>
      <c r="M5482" s="14"/>
      <c r="N5482" s="15"/>
      <c r="O5482" s="12"/>
      <c r="P5482" s="34"/>
      <c r="Q5482" s="37"/>
      <c r="R5482" s="47"/>
      <c r="S5482" s="46"/>
    </row>
    <row r="5483" spans="1:19" ht="15.6" hidden="1" customHeight="1" thickBot="1" x14ac:dyDescent="0.3">
      <c r="A5483" t="s">
        <v>23</v>
      </c>
      <c r="B5483" s="60" t="str">
        <f t="shared" ref="B5483:B5485" si="3932">IF(K5483=0,"hide","")</f>
        <v>hide</v>
      </c>
      <c r="D5483" s="48" t="str">
        <f>D5482</f>
        <v>MTAPL260</v>
      </c>
      <c r="E5483" s="7"/>
      <c r="F5483" s="27">
        <v>0</v>
      </c>
      <c r="G5483" s="27">
        <v>0</v>
      </c>
      <c r="H5483" s="27">
        <v>0</v>
      </c>
      <c r="I5483" s="27">
        <v>0</v>
      </c>
      <c r="J5483" s="27">
        <v>0</v>
      </c>
      <c r="K5483" s="63">
        <f>AVERAGE(I5483:J5483)</f>
        <v>0</v>
      </c>
      <c r="L5483" s="56" t="str">
        <f>"EQP-LAWPACK2"</f>
        <v>EQP-LAWPACK2</v>
      </c>
      <c r="M5483" s="14"/>
      <c r="N5483" s="15"/>
      <c r="O5483" s="12"/>
      <c r="P5483" s="34"/>
      <c r="Q5483" s="37"/>
      <c r="R5483" s="47"/>
      <c r="S5483" s="46"/>
    </row>
    <row r="5484" spans="1:19" ht="15.6" hidden="1" customHeight="1" thickBot="1" x14ac:dyDescent="0.3">
      <c r="A5484" t="s">
        <v>23</v>
      </c>
      <c r="B5484" s="60" t="str">
        <f t="shared" si="3932"/>
        <v>hide</v>
      </c>
      <c r="D5484" s="48" t="str">
        <f>D5483</f>
        <v>MTAPL260</v>
      </c>
      <c r="E5484" s="7"/>
      <c r="F5484" s="27">
        <v>0</v>
      </c>
      <c r="G5484" s="27">
        <v>0</v>
      </c>
      <c r="H5484" s="27">
        <v>0</v>
      </c>
      <c r="I5484" s="27">
        <v>0</v>
      </c>
      <c r="J5484" s="27">
        <v>0</v>
      </c>
      <c r="K5484" s="63">
        <f>AVERAGE(I5484:J5484)</f>
        <v>0</v>
      </c>
      <c r="L5484" s="56" t="str">
        <f>"SW-COMAS-PACKL"</f>
        <v>SW-COMAS-PACKL</v>
      </c>
      <c r="M5484" s="14"/>
      <c r="N5484" s="15"/>
      <c r="O5484" s="12"/>
      <c r="P5484" s="34"/>
      <c r="Q5484" s="37"/>
      <c r="R5484" s="47"/>
      <c r="S5484" s="46"/>
    </row>
    <row r="5485" spans="1:19" ht="15.6" hidden="1" customHeight="1" thickBot="1" x14ac:dyDescent="0.3">
      <c r="A5485" t="s">
        <v>23</v>
      </c>
      <c r="B5485" s="60" t="str">
        <f t="shared" si="3932"/>
        <v>hide</v>
      </c>
      <c r="D5485" s="48" t="str">
        <f>D5484</f>
        <v>MTAPL260</v>
      </c>
      <c r="E5485" s="7"/>
      <c r="F5485" s="27">
        <v>0</v>
      </c>
      <c r="G5485" s="27">
        <v>0</v>
      </c>
      <c r="H5485" s="27">
        <v>0</v>
      </c>
      <c r="I5485" s="27">
        <v>0</v>
      </c>
      <c r="J5485" s="27">
        <v>0</v>
      </c>
      <c r="K5485" s="63">
        <f>AVERAGE(I5485:J5485)</f>
        <v>0</v>
      </c>
      <c r="L5485" s="56" t="str">
        <f>"SW-RISER-PACK"</f>
        <v>SW-RISER-PACK</v>
      </c>
      <c r="M5485" s="14"/>
      <c r="N5485" s="15"/>
      <c r="O5485" s="12"/>
      <c r="P5485" s="34"/>
      <c r="Q5485" s="37"/>
      <c r="R5485" s="47"/>
      <c r="S5485" s="46"/>
    </row>
    <row r="5486" spans="1:19" ht="12" hidden="1" customHeight="1" x14ac:dyDescent="0.3">
      <c r="A5486" s="35" t="s">
        <v>908</v>
      </c>
      <c r="B5486" s="49" t="str">
        <f>B5482</f>
        <v>hide</v>
      </c>
      <c r="N5486"/>
      <c r="Q5486" s="33"/>
    </row>
    <row r="5487" spans="1:19" ht="13.8" hidden="1" thickBot="1" x14ac:dyDescent="0.3">
      <c r="A5487" t="s">
        <v>23</v>
      </c>
      <c r="B5487" s="49" t="str">
        <f t="shared" ref="B5487" si="3933">B5486</f>
        <v>hide</v>
      </c>
      <c r="D5487" s="58"/>
      <c r="E5487" s="58"/>
      <c r="F5487" s="52">
        <f>SUM(F5482:F5486)</f>
        <v>0</v>
      </c>
      <c r="G5487" s="52">
        <f>SUM(G5482:G5486)</f>
        <v>0</v>
      </c>
      <c r="H5487" s="52">
        <f>SUM(H5482:H5486)</f>
        <v>0</v>
      </c>
      <c r="I5487" s="52">
        <f>SUM(I5482:I5486)</f>
        <v>0</v>
      </c>
      <c r="J5487" s="52">
        <f>SUM(J5482:J5486)</f>
        <v>0</v>
      </c>
      <c r="K5487" s="52"/>
      <c r="L5487" s="51" t="s">
        <v>4</v>
      </c>
      <c r="M5487" s="58"/>
      <c r="N5487" s="58"/>
      <c r="O5487" s="58"/>
      <c r="P5487" s="58"/>
      <c r="Q5487" s="58"/>
      <c r="R5487" s="58"/>
      <c r="S5487" s="58"/>
    </row>
    <row r="5488" spans="1:19" s="59" customFormat="1" ht="18.75" customHeight="1" thickBot="1" x14ac:dyDescent="0.3">
      <c r="A5488" s="59" t="s">
        <v>23</v>
      </c>
      <c r="B5488" s="60" t="str">
        <f t="shared" ref="B5488:B5490" si="3934">IF(K5488=0,"hide","")</f>
        <v/>
      </c>
      <c r="D5488" s="61" t="str">
        <f>"MTCHCH260"</f>
        <v>MTCHCH260</v>
      </c>
      <c r="E5488" s="62" t="str">
        <f>"1"</f>
        <v>1</v>
      </c>
      <c r="F5488" s="63">
        <v>27.25</v>
      </c>
      <c r="G5488" s="63">
        <v>67.166666666666657</v>
      </c>
      <c r="H5488" s="63">
        <v>34.166666666666664</v>
      </c>
      <c r="I5488" s="63">
        <v>42</v>
      </c>
      <c r="J5488" s="63">
        <v>50.735421686746989</v>
      </c>
      <c r="K5488" s="63">
        <f t="shared" ref="K5488:K5493" si="3935">AVERAGE(I5488:J5488)</f>
        <v>46.367710843373494</v>
      </c>
      <c r="L5488" s="64" t="str">
        <f>"Whole Grain Choc Chip TOPS"</f>
        <v>Whole Grain Choc Chip TOPS</v>
      </c>
      <c r="M5488" s="65" t="str">
        <f>"60-3.2oz IW"</f>
        <v>60-3.2oz IW</v>
      </c>
      <c r="N5488" s="66">
        <v>60</v>
      </c>
      <c r="O5488" s="67">
        <v>0</v>
      </c>
      <c r="P5488" s="68" t="e">
        <f>1/O5488</f>
        <v>#DIV/0!</v>
      </c>
      <c r="Q5488" s="53">
        <v>0</v>
      </c>
      <c r="R5488" s="69" t="e">
        <f t="shared" ref="R5488:R5489" si="3936">1/Q5488</f>
        <v>#DIV/0!</v>
      </c>
      <c r="S5488" s="70" t="e">
        <f t="shared" ref="S5488" si="3937">R5488*N5488</f>
        <v>#DIV/0!</v>
      </c>
    </row>
    <row r="5489" spans="1:19" s="59" customFormat="1" ht="18.75" customHeight="1" thickBot="1" x14ac:dyDescent="0.3">
      <c r="A5489" s="59" t="s">
        <v>23</v>
      </c>
      <c r="B5489" s="60" t="str">
        <f t="shared" ref="B5489" si="3938">IF(K5489=0,"hide","")</f>
        <v/>
      </c>
      <c r="D5489" s="61" t="str">
        <f>"MTCHCH260"</f>
        <v>MTCHCH260</v>
      </c>
      <c r="E5489" s="62" t="str">
        <f>"2"</f>
        <v>2</v>
      </c>
      <c r="F5489" s="63">
        <v>27.25</v>
      </c>
      <c r="G5489" s="63">
        <v>67.166666666666657</v>
      </c>
      <c r="H5489" s="63">
        <v>34.166666666666664</v>
      </c>
      <c r="I5489" s="63">
        <v>42</v>
      </c>
      <c r="J5489" s="63">
        <v>50.735421686746989</v>
      </c>
      <c r="K5489" s="63">
        <f t="shared" si="3935"/>
        <v>46.367710843373494</v>
      </c>
      <c r="L5489" s="64" t="str">
        <f>"Whole Grain Choc Chip TOPS"</f>
        <v>Whole Grain Choc Chip TOPS</v>
      </c>
      <c r="M5489" s="65" t="str">
        <f>"60-3.2oz IW"</f>
        <v>60-3.2oz IW</v>
      </c>
      <c r="N5489" s="66">
        <v>60</v>
      </c>
      <c r="O5489" s="67">
        <v>0</v>
      </c>
      <c r="P5489" s="68" t="e">
        <f>1/O5489</f>
        <v>#DIV/0!</v>
      </c>
      <c r="Q5489" s="53">
        <v>0</v>
      </c>
      <c r="R5489" s="69" t="e">
        <f t="shared" si="3936"/>
        <v>#DIV/0!</v>
      </c>
      <c r="S5489" s="70" t="e">
        <f t="shared" ref="S5489" si="3939">R5489*N5489</f>
        <v>#DIV/0!</v>
      </c>
    </row>
    <row r="5490" spans="1:19" ht="15.6" hidden="1" customHeight="1" thickBot="1" x14ac:dyDescent="0.3">
      <c r="A5490" t="s">
        <v>23</v>
      </c>
      <c r="B5490" s="60" t="str">
        <f t="shared" si="3934"/>
        <v>hide</v>
      </c>
      <c r="D5490" s="48" t="str">
        <f>D5488</f>
        <v>MTCHCH260</v>
      </c>
      <c r="E5490" s="7"/>
      <c r="F5490" s="27">
        <v>0</v>
      </c>
      <c r="G5490" s="27">
        <v>0</v>
      </c>
      <c r="H5490" s="27">
        <v>0</v>
      </c>
      <c r="I5490" s="27">
        <v>0</v>
      </c>
      <c r="J5490" s="27">
        <v>0</v>
      </c>
      <c r="K5490" s="63">
        <f t="shared" si="3935"/>
        <v>0</v>
      </c>
      <c r="L5490" s="56" t="str">
        <f>"EQP-LAWPACK1"</f>
        <v>EQP-LAWPACK1</v>
      </c>
      <c r="M5490" s="14"/>
      <c r="N5490" s="15"/>
      <c r="O5490" s="12"/>
      <c r="P5490" s="34"/>
      <c r="Q5490" s="37"/>
      <c r="R5490" s="47"/>
      <c r="S5490" s="46"/>
    </row>
    <row r="5491" spans="1:19" ht="15.6" hidden="1" customHeight="1" thickBot="1" x14ac:dyDescent="0.3">
      <c r="A5491" t="s">
        <v>23</v>
      </c>
      <c r="B5491" s="60" t="str">
        <f t="shared" ref="B5491:B5493" si="3940">IF(K5491=0,"hide","")</f>
        <v>hide</v>
      </c>
      <c r="D5491" s="48" t="str">
        <f>D5489</f>
        <v>MTCHCH260</v>
      </c>
      <c r="E5491" s="7"/>
      <c r="F5491" s="27">
        <v>0</v>
      </c>
      <c r="G5491" s="27">
        <v>0</v>
      </c>
      <c r="H5491" s="27">
        <v>0</v>
      </c>
      <c r="I5491" s="27">
        <v>0</v>
      </c>
      <c r="J5491" s="27">
        <v>0</v>
      </c>
      <c r="K5491" s="63">
        <f t="shared" si="3935"/>
        <v>0</v>
      </c>
      <c r="L5491" s="56" t="str">
        <f>"EQP-LAWPACK2"</f>
        <v>EQP-LAWPACK2</v>
      </c>
      <c r="M5491" s="14"/>
      <c r="N5491" s="15"/>
      <c r="O5491" s="12"/>
      <c r="P5491" s="34"/>
      <c r="Q5491" s="37"/>
      <c r="R5491" s="47"/>
      <c r="S5491" s="46"/>
    </row>
    <row r="5492" spans="1:19" ht="15.6" hidden="1" customHeight="1" thickBot="1" x14ac:dyDescent="0.3">
      <c r="A5492" t="s">
        <v>23</v>
      </c>
      <c r="B5492" s="60" t="str">
        <f t="shared" si="3940"/>
        <v>hide</v>
      </c>
      <c r="D5492" s="48" t="str">
        <f>D5490</f>
        <v>MTCHCH260</v>
      </c>
      <c r="E5492" s="7"/>
      <c r="F5492" s="27">
        <v>0</v>
      </c>
      <c r="G5492" s="27">
        <v>0</v>
      </c>
      <c r="H5492" s="27">
        <v>0</v>
      </c>
      <c r="I5492" s="27">
        <v>0</v>
      </c>
      <c r="J5492" s="27">
        <v>0</v>
      </c>
      <c r="K5492" s="63">
        <f t="shared" si="3935"/>
        <v>0</v>
      </c>
      <c r="L5492" s="56" t="str">
        <f>"SW-COMAS-PACKL"</f>
        <v>SW-COMAS-PACKL</v>
      </c>
      <c r="M5492" s="14"/>
      <c r="N5492" s="15"/>
      <c r="O5492" s="12"/>
      <c r="P5492" s="34"/>
      <c r="Q5492" s="37"/>
      <c r="R5492" s="47"/>
      <c r="S5492" s="46"/>
    </row>
    <row r="5493" spans="1:19" ht="15.6" hidden="1" customHeight="1" thickBot="1" x14ac:dyDescent="0.3">
      <c r="A5493" t="s">
        <v>23</v>
      </c>
      <c r="B5493" s="60" t="str">
        <f t="shared" si="3940"/>
        <v>hide</v>
      </c>
      <c r="D5493" s="48" t="str">
        <f>D5491</f>
        <v>MTCHCH260</v>
      </c>
      <c r="E5493" s="7"/>
      <c r="F5493" s="27">
        <v>0</v>
      </c>
      <c r="G5493" s="27">
        <v>0</v>
      </c>
      <c r="H5493" s="27">
        <v>0</v>
      </c>
      <c r="I5493" s="27">
        <v>0</v>
      </c>
      <c r="J5493" s="27">
        <v>0</v>
      </c>
      <c r="K5493" s="63">
        <f t="shared" si="3935"/>
        <v>0</v>
      </c>
      <c r="L5493" s="56" t="str">
        <f>"SW-RISER-PACK"</f>
        <v>SW-RISER-PACK</v>
      </c>
      <c r="M5493" s="14"/>
      <c r="N5493" s="15"/>
      <c r="O5493" s="12"/>
      <c r="P5493" s="34"/>
      <c r="Q5493" s="37"/>
      <c r="R5493" s="47"/>
      <c r="S5493" s="46"/>
    </row>
    <row r="5494" spans="1:19" ht="12" hidden="1" customHeight="1" x14ac:dyDescent="0.3">
      <c r="A5494" s="35" t="s">
        <v>908</v>
      </c>
      <c r="B5494" s="49" t="str">
        <f>B5490</f>
        <v>hide</v>
      </c>
      <c r="N5494"/>
      <c r="Q5494" s="33"/>
    </row>
    <row r="5495" spans="1:19" ht="13.8" hidden="1" thickBot="1" x14ac:dyDescent="0.3">
      <c r="A5495" t="s">
        <v>23</v>
      </c>
      <c r="B5495" s="49" t="str">
        <f t="shared" ref="B5495" si="3941">B5494</f>
        <v>hide</v>
      </c>
      <c r="D5495" s="58"/>
      <c r="E5495" s="58"/>
      <c r="F5495" s="52">
        <f>SUM(F5490:F5494)</f>
        <v>0</v>
      </c>
      <c r="G5495" s="52">
        <f>SUM(G5490:G5494)</f>
        <v>0</v>
      </c>
      <c r="H5495" s="52">
        <f>SUM(H5490:H5494)</f>
        <v>0</v>
      </c>
      <c r="I5495" s="52">
        <f>SUM(I5490:I5494)</f>
        <v>0</v>
      </c>
      <c r="J5495" s="52">
        <f>SUM(J5490:J5494)</f>
        <v>0</v>
      </c>
      <c r="K5495" s="52"/>
      <c r="L5495" s="51" t="s">
        <v>4</v>
      </c>
      <c r="M5495" s="58"/>
      <c r="N5495" s="58"/>
      <c r="O5495" s="58"/>
      <c r="P5495" s="58"/>
      <c r="Q5495" s="58"/>
      <c r="R5495" s="58"/>
      <c r="S5495" s="58"/>
    </row>
    <row r="5496" spans="1:19" s="59" customFormat="1" ht="18.75" hidden="1" customHeight="1" thickBot="1" x14ac:dyDescent="0.3">
      <c r="A5496" s="59" t="s">
        <v>23</v>
      </c>
      <c r="B5496" s="60" t="str">
        <f t="shared" ref="B5496:B5497" si="3942">IF(K5496=0,"hide","")</f>
        <v>hide</v>
      </c>
      <c r="D5496" s="61" t="str">
        <f>"PD20-ESF"</f>
        <v>PD20-ESF</v>
      </c>
      <c r="E5496" s="62" t="str">
        <f>""</f>
        <v/>
      </c>
      <c r="F5496" s="63">
        <v>0</v>
      </c>
      <c r="G5496" s="63">
        <v>0</v>
      </c>
      <c r="H5496" s="63">
        <v>0</v>
      </c>
      <c r="I5496" s="63">
        <v>0</v>
      </c>
      <c r="J5496" s="63">
        <v>0</v>
      </c>
      <c r="K5496" s="63">
        <f>AVERAGE(I5496:J5496)</f>
        <v>0</v>
      </c>
      <c r="L5496" s="64" t="str">
        <f>""</f>
        <v/>
      </c>
      <c r="M5496" s="65" t="str">
        <f>""</f>
        <v/>
      </c>
      <c r="N5496" s="66" t="str">
        <f>""</f>
        <v/>
      </c>
      <c r="O5496" s="67" t="e">
        <v>#VALUE!</v>
      </c>
      <c r="P5496" s="68" t="e">
        <f>1/O5496</f>
        <v>#VALUE!</v>
      </c>
      <c r="Q5496" s="53" t="e">
        <v>#VALUE!</v>
      </c>
      <c r="R5496" s="69" t="e">
        <f t="shared" ref="R5496" si="3943">1/Q5496</f>
        <v>#VALUE!</v>
      </c>
      <c r="S5496" s="70" t="e">
        <f t="shared" ref="S5496" si="3944">R5496*N5496</f>
        <v>#VALUE!</v>
      </c>
    </row>
    <row r="5497" spans="1:19" ht="15.6" hidden="1" customHeight="1" thickBot="1" x14ac:dyDescent="0.3">
      <c r="A5497" t="s">
        <v>23</v>
      </c>
      <c r="B5497" s="60" t="str">
        <f t="shared" si="3942"/>
        <v>hide</v>
      </c>
      <c r="D5497" s="48" t="str">
        <f>D5496</f>
        <v>PD20-ESF</v>
      </c>
      <c r="E5497" s="7"/>
      <c r="F5497" s="27">
        <v>0</v>
      </c>
      <c r="G5497" s="27">
        <v>0</v>
      </c>
      <c r="H5497" s="27">
        <v>0</v>
      </c>
      <c r="I5497" s="27">
        <v>0</v>
      </c>
      <c r="J5497" s="27">
        <v>0</v>
      </c>
      <c r="K5497" s="63">
        <f>AVERAGE(I5497:J5497)</f>
        <v>0</v>
      </c>
      <c r="L5497" s="56" t="str">
        <f>"EQP-LAWPACK1"</f>
        <v>EQP-LAWPACK1</v>
      </c>
      <c r="M5497" s="14"/>
      <c r="N5497" s="15"/>
      <c r="O5497" s="12"/>
      <c r="P5497" s="34"/>
      <c r="Q5497" s="37"/>
      <c r="R5497" s="47"/>
      <c r="S5497" s="46"/>
    </row>
    <row r="5498" spans="1:19" ht="15.6" hidden="1" customHeight="1" thickBot="1" x14ac:dyDescent="0.3">
      <c r="A5498" t="s">
        <v>23</v>
      </c>
      <c r="B5498" s="60" t="str">
        <f t="shared" ref="B5498:B5500" si="3945">IF(K5498=0,"hide","")</f>
        <v>hide</v>
      </c>
      <c r="D5498" s="48" t="str">
        <f>D5497</f>
        <v>PD20-ESF</v>
      </c>
      <c r="E5498" s="7"/>
      <c r="F5498" s="27">
        <v>0</v>
      </c>
      <c r="G5498" s="27">
        <v>0</v>
      </c>
      <c r="H5498" s="27">
        <v>0</v>
      </c>
      <c r="I5498" s="27">
        <v>0</v>
      </c>
      <c r="J5498" s="27">
        <v>0</v>
      </c>
      <c r="K5498" s="63">
        <f>AVERAGE(I5498:J5498)</f>
        <v>0</v>
      </c>
      <c r="L5498" s="56" t="str">
        <f>"EQP-LAWPACK2"</f>
        <v>EQP-LAWPACK2</v>
      </c>
      <c r="M5498" s="14"/>
      <c r="N5498" s="15"/>
      <c r="O5498" s="12"/>
      <c r="P5498" s="34"/>
      <c r="Q5498" s="37"/>
      <c r="R5498" s="47"/>
      <c r="S5498" s="46"/>
    </row>
    <row r="5499" spans="1:19" ht="15.6" hidden="1" customHeight="1" thickBot="1" x14ac:dyDescent="0.3">
      <c r="A5499" t="s">
        <v>23</v>
      </c>
      <c r="B5499" s="60" t="str">
        <f t="shared" si="3945"/>
        <v>hide</v>
      </c>
      <c r="D5499" s="48" t="str">
        <f>D5498</f>
        <v>PD20-ESF</v>
      </c>
      <c r="E5499" s="7"/>
      <c r="F5499" s="27">
        <v>0</v>
      </c>
      <c r="G5499" s="27">
        <v>0</v>
      </c>
      <c r="H5499" s="27">
        <v>0</v>
      </c>
      <c r="I5499" s="27">
        <v>0</v>
      </c>
      <c r="J5499" s="27">
        <v>0</v>
      </c>
      <c r="K5499" s="63">
        <f>AVERAGE(I5499:J5499)</f>
        <v>0</v>
      </c>
      <c r="L5499" s="56" t="str">
        <f>"SW-COMAS-PACKL"</f>
        <v>SW-COMAS-PACKL</v>
      </c>
      <c r="M5499" s="14"/>
      <c r="N5499" s="15"/>
      <c r="O5499" s="12"/>
      <c r="P5499" s="34"/>
      <c r="Q5499" s="37"/>
      <c r="R5499" s="47"/>
      <c r="S5499" s="46"/>
    </row>
    <row r="5500" spans="1:19" ht="15.6" hidden="1" customHeight="1" thickBot="1" x14ac:dyDescent="0.3">
      <c r="A5500" t="s">
        <v>23</v>
      </c>
      <c r="B5500" s="60" t="str">
        <f t="shared" si="3945"/>
        <v>hide</v>
      </c>
      <c r="D5500" s="48" t="str">
        <f>D5499</f>
        <v>PD20-ESF</v>
      </c>
      <c r="E5500" s="7"/>
      <c r="F5500" s="27">
        <v>0</v>
      </c>
      <c r="G5500" s="27">
        <v>0</v>
      </c>
      <c r="H5500" s="27">
        <v>0</v>
      </c>
      <c r="I5500" s="27">
        <v>0</v>
      </c>
      <c r="J5500" s="27">
        <v>0</v>
      </c>
      <c r="K5500" s="63">
        <f>AVERAGE(I5500:J5500)</f>
        <v>0</v>
      </c>
      <c r="L5500" s="56" t="str">
        <f>"SW-RISER-PACK"</f>
        <v>SW-RISER-PACK</v>
      </c>
      <c r="M5500" s="14"/>
      <c r="N5500" s="15"/>
      <c r="O5500" s="12"/>
      <c r="P5500" s="34"/>
      <c r="Q5500" s="37"/>
      <c r="R5500" s="47"/>
      <c r="S5500" s="46"/>
    </row>
    <row r="5501" spans="1:19" ht="12" hidden="1" customHeight="1" x14ac:dyDescent="0.3">
      <c r="A5501" s="35" t="s">
        <v>908</v>
      </c>
      <c r="B5501" s="49" t="str">
        <f>B5497</f>
        <v>hide</v>
      </c>
      <c r="N5501"/>
      <c r="Q5501" s="33"/>
    </row>
    <row r="5502" spans="1:19" ht="13.8" hidden="1" thickBot="1" x14ac:dyDescent="0.3">
      <c r="A5502" t="s">
        <v>23</v>
      </c>
      <c r="B5502" s="49" t="str">
        <f t="shared" ref="B5502" si="3946">B5501</f>
        <v>hide</v>
      </c>
      <c r="D5502" s="58"/>
      <c r="E5502" s="58"/>
      <c r="F5502" s="52">
        <f>SUM(F5497:F5501)</f>
        <v>0</v>
      </c>
      <c r="G5502" s="52">
        <f>SUM(G5497:G5501)</f>
        <v>0</v>
      </c>
      <c r="H5502" s="52">
        <f>SUM(H5497:H5501)</f>
        <v>0</v>
      </c>
      <c r="I5502" s="52">
        <f>SUM(I5497:I5501)</f>
        <v>0</v>
      </c>
      <c r="J5502" s="52">
        <f>SUM(J5497:J5501)</f>
        <v>0</v>
      </c>
      <c r="K5502" s="52"/>
      <c r="L5502" s="51" t="s">
        <v>4</v>
      </c>
      <c r="M5502" s="58"/>
      <c r="N5502" s="58"/>
      <c r="O5502" s="58"/>
      <c r="P5502" s="58"/>
      <c r="Q5502" s="58"/>
      <c r="R5502" s="58"/>
      <c r="S5502" s="58"/>
    </row>
    <row r="5503" spans="1:19" s="59" customFormat="1" ht="18.75" hidden="1" customHeight="1" thickBot="1" x14ac:dyDescent="0.3">
      <c r="A5503" s="59" t="s">
        <v>23</v>
      </c>
      <c r="B5503" s="60" t="str">
        <f t="shared" ref="B5503:B5504" si="3947">IF(K5503=0,"hide","")</f>
        <v>hide</v>
      </c>
      <c r="D5503" s="61" t="str">
        <f>"PDB-001"</f>
        <v>PDB-001</v>
      </c>
      <c r="E5503" s="62" t="str">
        <f>""</f>
        <v/>
      </c>
      <c r="F5503" s="63">
        <v>0</v>
      </c>
      <c r="G5503" s="63">
        <v>0</v>
      </c>
      <c r="H5503" s="63">
        <v>0</v>
      </c>
      <c r="I5503" s="63">
        <v>0</v>
      </c>
      <c r="J5503" s="63">
        <v>0</v>
      </c>
      <c r="K5503" s="63">
        <f>AVERAGE(I5503:J5503)</f>
        <v>0</v>
      </c>
      <c r="L5503" s="64" t="str">
        <f>""</f>
        <v/>
      </c>
      <c r="M5503" s="65" t="str">
        <f>""</f>
        <v/>
      </c>
      <c r="N5503" s="66" t="str">
        <f>""</f>
        <v/>
      </c>
      <c r="O5503" s="67" t="e">
        <v>#VALUE!</v>
      </c>
      <c r="P5503" s="68" t="e">
        <f>1/O5503</f>
        <v>#VALUE!</v>
      </c>
      <c r="Q5503" s="53" t="e">
        <v>#VALUE!</v>
      </c>
      <c r="R5503" s="69" t="e">
        <f t="shared" ref="R5503" si="3948">1/Q5503</f>
        <v>#VALUE!</v>
      </c>
      <c r="S5503" s="70" t="e">
        <f t="shared" ref="S5503" si="3949">R5503*N5503</f>
        <v>#VALUE!</v>
      </c>
    </row>
    <row r="5504" spans="1:19" ht="15.6" hidden="1" customHeight="1" thickBot="1" x14ac:dyDescent="0.3">
      <c r="A5504" t="s">
        <v>23</v>
      </c>
      <c r="B5504" s="60" t="str">
        <f t="shared" si="3947"/>
        <v>hide</v>
      </c>
      <c r="D5504" s="48" t="str">
        <f>D5503</f>
        <v>PDB-001</v>
      </c>
      <c r="E5504" s="7"/>
      <c r="F5504" s="27">
        <v>0</v>
      </c>
      <c r="G5504" s="27">
        <v>0</v>
      </c>
      <c r="H5504" s="27">
        <v>0</v>
      </c>
      <c r="I5504" s="27">
        <v>0</v>
      </c>
      <c r="J5504" s="27">
        <v>0</v>
      </c>
      <c r="K5504" s="63">
        <f>AVERAGE(I5504:J5504)</f>
        <v>0</v>
      </c>
      <c r="L5504" s="56" t="str">
        <f>"EQP-LAWPACK1"</f>
        <v>EQP-LAWPACK1</v>
      </c>
      <c r="M5504" s="14"/>
      <c r="N5504" s="15"/>
      <c r="O5504" s="12"/>
      <c r="P5504" s="34"/>
      <c r="Q5504" s="37"/>
      <c r="R5504" s="47"/>
      <c r="S5504" s="46"/>
    </row>
    <row r="5505" spans="1:19" ht="15.6" hidden="1" customHeight="1" thickBot="1" x14ac:dyDescent="0.3">
      <c r="A5505" t="s">
        <v>23</v>
      </c>
      <c r="B5505" s="60" t="str">
        <f t="shared" ref="B5505:B5507" si="3950">IF(K5505=0,"hide","")</f>
        <v>hide</v>
      </c>
      <c r="D5505" s="48" t="str">
        <f>D5504</f>
        <v>PDB-001</v>
      </c>
      <c r="E5505" s="7"/>
      <c r="F5505" s="27">
        <v>0</v>
      </c>
      <c r="G5505" s="27">
        <v>0</v>
      </c>
      <c r="H5505" s="27">
        <v>0</v>
      </c>
      <c r="I5505" s="27">
        <v>0</v>
      </c>
      <c r="J5505" s="27">
        <v>0</v>
      </c>
      <c r="K5505" s="63">
        <f>AVERAGE(I5505:J5505)</f>
        <v>0</v>
      </c>
      <c r="L5505" s="56" t="str">
        <f>"EQP-LAWPACK2"</f>
        <v>EQP-LAWPACK2</v>
      </c>
      <c r="M5505" s="14"/>
      <c r="N5505" s="15"/>
      <c r="O5505" s="12"/>
      <c r="P5505" s="34"/>
      <c r="Q5505" s="37"/>
      <c r="R5505" s="47"/>
      <c r="S5505" s="46"/>
    </row>
    <row r="5506" spans="1:19" ht="15.6" hidden="1" customHeight="1" thickBot="1" x14ac:dyDescent="0.3">
      <c r="A5506" t="s">
        <v>23</v>
      </c>
      <c r="B5506" s="60" t="str">
        <f t="shared" si="3950"/>
        <v>hide</v>
      </c>
      <c r="D5506" s="48" t="str">
        <f>D5505</f>
        <v>PDB-001</v>
      </c>
      <c r="E5506" s="7"/>
      <c r="F5506" s="27">
        <v>0</v>
      </c>
      <c r="G5506" s="27">
        <v>0</v>
      </c>
      <c r="H5506" s="27">
        <v>0</v>
      </c>
      <c r="I5506" s="27">
        <v>0</v>
      </c>
      <c r="J5506" s="27">
        <v>0</v>
      </c>
      <c r="K5506" s="63">
        <f>AVERAGE(I5506:J5506)</f>
        <v>0</v>
      </c>
      <c r="L5506" s="56" t="str">
        <f>"SW-COMAS-PACKL"</f>
        <v>SW-COMAS-PACKL</v>
      </c>
      <c r="M5506" s="14"/>
      <c r="N5506" s="15"/>
      <c r="O5506" s="12"/>
      <c r="P5506" s="34"/>
      <c r="Q5506" s="37"/>
      <c r="R5506" s="47"/>
      <c r="S5506" s="46"/>
    </row>
    <row r="5507" spans="1:19" ht="15.6" hidden="1" customHeight="1" thickBot="1" x14ac:dyDescent="0.3">
      <c r="A5507" t="s">
        <v>23</v>
      </c>
      <c r="B5507" s="60" t="str">
        <f t="shared" si="3950"/>
        <v>hide</v>
      </c>
      <c r="D5507" s="48" t="str">
        <f>D5506</f>
        <v>PDB-001</v>
      </c>
      <c r="E5507" s="7"/>
      <c r="F5507" s="27">
        <v>0</v>
      </c>
      <c r="G5507" s="27">
        <v>0</v>
      </c>
      <c r="H5507" s="27">
        <v>0</v>
      </c>
      <c r="I5507" s="27">
        <v>0</v>
      </c>
      <c r="J5507" s="27">
        <v>0</v>
      </c>
      <c r="K5507" s="63">
        <f>AVERAGE(I5507:J5507)</f>
        <v>0</v>
      </c>
      <c r="L5507" s="56" t="str">
        <f>"SW-RISER-PACK"</f>
        <v>SW-RISER-PACK</v>
      </c>
      <c r="M5507" s="14"/>
      <c r="N5507" s="15"/>
      <c r="O5507" s="12"/>
      <c r="P5507" s="34"/>
      <c r="Q5507" s="37"/>
      <c r="R5507" s="47"/>
      <c r="S5507" s="46"/>
    </row>
    <row r="5508" spans="1:19" ht="12" hidden="1" customHeight="1" x14ac:dyDescent="0.3">
      <c r="A5508" s="35" t="s">
        <v>908</v>
      </c>
      <c r="B5508" s="49" t="str">
        <f>B5504</f>
        <v>hide</v>
      </c>
      <c r="N5508"/>
      <c r="Q5508" s="33"/>
    </row>
    <row r="5509" spans="1:19" ht="13.8" hidden="1" thickBot="1" x14ac:dyDescent="0.3">
      <c r="A5509" t="s">
        <v>23</v>
      </c>
      <c r="B5509" s="49" t="str">
        <f t="shared" ref="B5509" si="3951">B5508</f>
        <v>hide</v>
      </c>
      <c r="D5509" s="58"/>
      <c r="E5509" s="58"/>
      <c r="F5509" s="52">
        <f>SUM(F5504:F5508)</f>
        <v>0</v>
      </c>
      <c r="G5509" s="52">
        <f>SUM(G5504:G5508)</f>
        <v>0</v>
      </c>
      <c r="H5509" s="52">
        <f>SUM(H5504:H5508)</f>
        <v>0</v>
      </c>
      <c r="I5509" s="52">
        <f>SUM(I5504:I5508)</f>
        <v>0</v>
      </c>
      <c r="J5509" s="52">
        <f>SUM(J5504:J5508)</f>
        <v>0</v>
      </c>
      <c r="K5509" s="52"/>
      <c r="L5509" s="51" t="s">
        <v>4</v>
      </c>
      <c r="M5509" s="58"/>
      <c r="N5509" s="58"/>
      <c r="O5509" s="58"/>
      <c r="P5509" s="58"/>
      <c r="Q5509" s="58"/>
      <c r="R5509" s="58"/>
      <c r="S5509" s="58"/>
    </row>
    <row r="5510" spans="1:19" s="59" customFormat="1" ht="18.75" hidden="1" customHeight="1" thickBot="1" x14ac:dyDescent="0.3">
      <c r="A5510" s="59" t="s">
        <v>23</v>
      </c>
      <c r="B5510" s="60" t="str">
        <f t="shared" ref="B5510:B5511" si="3952">IF(K5510=0,"hide","")</f>
        <v>hide</v>
      </c>
      <c r="D5510" s="61" t="str">
        <f>"PDB-002"</f>
        <v>PDB-002</v>
      </c>
      <c r="E5510" s="62" t="str">
        <f>""</f>
        <v/>
      </c>
      <c r="F5510" s="63">
        <v>0</v>
      </c>
      <c r="G5510" s="63">
        <v>0</v>
      </c>
      <c r="H5510" s="63">
        <v>0</v>
      </c>
      <c r="I5510" s="63">
        <v>0</v>
      </c>
      <c r="J5510" s="63">
        <v>0</v>
      </c>
      <c r="K5510" s="63">
        <f>AVERAGE(I5510:J5510)</f>
        <v>0</v>
      </c>
      <c r="L5510" s="64" t="str">
        <f>""</f>
        <v/>
      </c>
      <c r="M5510" s="65" t="str">
        <f>""</f>
        <v/>
      </c>
      <c r="N5510" s="66" t="str">
        <f>""</f>
        <v/>
      </c>
      <c r="O5510" s="67" t="e">
        <v>#VALUE!</v>
      </c>
      <c r="P5510" s="68" t="e">
        <f>1/O5510</f>
        <v>#VALUE!</v>
      </c>
      <c r="Q5510" s="53" t="e">
        <v>#VALUE!</v>
      </c>
      <c r="R5510" s="69" t="e">
        <f t="shared" ref="R5510" si="3953">1/Q5510</f>
        <v>#VALUE!</v>
      </c>
      <c r="S5510" s="70" t="e">
        <f t="shared" ref="S5510" si="3954">R5510*N5510</f>
        <v>#VALUE!</v>
      </c>
    </row>
    <row r="5511" spans="1:19" ht="15.6" hidden="1" customHeight="1" thickBot="1" x14ac:dyDescent="0.3">
      <c r="A5511" t="s">
        <v>23</v>
      </c>
      <c r="B5511" s="60" t="str">
        <f t="shared" si="3952"/>
        <v>hide</v>
      </c>
      <c r="D5511" s="48" t="str">
        <f>D5510</f>
        <v>PDB-002</v>
      </c>
      <c r="E5511" s="7"/>
      <c r="F5511" s="27">
        <v>0</v>
      </c>
      <c r="G5511" s="27">
        <v>0</v>
      </c>
      <c r="H5511" s="27">
        <v>0</v>
      </c>
      <c r="I5511" s="27">
        <v>0</v>
      </c>
      <c r="J5511" s="27">
        <v>0</v>
      </c>
      <c r="K5511" s="63">
        <f>AVERAGE(I5511:J5511)</f>
        <v>0</v>
      </c>
      <c r="L5511" s="56" t="str">
        <f>"EQP-LAWPACK1"</f>
        <v>EQP-LAWPACK1</v>
      </c>
      <c r="M5511" s="14"/>
      <c r="N5511" s="15"/>
      <c r="O5511" s="12"/>
      <c r="P5511" s="34"/>
      <c r="Q5511" s="37"/>
      <c r="R5511" s="47"/>
      <c r="S5511" s="46"/>
    </row>
    <row r="5512" spans="1:19" ht="15.6" hidden="1" customHeight="1" thickBot="1" x14ac:dyDescent="0.3">
      <c r="A5512" t="s">
        <v>23</v>
      </c>
      <c r="B5512" s="60" t="str">
        <f t="shared" ref="B5512:B5514" si="3955">IF(K5512=0,"hide","")</f>
        <v>hide</v>
      </c>
      <c r="D5512" s="48" t="str">
        <f>D5511</f>
        <v>PDB-002</v>
      </c>
      <c r="E5512" s="7"/>
      <c r="F5512" s="27">
        <v>0</v>
      </c>
      <c r="G5512" s="27">
        <v>0</v>
      </c>
      <c r="H5512" s="27">
        <v>0</v>
      </c>
      <c r="I5512" s="27">
        <v>0</v>
      </c>
      <c r="J5512" s="27">
        <v>0</v>
      </c>
      <c r="K5512" s="63">
        <f>AVERAGE(I5512:J5512)</f>
        <v>0</v>
      </c>
      <c r="L5512" s="56" t="str">
        <f>"EQP-LAWPACK2"</f>
        <v>EQP-LAWPACK2</v>
      </c>
      <c r="M5512" s="14"/>
      <c r="N5512" s="15"/>
      <c r="O5512" s="12"/>
      <c r="P5512" s="34"/>
      <c r="Q5512" s="37"/>
      <c r="R5512" s="47"/>
      <c r="S5512" s="46"/>
    </row>
    <row r="5513" spans="1:19" ht="15.6" hidden="1" customHeight="1" thickBot="1" x14ac:dyDescent="0.3">
      <c r="A5513" t="s">
        <v>23</v>
      </c>
      <c r="B5513" s="60" t="str">
        <f t="shared" si="3955"/>
        <v>hide</v>
      </c>
      <c r="D5513" s="48" t="str">
        <f>D5512</f>
        <v>PDB-002</v>
      </c>
      <c r="E5513" s="7"/>
      <c r="F5513" s="27">
        <v>0</v>
      </c>
      <c r="G5513" s="27">
        <v>0</v>
      </c>
      <c r="H5513" s="27">
        <v>0</v>
      </c>
      <c r="I5513" s="27">
        <v>0</v>
      </c>
      <c r="J5513" s="27">
        <v>0</v>
      </c>
      <c r="K5513" s="63">
        <f>AVERAGE(I5513:J5513)</f>
        <v>0</v>
      </c>
      <c r="L5513" s="56" t="str">
        <f>"SW-COMAS-PACKL"</f>
        <v>SW-COMAS-PACKL</v>
      </c>
      <c r="M5513" s="14"/>
      <c r="N5513" s="15"/>
      <c r="O5513" s="12"/>
      <c r="P5513" s="34"/>
      <c r="Q5513" s="37"/>
      <c r="R5513" s="47"/>
      <c r="S5513" s="46"/>
    </row>
    <row r="5514" spans="1:19" ht="15.6" hidden="1" customHeight="1" thickBot="1" x14ac:dyDescent="0.3">
      <c r="A5514" t="s">
        <v>23</v>
      </c>
      <c r="B5514" s="60" t="str">
        <f t="shared" si="3955"/>
        <v>hide</v>
      </c>
      <c r="D5514" s="48" t="str">
        <f>D5513</f>
        <v>PDB-002</v>
      </c>
      <c r="E5514" s="7"/>
      <c r="F5514" s="27">
        <v>0</v>
      </c>
      <c r="G5514" s="27">
        <v>0</v>
      </c>
      <c r="H5514" s="27">
        <v>0</v>
      </c>
      <c r="I5514" s="27">
        <v>0</v>
      </c>
      <c r="J5514" s="27">
        <v>0</v>
      </c>
      <c r="K5514" s="63">
        <f>AVERAGE(I5514:J5514)</f>
        <v>0</v>
      </c>
      <c r="L5514" s="56" t="str">
        <f>"SW-RISER-PACK"</f>
        <v>SW-RISER-PACK</v>
      </c>
      <c r="M5514" s="14"/>
      <c r="N5514" s="15"/>
      <c r="O5514" s="12"/>
      <c r="P5514" s="34"/>
      <c r="Q5514" s="37"/>
      <c r="R5514" s="47"/>
      <c r="S5514" s="46"/>
    </row>
    <row r="5515" spans="1:19" ht="12" hidden="1" customHeight="1" x14ac:dyDescent="0.3">
      <c r="A5515" s="35" t="s">
        <v>908</v>
      </c>
      <c r="B5515" s="49" t="str">
        <f>B5511</f>
        <v>hide</v>
      </c>
      <c r="N5515"/>
      <c r="Q5515" s="33"/>
    </row>
    <row r="5516" spans="1:19" ht="13.8" hidden="1" thickBot="1" x14ac:dyDescent="0.3">
      <c r="A5516" t="s">
        <v>23</v>
      </c>
      <c r="B5516" s="49" t="str">
        <f t="shared" ref="B5516" si="3956">B5515</f>
        <v>hide</v>
      </c>
      <c r="D5516" s="58"/>
      <c r="E5516" s="58"/>
      <c r="F5516" s="52">
        <f>SUM(F5511:F5515)</f>
        <v>0</v>
      </c>
      <c r="G5516" s="52">
        <f>SUM(G5511:G5515)</f>
        <v>0</v>
      </c>
      <c r="H5516" s="52">
        <f>SUM(H5511:H5515)</f>
        <v>0</v>
      </c>
      <c r="I5516" s="52">
        <f>SUM(I5511:I5515)</f>
        <v>0</v>
      </c>
      <c r="J5516" s="52">
        <f>SUM(J5511:J5515)</f>
        <v>0</v>
      </c>
      <c r="K5516" s="52"/>
      <c r="L5516" s="51" t="s">
        <v>4</v>
      </c>
      <c r="M5516" s="58"/>
      <c r="N5516" s="58"/>
      <c r="O5516" s="58"/>
      <c r="P5516" s="58"/>
      <c r="Q5516" s="58"/>
      <c r="R5516" s="58"/>
      <c r="S5516" s="58"/>
    </row>
    <row r="5517" spans="1:19" s="59" customFormat="1" ht="18.75" hidden="1" customHeight="1" thickBot="1" x14ac:dyDescent="0.3">
      <c r="A5517" s="59" t="s">
        <v>23</v>
      </c>
      <c r="B5517" s="60" t="str">
        <f t="shared" ref="B5517:B5518" si="3957">IF(K5517=0,"hide","")</f>
        <v>hide</v>
      </c>
      <c r="D5517" s="61" t="str">
        <f>"PDB-004"</f>
        <v>PDB-004</v>
      </c>
      <c r="E5517" s="62" t="str">
        <f>""</f>
        <v/>
      </c>
      <c r="F5517" s="63">
        <v>0</v>
      </c>
      <c r="G5517" s="63">
        <v>0</v>
      </c>
      <c r="H5517" s="63">
        <v>0</v>
      </c>
      <c r="I5517" s="63">
        <v>0</v>
      </c>
      <c r="J5517" s="63">
        <v>0</v>
      </c>
      <c r="K5517" s="63">
        <f>AVERAGE(I5517:J5517)</f>
        <v>0</v>
      </c>
      <c r="L5517" s="64" t="str">
        <f>""</f>
        <v/>
      </c>
      <c r="M5517" s="65" t="str">
        <f>""</f>
        <v/>
      </c>
      <c r="N5517" s="66" t="str">
        <f>""</f>
        <v/>
      </c>
      <c r="O5517" s="67" t="e">
        <v>#VALUE!</v>
      </c>
      <c r="P5517" s="68" t="e">
        <f>1/O5517</f>
        <v>#VALUE!</v>
      </c>
      <c r="Q5517" s="53" t="e">
        <v>#VALUE!</v>
      </c>
      <c r="R5517" s="69" t="e">
        <f t="shared" ref="R5517" si="3958">1/Q5517</f>
        <v>#VALUE!</v>
      </c>
      <c r="S5517" s="70" t="e">
        <f t="shared" ref="S5517" si="3959">R5517*N5517</f>
        <v>#VALUE!</v>
      </c>
    </row>
    <row r="5518" spans="1:19" ht="15.6" hidden="1" customHeight="1" thickBot="1" x14ac:dyDescent="0.3">
      <c r="A5518" t="s">
        <v>23</v>
      </c>
      <c r="B5518" s="60" t="str">
        <f t="shared" si="3957"/>
        <v>hide</v>
      </c>
      <c r="D5518" s="48" t="str">
        <f>D5517</f>
        <v>PDB-004</v>
      </c>
      <c r="E5518" s="7"/>
      <c r="F5518" s="27">
        <v>0</v>
      </c>
      <c r="G5518" s="27">
        <v>0</v>
      </c>
      <c r="H5518" s="27">
        <v>0</v>
      </c>
      <c r="I5518" s="27">
        <v>0</v>
      </c>
      <c r="J5518" s="27">
        <v>0</v>
      </c>
      <c r="K5518" s="63">
        <f>AVERAGE(I5518:J5518)</f>
        <v>0</v>
      </c>
      <c r="L5518" s="56" t="str">
        <f>"EQP-LAWPACK1"</f>
        <v>EQP-LAWPACK1</v>
      </c>
      <c r="M5518" s="14"/>
      <c r="N5518" s="15"/>
      <c r="O5518" s="12"/>
      <c r="P5518" s="34"/>
      <c r="Q5518" s="37"/>
      <c r="R5518" s="47"/>
      <c r="S5518" s="46"/>
    </row>
    <row r="5519" spans="1:19" ht="15.6" hidden="1" customHeight="1" thickBot="1" x14ac:dyDescent="0.3">
      <c r="A5519" t="s">
        <v>23</v>
      </c>
      <c r="B5519" s="60" t="str">
        <f t="shared" ref="B5519:B5521" si="3960">IF(K5519=0,"hide","")</f>
        <v>hide</v>
      </c>
      <c r="D5519" s="48" t="str">
        <f>D5518</f>
        <v>PDB-004</v>
      </c>
      <c r="E5519" s="7"/>
      <c r="F5519" s="27">
        <v>0</v>
      </c>
      <c r="G5519" s="27">
        <v>0</v>
      </c>
      <c r="H5519" s="27">
        <v>0</v>
      </c>
      <c r="I5519" s="27">
        <v>0</v>
      </c>
      <c r="J5519" s="27">
        <v>0</v>
      </c>
      <c r="K5519" s="63">
        <f>AVERAGE(I5519:J5519)</f>
        <v>0</v>
      </c>
      <c r="L5519" s="56" t="str">
        <f>"EQP-LAWPACK2"</f>
        <v>EQP-LAWPACK2</v>
      </c>
      <c r="M5519" s="14"/>
      <c r="N5519" s="15"/>
      <c r="O5519" s="12"/>
      <c r="P5519" s="34"/>
      <c r="Q5519" s="37"/>
      <c r="R5519" s="47"/>
      <c r="S5519" s="46"/>
    </row>
    <row r="5520" spans="1:19" ht="15.6" hidden="1" customHeight="1" thickBot="1" x14ac:dyDescent="0.3">
      <c r="A5520" t="s">
        <v>23</v>
      </c>
      <c r="B5520" s="60" t="str">
        <f t="shared" si="3960"/>
        <v>hide</v>
      </c>
      <c r="D5520" s="48" t="str">
        <f>D5519</f>
        <v>PDB-004</v>
      </c>
      <c r="E5520" s="7"/>
      <c r="F5520" s="27">
        <v>0</v>
      </c>
      <c r="G5520" s="27">
        <v>0</v>
      </c>
      <c r="H5520" s="27">
        <v>0</v>
      </c>
      <c r="I5520" s="27">
        <v>0</v>
      </c>
      <c r="J5520" s="27">
        <v>0</v>
      </c>
      <c r="K5520" s="63">
        <f>AVERAGE(I5520:J5520)</f>
        <v>0</v>
      </c>
      <c r="L5520" s="56" t="str">
        <f>"SW-COMAS-PACKL"</f>
        <v>SW-COMAS-PACKL</v>
      </c>
      <c r="M5520" s="14"/>
      <c r="N5520" s="15"/>
      <c r="O5520" s="12"/>
      <c r="P5520" s="34"/>
      <c r="Q5520" s="37"/>
      <c r="R5520" s="47"/>
      <c r="S5520" s="46"/>
    </row>
    <row r="5521" spans="1:19" ht="15.6" hidden="1" customHeight="1" thickBot="1" x14ac:dyDescent="0.3">
      <c r="A5521" t="s">
        <v>23</v>
      </c>
      <c r="B5521" s="60" t="str">
        <f t="shared" si="3960"/>
        <v>hide</v>
      </c>
      <c r="D5521" s="48" t="str">
        <f>D5520</f>
        <v>PDB-004</v>
      </c>
      <c r="E5521" s="7"/>
      <c r="F5521" s="27">
        <v>0</v>
      </c>
      <c r="G5521" s="27">
        <v>0</v>
      </c>
      <c r="H5521" s="27">
        <v>0</v>
      </c>
      <c r="I5521" s="27">
        <v>0</v>
      </c>
      <c r="J5521" s="27">
        <v>0</v>
      </c>
      <c r="K5521" s="63">
        <f>AVERAGE(I5521:J5521)</f>
        <v>0</v>
      </c>
      <c r="L5521" s="56" t="str">
        <f>"SW-RISER-PACK"</f>
        <v>SW-RISER-PACK</v>
      </c>
      <c r="M5521" s="14"/>
      <c r="N5521" s="15"/>
      <c r="O5521" s="12"/>
      <c r="P5521" s="34"/>
      <c r="Q5521" s="37"/>
      <c r="R5521" s="47"/>
      <c r="S5521" s="46"/>
    </row>
    <row r="5522" spans="1:19" ht="12" hidden="1" customHeight="1" x14ac:dyDescent="0.3">
      <c r="A5522" s="35" t="s">
        <v>908</v>
      </c>
      <c r="B5522" s="49" t="str">
        <f>B5518</f>
        <v>hide</v>
      </c>
      <c r="N5522"/>
      <c r="Q5522" s="33"/>
    </row>
    <row r="5523" spans="1:19" ht="13.8" hidden="1" thickBot="1" x14ac:dyDescent="0.3">
      <c r="A5523" t="s">
        <v>23</v>
      </c>
      <c r="B5523" s="49" t="str">
        <f t="shared" ref="B5523" si="3961">B5522</f>
        <v>hide</v>
      </c>
      <c r="D5523" s="58"/>
      <c r="E5523" s="58"/>
      <c r="F5523" s="52">
        <f>SUM(F5518:F5522)</f>
        <v>0</v>
      </c>
      <c r="G5523" s="52">
        <f>SUM(G5518:G5522)</f>
        <v>0</v>
      </c>
      <c r="H5523" s="52">
        <f>SUM(H5518:H5522)</f>
        <v>0</v>
      </c>
      <c r="I5523" s="52">
        <f>SUM(I5518:I5522)</f>
        <v>0</v>
      </c>
      <c r="J5523" s="52">
        <f>SUM(J5518:J5522)</f>
        <v>0</v>
      </c>
      <c r="K5523" s="52"/>
      <c r="L5523" s="51" t="s">
        <v>4</v>
      </c>
      <c r="M5523" s="58"/>
      <c r="N5523" s="58"/>
      <c r="O5523" s="58"/>
      <c r="P5523" s="58"/>
      <c r="Q5523" s="58"/>
      <c r="R5523" s="58"/>
      <c r="S5523" s="58"/>
    </row>
    <row r="5524" spans="1:19" s="59" customFormat="1" ht="18.75" hidden="1" customHeight="1" thickBot="1" x14ac:dyDescent="0.3">
      <c r="A5524" s="59" t="s">
        <v>23</v>
      </c>
      <c r="B5524" s="60" t="str">
        <f t="shared" ref="B5524:B5525" si="3962">IF(K5524=0,"hide","")</f>
        <v>hide</v>
      </c>
      <c r="D5524" s="61" t="str">
        <f>"PDB-005"</f>
        <v>PDB-005</v>
      </c>
      <c r="E5524" s="62" t="str">
        <f>""</f>
        <v/>
      </c>
      <c r="F5524" s="63">
        <v>0</v>
      </c>
      <c r="G5524" s="63">
        <v>0</v>
      </c>
      <c r="H5524" s="63">
        <v>0</v>
      </c>
      <c r="I5524" s="63">
        <v>0</v>
      </c>
      <c r="J5524" s="63">
        <v>0</v>
      </c>
      <c r="K5524" s="63">
        <f>AVERAGE(I5524:J5524)</f>
        <v>0</v>
      </c>
      <c r="L5524" s="64" t="str">
        <f>""</f>
        <v/>
      </c>
      <c r="M5524" s="65" t="str">
        <f>""</f>
        <v/>
      </c>
      <c r="N5524" s="66" t="str">
        <f>""</f>
        <v/>
      </c>
      <c r="O5524" s="67" t="e">
        <v>#VALUE!</v>
      </c>
      <c r="P5524" s="68" t="e">
        <f>1/O5524</f>
        <v>#VALUE!</v>
      </c>
      <c r="Q5524" s="53" t="e">
        <v>#VALUE!</v>
      </c>
      <c r="R5524" s="69" t="e">
        <f t="shared" ref="R5524" si="3963">1/Q5524</f>
        <v>#VALUE!</v>
      </c>
      <c r="S5524" s="70" t="e">
        <f t="shared" ref="S5524" si="3964">R5524*N5524</f>
        <v>#VALUE!</v>
      </c>
    </row>
    <row r="5525" spans="1:19" ht="15.6" hidden="1" customHeight="1" thickBot="1" x14ac:dyDescent="0.3">
      <c r="A5525" t="s">
        <v>23</v>
      </c>
      <c r="B5525" s="60" t="str">
        <f t="shared" si="3962"/>
        <v>hide</v>
      </c>
      <c r="D5525" s="48" t="str">
        <f>D5524</f>
        <v>PDB-005</v>
      </c>
      <c r="E5525" s="7"/>
      <c r="F5525" s="27">
        <v>0</v>
      </c>
      <c r="G5525" s="27">
        <v>0</v>
      </c>
      <c r="H5525" s="27">
        <v>0</v>
      </c>
      <c r="I5525" s="27">
        <v>0</v>
      </c>
      <c r="J5525" s="27">
        <v>0</v>
      </c>
      <c r="K5525" s="63">
        <f>AVERAGE(I5525:J5525)</f>
        <v>0</v>
      </c>
      <c r="L5525" s="56" t="str">
        <f>"EQP-LAWPACK1"</f>
        <v>EQP-LAWPACK1</v>
      </c>
      <c r="M5525" s="14"/>
      <c r="N5525" s="15"/>
      <c r="O5525" s="12"/>
      <c r="P5525" s="34"/>
      <c r="Q5525" s="37"/>
      <c r="R5525" s="47"/>
      <c r="S5525" s="46"/>
    </row>
    <row r="5526" spans="1:19" ht="15.6" hidden="1" customHeight="1" thickBot="1" x14ac:dyDescent="0.3">
      <c r="A5526" t="s">
        <v>23</v>
      </c>
      <c r="B5526" s="60" t="str">
        <f t="shared" ref="B5526:B5528" si="3965">IF(K5526=0,"hide","")</f>
        <v>hide</v>
      </c>
      <c r="D5526" s="48" t="str">
        <f>D5525</f>
        <v>PDB-005</v>
      </c>
      <c r="E5526" s="7"/>
      <c r="F5526" s="27">
        <v>0</v>
      </c>
      <c r="G5526" s="27">
        <v>0</v>
      </c>
      <c r="H5526" s="27">
        <v>0</v>
      </c>
      <c r="I5526" s="27">
        <v>0</v>
      </c>
      <c r="J5526" s="27">
        <v>0</v>
      </c>
      <c r="K5526" s="63">
        <f>AVERAGE(I5526:J5526)</f>
        <v>0</v>
      </c>
      <c r="L5526" s="56" t="str">
        <f>"EQP-LAWPACK2"</f>
        <v>EQP-LAWPACK2</v>
      </c>
      <c r="M5526" s="14"/>
      <c r="N5526" s="15"/>
      <c r="O5526" s="12"/>
      <c r="P5526" s="34"/>
      <c r="Q5526" s="37"/>
      <c r="R5526" s="47"/>
      <c r="S5526" s="46"/>
    </row>
    <row r="5527" spans="1:19" ht="15.6" hidden="1" customHeight="1" thickBot="1" x14ac:dyDescent="0.3">
      <c r="A5527" t="s">
        <v>23</v>
      </c>
      <c r="B5527" s="60" t="str">
        <f t="shared" si="3965"/>
        <v>hide</v>
      </c>
      <c r="D5527" s="48" t="str">
        <f>D5526</f>
        <v>PDB-005</v>
      </c>
      <c r="E5527" s="7"/>
      <c r="F5527" s="27">
        <v>0</v>
      </c>
      <c r="G5527" s="27">
        <v>0</v>
      </c>
      <c r="H5527" s="27">
        <v>0</v>
      </c>
      <c r="I5527" s="27">
        <v>0</v>
      </c>
      <c r="J5527" s="27">
        <v>0</v>
      </c>
      <c r="K5527" s="63">
        <f>AVERAGE(I5527:J5527)</f>
        <v>0</v>
      </c>
      <c r="L5527" s="56" t="str">
        <f>"SW-COMAS-PACKL"</f>
        <v>SW-COMAS-PACKL</v>
      </c>
      <c r="M5527" s="14"/>
      <c r="N5527" s="15"/>
      <c r="O5527" s="12"/>
      <c r="P5527" s="34"/>
      <c r="Q5527" s="37"/>
      <c r="R5527" s="47"/>
      <c r="S5527" s="46"/>
    </row>
    <row r="5528" spans="1:19" ht="15.6" hidden="1" customHeight="1" thickBot="1" x14ac:dyDescent="0.3">
      <c r="A5528" t="s">
        <v>23</v>
      </c>
      <c r="B5528" s="60" t="str">
        <f t="shared" si="3965"/>
        <v>hide</v>
      </c>
      <c r="D5528" s="48" t="str">
        <f>D5527</f>
        <v>PDB-005</v>
      </c>
      <c r="E5528" s="7"/>
      <c r="F5528" s="27">
        <v>0</v>
      </c>
      <c r="G5528" s="27">
        <v>0</v>
      </c>
      <c r="H5528" s="27">
        <v>0</v>
      </c>
      <c r="I5528" s="27">
        <v>0</v>
      </c>
      <c r="J5528" s="27">
        <v>0</v>
      </c>
      <c r="K5528" s="63">
        <f>AVERAGE(I5528:J5528)</f>
        <v>0</v>
      </c>
      <c r="L5528" s="56" t="str">
        <f>"SW-RISER-PACK"</f>
        <v>SW-RISER-PACK</v>
      </c>
      <c r="M5528" s="14"/>
      <c r="N5528" s="15"/>
      <c r="O5528" s="12"/>
      <c r="P5528" s="34"/>
      <c r="Q5528" s="37"/>
      <c r="R5528" s="47"/>
      <c r="S5528" s="46"/>
    </row>
    <row r="5529" spans="1:19" ht="12" hidden="1" customHeight="1" x14ac:dyDescent="0.3">
      <c r="A5529" s="35" t="s">
        <v>908</v>
      </c>
      <c r="B5529" s="49" t="str">
        <f>B5525</f>
        <v>hide</v>
      </c>
      <c r="N5529"/>
      <c r="Q5529" s="33"/>
    </row>
    <row r="5530" spans="1:19" ht="13.8" hidden="1" thickBot="1" x14ac:dyDescent="0.3">
      <c r="A5530" t="s">
        <v>23</v>
      </c>
      <c r="B5530" s="49" t="str">
        <f t="shared" ref="B5530" si="3966">B5529</f>
        <v>hide</v>
      </c>
      <c r="D5530" s="58"/>
      <c r="E5530" s="58"/>
      <c r="F5530" s="52">
        <f>SUM(F5525:F5529)</f>
        <v>0</v>
      </c>
      <c r="G5530" s="52">
        <f>SUM(G5525:G5529)</f>
        <v>0</v>
      </c>
      <c r="H5530" s="52">
        <f>SUM(H5525:H5529)</f>
        <v>0</v>
      </c>
      <c r="I5530" s="52">
        <f>SUM(I5525:I5529)</f>
        <v>0</v>
      </c>
      <c r="J5530" s="52">
        <f>SUM(J5525:J5529)</f>
        <v>0</v>
      </c>
      <c r="K5530" s="52"/>
      <c r="L5530" s="51" t="s">
        <v>4</v>
      </c>
      <c r="M5530" s="58"/>
      <c r="N5530" s="58"/>
      <c r="O5530" s="58"/>
      <c r="P5530" s="58"/>
      <c r="Q5530" s="58"/>
      <c r="R5530" s="58"/>
      <c r="S5530" s="58"/>
    </row>
    <row r="5531" spans="1:19" s="59" customFormat="1" ht="18.75" hidden="1" customHeight="1" thickBot="1" x14ac:dyDescent="0.3">
      <c r="A5531" s="59" t="s">
        <v>23</v>
      </c>
      <c r="B5531" s="60" t="str">
        <f t="shared" ref="B5531:B5532" si="3967">IF(K5531=0,"hide","")</f>
        <v>hide</v>
      </c>
      <c r="D5531" s="61" t="str">
        <f>"PDB-006"</f>
        <v>PDB-006</v>
      </c>
      <c r="E5531" s="62" t="str">
        <f>""</f>
        <v/>
      </c>
      <c r="F5531" s="63">
        <v>0</v>
      </c>
      <c r="G5531" s="63">
        <v>0</v>
      </c>
      <c r="H5531" s="63">
        <v>0</v>
      </c>
      <c r="I5531" s="63">
        <v>0</v>
      </c>
      <c r="J5531" s="63">
        <v>0</v>
      </c>
      <c r="K5531" s="63">
        <f>AVERAGE(I5531:J5531)</f>
        <v>0</v>
      </c>
      <c r="L5531" s="64" t="str">
        <f>""</f>
        <v/>
      </c>
      <c r="M5531" s="65" t="str">
        <f>""</f>
        <v/>
      </c>
      <c r="N5531" s="66" t="str">
        <f>""</f>
        <v/>
      </c>
      <c r="O5531" s="67" t="e">
        <v>#VALUE!</v>
      </c>
      <c r="P5531" s="68" t="e">
        <f>1/O5531</f>
        <v>#VALUE!</v>
      </c>
      <c r="Q5531" s="53" t="e">
        <v>#VALUE!</v>
      </c>
      <c r="R5531" s="69" t="e">
        <f t="shared" ref="R5531" si="3968">1/Q5531</f>
        <v>#VALUE!</v>
      </c>
      <c r="S5531" s="70" t="e">
        <f t="shared" ref="S5531" si="3969">R5531*N5531</f>
        <v>#VALUE!</v>
      </c>
    </row>
    <row r="5532" spans="1:19" ht="15.6" hidden="1" customHeight="1" thickBot="1" x14ac:dyDescent="0.3">
      <c r="A5532" t="s">
        <v>23</v>
      </c>
      <c r="B5532" s="60" t="str">
        <f t="shared" si="3967"/>
        <v>hide</v>
      </c>
      <c r="D5532" s="48" t="str">
        <f>D5531</f>
        <v>PDB-006</v>
      </c>
      <c r="E5532" s="7"/>
      <c r="F5532" s="27">
        <v>0</v>
      </c>
      <c r="G5532" s="27">
        <v>0</v>
      </c>
      <c r="H5532" s="27">
        <v>0</v>
      </c>
      <c r="I5532" s="27">
        <v>0</v>
      </c>
      <c r="J5532" s="27">
        <v>0</v>
      </c>
      <c r="K5532" s="63">
        <f>AVERAGE(I5532:J5532)</f>
        <v>0</v>
      </c>
      <c r="L5532" s="56" t="str">
        <f>"EQP-LAWPACK1"</f>
        <v>EQP-LAWPACK1</v>
      </c>
      <c r="M5532" s="14"/>
      <c r="N5532" s="15"/>
      <c r="O5532" s="12"/>
      <c r="P5532" s="34"/>
      <c r="Q5532" s="37"/>
      <c r="R5532" s="47"/>
      <c r="S5532" s="46"/>
    </row>
    <row r="5533" spans="1:19" ht="15.6" hidden="1" customHeight="1" thickBot="1" x14ac:dyDescent="0.3">
      <c r="A5533" t="s">
        <v>23</v>
      </c>
      <c r="B5533" s="60" t="str">
        <f t="shared" ref="B5533:B5535" si="3970">IF(K5533=0,"hide","")</f>
        <v>hide</v>
      </c>
      <c r="D5533" s="48" t="str">
        <f>D5532</f>
        <v>PDB-006</v>
      </c>
      <c r="E5533" s="7"/>
      <c r="F5533" s="27">
        <v>0</v>
      </c>
      <c r="G5533" s="27">
        <v>0</v>
      </c>
      <c r="H5533" s="27">
        <v>0</v>
      </c>
      <c r="I5533" s="27">
        <v>0</v>
      </c>
      <c r="J5533" s="27">
        <v>0</v>
      </c>
      <c r="K5533" s="63">
        <f>AVERAGE(I5533:J5533)</f>
        <v>0</v>
      </c>
      <c r="L5533" s="56" t="str">
        <f>"EQP-LAWPACK2"</f>
        <v>EQP-LAWPACK2</v>
      </c>
      <c r="M5533" s="14"/>
      <c r="N5533" s="15"/>
      <c r="O5533" s="12"/>
      <c r="P5533" s="34"/>
      <c r="Q5533" s="37"/>
      <c r="R5533" s="47"/>
      <c r="S5533" s="46"/>
    </row>
    <row r="5534" spans="1:19" ht="15.6" hidden="1" customHeight="1" thickBot="1" x14ac:dyDescent="0.3">
      <c r="A5534" t="s">
        <v>23</v>
      </c>
      <c r="B5534" s="60" t="str">
        <f t="shared" si="3970"/>
        <v>hide</v>
      </c>
      <c r="D5534" s="48" t="str">
        <f>D5533</f>
        <v>PDB-006</v>
      </c>
      <c r="E5534" s="7"/>
      <c r="F5534" s="27">
        <v>0</v>
      </c>
      <c r="G5534" s="27">
        <v>0</v>
      </c>
      <c r="H5534" s="27">
        <v>0</v>
      </c>
      <c r="I5534" s="27">
        <v>0</v>
      </c>
      <c r="J5534" s="27">
        <v>0</v>
      </c>
      <c r="K5534" s="63">
        <f>AVERAGE(I5534:J5534)</f>
        <v>0</v>
      </c>
      <c r="L5534" s="56" t="str">
        <f>"SW-COMAS-PACKL"</f>
        <v>SW-COMAS-PACKL</v>
      </c>
      <c r="M5534" s="14"/>
      <c r="N5534" s="15"/>
      <c r="O5534" s="12"/>
      <c r="P5534" s="34"/>
      <c r="Q5534" s="37"/>
      <c r="R5534" s="47"/>
      <c r="S5534" s="46"/>
    </row>
    <row r="5535" spans="1:19" ht="15.6" hidden="1" customHeight="1" thickBot="1" x14ac:dyDescent="0.3">
      <c r="A5535" t="s">
        <v>23</v>
      </c>
      <c r="B5535" s="60" t="str">
        <f t="shared" si="3970"/>
        <v>hide</v>
      </c>
      <c r="D5535" s="48" t="str">
        <f>D5534</f>
        <v>PDB-006</v>
      </c>
      <c r="E5535" s="7"/>
      <c r="F5535" s="27">
        <v>0</v>
      </c>
      <c r="G5535" s="27">
        <v>0</v>
      </c>
      <c r="H5535" s="27">
        <v>0</v>
      </c>
      <c r="I5535" s="27">
        <v>0</v>
      </c>
      <c r="J5535" s="27">
        <v>0</v>
      </c>
      <c r="K5535" s="63">
        <f>AVERAGE(I5535:J5535)</f>
        <v>0</v>
      </c>
      <c r="L5535" s="56" t="str">
        <f>"SW-RISER-PACK"</f>
        <v>SW-RISER-PACK</v>
      </c>
      <c r="M5535" s="14"/>
      <c r="N5535" s="15"/>
      <c r="O5535" s="12"/>
      <c r="P5535" s="34"/>
      <c r="Q5535" s="37"/>
      <c r="R5535" s="47"/>
      <c r="S5535" s="46"/>
    </row>
    <row r="5536" spans="1:19" ht="12" hidden="1" customHeight="1" x14ac:dyDescent="0.3">
      <c r="A5536" s="35" t="s">
        <v>908</v>
      </c>
      <c r="B5536" s="49" t="str">
        <f>B5532</f>
        <v>hide</v>
      </c>
      <c r="N5536"/>
      <c r="Q5536" s="33"/>
    </row>
    <row r="5537" spans="1:19" ht="13.8" hidden="1" thickBot="1" x14ac:dyDescent="0.3">
      <c r="A5537" t="s">
        <v>23</v>
      </c>
      <c r="B5537" s="49" t="str">
        <f t="shared" ref="B5537" si="3971">B5536</f>
        <v>hide</v>
      </c>
      <c r="D5537" s="58"/>
      <c r="E5537" s="58"/>
      <c r="F5537" s="52">
        <f>SUM(F5532:F5536)</f>
        <v>0</v>
      </c>
      <c r="G5537" s="52">
        <f>SUM(G5532:G5536)</f>
        <v>0</v>
      </c>
      <c r="H5537" s="52">
        <f>SUM(H5532:H5536)</f>
        <v>0</v>
      </c>
      <c r="I5537" s="52">
        <f>SUM(I5532:I5536)</f>
        <v>0</v>
      </c>
      <c r="J5537" s="52">
        <f>SUM(J5532:J5536)</f>
        <v>0</v>
      </c>
      <c r="K5537" s="52"/>
      <c r="L5537" s="51" t="s">
        <v>4</v>
      </c>
      <c r="M5537" s="58"/>
      <c r="N5537" s="58"/>
      <c r="O5537" s="58"/>
      <c r="P5537" s="58"/>
      <c r="Q5537" s="58"/>
      <c r="R5537" s="58"/>
      <c r="S5537" s="58"/>
    </row>
    <row r="5538" spans="1:19" s="59" customFormat="1" ht="18.75" hidden="1" customHeight="1" thickBot="1" x14ac:dyDescent="0.3">
      <c r="A5538" s="59" t="s">
        <v>23</v>
      </c>
      <c r="B5538" s="60" t="str">
        <f t="shared" ref="B5538:B5539" si="3972">IF(K5538=0,"hide","")</f>
        <v>hide</v>
      </c>
      <c r="D5538" s="61" t="str">
        <f>"PD-BOM00016"</f>
        <v>PD-BOM00016</v>
      </c>
      <c r="E5538" s="62" t="str">
        <f>""</f>
        <v/>
      </c>
      <c r="F5538" s="63">
        <v>0</v>
      </c>
      <c r="G5538" s="63">
        <v>0</v>
      </c>
      <c r="H5538" s="63">
        <v>0</v>
      </c>
      <c r="I5538" s="63">
        <v>0</v>
      </c>
      <c r="J5538" s="63">
        <v>0</v>
      </c>
      <c r="K5538" s="63">
        <f>AVERAGE(I5538:J5538)</f>
        <v>0</v>
      </c>
      <c r="L5538" s="64" t="str">
        <f>""</f>
        <v/>
      </c>
      <c r="M5538" s="65" t="str">
        <f>""</f>
        <v/>
      </c>
      <c r="N5538" s="66" t="str">
        <f>""</f>
        <v/>
      </c>
      <c r="O5538" s="67" t="e">
        <v>#VALUE!</v>
      </c>
      <c r="P5538" s="68" t="e">
        <f>1/O5538</f>
        <v>#VALUE!</v>
      </c>
      <c r="Q5538" s="53" t="e">
        <v>#VALUE!</v>
      </c>
      <c r="R5538" s="69" t="e">
        <f t="shared" ref="R5538" si="3973">1/Q5538</f>
        <v>#VALUE!</v>
      </c>
      <c r="S5538" s="70" t="e">
        <f t="shared" ref="S5538" si="3974">R5538*N5538</f>
        <v>#VALUE!</v>
      </c>
    </row>
    <row r="5539" spans="1:19" ht="15.6" hidden="1" customHeight="1" thickBot="1" x14ac:dyDescent="0.3">
      <c r="A5539" t="s">
        <v>23</v>
      </c>
      <c r="B5539" s="60" t="str">
        <f t="shared" si="3972"/>
        <v>hide</v>
      </c>
      <c r="D5539" s="48" t="str">
        <f>D5538</f>
        <v>PD-BOM00016</v>
      </c>
      <c r="E5539" s="7"/>
      <c r="F5539" s="27">
        <v>0</v>
      </c>
      <c r="G5539" s="27">
        <v>0</v>
      </c>
      <c r="H5539" s="27">
        <v>0</v>
      </c>
      <c r="I5539" s="27">
        <v>0</v>
      </c>
      <c r="J5539" s="27">
        <v>0</v>
      </c>
      <c r="K5539" s="63">
        <f>AVERAGE(I5539:J5539)</f>
        <v>0</v>
      </c>
      <c r="L5539" s="56" t="str">
        <f>"EQP-LAWPACK1"</f>
        <v>EQP-LAWPACK1</v>
      </c>
      <c r="M5539" s="14"/>
      <c r="N5539" s="15"/>
      <c r="O5539" s="12"/>
      <c r="P5539" s="34"/>
      <c r="Q5539" s="37"/>
      <c r="R5539" s="47"/>
      <c r="S5539" s="46"/>
    </row>
    <row r="5540" spans="1:19" ht="15.6" hidden="1" customHeight="1" thickBot="1" x14ac:dyDescent="0.3">
      <c r="A5540" t="s">
        <v>23</v>
      </c>
      <c r="B5540" s="60" t="str">
        <f t="shared" ref="B5540:B5542" si="3975">IF(K5540=0,"hide","")</f>
        <v>hide</v>
      </c>
      <c r="D5540" s="48" t="str">
        <f>D5539</f>
        <v>PD-BOM00016</v>
      </c>
      <c r="E5540" s="7"/>
      <c r="F5540" s="27">
        <v>0</v>
      </c>
      <c r="G5540" s="27">
        <v>0</v>
      </c>
      <c r="H5540" s="27">
        <v>0</v>
      </c>
      <c r="I5540" s="27">
        <v>0</v>
      </c>
      <c r="J5540" s="27">
        <v>0</v>
      </c>
      <c r="K5540" s="63">
        <f>AVERAGE(I5540:J5540)</f>
        <v>0</v>
      </c>
      <c r="L5540" s="56" t="str">
        <f>"EQP-LAWPACK2"</f>
        <v>EQP-LAWPACK2</v>
      </c>
      <c r="M5540" s="14"/>
      <c r="N5540" s="15"/>
      <c r="O5540" s="12"/>
      <c r="P5540" s="34"/>
      <c r="Q5540" s="37"/>
      <c r="R5540" s="47"/>
      <c r="S5540" s="46"/>
    </row>
    <row r="5541" spans="1:19" ht="15.6" hidden="1" customHeight="1" thickBot="1" x14ac:dyDescent="0.3">
      <c r="A5541" t="s">
        <v>23</v>
      </c>
      <c r="B5541" s="60" t="str">
        <f t="shared" si="3975"/>
        <v>hide</v>
      </c>
      <c r="D5541" s="48" t="str">
        <f>D5540</f>
        <v>PD-BOM00016</v>
      </c>
      <c r="E5541" s="7"/>
      <c r="F5541" s="27">
        <v>0</v>
      </c>
      <c r="G5541" s="27">
        <v>0</v>
      </c>
      <c r="H5541" s="27">
        <v>0</v>
      </c>
      <c r="I5541" s="27">
        <v>0</v>
      </c>
      <c r="J5541" s="27">
        <v>0</v>
      </c>
      <c r="K5541" s="63">
        <f>AVERAGE(I5541:J5541)</f>
        <v>0</v>
      </c>
      <c r="L5541" s="56" t="str">
        <f>"SW-COMAS-PACKL"</f>
        <v>SW-COMAS-PACKL</v>
      </c>
      <c r="M5541" s="14"/>
      <c r="N5541" s="15"/>
      <c r="O5541" s="12"/>
      <c r="P5541" s="34"/>
      <c r="Q5541" s="37"/>
      <c r="R5541" s="47"/>
      <c r="S5541" s="46"/>
    </row>
    <row r="5542" spans="1:19" ht="15.6" hidden="1" customHeight="1" thickBot="1" x14ac:dyDescent="0.3">
      <c r="A5542" t="s">
        <v>23</v>
      </c>
      <c r="B5542" s="60" t="str">
        <f t="shared" si="3975"/>
        <v>hide</v>
      </c>
      <c r="D5542" s="48" t="str">
        <f>D5541</f>
        <v>PD-BOM00016</v>
      </c>
      <c r="E5542" s="7"/>
      <c r="F5542" s="27">
        <v>0</v>
      </c>
      <c r="G5542" s="27">
        <v>0</v>
      </c>
      <c r="H5542" s="27">
        <v>0</v>
      </c>
      <c r="I5542" s="27">
        <v>0</v>
      </c>
      <c r="J5542" s="27">
        <v>0</v>
      </c>
      <c r="K5542" s="63">
        <f>AVERAGE(I5542:J5542)</f>
        <v>0</v>
      </c>
      <c r="L5542" s="56" t="str">
        <f>"SW-RISER-PACK"</f>
        <v>SW-RISER-PACK</v>
      </c>
      <c r="M5542" s="14"/>
      <c r="N5542" s="15"/>
      <c r="O5542" s="12"/>
      <c r="P5542" s="34"/>
      <c r="Q5542" s="37"/>
      <c r="R5542" s="47"/>
      <c r="S5542" s="46"/>
    </row>
    <row r="5543" spans="1:19" ht="12" hidden="1" customHeight="1" x14ac:dyDescent="0.3">
      <c r="A5543" s="35" t="s">
        <v>908</v>
      </c>
      <c r="B5543" s="49" t="str">
        <f>B5539</f>
        <v>hide</v>
      </c>
      <c r="N5543"/>
      <c r="Q5543" s="33"/>
    </row>
    <row r="5544" spans="1:19" ht="13.8" hidden="1" thickBot="1" x14ac:dyDescent="0.3">
      <c r="A5544" t="s">
        <v>23</v>
      </c>
      <c r="B5544" s="49" t="str">
        <f t="shared" ref="B5544" si="3976">B5543</f>
        <v>hide</v>
      </c>
      <c r="D5544" s="58"/>
      <c r="E5544" s="58"/>
      <c r="F5544" s="52">
        <f>SUM(F5539:F5543)</f>
        <v>0</v>
      </c>
      <c r="G5544" s="52">
        <f>SUM(G5539:G5543)</f>
        <v>0</v>
      </c>
      <c r="H5544" s="52">
        <f>SUM(H5539:H5543)</f>
        <v>0</v>
      </c>
      <c r="I5544" s="52">
        <f>SUM(I5539:I5543)</f>
        <v>0</v>
      </c>
      <c r="J5544" s="52">
        <f>SUM(J5539:J5543)</f>
        <v>0</v>
      </c>
      <c r="K5544" s="52"/>
      <c r="L5544" s="51" t="s">
        <v>4</v>
      </c>
      <c r="M5544" s="58"/>
      <c r="N5544" s="58"/>
      <c r="O5544" s="58"/>
      <c r="P5544" s="58"/>
      <c r="Q5544" s="58"/>
      <c r="R5544" s="58"/>
      <c r="S5544" s="58"/>
    </row>
    <row r="5545" spans="1:19" s="59" customFormat="1" ht="18.75" hidden="1" customHeight="1" thickBot="1" x14ac:dyDescent="0.3">
      <c r="A5545" s="59" t="s">
        <v>23</v>
      </c>
      <c r="B5545" s="60" t="str">
        <f t="shared" ref="B5545:B5546" si="3977">IF(K5545=0,"hide","")</f>
        <v>hide</v>
      </c>
      <c r="D5545" s="61" t="str">
        <f>"PD-BOM00017"</f>
        <v>PD-BOM00017</v>
      </c>
      <c r="E5545" s="62" t="str">
        <f>""</f>
        <v/>
      </c>
      <c r="F5545" s="63">
        <v>0</v>
      </c>
      <c r="G5545" s="63">
        <v>0</v>
      </c>
      <c r="H5545" s="63">
        <v>0</v>
      </c>
      <c r="I5545" s="63">
        <v>0</v>
      </c>
      <c r="J5545" s="63">
        <v>0</v>
      </c>
      <c r="K5545" s="63">
        <f>AVERAGE(I5545:J5545)</f>
        <v>0</v>
      </c>
      <c r="L5545" s="64" t="str">
        <f>""</f>
        <v/>
      </c>
      <c r="M5545" s="65" t="str">
        <f>""</f>
        <v/>
      </c>
      <c r="N5545" s="66" t="str">
        <f>""</f>
        <v/>
      </c>
      <c r="O5545" s="67" t="e">
        <v>#VALUE!</v>
      </c>
      <c r="P5545" s="68" t="e">
        <f>1/O5545</f>
        <v>#VALUE!</v>
      </c>
      <c r="Q5545" s="53" t="e">
        <v>#VALUE!</v>
      </c>
      <c r="R5545" s="69" t="e">
        <f t="shared" ref="R5545" si="3978">1/Q5545</f>
        <v>#VALUE!</v>
      </c>
      <c r="S5545" s="70" t="e">
        <f t="shared" ref="S5545" si="3979">R5545*N5545</f>
        <v>#VALUE!</v>
      </c>
    </row>
    <row r="5546" spans="1:19" ht="15.6" hidden="1" customHeight="1" thickBot="1" x14ac:dyDescent="0.3">
      <c r="A5546" t="s">
        <v>23</v>
      </c>
      <c r="B5546" s="60" t="str">
        <f t="shared" si="3977"/>
        <v>hide</v>
      </c>
      <c r="D5546" s="48" t="str">
        <f>D5545</f>
        <v>PD-BOM00017</v>
      </c>
      <c r="E5546" s="7"/>
      <c r="F5546" s="27">
        <v>0</v>
      </c>
      <c r="G5546" s="27">
        <v>0</v>
      </c>
      <c r="H5546" s="27">
        <v>0</v>
      </c>
      <c r="I5546" s="27">
        <v>0</v>
      </c>
      <c r="J5546" s="27">
        <v>0</v>
      </c>
      <c r="K5546" s="63">
        <f>AVERAGE(I5546:J5546)</f>
        <v>0</v>
      </c>
      <c r="L5546" s="56" t="str">
        <f>"EQP-LAWPACK1"</f>
        <v>EQP-LAWPACK1</v>
      </c>
      <c r="M5546" s="14"/>
      <c r="N5546" s="15"/>
      <c r="O5546" s="12"/>
      <c r="P5546" s="34"/>
      <c r="Q5546" s="37"/>
      <c r="R5546" s="47"/>
      <c r="S5546" s="46"/>
    </row>
    <row r="5547" spans="1:19" ht="15.6" hidden="1" customHeight="1" thickBot="1" x14ac:dyDescent="0.3">
      <c r="A5547" t="s">
        <v>23</v>
      </c>
      <c r="B5547" s="60" t="str">
        <f t="shared" ref="B5547:B5549" si="3980">IF(K5547=0,"hide","")</f>
        <v>hide</v>
      </c>
      <c r="D5547" s="48" t="str">
        <f>D5546</f>
        <v>PD-BOM00017</v>
      </c>
      <c r="E5547" s="7"/>
      <c r="F5547" s="27">
        <v>0</v>
      </c>
      <c r="G5547" s="27">
        <v>0</v>
      </c>
      <c r="H5547" s="27">
        <v>0</v>
      </c>
      <c r="I5547" s="27">
        <v>0</v>
      </c>
      <c r="J5547" s="27">
        <v>0</v>
      </c>
      <c r="K5547" s="63">
        <f>AVERAGE(I5547:J5547)</f>
        <v>0</v>
      </c>
      <c r="L5547" s="56" t="str">
        <f>"EQP-LAWPACK2"</f>
        <v>EQP-LAWPACK2</v>
      </c>
      <c r="M5547" s="14"/>
      <c r="N5547" s="15"/>
      <c r="O5547" s="12"/>
      <c r="P5547" s="34"/>
      <c r="Q5547" s="37"/>
      <c r="R5547" s="47"/>
      <c r="S5547" s="46"/>
    </row>
    <row r="5548" spans="1:19" ht="15.6" hidden="1" customHeight="1" thickBot="1" x14ac:dyDescent="0.3">
      <c r="A5548" t="s">
        <v>23</v>
      </c>
      <c r="B5548" s="60" t="str">
        <f t="shared" si="3980"/>
        <v>hide</v>
      </c>
      <c r="D5548" s="48" t="str">
        <f>D5547</f>
        <v>PD-BOM00017</v>
      </c>
      <c r="E5548" s="7"/>
      <c r="F5548" s="27">
        <v>0</v>
      </c>
      <c r="G5548" s="27">
        <v>0</v>
      </c>
      <c r="H5548" s="27">
        <v>0</v>
      </c>
      <c r="I5548" s="27">
        <v>0</v>
      </c>
      <c r="J5548" s="27">
        <v>0</v>
      </c>
      <c r="K5548" s="63">
        <f>AVERAGE(I5548:J5548)</f>
        <v>0</v>
      </c>
      <c r="L5548" s="56" t="str">
        <f>"SW-COMAS-PACKL"</f>
        <v>SW-COMAS-PACKL</v>
      </c>
      <c r="M5548" s="14"/>
      <c r="N5548" s="15"/>
      <c r="O5548" s="12"/>
      <c r="P5548" s="34"/>
      <c r="Q5548" s="37"/>
      <c r="R5548" s="47"/>
      <c r="S5548" s="46"/>
    </row>
    <row r="5549" spans="1:19" ht="15.6" hidden="1" customHeight="1" thickBot="1" x14ac:dyDescent="0.3">
      <c r="A5549" t="s">
        <v>23</v>
      </c>
      <c r="B5549" s="60" t="str">
        <f t="shared" si="3980"/>
        <v>hide</v>
      </c>
      <c r="D5549" s="48" t="str">
        <f>D5548</f>
        <v>PD-BOM00017</v>
      </c>
      <c r="E5549" s="7"/>
      <c r="F5549" s="27">
        <v>0</v>
      </c>
      <c r="G5549" s="27">
        <v>0</v>
      </c>
      <c r="H5549" s="27">
        <v>0</v>
      </c>
      <c r="I5549" s="27">
        <v>0</v>
      </c>
      <c r="J5549" s="27">
        <v>0</v>
      </c>
      <c r="K5549" s="63">
        <f>AVERAGE(I5549:J5549)</f>
        <v>0</v>
      </c>
      <c r="L5549" s="56" t="str">
        <f>"SW-RISER-PACK"</f>
        <v>SW-RISER-PACK</v>
      </c>
      <c r="M5549" s="14"/>
      <c r="N5549" s="15"/>
      <c r="O5549" s="12"/>
      <c r="P5549" s="34"/>
      <c r="Q5549" s="37"/>
      <c r="R5549" s="47"/>
      <c r="S5549" s="46"/>
    </row>
    <row r="5550" spans="1:19" ht="12" hidden="1" customHeight="1" x14ac:dyDescent="0.3">
      <c r="A5550" s="35" t="s">
        <v>908</v>
      </c>
      <c r="B5550" s="49" t="str">
        <f>B5546</f>
        <v>hide</v>
      </c>
      <c r="N5550"/>
      <c r="Q5550" s="33"/>
    </row>
    <row r="5551" spans="1:19" ht="13.8" hidden="1" thickBot="1" x14ac:dyDescent="0.3">
      <c r="A5551" t="s">
        <v>23</v>
      </c>
      <c r="B5551" s="49" t="str">
        <f t="shared" ref="B5551" si="3981">B5550</f>
        <v>hide</v>
      </c>
      <c r="D5551" s="58"/>
      <c r="E5551" s="58"/>
      <c r="F5551" s="52">
        <f>SUM(F5546:F5550)</f>
        <v>0</v>
      </c>
      <c r="G5551" s="52">
        <f>SUM(G5546:G5550)</f>
        <v>0</v>
      </c>
      <c r="H5551" s="52">
        <f>SUM(H5546:H5550)</f>
        <v>0</v>
      </c>
      <c r="I5551" s="52">
        <f>SUM(I5546:I5550)</f>
        <v>0</v>
      </c>
      <c r="J5551" s="52">
        <f>SUM(J5546:J5550)</f>
        <v>0</v>
      </c>
      <c r="K5551" s="52"/>
      <c r="L5551" s="51" t="s">
        <v>4</v>
      </c>
      <c r="M5551" s="58"/>
      <c r="N5551" s="58"/>
      <c r="O5551" s="58"/>
      <c r="P5551" s="58"/>
      <c r="Q5551" s="58"/>
      <c r="R5551" s="58"/>
      <c r="S5551" s="58"/>
    </row>
    <row r="5552" spans="1:19" s="59" customFormat="1" ht="18.75" hidden="1" customHeight="1" thickBot="1" x14ac:dyDescent="0.3">
      <c r="A5552" s="59" t="s">
        <v>23</v>
      </c>
      <c r="B5552" s="60" t="str">
        <f t="shared" ref="B5552:B5553" si="3982">IF(K5552=0,"hide","")</f>
        <v>hide</v>
      </c>
      <c r="D5552" s="61" t="str">
        <f>"PD-BOM00018"</f>
        <v>PD-BOM00018</v>
      </c>
      <c r="E5552" s="62" t="str">
        <f>""</f>
        <v/>
      </c>
      <c r="F5552" s="63">
        <v>0</v>
      </c>
      <c r="G5552" s="63">
        <v>0</v>
      </c>
      <c r="H5552" s="63">
        <v>0</v>
      </c>
      <c r="I5552" s="63">
        <v>0</v>
      </c>
      <c r="J5552" s="63">
        <v>0</v>
      </c>
      <c r="K5552" s="63">
        <f>AVERAGE(I5552:J5552)</f>
        <v>0</v>
      </c>
      <c r="L5552" s="64" t="str">
        <f>""</f>
        <v/>
      </c>
      <c r="M5552" s="65" t="str">
        <f>""</f>
        <v/>
      </c>
      <c r="N5552" s="66" t="str">
        <f>""</f>
        <v/>
      </c>
      <c r="O5552" s="67" t="e">
        <v>#VALUE!</v>
      </c>
      <c r="P5552" s="68" t="e">
        <f>1/O5552</f>
        <v>#VALUE!</v>
      </c>
      <c r="Q5552" s="53" t="e">
        <v>#VALUE!</v>
      </c>
      <c r="R5552" s="69" t="e">
        <f t="shared" ref="R5552" si="3983">1/Q5552</f>
        <v>#VALUE!</v>
      </c>
      <c r="S5552" s="70" t="e">
        <f t="shared" ref="S5552" si="3984">R5552*N5552</f>
        <v>#VALUE!</v>
      </c>
    </row>
    <row r="5553" spans="1:19" ht="15.6" hidden="1" customHeight="1" thickBot="1" x14ac:dyDescent="0.3">
      <c r="A5553" t="s">
        <v>23</v>
      </c>
      <c r="B5553" s="60" t="str">
        <f t="shared" si="3982"/>
        <v>hide</v>
      </c>
      <c r="D5553" s="48" t="str">
        <f>D5552</f>
        <v>PD-BOM00018</v>
      </c>
      <c r="E5553" s="7"/>
      <c r="F5553" s="27">
        <v>0</v>
      </c>
      <c r="G5553" s="27">
        <v>0</v>
      </c>
      <c r="H5553" s="27">
        <v>0</v>
      </c>
      <c r="I5553" s="27">
        <v>0</v>
      </c>
      <c r="J5553" s="27">
        <v>0</v>
      </c>
      <c r="K5553" s="63">
        <f>AVERAGE(I5553:J5553)</f>
        <v>0</v>
      </c>
      <c r="L5553" s="56" t="str">
        <f>"EQP-LAWPACK1"</f>
        <v>EQP-LAWPACK1</v>
      </c>
      <c r="M5553" s="14"/>
      <c r="N5553" s="15"/>
      <c r="O5553" s="12"/>
      <c r="P5553" s="34"/>
      <c r="Q5553" s="37"/>
      <c r="R5553" s="47"/>
      <c r="S5553" s="46"/>
    </row>
    <row r="5554" spans="1:19" ht="15.6" hidden="1" customHeight="1" thickBot="1" x14ac:dyDescent="0.3">
      <c r="A5554" t="s">
        <v>23</v>
      </c>
      <c r="B5554" s="60" t="str">
        <f t="shared" ref="B5554:B5556" si="3985">IF(K5554=0,"hide","")</f>
        <v>hide</v>
      </c>
      <c r="D5554" s="48" t="str">
        <f>D5553</f>
        <v>PD-BOM00018</v>
      </c>
      <c r="E5554" s="7"/>
      <c r="F5554" s="27">
        <v>0</v>
      </c>
      <c r="G5554" s="27">
        <v>0</v>
      </c>
      <c r="H5554" s="27">
        <v>0</v>
      </c>
      <c r="I5554" s="27">
        <v>0</v>
      </c>
      <c r="J5554" s="27">
        <v>0</v>
      </c>
      <c r="K5554" s="63">
        <f>AVERAGE(I5554:J5554)</f>
        <v>0</v>
      </c>
      <c r="L5554" s="56" t="str">
        <f>"EQP-LAWPACK2"</f>
        <v>EQP-LAWPACK2</v>
      </c>
      <c r="M5554" s="14"/>
      <c r="N5554" s="15"/>
      <c r="O5554" s="12"/>
      <c r="P5554" s="34"/>
      <c r="Q5554" s="37"/>
      <c r="R5554" s="47"/>
      <c r="S5554" s="46"/>
    </row>
    <row r="5555" spans="1:19" ht="15.6" hidden="1" customHeight="1" thickBot="1" x14ac:dyDescent="0.3">
      <c r="A5555" t="s">
        <v>23</v>
      </c>
      <c r="B5555" s="60" t="str">
        <f t="shared" si="3985"/>
        <v>hide</v>
      </c>
      <c r="D5555" s="48" t="str">
        <f>D5554</f>
        <v>PD-BOM00018</v>
      </c>
      <c r="E5555" s="7"/>
      <c r="F5555" s="27">
        <v>0</v>
      </c>
      <c r="G5555" s="27">
        <v>0</v>
      </c>
      <c r="H5555" s="27">
        <v>0</v>
      </c>
      <c r="I5555" s="27">
        <v>0</v>
      </c>
      <c r="J5555" s="27">
        <v>0</v>
      </c>
      <c r="K5555" s="63">
        <f>AVERAGE(I5555:J5555)</f>
        <v>0</v>
      </c>
      <c r="L5555" s="56" t="str">
        <f>"SW-COMAS-PACKL"</f>
        <v>SW-COMAS-PACKL</v>
      </c>
      <c r="M5555" s="14"/>
      <c r="N5555" s="15"/>
      <c r="O5555" s="12"/>
      <c r="P5555" s="34"/>
      <c r="Q5555" s="37"/>
      <c r="R5555" s="47"/>
      <c r="S5555" s="46"/>
    </row>
    <row r="5556" spans="1:19" ht="15.6" hidden="1" customHeight="1" thickBot="1" x14ac:dyDescent="0.3">
      <c r="A5556" t="s">
        <v>23</v>
      </c>
      <c r="B5556" s="60" t="str">
        <f t="shared" si="3985"/>
        <v>hide</v>
      </c>
      <c r="D5556" s="48" t="str">
        <f>D5555</f>
        <v>PD-BOM00018</v>
      </c>
      <c r="E5556" s="7"/>
      <c r="F5556" s="27">
        <v>0</v>
      </c>
      <c r="G5556" s="27">
        <v>0</v>
      </c>
      <c r="H5556" s="27">
        <v>0</v>
      </c>
      <c r="I5556" s="27">
        <v>0</v>
      </c>
      <c r="J5556" s="27">
        <v>0</v>
      </c>
      <c r="K5556" s="63">
        <f>AVERAGE(I5556:J5556)</f>
        <v>0</v>
      </c>
      <c r="L5556" s="56" t="str">
        <f>"SW-RISER-PACK"</f>
        <v>SW-RISER-PACK</v>
      </c>
      <c r="M5556" s="14"/>
      <c r="N5556" s="15"/>
      <c r="O5556" s="12"/>
      <c r="P5556" s="34"/>
      <c r="Q5556" s="37"/>
      <c r="R5556" s="47"/>
      <c r="S5556" s="46"/>
    </row>
    <row r="5557" spans="1:19" ht="12" hidden="1" customHeight="1" x14ac:dyDescent="0.3">
      <c r="A5557" s="35" t="s">
        <v>908</v>
      </c>
      <c r="B5557" s="49" t="str">
        <f>B5553</f>
        <v>hide</v>
      </c>
      <c r="N5557"/>
      <c r="Q5557" s="33"/>
    </row>
    <row r="5558" spans="1:19" ht="13.8" hidden="1" thickBot="1" x14ac:dyDescent="0.3">
      <c r="A5558" t="s">
        <v>23</v>
      </c>
      <c r="B5558" s="49" t="str">
        <f t="shared" ref="B5558" si="3986">B5557</f>
        <v>hide</v>
      </c>
      <c r="D5558" s="58"/>
      <c r="E5558" s="58"/>
      <c r="F5558" s="52">
        <f>SUM(F5553:F5557)</f>
        <v>0</v>
      </c>
      <c r="G5558" s="52">
        <f>SUM(G5553:G5557)</f>
        <v>0</v>
      </c>
      <c r="H5558" s="52">
        <f>SUM(H5553:H5557)</f>
        <v>0</v>
      </c>
      <c r="I5558" s="52">
        <f>SUM(I5553:I5557)</f>
        <v>0</v>
      </c>
      <c r="J5558" s="52">
        <f>SUM(J5553:J5557)</f>
        <v>0</v>
      </c>
      <c r="K5558" s="52"/>
      <c r="L5558" s="51" t="s">
        <v>4</v>
      </c>
      <c r="M5558" s="58"/>
      <c r="N5558" s="58"/>
      <c r="O5558" s="58"/>
      <c r="P5558" s="58"/>
      <c r="Q5558" s="58"/>
      <c r="R5558" s="58"/>
      <c r="S5558" s="58"/>
    </row>
    <row r="5559" spans="1:19" s="59" customFormat="1" ht="18.75" hidden="1" customHeight="1" thickBot="1" x14ac:dyDescent="0.3">
      <c r="A5559" s="59" t="s">
        <v>23</v>
      </c>
      <c r="B5559" s="60" t="str">
        <f t="shared" ref="B5559:B5560" si="3987">IF(K5559=0,"hide","")</f>
        <v>hide</v>
      </c>
      <c r="D5559" s="61" t="str">
        <f>"PD-BOM00019"</f>
        <v>PD-BOM00019</v>
      </c>
      <c r="E5559" s="62" t="str">
        <f>""</f>
        <v/>
      </c>
      <c r="F5559" s="63">
        <v>0</v>
      </c>
      <c r="G5559" s="63">
        <v>0</v>
      </c>
      <c r="H5559" s="63">
        <v>0</v>
      </c>
      <c r="I5559" s="63">
        <v>0</v>
      </c>
      <c r="J5559" s="63">
        <v>0</v>
      </c>
      <c r="K5559" s="63">
        <f>AVERAGE(I5559:J5559)</f>
        <v>0</v>
      </c>
      <c r="L5559" s="64" t="str">
        <f>""</f>
        <v/>
      </c>
      <c r="M5559" s="65" t="str">
        <f>""</f>
        <v/>
      </c>
      <c r="N5559" s="66" t="str">
        <f>""</f>
        <v/>
      </c>
      <c r="O5559" s="67" t="e">
        <v>#VALUE!</v>
      </c>
      <c r="P5559" s="68" t="e">
        <f>1/O5559</f>
        <v>#VALUE!</v>
      </c>
      <c r="Q5559" s="53" t="e">
        <v>#VALUE!</v>
      </c>
      <c r="R5559" s="69" t="e">
        <f t="shared" ref="R5559" si="3988">1/Q5559</f>
        <v>#VALUE!</v>
      </c>
      <c r="S5559" s="70" t="e">
        <f t="shared" ref="S5559" si="3989">R5559*N5559</f>
        <v>#VALUE!</v>
      </c>
    </row>
    <row r="5560" spans="1:19" ht="15.6" hidden="1" customHeight="1" thickBot="1" x14ac:dyDescent="0.3">
      <c r="A5560" t="s">
        <v>23</v>
      </c>
      <c r="B5560" s="60" t="str">
        <f t="shared" si="3987"/>
        <v>hide</v>
      </c>
      <c r="D5560" s="48" t="str">
        <f>D5559</f>
        <v>PD-BOM00019</v>
      </c>
      <c r="E5560" s="7"/>
      <c r="F5560" s="27">
        <v>0</v>
      </c>
      <c r="G5560" s="27">
        <v>0</v>
      </c>
      <c r="H5560" s="27">
        <v>0</v>
      </c>
      <c r="I5560" s="27">
        <v>0</v>
      </c>
      <c r="J5560" s="27">
        <v>0</v>
      </c>
      <c r="K5560" s="63">
        <f>AVERAGE(I5560:J5560)</f>
        <v>0</v>
      </c>
      <c r="L5560" s="56" t="str">
        <f>"EQP-LAWPACK1"</f>
        <v>EQP-LAWPACK1</v>
      </c>
      <c r="M5560" s="14"/>
      <c r="N5560" s="15"/>
      <c r="O5560" s="12"/>
      <c r="P5560" s="34"/>
      <c r="Q5560" s="37"/>
      <c r="R5560" s="47"/>
      <c r="S5560" s="46"/>
    </row>
    <row r="5561" spans="1:19" ht="15.6" hidden="1" customHeight="1" thickBot="1" x14ac:dyDescent="0.3">
      <c r="A5561" t="s">
        <v>23</v>
      </c>
      <c r="B5561" s="60" t="str">
        <f t="shared" ref="B5561:B5563" si="3990">IF(K5561=0,"hide","")</f>
        <v>hide</v>
      </c>
      <c r="D5561" s="48" t="str">
        <f>D5560</f>
        <v>PD-BOM00019</v>
      </c>
      <c r="E5561" s="7"/>
      <c r="F5561" s="27">
        <v>0</v>
      </c>
      <c r="G5561" s="27">
        <v>0</v>
      </c>
      <c r="H5561" s="27">
        <v>0</v>
      </c>
      <c r="I5561" s="27">
        <v>0</v>
      </c>
      <c r="J5561" s="27">
        <v>0</v>
      </c>
      <c r="K5561" s="63">
        <f>AVERAGE(I5561:J5561)</f>
        <v>0</v>
      </c>
      <c r="L5561" s="56" t="str">
        <f>"EQP-LAWPACK2"</f>
        <v>EQP-LAWPACK2</v>
      </c>
      <c r="M5561" s="14"/>
      <c r="N5561" s="15"/>
      <c r="O5561" s="12"/>
      <c r="P5561" s="34"/>
      <c r="Q5561" s="37"/>
      <c r="R5561" s="47"/>
      <c r="S5561" s="46"/>
    </row>
    <row r="5562" spans="1:19" ht="15.6" hidden="1" customHeight="1" thickBot="1" x14ac:dyDescent="0.3">
      <c r="A5562" t="s">
        <v>23</v>
      </c>
      <c r="B5562" s="60" t="str">
        <f t="shared" si="3990"/>
        <v>hide</v>
      </c>
      <c r="D5562" s="48" t="str">
        <f>D5561</f>
        <v>PD-BOM00019</v>
      </c>
      <c r="E5562" s="7"/>
      <c r="F5562" s="27">
        <v>0</v>
      </c>
      <c r="G5562" s="27">
        <v>0</v>
      </c>
      <c r="H5562" s="27">
        <v>0</v>
      </c>
      <c r="I5562" s="27">
        <v>0</v>
      </c>
      <c r="J5562" s="27">
        <v>0</v>
      </c>
      <c r="K5562" s="63">
        <f>AVERAGE(I5562:J5562)</f>
        <v>0</v>
      </c>
      <c r="L5562" s="56" t="str">
        <f>"SW-COMAS-PACKL"</f>
        <v>SW-COMAS-PACKL</v>
      </c>
      <c r="M5562" s="14"/>
      <c r="N5562" s="15"/>
      <c r="O5562" s="12"/>
      <c r="P5562" s="34"/>
      <c r="Q5562" s="37"/>
      <c r="R5562" s="47"/>
      <c r="S5562" s="46"/>
    </row>
    <row r="5563" spans="1:19" ht="15.6" hidden="1" customHeight="1" thickBot="1" x14ac:dyDescent="0.3">
      <c r="A5563" t="s">
        <v>23</v>
      </c>
      <c r="B5563" s="60" t="str">
        <f t="shared" si="3990"/>
        <v>hide</v>
      </c>
      <c r="D5563" s="48" t="str">
        <f>D5562</f>
        <v>PD-BOM00019</v>
      </c>
      <c r="E5563" s="7"/>
      <c r="F5563" s="27">
        <v>0</v>
      </c>
      <c r="G5563" s="27">
        <v>0</v>
      </c>
      <c r="H5563" s="27">
        <v>0</v>
      </c>
      <c r="I5563" s="27">
        <v>0</v>
      </c>
      <c r="J5563" s="27">
        <v>0</v>
      </c>
      <c r="K5563" s="63">
        <f>AVERAGE(I5563:J5563)</f>
        <v>0</v>
      </c>
      <c r="L5563" s="56" t="str">
        <f>"SW-RISER-PACK"</f>
        <v>SW-RISER-PACK</v>
      </c>
      <c r="M5563" s="14"/>
      <c r="N5563" s="15"/>
      <c r="O5563" s="12"/>
      <c r="P5563" s="34"/>
      <c r="Q5563" s="37"/>
      <c r="R5563" s="47"/>
      <c r="S5563" s="46"/>
    </row>
    <row r="5564" spans="1:19" ht="12" hidden="1" customHeight="1" x14ac:dyDescent="0.3">
      <c r="A5564" s="35" t="s">
        <v>908</v>
      </c>
      <c r="B5564" s="49" t="str">
        <f>B5560</f>
        <v>hide</v>
      </c>
      <c r="N5564"/>
      <c r="Q5564" s="33"/>
    </row>
    <row r="5565" spans="1:19" ht="13.8" hidden="1" thickBot="1" x14ac:dyDescent="0.3">
      <c r="A5565" t="s">
        <v>23</v>
      </c>
      <c r="B5565" s="49" t="str">
        <f t="shared" ref="B5565" si="3991">B5564</f>
        <v>hide</v>
      </c>
      <c r="D5565" s="58"/>
      <c r="E5565" s="58"/>
      <c r="F5565" s="52">
        <f>SUM(F5560:F5564)</f>
        <v>0</v>
      </c>
      <c r="G5565" s="52">
        <f>SUM(G5560:G5564)</f>
        <v>0</v>
      </c>
      <c r="H5565" s="52">
        <f>SUM(H5560:H5564)</f>
        <v>0</v>
      </c>
      <c r="I5565" s="52">
        <f>SUM(I5560:I5564)</f>
        <v>0</v>
      </c>
      <c r="J5565" s="52">
        <f>SUM(J5560:J5564)</f>
        <v>0</v>
      </c>
      <c r="K5565" s="52"/>
      <c r="L5565" s="51" t="s">
        <v>4</v>
      </c>
      <c r="M5565" s="58"/>
      <c r="N5565" s="58"/>
      <c r="O5565" s="58"/>
      <c r="P5565" s="58"/>
      <c r="Q5565" s="58"/>
      <c r="R5565" s="58"/>
      <c r="S5565" s="58"/>
    </row>
    <row r="5566" spans="1:19" s="59" customFormat="1" ht="18.75" hidden="1" customHeight="1" thickBot="1" x14ac:dyDescent="0.3">
      <c r="A5566" s="59" t="s">
        <v>23</v>
      </c>
      <c r="B5566" s="60" t="str">
        <f t="shared" ref="B5566:B5567" si="3992">IF(K5566=0,"hide","")</f>
        <v>hide</v>
      </c>
      <c r="D5566" s="61" t="str">
        <f>"PD-BOM00021"</f>
        <v>PD-BOM00021</v>
      </c>
      <c r="E5566" s="62" t="str">
        <f>""</f>
        <v/>
      </c>
      <c r="F5566" s="63">
        <v>0</v>
      </c>
      <c r="G5566" s="63">
        <v>0</v>
      </c>
      <c r="H5566" s="63">
        <v>0</v>
      </c>
      <c r="I5566" s="63">
        <v>0</v>
      </c>
      <c r="J5566" s="63">
        <v>0</v>
      </c>
      <c r="K5566" s="63">
        <f>AVERAGE(I5566:J5566)</f>
        <v>0</v>
      </c>
      <c r="L5566" s="64" t="str">
        <f>""</f>
        <v/>
      </c>
      <c r="M5566" s="65" t="str">
        <f>""</f>
        <v/>
      </c>
      <c r="N5566" s="66" t="str">
        <f>""</f>
        <v/>
      </c>
      <c r="O5566" s="67" t="e">
        <v>#VALUE!</v>
      </c>
      <c r="P5566" s="68" t="e">
        <f>1/O5566</f>
        <v>#VALUE!</v>
      </c>
      <c r="Q5566" s="53" t="e">
        <v>#VALUE!</v>
      </c>
      <c r="R5566" s="69" t="e">
        <f t="shared" ref="R5566" si="3993">1/Q5566</f>
        <v>#VALUE!</v>
      </c>
      <c r="S5566" s="70" t="e">
        <f t="shared" ref="S5566" si="3994">R5566*N5566</f>
        <v>#VALUE!</v>
      </c>
    </row>
    <row r="5567" spans="1:19" ht="15.6" hidden="1" customHeight="1" thickBot="1" x14ac:dyDescent="0.3">
      <c r="A5567" t="s">
        <v>23</v>
      </c>
      <c r="B5567" s="60" t="str">
        <f t="shared" si="3992"/>
        <v>hide</v>
      </c>
      <c r="D5567" s="48" t="str">
        <f>D5566</f>
        <v>PD-BOM00021</v>
      </c>
      <c r="E5567" s="7"/>
      <c r="F5567" s="27">
        <v>0</v>
      </c>
      <c r="G5567" s="27">
        <v>0</v>
      </c>
      <c r="H5567" s="27">
        <v>0</v>
      </c>
      <c r="I5567" s="27">
        <v>0</v>
      </c>
      <c r="J5567" s="27">
        <v>0</v>
      </c>
      <c r="K5567" s="63">
        <f>AVERAGE(I5567:J5567)</f>
        <v>0</v>
      </c>
      <c r="L5567" s="56" t="str">
        <f>"EQP-LAWPACK1"</f>
        <v>EQP-LAWPACK1</v>
      </c>
      <c r="M5567" s="14"/>
      <c r="N5567" s="15"/>
      <c r="O5567" s="12"/>
      <c r="P5567" s="34"/>
      <c r="Q5567" s="37"/>
      <c r="R5567" s="47"/>
      <c r="S5567" s="46"/>
    </row>
    <row r="5568" spans="1:19" ht="15.6" hidden="1" customHeight="1" thickBot="1" x14ac:dyDescent="0.3">
      <c r="A5568" t="s">
        <v>23</v>
      </c>
      <c r="B5568" s="60" t="str">
        <f t="shared" ref="B5568:B5570" si="3995">IF(K5568=0,"hide","")</f>
        <v>hide</v>
      </c>
      <c r="D5568" s="48" t="str">
        <f>D5567</f>
        <v>PD-BOM00021</v>
      </c>
      <c r="E5568" s="7"/>
      <c r="F5568" s="27">
        <v>0</v>
      </c>
      <c r="G5568" s="27">
        <v>0</v>
      </c>
      <c r="H5568" s="27">
        <v>0</v>
      </c>
      <c r="I5568" s="27">
        <v>0</v>
      </c>
      <c r="J5568" s="27">
        <v>0</v>
      </c>
      <c r="K5568" s="63">
        <f>AVERAGE(I5568:J5568)</f>
        <v>0</v>
      </c>
      <c r="L5568" s="56" t="str">
        <f>"EQP-LAWPACK2"</f>
        <v>EQP-LAWPACK2</v>
      </c>
      <c r="M5568" s="14"/>
      <c r="N5568" s="15"/>
      <c r="O5568" s="12"/>
      <c r="P5568" s="34"/>
      <c r="Q5568" s="37"/>
      <c r="R5568" s="47"/>
      <c r="S5568" s="46"/>
    </row>
    <row r="5569" spans="1:19" ht="15.6" hidden="1" customHeight="1" thickBot="1" x14ac:dyDescent="0.3">
      <c r="A5569" t="s">
        <v>23</v>
      </c>
      <c r="B5569" s="60" t="str">
        <f t="shared" si="3995"/>
        <v>hide</v>
      </c>
      <c r="D5569" s="48" t="str">
        <f>D5568</f>
        <v>PD-BOM00021</v>
      </c>
      <c r="E5569" s="7"/>
      <c r="F5569" s="27">
        <v>0</v>
      </c>
      <c r="G5569" s="27">
        <v>0</v>
      </c>
      <c r="H5569" s="27">
        <v>0</v>
      </c>
      <c r="I5569" s="27">
        <v>0</v>
      </c>
      <c r="J5569" s="27">
        <v>0</v>
      </c>
      <c r="K5569" s="63">
        <f>AVERAGE(I5569:J5569)</f>
        <v>0</v>
      </c>
      <c r="L5569" s="56" t="str">
        <f>"SW-COMAS-PACKL"</f>
        <v>SW-COMAS-PACKL</v>
      </c>
      <c r="M5569" s="14"/>
      <c r="N5569" s="15"/>
      <c r="O5569" s="12"/>
      <c r="P5569" s="34"/>
      <c r="Q5569" s="37"/>
      <c r="R5569" s="47"/>
      <c r="S5569" s="46"/>
    </row>
    <row r="5570" spans="1:19" ht="15.6" hidden="1" customHeight="1" thickBot="1" x14ac:dyDescent="0.3">
      <c r="A5570" t="s">
        <v>23</v>
      </c>
      <c r="B5570" s="60" t="str">
        <f t="shared" si="3995"/>
        <v>hide</v>
      </c>
      <c r="D5570" s="48" t="str">
        <f>D5569</f>
        <v>PD-BOM00021</v>
      </c>
      <c r="E5570" s="7"/>
      <c r="F5570" s="27">
        <v>0</v>
      </c>
      <c r="G5570" s="27">
        <v>0</v>
      </c>
      <c r="H5570" s="27">
        <v>0</v>
      </c>
      <c r="I5570" s="27">
        <v>0</v>
      </c>
      <c r="J5570" s="27">
        <v>0</v>
      </c>
      <c r="K5570" s="63">
        <f>AVERAGE(I5570:J5570)</f>
        <v>0</v>
      </c>
      <c r="L5570" s="56" t="str">
        <f>"SW-RISER-PACK"</f>
        <v>SW-RISER-PACK</v>
      </c>
      <c r="M5570" s="14"/>
      <c r="N5570" s="15"/>
      <c r="O5570" s="12"/>
      <c r="P5570" s="34"/>
      <c r="Q5570" s="37"/>
      <c r="R5570" s="47"/>
      <c r="S5570" s="46"/>
    </row>
    <row r="5571" spans="1:19" ht="12" hidden="1" customHeight="1" x14ac:dyDescent="0.3">
      <c r="A5571" s="35" t="s">
        <v>908</v>
      </c>
      <c r="B5571" s="49" t="str">
        <f>B5567</f>
        <v>hide</v>
      </c>
      <c r="N5571"/>
      <c r="Q5571" s="33"/>
    </row>
    <row r="5572" spans="1:19" ht="13.8" hidden="1" thickBot="1" x14ac:dyDescent="0.3">
      <c r="A5572" t="s">
        <v>23</v>
      </c>
      <c r="B5572" s="49" t="str">
        <f t="shared" ref="B5572" si="3996">B5571</f>
        <v>hide</v>
      </c>
      <c r="D5572" s="58"/>
      <c r="E5572" s="58"/>
      <c r="F5572" s="52">
        <f>SUM(F5567:F5571)</f>
        <v>0</v>
      </c>
      <c r="G5572" s="52">
        <f>SUM(G5567:G5571)</f>
        <v>0</v>
      </c>
      <c r="H5572" s="52">
        <f>SUM(H5567:H5571)</f>
        <v>0</v>
      </c>
      <c r="I5572" s="52">
        <f>SUM(I5567:I5571)</f>
        <v>0</v>
      </c>
      <c r="J5572" s="52">
        <f>SUM(J5567:J5571)</f>
        <v>0</v>
      </c>
      <c r="K5572" s="52"/>
      <c r="L5572" s="51" t="s">
        <v>4</v>
      </c>
      <c r="M5572" s="58"/>
      <c r="N5572" s="58"/>
      <c r="O5572" s="58"/>
      <c r="P5572" s="58"/>
      <c r="Q5572" s="58"/>
      <c r="R5572" s="58"/>
      <c r="S5572" s="58"/>
    </row>
    <row r="5573" spans="1:19" s="59" customFormat="1" ht="18.75" hidden="1" customHeight="1" thickBot="1" x14ac:dyDescent="0.3">
      <c r="A5573" s="59" t="s">
        <v>23</v>
      </c>
      <c r="B5573" s="60" t="str">
        <f t="shared" ref="B5573:B5574" si="3997">IF(K5573=0,"hide","")</f>
        <v>hide</v>
      </c>
      <c r="D5573" s="61" t="str">
        <f>"PD-BOM00022"</f>
        <v>PD-BOM00022</v>
      </c>
      <c r="E5573" s="62" t="str">
        <f>""</f>
        <v/>
      </c>
      <c r="F5573" s="63">
        <v>0</v>
      </c>
      <c r="G5573" s="63">
        <v>0</v>
      </c>
      <c r="H5573" s="63">
        <v>0</v>
      </c>
      <c r="I5573" s="63">
        <v>0</v>
      </c>
      <c r="J5573" s="63">
        <v>0</v>
      </c>
      <c r="K5573" s="63">
        <f>AVERAGE(I5573:J5573)</f>
        <v>0</v>
      </c>
      <c r="L5573" s="64" t="str">
        <f>""</f>
        <v/>
      </c>
      <c r="M5573" s="65" t="str">
        <f>""</f>
        <v/>
      </c>
      <c r="N5573" s="66" t="str">
        <f>""</f>
        <v/>
      </c>
      <c r="O5573" s="67" t="e">
        <v>#VALUE!</v>
      </c>
      <c r="P5573" s="68" t="e">
        <f>1/O5573</f>
        <v>#VALUE!</v>
      </c>
      <c r="Q5573" s="53" t="e">
        <v>#VALUE!</v>
      </c>
      <c r="R5573" s="69" t="e">
        <f t="shared" ref="R5573" si="3998">1/Q5573</f>
        <v>#VALUE!</v>
      </c>
      <c r="S5573" s="70" t="e">
        <f t="shared" ref="S5573" si="3999">R5573*N5573</f>
        <v>#VALUE!</v>
      </c>
    </row>
    <row r="5574" spans="1:19" ht="15.6" hidden="1" customHeight="1" thickBot="1" x14ac:dyDescent="0.3">
      <c r="A5574" t="s">
        <v>23</v>
      </c>
      <c r="B5574" s="60" t="str">
        <f t="shared" si="3997"/>
        <v>hide</v>
      </c>
      <c r="D5574" s="48" t="str">
        <f>D5573</f>
        <v>PD-BOM00022</v>
      </c>
      <c r="E5574" s="7"/>
      <c r="F5574" s="27">
        <v>0</v>
      </c>
      <c r="G5574" s="27">
        <v>0</v>
      </c>
      <c r="H5574" s="27">
        <v>0</v>
      </c>
      <c r="I5574" s="27">
        <v>0</v>
      </c>
      <c r="J5574" s="27">
        <v>0</v>
      </c>
      <c r="K5574" s="63">
        <f>AVERAGE(I5574:J5574)</f>
        <v>0</v>
      </c>
      <c r="L5574" s="56" t="str">
        <f>"EQP-LAWPACK1"</f>
        <v>EQP-LAWPACK1</v>
      </c>
      <c r="M5574" s="14"/>
      <c r="N5574" s="15"/>
      <c r="O5574" s="12"/>
      <c r="P5574" s="34"/>
      <c r="Q5574" s="37"/>
      <c r="R5574" s="47"/>
      <c r="S5574" s="46"/>
    </row>
    <row r="5575" spans="1:19" ht="15.6" hidden="1" customHeight="1" thickBot="1" x14ac:dyDescent="0.3">
      <c r="A5575" t="s">
        <v>23</v>
      </c>
      <c r="B5575" s="60" t="str">
        <f t="shared" ref="B5575:B5577" si="4000">IF(K5575=0,"hide","")</f>
        <v>hide</v>
      </c>
      <c r="D5575" s="48" t="str">
        <f>D5574</f>
        <v>PD-BOM00022</v>
      </c>
      <c r="E5575" s="7"/>
      <c r="F5575" s="27">
        <v>0</v>
      </c>
      <c r="G5575" s="27">
        <v>0</v>
      </c>
      <c r="H5575" s="27">
        <v>0</v>
      </c>
      <c r="I5575" s="27">
        <v>0</v>
      </c>
      <c r="J5575" s="27">
        <v>0</v>
      </c>
      <c r="K5575" s="63">
        <f>AVERAGE(I5575:J5575)</f>
        <v>0</v>
      </c>
      <c r="L5575" s="56" t="str">
        <f>"EQP-LAWPACK2"</f>
        <v>EQP-LAWPACK2</v>
      </c>
      <c r="M5575" s="14"/>
      <c r="N5575" s="15"/>
      <c r="O5575" s="12"/>
      <c r="P5575" s="34"/>
      <c r="Q5575" s="37"/>
      <c r="R5575" s="47"/>
      <c r="S5575" s="46"/>
    </row>
    <row r="5576" spans="1:19" ht="15.6" hidden="1" customHeight="1" thickBot="1" x14ac:dyDescent="0.3">
      <c r="A5576" t="s">
        <v>23</v>
      </c>
      <c r="B5576" s="60" t="str">
        <f t="shared" si="4000"/>
        <v>hide</v>
      </c>
      <c r="D5576" s="48" t="str">
        <f>D5575</f>
        <v>PD-BOM00022</v>
      </c>
      <c r="E5576" s="7"/>
      <c r="F5576" s="27">
        <v>0</v>
      </c>
      <c r="G5576" s="27">
        <v>0</v>
      </c>
      <c r="H5576" s="27">
        <v>0</v>
      </c>
      <c r="I5576" s="27">
        <v>0</v>
      </c>
      <c r="J5576" s="27">
        <v>0</v>
      </c>
      <c r="K5576" s="63">
        <f>AVERAGE(I5576:J5576)</f>
        <v>0</v>
      </c>
      <c r="L5576" s="56" t="str">
        <f>"SW-COMAS-PACKL"</f>
        <v>SW-COMAS-PACKL</v>
      </c>
      <c r="M5576" s="14"/>
      <c r="N5576" s="15"/>
      <c r="O5576" s="12"/>
      <c r="P5576" s="34"/>
      <c r="Q5576" s="37"/>
      <c r="R5576" s="47"/>
      <c r="S5576" s="46"/>
    </row>
    <row r="5577" spans="1:19" ht="15.6" hidden="1" customHeight="1" thickBot="1" x14ac:dyDescent="0.3">
      <c r="A5577" t="s">
        <v>23</v>
      </c>
      <c r="B5577" s="60" t="str">
        <f t="shared" si="4000"/>
        <v>hide</v>
      </c>
      <c r="D5577" s="48" t="str">
        <f>D5576</f>
        <v>PD-BOM00022</v>
      </c>
      <c r="E5577" s="7"/>
      <c r="F5577" s="27">
        <v>0</v>
      </c>
      <c r="G5577" s="27">
        <v>0</v>
      </c>
      <c r="H5577" s="27">
        <v>0</v>
      </c>
      <c r="I5577" s="27">
        <v>0</v>
      </c>
      <c r="J5577" s="27">
        <v>0</v>
      </c>
      <c r="K5577" s="63">
        <f>AVERAGE(I5577:J5577)</f>
        <v>0</v>
      </c>
      <c r="L5577" s="56" t="str">
        <f>"SW-RISER-PACK"</f>
        <v>SW-RISER-PACK</v>
      </c>
      <c r="M5577" s="14"/>
      <c r="N5577" s="15"/>
      <c r="O5577" s="12"/>
      <c r="P5577" s="34"/>
      <c r="Q5577" s="37"/>
      <c r="R5577" s="47"/>
      <c r="S5577" s="46"/>
    </row>
    <row r="5578" spans="1:19" ht="12" hidden="1" customHeight="1" x14ac:dyDescent="0.3">
      <c r="A5578" s="35" t="s">
        <v>908</v>
      </c>
      <c r="B5578" s="49" t="str">
        <f>B5574</f>
        <v>hide</v>
      </c>
      <c r="N5578"/>
      <c r="Q5578" s="33"/>
    </row>
    <row r="5579" spans="1:19" ht="13.8" hidden="1" thickBot="1" x14ac:dyDescent="0.3">
      <c r="A5579" t="s">
        <v>23</v>
      </c>
      <c r="B5579" s="49" t="str">
        <f t="shared" ref="B5579" si="4001">B5578</f>
        <v>hide</v>
      </c>
      <c r="D5579" s="58"/>
      <c r="E5579" s="58"/>
      <c r="F5579" s="52">
        <f>SUM(F5574:F5578)</f>
        <v>0</v>
      </c>
      <c r="G5579" s="52">
        <f>SUM(G5574:G5578)</f>
        <v>0</v>
      </c>
      <c r="H5579" s="52">
        <f>SUM(H5574:H5578)</f>
        <v>0</v>
      </c>
      <c r="I5579" s="52">
        <f>SUM(I5574:I5578)</f>
        <v>0</v>
      </c>
      <c r="J5579" s="52">
        <f>SUM(J5574:J5578)</f>
        <v>0</v>
      </c>
      <c r="K5579" s="52"/>
      <c r="L5579" s="51" t="s">
        <v>4</v>
      </c>
      <c r="M5579" s="58"/>
      <c r="N5579" s="58"/>
      <c r="O5579" s="58"/>
      <c r="P5579" s="58"/>
      <c r="Q5579" s="58"/>
      <c r="R5579" s="58"/>
      <c r="S5579" s="58"/>
    </row>
    <row r="5580" spans="1:19" s="59" customFormat="1" ht="18.75" hidden="1" customHeight="1" thickBot="1" x14ac:dyDescent="0.3">
      <c r="A5580" s="59" t="s">
        <v>23</v>
      </c>
      <c r="B5580" s="60" t="str">
        <f t="shared" ref="B5580:B5581" si="4002">IF(K5580=0,"hide","")</f>
        <v>hide</v>
      </c>
      <c r="D5580" s="61" t="str">
        <f>"PD-BOM00023"</f>
        <v>PD-BOM00023</v>
      </c>
      <c r="E5580" s="62" t="str">
        <f>""</f>
        <v/>
      </c>
      <c r="F5580" s="63">
        <v>0</v>
      </c>
      <c r="G5580" s="63">
        <v>0</v>
      </c>
      <c r="H5580" s="63">
        <v>0</v>
      </c>
      <c r="I5580" s="63">
        <v>0</v>
      </c>
      <c r="J5580" s="63">
        <v>0</v>
      </c>
      <c r="K5580" s="63">
        <f>AVERAGE(I5580:J5580)</f>
        <v>0</v>
      </c>
      <c r="L5580" s="64" t="str">
        <f>""</f>
        <v/>
      </c>
      <c r="M5580" s="65" t="str">
        <f>""</f>
        <v/>
      </c>
      <c r="N5580" s="66" t="str">
        <f>""</f>
        <v/>
      </c>
      <c r="O5580" s="67" t="e">
        <v>#VALUE!</v>
      </c>
      <c r="P5580" s="68" t="e">
        <f>1/O5580</f>
        <v>#VALUE!</v>
      </c>
      <c r="Q5580" s="53" t="e">
        <v>#VALUE!</v>
      </c>
      <c r="R5580" s="69" t="e">
        <f t="shared" ref="R5580" si="4003">1/Q5580</f>
        <v>#VALUE!</v>
      </c>
      <c r="S5580" s="70" t="e">
        <f t="shared" ref="S5580" si="4004">R5580*N5580</f>
        <v>#VALUE!</v>
      </c>
    </row>
    <row r="5581" spans="1:19" ht="15.6" hidden="1" customHeight="1" thickBot="1" x14ac:dyDescent="0.3">
      <c r="A5581" t="s">
        <v>23</v>
      </c>
      <c r="B5581" s="60" t="str">
        <f t="shared" si="4002"/>
        <v>hide</v>
      </c>
      <c r="D5581" s="48" t="str">
        <f>D5580</f>
        <v>PD-BOM00023</v>
      </c>
      <c r="E5581" s="7"/>
      <c r="F5581" s="27">
        <v>0</v>
      </c>
      <c r="G5581" s="27">
        <v>0</v>
      </c>
      <c r="H5581" s="27">
        <v>0</v>
      </c>
      <c r="I5581" s="27">
        <v>0</v>
      </c>
      <c r="J5581" s="27">
        <v>0</v>
      </c>
      <c r="K5581" s="63">
        <f>AVERAGE(I5581:J5581)</f>
        <v>0</v>
      </c>
      <c r="L5581" s="56" t="str">
        <f>"EQP-LAWPACK1"</f>
        <v>EQP-LAWPACK1</v>
      </c>
      <c r="M5581" s="14"/>
      <c r="N5581" s="15"/>
      <c r="O5581" s="12"/>
      <c r="P5581" s="34"/>
      <c r="Q5581" s="37"/>
      <c r="R5581" s="47"/>
      <c r="S5581" s="46"/>
    </row>
    <row r="5582" spans="1:19" ht="15.6" hidden="1" customHeight="1" thickBot="1" x14ac:dyDescent="0.3">
      <c r="A5582" t="s">
        <v>23</v>
      </c>
      <c r="B5582" s="60" t="str">
        <f t="shared" ref="B5582:B5584" si="4005">IF(K5582=0,"hide","")</f>
        <v>hide</v>
      </c>
      <c r="D5582" s="48" t="str">
        <f>D5581</f>
        <v>PD-BOM00023</v>
      </c>
      <c r="E5582" s="7"/>
      <c r="F5582" s="27">
        <v>0</v>
      </c>
      <c r="G5582" s="27">
        <v>0</v>
      </c>
      <c r="H5582" s="27">
        <v>0</v>
      </c>
      <c r="I5582" s="27">
        <v>0</v>
      </c>
      <c r="J5582" s="27">
        <v>0</v>
      </c>
      <c r="K5582" s="63">
        <f>AVERAGE(I5582:J5582)</f>
        <v>0</v>
      </c>
      <c r="L5582" s="56" t="str">
        <f>"EQP-LAWPACK2"</f>
        <v>EQP-LAWPACK2</v>
      </c>
      <c r="M5582" s="14"/>
      <c r="N5582" s="15"/>
      <c r="O5582" s="12"/>
      <c r="P5582" s="34"/>
      <c r="Q5582" s="37"/>
      <c r="R5582" s="47"/>
      <c r="S5582" s="46"/>
    </row>
    <row r="5583" spans="1:19" ht="15.6" hidden="1" customHeight="1" thickBot="1" x14ac:dyDescent="0.3">
      <c r="A5583" t="s">
        <v>23</v>
      </c>
      <c r="B5583" s="60" t="str">
        <f t="shared" si="4005"/>
        <v>hide</v>
      </c>
      <c r="D5583" s="48" t="str">
        <f>D5582</f>
        <v>PD-BOM00023</v>
      </c>
      <c r="E5583" s="7"/>
      <c r="F5583" s="27">
        <v>0</v>
      </c>
      <c r="G5583" s="27">
        <v>0</v>
      </c>
      <c r="H5583" s="27">
        <v>0</v>
      </c>
      <c r="I5583" s="27">
        <v>0</v>
      </c>
      <c r="J5583" s="27">
        <v>0</v>
      </c>
      <c r="K5583" s="63">
        <f>AVERAGE(I5583:J5583)</f>
        <v>0</v>
      </c>
      <c r="L5583" s="56" t="str">
        <f>"SW-COMAS-PACKL"</f>
        <v>SW-COMAS-PACKL</v>
      </c>
      <c r="M5583" s="14"/>
      <c r="N5583" s="15"/>
      <c r="O5583" s="12"/>
      <c r="P5583" s="34"/>
      <c r="Q5583" s="37"/>
      <c r="R5583" s="47"/>
      <c r="S5583" s="46"/>
    </row>
    <row r="5584" spans="1:19" ht="15.6" hidden="1" customHeight="1" thickBot="1" x14ac:dyDescent="0.3">
      <c r="A5584" t="s">
        <v>23</v>
      </c>
      <c r="B5584" s="60" t="str">
        <f t="shared" si="4005"/>
        <v>hide</v>
      </c>
      <c r="D5584" s="48" t="str">
        <f>D5583</f>
        <v>PD-BOM00023</v>
      </c>
      <c r="E5584" s="7"/>
      <c r="F5584" s="27">
        <v>0</v>
      </c>
      <c r="G5584" s="27">
        <v>0</v>
      </c>
      <c r="H5584" s="27">
        <v>0</v>
      </c>
      <c r="I5584" s="27">
        <v>0</v>
      </c>
      <c r="J5584" s="27">
        <v>0</v>
      </c>
      <c r="K5584" s="63">
        <f>AVERAGE(I5584:J5584)</f>
        <v>0</v>
      </c>
      <c r="L5584" s="56" t="str">
        <f>"SW-RISER-PACK"</f>
        <v>SW-RISER-PACK</v>
      </c>
      <c r="M5584" s="14"/>
      <c r="N5584" s="15"/>
      <c r="O5584" s="12"/>
      <c r="P5584" s="34"/>
      <c r="Q5584" s="37"/>
      <c r="R5584" s="47"/>
      <c r="S5584" s="46"/>
    </row>
    <row r="5585" spans="1:19" ht="12" hidden="1" customHeight="1" x14ac:dyDescent="0.3">
      <c r="A5585" s="35" t="s">
        <v>908</v>
      </c>
      <c r="B5585" s="49" t="str">
        <f>B5581</f>
        <v>hide</v>
      </c>
      <c r="N5585"/>
      <c r="Q5585" s="33"/>
    </row>
    <row r="5586" spans="1:19" ht="13.8" hidden="1" thickBot="1" x14ac:dyDescent="0.3">
      <c r="A5586" t="s">
        <v>23</v>
      </c>
      <c r="B5586" s="49" t="str">
        <f t="shared" ref="B5586" si="4006">B5585</f>
        <v>hide</v>
      </c>
      <c r="D5586" s="58"/>
      <c r="E5586" s="58"/>
      <c r="F5586" s="52">
        <f>SUM(F5581:F5585)</f>
        <v>0</v>
      </c>
      <c r="G5586" s="52">
        <f>SUM(G5581:G5585)</f>
        <v>0</v>
      </c>
      <c r="H5586" s="52">
        <f>SUM(H5581:H5585)</f>
        <v>0</v>
      </c>
      <c r="I5586" s="52">
        <f>SUM(I5581:I5585)</f>
        <v>0</v>
      </c>
      <c r="J5586" s="52">
        <f>SUM(J5581:J5585)</f>
        <v>0</v>
      </c>
      <c r="K5586" s="52"/>
      <c r="L5586" s="51" t="s">
        <v>4</v>
      </c>
      <c r="M5586" s="58"/>
      <c r="N5586" s="58"/>
      <c r="O5586" s="58"/>
      <c r="P5586" s="58"/>
      <c r="Q5586" s="58"/>
      <c r="R5586" s="58"/>
      <c r="S5586" s="58"/>
    </row>
    <row r="5587" spans="1:19" s="59" customFormat="1" ht="18.75" hidden="1" customHeight="1" thickBot="1" x14ac:dyDescent="0.3">
      <c r="A5587" s="59" t="s">
        <v>23</v>
      </c>
      <c r="B5587" s="60" t="str">
        <f t="shared" ref="B5587:B5588" si="4007">IF(K5587=0,"hide","")</f>
        <v>hide</v>
      </c>
      <c r="D5587" s="61" t="str">
        <f>"PD-BOM00024"</f>
        <v>PD-BOM00024</v>
      </c>
      <c r="E5587" s="62" t="str">
        <f>""</f>
        <v/>
      </c>
      <c r="F5587" s="63">
        <v>0</v>
      </c>
      <c r="G5587" s="63">
        <v>0</v>
      </c>
      <c r="H5587" s="63">
        <v>0</v>
      </c>
      <c r="I5587" s="63">
        <v>0</v>
      </c>
      <c r="J5587" s="63">
        <v>0</v>
      </c>
      <c r="K5587" s="63">
        <f>AVERAGE(I5587:J5587)</f>
        <v>0</v>
      </c>
      <c r="L5587" s="64" t="str">
        <f>""</f>
        <v/>
      </c>
      <c r="M5587" s="65" t="str">
        <f>""</f>
        <v/>
      </c>
      <c r="N5587" s="66" t="str">
        <f>""</f>
        <v/>
      </c>
      <c r="O5587" s="67" t="e">
        <v>#VALUE!</v>
      </c>
      <c r="P5587" s="68" t="e">
        <f>1/O5587</f>
        <v>#VALUE!</v>
      </c>
      <c r="Q5587" s="53" t="e">
        <v>#VALUE!</v>
      </c>
      <c r="R5587" s="69" t="e">
        <f t="shared" ref="R5587" si="4008">1/Q5587</f>
        <v>#VALUE!</v>
      </c>
      <c r="S5587" s="70" t="e">
        <f t="shared" ref="S5587" si="4009">R5587*N5587</f>
        <v>#VALUE!</v>
      </c>
    </row>
    <row r="5588" spans="1:19" ht="15.6" hidden="1" customHeight="1" thickBot="1" x14ac:dyDescent="0.3">
      <c r="A5588" t="s">
        <v>23</v>
      </c>
      <c r="B5588" s="60" t="str">
        <f t="shared" si="4007"/>
        <v>hide</v>
      </c>
      <c r="D5588" s="48" t="str">
        <f>D5587</f>
        <v>PD-BOM00024</v>
      </c>
      <c r="E5588" s="7"/>
      <c r="F5588" s="27">
        <v>0</v>
      </c>
      <c r="G5588" s="27">
        <v>0</v>
      </c>
      <c r="H5588" s="27">
        <v>0</v>
      </c>
      <c r="I5588" s="27">
        <v>0</v>
      </c>
      <c r="J5588" s="27">
        <v>0</v>
      </c>
      <c r="K5588" s="63">
        <f>AVERAGE(I5588:J5588)</f>
        <v>0</v>
      </c>
      <c r="L5588" s="56" t="str">
        <f>"EQP-LAWPACK1"</f>
        <v>EQP-LAWPACK1</v>
      </c>
      <c r="M5588" s="14"/>
      <c r="N5588" s="15"/>
      <c r="O5588" s="12"/>
      <c r="P5588" s="34"/>
      <c r="Q5588" s="37"/>
      <c r="R5588" s="47"/>
      <c r="S5588" s="46"/>
    </row>
    <row r="5589" spans="1:19" ht="15.6" hidden="1" customHeight="1" thickBot="1" x14ac:dyDescent="0.3">
      <c r="A5589" t="s">
        <v>23</v>
      </c>
      <c r="B5589" s="60" t="str">
        <f t="shared" ref="B5589:B5591" si="4010">IF(K5589=0,"hide","")</f>
        <v>hide</v>
      </c>
      <c r="D5589" s="48" t="str">
        <f>D5588</f>
        <v>PD-BOM00024</v>
      </c>
      <c r="E5589" s="7"/>
      <c r="F5589" s="27">
        <v>0</v>
      </c>
      <c r="G5589" s="27">
        <v>0</v>
      </c>
      <c r="H5589" s="27">
        <v>0</v>
      </c>
      <c r="I5589" s="27">
        <v>0</v>
      </c>
      <c r="J5589" s="27">
        <v>0</v>
      </c>
      <c r="K5589" s="63">
        <f>AVERAGE(I5589:J5589)</f>
        <v>0</v>
      </c>
      <c r="L5589" s="56" t="str">
        <f>"EQP-LAWPACK2"</f>
        <v>EQP-LAWPACK2</v>
      </c>
      <c r="M5589" s="14"/>
      <c r="N5589" s="15"/>
      <c r="O5589" s="12"/>
      <c r="P5589" s="34"/>
      <c r="Q5589" s="37"/>
      <c r="R5589" s="47"/>
      <c r="S5589" s="46"/>
    </row>
    <row r="5590" spans="1:19" ht="15.6" hidden="1" customHeight="1" thickBot="1" x14ac:dyDescent="0.3">
      <c r="A5590" t="s">
        <v>23</v>
      </c>
      <c r="B5590" s="60" t="str">
        <f t="shared" si="4010"/>
        <v>hide</v>
      </c>
      <c r="D5590" s="48" t="str">
        <f>D5589</f>
        <v>PD-BOM00024</v>
      </c>
      <c r="E5590" s="7"/>
      <c r="F5590" s="27">
        <v>0</v>
      </c>
      <c r="G5590" s="27">
        <v>0</v>
      </c>
      <c r="H5590" s="27">
        <v>0</v>
      </c>
      <c r="I5590" s="27">
        <v>0</v>
      </c>
      <c r="J5590" s="27">
        <v>0</v>
      </c>
      <c r="K5590" s="63">
        <f>AVERAGE(I5590:J5590)</f>
        <v>0</v>
      </c>
      <c r="L5590" s="56" t="str">
        <f>"SW-COMAS-PACKL"</f>
        <v>SW-COMAS-PACKL</v>
      </c>
      <c r="M5590" s="14"/>
      <c r="N5590" s="15"/>
      <c r="O5590" s="12"/>
      <c r="P5590" s="34"/>
      <c r="Q5590" s="37"/>
      <c r="R5590" s="47"/>
      <c r="S5590" s="46"/>
    </row>
    <row r="5591" spans="1:19" ht="15.6" hidden="1" customHeight="1" thickBot="1" x14ac:dyDescent="0.3">
      <c r="A5591" t="s">
        <v>23</v>
      </c>
      <c r="B5591" s="60" t="str">
        <f t="shared" si="4010"/>
        <v>hide</v>
      </c>
      <c r="D5591" s="48" t="str">
        <f>D5590</f>
        <v>PD-BOM00024</v>
      </c>
      <c r="E5591" s="7"/>
      <c r="F5591" s="27">
        <v>0</v>
      </c>
      <c r="G5591" s="27">
        <v>0</v>
      </c>
      <c r="H5591" s="27">
        <v>0</v>
      </c>
      <c r="I5591" s="27">
        <v>0</v>
      </c>
      <c r="J5591" s="27">
        <v>0</v>
      </c>
      <c r="K5591" s="63">
        <f>AVERAGE(I5591:J5591)</f>
        <v>0</v>
      </c>
      <c r="L5591" s="56" t="str">
        <f>"SW-RISER-PACK"</f>
        <v>SW-RISER-PACK</v>
      </c>
      <c r="M5591" s="14"/>
      <c r="N5591" s="15"/>
      <c r="O5591" s="12"/>
      <c r="P5591" s="34"/>
      <c r="Q5591" s="37"/>
      <c r="R5591" s="47"/>
      <c r="S5591" s="46"/>
    </row>
    <row r="5592" spans="1:19" ht="12" hidden="1" customHeight="1" x14ac:dyDescent="0.3">
      <c r="A5592" s="35" t="s">
        <v>908</v>
      </c>
      <c r="B5592" s="49" t="str">
        <f>B5588</f>
        <v>hide</v>
      </c>
      <c r="N5592"/>
      <c r="Q5592" s="33"/>
    </row>
    <row r="5593" spans="1:19" ht="13.8" hidden="1" thickBot="1" x14ac:dyDescent="0.3">
      <c r="A5593" t="s">
        <v>23</v>
      </c>
      <c r="B5593" s="49" t="str">
        <f t="shared" ref="B5593" si="4011">B5592</f>
        <v>hide</v>
      </c>
      <c r="D5593" s="58"/>
      <c r="E5593" s="58"/>
      <c r="F5593" s="52">
        <f>SUM(F5588:F5592)</f>
        <v>0</v>
      </c>
      <c r="G5593" s="52">
        <f>SUM(G5588:G5592)</f>
        <v>0</v>
      </c>
      <c r="H5593" s="52">
        <f>SUM(H5588:H5592)</f>
        <v>0</v>
      </c>
      <c r="I5593" s="52">
        <f>SUM(I5588:I5592)</f>
        <v>0</v>
      </c>
      <c r="J5593" s="52">
        <f>SUM(J5588:J5592)</f>
        <v>0</v>
      </c>
      <c r="K5593" s="52"/>
      <c r="L5593" s="51" t="s">
        <v>4</v>
      </c>
      <c r="M5593" s="58"/>
      <c r="N5593" s="58"/>
      <c r="O5593" s="58"/>
      <c r="P5593" s="58"/>
      <c r="Q5593" s="58"/>
      <c r="R5593" s="58"/>
      <c r="S5593" s="58"/>
    </row>
    <row r="5594" spans="1:19" s="59" customFormat="1" ht="18.75" hidden="1" customHeight="1" thickBot="1" x14ac:dyDescent="0.3">
      <c r="A5594" s="59" t="s">
        <v>23</v>
      </c>
      <c r="B5594" s="60" t="str">
        <f t="shared" ref="B5594:B5595" si="4012">IF(K5594=0,"hide","")</f>
        <v>hide</v>
      </c>
      <c r="D5594" s="61" t="str">
        <f>"PD-BOM00026"</f>
        <v>PD-BOM00026</v>
      </c>
      <c r="E5594" s="62" t="str">
        <f>""</f>
        <v/>
      </c>
      <c r="F5594" s="63">
        <v>0</v>
      </c>
      <c r="G5594" s="63">
        <v>0</v>
      </c>
      <c r="H5594" s="63">
        <v>0</v>
      </c>
      <c r="I5594" s="63">
        <v>0</v>
      </c>
      <c r="J5594" s="63">
        <v>0</v>
      </c>
      <c r="K5594" s="63">
        <f>AVERAGE(I5594:J5594)</f>
        <v>0</v>
      </c>
      <c r="L5594" s="64" t="str">
        <f>""</f>
        <v/>
      </c>
      <c r="M5594" s="65" t="str">
        <f>""</f>
        <v/>
      </c>
      <c r="N5594" s="66" t="str">
        <f>""</f>
        <v/>
      </c>
      <c r="O5594" s="67" t="e">
        <v>#VALUE!</v>
      </c>
      <c r="P5594" s="68" t="e">
        <f>1/O5594</f>
        <v>#VALUE!</v>
      </c>
      <c r="Q5594" s="53" t="e">
        <v>#VALUE!</v>
      </c>
      <c r="R5594" s="69" t="e">
        <f t="shared" ref="R5594" si="4013">1/Q5594</f>
        <v>#VALUE!</v>
      </c>
      <c r="S5594" s="70" t="e">
        <f t="shared" ref="S5594" si="4014">R5594*N5594</f>
        <v>#VALUE!</v>
      </c>
    </row>
    <row r="5595" spans="1:19" ht="15.6" hidden="1" customHeight="1" thickBot="1" x14ac:dyDescent="0.3">
      <c r="A5595" t="s">
        <v>23</v>
      </c>
      <c r="B5595" s="60" t="str">
        <f t="shared" si="4012"/>
        <v>hide</v>
      </c>
      <c r="D5595" s="48" t="str">
        <f>D5594</f>
        <v>PD-BOM00026</v>
      </c>
      <c r="E5595" s="7"/>
      <c r="F5595" s="27">
        <v>0</v>
      </c>
      <c r="G5595" s="27">
        <v>0</v>
      </c>
      <c r="H5595" s="27">
        <v>0</v>
      </c>
      <c r="I5595" s="27">
        <v>0</v>
      </c>
      <c r="J5595" s="27">
        <v>0</v>
      </c>
      <c r="K5595" s="63">
        <f>AVERAGE(I5595:J5595)</f>
        <v>0</v>
      </c>
      <c r="L5595" s="56" t="str">
        <f>"EQP-LAWPACK1"</f>
        <v>EQP-LAWPACK1</v>
      </c>
      <c r="M5595" s="14"/>
      <c r="N5595" s="15"/>
      <c r="O5595" s="12"/>
      <c r="P5595" s="34"/>
      <c r="Q5595" s="37"/>
      <c r="R5595" s="47"/>
      <c r="S5595" s="46"/>
    </row>
    <row r="5596" spans="1:19" ht="15.6" hidden="1" customHeight="1" thickBot="1" x14ac:dyDescent="0.3">
      <c r="A5596" t="s">
        <v>23</v>
      </c>
      <c r="B5596" s="60" t="str">
        <f t="shared" ref="B5596:B5598" si="4015">IF(K5596=0,"hide","")</f>
        <v>hide</v>
      </c>
      <c r="D5596" s="48" t="str">
        <f>D5595</f>
        <v>PD-BOM00026</v>
      </c>
      <c r="E5596" s="7"/>
      <c r="F5596" s="27">
        <v>0</v>
      </c>
      <c r="G5596" s="27">
        <v>0</v>
      </c>
      <c r="H5596" s="27">
        <v>0</v>
      </c>
      <c r="I5596" s="27">
        <v>0</v>
      </c>
      <c r="J5596" s="27">
        <v>0</v>
      </c>
      <c r="K5596" s="63">
        <f>AVERAGE(I5596:J5596)</f>
        <v>0</v>
      </c>
      <c r="L5596" s="56" t="str">
        <f>"EQP-LAWPACK2"</f>
        <v>EQP-LAWPACK2</v>
      </c>
      <c r="M5596" s="14"/>
      <c r="N5596" s="15"/>
      <c r="O5596" s="12"/>
      <c r="P5596" s="34"/>
      <c r="Q5596" s="37"/>
      <c r="R5596" s="47"/>
      <c r="S5596" s="46"/>
    </row>
    <row r="5597" spans="1:19" ht="15.6" hidden="1" customHeight="1" thickBot="1" x14ac:dyDescent="0.3">
      <c r="A5597" t="s">
        <v>23</v>
      </c>
      <c r="B5597" s="60" t="str">
        <f t="shared" si="4015"/>
        <v>hide</v>
      </c>
      <c r="D5597" s="48" t="str">
        <f>D5596</f>
        <v>PD-BOM00026</v>
      </c>
      <c r="E5597" s="7"/>
      <c r="F5597" s="27">
        <v>0</v>
      </c>
      <c r="G5597" s="27">
        <v>0</v>
      </c>
      <c r="H5597" s="27">
        <v>0</v>
      </c>
      <c r="I5597" s="27">
        <v>0</v>
      </c>
      <c r="J5597" s="27">
        <v>0</v>
      </c>
      <c r="K5597" s="63">
        <f>AVERAGE(I5597:J5597)</f>
        <v>0</v>
      </c>
      <c r="L5597" s="56" t="str">
        <f>"SW-COMAS-PACKL"</f>
        <v>SW-COMAS-PACKL</v>
      </c>
      <c r="M5597" s="14"/>
      <c r="N5597" s="15"/>
      <c r="O5597" s="12"/>
      <c r="P5597" s="34"/>
      <c r="Q5597" s="37"/>
      <c r="R5597" s="47"/>
      <c r="S5597" s="46"/>
    </row>
    <row r="5598" spans="1:19" ht="15.6" hidden="1" customHeight="1" thickBot="1" x14ac:dyDescent="0.3">
      <c r="A5598" t="s">
        <v>23</v>
      </c>
      <c r="B5598" s="60" t="str">
        <f t="shared" si="4015"/>
        <v>hide</v>
      </c>
      <c r="D5598" s="48" t="str">
        <f>D5597</f>
        <v>PD-BOM00026</v>
      </c>
      <c r="E5598" s="7"/>
      <c r="F5598" s="27">
        <v>0</v>
      </c>
      <c r="G5598" s="27">
        <v>0</v>
      </c>
      <c r="H5598" s="27">
        <v>0</v>
      </c>
      <c r="I5598" s="27">
        <v>0</v>
      </c>
      <c r="J5598" s="27">
        <v>0</v>
      </c>
      <c r="K5598" s="63">
        <f>AVERAGE(I5598:J5598)</f>
        <v>0</v>
      </c>
      <c r="L5598" s="56" t="str">
        <f>"SW-RISER-PACK"</f>
        <v>SW-RISER-PACK</v>
      </c>
      <c r="M5598" s="14"/>
      <c r="N5598" s="15"/>
      <c r="O5598" s="12"/>
      <c r="P5598" s="34"/>
      <c r="Q5598" s="37"/>
      <c r="R5598" s="47"/>
      <c r="S5598" s="46"/>
    </row>
    <row r="5599" spans="1:19" ht="12" hidden="1" customHeight="1" x14ac:dyDescent="0.3">
      <c r="A5599" s="35" t="s">
        <v>908</v>
      </c>
      <c r="B5599" s="49" t="str">
        <f>B5595</f>
        <v>hide</v>
      </c>
      <c r="N5599"/>
      <c r="Q5599" s="33"/>
    </row>
    <row r="5600" spans="1:19" ht="13.8" hidden="1" thickBot="1" x14ac:dyDescent="0.3">
      <c r="A5600" t="s">
        <v>23</v>
      </c>
      <c r="B5600" s="49" t="str">
        <f t="shared" ref="B5600" si="4016">B5599</f>
        <v>hide</v>
      </c>
      <c r="D5600" s="58"/>
      <c r="E5600" s="58"/>
      <c r="F5600" s="52">
        <f>SUM(F5595:F5599)</f>
        <v>0</v>
      </c>
      <c r="G5600" s="52">
        <f>SUM(G5595:G5599)</f>
        <v>0</v>
      </c>
      <c r="H5600" s="52">
        <f>SUM(H5595:H5599)</f>
        <v>0</v>
      </c>
      <c r="I5600" s="52">
        <f>SUM(I5595:I5599)</f>
        <v>0</v>
      </c>
      <c r="J5600" s="52">
        <f>SUM(J5595:J5599)</f>
        <v>0</v>
      </c>
      <c r="K5600" s="52"/>
      <c r="L5600" s="51" t="s">
        <v>4</v>
      </c>
      <c r="M5600" s="58"/>
      <c r="N5600" s="58"/>
      <c r="O5600" s="58"/>
      <c r="P5600" s="58"/>
      <c r="Q5600" s="58"/>
      <c r="R5600" s="58"/>
      <c r="S5600" s="58"/>
    </row>
    <row r="5601" spans="1:19" s="59" customFormat="1" ht="18.75" hidden="1" customHeight="1" thickBot="1" x14ac:dyDescent="0.3">
      <c r="A5601" s="59" t="s">
        <v>23</v>
      </c>
      <c r="B5601" s="60" t="str">
        <f t="shared" ref="B5601:B5602" si="4017">IF(K5601=0,"hide","")</f>
        <v>hide</v>
      </c>
      <c r="D5601" s="61" t="str">
        <f>"PD-BOM00030"</f>
        <v>PD-BOM00030</v>
      </c>
      <c r="E5601" s="62" t="str">
        <f>""</f>
        <v/>
      </c>
      <c r="F5601" s="63">
        <v>0</v>
      </c>
      <c r="G5601" s="63">
        <v>0</v>
      </c>
      <c r="H5601" s="63">
        <v>0</v>
      </c>
      <c r="I5601" s="63">
        <v>0</v>
      </c>
      <c r="J5601" s="63">
        <v>0</v>
      </c>
      <c r="K5601" s="63">
        <f>AVERAGE(I5601:J5601)</f>
        <v>0</v>
      </c>
      <c r="L5601" s="64" t="str">
        <f>""</f>
        <v/>
      </c>
      <c r="M5601" s="65" t="str">
        <f>""</f>
        <v/>
      </c>
      <c r="N5601" s="66" t="str">
        <f>""</f>
        <v/>
      </c>
      <c r="O5601" s="67" t="e">
        <v>#VALUE!</v>
      </c>
      <c r="P5601" s="68" t="e">
        <f>1/O5601</f>
        <v>#VALUE!</v>
      </c>
      <c r="Q5601" s="53" t="e">
        <v>#VALUE!</v>
      </c>
      <c r="R5601" s="69" t="e">
        <f t="shared" ref="R5601" si="4018">1/Q5601</f>
        <v>#VALUE!</v>
      </c>
      <c r="S5601" s="70" t="e">
        <f t="shared" ref="S5601" si="4019">R5601*N5601</f>
        <v>#VALUE!</v>
      </c>
    </row>
    <row r="5602" spans="1:19" ht="15.6" hidden="1" customHeight="1" thickBot="1" x14ac:dyDescent="0.3">
      <c r="A5602" t="s">
        <v>23</v>
      </c>
      <c r="B5602" s="60" t="str">
        <f t="shared" si="4017"/>
        <v>hide</v>
      </c>
      <c r="D5602" s="48" t="str">
        <f>D5601</f>
        <v>PD-BOM00030</v>
      </c>
      <c r="E5602" s="7"/>
      <c r="F5602" s="27">
        <v>0</v>
      </c>
      <c r="G5602" s="27">
        <v>0</v>
      </c>
      <c r="H5602" s="27">
        <v>0</v>
      </c>
      <c r="I5602" s="27">
        <v>0</v>
      </c>
      <c r="J5602" s="27">
        <v>0</v>
      </c>
      <c r="K5602" s="63">
        <f>AVERAGE(I5602:J5602)</f>
        <v>0</v>
      </c>
      <c r="L5602" s="56" t="str">
        <f>"EQP-LAWPACK1"</f>
        <v>EQP-LAWPACK1</v>
      </c>
      <c r="M5602" s="14"/>
      <c r="N5602" s="15"/>
      <c r="O5602" s="12"/>
      <c r="P5602" s="34"/>
      <c r="Q5602" s="37"/>
      <c r="R5602" s="47"/>
      <c r="S5602" s="46"/>
    </row>
    <row r="5603" spans="1:19" ht="15.6" hidden="1" customHeight="1" thickBot="1" x14ac:dyDescent="0.3">
      <c r="A5603" t="s">
        <v>23</v>
      </c>
      <c r="B5603" s="60" t="str">
        <f t="shared" ref="B5603:B5605" si="4020">IF(K5603=0,"hide","")</f>
        <v>hide</v>
      </c>
      <c r="D5603" s="48" t="str">
        <f>D5602</f>
        <v>PD-BOM00030</v>
      </c>
      <c r="E5603" s="7"/>
      <c r="F5603" s="27">
        <v>0</v>
      </c>
      <c r="G5603" s="27">
        <v>0</v>
      </c>
      <c r="H5603" s="27">
        <v>0</v>
      </c>
      <c r="I5603" s="27">
        <v>0</v>
      </c>
      <c r="J5603" s="27">
        <v>0</v>
      </c>
      <c r="K5603" s="63">
        <f>AVERAGE(I5603:J5603)</f>
        <v>0</v>
      </c>
      <c r="L5603" s="56" t="str">
        <f>"EQP-LAWPACK2"</f>
        <v>EQP-LAWPACK2</v>
      </c>
      <c r="M5603" s="14"/>
      <c r="N5603" s="15"/>
      <c r="O5603" s="12"/>
      <c r="P5603" s="34"/>
      <c r="Q5603" s="37"/>
      <c r="R5603" s="47"/>
      <c r="S5603" s="46"/>
    </row>
    <row r="5604" spans="1:19" ht="15.6" hidden="1" customHeight="1" thickBot="1" x14ac:dyDescent="0.3">
      <c r="A5604" t="s">
        <v>23</v>
      </c>
      <c r="B5604" s="60" t="str">
        <f t="shared" si="4020"/>
        <v>hide</v>
      </c>
      <c r="D5604" s="48" t="str">
        <f>D5603</f>
        <v>PD-BOM00030</v>
      </c>
      <c r="E5604" s="7"/>
      <c r="F5604" s="27">
        <v>0</v>
      </c>
      <c r="G5604" s="27">
        <v>0</v>
      </c>
      <c r="H5604" s="27">
        <v>0</v>
      </c>
      <c r="I5604" s="27">
        <v>0</v>
      </c>
      <c r="J5604" s="27">
        <v>0</v>
      </c>
      <c r="K5604" s="63">
        <f>AVERAGE(I5604:J5604)</f>
        <v>0</v>
      </c>
      <c r="L5604" s="56" t="str">
        <f>"SW-COMAS-PACKL"</f>
        <v>SW-COMAS-PACKL</v>
      </c>
      <c r="M5604" s="14"/>
      <c r="N5604" s="15"/>
      <c r="O5604" s="12"/>
      <c r="P5604" s="34"/>
      <c r="Q5604" s="37"/>
      <c r="R5604" s="47"/>
      <c r="S5604" s="46"/>
    </row>
    <row r="5605" spans="1:19" ht="15.6" hidden="1" customHeight="1" thickBot="1" x14ac:dyDescent="0.3">
      <c r="A5605" t="s">
        <v>23</v>
      </c>
      <c r="B5605" s="60" t="str">
        <f t="shared" si="4020"/>
        <v>hide</v>
      </c>
      <c r="D5605" s="48" t="str">
        <f>D5604</f>
        <v>PD-BOM00030</v>
      </c>
      <c r="E5605" s="7"/>
      <c r="F5605" s="27">
        <v>0</v>
      </c>
      <c r="G5605" s="27">
        <v>0</v>
      </c>
      <c r="H5605" s="27">
        <v>0</v>
      </c>
      <c r="I5605" s="27">
        <v>0</v>
      </c>
      <c r="J5605" s="27">
        <v>0</v>
      </c>
      <c r="K5605" s="63">
        <f>AVERAGE(I5605:J5605)</f>
        <v>0</v>
      </c>
      <c r="L5605" s="56" t="str">
        <f>"SW-RISER-PACK"</f>
        <v>SW-RISER-PACK</v>
      </c>
      <c r="M5605" s="14"/>
      <c r="N5605" s="15"/>
      <c r="O5605" s="12"/>
      <c r="P5605" s="34"/>
      <c r="Q5605" s="37"/>
      <c r="R5605" s="47"/>
      <c r="S5605" s="46"/>
    </row>
    <row r="5606" spans="1:19" ht="12" hidden="1" customHeight="1" x14ac:dyDescent="0.3">
      <c r="A5606" s="35" t="s">
        <v>908</v>
      </c>
      <c r="B5606" s="49" t="str">
        <f>B5602</f>
        <v>hide</v>
      </c>
      <c r="N5606"/>
      <c r="Q5606" s="33"/>
    </row>
    <row r="5607" spans="1:19" ht="13.8" hidden="1" thickBot="1" x14ac:dyDescent="0.3">
      <c r="A5607" t="s">
        <v>23</v>
      </c>
      <c r="B5607" s="49" t="str">
        <f t="shared" ref="B5607" si="4021">B5606</f>
        <v>hide</v>
      </c>
      <c r="D5607" s="58"/>
      <c r="E5607" s="58"/>
      <c r="F5607" s="52">
        <f>SUM(F5602:F5606)</f>
        <v>0</v>
      </c>
      <c r="G5607" s="52">
        <f>SUM(G5602:G5606)</f>
        <v>0</v>
      </c>
      <c r="H5607" s="52">
        <f>SUM(H5602:H5606)</f>
        <v>0</v>
      </c>
      <c r="I5607" s="52">
        <f>SUM(I5602:I5606)</f>
        <v>0</v>
      </c>
      <c r="J5607" s="52">
        <f>SUM(J5602:J5606)</f>
        <v>0</v>
      </c>
      <c r="K5607" s="52"/>
      <c r="L5607" s="51" t="s">
        <v>4</v>
      </c>
      <c r="M5607" s="58"/>
      <c r="N5607" s="58"/>
      <c r="O5607" s="58"/>
      <c r="P5607" s="58"/>
      <c r="Q5607" s="58"/>
      <c r="R5607" s="58"/>
      <c r="S5607" s="58"/>
    </row>
    <row r="5608" spans="1:19" s="59" customFormat="1" ht="18.75" hidden="1" customHeight="1" thickBot="1" x14ac:dyDescent="0.3">
      <c r="A5608" s="59" t="s">
        <v>23</v>
      </c>
      <c r="B5608" s="60" t="str">
        <f t="shared" ref="B5608:B5609" si="4022">IF(K5608=0,"hide","")</f>
        <v>hide</v>
      </c>
      <c r="D5608" s="61" t="str">
        <f>"SBGS248"</f>
        <v>SBGS248</v>
      </c>
      <c r="E5608" s="62" t="str">
        <f>"1"</f>
        <v>1</v>
      </c>
      <c r="F5608" s="63">
        <v>0</v>
      </c>
      <c r="G5608" s="63">
        <v>0</v>
      </c>
      <c r="H5608" s="63">
        <v>0</v>
      </c>
      <c r="I5608" s="63">
        <v>0</v>
      </c>
      <c r="J5608" s="63">
        <v>0</v>
      </c>
      <c r="K5608" s="63">
        <f>AVERAGE(I5608:J5608)</f>
        <v>0</v>
      </c>
      <c r="L5608" s="64" t="str">
        <f>"Soybutter Grape Sandwich"</f>
        <v>Soybutter Grape Sandwich</v>
      </c>
      <c r="M5608" s="65" t="str">
        <f>"48-5.2 oz. IW "</f>
        <v xml:space="preserve">48-5.2 oz. IW </v>
      </c>
      <c r="N5608" s="66">
        <v>48</v>
      </c>
      <c r="O5608" s="67" t="str">
        <f>""</f>
        <v/>
      </c>
      <c r="P5608" s="68" t="e">
        <f>1/O5608</f>
        <v>#VALUE!</v>
      </c>
      <c r="Q5608" s="53">
        <v>1</v>
      </c>
      <c r="R5608" s="69">
        <f t="shared" ref="R5608" si="4023">1/Q5608</f>
        <v>1</v>
      </c>
      <c r="S5608" s="70">
        <f t="shared" ref="S5608" si="4024">R5608*N5608</f>
        <v>48</v>
      </c>
    </row>
    <row r="5609" spans="1:19" ht="15.6" hidden="1" customHeight="1" thickBot="1" x14ac:dyDescent="0.3">
      <c r="A5609" t="s">
        <v>23</v>
      </c>
      <c r="B5609" s="60" t="str">
        <f t="shared" si="4022"/>
        <v>hide</v>
      </c>
      <c r="D5609" s="48" t="str">
        <f>D5608</f>
        <v>SBGS248</v>
      </c>
      <c r="E5609" s="7"/>
      <c r="F5609" s="27">
        <v>0</v>
      </c>
      <c r="G5609" s="27">
        <v>0</v>
      </c>
      <c r="H5609" s="27">
        <v>0</v>
      </c>
      <c r="I5609" s="27">
        <v>0</v>
      </c>
      <c r="J5609" s="27">
        <v>0</v>
      </c>
      <c r="K5609" s="63">
        <f>AVERAGE(I5609:J5609)</f>
        <v>0</v>
      </c>
      <c r="L5609" s="56" t="str">
        <f>"EQP-LAWPACK1"</f>
        <v>EQP-LAWPACK1</v>
      </c>
      <c r="M5609" s="14"/>
      <c r="N5609" s="15"/>
      <c r="O5609" s="12"/>
      <c r="P5609" s="34"/>
      <c r="Q5609" s="37"/>
      <c r="R5609" s="47"/>
      <c r="S5609" s="46"/>
    </row>
    <row r="5610" spans="1:19" ht="15.6" hidden="1" customHeight="1" thickBot="1" x14ac:dyDescent="0.3">
      <c r="A5610" t="s">
        <v>23</v>
      </c>
      <c r="B5610" s="60" t="str">
        <f t="shared" ref="B5610:B5612" si="4025">IF(K5610=0,"hide","")</f>
        <v>hide</v>
      </c>
      <c r="D5610" s="48" t="str">
        <f>D5609</f>
        <v>SBGS248</v>
      </c>
      <c r="E5610" s="7"/>
      <c r="F5610" s="27">
        <v>0</v>
      </c>
      <c r="G5610" s="27">
        <v>0</v>
      </c>
      <c r="H5610" s="27">
        <v>0</v>
      </c>
      <c r="I5610" s="27">
        <v>0</v>
      </c>
      <c r="J5610" s="27">
        <v>0</v>
      </c>
      <c r="K5610" s="63">
        <f>AVERAGE(I5610:J5610)</f>
        <v>0</v>
      </c>
      <c r="L5610" s="56" t="str">
        <f>"EQP-LAWPACK2"</f>
        <v>EQP-LAWPACK2</v>
      </c>
      <c r="M5610" s="14"/>
      <c r="N5610" s="15"/>
      <c r="O5610" s="12"/>
      <c r="P5610" s="34"/>
      <c r="Q5610" s="37"/>
      <c r="R5610" s="47"/>
      <c r="S5610" s="46"/>
    </row>
    <row r="5611" spans="1:19" ht="15.6" hidden="1" customHeight="1" thickBot="1" x14ac:dyDescent="0.3">
      <c r="A5611" t="s">
        <v>23</v>
      </c>
      <c r="B5611" s="60" t="str">
        <f t="shared" si="4025"/>
        <v>hide</v>
      </c>
      <c r="D5611" s="48" t="str">
        <f>D5610</f>
        <v>SBGS248</v>
      </c>
      <c r="E5611" s="7"/>
      <c r="F5611" s="27">
        <v>0</v>
      </c>
      <c r="G5611" s="27">
        <v>0</v>
      </c>
      <c r="H5611" s="27">
        <v>0</v>
      </c>
      <c r="I5611" s="27">
        <v>0</v>
      </c>
      <c r="J5611" s="27">
        <v>0</v>
      </c>
      <c r="K5611" s="63">
        <f>AVERAGE(I5611:J5611)</f>
        <v>0</v>
      </c>
      <c r="L5611" s="56" t="str">
        <f>"SW-COMAS-PACKL"</f>
        <v>SW-COMAS-PACKL</v>
      </c>
      <c r="M5611" s="14"/>
      <c r="N5611" s="15"/>
      <c r="O5611" s="12"/>
      <c r="P5611" s="34"/>
      <c r="Q5611" s="37"/>
      <c r="R5611" s="47"/>
      <c r="S5611" s="46"/>
    </row>
    <row r="5612" spans="1:19" ht="15.6" hidden="1" customHeight="1" thickBot="1" x14ac:dyDescent="0.3">
      <c r="A5612" t="s">
        <v>23</v>
      </c>
      <c r="B5612" s="60" t="str">
        <f t="shared" si="4025"/>
        <v>hide</v>
      </c>
      <c r="D5612" s="48" t="str">
        <f>D5611</f>
        <v>SBGS248</v>
      </c>
      <c r="E5612" s="7"/>
      <c r="F5612" s="27">
        <v>0</v>
      </c>
      <c r="G5612" s="27">
        <v>0</v>
      </c>
      <c r="H5612" s="27">
        <v>0</v>
      </c>
      <c r="I5612" s="27">
        <v>0</v>
      </c>
      <c r="J5612" s="27">
        <v>0</v>
      </c>
      <c r="K5612" s="63">
        <f>AVERAGE(I5612:J5612)</f>
        <v>0</v>
      </c>
      <c r="L5612" s="56" t="str">
        <f>"SW-RISER-PACK"</f>
        <v>SW-RISER-PACK</v>
      </c>
      <c r="M5612" s="14"/>
      <c r="N5612" s="15"/>
      <c r="O5612" s="12"/>
      <c r="P5612" s="34"/>
      <c r="Q5612" s="37"/>
      <c r="R5612" s="47"/>
      <c r="S5612" s="46"/>
    </row>
    <row r="5613" spans="1:19" ht="12" hidden="1" customHeight="1" x14ac:dyDescent="0.3">
      <c r="A5613" s="35" t="s">
        <v>908</v>
      </c>
      <c r="B5613" s="49" t="str">
        <f>B5609</f>
        <v>hide</v>
      </c>
      <c r="N5613"/>
      <c r="Q5613" s="33"/>
    </row>
    <row r="5614" spans="1:19" ht="13.8" hidden="1" thickBot="1" x14ac:dyDescent="0.3">
      <c r="A5614" t="s">
        <v>23</v>
      </c>
      <c r="B5614" s="49" t="str">
        <f t="shared" ref="B5614" si="4026">B5613</f>
        <v>hide</v>
      </c>
      <c r="D5614" s="58"/>
      <c r="E5614" s="58"/>
      <c r="F5614" s="52">
        <f>SUM(F5609:F5613)</f>
        <v>0</v>
      </c>
      <c r="G5614" s="52">
        <f>SUM(G5609:G5613)</f>
        <v>0</v>
      </c>
      <c r="H5614" s="52">
        <f>SUM(H5609:H5613)</f>
        <v>0</v>
      </c>
      <c r="I5614" s="52">
        <f>SUM(I5609:I5613)</f>
        <v>0</v>
      </c>
      <c r="J5614" s="52">
        <f>SUM(J5609:J5613)</f>
        <v>0</v>
      </c>
      <c r="K5614" s="52"/>
      <c r="L5614" s="51" t="s">
        <v>4</v>
      </c>
      <c r="M5614" s="58"/>
      <c r="N5614" s="58"/>
      <c r="O5614" s="58"/>
      <c r="P5614" s="58"/>
      <c r="Q5614" s="58"/>
      <c r="R5614" s="58"/>
      <c r="S5614" s="58"/>
    </row>
    <row r="5615" spans="1:19" s="59" customFormat="1" ht="18.75" hidden="1" customHeight="1" thickBot="1" x14ac:dyDescent="0.3">
      <c r="A5615" s="59" t="s">
        <v>23</v>
      </c>
      <c r="B5615" s="60" t="str">
        <f t="shared" ref="B5615:B5616" si="4027">IF(K5615=0,"hide","")</f>
        <v>hide</v>
      </c>
      <c r="D5615" s="61" t="str">
        <f>"TEST PKG BOM"</f>
        <v>TEST PKG BOM</v>
      </c>
      <c r="E5615" s="62" t="str">
        <f>""</f>
        <v/>
      </c>
      <c r="F5615" s="63">
        <v>0</v>
      </c>
      <c r="G5615" s="63">
        <v>0</v>
      </c>
      <c r="H5615" s="63">
        <v>0</v>
      </c>
      <c r="I5615" s="63">
        <v>0</v>
      </c>
      <c r="J5615" s="63">
        <v>0</v>
      </c>
      <c r="K5615" s="63">
        <f>AVERAGE(I5615:J5615)</f>
        <v>0</v>
      </c>
      <c r="L5615" s="64" t="str">
        <f>""</f>
        <v/>
      </c>
      <c r="M5615" s="65" t="str">
        <f>""</f>
        <v/>
      </c>
      <c r="N5615" s="66" t="str">
        <f>""</f>
        <v/>
      </c>
      <c r="O5615" s="67" t="e">
        <v>#VALUE!</v>
      </c>
      <c r="P5615" s="68" t="e">
        <f>1/O5615</f>
        <v>#VALUE!</v>
      </c>
      <c r="Q5615" s="53" t="e">
        <v>#VALUE!</v>
      </c>
      <c r="R5615" s="69" t="e">
        <f t="shared" ref="R5615" si="4028">1/Q5615</f>
        <v>#VALUE!</v>
      </c>
      <c r="S5615" s="70" t="e">
        <f t="shared" ref="S5615" si="4029">R5615*N5615</f>
        <v>#VALUE!</v>
      </c>
    </row>
    <row r="5616" spans="1:19" ht="15.6" hidden="1" customHeight="1" thickBot="1" x14ac:dyDescent="0.3">
      <c r="A5616" t="s">
        <v>23</v>
      </c>
      <c r="B5616" s="60" t="str">
        <f t="shared" si="4027"/>
        <v>hide</v>
      </c>
      <c r="D5616" s="48" t="str">
        <f>D5615</f>
        <v>TEST PKG BOM</v>
      </c>
      <c r="E5616" s="7"/>
      <c r="F5616" s="27">
        <v>0</v>
      </c>
      <c r="G5616" s="27">
        <v>0</v>
      </c>
      <c r="H5616" s="27">
        <v>0</v>
      </c>
      <c r="I5616" s="27">
        <v>0</v>
      </c>
      <c r="J5616" s="27">
        <v>0</v>
      </c>
      <c r="K5616" s="63">
        <f>AVERAGE(I5616:J5616)</f>
        <v>0</v>
      </c>
      <c r="L5616" s="56" t="str">
        <f>"EQP-LAWPACK1"</f>
        <v>EQP-LAWPACK1</v>
      </c>
      <c r="M5616" s="14"/>
      <c r="N5616" s="15"/>
      <c r="O5616" s="12"/>
      <c r="P5616" s="34"/>
      <c r="Q5616" s="37"/>
      <c r="R5616" s="47"/>
      <c r="S5616" s="46"/>
    </row>
    <row r="5617" spans="1:19" ht="15.6" hidden="1" customHeight="1" thickBot="1" x14ac:dyDescent="0.3">
      <c r="A5617" t="s">
        <v>23</v>
      </c>
      <c r="B5617" s="60" t="str">
        <f t="shared" ref="B5617:B5619" si="4030">IF(K5617=0,"hide","")</f>
        <v>hide</v>
      </c>
      <c r="D5617" s="48" t="str">
        <f>D5616</f>
        <v>TEST PKG BOM</v>
      </c>
      <c r="E5617" s="7"/>
      <c r="F5617" s="27">
        <v>0</v>
      </c>
      <c r="G5617" s="27">
        <v>0</v>
      </c>
      <c r="H5617" s="27">
        <v>0</v>
      </c>
      <c r="I5617" s="27">
        <v>0</v>
      </c>
      <c r="J5617" s="27">
        <v>0</v>
      </c>
      <c r="K5617" s="63">
        <f>AVERAGE(I5617:J5617)</f>
        <v>0</v>
      </c>
      <c r="L5617" s="56" t="str">
        <f>"EQP-LAWPACK2"</f>
        <v>EQP-LAWPACK2</v>
      </c>
      <c r="M5617" s="14"/>
      <c r="N5617" s="15"/>
      <c r="O5617" s="12"/>
      <c r="P5617" s="34"/>
      <c r="Q5617" s="37"/>
      <c r="R5617" s="47"/>
      <c r="S5617" s="46"/>
    </row>
    <row r="5618" spans="1:19" ht="15.6" hidden="1" customHeight="1" thickBot="1" x14ac:dyDescent="0.3">
      <c r="A5618" t="s">
        <v>23</v>
      </c>
      <c r="B5618" s="60" t="str">
        <f t="shared" si="4030"/>
        <v>hide</v>
      </c>
      <c r="D5618" s="48" t="str">
        <f>D5617</f>
        <v>TEST PKG BOM</v>
      </c>
      <c r="E5618" s="7"/>
      <c r="F5618" s="27">
        <v>0</v>
      </c>
      <c r="G5618" s="27">
        <v>0</v>
      </c>
      <c r="H5618" s="27">
        <v>0</v>
      </c>
      <c r="I5618" s="27">
        <v>0</v>
      </c>
      <c r="J5618" s="27">
        <v>0</v>
      </c>
      <c r="K5618" s="63">
        <f>AVERAGE(I5618:J5618)</f>
        <v>0</v>
      </c>
      <c r="L5618" s="56" t="str">
        <f>"SW-COMAS-PACKL"</f>
        <v>SW-COMAS-PACKL</v>
      </c>
      <c r="M5618" s="14"/>
      <c r="N5618" s="15"/>
      <c r="O5618" s="12"/>
      <c r="P5618" s="34"/>
      <c r="Q5618" s="37"/>
      <c r="R5618" s="47"/>
      <c r="S5618" s="46"/>
    </row>
    <row r="5619" spans="1:19" ht="15.6" hidden="1" customHeight="1" thickBot="1" x14ac:dyDescent="0.3">
      <c r="A5619" t="s">
        <v>23</v>
      </c>
      <c r="B5619" s="60" t="str">
        <f t="shared" si="4030"/>
        <v>hide</v>
      </c>
      <c r="D5619" s="48" t="str">
        <f>D5618</f>
        <v>TEST PKG BOM</v>
      </c>
      <c r="E5619" s="7"/>
      <c r="F5619" s="27">
        <v>0</v>
      </c>
      <c r="G5619" s="27">
        <v>0</v>
      </c>
      <c r="H5619" s="27">
        <v>0</v>
      </c>
      <c r="I5619" s="27">
        <v>0</v>
      </c>
      <c r="J5619" s="27">
        <v>0</v>
      </c>
      <c r="K5619" s="63">
        <f>AVERAGE(I5619:J5619)</f>
        <v>0</v>
      </c>
      <c r="L5619" s="56" t="str">
        <f>"SW-RISER-PACK"</f>
        <v>SW-RISER-PACK</v>
      </c>
      <c r="M5619" s="14"/>
      <c r="N5619" s="15"/>
      <c r="O5619" s="12"/>
      <c r="P5619" s="34"/>
      <c r="Q5619" s="37"/>
      <c r="R5619" s="47"/>
      <c r="S5619" s="46"/>
    </row>
    <row r="5620" spans="1:19" ht="12" hidden="1" customHeight="1" x14ac:dyDescent="0.3">
      <c r="A5620" s="35" t="s">
        <v>908</v>
      </c>
      <c r="B5620" s="49" t="str">
        <f>B5616</f>
        <v>hide</v>
      </c>
      <c r="N5620"/>
      <c r="Q5620" s="33"/>
    </row>
    <row r="5621" spans="1:19" ht="13.8" hidden="1" thickBot="1" x14ac:dyDescent="0.3">
      <c r="A5621" t="s">
        <v>23</v>
      </c>
      <c r="B5621" s="49" t="str">
        <f t="shared" ref="B5621" si="4031">B5620</f>
        <v>hide</v>
      </c>
      <c r="D5621" s="58"/>
      <c r="E5621" s="58"/>
      <c r="F5621" s="52">
        <f>SUM(F5616:F5620)</f>
        <v>0</v>
      </c>
      <c r="G5621" s="52">
        <f>SUM(G5616:G5620)</f>
        <v>0</v>
      </c>
      <c r="H5621" s="52">
        <f>SUM(H5616:H5620)</f>
        <v>0</v>
      </c>
      <c r="I5621" s="52">
        <f>SUM(I5616:I5620)</f>
        <v>0</v>
      </c>
      <c r="J5621" s="52">
        <f>SUM(J5616:J5620)</f>
        <v>0</v>
      </c>
      <c r="K5621" s="52"/>
      <c r="L5621" s="51" t="s">
        <v>4</v>
      </c>
      <c r="M5621" s="58"/>
      <c r="N5621" s="58"/>
      <c r="O5621" s="58"/>
      <c r="P5621" s="58"/>
      <c r="Q5621" s="58"/>
      <c r="R5621" s="58"/>
      <c r="S5621" s="58"/>
    </row>
    <row r="5622" spans="1:19" s="59" customFormat="1" ht="18.75" customHeight="1" thickBot="1" x14ac:dyDescent="0.3">
      <c r="A5622" s="59" t="s">
        <v>23</v>
      </c>
      <c r="B5622" s="60" t="str">
        <f t="shared" ref="B5622:B5623" si="4032">IF(K5622=0,"hide","")</f>
        <v/>
      </c>
      <c r="D5622" s="61" t="str">
        <f>"WBSBL270"</f>
        <v>WBSBL270</v>
      </c>
      <c r="E5622" s="62" t="str">
        <f>"2"</f>
        <v>2</v>
      </c>
      <c r="F5622" s="63">
        <v>0</v>
      </c>
      <c r="G5622" s="63">
        <v>0</v>
      </c>
      <c r="H5622" s="63">
        <v>0</v>
      </c>
      <c r="I5622" s="63">
        <v>0.5</v>
      </c>
      <c r="J5622" s="63">
        <v>0</v>
      </c>
      <c r="K5622" s="63">
        <f>AVERAGE(I5622:J5622)</f>
        <v>0.25</v>
      </c>
      <c r="L5622" s="64" t="str">
        <f>"WG Sliced Blueberry Bread "</f>
        <v xml:space="preserve">WG Sliced Blueberry Bread </v>
      </c>
      <c r="M5622" s="65" t="str">
        <f>"70-3.4oz IW"</f>
        <v>70-3.4oz IW</v>
      </c>
      <c r="N5622" s="66">
        <v>70</v>
      </c>
      <c r="O5622" s="67" t="str">
        <f>""</f>
        <v/>
      </c>
      <c r="P5622" s="68" t="e">
        <f>1/O5622</f>
        <v>#VALUE!</v>
      </c>
      <c r="Q5622" s="53">
        <v>1</v>
      </c>
      <c r="R5622" s="69">
        <f t="shared" ref="R5622" si="4033">1/Q5622</f>
        <v>1</v>
      </c>
      <c r="S5622" s="70">
        <f t="shared" ref="S5622" si="4034">R5622*N5622</f>
        <v>70</v>
      </c>
    </row>
    <row r="5623" spans="1:19" ht="15.6" hidden="1" customHeight="1" thickBot="1" x14ac:dyDescent="0.3">
      <c r="A5623" t="s">
        <v>23</v>
      </c>
      <c r="B5623" s="60" t="str">
        <f t="shared" si="4032"/>
        <v>hide</v>
      </c>
      <c r="D5623" s="48" t="str">
        <f>D5622</f>
        <v>WBSBL270</v>
      </c>
      <c r="E5623" s="7"/>
      <c r="F5623" s="27">
        <v>0</v>
      </c>
      <c r="G5623" s="27">
        <v>0</v>
      </c>
      <c r="H5623" s="27">
        <v>0</v>
      </c>
      <c r="I5623" s="27">
        <v>0</v>
      </c>
      <c r="J5623" s="27">
        <v>0</v>
      </c>
      <c r="K5623" s="63">
        <f>AVERAGE(I5623:J5623)</f>
        <v>0</v>
      </c>
      <c r="L5623" s="56" t="str">
        <f>"EQP-LAWPACK1"</f>
        <v>EQP-LAWPACK1</v>
      </c>
      <c r="M5623" s="14"/>
      <c r="N5623" s="15"/>
      <c r="O5623" s="12"/>
      <c r="P5623" s="34"/>
      <c r="Q5623" s="37"/>
      <c r="R5623" s="47"/>
      <c r="S5623" s="46"/>
    </row>
    <row r="5624" spans="1:19" ht="15.6" hidden="1" customHeight="1" thickBot="1" x14ac:dyDescent="0.3">
      <c r="A5624" t="s">
        <v>23</v>
      </c>
      <c r="B5624" s="60" t="str">
        <f t="shared" ref="B5624:B5626" si="4035">IF(K5624=0,"hide","")</f>
        <v>hide</v>
      </c>
      <c r="D5624" s="48" t="str">
        <f>D5623</f>
        <v>WBSBL270</v>
      </c>
      <c r="E5624" s="7"/>
      <c r="F5624" s="27">
        <v>0</v>
      </c>
      <c r="G5624" s="27">
        <v>0</v>
      </c>
      <c r="H5624" s="27">
        <v>0</v>
      </c>
      <c r="I5624" s="27">
        <v>0</v>
      </c>
      <c r="J5624" s="27">
        <v>0</v>
      </c>
      <c r="K5624" s="63">
        <f>AVERAGE(I5624:J5624)</f>
        <v>0</v>
      </c>
      <c r="L5624" s="56" t="str">
        <f>"EQP-LAWPACK2"</f>
        <v>EQP-LAWPACK2</v>
      </c>
      <c r="M5624" s="14"/>
      <c r="N5624" s="15"/>
      <c r="O5624" s="12"/>
      <c r="P5624" s="34"/>
      <c r="Q5624" s="37"/>
      <c r="R5624" s="47"/>
      <c r="S5624" s="46"/>
    </row>
    <row r="5625" spans="1:19" ht="15.6" hidden="1" customHeight="1" thickBot="1" x14ac:dyDescent="0.3">
      <c r="A5625" t="s">
        <v>23</v>
      </c>
      <c r="B5625" s="60" t="str">
        <f t="shared" si="4035"/>
        <v>hide</v>
      </c>
      <c r="D5625" s="48" t="str">
        <f>D5624</f>
        <v>WBSBL270</v>
      </c>
      <c r="E5625" s="7"/>
      <c r="F5625" s="27">
        <v>0</v>
      </c>
      <c r="G5625" s="27">
        <v>0</v>
      </c>
      <c r="H5625" s="27">
        <v>0</v>
      </c>
      <c r="I5625" s="27">
        <v>0</v>
      </c>
      <c r="J5625" s="27">
        <v>0</v>
      </c>
      <c r="K5625" s="63">
        <f>AVERAGE(I5625:J5625)</f>
        <v>0</v>
      </c>
      <c r="L5625" s="56" t="str">
        <f>"SW-COMAS-PACKL"</f>
        <v>SW-COMAS-PACKL</v>
      </c>
      <c r="M5625" s="14"/>
      <c r="N5625" s="15"/>
      <c r="O5625" s="12"/>
      <c r="P5625" s="34"/>
      <c r="Q5625" s="37"/>
      <c r="R5625" s="47"/>
      <c r="S5625" s="46"/>
    </row>
    <row r="5626" spans="1:19" ht="15.6" hidden="1" customHeight="1" thickBot="1" x14ac:dyDescent="0.3">
      <c r="A5626" t="s">
        <v>23</v>
      </c>
      <c r="B5626" s="60" t="str">
        <f t="shared" si="4035"/>
        <v>hide</v>
      </c>
      <c r="D5626" s="48" t="str">
        <f>D5625</f>
        <v>WBSBL270</v>
      </c>
      <c r="E5626" s="7"/>
      <c r="F5626" s="27">
        <v>0</v>
      </c>
      <c r="G5626" s="27">
        <v>0</v>
      </c>
      <c r="H5626" s="27">
        <v>0</v>
      </c>
      <c r="I5626" s="27">
        <v>0</v>
      </c>
      <c r="J5626" s="27">
        <v>0</v>
      </c>
      <c r="K5626" s="63">
        <f>AVERAGE(I5626:J5626)</f>
        <v>0</v>
      </c>
      <c r="L5626" s="56" t="str">
        <f>"SW-RISER-PACK"</f>
        <v>SW-RISER-PACK</v>
      </c>
      <c r="M5626" s="14"/>
      <c r="N5626" s="15"/>
      <c r="O5626" s="12"/>
      <c r="P5626" s="34"/>
      <c r="Q5626" s="37"/>
      <c r="R5626" s="47"/>
      <c r="S5626" s="46"/>
    </row>
    <row r="5627" spans="1:19" ht="12" hidden="1" customHeight="1" x14ac:dyDescent="0.3">
      <c r="A5627" s="35" t="s">
        <v>908</v>
      </c>
      <c r="B5627" s="49" t="str">
        <f>B5623</f>
        <v>hide</v>
      </c>
      <c r="N5627"/>
      <c r="Q5627" s="33"/>
    </row>
    <row r="5628" spans="1:19" ht="13.8" hidden="1" thickBot="1" x14ac:dyDescent="0.3">
      <c r="A5628" t="s">
        <v>23</v>
      </c>
      <c r="B5628" s="49" t="str">
        <f t="shared" ref="B5628" si="4036">B5627</f>
        <v>hide</v>
      </c>
      <c r="D5628" s="58"/>
      <c r="E5628" s="58"/>
      <c r="F5628" s="52">
        <f>SUM(F5623:F5627)</f>
        <v>0</v>
      </c>
      <c r="G5628" s="52">
        <f>SUM(G5623:G5627)</f>
        <v>0</v>
      </c>
      <c r="H5628" s="52">
        <f>SUM(H5623:H5627)</f>
        <v>0</v>
      </c>
      <c r="I5628" s="52">
        <f>SUM(I5623:I5627)</f>
        <v>0</v>
      </c>
      <c r="J5628" s="52">
        <f>SUM(J5623:J5627)</f>
        <v>0</v>
      </c>
      <c r="K5628" s="52"/>
      <c r="L5628" s="51" t="s">
        <v>4</v>
      </c>
      <c r="M5628" s="58"/>
      <c r="N5628" s="58"/>
      <c r="O5628" s="58"/>
      <c r="P5628" s="58"/>
      <c r="Q5628" s="58"/>
      <c r="R5628" s="58"/>
      <c r="S5628" s="58"/>
    </row>
    <row r="5629" spans="1:19" s="59" customFormat="1" ht="18.75" hidden="1" customHeight="1" thickBot="1" x14ac:dyDescent="0.3">
      <c r="A5629" s="59" t="s">
        <v>23</v>
      </c>
      <c r="B5629" s="60" t="str">
        <f t="shared" ref="B5629:B5630" si="4037">IF(K5629=0,"hide","")</f>
        <v>hide</v>
      </c>
      <c r="D5629" s="61" t="str">
        <f>"WBSBN270"</f>
        <v>WBSBN270</v>
      </c>
      <c r="E5629" s="62" t="str">
        <f>"2"</f>
        <v>2</v>
      </c>
      <c r="F5629" s="63">
        <v>0</v>
      </c>
      <c r="G5629" s="63">
        <v>466.25</v>
      </c>
      <c r="H5629" s="63">
        <v>914.58333333333337</v>
      </c>
      <c r="I5629" s="63">
        <v>0</v>
      </c>
      <c r="J5629" s="63">
        <v>0</v>
      </c>
      <c r="K5629" s="63">
        <f>AVERAGE(I5629:J5629)</f>
        <v>0</v>
      </c>
      <c r="L5629" s="64" t="str">
        <f>"WG Banana Bread, Slice, IW"</f>
        <v>WG Banana Bread, Slice, IW</v>
      </c>
      <c r="M5629" s="65" t="str">
        <f>"70-3.4oz IW"</f>
        <v>70-3.4oz IW</v>
      </c>
      <c r="N5629" s="66">
        <v>70</v>
      </c>
      <c r="O5629" s="67" t="str">
        <f>""</f>
        <v/>
      </c>
      <c r="P5629" s="68" t="e">
        <f>1/O5629</f>
        <v>#VALUE!</v>
      </c>
      <c r="Q5629" s="53">
        <v>1</v>
      </c>
      <c r="R5629" s="69">
        <f t="shared" ref="R5629" si="4038">1/Q5629</f>
        <v>1</v>
      </c>
      <c r="S5629" s="70">
        <f t="shared" ref="S5629" si="4039">R5629*N5629</f>
        <v>70</v>
      </c>
    </row>
    <row r="5630" spans="1:19" ht="15.6" hidden="1" customHeight="1" thickBot="1" x14ac:dyDescent="0.3">
      <c r="A5630" t="s">
        <v>23</v>
      </c>
      <c r="B5630" s="60" t="str">
        <f t="shared" si="4037"/>
        <v>hide</v>
      </c>
      <c r="D5630" s="48" t="str">
        <f>D5629</f>
        <v>WBSBN270</v>
      </c>
      <c r="E5630" s="7"/>
      <c r="F5630" s="27">
        <v>0</v>
      </c>
      <c r="G5630" s="27">
        <v>0</v>
      </c>
      <c r="H5630" s="27">
        <v>0</v>
      </c>
      <c r="I5630" s="27">
        <v>0</v>
      </c>
      <c r="J5630" s="27">
        <v>0</v>
      </c>
      <c r="K5630" s="63">
        <f>AVERAGE(I5630:J5630)</f>
        <v>0</v>
      </c>
      <c r="L5630" s="56" t="str">
        <f>"EQP-LAWPACK1"</f>
        <v>EQP-LAWPACK1</v>
      </c>
      <c r="M5630" s="14"/>
      <c r="N5630" s="15"/>
      <c r="O5630" s="12"/>
      <c r="P5630" s="34"/>
      <c r="Q5630" s="37"/>
      <c r="R5630" s="47"/>
      <c r="S5630" s="46"/>
    </row>
    <row r="5631" spans="1:19" ht="15.6" hidden="1" customHeight="1" thickBot="1" x14ac:dyDescent="0.3">
      <c r="A5631" t="s">
        <v>23</v>
      </c>
      <c r="B5631" s="60" t="str">
        <f t="shared" ref="B5631:B5633" si="4040">IF(K5631=0,"hide","")</f>
        <v>hide</v>
      </c>
      <c r="D5631" s="48" t="str">
        <f>D5630</f>
        <v>WBSBN270</v>
      </c>
      <c r="E5631" s="7"/>
      <c r="F5631" s="27">
        <v>0</v>
      </c>
      <c r="G5631" s="27">
        <v>0</v>
      </c>
      <c r="H5631" s="27">
        <v>0</v>
      </c>
      <c r="I5631" s="27">
        <v>0</v>
      </c>
      <c r="J5631" s="27">
        <v>0</v>
      </c>
      <c r="K5631" s="63">
        <f>AVERAGE(I5631:J5631)</f>
        <v>0</v>
      </c>
      <c r="L5631" s="56" t="str">
        <f>"EQP-LAWPACK2"</f>
        <v>EQP-LAWPACK2</v>
      </c>
      <c r="M5631" s="14"/>
      <c r="N5631" s="15"/>
      <c r="O5631" s="12"/>
      <c r="P5631" s="34"/>
      <c r="Q5631" s="37"/>
      <c r="R5631" s="47"/>
      <c r="S5631" s="46"/>
    </row>
    <row r="5632" spans="1:19" ht="15.6" hidden="1" customHeight="1" thickBot="1" x14ac:dyDescent="0.3">
      <c r="A5632" t="s">
        <v>23</v>
      </c>
      <c r="B5632" s="60" t="str">
        <f t="shared" si="4040"/>
        <v>hide</v>
      </c>
      <c r="D5632" s="48" t="str">
        <f>D5631</f>
        <v>WBSBN270</v>
      </c>
      <c r="E5632" s="7"/>
      <c r="F5632" s="27">
        <v>0</v>
      </c>
      <c r="G5632" s="27">
        <v>0</v>
      </c>
      <c r="H5632" s="27">
        <v>0</v>
      </c>
      <c r="I5632" s="27">
        <v>0</v>
      </c>
      <c r="J5632" s="27">
        <v>0</v>
      </c>
      <c r="K5632" s="63">
        <f>AVERAGE(I5632:J5632)</f>
        <v>0</v>
      </c>
      <c r="L5632" s="56" t="str">
        <f>"SW-COMAS-PACKL"</f>
        <v>SW-COMAS-PACKL</v>
      </c>
      <c r="M5632" s="14"/>
      <c r="N5632" s="15"/>
      <c r="O5632" s="12"/>
      <c r="P5632" s="34"/>
      <c r="Q5632" s="37"/>
      <c r="R5632" s="47"/>
      <c r="S5632" s="46"/>
    </row>
    <row r="5633" spans="1:19" ht="15.6" hidden="1" customHeight="1" thickBot="1" x14ac:dyDescent="0.3">
      <c r="A5633" t="s">
        <v>23</v>
      </c>
      <c r="B5633" s="60" t="str">
        <f t="shared" si="4040"/>
        <v>hide</v>
      </c>
      <c r="D5633" s="48" t="str">
        <f>D5632</f>
        <v>WBSBN270</v>
      </c>
      <c r="E5633" s="7"/>
      <c r="F5633" s="27">
        <v>0</v>
      </c>
      <c r="G5633" s="27">
        <v>0</v>
      </c>
      <c r="H5633" s="27">
        <v>0</v>
      </c>
      <c r="I5633" s="27">
        <v>0</v>
      </c>
      <c r="J5633" s="27">
        <v>0</v>
      </c>
      <c r="K5633" s="63">
        <f>AVERAGE(I5633:J5633)</f>
        <v>0</v>
      </c>
      <c r="L5633" s="56" t="str">
        <f>"SW-RISER-PACK"</f>
        <v>SW-RISER-PACK</v>
      </c>
      <c r="M5633" s="14"/>
      <c r="N5633" s="15"/>
      <c r="O5633" s="12"/>
      <c r="P5633" s="34"/>
      <c r="Q5633" s="37"/>
      <c r="R5633" s="47"/>
      <c r="S5633" s="46"/>
    </row>
    <row r="5634" spans="1:19" ht="12" hidden="1" customHeight="1" x14ac:dyDescent="0.3">
      <c r="A5634" s="35" t="s">
        <v>908</v>
      </c>
      <c r="B5634" s="49" t="str">
        <f>B5630</f>
        <v>hide</v>
      </c>
      <c r="N5634"/>
      <c r="Q5634" s="33"/>
    </row>
    <row r="5635" spans="1:19" ht="13.8" hidden="1" thickBot="1" x14ac:dyDescent="0.3">
      <c r="A5635" t="s">
        <v>23</v>
      </c>
      <c r="B5635" s="49" t="str">
        <f t="shared" ref="B5635" si="4041">B5634</f>
        <v>hide</v>
      </c>
      <c r="D5635" s="58"/>
      <c r="E5635" s="58"/>
      <c r="F5635" s="52">
        <f>SUM(F5630:F5634)</f>
        <v>0</v>
      </c>
      <c r="G5635" s="52">
        <f>SUM(G5630:G5634)</f>
        <v>0</v>
      </c>
      <c r="H5635" s="52">
        <f>SUM(H5630:H5634)</f>
        <v>0</v>
      </c>
      <c r="I5635" s="52">
        <f>SUM(I5630:I5634)</f>
        <v>0</v>
      </c>
      <c r="J5635" s="52">
        <f>SUM(J5630:J5634)</f>
        <v>0</v>
      </c>
      <c r="K5635" s="52"/>
      <c r="L5635" s="51" t="s">
        <v>4</v>
      </c>
      <c r="M5635" s="58"/>
      <c r="N5635" s="58"/>
      <c r="O5635" s="58"/>
      <c r="P5635" s="58"/>
      <c r="Q5635" s="58"/>
      <c r="R5635" s="58"/>
      <c r="S5635" s="58"/>
    </row>
    <row r="5636" spans="1:19" s="59" customFormat="1" ht="18.75" customHeight="1" thickBot="1" x14ac:dyDescent="0.3">
      <c r="A5636" s="59" t="s">
        <v>23</v>
      </c>
      <c r="B5636" s="60" t="str">
        <f t="shared" ref="B5636:B5637" si="4042">IF(K5636=0,"hide","")</f>
        <v/>
      </c>
      <c r="D5636" s="61" t="str">
        <f>"WBSCH270"</f>
        <v>WBSCH270</v>
      </c>
      <c r="E5636" s="62" t="str">
        <f>"2"</f>
        <v>2</v>
      </c>
      <c r="F5636" s="63">
        <v>0</v>
      </c>
      <c r="G5636" s="63">
        <v>49</v>
      </c>
      <c r="H5636" s="63">
        <v>51</v>
      </c>
      <c r="I5636" s="63">
        <v>15.333333333333334</v>
      </c>
      <c r="J5636" s="63">
        <v>0</v>
      </c>
      <c r="K5636" s="63">
        <f>AVERAGE(I5636:J5636)</f>
        <v>7.666666666666667</v>
      </c>
      <c r="L5636" s="64" t="str">
        <f>"Whole Grain Choc Bread Slice 2CG 70ct"</f>
        <v>Whole Grain Choc Bread Slice 2CG 70ct</v>
      </c>
      <c r="M5636" s="65" t="str">
        <f>"70-3.4oz IW"</f>
        <v>70-3.4oz IW</v>
      </c>
      <c r="N5636" s="66">
        <v>70</v>
      </c>
      <c r="O5636" s="67" t="str">
        <f>""</f>
        <v/>
      </c>
      <c r="P5636" s="68" t="e">
        <f>1/O5636</f>
        <v>#VALUE!</v>
      </c>
      <c r="Q5636" s="53">
        <v>1</v>
      </c>
      <c r="R5636" s="69">
        <f t="shared" ref="R5636" si="4043">1/Q5636</f>
        <v>1</v>
      </c>
      <c r="S5636" s="70">
        <f t="shared" ref="S5636" si="4044">R5636*N5636</f>
        <v>70</v>
      </c>
    </row>
    <row r="5637" spans="1:19" ht="15.6" hidden="1" customHeight="1" thickBot="1" x14ac:dyDescent="0.3">
      <c r="A5637" t="s">
        <v>23</v>
      </c>
      <c r="B5637" s="60" t="str">
        <f t="shared" si="4042"/>
        <v>hide</v>
      </c>
      <c r="D5637" s="48" t="str">
        <f>D5636</f>
        <v>WBSCH270</v>
      </c>
      <c r="E5637" s="7"/>
      <c r="F5637" s="27">
        <v>0</v>
      </c>
      <c r="G5637" s="27">
        <v>0</v>
      </c>
      <c r="H5637" s="27">
        <v>0</v>
      </c>
      <c r="I5637" s="27">
        <v>0</v>
      </c>
      <c r="J5637" s="27">
        <v>0</v>
      </c>
      <c r="K5637" s="63">
        <f>AVERAGE(I5637:J5637)</f>
        <v>0</v>
      </c>
      <c r="L5637" s="56" t="str">
        <f>"EQP-LAWPACK1"</f>
        <v>EQP-LAWPACK1</v>
      </c>
      <c r="M5637" s="14"/>
      <c r="N5637" s="15"/>
      <c r="O5637" s="12"/>
      <c r="P5637" s="34"/>
      <c r="Q5637" s="37"/>
      <c r="R5637" s="47"/>
      <c r="S5637" s="46"/>
    </row>
    <row r="5638" spans="1:19" ht="15.6" hidden="1" customHeight="1" thickBot="1" x14ac:dyDescent="0.3">
      <c r="A5638" t="s">
        <v>23</v>
      </c>
      <c r="B5638" s="60" t="str">
        <f t="shared" ref="B5638:B5640" si="4045">IF(K5638=0,"hide","")</f>
        <v>hide</v>
      </c>
      <c r="D5638" s="48" t="str">
        <f>D5637</f>
        <v>WBSCH270</v>
      </c>
      <c r="E5638" s="7"/>
      <c r="F5638" s="27">
        <v>0</v>
      </c>
      <c r="G5638" s="27">
        <v>0</v>
      </c>
      <c r="H5638" s="27">
        <v>0</v>
      </c>
      <c r="I5638" s="27">
        <v>0</v>
      </c>
      <c r="J5638" s="27">
        <v>0</v>
      </c>
      <c r="K5638" s="63">
        <f>AVERAGE(I5638:J5638)</f>
        <v>0</v>
      </c>
      <c r="L5638" s="56" t="str">
        <f>"EQP-LAWPACK2"</f>
        <v>EQP-LAWPACK2</v>
      </c>
      <c r="M5638" s="14"/>
      <c r="N5638" s="15"/>
      <c r="O5638" s="12"/>
      <c r="P5638" s="34"/>
      <c r="Q5638" s="37"/>
      <c r="R5638" s="47"/>
      <c r="S5638" s="46"/>
    </row>
    <row r="5639" spans="1:19" ht="15.6" hidden="1" customHeight="1" thickBot="1" x14ac:dyDescent="0.3">
      <c r="A5639" t="s">
        <v>23</v>
      </c>
      <c r="B5639" s="60" t="str">
        <f t="shared" si="4045"/>
        <v>hide</v>
      </c>
      <c r="D5639" s="48" t="str">
        <f>D5638</f>
        <v>WBSCH270</v>
      </c>
      <c r="E5639" s="7"/>
      <c r="F5639" s="27">
        <v>0</v>
      </c>
      <c r="G5639" s="27">
        <v>0</v>
      </c>
      <c r="H5639" s="27">
        <v>0</v>
      </c>
      <c r="I5639" s="27">
        <v>0</v>
      </c>
      <c r="J5639" s="27">
        <v>0</v>
      </c>
      <c r="K5639" s="63">
        <f>AVERAGE(I5639:J5639)</f>
        <v>0</v>
      </c>
      <c r="L5639" s="56" t="str">
        <f>"SW-COMAS-PACKL"</f>
        <v>SW-COMAS-PACKL</v>
      </c>
      <c r="M5639" s="14"/>
      <c r="N5639" s="15"/>
      <c r="O5639" s="12"/>
      <c r="P5639" s="34"/>
      <c r="Q5639" s="37"/>
      <c r="R5639" s="47"/>
      <c r="S5639" s="46"/>
    </row>
    <row r="5640" spans="1:19" ht="15.6" hidden="1" customHeight="1" thickBot="1" x14ac:dyDescent="0.3">
      <c r="A5640" t="s">
        <v>23</v>
      </c>
      <c r="B5640" s="60" t="str">
        <f t="shared" si="4045"/>
        <v>hide</v>
      </c>
      <c r="D5640" s="48" t="str">
        <f>D5639</f>
        <v>WBSCH270</v>
      </c>
      <c r="E5640" s="7"/>
      <c r="F5640" s="27">
        <v>0</v>
      </c>
      <c r="G5640" s="27">
        <v>0</v>
      </c>
      <c r="H5640" s="27">
        <v>0</v>
      </c>
      <c r="I5640" s="27">
        <v>0</v>
      </c>
      <c r="J5640" s="27">
        <v>0</v>
      </c>
      <c r="K5640" s="63">
        <f>AVERAGE(I5640:J5640)</f>
        <v>0</v>
      </c>
      <c r="L5640" s="56" t="str">
        <f>"SW-RISER-PACK"</f>
        <v>SW-RISER-PACK</v>
      </c>
      <c r="M5640" s="14"/>
      <c r="N5640" s="15"/>
      <c r="O5640" s="12"/>
      <c r="P5640" s="34"/>
      <c r="Q5640" s="37"/>
      <c r="R5640" s="47"/>
      <c r="S5640" s="46"/>
    </row>
    <row r="5641" spans="1:19" ht="12" hidden="1" customHeight="1" x14ac:dyDescent="0.3">
      <c r="A5641" s="35" t="s">
        <v>908</v>
      </c>
      <c r="B5641" s="49" t="str">
        <f>B5637</f>
        <v>hide</v>
      </c>
      <c r="N5641"/>
      <c r="Q5641" s="33"/>
    </row>
    <row r="5642" spans="1:19" ht="13.8" hidden="1" thickBot="1" x14ac:dyDescent="0.3">
      <c r="A5642" t="s">
        <v>23</v>
      </c>
      <c r="B5642" s="49" t="str">
        <f t="shared" ref="B5642" si="4046">B5641</f>
        <v>hide</v>
      </c>
      <c r="D5642" s="58"/>
      <c r="E5642" s="58"/>
      <c r="F5642" s="52">
        <f>SUM(F5637:F5641)</f>
        <v>0</v>
      </c>
      <c r="G5642" s="52">
        <f>SUM(G5637:G5641)</f>
        <v>0</v>
      </c>
      <c r="H5642" s="52">
        <f>SUM(H5637:H5641)</f>
        <v>0</v>
      </c>
      <c r="I5642" s="52">
        <f>SUM(I5637:I5641)</f>
        <v>0</v>
      </c>
      <c r="J5642" s="52">
        <f>SUM(J5637:J5641)</f>
        <v>0</v>
      </c>
      <c r="K5642" s="52"/>
      <c r="L5642" s="51" t="s">
        <v>4</v>
      </c>
      <c r="M5642" s="58"/>
      <c r="N5642" s="58"/>
      <c r="O5642" s="58"/>
      <c r="P5642" s="58"/>
      <c r="Q5642" s="58"/>
      <c r="R5642" s="58"/>
      <c r="S5642" s="58"/>
    </row>
    <row r="5643" spans="1:19" s="59" customFormat="1" ht="18.75" hidden="1" customHeight="1" thickBot="1" x14ac:dyDescent="0.3">
      <c r="A5643" s="59" t="s">
        <v>23</v>
      </c>
      <c r="B5643" s="60" t="str">
        <f t="shared" ref="B5643:B5644" si="4047">IF(K5643=0,"hide","")</f>
        <v>hide</v>
      </c>
      <c r="D5643" s="61" t="str">
        <f>"WBSPK270"</f>
        <v>WBSPK270</v>
      </c>
      <c r="E5643" s="62" t="str">
        <f>"1"</f>
        <v>1</v>
      </c>
      <c r="F5643" s="63">
        <v>0</v>
      </c>
      <c r="G5643" s="63">
        <v>0</v>
      </c>
      <c r="H5643" s="63">
        <v>75.833333333333329</v>
      </c>
      <c r="I5643" s="63">
        <v>0</v>
      </c>
      <c r="J5643" s="63">
        <v>0</v>
      </c>
      <c r="K5643" s="63">
        <f>AVERAGE(I5643:J5643)</f>
        <v>0</v>
      </c>
      <c r="L5643" s="64" t="str">
        <f>"WG Pumpkin Bread Slices"</f>
        <v>WG Pumpkin Bread Slices</v>
      </c>
      <c r="M5643" s="65" t="str">
        <f>"70-3.4oz IW"</f>
        <v>70-3.4oz IW</v>
      </c>
      <c r="N5643" s="66">
        <v>70</v>
      </c>
      <c r="O5643" s="67" t="str">
        <f>""</f>
        <v/>
      </c>
      <c r="P5643" s="68" t="e">
        <f>1/O5643</f>
        <v>#VALUE!</v>
      </c>
      <c r="Q5643" s="53">
        <v>1</v>
      </c>
      <c r="R5643" s="69">
        <f t="shared" ref="R5643" si="4048">1/Q5643</f>
        <v>1</v>
      </c>
      <c r="S5643" s="70">
        <f t="shared" ref="S5643" si="4049">R5643*N5643</f>
        <v>70</v>
      </c>
    </row>
    <row r="5644" spans="1:19" ht="15.6" hidden="1" customHeight="1" thickBot="1" x14ac:dyDescent="0.3">
      <c r="A5644" t="s">
        <v>23</v>
      </c>
      <c r="B5644" s="60" t="str">
        <f t="shared" si="4047"/>
        <v>hide</v>
      </c>
      <c r="D5644" s="48" t="str">
        <f>D5643</f>
        <v>WBSPK270</v>
      </c>
      <c r="E5644" s="7"/>
      <c r="F5644" s="27">
        <v>0</v>
      </c>
      <c r="G5644" s="27">
        <v>0</v>
      </c>
      <c r="H5644" s="27">
        <v>0</v>
      </c>
      <c r="I5644" s="27">
        <v>0</v>
      </c>
      <c r="J5644" s="27">
        <v>0</v>
      </c>
      <c r="K5644" s="63">
        <f>AVERAGE(I5644:J5644)</f>
        <v>0</v>
      </c>
      <c r="L5644" s="56" t="str">
        <f>"EQP-LAWPACK1"</f>
        <v>EQP-LAWPACK1</v>
      </c>
      <c r="M5644" s="14"/>
      <c r="N5644" s="15"/>
      <c r="O5644" s="12"/>
      <c r="P5644" s="34"/>
      <c r="Q5644" s="37"/>
      <c r="R5644" s="47"/>
      <c r="S5644" s="46"/>
    </row>
    <row r="5645" spans="1:19" ht="15.6" hidden="1" customHeight="1" thickBot="1" x14ac:dyDescent="0.3">
      <c r="A5645" t="s">
        <v>23</v>
      </c>
      <c r="B5645" s="60" t="str">
        <f t="shared" ref="B5645:B5647" si="4050">IF(K5645=0,"hide","")</f>
        <v>hide</v>
      </c>
      <c r="D5645" s="48" t="str">
        <f>D5644</f>
        <v>WBSPK270</v>
      </c>
      <c r="E5645" s="7"/>
      <c r="F5645" s="27">
        <v>0</v>
      </c>
      <c r="G5645" s="27">
        <v>0</v>
      </c>
      <c r="H5645" s="27">
        <v>0</v>
      </c>
      <c r="I5645" s="27">
        <v>0</v>
      </c>
      <c r="J5645" s="27">
        <v>0</v>
      </c>
      <c r="K5645" s="63">
        <f>AVERAGE(I5645:J5645)</f>
        <v>0</v>
      </c>
      <c r="L5645" s="56" t="str">
        <f>"EQP-LAWPACK2"</f>
        <v>EQP-LAWPACK2</v>
      </c>
      <c r="M5645" s="14"/>
      <c r="N5645" s="15"/>
      <c r="O5645" s="12"/>
      <c r="P5645" s="34"/>
      <c r="Q5645" s="37"/>
      <c r="R5645" s="47"/>
      <c r="S5645" s="46"/>
    </row>
    <row r="5646" spans="1:19" ht="15.6" hidden="1" customHeight="1" thickBot="1" x14ac:dyDescent="0.3">
      <c r="A5646" t="s">
        <v>23</v>
      </c>
      <c r="B5646" s="60" t="str">
        <f t="shared" si="4050"/>
        <v>hide</v>
      </c>
      <c r="D5646" s="48" t="str">
        <f>D5645</f>
        <v>WBSPK270</v>
      </c>
      <c r="E5646" s="7"/>
      <c r="F5646" s="27">
        <v>0</v>
      </c>
      <c r="G5646" s="27">
        <v>0</v>
      </c>
      <c r="H5646" s="27">
        <v>0</v>
      </c>
      <c r="I5646" s="27">
        <v>0</v>
      </c>
      <c r="J5646" s="27">
        <v>0</v>
      </c>
      <c r="K5646" s="63">
        <f>AVERAGE(I5646:J5646)</f>
        <v>0</v>
      </c>
      <c r="L5646" s="56" t="str">
        <f>"SW-COMAS-PACKL"</f>
        <v>SW-COMAS-PACKL</v>
      </c>
      <c r="M5646" s="14"/>
      <c r="N5646" s="15"/>
      <c r="O5646" s="12"/>
      <c r="P5646" s="34"/>
      <c r="Q5646" s="37"/>
      <c r="R5646" s="47"/>
      <c r="S5646" s="46"/>
    </row>
    <row r="5647" spans="1:19" ht="15.6" hidden="1" customHeight="1" thickBot="1" x14ac:dyDescent="0.3">
      <c r="A5647" t="s">
        <v>23</v>
      </c>
      <c r="B5647" s="60" t="str">
        <f t="shared" si="4050"/>
        <v>hide</v>
      </c>
      <c r="D5647" s="48" t="str">
        <f>D5646</f>
        <v>WBSPK270</v>
      </c>
      <c r="E5647" s="7"/>
      <c r="F5647" s="27">
        <v>0</v>
      </c>
      <c r="G5647" s="27">
        <v>0</v>
      </c>
      <c r="H5647" s="27">
        <v>0</v>
      </c>
      <c r="I5647" s="27">
        <v>0</v>
      </c>
      <c r="J5647" s="27">
        <v>0</v>
      </c>
      <c r="K5647" s="63">
        <f>AVERAGE(I5647:J5647)</f>
        <v>0</v>
      </c>
      <c r="L5647" s="56" t="str">
        <f>"SW-RISER-PACK"</f>
        <v>SW-RISER-PACK</v>
      </c>
      <c r="M5647" s="14"/>
      <c r="N5647" s="15"/>
      <c r="O5647" s="12"/>
      <c r="P5647" s="34"/>
      <c r="Q5647" s="37"/>
      <c r="R5647" s="47"/>
      <c r="S5647" s="46"/>
    </row>
    <row r="5648" spans="1:19" ht="12" hidden="1" customHeight="1" x14ac:dyDescent="0.3">
      <c r="A5648" s="35" t="s">
        <v>908</v>
      </c>
      <c r="B5648" s="49" t="str">
        <f>B5644</f>
        <v>hide</v>
      </c>
      <c r="N5648"/>
      <c r="Q5648" s="33"/>
    </row>
    <row r="5649" spans="1:19" ht="13.8" hidden="1" thickBot="1" x14ac:dyDescent="0.3">
      <c r="A5649" t="s">
        <v>23</v>
      </c>
      <c r="B5649" s="49" t="str">
        <f t="shared" ref="B5649" si="4051">B5648</f>
        <v>hide</v>
      </c>
      <c r="D5649" s="58"/>
      <c r="E5649" s="58"/>
      <c r="F5649" s="52">
        <f>SUM(F5644:F5648)</f>
        <v>0</v>
      </c>
      <c r="G5649" s="52">
        <f>SUM(G5644:G5648)</f>
        <v>0</v>
      </c>
      <c r="H5649" s="52">
        <f>SUM(H5644:H5648)</f>
        <v>0</v>
      </c>
      <c r="I5649" s="52">
        <f>SUM(I5644:I5648)</f>
        <v>0</v>
      </c>
      <c r="J5649" s="52">
        <f>SUM(J5644:J5648)</f>
        <v>0</v>
      </c>
      <c r="K5649" s="52"/>
      <c r="L5649" s="51" t="s">
        <v>4</v>
      </c>
      <c r="M5649" s="58"/>
      <c r="N5649" s="58"/>
      <c r="O5649" s="58"/>
      <c r="P5649" s="58"/>
      <c r="Q5649" s="58"/>
      <c r="R5649" s="58"/>
      <c r="S5649" s="58"/>
    </row>
    <row r="5650" spans="1:19" s="59" customFormat="1" ht="18.75" hidden="1" customHeight="1" thickBot="1" x14ac:dyDescent="0.3">
      <c r="A5650" s="59" t="s">
        <v>23</v>
      </c>
      <c r="B5650" s="60" t="str">
        <f t="shared" ref="B5650:B5651" si="4052">IF(K5650=0,"hide","")</f>
        <v>hide</v>
      </c>
      <c r="D5650" s="61" t="str">
        <f>"WBSZU270"</f>
        <v>WBSZU270</v>
      </c>
      <c r="E5650" s="62" t="str">
        <f>"1"</f>
        <v>1</v>
      </c>
      <c r="F5650" s="63">
        <v>0</v>
      </c>
      <c r="G5650" s="63">
        <v>7.9166666666666679</v>
      </c>
      <c r="H5650" s="63">
        <v>6.666666666666667</v>
      </c>
      <c r="I5650" s="63">
        <v>0</v>
      </c>
      <c r="J5650" s="63">
        <v>0</v>
      </c>
      <c r="K5650" s="63">
        <f>AVERAGE(I5650:J5650)</f>
        <v>0</v>
      </c>
      <c r="L5650" s="64" t="str">
        <f>"WG Zucchini Bread Slice"</f>
        <v>WG Zucchini Bread Slice</v>
      </c>
      <c r="M5650" s="65" t="str">
        <f>"70-3.4oz IW"</f>
        <v>70-3.4oz IW</v>
      </c>
      <c r="N5650" s="66">
        <v>70</v>
      </c>
      <c r="O5650" s="67" t="str">
        <f>""</f>
        <v/>
      </c>
      <c r="P5650" s="68" t="e">
        <f>1/O5650</f>
        <v>#VALUE!</v>
      </c>
      <c r="Q5650" s="53">
        <v>1</v>
      </c>
      <c r="R5650" s="69">
        <f t="shared" ref="R5650" si="4053">1/Q5650</f>
        <v>1</v>
      </c>
      <c r="S5650" s="70">
        <f t="shared" ref="S5650" si="4054">R5650*N5650</f>
        <v>70</v>
      </c>
    </row>
    <row r="5651" spans="1:19" ht="15.6" hidden="1" customHeight="1" thickBot="1" x14ac:dyDescent="0.3">
      <c r="A5651" t="s">
        <v>23</v>
      </c>
      <c r="B5651" s="60" t="str">
        <f t="shared" si="4052"/>
        <v>hide</v>
      </c>
      <c r="D5651" s="48" t="str">
        <f>D5650</f>
        <v>WBSZU270</v>
      </c>
      <c r="E5651" s="7"/>
      <c r="F5651" s="27">
        <v>0</v>
      </c>
      <c r="G5651" s="27">
        <v>0</v>
      </c>
      <c r="H5651" s="27">
        <v>0</v>
      </c>
      <c r="I5651" s="27">
        <v>0</v>
      </c>
      <c r="J5651" s="27">
        <v>0</v>
      </c>
      <c r="K5651" s="63">
        <f>AVERAGE(I5651:J5651)</f>
        <v>0</v>
      </c>
      <c r="L5651" s="56" t="str">
        <f>"EQP-LAWPACK1"</f>
        <v>EQP-LAWPACK1</v>
      </c>
      <c r="M5651" s="14"/>
      <c r="N5651" s="15"/>
      <c r="O5651" s="12"/>
      <c r="P5651" s="34"/>
      <c r="Q5651" s="37"/>
      <c r="R5651" s="47"/>
      <c r="S5651" s="46"/>
    </row>
    <row r="5652" spans="1:19" ht="15.6" hidden="1" customHeight="1" thickBot="1" x14ac:dyDescent="0.3">
      <c r="A5652" t="s">
        <v>23</v>
      </c>
      <c r="B5652" s="60" t="str">
        <f t="shared" ref="B5652:B5654" si="4055">IF(K5652=0,"hide","")</f>
        <v>hide</v>
      </c>
      <c r="D5652" s="48" t="str">
        <f>D5651</f>
        <v>WBSZU270</v>
      </c>
      <c r="E5652" s="7"/>
      <c r="F5652" s="27">
        <v>0</v>
      </c>
      <c r="G5652" s="27">
        <v>0</v>
      </c>
      <c r="H5652" s="27">
        <v>0</v>
      </c>
      <c r="I5652" s="27">
        <v>0</v>
      </c>
      <c r="J5652" s="27">
        <v>0</v>
      </c>
      <c r="K5652" s="63">
        <f>AVERAGE(I5652:J5652)</f>
        <v>0</v>
      </c>
      <c r="L5652" s="56" t="str">
        <f>"EQP-LAWPACK2"</f>
        <v>EQP-LAWPACK2</v>
      </c>
      <c r="M5652" s="14"/>
      <c r="N5652" s="15"/>
      <c r="O5652" s="12"/>
      <c r="P5652" s="34"/>
      <c r="Q5652" s="37"/>
      <c r="R5652" s="47"/>
      <c r="S5652" s="46"/>
    </row>
    <row r="5653" spans="1:19" ht="15.6" hidden="1" customHeight="1" thickBot="1" x14ac:dyDescent="0.3">
      <c r="A5653" t="s">
        <v>23</v>
      </c>
      <c r="B5653" s="60" t="str">
        <f t="shared" si="4055"/>
        <v>hide</v>
      </c>
      <c r="D5653" s="48" t="str">
        <f>D5652</f>
        <v>WBSZU270</v>
      </c>
      <c r="E5653" s="7"/>
      <c r="F5653" s="27">
        <v>0</v>
      </c>
      <c r="G5653" s="27">
        <v>0</v>
      </c>
      <c r="H5653" s="27">
        <v>0</v>
      </c>
      <c r="I5653" s="27">
        <v>0</v>
      </c>
      <c r="J5653" s="27">
        <v>0</v>
      </c>
      <c r="K5653" s="63">
        <f>AVERAGE(I5653:J5653)</f>
        <v>0</v>
      </c>
      <c r="L5653" s="56" t="str">
        <f>"SW-COMAS-PACKL"</f>
        <v>SW-COMAS-PACKL</v>
      </c>
      <c r="M5653" s="14"/>
      <c r="N5653" s="15"/>
      <c r="O5653" s="12"/>
      <c r="P5653" s="34"/>
      <c r="Q5653" s="37"/>
      <c r="R5653" s="47"/>
      <c r="S5653" s="46"/>
    </row>
    <row r="5654" spans="1:19" ht="15.6" hidden="1" customHeight="1" thickBot="1" x14ac:dyDescent="0.3">
      <c r="A5654" t="s">
        <v>23</v>
      </c>
      <c r="B5654" s="60" t="str">
        <f t="shared" si="4055"/>
        <v>hide</v>
      </c>
      <c r="D5654" s="48" t="str">
        <f>D5653</f>
        <v>WBSZU270</v>
      </c>
      <c r="E5654" s="7"/>
      <c r="F5654" s="27">
        <v>0</v>
      </c>
      <c r="G5654" s="27">
        <v>0</v>
      </c>
      <c r="H5654" s="27">
        <v>0</v>
      </c>
      <c r="I5654" s="27">
        <v>0</v>
      </c>
      <c r="J5654" s="27">
        <v>0</v>
      </c>
      <c r="K5654" s="63">
        <f>AVERAGE(I5654:J5654)</f>
        <v>0</v>
      </c>
      <c r="L5654" s="56" t="str">
        <f>"SW-RISER-PACK"</f>
        <v>SW-RISER-PACK</v>
      </c>
      <c r="M5654" s="14"/>
      <c r="N5654" s="15"/>
      <c r="O5654" s="12"/>
      <c r="P5654" s="34"/>
      <c r="Q5654" s="37"/>
      <c r="R5654" s="47"/>
      <c r="S5654" s="46"/>
    </row>
    <row r="5655" spans="1:19" ht="12" hidden="1" customHeight="1" x14ac:dyDescent="0.3">
      <c r="A5655" s="35" t="s">
        <v>908</v>
      </c>
      <c r="B5655" s="49" t="str">
        <f>B5651</f>
        <v>hide</v>
      </c>
      <c r="N5655"/>
      <c r="Q5655" s="33"/>
    </row>
    <row r="5656" spans="1:19" ht="13.8" hidden="1" thickBot="1" x14ac:dyDescent="0.3">
      <c r="A5656" t="s">
        <v>23</v>
      </c>
      <c r="B5656" s="49" t="str">
        <f t="shared" ref="B5656" si="4056">B5655</f>
        <v>hide</v>
      </c>
      <c r="D5656" s="58"/>
      <c r="E5656" s="58"/>
      <c r="F5656" s="52">
        <f>SUM(F5651:F5655)</f>
        <v>0</v>
      </c>
      <c r="G5656" s="52">
        <f>SUM(G5651:G5655)</f>
        <v>0</v>
      </c>
      <c r="H5656" s="52">
        <f>SUM(H5651:H5655)</f>
        <v>0</v>
      </c>
      <c r="I5656" s="52">
        <f>SUM(I5651:I5655)</f>
        <v>0</v>
      </c>
      <c r="J5656" s="52">
        <f>SUM(J5651:J5655)</f>
        <v>0</v>
      </c>
      <c r="K5656" s="52"/>
      <c r="L5656" s="51" t="s">
        <v>4</v>
      </c>
      <c r="M5656" s="58"/>
      <c r="N5656" s="58"/>
      <c r="O5656" s="58"/>
      <c r="P5656" s="58"/>
      <c r="Q5656" s="58"/>
      <c r="R5656" s="58"/>
      <c r="S5656" s="58"/>
    </row>
    <row r="5657" spans="1:19" s="59" customFormat="1" ht="18.75" customHeight="1" thickBot="1" x14ac:dyDescent="0.3">
      <c r="A5657" s="59" t="s">
        <v>23</v>
      </c>
      <c r="B5657" s="60" t="str">
        <f t="shared" ref="B5657:B5658" si="4057">IF(K5657=0,"hide","")</f>
        <v/>
      </c>
      <c r="D5657" s="61" t="str">
        <f>"WMAPL196"</f>
        <v>WMAPL196</v>
      </c>
      <c r="E5657" s="62" t="str">
        <f>"3"</f>
        <v>3</v>
      </c>
      <c r="F5657" s="63">
        <v>164.83333333333334</v>
      </c>
      <c r="G5657" s="63">
        <v>210.91666666666666</v>
      </c>
      <c r="H5657" s="63">
        <v>218.08333333333334</v>
      </c>
      <c r="I5657" s="63">
        <v>256.08333333333331</v>
      </c>
      <c r="J5657" s="63">
        <v>539.13204819277121</v>
      </c>
      <c r="K5657" s="63">
        <f>AVERAGE(I5657:J5657)</f>
        <v>397.60769076305223</v>
      </c>
      <c r="L5657" s="64" t="str">
        <f>"Whole Grain Simply Apple Muffin "</f>
        <v xml:space="preserve">Whole Grain Simply Apple Muffin </v>
      </c>
      <c r="M5657" s="65" t="str">
        <f>"96-1.6oz IW"</f>
        <v>96-1.6oz IW</v>
      </c>
      <c r="N5657" s="66">
        <v>96</v>
      </c>
      <c r="O5657" s="67" t="str">
        <f>""</f>
        <v/>
      </c>
      <c r="P5657" s="68" t="e">
        <f>1/O5657</f>
        <v>#VALUE!</v>
      </c>
      <c r="Q5657" s="53">
        <v>1</v>
      </c>
      <c r="R5657" s="69">
        <f t="shared" ref="R5657" si="4058">1/Q5657</f>
        <v>1</v>
      </c>
      <c r="S5657" s="70">
        <f t="shared" ref="S5657" si="4059">R5657*N5657</f>
        <v>96</v>
      </c>
    </row>
    <row r="5658" spans="1:19" ht="15.6" hidden="1" customHeight="1" thickBot="1" x14ac:dyDescent="0.3">
      <c r="A5658" t="s">
        <v>23</v>
      </c>
      <c r="B5658" s="60" t="str">
        <f t="shared" si="4057"/>
        <v>hide</v>
      </c>
      <c r="D5658" s="48" t="str">
        <f>D5657</f>
        <v>WMAPL196</v>
      </c>
      <c r="E5658" s="7"/>
      <c r="F5658" s="27">
        <v>0</v>
      </c>
      <c r="G5658" s="27">
        <v>0</v>
      </c>
      <c r="H5658" s="27">
        <v>0</v>
      </c>
      <c r="I5658" s="27">
        <v>0</v>
      </c>
      <c r="J5658" s="27">
        <v>0</v>
      </c>
      <c r="K5658" s="63">
        <f>AVERAGE(I5658:J5658)</f>
        <v>0</v>
      </c>
      <c r="L5658" s="56" t="str">
        <f>"EQP-LAWPACK1"</f>
        <v>EQP-LAWPACK1</v>
      </c>
      <c r="M5658" s="14"/>
      <c r="N5658" s="15"/>
      <c r="O5658" s="12"/>
      <c r="P5658" s="34"/>
      <c r="Q5658" s="37"/>
      <c r="R5658" s="47"/>
      <c r="S5658" s="46"/>
    </row>
    <row r="5659" spans="1:19" ht="15.6" hidden="1" customHeight="1" thickBot="1" x14ac:dyDescent="0.3">
      <c r="A5659" t="s">
        <v>23</v>
      </c>
      <c r="B5659" s="60" t="str">
        <f t="shared" ref="B5659:B5661" si="4060">IF(K5659=0,"hide","")</f>
        <v>hide</v>
      </c>
      <c r="D5659" s="48" t="str">
        <f>D5658</f>
        <v>WMAPL196</v>
      </c>
      <c r="E5659" s="7"/>
      <c r="F5659" s="27">
        <v>0</v>
      </c>
      <c r="G5659" s="27">
        <v>0</v>
      </c>
      <c r="H5659" s="27">
        <v>0</v>
      </c>
      <c r="I5659" s="27">
        <v>0</v>
      </c>
      <c r="J5659" s="27">
        <v>0</v>
      </c>
      <c r="K5659" s="63">
        <f>AVERAGE(I5659:J5659)</f>
        <v>0</v>
      </c>
      <c r="L5659" s="56" t="str">
        <f>"EQP-LAWPACK2"</f>
        <v>EQP-LAWPACK2</v>
      </c>
      <c r="M5659" s="14"/>
      <c r="N5659" s="15"/>
      <c r="O5659" s="12"/>
      <c r="P5659" s="34"/>
      <c r="Q5659" s="37"/>
      <c r="R5659" s="47"/>
      <c r="S5659" s="46"/>
    </row>
    <row r="5660" spans="1:19" ht="15.6" hidden="1" customHeight="1" thickBot="1" x14ac:dyDescent="0.3">
      <c r="A5660" t="s">
        <v>23</v>
      </c>
      <c r="B5660" s="60" t="str">
        <f t="shared" si="4060"/>
        <v>hide</v>
      </c>
      <c r="D5660" s="48" t="str">
        <f>D5659</f>
        <v>WMAPL196</v>
      </c>
      <c r="E5660" s="7"/>
      <c r="F5660" s="27">
        <v>0</v>
      </c>
      <c r="G5660" s="27">
        <v>0</v>
      </c>
      <c r="H5660" s="27">
        <v>0</v>
      </c>
      <c r="I5660" s="27">
        <v>0</v>
      </c>
      <c r="J5660" s="27">
        <v>0</v>
      </c>
      <c r="K5660" s="63">
        <f>AVERAGE(I5660:J5660)</f>
        <v>0</v>
      </c>
      <c r="L5660" s="56" t="str">
        <f>"SW-COMAS-PACKL"</f>
        <v>SW-COMAS-PACKL</v>
      </c>
      <c r="M5660" s="14"/>
      <c r="N5660" s="15"/>
      <c r="O5660" s="12"/>
      <c r="P5660" s="34"/>
      <c r="Q5660" s="37"/>
      <c r="R5660" s="47"/>
      <c r="S5660" s="46"/>
    </row>
    <row r="5661" spans="1:19" ht="15.6" hidden="1" customHeight="1" thickBot="1" x14ac:dyDescent="0.3">
      <c r="A5661" t="s">
        <v>23</v>
      </c>
      <c r="B5661" s="60" t="str">
        <f t="shared" si="4060"/>
        <v>hide</v>
      </c>
      <c r="D5661" s="48" t="str">
        <f>D5660</f>
        <v>WMAPL196</v>
      </c>
      <c r="E5661" s="7"/>
      <c r="F5661" s="27">
        <v>0</v>
      </c>
      <c r="G5661" s="27">
        <v>0</v>
      </c>
      <c r="H5661" s="27">
        <v>0</v>
      </c>
      <c r="I5661" s="27">
        <v>0</v>
      </c>
      <c r="J5661" s="27">
        <v>0</v>
      </c>
      <c r="K5661" s="63">
        <f>AVERAGE(I5661:J5661)</f>
        <v>0</v>
      </c>
      <c r="L5661" s="56" t="str">
        <f>"SW-RISER-PACK"</f>
        <v>SW-RISER-PACK</v>
      </c>
      <c r="M5661" s="14"/>
      <c r="N5661" s="15"/>
      <c r="O5661" s="12"/>
      <c r="P5661" s="34"/>
      <c r="Q5661" s="37"/>
      <c r="R5661" s="47"/>
      <c r="S5661" s="46"/>
    </row>
    <row r="5662" spans="1:19" ht="12" hidden="1" customHeight="1" x14ac:dyDescent="0.3">
      <c r="A5662" s="35" t="s">
        <v>908</v>
      </c>
      <c r="B5662" s="49" t="str">
        <f>B5658</f>
        <v>hide</v>
      </c>
      <c r="N5662"/>
      <c r="Q5662" s="33"/>
    </row>
    <row r="5663" spans="1:19" ht="13.8" hidden="1" thickBot="1" x14ac:dyDescent="0.3">
      <c r="A5663" t="s">
        <v>23</v>
      </c>
      <c r="B5663" s="49" t="str">
        <f t="shared" ref="B5663" si="4061">B5662</f>
        <v>hide</v>
      </c>
      <c r="D5663" s="58"/>
      <c r="E5663" s="58"/>
      <c r="F5663" s="52">
        <f>SUM(F5658:F5662)</f>
        <v>0</v>
      </c>
      <c r="G5663" s="52">
        <f>SUM(G5658:G5662)</f>
        <v>0</v>
      </c>
      <c r="H5663" s="52">
        <f>SUM(H5658:H5662)</f>
        <v>0</v>
      </c>
      <c r="I5663" s="52">
        <f>SUM(I5658:I5662)</f>
        <v>0</v>
      </c>
      <c r="J5663" s="52">
        <f>SUM(J5658:J5662)</f>
        <v>0</v>
      </c>
      <c r="K5663" s="52"/>
      <c r="L5663" s="51" t="s">
        <v>4</v>
      </c>
      <c r="M5663" s="58"/>
      <c r="N5663" s="58"/>
      <c r="O5663" s="58"/>
      <c r="P5663" s="58"/>
      <c r="Q5663" s="58"/>
      <c r="R5663" s="58"/>
      <c r="S5663" s="58"/>
    </row>
    <row r="5664" spans="1:19" s="59" customFormat="1" ht="18.75" customHeight="1" thickBot="1" x14ac:dyDescent="0.3">
      <c r="A5664" s="59" t="s">
        <v>23</v>
      </c>
      <c r="B5664" s="60" t="str">
        <f t="shared" ref="B5664:B5665" si="4062">IF(K5664=0,"hide","")</f>
        <v/>
      </c>
      <c r="D5664" s="61" t="str">
        <f>"WMAPL248"</f>
        <v>WMAPL248</v>
      </c>
      <c r="E5664" s="62" t="str">
        <f>"1"</f>
        <v>1</v>
      </c>
      <c r="F5664" s="63">
        <v>0</v>
      </c>
      <c r="G5664" s="63">
        <v>0</v>
      </c>
      <c r="H5664" s="63">
        <v>0</v>
      </c>
      <c r="I5664" s="63">
        <v>0</v>
      </c>
      <c r="J5664" s="63">
        <v>81.013012048192778</v>
      </c>
      <c r="K5664" s="63">
        <f>AVERAGE(I5664:J5664)</f>
        <v>40.506506024096389</v>
      </c>
      <c r="L5664" s="64" t="str">
        <f>"Whole Grain Simply Apple Muffins 2G 48CT"</f>
        <v>Whole Grain Simply Apple Muffins 2G 48CT</v>
      </c>
      <c r="M5664" s="65" t="str">
        <f>"48-3.2oz IW"</f>
        <v>48-3.2oz IW</v>
      </c>
      <c r="N5664" s="66">
        <v>48</v>
      </c>
      <c r="O5664" s="67" t="str">
        <f>""</f>
        <v/>
      </c>
      <c r="P5664" s="68" t="e">
        <f>1/O5664</f>
        <v>#VALUE!</v>
      </c>
      <c r="Q5664" s="53">
        <v>1</v>
      </c>
      <c r="R5664" s="69">
        <f t="shared" ref="R5664" si="4063">1/Q5664</f>
        <v>1</v>
      </c>
      <c r="S5664" s="70">
        <f t="shared" ref="S5664" si="4064">R5664*N5664</f>
        <v>48</v>
      </c>
    </row>
    <row r="5665" spans="1:19" ht="15.6" hidden="1" customHeight="1" thickBot="1" x14ac:dyDescent="0.3">
      <c r="A5665" t="s">
        <v>23</v>
      </c>
      <c r="B5665" s="60" t="str">
        <f t="shared" si="4062"/>
        <v>hide</v>
      </c>
      <c r="D5665" s="48" t="str">
        <f>D5664</f>
        <v>WMAPL248</v>
      </c>
      <c r="E5665" s="7"/>
      <c r="F5665" s="27">
        <v>0</v>
      </c>
      <c r="G5665" s="27">
        <v>0</v>
      </c>
      <c r="H5665" s="27">
        <v>0</v>
      </c>
      <c r="I5665" s="27">
        <v>0</v>
      </c>
      <c r="J5665" s="27">
        <v>0</v>
      </c>
      <c r="K5665" s="63">
        <f>AVERAGE(I5665:J5665)</f>
        <v>0</v>
      </c>
      <c r="L5665" s="56" t="str">
        <f>"EQP-LAWPACK1"</f>
        <v>EQP-LAWPACK1</v>
      </c>
      <c r="M5665" s="14"/>
      <c r="N5665" s="15"/>
      <c r="O5665" s="12"/>
      <c r="P5665" s="34"/>
      <c r="Q5665" s="37"/>
      <c r="R5665" s="47"/>
      <c r="S5665" s="46"/>
    </row>
    <row r="5666" spans="1:19" ht="15.6" hidden="1" customHeight="1" thickBot="1" x14ac:dyDescent="0.3">
      <c r="A5666" t="s">
        <v>23</v>
      </c>
      <c r="B5666" s="60" t="str">
        <f t="shared" ref="B5666:B5668" si="4065">IF(K5666=0,"hide","")</f>
        <v>hide</v>
      </c>
      <c r="D5666" s="48" t="str">
        <f>D5665</f>
        <v>WMAPL248</v>
      </c>
      <c r="E5666" s="7"/>
      <c r="F5666" s="27">
        <v>0</v>
      </c>
      <c r="G5666" s="27">
        <v>0</v>
      </c>
      <c r="H5666" s="27">
        <v>0</v>
      </c>
      <c r="I5666" s="27">
        <v>0</v>
      </c>
      <c r="J5666" s="27">
        <v>0</v>
      </c>
      <c r="K5666" s="63">
        <f>AVERAGE(I5666:J5666)</f>
        <v>0</v>
      </c>
      <c r="L5666" s="56" t="str">
        <f>"EQP-LAWPACK2"</f>
        <v>EQP-LAWPACK2</v>
      </c>
      <c r="M5666" s="14"/>
      <c r="N5666" s="15"/>
      <c r="O5666" s="12"/>
      <c r="P5666" s="34"/>
      <c r="Q5666" s="37"/>
      <c r="R5666" s="47"/>
      <c r="S5666" s="46"/>
    </row>
    <row r="5667" spans="1:19" ht="15.6" hidden="1" customHeight="1" thickBot="1" x14ac:dyDescent="0.3">
      <c r="A5667" t="s">
        <v>23</v>
      </c>
      <c r="B5667" s="60" t="str">
        <f t="shared" si="4065"/>
        <v>hide</v>
      </c>
      <c r="D5667" s="48" t="str">
        <f>D5666</f>
        <v>WMAPL248</v>
      </c>
      <c r="E5667" s="7"/>
      <c r="F5667" s="27">
        <v>0</v>
      </c>
      <c r="G5667" s="27">
        <v>0</v>
      </c>
      <c r="H5667" s="27">
        <v>0</v>
      </c>
      <c r="I5667" s="27">
        <v>0</v>
      </c>
      <c r="J5667" s="27">
        <v>0</v>
      </c>
      <c r="K5667" s="63">
        <f>AVERAGE(I5667:J5667)</f>
        <v>0</v>
      </c>
      <c r="L5667" s="56" t="str">
        <f>"SW-COMAS-PACKL"</f>
        <v>SW-COMAS-PACKL</v>
      </c>
      <c r="M5667" s="14"/>
      <c r="N5667" s="15"/>
      <c r="O5667" s="12"/>
      <c r="P5667" s="34"/>
      <c r="Q5667" s="37"/>
      <c r="R5667" s="47"/>
      <c r="S5667" s="46"/>
    </row>
    <row r="5668" spans="1:19" ht="15.6" hidden="1" customHeight="1" thickBot="1" x14ac:dyDescent="0.3">
      <c r="A5668" t="s">
        <v>23</v>
      </c>
      <c r="B5668" s="60" t="str">
        <f t="shared" si="4065"/>
        <v>hide</v>
      </c>
      <c r="D5668" s="48" t="str">
        <f>D5667</f>
        <v>WMAPL248</v>
      </c>
      <c r="E5668" s="7"/>
      <c r="F5668" s="27">
        <v>0</v>
      </c>
      <c r="G5668" s="27">
        <v>0</v>
      </c>
      <c r="H5668" s="27">
        <v>0</v>
      </c>
      <c r="I5668" s="27">
        <v>0</v>
      </c>
      <c r="J5668" s="27">
        <v>0</v>
      </c>
      <c r="K5668" s="63">
        <f>AVERAGE(I5668:J5668)</f>
        <v>0</v>
      </c>
      <c r="L5668" s="56" t="str">
        <f>"SW-RISER-PACK"</f>
        <v>SW-RISER-PACK</v>
      </c>
      <c r="M5668" s="14"/>
      <c r="N5668" s="15"/>
      <c r="O5668" s="12"/>
      <c r="P5668" s="34"/>
      <c r="Q5668" s="37"/>
      <c r="R5668" s="47"/>
      <c r="S5668" s="46"/>
    </row>
    <row r="5669" spans="1:19" ht="12" hidden="1" customHeight="1" x14ac:dyDescent="0.3">
      <c r="A5669" s="35" t="s">
        <v>908</v>
      </c>
      <c r="B5669" s="49" t="str">
        <f>B5665</f>
        <v>hide</v>
      </c>
      <c r="N5669"/>
      <c r="Q5669" s="33"/>
    </row>
    <row r="5670" spans="1:19" ht="13.8" hidden="1" thickBot="1" x14ac:dyDescent="0.3">
      <c r="A5670" t="s">
        <v>23</v>
      </c>
      <c r="B5670" s="49" t="str">
        <f t="shared" ref="B5670" si="4066">B5669</f>
        <v>hide</v>
      </c>
      <c r="D5670" s="58"/>
      <c r="E5670" s="58"/>
      <c r="F5670" s="52">
        <f>SUM(F5665:F5669)</f>
        <v>0</v>
      </c>
      <c r="G5670" s="52">
        <f>SUM(G5665:G5669)</f>
        <v>0</v>
      </c>
      <c r="H5670" s="52">
        <f>SUM(H5665:H5669)</f>
        <v>0</v>
      </c>
      <c r="I5670" s="52">
        <f>SUM(I5665:I5669)</f>
        <v>0</v>
      </c>
      <c r="J5670" s="52">
        <f>SUM(J5665:J5669)</f>
        <v>0</v>
      </c>
      <c r="K5670" s="52"/>
      <c r="L5670" s="51" t="s">
        <v>4</v>
      </c>
      <c r="M5670" s="58"/>
      <c r="N5670" s="58"/>
      <c r="O5670" s="58"/>
      <c r="P5670" s="58"/>
      <c r="Q5670" s="58"/>
      <c r="R5670" s="58"/>
      <c r="S5670" s="58"/>
    </row>
    <row r="5671" spans="1:19" s="59" customFormat="1" ht="18.75" customHeight="1" thickBot="1" x14ac:dyDescent="0.3">
      <c r="A5671" s="59" t="s">
        <v>23</v>
      </c>
      <c r="B5671" s="60" t="str">
        <f t="shared" ref="B5671:B5672" si="4067">IF(K5671=0,"hide","")</f>
        <v/>
      </c>
      <c r="D5671" s="61" t="str">
        <f>"WMBAN196"</f>
        <v>WMBAN196</v>
      </c>
      <c r="E5671" s="62" t="str">
        <f>"3"</f>
        <v>3</v>
      </c>
      <c r="F5671" s="63">
        <v>331</v>
      </c>
      <c r="G5671" s="63">
        <v>180.33333333333334</v>
      </c>
      <c r="H5671" s="63">
        <v>21.333333333333332</v>
      </c>
      <c r="I5671" s="63">
        <v>186.66666666666666</v>
      </c>
      <c r="J5671" s="63">
        <v>274.95325301204821</v>
      </c>
      <c r="K5671" s="63">
        <f>AVERAGE(I5671:J5671)</f>
        <v>230.80995983935742</v>
      </c>
      <c r="L5671" s="64" t="str">
        <f>"Whole Grain Simply Banana Muffins 1G "</f>
        <v xml:space="preserve">Whole Grain Simply Banana Muffins 1G </v>
      </c>
      <c r="M5671" s="65" t="str">
        <f>"96-1.6oz IW"</f>
        <v>96-1.6oz IW</v>
      </c>
      <c r="N5671" s="66">
        <v>96</v>
      </c>
      <c r="O5671" s="67" t="str">
        <f>""</f>
        <v/>
      </c>
      <c r="P5671" s="68" t="e">
        <f>1/O5671</f>
        <v>#VALUE!</v>
      </c>
      <c r="Q5671" s="53">
        <v>1</v>
      </c>
      <c r="R5671" s="69">
        <f t="shared" ref="R5671" si="4068">1/Q5671</f>
        <v>1</v>
      </c>
      <c r="S5671" s="70">
        <f t="shared" ref="S5671" si="4069">R5671*N5671</f>
        <v>96</v>
      </c>
    </row>
    <row r="5672" spans="1:19" ht="15.6" hidden="1" customHeight="1" thickBot="1" x14ac:dyDescent="0.3">
      <c r="A5672" t="s">
        <v>23</v>
      </c>
      <c r="B5672" s="60" t="str">
        <f t="shared" si="4067"/>
        <v>hide</v>
      </c>
      <c r="D5672" s="48" t="str">
        <f>D5671</f>
        <v>WMBAN196</v>
      </c>
      <c r="E5672" s="7"/>
      <c r="F5672" s="27">
        <v>0</v>
      </c>
      <c r="G5672" s="27">
        <v>0</v>
      </c>
      <c r="H5672" s="27">
        <v>0</v>
      </c>
      <c r="I5672" s="27">
        <v>0</v>
      </c>
      <c r="J5672" s="27">
        <v>0</v>
      </c>
      <c r="K5672" s="63">
        <f>AVERAGE(I5672:J5672)</f>
        <v>0</v>
      </c>
      <c r="L5672" s="56" t="str">
        <f>"EQP-LAWPACK1"</f>
        <v>EQP-LAWPACK1</v>
      </c>
      <c r="M5672" s="14"/>
      <c r="N5672" s="15"/>
      <c r="O5672" s="12"/>
      <c r="P5672" s="34"/>
      <c r="Q5672" s="37"/>
      <c r="R5672" s="47"/>
      <c r="S5672" s="46"/>
    </row>
    <row r="5673" spans="1:19" ht="15.6" hidden="1" customHeight="1" thickBot="1" x14ac:dyDescent="0.3">
      <c r="A5673" t="s">
        <v>23</v>
      </c>
      <c r="B5673" s="60" t="str">
        <f t="shared" ref="B5673:B5675" si="4070">IF(K5673=0,"hide","")</f>
        <v>hide</v>
      </c>
      <c r="D5673" s="48" t="str">
        <f>D5672</f>
        <v>WMBAN196</v>
      </c>
      <c r="E5673" s="7"/>
      <c r="F5673" s="27">
        <v>0</v>
      </c>
      <c r="G5673" s="27">
        <v>0</v>
      </c>
      <c r="H5673" s="27">
        <v>0</v>
      </c>
      <c r="I5673" s="27">
        <v>0</v>
      </c>
      <c r="J5673" s="27">
        <v>0</v>
      </c>
      <c r="K5673" s="63">
        <f>AVERAGE(I5673:J5673)</f>
        <v>0</v>
      </c>
      <c r="L5673" s="56" t="str">
        <f>"EQP-LAWPACK2"</f>
        <v>EQP-LAWPACK2</v>
      </c>
      <c r="M5673" s="14"/>
      <c r="N5673" s="15"/>
      <c r="O5673" s="12"/>
      <c r="P5673" s="34"/>
      <c r="Q5673" s="37"/>
      <c r="R5673" s="47"/>
      <c r="S5673" s="46"/>
    </row>
    <row r="5674" spans="1:19" ht="15.6" hidden="1" customHeight="1" thickBot="1" x14ac:dyDescent="0.3">
      <c r="A5674" t="s">
        <v>23</v>
      </c>
      <c r="B5674" s="60" t="str">
        <f t="shared" si="4070"/>
        <v>hide</v>
      </c>
      <c r="D5674" s="48" t="str">
        <f>D5673</f>
        <v>WMBAN196</v>
      </c>
      <c r="E5674" s="7"/>
      <c r="F5674" s="27">
        <v>0</v>
      </c>
      <c r="G5674" s="27">
        <v>0</v>
      </c>
      <c r="H5674" s="27">
        <v>0</v>
      </c>
      <c r="I5674" s="27">
        <v>0</v>
      </c>
      <c r="J5674" s="27">
        <v>0</v>
      </c>
      <c r="K5674" s="63">
        <f>AVERAGE(I5674:J5674)</f>
        <v>0</v>
      </c>
      <c r="L5674" s="56" t="str">
        <f>"SW-COMAS-PACKL"</f>
        <v>SW-COMAS-PACKL</v>
      </c>
      <c r="M5674" s="14"/>
      <c r="N5674" s="15"/>
      <c r="O5674" s="12"/>
      <c r="P5674" s="34"/>
      <c r="Q5674" s="37"/>
      <c r="R5674" s="47"/>
      <c r="S5674" s="46"/>
    </row>
    <row r="5675" spans="1:19" ht="15.6" hidden="1" customHeight="1" thickBot="1" x14ac:dyDescent="0.3">
      <c r="A5675" t="s">
        <v>23</v>
      </c>
      <c r="B5675" s="60" t="str">
        <f t="shared" si="4070"/>
        <v>hide</v>
      </c>
      <c r="D5675" s="48" t="str">
        <f>D5674</f>
        <v>WMBAN196</v>
      </c>
      <c r="E5675" s="7"/>
      <c r="F5675" s="27">
        <v>0</v>
      </c>
      <c r="G5675" s="27">
        <v>0</v>
      </c>
      <c r="H5675" s="27">
        <v>0</v>
      </c>
      <c r="I5675" s="27">
        <v>0</v>
      </c>
      <c r="J5675" s="27">
        <v>0</v>
      </c>
      <c r="K5675" s="63">
        <f>AVERAGE(I5675:J5675)</f>
        <v>0</v>
      </c>
      <c r="L5675" s="56" t="str">
        <f>"SW-RISER-PACK"</f>
        <v>SW-RISER-PACK</v>
      </c>
      <c r="M5675" s="14"/>
      <c r="N5675" s="15"/>
      <c r="O5675" s="12"/>
      <c r="P5675" s="34"/>
      <c r="Q5675" s="37"/>
      <c r="R5675" s="47"/>
      <c r="S5675" s="46"/>
    </row>
    <row r="5676" spans="1:19" ht="12" hidden="1" customHeight="1" x14ac:dyDescent="0.3">
      <c r="A5676" s="35" t="s">
        <v>908</v>
      </c>
      <c r="B5676" s="49" t="str">
        <f>B5672</f>
        <v>hide</v>
      </c>
      <c r="N5676"/>
      <c r="Q5676" s="33"/>
    </row>
    <row r="5677" spans="1:19" ht="13.8" hidden="1" thickBot="1" x14ac:dyDescent="0.3">
      <c r="A5677" t="s">
        <v>23</v>
      </c>
      <c r="B5677" s="49" t="str">
        <f t="shared" ref="B5677" si="4071">B5676</f>
        <v>hide</v>
      </c>
      <c r="D5677" s="58"/>
      <c r="E5677" s="58"/>
      <c r="F5677" s="52">
        <f>SUM(F5672:F5676)</f>
        <v>0</v>
      </c>
      <c r="G5677" s="52">
        <f>SUM(G5672:G5676)</f>
        <v>0</v>
      </c>
      <c r="H5677" s="52">
        <f>SUM(H5672:H5676)</f>
        <v>0</v>
      </c>
      <c r="I5677" s="52">
        <f>SUM(I5672:I5676)</f>
        <v>0</v>
      </c>
      <c r="J5677" s="52">
        <f>SUM(J5672:J5676)</f>
        <v>0</v>
      </c>
      <c r="K5677" s="52"/>
      <c r="L5677" s="51" t="s">
        <v>4</v>
      </c>
      <c r="M5677" s="58"/>
      <c r="N5677" s="58"/>
      <c r="O5677" s="58"/>
      <c r="P5677" s="58"/>
      <c r="Q5677" s="58"/>
      <c r="R5677" s="58"/>
      <c r="S5677" s="58"/>
    </row>
    <row r="5678" spans="1:19" s="59" customFormat="1" ht="18.75" customHeight="1" thickBot="1" x14ac:dyDescent="0.3">
      <c r="A5678" s="59" t="s">
        <v>23</v>
      </c>
      <c r="B5678" s="60" t="str">
        <f t="shared" ref="B5678:B5679" si="4072">IF(K5678=0,"hide","")</f>
        <v/>
      </c>
      <c r="D5678" s="61" t="str">
        <f>"WMBAN248"</f>
        <v>WMBAN248</v>
      </c>
      <c r="E5678" s="62" t="str">
        <f>"2"</f>
        <v>2</v>
      </c>
      <c r="F5678" s="63">
        <v>124.75</v>
      </c>
      <c r="G5678" s="63">
        <v>117.58333333333333</v>
      </c>
      <c r="H5678" s="63">
        <v>92.5</v>
      </c>
      <c r="I5678" s="63">
        <v>1038.9166666666667</v>
      </c>
      <c r="J5678" s="63">
        <v>768.39614457831328</v>
      </c>
      <c r="K5678" s="63">
        <f>AVERAGE(I5678:J5678)</f>
        <v>903.65640562248996</v>
      </c>
      <c r="L5678" s="64" t="str">
        <f>"Whole Grain Simply Banana Muffins 2G 48CT"</f>
        <v>Whole Grain Simply Banana Muffins 2G 48CT</v>
      </c>
      <c r="M5678" s="65" t="str">
        <f>"48-3.2oz IW"</f>
        <v>48-3.2oz IW</v>
      </c>
      <c r="N5678" s="66">
        <v>48</v>
      </c>
      <c r="O5678" s="67" t="str">
        <f>""</f>
        <v/>
      </c>
      <c r="P5678" s="68" t="e">
        <f>1/O5678</f>
        <v>#VALUE!</v>
      </c>
      <c r="Q5678" s="53">
        <v>1</v>
      </c>
      <c r="R5678" s="69">
        <f t="shared" ref="R5678" si="4073">1/Q5678</f>
        <v>1</v>
      </c>
      <c r="S5678" s="70">
        <f t="shared" ref="S5678" si="4074">R5678*N5678</f>
        <v>48</v>
      </c>
    </row>
    <row r="5679" spans="1:19" ht="15.6" hidden="1" customHeight="1" thickBot="1" x14ac:dyDescent="0.3">
      <c r="A5679" t="s">
        <v>23</v>
      </c>
      <c r="B5679" s="60" t="str">
        <f t="shared" si="4072"/>
        <v>hide</v>
      </c>
      <c r="D5679" s="48" t="str">
        <f>D5678</f>
        <v>WMBAN248</v>
      </c>
      <c r="E5679" s="7"/>
      <c r="F5679" s="27">
        <v>0</v>
      </c>
      <c r="G5679" s="27">
        <v>0</v>
      </c>
      <c r="H5679" s="27">
        <v>0</v>
      </c>
      <c r="I5679" s="27">
        <v>0</v>
      </c>
      <c r="J5679" s="27">
        <v>0</v>
      </c>
      <c r="K5679" s="63">
        <f>AVERAGE(I5679:J5679)</f>
        <v>0</v>
      </c>
      <c r="L5679" s="56" t="str">
        <f>"EQP-LAWPACK1"</f>
        <v>EQP-LAWPACK1</v>
      </c>
      <c r="M5679" s="14"/>
      <c r="N5679" s="15"/>
      <c r="O5679" s="12"/>
      <c r="P5679" s="34"/>
      <c r="Q5679" s="37"/>
      <c r="R5679" s="47"/>
      <c r="S5679" s="46"/>
    </row>
    <row r="5680" spans="1:19" ht="15.6" hidden="1" customHeight="1" thickBot="1" x14ac:dyDescent="0.3">
      <c r="A5680" t="s">
        <v>23</v>
      </c>
      <c r="B5680" s="60" t="str">
        <f t="shared" ref="B5680:B5682" si="4075">IF(K5680=0,"hide","")</f>
        <v>hide</v>
      </c>
      <c r="D5680" s="48" t="str">
        <f>D5679</f>
        <v>WMBAN248</v>
      </c>
      <c r="E5680" s="7"/>
      <c r="F5680" s="27">
        <v>0</v>
      </c>
      <c r="G5680" s="27">
        <v>0</v>
      </c>
      <c r="H5680" s="27">
        <v>0</v>
      </c>
      <c r="I5680" s="27">
        <v>0</v>
      </c>
      <c r="J5680" s="27">
        <v>0</v>
      </c>
      <c r="K5680" s="63">
        <f>AVERAGE(I5680:J5680)</f>
        <v>0</v>
      </c>
      <c r="L5680" s="56" t="str">
        <f>"EQP-LAWPACK2"</f>
        <v>EQP-LAWPACK2</v>
      </c>
      <c r="M5680" s="14"/>
      <c r="N5680" s="15"/>
      <c r="O5680" s="12"/>
      <c r="P5680" s="34"/>
      <c r="Q5680" s="37"/>
      <c r="R5680" s="47"/>
      <c r="S5680" s="46"/>
    </row>
    <row r="5681" spans="1:19" ht="15.6" hidden="1" customHeight="1" thickBot="1" x14ac:dyDescent="0.3">
      <c r="A5681" t="s">
        <v>23</v>
      </c>
      <c r="B5681" s="60" t="str">
        <f t="shared" si="4075"/>
        <v>hide</v>
      </c>
      <c r="D5681" s="48" t="str">
        <f>D5680</f>
        <v>WMBAN248</v>
      </c>
      <c r="E5681" s="7"/>
      <c r="F5681" s="27">
        <v>0</v>
      </c>
      <c r="G5681" s="27">
        <v>0</v>
      </c>
      <c r="H5681" s="27">
        <v>0</v>
      </c>
      <c r="I5681" s="27">
        <v>0</v>
      </c>
      <c r="J5681" s="27">
        <v>0</v>
      </c>
      <c r="K5681" s="63">
        <f>AVERAGE(I5681:J5681)</f>
        <v>0</v>
      </c>
      <c r="L5681" s="56" t="str">
        <f>"SW-COMAS-PACKL"</f>
        <v>SW-COMAS-PACKL</v>
      </c>
      <c r="M5681" s="14"/>
      <c r="N5681" s="15"/>
      <c r="O5681" s="12"/>
      <c r="P5681" s="34"/>
      <c r="Q5681" s="37"/>
      <c r="R5681" s="47"/>
      <c r="S5681" s="46"/>
    </row>
    <row r="5682" spans="1:19" ht="15.6" hidden="1" customHeight="1" thickBot="1" x14ac:dyDescent="0.3">
      <c r="A5682" t="s">
        <v>23</v>
      </c>
      <c r="B5682" s="60" t="str">
        <f t="shared" si="4075"/>
        <v>hide</v>
      </c>
      <c r="D5682" s="48" t="str">
        <f>D5681</f>
        <v>WMBAN248</v>
      </c>
      <c r="E5682" s="7"/>
      <c r="F5682" s="27">
        <v>0</v>
      </c>
      <c r="G5682" s="27">
        <v>0</v>
      </c>
      <c r="H5682" s="27">
        <v>0</v>
      </c>
      <c r="I5682" s="27">
        <v>0</v>
      </c>
      <c r="J5682" s="27">
        <v>0</v>
      </c>
      <c r="K5682" s="63">
        <f>AVERAGE(I5682:J5682)</f>
        <v>0</v>
      </c>
      <c r="L5682" s="56" t="str">
        <f>"SW-RISER-PACK"</f>
        <v>SW-RISER-PACK</v>
      </c>
      <c r="M5682" s="14"/>
      <c r="N5682" s="15"/>
      <c r="O5682" s="12"/>
      <c r="P5682" s="34"/>
      <c r="Q5682" s="37"/>
      <c r="R5682" s="47"/>
      <c r="S5682" s="46"/>
    </row>
    <row r="5683" spans="1:19" ht="12" hidden="1" customHeight="1" x14ac:dyDescent="0.3">
      <c r="A5683" s="35" t="s">
        <v>908</v>
      </c>
      <c r="B5683" s="49" t="str">
        <f>B5679</f>
        <v>hide</v>
      </c>
      <c r="N5683"/>
      <c r="Q5683" s="33"/>
    </row>
    <row r="5684" spans="1:19" ht="13.8" hidden="1" thickBot="1" x14ac:dyDescent="0.3">
      <c r="A5684" t="s">
        <v>23</v>
      </c>
      <c r="B5684" s="49" t="str">
        <f t="shared" ref="B5684" si="4076">B5683</f>
        <v>hide</v>
      </c>
      <c r="D5684" s="58"/>
      <c r="E5684" s="58"/>
      <c r="F5684" s="52">
        <f>SUM(F5679:F5683)</f>
        <v>0</v>
      </c>
      <c r="G5684" s="52">
        <f>SUM(G5679:G5683)</f>
        <v>0</v>
      </c>
      <c r="H5684" s="52">
        <f>SUM(H5679:H5683)</f>
        <v>0</v>
      </c>
      <c r="I5684" s="52">
        <f>SUM(I5679:I5683)</f>
        <v>0</v>
      </c>
      <c r="J5684" s="52">
        <f>SUM(J5679:J5683)</f>
        <v>0</v>
      </c>
      <c r="K5684" s="52"/>
      <c r="L5684" s="51" t="s">
        <v>4</v>
      </c>
      <c r="M5684" s="58"/>
      <c r="N5684" s="58"/>
      <c r="O5684" s="58"/>
      <c r="P5684" s="58"/>
      <c r="Q5684" s="58"/>
      <c r="R5684" s="58"/>
      <c r="S5684" s="58"/>
    </row>
    <row r="5685" spans="1:19" s="59" customFormat="1" ht="18.75" customHeight="1" thickBot="1" x14ac:dyDescent="0.3">
      <c r="A5685" s="59" t="s">
        <v>23</v>
      </c>
      <c r="B5685" s="60" t="str">
        <f t="shared" ref="B5685:B5686" si="4077">IF(K5685=0,"hide","")</f>
        <v/>
      </c>
      <c r="D5685" s="61" t="str">
        <f>"WMBLU196"</f>
        <v>WMBLU196</v>
      </c>
      <c r="E5685" s="62" t="str">
        <f>"3"</f>
        <v>3</v>
      </c>
      <c r="F5685" s="63">
        <v>1049.75</v>
      </c>
      <c r="G5685" s="63">
        <v>811.33333333333337</v>
      </c>
      <c r="H5685" s="63">
        <v>795.16666666666663</v>
      </c>
      <c r="I5685" s="63">
        <v>850.08333333333337</v>
      </c>
      <c r="J5685" s="63">
        <v>1083.0375903614458</v>
      </c>
      <c r="K5685" s="63">
        <f>AVERAGE(I5685:J5685)</f>
        <v>966.56046184738966</v>
      </c>
      <c r="L5685" s="64" t="str">
        <f>"WG Blueberry Muffin"</f>
        <v>WG Blueberry Muffin</v>
      </c>
      <c r="M5685" s="65" t="str">
        <f>"96-1.6oz IW"</f>
        <v>96-1.6oz IW</v>
      </c>
      <c r="N5685" s="66">
        <v>96</v>
      </c>
      <c r="O5685" s="67" t="str">
        <f>""</f>
        <v/>
      </c>
      <c r="P5685" s="68" t="e">
        <f>1/O5685</f>
        <v>#VALUE!</v>
      </c>
      <c r="Q5685" s="53">
        <v>1</v>
      </c>
      <c r="R5685" s="69">
        <f t="shared" ref="R5685" si="4078">1/Q5685</f>
        <v>1</v>
      </c>
      <c r="S5685" s="70">
        <f t="shared" ref="S5685" si="4079">R5685*N5685</f>
        <v>96</v>
      </c>
    </row>
    <row r="5686" spans="1:19" ht="15.6" hidden="1" customHeight="1" thickBot="1" x14ac:dyDescent="0.3">
      <c r="A5686" t="s">
        <v>23</v>
      </c>
      <c r="B5686" s="60" t="str">
        <f t="shared" si="4077"/>
        <v>hide</v>
      </c>
      <c r="D5686" s="48" t="str">
        <f>D5685</f>
        <v>WMBLU196</v>
      </c>
      <c r="E5686" s="7"/>
      <c r="F5686" s="27">
        <v>0</v>
      </c>
      <c r="G5686" s="27">
        <v>0</v>
      </c>
      <c r="H5686" s="27">
        <v>0</v>
      </c>
      <c r="I5686" s="27">
        <v>0</v>
      </c>
      <c r="J5686" s="27">
        <v>0</v>
      </c>
      <c r="K5686" s="63">
        <f>AVERAGE(I5686:J5686)</f>
        <v>0</v>
      </c>
      <c r="L5686" s="56" t="str">
        <f>"EQP-LAWPACK1"</f>
        <v>EQP-LAWPACK1</v>
      </c>
      <c r="M5686" s="14"/>
      <c r="N5686" s="15"/>
      <c r="O5686" s="12"/>
      <c r="P5686" s="34"/>
      <c r="Q5686" s="37"/>
      <c r="R5686" s="47"/>
      <c r="S5686" s="46"/>
    </row>
    <row r="5687" spans="1:19" ht="15.6" hidden="1" customHeight="1" thickBot="1" x14ac:dyDescent="0.3">
      <c r="A5687" t="s">
        <v>23</v>
      </c>
      <c r="B5687" s="60" t="str">
        <f t="shared" ref="B5687:B5689" si="4080">IF(K5687=0,"hide","")</f>
        <v>hide</v>
      </c>
      <c r="D5687" s="48" t="str">
        <f>D5686</f>
        <v>WMBLU196</v>
      </c>
      <c r="E5687" s="7"/>
      <c r="F5687" s="27">
        <v>0</v>
      </c>
      <c r="G5687" s="27">
        <v>0</v>
      </c>
      <c r="H5687" s="27">
        <v>0</v>
      </c>
      <c r="I5687" s="27">
        <v>0</v>
      </c>
      <c r="J5687" s="27">
        <v>0</v>
      </c>
      <c r="K5687" s="63">
        <f>AVERAGE(I5687:J5687)</f>
        <v>0</v>
      </c>
      <c r="L5687" s="56" t="str">
        <f>"EQP-LAWPACK2"</f>
        <v>EQP-LAWPACK2</v>
      </c>
      <c r="M5687" s="14"/>
      <c r="N5687" s="15"/>
      <c r="O5687" s="12"/>
      <c r="P5687" s="34"/>
      <c r="Q5687" s="37"/>
      <c r="R5687" s="47"/>
      <c r="S5687" s="46"/>
    </row>
    <row r="5688" spans="1:19" ht="15.6" hidden="1" customHeight="1" thickBot="1" x14ac:dyDescent="0.3">
      <c r="A5688" t="s">
        <v>23</v>
      </c>
      <c r="B5688" s="60" t="str">
        <f t="shared" si="4080"/>
        <v>hide</v>
      </c>
      <c r="D5688" s="48" t="str">
        <f>D5687</f>
        <v>WMBLU196</v>
      </c>
      <c r="E5688" s="7"/>
      <c r="F5688" s="27">
        <v>0</v>
      </c>
      <c r="G5688" s="27">
        <v>0</v>
      </c>
      <c r="H5688" s="27">
        <v>0</v>
      </c>
      <c r="I5688" s="27">
        <v>0</v>
      </c>
      <c r="J5688" s="27">
        <v>0</v>
      </c>
      <c r="K5688" s="63">
        <f>AVERAGE(I5688:J5688)</f>
        <v>0</v>
      </c>
      <c r="L5688" s="56" t="str">
        <f>"SW-COMAS-PACKL"</f>
        <v>SW-COMAS-PACKL</v>
      </c>
      <c r="M5688" s="14"/>
      <c r="N5688" s="15"/>
      <c r="O5688" s="12"/>
      <c r="P5688" s="34"/>
      <c r="Q5688" s="37"/>
      <c r="R5688" s="47"/>
      <c r="S5688" s="46"/>
    </row>
    <row r="5689" spans="1:19" ht="15.6" hidden="1" customHeight="1" thickBot="1" x14ac:dyDescent="0.3">
      <c r="A5689" t="s">
        <v>23</v>
      </c>
      <c r="B5689" s="60" t="str">
        <f t="shared" si="4080"/>
        <v>hide</v>
      </c>
      <c r="D5689" s="48" t="str">
        <f>D5688</f>
        <v>WMBLU196</v>
      </c>
      <c r="E5689" s="7"/>
      <c r="F5689" s="27">
        <v>0</v>
      </c>
      <c r="G5689" s="27">
        <v>0</v>
      </c>
      <c r="H5689" s="27">
        <v>0</v>
      </c>
      <c r="I5689" s="27">
        <v>0</v>
      </c>
      <c r="J5689" s="27">
        <v>0</v>
      </c>
      <c r="K5689" s="63">
        <f>AVERAGE(I5689:J5689)</f>
        <v>0</v>
      </c>
      <c r="L5689" s="56" t="str">
        <f>"SW-RISER-PACK"</f>
        <v>SW-RISER-PACK</v>
      </c>
      <c r="M5689" s="14"/>
      <c r="N5689" s="15"/>
      <c r="O5689" s="12"/>
      <c r="P5689" s="34"/>
      <c r="Q5689" s="37"/>
      <c r="R5689" s="47"/>
      <c r="S5689" s="46"/>
    </row>
    <row r="5690" spans="1:19" ht="12" hidden="1" customHeight="1" x14ac:dyDescent="0.3">
      <c r="A5690" s="35" t="s">
        <v>908</v>
      </c>
      <c r="B5690" s="49" t="str">
        <f>B5686</f>
        <v>hide</v>
      </c>
      <c r="N5690"/>
      <c r="Q5690" s="33"/>
    </row>
    <row r="5691" spans="1:19" ht="13.8" hidden="1" thickBot="1" x14ac:dyDescent="0.3">
      <c r="A5691" t="s">
        <v>23</v>
      </c>
      <c r="B5691" s="49" t="str">
        <f t="shared" ref="B5691" si="4081">B5690</f>
        <v>hide</v>
      </c>
      <c r="D5691" s="58"/>
      <c r="E5691" s="58"/>
      <c r="F5691" s="52">
        <f>SUM(F5686:F5690)</f>
        <v>0</v>
      </c>
      <c r="G5691" s="52">
        <f>SUM(G5686:G5690)</f>
        <v>0</v>
      </c>
      <c r="H5691" s="52">
        <f>SUM(H5686:H5690)</f>
        <v>0</v>
      </c>
      <c r="I5691" s="52">
        <f>SUM(I5686:I5690)</f>
        <v>0</v>
      </c>
      <c r="J5691" s="52">
        <f>SUM(J5686:J5690)</f>
        <v>0</v>
      </c>
      <c r="K5691" s="52"/>
      <c r="L5691" s="51" t="s">
        <v>4</v>
      </c>
      <c r="M5691" s="58"/>
      <c r="N5691" s="58"/>
      <c r="O5691" s="58"/>
      <c r="P5691" s="58"/>
      <c r="Q5691" s="58"/>
      <c r="R5691" s="58"/>
      <c r="S5691" s="58"/>
    </row>
    <row r="5692" spans="1:19" s="59" customFormat="1" ht="18.75" customHeight="1" thickBot="1" x14ac:dyDescent="0.3">
      <c r="A5692" s="59" t="s">
        <v>23</v>
      </c>
      <c r="B5692" s="60" t="str">
        <f t="shared" ref="B5692:B5693" si="4082">IF(K5692=0,"hide","")</f>
        <v/>
      </c>
      <c r="D5692" s="61" t="str">
        <f>"WMBLU248"</f>
        <v>WMBLU248</v>
      </c>
      <c r="E5692" s="62" t="str">
        <f>"4"</f>
        <v>4</v>
      </c>
      <c r="F5692" s="63">
        <v>1037.5</v>
      </c>
      <c r="G5692" s="63">
        <v>359.33333333333331</v>
      </c>
      <c r="H5692" s="63">
        <v>948.91666666666663</v>
      </c>
      <c r="I5692" s="63">
        <v>1168.5833333333333</v>
      </c>
      <c r="J5692" s="63">
        <v>796.6279518072289</v>
      </c>
      <c r="K5692" s="63">
        <f>AVERAGE(I5692:J5692)</f>
        <v>982.60564257028113</v>
      </c>
      <c r="L5692" s="64" t="str">
        <f>" Whole Grain Simply Blueberry Muffins 2G "</f>
        <v xml:space="preserve"> Whole Grain Simply Blueberry Muffins 2G </v>
      </c>
      <c r="M5692" s="65" t="str">
        <f>"48-3.2oz IW"</f>
        <v>48-3.2oz IW</v>
      </c>
      <c r="N5692" s="66">
        <v>48</v>
      </c>
      <c r="O5692" s="67" t="str">
        <f>""</f>
        <v/>
      </c>
      <c r="P5692" s="68" t="e">
        <f>1/O5692</f>
        <v>#VALUE!</v>
      </c>
      <c r="Q5692" s="53">
        <v>1</v>
      </c>
      <c r="R5692" s="69">
        <f t="shared" ref="R5692" si="4083">1/Q5692</f>
        <v>1</v>
      </c>
      <c r="S5692" s="70">
        <f t="shared" ref="S5692" si="4084">R5692*N5692</f>
        <v>48</v>
      </c>
    </row>
    <row r="5693" spans="1:19" ht="15.6" hidden="1" customHeight="1" thickBot="1" x14ac:dyDescent="0.3">
      <c r="A5693" t="s">
        <v>23</v>
      </c>
      <c r="B5693" s="60" t="str">
        <f t="shared" si="4082"/>
        <v>hide</v>
      </c>
      <c r="D5693" s="48" t="str">
        <f>D5692</f>
        <v>WMBLU248</v>
      </c>
      <c r="E5693" s="7"/>
      <c r="F5693" s="27">
        <v>-398.31833333333333</v>
      </c>
      <c r="G5693" s="27">
        <v>0</v>
      </c>
      <c r="H5693" s="27">
        <v>0</v>
      </c>
      <c r="I5693" s="27">
        <v>0</v>
      </c>
      <c r="J5693" s="27">
        <v>0</v>
      </c>
      <c r="K5693" s="63">
        <f>AVERAGE(I5693:J5693)</f>
        <v>0</v>
      </c>
      <c r="L5693" s="56" t="str">
        <f>"EQP-LAWPACK1"</f>
        <v>EQP-LAWPACK1</v>
      </c>
      <c r="M5693" s="14"/>
      <c r="N5693" s="15"/>
      <c r="O5693" s="12"/>
      <c r="P5693" s="34"/>
      <c r="Q5693" s="37"/>
      <c r="R5693" s="47"/>
      <c r="S5693" s="46"/>
    </row>
    <row r="5694" spans="1:19" ht="15.6" hidden="1" customHeight="1" thickBot="1" x14ac:dyDescent="0.3">
      <c r="A5694" t="s">
        <v>23</v>
      </c>
      <c r="B5694" s="60" t="str">
        <f t="shared" ref="B5694:B5696" si="4085">IF(K5694=0,"hide","")</f>
        <v>hide</v>
      </c>
      <c r="D5694" s="48" t="str">
        <f>D5693</f>
        <v>WMBLU248</v>
      </c>
      <c r="E5694" s="7"/>
      <c r="F5694" s="27">
        <v>0</v>
      </c>
      <c r="G5694" s="27">
        <v>0</v>
      </c>
      <c r="H5694" s="27">
        <v>0</v>
      </c>
      <c r="I5694" s="27">
        <v>0</v>
      </c>
      <c r="J5694" s="27">
        <v>0</v>
      </c>
      <c r="K5694" s="63">
        <f>AVERAGE(I5694:J5694)</f>
        <v>0</v>
      </c>
      <c r="L5694" s="56" t="str">
        <f>"EQP-LAWPACK2"</f>
        <v>EQP-LAWPACK2</v>
      </c>
      <c r="M5694" s="14"/>
      <c r="N5694" s="15"/>
      <c r="O5694" s="12"/>
      <c r="P5694" s="34"/>
      <c r="Q5694" s="37"/>
      <c r="R5694" s="47"/>
      <c r="S5694" s="46"/>
    </row>
    <row r="5695" spans="1:19" ht="15.6" hidden="1" customHeight="1" thickBot="1" x14ac:dyDescent="0.3">
      <c r="A5695" t="s">
        <v>23</v>
      </c>
      <c r="B5695" s="60" t="str">
        <f t="shared" si="4085"/>
        <v>hide</v>
      </c>
      <c r="D5695" s="48" t="str">
        <f>D5694</f>
        <v>WMBLU248</v>
      </c>
      <c r="E5695" s="7"/>
      <c r="F5695" s="27">
        <v>0</v>
      </c>
      <c r="G5695" s="27">
        <v>0</v>
      </c>
      <c r="H5695" s="27">
        <v>0</v>
      </c>
      <c r="I5695" s="27">
        <v>0</v>
      </c>
      <c r="J5695" s="27">
        <v>0</v>
      </c>
      <c r="K5695" s="63">
        <f>AVERAGE(I5695:J5695)</f>
        <v>0</v>
      </c>
      <c r="L5695" s="56" t="str">
        <f>"SW-COMAS-PACKL"</f>
        <v>SW-COMAS-PACKL</v>
      </c>
      <c r="M5695" s="14"/>
      <c r="N5695" s="15"/>
      <c r="O5695" s="12"/>
      <c r="P5695" s="34"/>
      <c r="Q5695" s="37"/>
      <c r="R5695" s="47"/>
      <c r="S5695" s="46"/>
    </row>
    <row r="5696" spans="1:19" ht="15.6" hidden="1" customHeight="1" thickBot="1" x14ac:dyDescent="0.3">
      <c r="A5696" t="s">
        <v>23</v>
      </c>
      <c r="B5696" s="60" t="str">
        <f t="shared" si="4085"/>
        <v>hide</v>
      </c>
      <c r="D5696" s="48" t="str">
        <f>D5695</f>
        <v>WMBLU248</v>
      </c>
      <c r="E5696" s="7"/>
      <c r="F5696" s="27">
        <v>0</v>
      </c>
      <c r="G5696" s="27">
        <v>0</v>
      </c>
      <c r="H5696" s="27">
        <v>0</v>
      </c>
      <c r="I5696" s="27">
        <v>0</v>
      </c>
      <c r="J5696" s="27">
        <v>0</v>
      </c>
      <c r="K5696" s="63">
        <f>AVERAGE(I5696:J5696)</f>
        <v>0</v>
      </c>
      <c r="L5696" s="56" t="str">
        <f>"SW-RISER-PACK"</f>
        <v>SW-RISER-PACK</v>
      </c>
      <c r="M5696" s="14"/>
      <c r="N5696" s="15"/>
      <c r="O5696" s="12"/>
      <c r="P5696" s="34"/>
      <c r="Q5696" s="37"/>
      <c r="R5696" s="47"/>
      <c r="S5696" s="46"/>
    </row>
    <row r="5697" spans="1:19" ht="12" hidden="1" customHeight="1" x14ac:dyDescent="0.3">
      <c r="A5697" s="35" t="s">
        <v>908</v>
      </c>
      <c r="B5697" s="49" t="str">
        <f>B5693</f>
        <v>hide</v>
      </c>
      <c r="N5697"/>
      <c r="Q5697" s="33"/>
    </row>
    <row r="5698" spans="1:19" ht="13.8" hidden="1" thickBot="1" x14ac:dyDescent="0.3">
      <c r="A5698" t="s">
        <v>23</v>
      </c>
      <c r="B5698" s="49" t="str">
        <f t="shared" ref="B5698" si="4086">B5697</f>
        <v>hide</v>
      </c>
      <c r="D5698" s="58"/>
      <c r="E5698" s="58"/>
      <c r="F5698" s="52">
        <f>SUM(F5693:F5697)</f>
        <v>-398.31833333333333</v>
      </c>
      <c r="G5698" s="52">
        <f>SUM(G5693:G5697)</f>
        <v>0</v>
      </c>
      <c r="H5698" s="52">
        <f>SUM(H5693:H5697)</f>
        <v>0</v>
      </c>
      <c r="I5698" s="52">
        <f>SUM(I5693:I5697)</f>
        <v>0</v>
      </c>
      <c r="J5698" s="52">
        <f>SUM(J5693:J5697)</f>
        <v>0</v>
      </c>
      <c r="K5698" s="52"/>
      <c r="L5698" s="51" t="s">
        <v>4</v>
      </c>
      <c r="M5698" s="58"/>
      <c r="N5698" s="58"/>
      <c r="O5698" s="58"/>
      <c r="P5698" s="58"/>
      <c r="Q5698" s="58"/>
      <c r="R5698" s="58"/>
      <c r="S5698" s="58"/>
    </row>
    <row r="5699" spans="1:19" s="59" customFormat="1" ht="18.75" customHeight="1" thickBot="1" x14ac:dyDescent="0.3">
      <c r="A5699" s="59" t="s">
        <v>23</v>
      </c>
      <c r="B5699" s="60" t="str">
        <f t="shared" ref="B5699:B5700" si="4087">IF(K5699=0,"hide","")</f>
        <v/>
      </c>
      <c r="D5699" s="61" t="str">
        <f>"WMCHCH196"</f>
        <v>WMCHCH196</v>
      </c>
      <c r="E5699" s="62" t="str">
        <f>"3"</f>
        <v>3</v>
      </c>
      <c r="F5699" s="63">
        <v>352</v>
      </c>
      <c r="G5699" s="63">
        <v>284.16666666666669</v>
      </c>
      <c r="H5699" s="63">
        <v>283.75</v>
      </c>
      <c r="I5699" s="63">
        <v>348.33333333333331</v>
      </c>
      <c r="J5699" s="63">
        <v>574.18313253012047</v>
      </c>
      <c r="K5699" s="63">
        <f>AVERAGE(I5699:J5699)</f>
        <v>461.25823293172687</v>
      </c>
      <c r="L5699" s="64" t="str">
        <f>"Whole Grain Simply Choc Chp Muffins 1G "</f>
        <v xml:space="preserve">Whole Grain Simply Choc Chp Muffins 1G </v>
      </c>
      <c r="M5699" s="65" t="str">
        <f>"96-1.6oz IW"</f>
        <v>96-1.6oz IW</v>
      </c>
      <c r="N5699" s="66">
        <v>96</v>
      </c>
      <c r="O5699" s="67" t="str">
        <f>""</f>
        <v/>
      </c>
      <c r="P5699" s="68" t="e">
        <f>1/O5699</f>
        <v>#VALUE!</v>
      </c>
      <c r="Q5699" s="53">
        <v>1</v>
      </c>
      <c r="R5699" s="69">
        <f t="shared" ref="R5699" si="4088">1/Q5699</f>
        <v>1</v>
      </c>
      <c r="S5699" s="70">
        <f t="shared" ref="S5699" si="4089">R5699*N5699</f>
        <v>96</v>
      </c>
    </row>
    <row r="5700" spans="1:19" ht="15.6" hidden="1" customHeight="1" thickBot="1" x14ac:dyDescent="0.3">
      <c r="A5700" t="s">
        <v>23</v>
      </c>
      <c r="B5700" s="60" t="str">
        <f t="shared" si="4087"/>
        <v>hide</v>
      </c>
      <c r="D5700" s="48" t="str">
        <f>D5699</f>
        <v>WMCHCH196</v>
      </c>
      <c r="E5700" s="7"/>
      <c r="F5700" s="27">
        <v>0</v>
      </c>
      <c r="G5700" s="27">
        <v>0</v>
      </c>
      <c r="H5700" s="27">
        <v>0</v>
      </c>
      <c r="I5700" s="27">
        <v>0</v>
      </c>
      <c r="J5700" s="27">
        <v>0</v>
      </c>
      <c r="K5700" s="63">
        <f>AVERAGE(I5700:J5700)</f>
        <v>0</v>
      </c>
      <c r="L5700" s="56" t="str">
        <f>"EQP-LAWPACK1"</f>
        <v>EQP-LAWPACK1</v>
      </c>
      <c r="M5700" s="14"/>
      <c r="N5700" s="15"/>
      <c r="O5700" s="12"/>
      <c r="P5700" s="34"/>
      <c r="Q5700" s="37"/>
      <c r="R5700" s="47"/>
      <c r="S5700" s="46"/>
    </row>
    <row r="5701" spans="1:19" ht="15.6" hidden="1" customHeight="1" thickBot="1" x14ac:dyDescent="0.3">
      <c r="A5701" t="s">
        <v>23</v>
      </c>
      <c r="B5701" s="60" t="str">
        <f t="shared" ref="B5701:B5703" si="4090">IF(K5701=0,"hide","")</f>
        <v>hide</v>
      </c>
      <c r="D5701" s="48" t="str">
        <f>D5700</f>
        <v>WMCHCH196</v>
      </c>
      <c r="E5701" s="7"/>
      <c r="F5701" s="27">
        <v>0</v>
      </c>
      <c r="G5701" s="27">
        <v>0</v>
      </c>
      <c r="H5701" s="27">
        <v>0</v>
      </c>
      <c r="I5701" s="27">
        <v>0</v>
      </c>
      <c r="J5701" s="27">
        <v>0</v>
      </c>
      <c r="K5701" s="63">
        <f>AVERAGE(I5701:J5701)</f>
        <v>0</v>
      </c>
      <c r="L5701" s="56" t="str">
        <f>"EQP-LAWPACK2"</f>
        <v>EQP-LAWPACK2</v>
      </c>
      <c r="M5701" s="14"/>
      <c r="N5701" s="15"/>
      <c r="O5701" s="12"/>
      <c r="P5701" s="34"/>
      <c r="Q5701" s="37"/>
      <c r="R5701" s="47"/>
      <c r="S5701" s="46"/>
    </row>
    <row r="5702" spans="1:19" ht="15.6" hidden="1" customHeight="1" thickBot="1" x14ac:dyDescent="0.3">
      <c r="A5702" t="s">
        <v>23</v>
      </c>
      <c r="B5702" s="60" t="str">
        <f t="shared" si="4090"/>
        <v>hide</v>
      </c>
      <c r="D5702" s="48" t="str">
        <f>D5701</f>
        <v>WMCHCH196</v>
      </c>
      <c r="E5702" s="7"/>
      <c r="F5702" s="27">
        <v>0</v>
      </c>
      <c r="G5702" s="27">
        <v>0</v>
      </c>
      <c r="H5702" s="27">
        <v>0</v>
      </c>
      <c r="I5702" s="27">
        <v>0</v>
      </c>
      <c r="J5702" s="27">
        <v>0</v>
      </c>
      <c r="K5702" s="63">
        <f>AVERAGE(I5702:J5702)</f>
        <v>0</v>
      </c>
      <c r="L5702" s="56" t="str">
        <f>"SW-COMAS-PACKL"</f>
        <v>SW-COMAS-PACKL</v>
      </c>
      <c r="M5702" s="14"/>
      <c r="N5702" s="15"/>
      <c r="O5702" s="12"/>
      <c r="P5702" s="34"/>
      <c r="Q5702" s="37"/>
      <c r="R5702" s="47"/>
      <c r="S5702" s="46"/>
    </row>
    <row r="5703" spans="1:19" ht="15.6" hidden="1" customHeight="1" thickBot="1" x14ac:dyDescent="0.3">
      <c r="A5703" t="s">
        <v>23</v>
      </c>
      <c r="B5703" s="60" t="str">
        <f t="shared" si="4090"/>
        <v>hide</v>
      </c>
      <c r="D5703" s="48" t="str">
        <f>D5702</f>
        <v>WMCHCH196</v>
      </c>
      <c r="E5703" s="7"/>
      <c r="F5703" s="27">
        <v>0</v>
      </c>
      <c r="G5703" s="27">
        <v>0</v>
      </c>
      <c r="H5703" s="27">
        <v>0</v>
      </c>
      <c r="I5703" s="27">
        <v>0</v>
      </c>
      <c r="J5703" s="27">
        <v>0</v>
      </c>
      <c r="K5703" s="63">
        <f>AVERAGE(I5703:J5703)</f>
        <v>0</v>
      </c>
      <c r="L5703" s="56" t="str">
        <f>"SW-RISER-PACK"</f>
        <v>SW-RISER-PACK</v>
      </c>
      <c r="M5703" s="14"/>
      <c r="N5703" s="15"/>
      <c r="O5703" s="12"/>
      <c r="P5703" s="34"/>
      <c r="Q5703" s="37"/>
      <c r="R5703" s="47"/>
      <c r="S5703" s="46"/>
    </row>
    <row r="5704" spans="1:19" ht="12" hidden="1" customHeight="1" x14ac:dyDescent="0.3">
      <c r="A5704" s="35" t="s">
        <v>908</v>
      </c>
      <c r="B5704" s="49" t="str">
        <f>B5700</f>
        <v>hide</v>
      </c>
      <c r="N5704"/>
      <c r="Q5704" s="33"/>
    </row>
    <row r="5705" spans="1:19" ht="13.8" hidden="1" thickBot="1" x14ac:dyDescent="0.3">
      <c r="A5705" t="s">
        <v>23</v>
      </c>
      <c r="B5705" s="49" t="str">
        <f t="shared" ref="B5705" si="4091">B5704</f>
        <v>hide</v>
      </c>
      <c r="D5705" s="58"/>
      <c r="E5705" s="58"/>
      <c r="F5705" s="52">
        <f>SUM(F5700:F5704)</f>
        <v>0</v>
      </c>
      <c r="G5705" s="52">
        <f>SUM(G5700:G5704)</f>
        <v>0</v>
      </c>
      <c r="H5705" s="52">
        <f>SUM(H5700:H5704)</f>
        <v>0</v>
      </c>
      <c r="I5705" s="52">
        <f>SUM(I5700:I5704)</f>
        <v>0</v>
      </c>
      <c r="J5705" s="52">
        <f>SUM(J5700:J5704)</f>
        <v>0</v>
      </c>
      <c r="K5705" s="52"/>
      <c r="L5705" s="51" t="s">
        <v>4</v>
      </c>
      <c r="M5705" s="58"/>
      <c r="N5705" s="58"/>
      <c r="O5705" s="58"/>
      <c r="P5705" s="58"/>
      <c r="Q5705" s="58"/>
      <c r="R5705" s="58"/>
      <c r="S5705" s="58"/>
    </row>
    <row r="5706" spans="1:19" s="59" customFormat="1" ht="18.75" customHeight="1" thickBot="1" x14ac:dyDescent="0.3">
      <c r="A5706" s="59" t="s">
        <v>23</v>
      </c>
      <c r="B5706" s="60" t="str">
        <f t="shared" ref="B5706:B5707" si="4092">IF(K5706=0,"hide","")</f>
        <v/>
      </c>
      <c r="D5706" s="61" t="str">
        <f>"WMCHCH248"</f>
        <v>WMCHCH248</v>
      </c>
      <c r="E5706" s="62" t="str">
        <f>"4"</f>
        <v>4</v>
      </c>
      <c r="F5706" s="63">
        <v>2253.5</v>
      </c>
      <c r="G5706" s="63">
        <v>1675.6666666666667</v>
      </c>
      <c r="H5706" s="63">
        <v>1164.0000000000002</v>
      </c>
      <c r="I5706" s="63">
        <v>1677.0833333333333</v>
      </c>
      <c r="J5706" s="63">
        <v>1534.3373493975905</v>
      </c>
      <c r="K5706" s="63">
        <f>AVERAGE(I5706:J5706)</f>
        <v>1605.7103413654618</v>
      </c>
      <c r="L5706" s="64" t="str">
        <f>"Whole Grain Simply Choc Chp Muffins 2G "</f>
        <v xml:space="preserve">Whole Grain Simply Choc Chp Muffins 2G </v>
      </c>
      <c r="M5706" s="65" t="str">
        <f>"48-3.2oz IW"</f>
        <v>48-3.2oz IW</v>
      </c>
      <c r="N5706" s="66">
        <v>48</v>
      </c>
      <c r="O5706" s="67">
        <v>0</v>
      </c>
      <c r="P5706" s="68" t="e">
        <f>1/O5706</f>
        <v>#DIV/0!</v>
      </c>
      <c r="Q5706" s="53">
        <v>5.4000000000000003E-3</v>
      </c>
      <c r="R5706" s="69">
        <f t="shared" ref="R5706" si="4093">1/Q5706</f>
        <v>185.18518518518516</v>
      </c>
      <c r="S5706" s="70">
        <f t="shared" ref="S5706" si="4094">R5706*N5706</f>
        <v>8888.8888888888869</v>
      </c>
    </row>
    <row r="5707" spans="1:19" ht="15.6" hidden="1" customHeight="1" thickBot="1" x14ac:dyDescent="0.3">
      <c r="A5707" t="s">
        <v>23</v>
      </c>
      <c r="B5707" s="60" t="str">
        <f t="shared" si="4092"/>
        <v>hide</v>
      </c>
      <c r="D5707" s="48" t="str">
        <f>D5706</f>
        <v>WMCHCH248</v>
      </c>
      <c r="E5707" s="7"/>
      <c r="F5707" s="27">
        <v>-38.999999999999993</v>
      </c>
      <c r="G5707" s="27">
        <v>-471.27083333333331</v>
      </c>
      <c r="H5707" s="27">
        <v>0</v>
      </c>
      <c r="I5707" s="27">
        <v>0</v>
      </c>
      <c r="J5707" s="27">
        <v>0</v>
      </c>
      <c r="K5707" s="63">
        <f>AVERAGE(I5707:J5707)</f>
        <v>0</v>
      </c>
      <c r="L5707" s="56" t="str">
        <f>"EQP-LAWPACK1"</f>
        <v>EQP-LAWPACK1</v>
      </c>
      <c r="M5707" s="14"/>
      <c r="N5707" s="15"/>
      <c r="O5707" s="12"/>
      <c r="P5707" s="34"/>
      <c r="Q5707" s="37"/>
      <c r="R5707" s="47"/>
      <c r="S5707" s="46"/>
    </row>
    <row r="5708" spans="1:19" ht="15.6" hidden="1" customHeight="1" thickBot="1" x14ac:dyDescent="0.3">
      <c r="A5708" t="s">
        <v>23</v>
      </c>
      <c r="B5708" s="60" t="str">
        <f t="shared" ref="B5708:B5710" si="4095">IF(K5708=0,"hide","")</f>
        <v>hide</v>
      </c>
      <c r="D5708" s="48" t="str">
        <f>D5707</f>
        <v>WMCHCH248</v>
      </c>
      <c r="E5708" s="7"/>
      <c r="F5708" s="27">
        <v>0</v>
      </c>
      <c r="G5708" s="27">
        <v>0</v>
      </c>
      <c r="H5708" s="27">
        <v>0</v>
      </c>
      <c r="I5708" s="27">
        <v>0</v>
      </c>
      <c r="J5708" s="27">
        <v>0</v>
      </c>
      <c r="K5708" s="63">
        <f>AVERAGE(I5708:J5708)</f>
        <v>0</v>
      </c>
      <c r="L5708" s="56" t="str">
        <f>"EQP-LAWPACK2"</f>
        <v>EQP-LAWPACK2</v>
      </c>
      <c r="M5708" s="14"/>
      <c r="N5708" s="15"/>
      <c r="O5708" s="12"/>
      <c r="P5708" s="34"/>
      <c r="Q5708" s="37"/>
      <c r="R5708" s="47"/>
      <c r="S5708" s="46"/>
    </row>
    <row r="5709" spans="1:19" ht="15.6" hidden="1" customHeight="1" thickBot="1" x14ac:dyDescent="0.3">
      <c r="A5709" t="s">
        <v>23</v>
      </c>
      <c r="B5709" s="60" t="str">
        <f t="shared" si="4095"/>
        <v>hide</v>
      </c>
      <c r="D5709" s="48" t="str">
        <f>D5708</f>
        <v>WMCHCH248</v>
      </c>
      <c r="E5709" s="7"/>
      <c r="F5709" s="27">
        <v>0</v>
      </c>
      <c r="G5709" s="27">
        <v>0</v>
      </c>
      <c r="H5709" s="27">
        <v>0</v>
      </c>
      <c r="I5709" s="27">
        <v>0</v>
      </c>
      <c r="J5709" s="27">
        <v>0</v>
      </c>
      <c r="K5709" s="63">
        <f>AVERAGE(I5709:J5709)</f>
        <v>0</v>
      </c>
      <c r="L5709" s="56" t="str">
        <f>"SW-COMAS-PACKL"</f>
        <v>SW-COMAS-PACKL</v>
      </c>
      <c r="M5709" s="14"/>
      <c r="N5709" s="15"/>
      <c r="O5709" s="12"/>
      <c r="P5709" s="34"/>
      <c r="Q5709" s="37"/>
      <c r="R5709" s="47"/>
      <c r="S5709" s="46"/>
    </row>
    <row r="5710" spans="1:19" ht="15.6" hidden="1" customHeight="1" thickBot="1" x14ac:dyDescent="0.3">
      <c r="A5710" t="s">
        <v>23</v>
      </c>
      <c r="B5710" s="60" t="str">
        <f t="shared" si="4095"/>
        <v>hide</v>
      </c>
      <c r="D5710" s="48" t="str">
        <f>D5709</f>
        <v>WMCHCH248</v>
      </c>
      <c r="E5710" s="7"/>
      <c r="F5710" s="27">
        <v>0</v>
      </c>
      <c r="G5710" s="27">
        <v>0</v>
      </c>
      <c r="H5710" s="27">
        <v>0</v>
      </c>
      <c r="I5710" s="27">
        <v>0</v>
      </c>
      <c r="J5710" s="27">
        <v>0</v>
      </c>
      <c r="K5710" s="63">
        <f>AVERAGE(I5710:J5710)</f>
        <v>0</v>
      </c>
      <c r="L5710" s="56" t="str">
        <f>"SW-RISER-PACK"</f>
        <v>SW-RISER-PACK</v>
      </c>
      <c r="M5710" s="14"/>
      <c r="N5710" s="15"/>
      <c r="O5710" s="12"/>
      <c r="P5710" s="34"/>
      <c r="Q5710" s="37"/>
      <c r="R5710" s="47"/>
      <c r="S5710" s="46"/>
    </row>
    <row r="5711" spans="1:19" ht="12" hidden="1" customHeight="1" x14ac:dyDescent="0.3">
      <c r="A5711" s="35" t="s">
        <v>908</v>
      </c>
      <c r="B5711" s="49" t="str">
        <f>B5707</f>
        <v>hide</v>
      </c>
      <c r="N5711"/>
      <c r="Q5711" s="33"/>
    </row>
    <row r="5712" spans="1:19" ht="13.8" hidden="1" thickBot="1" x14ac:dyDescent="0.3">
      <c r="A5712" t="s">
        <v>23</v>
      </c>
      <c r="B5712" s="49" t="str">
        <f t="shared" ref="B5712" si="4096">B5711</f>
        <v>hide</v>
      </c>
      <c r="D5712" s="58"/>
      <c r="E5712" s="58"/>
      <c r="F5712" s="52">
        <f>SUM(F5707:F5711)</f>
        <v>-38.999999999999993</v>
      </c>
      <c r="G5712" s="52">
        <f>SUM(G5707:G5711)</f>
        <v>-471.27083333333331</v>
      </c>
      <c r="H5712" s="52">
        <f>SUM(H5707:H5711)</f>
        <v>0</v>
      </c>
      <c r="I5712" s="52">
        <f>SUM(I5707:I5711)</f>
        <v>0</v>
      </c>
      <c r="J5712" s="52">
        <f>SUM(J5707:J5711)</f>
        <v>0</v>
      </c>
      <c r="K5712" s="52"/>
      <c r="L5712" s="51" t="s">
        <v>4</v>
      </c>
      <c r="M5712" s="58"/>
      <c r="N5712" s="58"/>
      <c r="O5712" s="58"/>
      <c r="P5712" s="58"/>
      <c r="Q5712" s="58"/>
      <c r="R5712" s="58"/>
      <c r="S5712" s="58"/>
    </row>
    <row r="5713" spans="1:19" s="59" customFormat="1" ht="18.75" customHeight="1" thickBot="1" x14ac:dyDescent="0.3">
      <c r="A5713" s="59" t="s">
        <v>23</v>
      </c>
      <c r="B5713" s="60" t="str">
        <f t="shared" ref="B5713:B5714" si="4097">IF(K5713=0,"hide","")</f>
        <v/>
      </c>
      <c r="D5713" s="61" t="str">
        <f>"WMDC196"</f>
        <v>WMDC196</v>
      </c>
      <c r="E5713" s="62" t="str">
        <f>"3"</f>
        <v>3</v>
      </c>
      <c r="F5713" s="63">
        <v>297</v>
      </c>
      <c r="G5713" s="63">
        <v>85.833333333333329</v>
      </c>
      <c r="H5713" s="63">
        <v>0</v>
      </c>
      <c r="I5713" s="63">
        <v>5</v>
      </c>
      <c r="J5713" s="63">
        <v>74.602891566265058</v>
      </c>
      <c r="K5713" s="63">
        <f>AVERAGE(I5713:J5713)</f>
        <v>39.801445783132529</v>
      </c>
      <c r="L5713" s="64" t="str">
        <f>"WG Double Chocolate Muffin"</f>
        <v>WG Double Chocolate Muffin</v>
      </c>
      <c r="M5713" s="65" t="str">
        <f>"96-1.6oz IW"</f>
        <v>96-1.6oz IW</v>
      </c>
      <c r="N5713" s="66">
        <v>96</v>
      </c>
      <c r="O5713" s="67" t="str">
        <f>""</f>
        <v/>
      </c>
      <c r="P5713" s="68" t="e">
        <f>1/O5713</f>
        <v>#VALUE!</v>
      </c>
      <c r="Q5713" s="53">
        <v>1</v>
      </c>
      <c r="R5713" s="69">
        <f t="shared" ref="R5713" si="4098">1/Q5713</f>
        <v>1</v>
      </c>
      <c r="S5713" s="70">
        <f t="shared" ref="S5713" si="4099">R5713*N5713</f>
        <v>96</v>
      </c>
    </row>
    <row r="5714" spans="1:19" ht="15.6" hidden="1" customHeight="1" thickBot="1" x14ac:dyDescent="0.3">
      <c r="A5714" t="s">
        <v>23</v>
      </c>
      <c r="B5714" s="60" t="str">
        <f t="shared" si="4097"/>
        <v>hide</v>
      </c>
      <c r="D5714" s="48" t="str">
        <f>D5713</f>
        <v>WMDC196</v>
      </c>
      <c r="E5714" s="7"/>
      <c r="F5714" s="27">
        <v>0</v>
      </c>
      <c r="G5714" s="27">
        <v>0</v>
      </c>
      <c r="H5714" s="27">
        <v>0</v>
      </c>
      <c r="I5714" s="27">
        <v>0</v>
      </c>
      <c r="J5714" s="27">
        <v>0</v>
      </c>
      <c r="K5714" s="63">
        <f>AVERAGE(I5714:J5714)</f>
        <v>0</v>
      </c>
      <c r="L5714" s="56" t="str">
        <f>"EQP-LAWPACK1"</f>
        <v>EQP-LAWPACK1</v>
      </c>
      <c r="M5714" s="14"/>
      <c r="N5714" s="15"/>
      <c r="O5714" s="12"/>
      <c r="P5714" s="34"/>
      <c r="Q5714" s="37"/>
      <c r="R5714" s="47"/>
      <c r="S5714" s="46"/>
    </row>
    <row r="5715" spans="1:19" ht="15.6" hidden="1" customHeight="1" thickBot="1" x14ac:dyDescent="0.3">
      <c r="A5715" t="s">
        <v>23</v>
      </c>
      <c r="B5715" s="60" t="str">
        <f t="shared" ref="B5715:B5717" si="4100">IF(K5715=0,"hide","")</f>
        <v>hide</v>
      </c>
      <c r="D5715" s="48" t="str">
        <f>D5714</f>
        <v>WMDC196</v>
      </c>
      <c r="E5715" s="7"/>
      <c r="F5715" s="27">
        <v>0</v>
      </c>
      <c r="G5715" s="27">
        <v>0</v>
      </c>
      <c r="H5715" s="27">
        <v>0</v>
      </c>
      <c r="I5715" s="27">
        <v>0</v>
      </c>
      <c r="J5715" s="27">
        <v>0</v>
      </c>
      <c r="K5715" s="63">
        <f>AVERAGE(I5715:J5715)</f>
        <v>0</v>
      </c>
      <c r="L5715" s="56" t="str">
        <f>"EQP-LAWPACK2"</f>
        <v>EQP-LAWPACK2</v>
      </c>
      <c r="M5715" s="14"/>
      <c r="N5715" s="15"/>
      <c r="O5715" s="12"/>
      <c r="P5715" s="34"/>
      <c r="Q5715" s="37"/>
      <c r="R5715" s="47"/>
      <c r="S5715" s="46"/>
    </row>
    <row r="5716" spans="1:19" ht="15.6" hidden="1" customHeight="1" thickBot="1" x14ac:dyDescent="0.3">
      <c r="A5716" t="s">
        <v>23</v>
      </c>
      <c r="B5716" s="60" t="str">
        <f t="shared" si="4100"/>
        <v>hide</v>
      </c>
      <c r="D5716" s="48" t="str">
        <f>D5715</f>
        <v>WMDC196</v>
      </c>
      <c r="E5716" s="7"/>
      <c r="F5716" s="27">
        <v>0</v>
      </c>
      <c r="G5716" s="27">
        <v>0</v>
      </c>
      <c r="H5716" s="27">
        <v>0</v>
      </c>
      <c r="I5716" s="27">
        <v>0</v>
      </c>
      <c r="J5716" s="27">
        <v>0</v>
      </c>
      <c r="K5716" s="63">
        <f>AVERAGE(I5716:J5716)</f>
        <v>0</v>
      </c>
      <c r="L5716" s="56" t="str">
        <f>"SW-COMAS-PACKL"</f>
        <v>SW-COMAS-PACKL</v>
      </c>
      <c r="M5716" s="14"/>
      <c r="N5716" s="15"/>
      <c r="O5716" s="12"/>
      <c r="P5716" s="34"/>
      <c r="Q5716" s="37"/>
      <c r="R5716" s="47"/>
      <c r="S5716" s="46"/>
    </row>
    <row r="5717" spans="1:19" ht="15.6" hidden="1" customHeight="1" thickBot="1" x14ac:dyDescent="0.3">
      <c r="A5717" t="s">
        <v>23</v>
      </c>
      <c r="B5717" s="60" t="str">
        <f t="shared" si="4100"/>
        <v>hide</v>
      </c>
      <c r="D5717" s="48" t="str">
        <f>D5716</f>
        <v>WMDC196</v>
      </c>
      <c r="E5717" s="7"/>
      <c r="F5717" s="27">
        <v>0</v>
      </c>
      <c r="G5717" s="27">
        <v>0</v>
      </c>
      <c r="H5717" s="27">
        <v>0</v>
      </c>
      <c r="I5717" s="27">
        <v>0</v>
      </c>
      <c r="J5717" s="27">
        <v>0</v>
      </c>
      <c r="K5717" s="63">
        <f>AVERAGE(I5717:J5717)</f>
        <v>0</v>
      </c>
      <c r="L5717" s="56" t="str">
        <f>"SW-RISER-PACK"</f>
        <v>SW-RISER-PACK</v>
      </c>
      <c r="M5717" s="14"/>
      <c r="N5717" s="15"/>
      <c r="O5717" s="12"/>
      <c r="P5717" s="34"/>
      <c r="Q5717" s="37"/>
      <c r="R5717" s="47"/>
      <c r="S5717" s="46"/>
    </row>
    <row r="5718" spans="1:19" ht="12" hidden="1" customHeight="1" x14ac:dyDescent="0.3">
      <c r="A5718" s="35" t="s">
        <v>908</v>
      </c>
      <c r="B5718" s="49" t="str">
        <f>B5714</f>
        <v>hide</v>
      </c>
      <c r="N5718"/>
      <c r="Q5718" s="33"/>
    </row>
    <row r="5719" spans="1:19" ht="13.8" hidden="1" thickBot="1" x14ac:dyDescent="0.3">
      <c r="A5719" t="s">
        <v>23</v>
      </c>
      <c r="B5719" s="49" t="str">
        <f t="shared" ref="B5719" si="4101">B5718</f>
        <v>hide</v>
      </c>
      <c r="D5719" s="58"/>
      <c r="E5719" s="58"/>
      <c r="F5719" s="52">
        <f>SUM(F5714:F5718)</f>
        <v>0</v>
      </c>
      <c r="G5719" s="52">
        <f>SUM(G5714:G5718)</f>
        <v>0</v>
      </c>
      <c r="H5719" s="52">
        <f>SUM(H5714:H5718)</f>
        <v>0</v>
      </c>
      <c r="I5719" s="52">
        <f>SUM(I5714:I5718)</f>
        <v>0</v>
      </c>
      <c r="J5719" s="52">
        <f>SUM(J5714:J5718)</f>
        <v>0</v>
      </c>
      <c r="K5719" s="52"/>
      <c r="L5719" s="51" t="s">
        <v>4</v>
      </c>
      <c r="M5719" s="58"/>
      <c r="N5719" s="58"/>
      <c r="O5719" s="58"/>
      <c r="P5719" s="58"/>
      <c r="Q5719" s="58"/>
      <c r="R5719" s="58"/>
      <c r="S5719" s="58"/>
    </row>
    <row r="5720" spans="1:19" s="59" customFormat="1" ht="18.75" customHeight="1" thickBot="1" x14ac:dyDescent="0.3">
      <c r="A5720" s="59" t="s">
        <v>23</v>
      </c>
      <c r="B5720" s="60" t="str">
        <f t="shared" ref="B5720:B5721" si="4102">IF(K5720=0,"hide","")</f>
        <v/>
      </c>
      <c r="D5720" s="61" t="str">
        <f>"WMDC248"</f>
        <v>WMDC248</v>
      </c>
      <c r="E5720" s="62" t="str">
        <f>"3"</f>
        <v>3</v>
      </c>
      <c r="F5720" s="63">
        <v>697.5</v>
      </c>
      <c r="G5720" s="63">
        <v>527.08333333333337</v>
      </c>
      <c r="H5720" s="63">
        <v>928.25</v>
      </c>
      <c r="I5720" s="63">
        <v>618.74999999999989</v>
      </c>
      <c r="J5720" s="63">
        <v>420.81759036144581</v>
      </c>
      <c r="K5720" s="63">
        <f>AVERAGE(I5720:J5720)</f>
        <v>519.78379518072279</v>
      </c>
      <c r="L5720" s="64" t="str">
        <f>" WG Double Chocolate Muffin"</f>
        <v xml:space="preserve"> WG Double Chocolate Muffin</v>
      </c>
      <c r="M5720" s="65" t="str">
        <f>"48-3.2oz IW"</f>
        <v>48-3.2oz IW</v>
      </c>
      <c r="N5720" s="66">
        <v>48</v>
      </c>
      <c r="O5720" s="67">
        <v>0</v>
      </c>
      <c r="P5720" s="68" t="e">
        <f>1/O5720</f>
        <v>#DIV/0!</v>
      </c>
      <c r="Q5720" s="53">
        <v>2.7000000000000001E-3</v>
      </c>
      <c r="R5720" s="69">
        <f t="shared" ref="R5720" si="4103">1/Q5720</f>
        <v>370.37037037037032</v>
      </c>
      <c r="S5720" s="70">
        <f t="shared" ref="S5720" si="4104">R5720*N5720</f>
        <v>17777.777777777774</v>
      </c>
    </row>
    <row r="5721" spans="1:19" ht="15.6" hidden="1" customHeight="1" thickBot="1" x14ac:dyDescent="0.3">
      <c r="A5721" t="s">
        <v>23</v>
      </c>
      <c r="B5721" s="60" t="str">
        <f t="shared" si="4102"/>
        <v>hide</v>
      </c>
      <c r="D5721" s="48" t="str">
        <f>D5720</f>
        <v>WMDC248</v>
      </c>
      <c r="E5721" s="7"/>
      <c r="F5721" s="27">
        <v>0</v>
      </c>
      <c r="G5721" s="27">
        <v>-271.92749999999995</v>
      </c>
      <c r="H5721" s="27">
        <v>0</v>
      </c>
      <c r="I5721" s="27">
        <v>0</v>
      </c>
      <c r="J5721" s="27">
        <v>0</v>
      </c>
      <c r="K5721" s="63">
        <f>AVERAGE(I5721:J5721)</f>
        <v>0</v>
      </c>
      <c r="L5721" s="56" t="str">
        <f>"EQP-LAWPACK1"</f>
        <v>EQP-LAWPACK1</v>
      </c>
      <c r="M5721" s="14"/>
      <c r="N5721" s="15"/>
      <c r="O5721" s="12"/>
      <c r="P5721" s="34"/>
      <c r="Q5721" s="37"/>
      <c r="R5721" s="47"/>
      <c r="S5721" s="46"/>
    </row>
    <row r="5722" spans="1:19" ht="15.6" hidden="1" customHeight="1" thickBot="1" x14ac:dyDescent="0.3">
      <c r="A5722" t="s">
        <v>23</v>
      </c>
      <c r="B5722" s="60" t="str">
        <f t="shared" ref="B5722:B5724" si="4105">IF(K5722=0,"hide","")</f>
        <v>hide</v>
      </c>
      <c r="D5722" s="48" t="str">
        <f>D5721</f>
        <v>WMDC248</v>
      </c>
      <c r="E5722" s="7"/>
      <c r="F5722" s="27">
        <v>0</v>
      </c>
      <c r="G5722" s="27">
        <v>0</v>
      </c>
      <c r="H5722" s="27">
        <v>0</v>
      </c>
      <c r="I5722" s="27">
        <v>0</v>
      </c>
      <c r="J5722" s="27">
        <v>0</v>
      </c>
      <c r="K5722" s="63">
        <f>AVERAGE(I5722:J5722)</f>
        <v>0</v>
      </c>
      <c r="L5722" s="56" t="str">
        <f>"EQP-LAWPACK2"</f>
        <v>EQP-LAWPACK2</v>
      </c>
      <c r="M5722" s="14"/>
      <c r="N5722" s="15"/>
      <c r="O5722" s="12"/>
      <c r="P5722" s="34"/>
      <c r="Q5722" s="37"/>
      <c r="R5722" s="47"/>
      <c r="S5722" s="46"/>
    </row>
    <row r="5723" spans="1:19" ht="15.6" hidden="1" customHeight="1" thickBot="1" x14ac:dyDescent="0.3">
      <c r="A5723" t="s">
        <v>23</v>
      </c>
      <c r="B5723" s="60" t="str">
        <f t="shared" si="4105"/>
        <v>hide</v>
      </c>
      <c r="D5723" s="48" t="str">
        <f>D5722</f>
        <v>WMDC248</v>
      </c>
      <c r="E5723" s="7"/>
      <c r="F5723" s="27">
        <v>0</v>
      </c>
      <c r="G5723" s="27">
        <v>0</v>
      </c>
      <c r="H5723" s="27">
        <v>0</v>
      </c>
      <c r="I5723" s="27">
        <v>0</v>
      </c>
      <c r="J5723" s="27">
        <v>0</v>
      </c>
      <c r="K5723" s="63">
        <f>AVERAGE(I5723:J5723)</f>
        <v>0</v>
      </c>
      <c r="L5723" s="56" t="str">
        <f>"SW-COMAS-PACKL"</f>
        <v>SW-COMAS-PACKL</v>
      </c>
      <c r="M5723" s="14"/>
      <c r="N5723" s="15"/>
      <c r="O5723" s="12"/>
      <c r="P5723" s="34"/>
      <c r="Q5723" s="37"/>
      <c r="R5723" s="47"/>
      <c r="S5723" s="46"/>
    </row>
    <row r="5724" spans="1:19" ht="15.6" hidden="1" customHeight="1" thickBot="1" x14ac:dyDescent="0.3">
      <c r="A5724" t="s">
        <v>23</v>
      </c>
      <c r="B5724" s="60" t="str">
        <f t="shared" si="4105"/>
        <v>hide</v>
      </c>
      <c r="D5724" s="48" t="str">
        <f>D5723</f>
        <v>WMDC248</v>
      </c>
      <c r="E5724" s="7"/>
      <c r="F5724" s="27">
        <v>0</v>
      </c>
      <c r="G5724" s="27">
        <v>0</v>
      </c>
      <c r="H5724" s="27">
        <v>0</v>
      </c>
      <c r="I5724" s="27">
        <v>0</v>
      </c>
      <c r="J5724" s="27">
        <v>0</v>
      </c>
      <c r="K5724" s="63">
        <f>AVERAGE(I5724:J5724)</f>
        <v>0</v>
      </c>
      <c r="L5724" s="56" t="str">
        <f>"SW-RISER-PACK"</f>
        <v>SW-RISER-PACK</v>
      </c>
      <c r="M5724" s="14"/>
      <c r="N5724" s="15"/>
      <c r="O5724" s="12"/>
      <c r="P5724" s="34"/>
      <c r="Q5724" s="37"/>
      <c r="R5724" s="47"/>
      <c r="S5724" s="46"/>
    </row>
    <row r="5725" spans="1:19" ht="12" hidden="1" customHeight="1" x14ac:dyDescent="0.25">
      <c r="A5725" s="35" t="s">
        <v>908</v>
      </c>
      <c r="B5725" s="49" t="str">
        <f>B5721</f>
        <v>hide</v>
      </c>
      <c r="N5725"/>
      <c r="Q5725" s="33"/>
    </row>
    <row r="5726" spans="1:19" hidden="1" x14ac:dyDescent="0.25">
      <c r="A5726" t="s">
        <v>23</v>
      </c>
      <c r="B5726" s="49" t="str">
        <f t="shared" ref="B5726" si="4106">B5725</f>
        <v>hide</v>
      </c>
      <c r="D5726" s="58"/>
      <c r="E5726" s="58"/>
      <c r="F5726" s="52">
        <f t="shared" ref="F5726:J5726" si="4107">SUM(F5721:F5725)</f>
        <v>0</v>
      </c>
      <c r="G5726" s="52">
        <f t="shared" si="4107"/>
        <v>-271.92749999999995</v>
      </c>
      <c r="H5726" s="52">
        <f t="shared" si="4107"/>
        <v>0</v>
      </c>
      <c r="I5726" s="52">
        <f t="shared" si="4107"/>
        <v>0</v>
      </c>
      <c r="J5726" s="52">
        <f t="shared" si="4107"/>
        <v>0</v>
      </c>
      <c r="K5726" s="52"/>
      <c r="L5726" s="51" t="s">
        <v>4</v>
      </c>
      <c r="M5726" s="58"/>
      <c r="N5726" s="58"/>
      <c r="O5726" s="58"/>
      <c r="P5726" s="58"/>
      <c r="Q5726" s="58"/>
      <c r="R5726" s="58"/>
      <c r="S5726" s="58"/>
    </row>
    <row r="5727" spans="1:19" x14ac:dyDescent="0.25">
      <c r="Q5727" s="33"/>
    </row>
  </sheetData>
  <phoneticPr fontId="5" type="noConversion"/>
  <conditionalFormatting sqref="H5">
    <cfRule type="cellIs" dxfId="2" priority="14" operator="greaterThan">
      <formula>-100</formula>
    </cfRule>
  </conditionalFormatting>
  <conditionalFormatting sqref="J11:J14">
    <cfRule type="cellIs" dxfId="1" priority="13" operator="greaterThan">
      <formula>-100</formula>
    </cfRule>
  </conditionalFormatting>
  <conditionalFormatting sqref="J18:J21 J25:J28 J32:J35 J39:J42 J46:J49 J53:J56 J60:J63 J67:J70 J74:J77 J81:J84 J88:J91 J96:J99 J103:J106 J110:J113 J117:J120 J124:J127 J131:J134 J138:J141 J145:J148 J152:J155 J159:J162 J166:J169 J173:J176 J180:J183 J187:J190 J194:J197 J201:J204 J208:J211 J215:J218 J222:J225 J229:J232 J236:J239 J243:J246 J250:J253 J257:J260 J264:J267 J271:J274 J278:J281 J285:J288 J292:J295 J299:J302 J306:J309 J313:J316 J320:J323 J327:J330 J334:J337 J341:J344 J348:J351 J355:J358 J362:J365 J369:J372 J376:J379 J383:J386 J390:J393 J397:J400 J404:J407 J411:J414 J418:J421 J425:J428 J432:J435 J439:J442 J446:J449 J453:J456 J460:J463 J467:J470 J474:J477 J481:J484 J488:J491 J495:J498 J502:J505 J509:J512 J516:J519 J523:J526 J530:J533 J537:J540 J544:J547 J551:J554 J558:J561 J565:J568 J572:J575 J579:J582 J586:J589 J593:J596 J600:J603 J607:J610 J614:J617 J622:J625 J629:J632 J636:J639 J643:J646 J650:J653 J657:J660 J664:J667 J671:J674 J678:J681 J685:J688 J692:J695 J699:J702 J706:J709 J713:J716 J720:J723 J727:J730 J735:J738 J742:J745 J749:J752 J756:J759 J763:J766 J770:J773 J777:J780 J784:J787 J791:J794 J798:J801 J805:J808 J812:J815 J819:J822 J826:J829 J833:J836 J840:J843 J847:J850 J854:J857 J861:J864 J868:J871 J875:J878 J882:J885 J889:J892 J896:J899 J903:J906 J910:J913 J918:J921 J925:J928 J932:J935 J939:J942 J946:J949 J953:J956 J960:J963 J967:J970 J974:J977 J981:J984 J988:J991 J995:J998 J1002:J1005 J1009:J1012 J1016:J1019 J1023:J1026 J1030:J1033 J1037:J1040 J1044:J1047 J1051:J1054 J1058:J1061 J1065:J1068 J1072:J1075 J1079:J1082 J1086:J1089 J1093:J1096 J1100:J1103 J1107:J1110 J1114:J1117 J1121:J1124 J1128:J1131 J1135:J1138 J1142:J1145 J1149:J1152 J1156:J1159 J1163:J1166 J1170:J1173 J1177:J1180 J1184:J1187 J1191:J1194 J1198:J1201 J1205:J1208 J1212:J1215 J1219:J1222 J1226:J1229 J1233:J1236 J1240:J1243 J1247:J1250 J1254:J1257 J1261:J1264 J1268:J1271 J1275:J1278 J1282:J1285 J1289:J1292 J1296:J1299 J1303:J1306 J1310:J1313 J1317:J1320 J1324:J1327 J1331:J1334 J1338:J1341 J1345:J1348 J1352:J1355 J1359:J1362 J1366:J1369 J1373:J1376 J1380:J1383 J1387:J1390 J1394:J1397 J1401:J1404 J1408:J1411 J1415:J1418 J1422:J1425 J1429:J1432 J1436:J1439 J1443:J1446 J1450:J1453 J1457:J1460 J1464:J1467 J1471:J1474 J1478:J1481 J1485:J1488 J1492:J1495 J1499:J1502 J1506:J1509 J1513:J1516 J1520:J1523 J1527:J1530 J1534:J1537 J1541:J1544 J1548:J1551 J1555:J1558 J1562:J1565 J1569:J1572 J1576:J1579 J1583:J1586 J1590:J1593 J1597:J1600 J1604:J1607 J1611:J1614 J1618:J1621 J1625:J1628 J1632:J1635 J1639:J1642 J1646:J1649 J1653:J1656 J1660:J1663 J1667:J1670 J1674:J1677 J1681:J1684 J1688:J1691 J1695:J1698 J1702:J1705 J1709:J1712 J1716:J1719 J1723:J1726 J1730:J1733 J1737:J1740 J1744:J1747 J1751:J1754 J1758:J1761 J1765:J1768 J1772:J1775 J1779:J1782 J1786:J1789 J1793:J1796 J1800:J1803 J1807:J1810 J1814:J1817 J1821:J1824 J1828:J1831 J1835:J1838 J1842:J1845 J1849:J1852 J1856:J1859 J1863:J1866 J1870:J1873 J1877:J1880 J1884:J1887 J1891:J1894 J1898:J1901 J1905:J1908 J1912:J1915 J1919:J1922 J1926:J1929 J1933:J1936 J1940:J1943 J1947:J1950 J1954:J1957 J1961:J1964 J1968:J1971 J1975:J1978 J1982:J1985 J1989:J1992 J1996:J1999 J2003:J2006 J2010:J2013 J2017:J2020 J2024:J2027 J2032:J2035 J2039:J2042 J2046:J2049 J2053:J2056 J2060:J2063 J2067:J2070 J2074:J2077 J2081:J2084 J2088:J2091 J2095:J2098 J2102:J2105 J2109:J2112 J2116:J2119 J2123:J2126 J2130:J2133 J2137:J2140 J2144:J2147 J2151:J2154 J2158:J2161 J2165:J2168 J2172:J2175 J2179:J2182 J2186:J2189 J2193:J2196 J2200:J2203 J2207:J2210 J2214:J2217 J2221:J2224 J2228:J2231 J2235:J2238 J2242:J2245 J2249:J2252 J2256:J2259 J2263:J2266 J2270:J2273 J2277:J2280 J2284:J2287 J2291:J2294 J2298:J2301 J2305:J2308 J2312:J2315 J2319:J2322 J2326:J2329 J2333:J2336 J2340:J2343 J2347:J2350 J2354:J2357 J2361:J2364 J2368:J2371 J2375:J2378 J2382:J2385 J2389:J2392 J2396:J2399 J2403:J2406 J2410:J2413 J2417:J2420 J2424:J2427 J2431:J2434 J2438:J2441 J2445:J2448 J2452:J2455 J2459:J2462 J2466:J2469 J2473:J2476 J2480:J2483 J2487:J2490 J2494:J2497 J2501:J2504 J2508:J2511 J2515:J2518 J2522:J2525 J2529:J2532 J2536:J2539 J2543:J2546 J2550:J2553 J2557:J2560 J2564:J2567 J2571:J2574 J2578:J2581 J2585:J2588 J2592:J2595 J2599:J2602 J2606:J2609 J2613:J2616 J2620:J2623 J2627:J2630 J2634:J2637 J2641:J2644 J2648:J2651 J2655:J2658 J2662:J2665 J2669:J2672 J2676:J2679 J2683:J2686 J2690:J2693 J2697:J2700 J2704:J2707 J2711:J2714 J2718:J2721 J2725:J2728 J2732:J2735 J2740:J2743 J2747:J2750 J2754:J2757 J2762:J2765 J2769:J2772 J2776:J2779 J2783:J2786 J2790:J2793 J2797:J2800 J2805:J2808 J2812:J2815 J2819:J2822 J2826:J2829 J2833:J2836 J2840:J2843 J2847:J2850 J2854:J2857 J2861:J2864 J2868:J2871 J2875:J2878 J2882:J2885 J2889:J2892 J2896:J2899 J2903:J2906 J2910:J2913 J2917:J2920 J2924:J2927 J2931:J2934 J2938:J2941 J2945:J2948 J2952:J2955 J2959:J2962 J2966:J2969 J2973:J2976 J2980:J2983 J2987:J2990 J2994:J2997 J3001:J3004 J3008:J3011 J3015:J3018 J3022:J3025 J3029:J3032 J3036:J3039 J3043:J3046 J3050:J3053 J3057:J3060 J3064:J3067 J3071:J3074 J3078:J3081 J3085:J3088 J3092:J3095 J3099:J3102 J3106:J3109 J3113:J3116 J3120:J3123 J3127:J3130 J3134:J3137 J3141:J3144 J3148:J3151 J3155:J3158 J3162:J3165 J3169:J3172 J3176:J3179 J3183:J3186 J3190:J3193 J3197:J3200 J3204:J3207 J3211:J3214 J3218:J3221 J3225:J3228 J3232:J3235 J3239:J3242 J3246:J3249 J3253:J3256 J3260:J3263 J3267:J3270 J3274:J3277 J3281:J3284 J3288:J3291 J3295:J3298 J3302:J3305 J3309:J3312 J3316:J3319 J3323:J3326 J3330:J3333 J3337:J3340 J3344:J3347 J3351:J3354 J3358:J3361 J3365:J3368 J3372:J3375 J3379:J3382 J3386:J3389 J3393:J3396 J3400:J3403 J3407:J3410 J3414:J3417 J3421:J3424 J3428:J3431 J3435:J3438 J3442:J3445 J3449:J3452 J3456:J3459 J3463:J3466 J3470:J3473 J3477:J3480 J3484:J3487 J3491:J3494 J3498:J3501 J3505:J3508 J3512:J3515 J3519:J3522 J3526:J3529 J3533:J3536 J3540:J3543 J3547:J3550 J3554:J3557 J3561:J3564 J3568:J3571 J3575:J3578 J3582:J3585 J3589:J3592 J3596:J3599 J3603:J3606 J3610:J3613 J3617:J3620 J3624:J3627 J3631:J3634 J3638:J3641 J3645:J3648 J3652:J3655 J3659:J3662 J3666:J3669 J3673:J3676 J3680:J3683 J3687:J3690 J3694:J3697 J3701:J3704 J3708:J3711 J3715:J3718 J3722:J3725 J3729:J3732 J3736:J3739 J3743:J3746 J3750:J3753 J3757:J3760 J3764:J3767 J3771:J3774 J3778:J3781 J3785:J3788 J3792:J3795 J3799:J3802 J3806:J3809 J3813:J3816 J3820:J3823 J3827:J3830 J3834:J3837 J3841:J3844 J3848:J3851 J3855:J3858 J3862:J3865 J3869:J3872 J3876:J3879 J3883:J3886 J3890:J3893 J3897:J3900 J3904:J3907 J3911:J3914 J3918:J3921 J3925:J3928 J3932:J3935 J3939:J3942 J3946:J3949 J3953:J3956 J3960:J3963 J3967:J3970 J3974:J3977 J3981:J3984 J3988:J3991 J3995:J3998 J4002:J4005 J4009:J4012 J4016:J4019 J4023:J4026 J4030:J4033 J4037:J4040 J4044:J4047 J4051:J4054 J4058:J4061 J4065:J4068 J4072:J4075 J4079:J4082 J4086:J4089 J4093:J4096 J4100:J4103 J4107:J4110 J4114:J4117 J4121:J4124 J4128:J4131 J4135:J4138 J4142:J4145 J4149:J4152 J4156:J4159 J4163:J4166 J4170:J4173 J4177:J4180 J4184:J4187 J4191:J4194 J4198:J4201 J4205:J4208 J4212:J4215 J4219:J4222 J4226:J4229 J4233:J4236 J4240:J4243 J4247:J4250 J4254:J4257 J4261:J4264 J4268:J4271 J4275:J4278 J4282:J4285 J4289:J4292 J4296:J4299 J4303:J4306 J4310:J4313 J4317:J4320 J4324:J4327 J4331:J4334 J4338:J4341 J4345:J4348 J4352:J4355 J4359:J4362 J4366:J4369 J4373:J4376 J4380:J4383 J4387:J4390 J4394:J4397 J4401:J4404 J4408:J4411 J4415:J4418 J4422:J4425 J4429:J4432 J4436:J4439 J4443:J4446 J4450:J4453 J4457:J4460 J4464:J4467 J4471:J4474 J4478:J4481 J4485:J4488 J4492:J4495 J4499:J4502 J4506:J4509 J4513:J4516 J4520:J4523 J4527:J4530 J4534:J4537 J4541:J4544 J4548:J4551 J4555:J4558 J4562:J4565 J4569:J4572 J4576:J4579 J4583:J4586 J4590:J4593 J4597:J4600 J4604:J4607 J4612:J4615 J4619:J4622 J4626:J4629 J4633:J4636 J4640:J4643 J4647:J4650 J4654:J4657 J4661:J4664 J4668:J4671 J4675:J4678 J4682:J4685 J4689:J4692 J4696:J4699 J4703:J4706 J4710:J4713 J4717:J4720 J4724:J4727 J4731:J4734 J4738:J4741 J4745:J4748 J4752:J4755 J4759:J4762 J4766:J4769 J4773:J4776 J4780:J4783 J4787:J4790 J4794:J4797 J4801:J4804 J4808:J4811 J4815:J4818 J4822:J4825 J4829:J4832 J4836:J4839 J4843:J4846 J4850:J4853 J4857:J4860 J4864:J4867 J4871:J4874 J4878:J4881 J4885:J4888 J4892:J4895 J4899:J4902 J4906:J4909 J4913:J4916 J4920:J4923 J4927:J4930 J4934:J4937 J4941:J4944 J4948:J4951 J4955:J4958 J4962:J4965 J4969:J4972 J4976:J4979 J4983:J4986 J4990:J4993 J4997:J5000 J5004:J5007 J5011:J5014 J5018:J5021 J5025:J5028 J5032:J5035 J5039:J5042 J5046:J5049 J5053:J5056 J5060:J5063 J5067:J5070 J5074:J5077 J5081:J5084 J5088:J5091 J5095:J5098 J5102:J5105 J5109:J5112 J5116:J5119 J5123:J5126 J5130:J5133 J5137:J5140 J5144:J5147 J5151:J5154 J5158:J5161 J5165:J5168 J5172:J5175 J5179:J5182 J5186:J5189 J5193:J5196 J5200:J5203 J5207:J5210 J5215:J5218 J5222:J5225 J5229:J5232 J5236:J5239 J5243:J5246 J5250:J5253 J5257:J5260 J5264:J5267 J5271:J5274 J5278:J5281 J5285:J5288 J5292:J5295 J5299:J5302 J5306:J5309 J5313:J5316 J5320:J5323 J5327:J5330 J5334:J5337 J5341:J5344 J5348:J5351 J5355:J5358 J5362:J5365 J5369:J5372 J5376:J5379 J5383:J5386 J5390:J5393 J5397:J5400 J5404:J5407 J5411:J5414 J5418:J5421 J5425:J5428 J5432:J5435 J5439:J5442 J5446:J5449 J5453:J5456 J5460:J5463 J5467:J5470 J5475:J5478 J5482:J5485 J5490:J5493 J5497:J5500 J5504:J5507 J5511:J5514 J5518:J5521 J5525:J5528 J5532:J5535 J5539:J5542 J5546:J5549 J5553:J5556 J5560:J5563 J5567:J5570 J5574:J5577 J5581:J5584 J5588:J5591 J5595:J5598 J5602:J5605 J5609:J5612 J5616:J5619 J5623:J5626 J5630:J5633 J5637:J5640 J5644:J5647 J5651:J5654 J5658:J5661 J5665:J5668 J5672:J5675 J5679:J5682 J5686:J5689 J5693:J5696 J5700:J5703 J5707:J5710 J5714:J5717 J5721:J5724">
    <cfRule type="cellIs" dxfId="0" priority="1" operator="greaterThan">
      <formula>-100</formula>
    </cfRule>
  </conditionalFormatting>
  <pageMargins left="0" right="0" top="0" bottom="0" header="0.17" footer="0.5"/>
  <pageSetup scale="80" orientation="portrait" r:id="rId1"/>
  <headerFooter alignWithMargins="0">
    <oddHeader>&amp;RPrint Date:&amp;D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ED988-8470-4A44-9FD5-EAFDA18FEECC}">
  <dimension ref="A1"/>
  <sheetViews>
    <sheetView topLeftCell="B2" workbookViewId="0"/>
  </sheetViews>
  <sheetFormatPr defaultRowHeight="13.2" x14ac:dyDescent="0.25"/>
  <cols>
    <col min="1" max="1" width="9.109375" hidden="1" customWidth="1"/>
  </cols>
  <sheetData>
    <row r="1" spans="1:1" hidden="1" x14ac:dyDescent="0.25">
      <c r="A1" t="s">
        <v>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S194"/>
  <sheetViews>
    <sheetView tabSelected="1" topLeftCell="D2" zoomScaleNormal="100" workbookViewId="0">
      <selection activeCell="M5" sqref="M5"/>
    </sheetView>
  </sheetViews>
  <sheetFormatPr defaultRowHeight="13.2" x14ac:dyDescent="0.25"/>
  <cols>
    <col min="1" max="1" width="12.44140625" hidden="1" customWidth="1"/>
    <col min="2" max="2" width="13" hidden="1" customWidth="1"/>
    <col min="3" max="3" width="5.44140625" hidden="1" customWidth="1"/>
    <col min="4" max="4" width="13.5546875" customWidth="1"/>
    <col min="5" max="5" width="5.5546875" hidden="1" customWidth="1"/>
    <col min="6" max="6" width="9.33203125" hidden="1" customWidth="1"/>
    <col min="7" max="7" width="25" customWidth="1"/>
    <col min="8" max="8" width="14.88671875" customWidth="1"/>
    <col min="9" max="9" width="6.6640625" style="8" customWidth="1"/>
    <col min="10" max="10" width="9.109375" hidden="1" customWidth="1"/>
    <col min="11" max="11" width="10" hidden="1" customWidth="1"/>
    <col min="12" max="12" width="9.5546875" hidden="1" customWidth="1"/>
    <col min="13" max="13" width="12.109375" customWidth="1"/>
    <col min="14" max="14" width="10.109375" customWidth="1"/>
    <col min="18" max="18" width="17" bestFit="1" customWidth="1"/>
    <col min="19" max="19" width="14" bestFit="1" customWidth="1"/>
  </cols>
  <sheetData>
    <row r="1" spans="1:19" ht="39" hidden="1" customHeight="1" x14ac:dyDescent="0.4">
      <c r="A1" t="s">
        <v>48027</v>
      </c>
      <c r="B1" t="s">
        <v>9</v>
      </c>
      <c r="C1" s="16" t="s">
        <v>5</v>
      </c>
      <c r="D1" s="1"/>
      <c r="E1" s="16" t="s">
        <v>5</v>
      </c>
      <c r="F1" s="16" t="s">
        <v>5</v>
      </c>
      <c r="I1" s="16"/>
      <c r="J1" s="16" t="s">
        <v>5</v>
      </c>
      <c r="K1" s="16" t="s">
        <v>5</v>
      </c>
      <c r="L1" s="16" t="s">
        <v>5</v>
      </c>
      <c r="N1" s="16"/>
      <c r="R1" s="35" t="s">
        <v>46381</v>
      </c>
      <c r="S1" s="35" t="s">
        <v>46381</v>
      </c>
    </row>
    <row r="2" spans="1:19" ht="24.6" x14ac:dyDescent="0.4">
      <c r="D2" s="83" t="s">
        <v>48022</v>
      </c>
      <c r="E2" s="9"/>
      <c r="F2" s="9"/>
      <c r="J2" s="8"/>
      <c r="K2" s="8"/>
      <c r="L2" s="8"/>
    </row>
    <row r="3" spans="1:19" ht="8.4" customHeight="1" thickBot="1" x14ac:dyDescent="0.45">
      <c r="D3" s="1"/>
      <c r="E3" s="1"/>
      <c r="F3" s="1"/>
      <c r="J3" s="8"/>
      <c r="K3" s="8"/>
      <c r="L3" s="8"/>
    </row>
    <row r="4" spans="1:19" ht="28.8" thickBot="1" x14ac:dyDescent="0.55000000000000004">
      <c r="B4" s="42">
        <f ca="1">TODAY()</f>
        <v>45355</v>
      </c>
      <c r="D4" s="6"/>
      <c r="E4" s="6"/>
      <c r="F4" s="6"/>
      <c r="G4" s="29" t="str">
        <f>"EQP-LAWPACK1"</f>
        <v>EQP-LAWPACK1</v>
      </c>
      <c r="H4" s="81" t="s">
        <v>48021</v>
      </c>
      <c r="J4" s="8"/>
      <c r="K4" s="8"/>
      <c r="L4" s="8"/>
    </row>
    <row r="5" spans="1:19" ht="16.5" customHeight="1" thickBot="1" x14ac:dyDescent="0.55000000000000004">
      <c r="B5" s="42"/>
      <c r="D5" s="6"/>
      <c r="E5" s="6"/>
      <c r="F5" s="6"/>
      <c r="G5" s="77" t="str">
        <f>"AUTOBAKE-P"</f>
        <v>AUTOBAKE-P</v>
      </c>
      <c r="H5" s="78" t="s">
        <v>46382</v>
      </c>
      <c r="J5" s="8"/>
      <c r="K5" s="8"/>
      <c r="L5" s="8"/>
    </row>
    <row r="6" spans="1:19" ht="16.5" customHeight="1" thickBot="1" x14ac:dyDescent="0.55000000000000004">
      <c r="B6" s="43">
        <v>44927</v>
      </c>
      <c r="D6" s="6"/>
      <c r="E6" s="6"/>
      <c r="F6" s="6"/>
      <c r="G6" s="29" t="str">
        <f>"LAWRENCE"</f>
        <v>LAWRENCE</v>
      </c>
      <c r="H6" s="30" t="s">
        <v>46383</v>
      </c>
      <c r="J6" s="8"/>
      <c r="K6" s="8"/>
      <c r="L6" s="8"/>
    </row>
    <row r="7" spans="1:19" ht="16.5" hidden="1" customHeight="1" thickBot="1" x14ac:dyDescent="0.55000000000000004">
      <c r="A7" t="s">
        <v>5</v>
      </c>
      <c r="B7">
        <f ca="1">B6-B4</f>
        <v>-428</v>
      </c>
      <c r="D7" s="6"/>
      <c r="E7" s="6"/>
      <c r="F7" s="29"/>
      <c r="G7" s="36">
        <v>50000.000000000007</v>
      </c>
      <c r="H7" s="30" t="s">
        <v>16</v>
      </c>
      <c r="J7" s="8"/>
      <c r="K7" s="8"/>
      <c r="L7" s="8"/>
    </row>
    <row r="8" spans="1:19" ht="24.6" customHeight="1" thickBot="1" x14ac:dyDescent="0.55000000000000004">
      <c r="B8">
        <f ca="1">B7/28.3</f>
        <v>-15.123674911660776</v>
      </c>
      <c r="D8" s="6"/>
      <c r="E8" s="6"/>
      <c r="F8" s="44">
        <f ca="1">B8</f>
        <v>-15.123674911660776</v>
      </c>
      <c r="J8" s="8"/>
      <c r="K8" s="8"/>
      <c r="L8" s="8"/>
    </row>
    <row r="9" spans="1:19" ht="31.2" hidden="1" customHeight="1" thickBot="1" x14ac:dyDescent="0.45">
      <c r="A9" t="s">
        <v>5</v>
      </c>
      <c r="D9" s="1"/>
      <c r="J9" s="24" t="s">
        <v>10</v>
      </c>
      <c r="K9" s="24" t="s">
        <v>10</v>
      </c>
      <c r="L9" s="31" t="s">
        <v>12</v>
      </c>
      <c r="M9" s="25" t="s">
        <v>12</v>
      </c>
      <c r="N9" s="39"/>
    </row>
    <row r="10" spans="1:19" ht="45" customHeight="1" thickBot="1" x14ac:dyDescent="0.3">
      <c r="B10" s="3" t="s">
        <v>3</v>
      </c>
      <c r="C10" s="4"/>
      <c r="D10" s="17" t="s">
        <v>0</v>
      </c>
      <c r="E10" s="18" t="s">
        <v>8</v>
      </c>
      <c r="F10" s="26" t="s">
        <v>564</v>
      </c>
      <c r="G10" s="19" t="s">
        <v>1</v>
      </c>
      <c r="H10" s="17" t="s">
        <v>2</v>
      </c>
      <c r="I10" s="40" t="s">
        <v>19</v>
      </c>
      <c r="J10" s="23" t="str">
        <f>$G$4</f>
        <v>EQP-LAWPACK1</v>
      </c>
      <c r="K10" s="23" t="s">
        <v>13</v>
      </c>
      <c r="L10" s="32" t="str">
        <f>$G$4</f>
        <v>EQP-LAWPACK1</v>
      </c>
      <c r="M10" s="23" t="s">
        <v>13</v>
      </c>
      <c r="N10" s="38" t="s">
        <v>18</v>
      </c>
      <c r="O10" s="45" t="s">
        <v>46378</v>
      </c>
      <c r="P10" s="45" t="s">
        <v>46379</v>
      </c>
      <c r="Q10" s="45" t="s">
        <v>46380</v>
      </c>
      <c r="R10" s="45" t="s">
        <v>48020</v>
      </c>
      <c r="S10" s="82" t="s">
        <v>46382</v>
      </c>
    </row>
    <row r="11" spans="1:19" ht="15.6" hidden="1" customHeight="1" thickBot="1" x14ac:dyDescent="0.3">
      <c r="B11" s="11" t="str">
        <f>IF(F11=0,"hide","")</f>
        <v>hide</v>
      </c>
      <c r="D11" s="13" t="str">
        <f>"01054"</f>
        <v>01054</v>
      </c>
      <c r="E11" s="7" t="str">
        <f>"9"</f>
        <v>9</v>
      </c>
      <c r="F11" s="27">
        <v>0</v>
      </c>
      <c r="G11" s="5" t="str">
        <f>"800491 Blueberry Muffins"</f>
        <v>800491 Blueberry Muffins</v>
      </c>
      <c r="H11" s="14" t="str">
        <f>"36-5.5 oz. IW 12-3pks"</f>
        <v>36-5.5 oz. IW 12-3pks</v>
      </c>
      <c r="I11" s="15">
        <v>36</v>
      </c>
      <c r="J11" s="12">
        <v>2.97E-3</v>
      </c>
      <c r="K11" s="34">
        <f t="shared" ref="K11:K42" si="0">1/J11</f>
        <v>336.70033670033672</v>
      </c>
      <c r="L11" s="37">
        <v>2.97E-3</v>
      </c>
      <c r="M11" s="47">
        <f>1/L11</f>
        <v>336.70033670033672</v>
      </c>
      <c r="N11" s="46">
        <f>M11*I11</f>
        <v>12121.212121212122</v>
      </c>
      <c r="Q11" s="80">
        <f>M11/60</f>
        <v>5.6116722783389452</v>
      </c>
      <c r="R11" s="79" t="str">
        <f>$G$4</f>
        <v>EQP-LAWPACK1</v>
      </c>
      <c r="S11" s="79" t="str">
        <f>$G$5</f>
        <v>AUTOBAKE-P</v>
      </c>
    </row>
    <row r="12" spans="1:19" ht="15.6" hidden="1" customHeight="1" thickBot="1" x14ac:dyDescent="0.3">
      <c r="A12" t="s">
        <v>23</v>
      </c>
      <c r="B12" s="11" t="str">
        <f t="shared" ref="B12:B77" si="1">IF(F12=0,"hide","")</f>
        <v>hide</v>
      </c>
      <c r="D12" s="13" t="str">
        <f>"01055"</f>
        <v>01055</v>
      </c>
      <c r="E12" s="7" t="str">
        <f>"7"</f>
        <v>7</v>
      </c>
      <c r="F12" s="27">
        <v>0</v>
      </c>
      <c r="G12" s="5" t="str">
        <f>"800493 Banana Muffins"</f>
        <v>800493 Banana Muffins</v>
      </c>
      <c r="H12" s="14" t="str">
        <f>"36-5.5 oz. IW 12-3pks"</f>
        <v>36-5.5 oz. IW 12-3pks</v>
      </c>
      <c r="I12" s="15">
        <v>36</v>
      </c>
      <c r="J12" s="12">
        <v>3.7100000000000002E-3</v>
      </c>
      <c r="K12" s="34">
        <f t="shared" si="0"/>
        <v>269.54177897574124</v>
      </c>
      <c r="L12" s="37">
        <v>3.7100000000000002E-3</v>
      </c>
      <c r="M12" s="47">
        <f t="shared" ref="M12:M77" si="2">1/L12</f>
        <v>269.54177897574124</v>
      </c>
      <c r="N12" s="46">
        <f t="shared" ref="N12:N77" si="3">M12*I12</f>
        <v>9703.5040431266843</v>
      </c>
      <c r="Q12" s="80">
        <f t="shared" ref="Q12:Q77" si="4">M12/60</f>
        <v>4.4923629829290208</v>
      </c>
      <c r="R12" s="79" t="str">
        <f t="shared" ref="R12:R77" si="5">$G$4</f>
        <v>EQP-LAWPACK1</v>
      </c>
      <c r="S12" s="79" t="str">
        <f t="shared" ref="S12:S77" si="6">$G$5</f>
        <v>AUTOBAKE-P</v>
      </c>
    </row>
    <row r="13" spans="1:19" ht="15.6" hidden="1" customHeight="1" thickBot="1" x14ac:dyDescent="0.3">
      <c r="A13" t="s">
        <v>23</v>
      </c>
      <c r="B13" s="11" t="str">
        <f t="shared" si="1"/>
        <v>hide</v>
      </c>
      <c r="D13" s="13" t="str">
        <f>"01056"</f>
        <v>01056</v>
      </c>
      <c r="E13" s="7" t="str">
        <f>"6"</f>
        <v>6</v>
      </c>
      <c r="F13" s="27">
        <v>0</v>
      </c>
      <c r="G13" s="5" t="str">
        <f>"800083 Chcocolate Chip Muffins"</f>
        <v>800083 Chcocolate Chip Muffins</v>
      </c>
      <c r="H13" s="14" t="str">
        <f>"36-5.5oz. IW 12-3pks"</f>
        <v>36-5.5oz. IW 12-3pks</v>
      </c>
      <c r="I13" s="15">
        <v>36</v>
      </c>
      <c r="J13" s="12">
        <v>3.7100000000000002E-3</v>
      </c>
      <c r="K13" s="34">
        <f t="shared" si="0"/>
        <v>269.54177897574124</v>
      </c>
      <c r="L13" s="37">
        <v>3.7100000000000002E-3</v>
      </c>
      <c r="M13" s="47">
        <f t="shared" si="2"/>
        <v>269.54177897574124</v>
      </c>
      <c r="N13" s="46">
        <f t="shared" si="3"/>
        <v>9703.5040431266843</v>
      </c>
      <c r="Q13" s="80">
        <f t="shared" si="4"/>
        <v>4.4923629829290208</v>
      </c>
      <c r="R13" s="79" t="str">
        <f t="shared" si="5"/>
        <v>EQP-LAWPACK1</v>
      </c>
      <c r="S13" s="79" t="str">
        <f t="shared" si="6"/>
        <v>AUTOBAKE-P</v>
      </c>
    </row>
    <row r="14" spans="1:19" ht="15.6" hidden="1" customHeight="1" thickBot="1" x14ac:dyDescent="0.3">
      <c r="A14" t="s">
        <v>23</v>
      </c>
      <c r="B14" s="11" t="str">
        <f t="shared" si="1"/>
        <v>hide</v>
      </c>
      <c r="D14" s="13" t="str">
        <f>"01057"</f>
        <v>01057</v>
      </c>
      <c r="E14" s="7" t="str">
        <f>"8"</f>
        <v>8</v>
      </c>
      <c r="F14" s="27">
        <v>0</v>
      </c>
      <c r="G14" s="5" t="str">
        <f>"800480 Double Choc. Chip Muffins"</f>
        <v>800480 Double Choc. Chip Muffins</v>
      </c>
      <c r="H14" s="14" t="str">
        <f>"36-5.5 oz. IW 12-3pks"</f>
        <v>36-5.5 oz. IW 12-3pks</v>
      </c>
      <c r="I14" s="15">
        <v>36</v>
      </c>
      <c r="J14" s="12">
        <v>3.7100000000000002E-3</v>
      </c>
      <c r="K14" s="34">
        <f t="shared" si="0"/>
        <v>269.54177897574124</v>
      </c>
      <c r="L14" s="37">
        <v>3.7100000000000002E-3</v>
      </c>
      <c r="M14" s="47">
        <f t="shared" si="2"/>
        <v>269.54177897574124</v>
      </c>
      <c r="N14" s="46">
        <f t="shared" si="3"/>
        <v>9703.5040431266843</v>
      </c>
      <c r="Q14" s="80">
        <f t="shared" si="4"/>
        <v>4.4923629829290208</v>
      </c>
      <c r="R14" s="79" t="str">
        <f t="shared" si="5"/>
        <v>EQP-LAWPACK1</v>
      </c>
      <c r="S14" s="79" t="str">
        <f t="shared" si="6"/>
        <v>AUTOBAKE-P</v>
      </c>
    </row>
    <row r="15" spans="1:19" ht="15.6" customHeight="1" thickBot="1" x14ac:dyDescent="0.3">
      <c r="A15" t="s">
        <v>23</v>
      </c>
      <c r="B15" s="11" t="str">
        <f t="shared" si="1"/>
        <v/>
      </c>
      <c r="D15" s="13" t="str">
        <f>"01064"</f>
        <v>01064</v>
      </c>
      <c r="E15" s="7" t="str">
        <f>"10"</f>
        <v>10</v>
      </c>
      <c r="F15" s="27">
        <v>2948.0833333333335</v>
      </c>
      <c r="G15" s="5" t="str">
        <f>"800919 Blueberry Muffins"</f>
        <v>800919 Blueberry Muffins</v>
      </c>
      <c r="H15" s="14" t="str">
        <f>"36-5 oz. IW 12-3pks"</f>
        <v>36-5 oz. IW 12-3pks</v>
      </c>
      <c r="I15" s="15">
        <v>36</v>
      </c>
      <c r="J15" s="12">
        <v>3.7100000000000002E-3</v>
      </c>
      <c r="K15" s="34">
        <f t="shared" si="0"/>
        <v>269.54177897574124</v>
      </c>
      <c r="L15" s="37">
        <v>3.7100000000000002E-3</v>
      </c>
      <c r="M15" s="47">
        <f t="shared" si="2"/>
        <v>269.54177897574124</v>
      </c>
      <c r="N15" s="46">
        <f t="shared" si="3"/>
        <v>9703.5040431266843</v>
      </c>
      <c r="Q15" s="80">
        <f t="shared" si="4"/>
        <v>4.4923629829290208</v>
      </c>
      <c r="R15" s="79" t="str">
        <f t="shared" si="5"/>
        <v>EQP-LAWPACK1</v>
      </c>
      <c r="S15" s="79" t="str">
        <f t="shared" si="6"/>
        <v>AUTOBAKE-P</v>
      </c>
    </row>
    <row r="16" spans="1:19" ht="15.6" customHeight="1" thickBot="1" x14ac:dyDescent="0.3">
      <c r="A16" t="s">
        <v>23</v>
      </c>
      <c r="B16" s="11" t="str">
        <f t="shared" si="1"/>
        <v/>
      </c>
      <c r="D16" s="13" t="str">
        <f>"01065"</f>
        <v>01065</v>
      </c>
      <c r="E16" s="7" t="str">
        <f>"8"</f>
        <v>8</v>
      </c>
      <c r="F16" s="27">
        <v>3740.5</v>
      </c>
      <c r="G16" s="5" t="str">
        <f>"800921 Banana Muffins"</f>
        <v>800921 Banana Muffins</v>
      </c>
      <c r="H16" s="14" t="str">
        <f>"36-5 oz. IW 12-3pks"</f>
        <v>36-5 oz. IW 12-3pks</v>
      </c>
      <c r="I16" s="15">
        <v>36</v>
      </c>
      <c r="J16" s="12">
        <v>3.7100000000000002E-3</v>
      </c>
      <c r="K16" s="34">
        <f t="shared" si="0"/>
        <v>269.54177897574124</v>
      </c>
      <c r="L16" s="37">
        <v>3.7100000000000002E-3</v>
      </c>
      <c r="M16" s="47">
        <f t="shared" si="2"/>
        <v>269.54177897574124</v>
      </c>
      <c r="N16" s="46">
        <f t="shared" si="3"/>
        <v>9703.5040431266843</v>
      </c>
      <c r="Q16" s="80">
        <f t="shared" si="4"/>
        <v>4.4923629829290208</v>
      </c>
      <c r="R16" s="79" t="str">
        <f t="shared" si="5"/>
        <v>EQP-LAWPACK1</v>
      </c>
      <c r="S16" s="79" t="str">
        <f t="shared" si="6"/>
        <v>AUTOBAKE-P</v>
      </c>
    </row>
    <row r="17" spans="1:19" ht="15.6" customHeight="1" thickBot="1" x14ac:dyDescent="0.3">
      <c r="A17" t="s">
        <v>23</v>
      </c>
      <c r="B17" s="11" t="str">
        <f t="shared" si="1"/>
        <v/>
      </c>
      <c r="D17" s="13" t="str">
        <f>"01067"</f>
        <v>01067</v>
      </c>
      <c r="E17" s="7" t="str">
        <f>"8"</f>
        <v>8</v>
      </c>
      <c r="F17" s="27">
        <v>3142.4166666666665</v>
      </c>
      <c r="G17" s="5" t="str">
        <f>"800917 Double Choc. Chip Muffins"</f>
        <v>800917 Double Choc. Chip Muffins</v>
      </c>
      <c r="H17" s="14" t="str">
        <f>"36-5 oz. IW 12-3pks"</f>
        <v>36-5 oz. IW 12-3pks</v>
      </c>
      <c r="I17" s="15">
        <v>36</v>
      </c>
      <c r="J17" s="12">
        <v>3.7100000000000002E-3</v>
      </c>
      <c r="K17" s="34">
        <f t="shared" si="0"/>
        <v>269.54177897574124</v>
      </c>
      <c r="L17" s="37">
        <v>3.7100000000000002E-3</v>
      </c>
      <c r="M17" s="47">
        <f t="shared" si="2"/>
        <v>269.54177897574124</v>
      </c>
      <c r="N17" s="46">
        <f t="shared" si="3"/>
        <v>9703.5040431266843</v>
      </c>
      <c r="Q17" s="80">
        <f t="shared" si="4"/>
        <v>4.4923629829290208</v>
      </c>
      <c r="R17" s="79" t="str">
        <f t="shared" si="5"/>
        <v>EQP-LAWPACK1</v>
      </c>
      <c r="S17" s="79" t="str">
        <f t="shared" si="6"/>
        <v>AUTOBAKE-P</v>
      </c>
    </row>
    <row r="18" spans="1:19" ht="15.6" hidden="1" customHeight="1" thickBot="1" x14ac:dyDescent="0.3">
      <c r="A18" t="s">
        <v>23</v>
      </c>
      <c r="B18" s="11" t="str">
        <f t="shared" si="1"/>
        <v>hide</v>
      </c>
      <c r="D18" s="13" t="str">
        <f>"01154"</f>
        <v>01154</v>
      </c>
      <c r="E18" s="7" t="str">
        <f>"2"</f>
        <v>2</v>
      </c>
      <c r="F18" s="27">
        <v>0</v>
      </c>
      <c r="G18" s="5" t="str">
        <f>"800492 Blueberry Muffins FZN"</f>
        <v>800492 Blueberry Muffins FZN</v>
      </c>
      <c r="H18" s="14" t="str">
        <f>"36-5.5oz. IW 12-3pks"</f>
        <v>36-5.5oz. IW 12-3pks</v>
      </c>
      <c r="I18" s="15">
        <v>36</v>
      </c>
      <c r="J18" s="12">
        <v>3.7100000000000002E-3</v>
      </c>
      <c r="K18" s="34">
        <f t="shared" si="0"/>
        <v>269.54177897574124</v>
      </c>
      <c r="L18" s="37">
        <v>3.7100000000000002E-3</v>
      </c>
      <c r="M18" s="47">
        <f t="shared" si="2"/>
        <v>269.54177897574124</v>
      </c>
      <c r="N18" s="46">
        <f t="shared" si="3"/>
        <v>9703.5040431266843</v>
      </c>
      <c r="Q18" s="80">
        <f t="shared" si="4"/>
        <v>4.4923629829290208</v>
      </c>
      <c r="R18" s="79" t="str">
        <f t="shared" si="5"/>
        <v>EQP-LAWPACK1</v>
      </c>
      <c r="S18" s="79" t="str">
        <f t="shared" si="6"/>
        <v>AUTOBAKE-P</v>
      </c>
    </row>
    <row r="19" spans="1:19" ht="15.6" hidden="1" customHeight="1" thickBot="1" x14ac:dyDescent="0.3">
      <c r="A19" t="s">
        <v>23</v>
      </c>
      <c r="B19" s="11" t="str">
        <f t="shared" si="1"/>
        <v>hide</v>
      </c>
      <c r="D19" s="13" t="str">
        <f>"01155"</f>
        <v>01155</v>
      </c>
      <c r="E19" s="7" t="str">
        <f>"3"</f>
        <v>3</v>
      </c>
      <c r="F19" s="27">
        <v>0</v>
      </c>
      <c r="G19" s="5" t="str">
        <f>"800494 Banana Muffins FZN"</f>
        <v>800494 Banana Muffins FZN</v>
      </c>
      <c r="H19" s="14" t="str">
        <f>"36-5.5oz. IW 12-3pks"</f>
        <v>36-5.5oz. IW 12-3pks</v>
      </c>
      <c r="I19" s="15">
        <v>36</v>
      </c>
      <c r="J19" s="12">
        <v>3.7100000000000002E-3</v>
      </c>
      <c r="K19" s="34">
        <f t="shared" si="0"/>
        <v>269.54177897574124</v>
      </c>
      <c r="L19" s="37">
        <v>3.7100000000000002E-3</v>
      </c>
      <c r="M19" s="47">
        <f t="shared" si="2"/>
        <v>269.54177897574124</v>
      </c>
      <c r="N19" s="46">
        <f t="shared" si="3"/>
        <v>9703.5040431266843</v>
      </c>
      <c r="Q19" s="80">
        <f t="shared" si="4"/>
        <v>4.4923629829290208</v>
      </c>
      <c r="R19" s="79" t="str">
        <f t="shared" si="5"/>
        <v>EQP-LAWPACK1</v>
      </c>
      <c r="S19" s="79" t="str">
        <f t="shared" si="6"/>
        <v>AUTOBAKE-P</v>
      </c>
    </row>
    <row r="20" spans="1:19" ht="15.6" hidden="1" customHeight="1" thickBot="1" x14ac:dyDescent="0.3">
      <c r="A20" t="s">
        <v>23</v>
      </c>
      <c r="B20" s="11" t="str">
        <f t="shared" si="1"/>
        <v>hide</v>
      </c>
      <c r="D20" s="13" t="str">
        <f>"01157"</f>
        <v>01157</v>
      </c>
      <c r="E20" s="7" t="str">
        <f>"3"</f>
        <v>3</v>
      </c>
      <c r="F20" s="27">
        <v>0</v>
      </c>
      <c r="G20" s="5" t="str">
        <f>"800481 Double Choc. Chip Muffin FZN"</f>
        <v>800481 Double Choc. Chip Muffin FZN</v>
      </c>
      <c r="H20" s="14" t="str">
        <f>"36-5.5oz. IW 12-3pks"</f>
        <v>36-5.5oz. IW 12-3pks</v>
      </c>
      <c r="I20" s="15">
        <v>36</v>
      </c>
      <c r="J20" s="12">
        <v>3.7100000000000002E-3</v>
      </c>
      <c r="K20" s="34">
        <f t="shared" si="0"/>
        <v>269.54177897574124</v>
      </c>
      <c r="L20" s="37">
        <v>3.7100000000000002E-3</v>
      </c>
      <c r="M20" s="47">
        <f t="shared" si="2"/>
        <v>269.54177897574124</v>
      </c>
      <c r="N20" s="46">
        <f t="shared" si="3"/>
        <v>9703.5040431266843</v>
      </c>
      <c r="Q20" s="80">
        <f t="shared" si="4"/>
        <v>4.4923629829290208</v>
      </c>
      <c r="R20" s="79" t="str">
        <f t="shared" si="5"/>
        <v>EQP-LAWPACK1</v>
      </c>
      <c r="S20" s="79" t="str">
        <f t="shared" si="6"/>
        <v>AUTOBAKE-P</v>
      </c>
    </row>
    <row r="21" spans="1:19" ht="15.6" customHeight="1" thickBot="1" x14ac:dyDescent="0.3">
      <c r="A21" t="s">
        <v>23</v>
      </c>
      <c r="B21" s="11" t="str">
        <f t="shared" si="1"/>
        <v/>
      </c>
      <c r="D21" s="13" t="str">
        <f>"01164"</f>
        <v>01164</v>
      </c>
      <c r="E21" s="7" t="str">
        <f>"3"</f>
        <v>3</v>
      </c>
      <c r="F21" s="27">
        <v>4129.75</v>
      </c>
      <c r="G21" s="5" t="str">
        <f>"800920 Blueberry Muffins FZN"</f>
        <v>800920 Blueberry Muffins FZN</v>
      </c>
      <c r="H21" s="14" t="str">
        <f>"36-5 oz. IW 12-3pks"</f>
        <v>36-5 oz. IW 12-3pks</v>
      </c>
      <c r="I21" s="15">
        <v>36</v>
      </c>
      <c r="J21" s="12">
        <v>3.7100000000000002E-3</v>
      </c>
      <c r="K21" s="34">
        <f t="shared" si="0"/>
        <v>269.54177897574124</v>
      </c>
      <c r="L21" s="37">
        <v>3.7100000000000002E-3</v>
      </c>
      <c r="M21" s="47">
        <f t="shared" si="2"/>
        <v>269.54177897574124</v>
      </c>
      <c r="N21" s="46">
        <f t="shared" si="3"/>
        <v>9703.5040431266843</v>
      </c>
      <c r="Q21" s="80">
        <f t="shared" si="4"/>
        <v>4.4923629829290208</v>
      </c>
      <c r="R21" s="79" t="str">
        <f t="shared" si="5"/>
        <v>EQP-LAWPACK1</v>
      </c>
      <c r="S21" s="79" t="str">
        <f t="shared" si="6"/>
        <v>AUTOBAKE-P</v>
      </c>
    </row>
    <row r="22" spans="1:19" ht="15.6" customHeight="1" thickBot="1" x14ac:dyDescent="0.3">
      <c r="A22" t="s">
        <v>23</v>
      </c>
      <c r="B22" s="11" t="str">
        <f t="shared" si="1"/>
        <v/>
      </c>
      <c r="D22" s="13" t="str">
        <f>"01165"</f>
        <v>01165</v>
      </c>
      <c r="E22" s="7" t="str">
        <f>"3"</f>
        <v>3</v>
      </c>
      <c r="F22" s="27">
        <v>4807.666666666667</v>
      </c>
      <c r="G22" s="5" t="str">
        <f>"800922 Banana Muffins FZN"</f>
        <v>800922 Banana Muffins FZN</v>
      </c>
      <c r="H22" s="14" t="str">
        <f>"36-5 oz. IW 12-3pks"</f>
        <v>36-5 oz. IW 12-3pks</v>
      </c>
      <c r="I22" s="15">
        <v>36</v>
      </c>
      <c r="J22" s="12">
        <v>3.7100000000000002E-3</v>
      </c>
      <c r="K22" s="34">
        <f t="shared" si="0"/>
        <v>269.54177897574124</v>
      </c>
      <c r="L22" s="37">
        <v>3.7100000000000002E-3</v>
      </c>
      <c r="M22" s="47">
        <f t="shared" si="2"/>
        <v>269.54177897574124</v>
      </c>
      <c r="N22" s="46">
        <f t="shared" si="3"/>
        <v>9703.5040431266843</v>
      </c>
      <c r="Q22" s="80">
        <f t="shared" si="4"/>
        <v>4.4923629829290208</v>
      </c>
      <c r="R22" s="79" t="str">
        <f t="shared" si="5"/>
        <v>EQP-LAWPACK1</v>
      </c>
      <c r="S22" s="79" t="str">
        <f t="shared" si="6"/>
        <v>AUTOBAKE-P</v>
      </c>
    </row>
    <row r="23" spans="1:19" ht="15.6" customHeight="1" thickBot="1" x14ac:dyDescent="0.3">
      <c r="A23" t="s">
        <v>23</v>
      </c>
      <c r="B23" s="11" t="str">
        <f t="shared" si="1"/>
        <v/>
      </c>
      <c r="D23" s="13" t="str">
        <f>"01167"</f>
        <v>01167</v>
      </c>
      <c r="E23" s="7" t="str">
        <f>"3"</f>
        <v>3</v>
      </c>
      <c r="F23" s="27">
        <v>4015.25</v>
      </c>
      <c r="G23" s="5" t="str">
        <f>"800918 Choc. Chip Muffin FZN"</f>
        <v>800918 Choc. Chip Muffin FZN</v>
      </c>
      <c r="H23" s="14" t="str">
        <f>"36-5 oz. IW 12-3pks"</f>
        <v>36-5 oz. IW 12-3pks</v>
      </c>
      <c r="I23" s="15">
        <v>36</v>
      </c>
      <c r="J23" s="12">
        <v>3.7100000000000002E-3</v>
      </c>
      <c r="K23" s="34">
        <f t="shared" si="0"/>
        <v>269.54177897574124</v>
      </c>
      <c r="L23" s="37">
        <v>3.7100000000000002E-3</v>
      </c>
      <c r="M23" s="47">
        <f t="shared" si="2"/>
        <v>269.54177897574124</v>
      </c>
      <c r="N23" s="46">
        <f t="shared" si="3"/>
        <v>9703.5040431266843</v>
      </c>
      <c r="Q23" s="80">
        <f t="shared" si="4"/>
        <v>4.4923629829290208</v>
      </c>
      <c r="R23" s="79" t="str">
        <f t="shared" si="5"/>
        <v>EQP-LAWPACK1</v>
      </c>
      <c r="S23" s="79" t="str">
        <f t="shared" si="6"/>
        <v>AUTOBAKE-P</v>
      </c>
    </row>
    <row r="24" spans="1:19" ht="15.6" customHeight="1" thickBot="1" x14ac:dyDescent="0.3">
      <c r="A24" t="s">
        <v>23</v>
      </c>
      <c r="B24" s="11" t="str">
        <f t="shared" ref="B24" si="7">IF(F24=0,"hide","")</f>
        <v/>
      </c>
      <c r="D24" s="13" t="str">
        <f>"01167"</f>
        <v>01167</v>
      </c>
      <c r="E24" s="7" t="str">
        <f>"4"</f>
        <v>4</v>
      </c>
      <c r="F24" s="27">
        <v>4015.25</v>
      </c>
      <c r="G24" s="5" t="str">
        <f>"800918 Choc. Chip Muffin FZN"</f>
        <v>800918 Choc. Chip Muffin FZN</v>
      </c>
      <c r="H24" s="14" t="str">
        <f>"36-5 oz. IW 12-3pks"</f>
        <v>36-5 oz. IW 12-3pks</v>
      </c>
      <c r="I24" s="15">
        <v>36</v>
      </c>
      <c r="J24" s="12">
        <v>3.7100000000000002E-3</v>
      </c>
      <c r="K24" s="34">
        <f t="shared" si="0"/>
        <v>269.54177897574124</v>
      </c>
      <c r="L24" s="37">
        <v>3.7100000000000002E-3</v>
      </c>
      <c r="M24" s="47">
        <f t="shared" si="2"/>
        <v>269.54177897574124</v>
      </c>
      <c r="N24" s="46">
        <f t="shared" ref="N24" si="8">M24*I24</f>
        <v>9703.5040431266843</v>
      </c>
      <c r="Q24" s="80">
        <f t="shared" ref="Q24" si="9">M24/60</f>
        <v>4.4923629829290208</v>
      </c>
      <c r="R24" s="79" t="str">
        <f t="shared" si="5"/>
        <v>EQP-LAWPACK1</v>
      </c>
      <c r="S24" s="79" t="str">
        <f t="shared" si="6"/>
        <v>AUTOBAKE-P</v>
      </c>
    </row>
    <row r="25" spans="1:19" ht="15.6" hidden="1" customHeight="1" thickBot="1" x14ac:dyDescent="0.3">
      <c r="A25" t="s">
        <v>23</v>
      </c>
      <c r="B25" s="11" t="str">
        <f t="shared" si="1"/>
        <v>hide</v>
      </c>
      <c r="D25" s="13" t="str">
        <f>"02075"</f>
        <v>02075</v>
      </c>
      <c r="E25" s="7" t="str">
        <f>"4"</f>
        <v>4</v>
      </c>
      <c r="F25" s="27">
        <v>0</v>
      </c>
      <c r="G25" s="5" t="str">
        <f>"SMART CHOICE BANANA MUFFINS"</f>
        <v>SMART CHOICE BANANA MUFFINS</v>
      </c>
      <c r="H25" s="14" t="str">
        <f t="shared" ref="H25:H37" si="10">"96-2 oz. I.W."</f>
        <v>96-2 oz. I.W.</v>
      </c>
      <c r="I25" s="15">
        <v>0</v>
      </c>
      <c r="J25" s="12">
        <v>4.5999999999999999E-3</v>
      </c>
      <c r="K25" s="34">
        <f t="shared" si="0"/>
        <v>217.39130434782609</v>
      </c>
      <c r="L25" s="37">
        <v>4.5999999999999999E-3</v>
      </c>
      <c r="M25" s="47">
        <f t="shared" si="2"/>
        <v>217.39130434782609</v>
      </c>
      <c r="N25" s="46">
        <f t="shared" si="3"/>
        <v>0</v>
      </c>
      <c r="Q25" s="80">
        <f t="shared" si="4"/>
        <v>3.6231884057971016</v>
      </c>
      <c r="R25" s="79" t="str">
        <f t="shared" si="5"/>
        <v>EQP-LAWPACK1</v>
      </c>
      <c r="S25" s="79" t="str">
        <f t="shared" si="6"/>
        <v>AUTOBAKE-P</v>
      </c>
    </row>
    <row r="26" spans="1:19" ht="15.6" hidden="1" customHeight="1" thickBot="1" x14ac:dyDescent="0.3">
      <c r="A26" t="s">
        <v>23</v>
      </c>
      <c r="B26" s="11" t="str">
        <f t="shared" si="1"/>
        <v>hide</v>
      </c>
      <c r="D26" s="13" t="str">
        <f>"02101"</f>
        <v>02101</v>
      </c>
      <c r="E26" s="7" t="str">
        <f>"7"</f>
        <v>7</v>
      </c>
      <c r="F26" s="27">
        <v>0</v>
      </c>
      <c r="G26" s="5" t="str">
        <f>"BLUEBERRY MUFFINS"</f>
        <v>BLUEBERRY MUFFINS</v>
      </c>
      <c r="H26" s="14" t="str">
        <f t="shared" si="10"/>
        <v>96-2 oz. I.W.</v>
      </c>
      <c r="I26" s="15">
        <v>96</v>
      </c>
      <c r="J26" s="12">
        <v>4.5999999999999999E-3</v>
      </c>
      <c r="K26" s="34">
        <f t="shared" si="0"/>
        <v>217.39130434782609</v>
      </c>
      <c r="L26" s="37">
        <v>4.5999999999999999E-3</v>
      </c>
      <c r="M26" s="47">
        <f t="shared" si="2"/>
        <v>217.39130434782609</v>
      </c>
      <c r="N26" s="46">
        <f t="shared" si="3"/>
        <v>20869.565217391304</v>
      </c>
      <c r="Q26" s="80">
        <f t="shared" si="4"/>
        <v>3.6231884057971016</v>
      </c>
      <c r="R26" s="79" t="str">
        <f t="shared" si="5"/>
        <v>EQP-LAWPACK1</v>
      </c>
      <c r="S26" s="79" t="str">
        <f t="shared" si="6"/>
        <v>AUTOBAKE-P</v>
      </c>
    </row>
    <row r="27" spans="1:19" ht="15.6" customHeight="1" thickBot="1" x14ac:dyDescent="0.3">
      <c r="A27" t="s">
        <v>23</v>
      </c>
      <c r="B27" s="11" t="str">
        <f t="shared" si="1"/>
        <v/>
      </c>
      <c r="D27" s="13" t="str">
        <f>"02103"</f>
        <v>02103</v>
      </c>
      <c r="E27" s="7" t="str">
        <f>"6"</f>
        <v>6</v>
      </c>
      <c r="F27" s="27">
        <v>157.5</v>
      </c>
      <c r="G27" s="5" t="str">
        <f>"ORANGE CRANBERRY MUFFINS"</f>
        <v>ORANGE CRANBERRY MUFFINS</v>
      </c>
      <c r="H27" s="14" t="str">
        <f t="shared" si="10"/>
        <v>96-2 oz. I.W.</v>
      </c>
      <c r="I27" s="15">
        <v>96</v>
      </c>
      <c r="J27" s="12">
        <v>0</v>
      </c>
      <c r="K27" s="34" t="e">
        <f t="shared" si="0"/>
        <v>#DIV/0!</v>
      </c>
      <c r="L27" s="37">
        <v>3.5000000000000003E-2</v>
      </c>
      <c r="M27" s="47">
        <f t="shared" si="2"/>
        <v>28.571428571428569</v>
      </c>
      <c r="N27" s="46">
        <f t="shared" si="3"/>
        <v>2742.8571428571427</v>
      </c>
      <c r="Q27" s="80">
        <f t="shared" si="4"/>
        <v>0.47619047619047616</v>
      </c>
      <c r="R27" s="79" t="str">
        <f t="shared" si="5"/>
        <v>EQP-LAWPACK1</v>
      </c>
      <c r="S27" s="79" t="str">
        <f t="shared" si="6"/>
        <v>AUTOBAKE-P</v>
      </c>
    </row>
    <row r="28" spans="1:19" ht="15.6" customHeight="1" thickBot="1" x14ac:dyDescent="0.3">
      <c r="A28" t="s">
        <v>23</v>
      </c>
      <c r="B28" s="11" t="str">
        <f t="shared" si="1"/>
        <v/>
      </c>
      <c r="D28" s="13" t="str">
        <f>"02105"</f>
        <v>02105</v>
      </c>
      <c r="E28" s="7" t="str">
        <f>"4"</f>
        <v>4</v>
      </c>
      <c r="F28" s="27">
        <v>5.666666666666667</v>
      </c>
      <c r="G28" s="5" t="str">
        <f>"CORN MUFFINS"</f>
        <v>CORN MUFFINS</v>
      </c>
      <c r="H28" s="14" t="str">
        <f t="shared" si="10"/>
        <v>96-2 oz. I.W.</v>
      </c>
      <c r="I28" s="15">
        <v>96</v>
      </c>
      <c r="J28" s="12">
        <v>4.5999999999999999E-3</v>
      </c>
      <c r="K28" s="34">
        <f t="shared" si="0"/>
        <v>217.39130434782609</v>
      </c>
      <c r="L28" s="37">
        <v>4.5999999999999999E-3</v>
      </c>
      <c r="M28" s="47">
        <f t="shared" si="2"/>
        <v>217.39130434782609</v>
      </c>
      <c r="N28" s="46">
        <f t="shared" si="3"/>
        <v>20869.565217391304</v>
      </c>
      <c r="Q28" s="80">
        <f t="shared" si="4"/>
        <v>3.6231884057971016</v>
      </c>
      <c r="R28" s="79" t="str">
        <f t="shared" si="5"/>
        <v>EQP-LAWPACK1</v>
      </c>
      <c r="S28" s="79" t="str">
        <f t="shared" si="6"/>
        <v>AUTOBAKE-P</v>
      </c>
    </row>
    <row r="29" spans="1:19" ht="15.6" hidden="1" customHeight="1" thickBot="1" x14ac:dyDescent="0.3">
      <c r="A29" t="s">
        <v>23</v>
      </c>
      <c r="B29" s="11" t="str">
        <f t="shared" si="1"/>
        <v>hide</v>
      </c>
      <c r="D29" s="13" t="str">
        <f>"02151"</f>
        <v>02151</v>
      </c>
      <c r="E29" s="7" t="str">
        <f>"1"</f>
        <v>1</v>
      </c>
      <c r="F29" s="27">
        <v>0</v>
      </c>
      <c r="G29" s="5" t="str">
        <f>"Banana Muffin"</f>
        <v>Banana Muffin</v>
      </c>
      <c r="H29" s="14" t="str">
        <f t="shared" si="10"/>
        <v>96-2 oz. I.W.</v>
      </c>
      <c r="I29" s="15">
        <v>96</v>
      </c>
      <c r="J29" s="12">
        <v>0</v>
      </c>
      <c r="K29" s="34" t="e">
        <f t="shared" si="0"/>
        <v>#DIV/0!</v>
      </c>
      <c r="L29" s="37">
        <v>7.6299999999999996E-3</v>
      </c>
      <c r="M29" s="47">
        <f t="shared" si="2"/>
        <v>131.06159895150722</v>
      </c>
      <c r="N29" s="46">
        <f t="shared" si="3"/>
        <v>12581.913499344693</v>
      </c>
      <c r="Q29" s="80">
        <f t="shared" si="4"/>
        <v>2.1843599825251205</v>
      </c>
      <c r="R29" s="79" t="str">
        <f t="shared" si="5"/>
        <v>EQP-LAWPACK1</v>
      </c>
      <c r="S29" s="79" t="str">
        <f t="shared" si="6"/>
        <v>AUTOBAKE-P</v>
      </c>
    </row>
    <row r="30" spans="1:19" ht="15.6" customHeight="1" thickBot="1" x14ac:dyDescent="0.3">
      <c r="A30" t="s">
        <v>23</v>
      </c>
      <c r="B30" s="11" t="str">
        <f t="shared" si="1"/>
        <v/>
      </c>
      <c r="D30" s="13" t="str">
        <f>"02612"</f>
        <v>02612</v>
      </c>
      <c r="E30" s="7" t="str">
        <f>"6"</f>
        <v>6</v>
      </c>
      <c r="F30" s="27">
        <v>214.08333333333334</v>
      </c>
      <c r="G30" s="5" t="str">
        <f>"Smart Choice Bran Muffin"</f>
        <v>Smart Choice Bran Muffin</v>
      </c>
      <c r="H30" s="14" t="str">
        <f t="shared" si="10"/>
        <v>96-2 oz. I.W.</v>
      </c>
      <c r="I30" s="15">
        <v>96</v>
      </c>
      <c r="J30" s="12">
        <v>4.5999999999999999E-3</v>
      </c>
      <c r="K30" s="34">
        <f t="shared" si="0"/>
        <v>217.39130434782609</v>
      </c>
      <c r="L30" s="37">
        <v>4.5999999999999999E-3</v>
      </c>
      <c r="M30" s="47">
        <f t="shared" si="2"/>
        <v>217.39130434782609</v>
      </c>
      <c r="N30" s="46">
        <f t="shared" si="3"/>
        <v>20869.565217391304</v>
      </c>
      <c r="Q30" s="80">
        <f t="shared" si="4"/>
        <v>3.6231884057971016</v>
      </c>
      <c r="R30" s="79" t="str">
        <f t="shared" si="5"/>
        <v>EQP-LAWPACK1</v>
      </c>
      <c r="S30" s="79" t="str">
        <f t="shared" si="6"/>
        <v>AUTOBAKE-P</v>
      </c>
    </row>
    <row r="31" spans="1:19" ht="15.6" customHeight="1" thickBot="1" x14ac:dyDescent="0.3">
      <c r="A31" t="s">
        <v>23</v>
      </c>
      <c r="B31" s="11" t="str">
        <f t="shared" si="1"/>
        <v/>
      </c>
      <c r="D31" s="13" t="str">
        <f>"02661"</f>
        <v>02661</v>
      </c>
      <c r="E31" s="7" t="str">
        <f>"8"</f>
        <v>8</v>
      </c>
      <c r="F31" s="27">
        <v>8916.6666666666661</v>
      </c>
      <c r="G31" s="5" t="str">
        <f>"SMART CHOICE BLUEBERRY MUFFIN"</f>
        <v>SMART CHOICE BLUEBERRY MUFFIN</v>
      </c>
      <c r="H31" s="14" t="str">
        <f t="shared" si="10"/>
        <v>96-2 oz. I.W.</v>
      </c>
      <c r="I31" s="15">
        <v>96</v>
      </c>
      <c r="J31" s="12">
        <v>4.5999999999999999E-3</v>
      </c>
      <c r="K31" s="34">
        <f t="shared" si="0"/>
        <v>217.39130434782609</v>
      </c>
      <c r="L31" s="37">
        <v>4.5999999999999999E-3</v>
      </c>
      <c r="M31" s="47">
        <f t="shared" si="2"/>
        <v>217.39130434782609</v>
      </c>
      <c r="N31" s="46">
        <f t="shared" si="3"/>
        <v>20869.565217391304</v>
      </c>
      <c r="Q31" s="80">
        <f t="shared" si="4"/>
        <v>3.6231884057971016</v>
      </c>
      <c r="R31" s="79" t="str">
        <f t="shared" si="5"/>
        <v>EQP-LAWPACK1</v>
      </c>
      <c r="S31" s="79" t="str">
        <f t="shared" si="6"/>
        <v>AUTOBAKE-P</v>
      </c>
    </row>
    <row r="32" spans="1:19" ht="15.6" customHeight="1" thickBot="1" x14ac:dyDescent="0.3">
      <c r="A32" t="s">
        <v>23</v>
      </c>
      <c r="B32" s="11" t="str">
        <f t="shared" si="1"/>
        <v/>
      </c>
      <c r="D32" s="13" t="str">
        <f>"02663"</f>
        <v>02663</v>
      </c>
      <c r="E32" s="7" t="str">
        <f>"9"</f>
        <v>9</v>
      </c>
      <c r="F32" s="27">
        <v>276.66666666666669</v>
      </c>
      <c r="G32" s="5" t="str">
        <f>"Smart Choice CRAN OR. MUFFINS"</f>
        <v>Smart Choice CRAN OR. MUFFINS</v>
      </c>
      <c r="H32" s="14" t="str">
        <f t="shared" si="10"/>
        <v>96-2 oz. I.W.</v>
      </c>
      <c r="I32" s="15">
        <v>96</v>
      </c>
      <c r="J32" s="12">
        <v>4.5999999999999999E-3</v>
      </c>
      <c r="K32" s="34">
        <f t="shared" si="0"/>
        <v>217.39130434782609</v>
      </c>
      <c r="L32" s="37">
        <v>4.5999999999999999E-3</v>
      </c>
      <c r="M32" s="47">
        <f t="shared" si="2"/>
        <v>217.39130434782609</v>
      </c>
      <c r="N32" s="46">
        <f t="shared" si="3"/>
        <v>20869.565217391304</v>
      </c>
      <c r="Q32" s="80">
        <f t="shared" si="4"/>
        <v>3.6231884057971016</v>
      </c>
      <c r="R32" s="79" t="str">
        <f t="shared" si="5"/>
        <v>EQP-LAWPACK1</v>
      </c>
      <c r="S32" s="79" t="str">
        <f t="shared" si="6"/>
        <v>AUTOBAKE-P</v>
      </c>
    </row>
    <row r="33" spans="1:19" ht="15.6" customHeight="1" thickBot="1" x14ac:dyDescent="0.3">
      <c r="A33" t="s">
        <v>23</v>
      </c>
      <c r="B33" s="11" t="str">
        <f t="shared" si="1"/>
        <v/>
      </c>
      <c r="D33" s="13" t="str">
        <f>"02665"</f>
        <v>02665</v>
      </c>
      <c r="E33" s="7" t="str">
        <f>"11"</f>
        <v>11</v>
      </c>
      <c r="F33" s="27">
        <v>1155.5</v>
      </c>
      <c r="G33" s="5" t="str">
        <f>"Smart Choice Corn Muffins"</f>
        <v>Smart Choice Corn Muffins</v>
      </c>
      <c r="H33" s="14" t="str">
        <f t="shared" si="10"/>
        <v>96-2 oz. I.W.</v>
      </c>
      <c r="I33" s="15">
        <v>96</v>
      </c>
      <c r="J33" s="12">
        <v>4.5999999999999999E-3</v>
      </c>
      <c r="K33" s="34">
        <f t="shared" si="0"/>
        <v>217.39130434782609</v>
      </c>
      <c r="L33" s="37">
        <v>4.5999999999999999E-3</v>
      </c>
      <c r="M33" s="47">
        <f t="shared" si="2"/>
        <v>217.39130434782609</v>
      </c>
      <c r="N33" s="46">
        <f t="shared" si="3"/>
        <v>20869.565217391304</v>
      </c>
      <c r="Q33" s="80">
        <f t="shared" si="4"/>
        <v>3.6231884057971016</v>
      </c>
      <c r="R33" s="79" t="str">
        <f t="shared" si="5"/>
        <v>EQP-LAWPACK1</v>
      </c>
      <c r="S33" s="79" t="str">
        <f t="shared" si="6"/>
        <v>AUTOBAKE-P</v>
      </c>
    </row>
    <row r="34" spans="1:19" ht="15.6" customHeight="1" thickBot="1" x14ac:dyDescent="0.3">
      <c r="A34" t="s">
        <v>23</v>
      </c>
      <c r="B34" s="11" t="str">
        <f t="shared" si="1"/>
        <v/>
      </c>
      <c r="D34" s="13" t="str">
        <f>"02666"</f>
        <v>02666</v>
      </c>
      <c r="E34" s="7" t="str">
        <f>"9"</f>
        <v>9</v>
      </c>
      <c r="F34" s="27">
        <v>3190.8333333333335</v>
      </c>
      <c r="G34" s="5" t="str">
        <f>"SMART CHOICE APPLE CIN MUFFIN"</f>
        <v>SMART CHOICE APPLE CIN MUFFIN</v>
      </c>
      <c r="H34" s="14" t="str">
        <f t="shared" si="10"/>
        <v>96-2 oz. I.W.</v>
      </c>
      <c r="I34" s="15">
        <v>96</v>
      </c>
      <c r="J34" s="12">
        <v>4.5999999999999999E-3</v>
      </c>
      <c r="K34" s="34">
        <f t="shared" si="0"/>
        <v>217.39130434782609</v>
      </c>
      <c r="L34" s="37">
        <v>4.5999999999999999E-3</v>
      </c>
      <c r="M34" s="47">
        <f t="shared" si="2"/>
        <v>217.39130434782609</v>
      </c>
      <c r="N34" s="46">
        <f t="shared" si="3"/>
        <v>20869.565217391304</v>
      </c>
      <c r="Q34" s="80">
        <f t="shared" si="4"/>
        <v>3.6231884057971016</v>
      </c>
      <c r="R34" s="79" t="str">
        <f t="shared" si="5"/>
        <v>EQP-LAWPACK1</v>
      </c>
      <c r="S34" s="79" t="str">
        <f t="shared" si="6"/>
        <v>AUTOBAKE-P</v>
      </c>
    </row>
    <row r="35" spans="1:19" ht="15.6" customHeight="1" thickBot="1" x14ac:dyDescent="0.3">
      <c r="A35" t="s">
        <v>23</v>
      </c>
      <c r="B35" s="11" t="str">
        <f t="shared" si="1"/>
        <v/>
      </c>
      <c r="D35" s="13" t="str">
        <f>"02670"</f>
        <v>02670</v>
      </c>
      <c r="E35" s="7" t="str">
        <f>"10"</f>
        <v>10</v>
      </c>
      <c r="F35" s="27">
        <v>6598.25</v>
      </c>
      <c r="G35" s="5" t="str">
        <f>"SMART CHOICE CHOC.CHIP MUFFIN"</f>
        <v>SMART CHOICE CHOC.CHIP MUFFIN</v>
      </c>
      <c r="H35" s="14" t="str">
        <f t="shared" si="10"/>
        <v>96-2 oz. I.W.</v>
      </c>
      <c r="I35" s="15">
        <v>96</v>
      </c>
      <c r="J35" s="12">
        <v>4.5999999999999999E-3</v>
      </c>
      <c r="K35" s="34">
        <f t="shared" si="0"/>
        <v>217.39130434782609</v>
      </c>
      <c r="L35" s="37">
        <v>4.5999999999999999E-3</v>
      </c>
      <c r="M35" s="47">
        <f t="shared" si="2"/>
        <v>217.39130434782609</v>
      </c>
      <c r="N35" s="46">
        <f t="shared" si="3"/>
        <v>20869.565217391304</v>
      </c>
      <c r="Q35" s="80">
        <f t="shared" si="4"/>
        <v>3.6231884057971016</v>
      </c>
      <c r="R35" s="79" t="str">
        <f t="shared" si="5"/>
        <v>EQP-LAWPACK1</v>
      </c>
      <c r="S35" s="79" t="str">
        <f t="shared" si="6"/>
        <v>AUTOBAKE-P</v>
      </c>
    </row>
    <row r="36" spans="1:19" ht="15.6" customHeight="1" thickBot="1" x14ac:dyDescent="0.3">
      <c r="A36" t="s">
        <v>23</v>
      </c>
      <c r="B36" s="11" t="str">
        <f t="shared" si="1"/>
        <v/>
      </c>
      <c r="D36" s="13" t="str">
        <f>"02673"</f>
        <v>02673</v>
      </c>
      <c r="E36" s="7" t="str">
        <f>"9"</f>
        <v>9</v>
      </c>
      <c r="F36" s="27">
        <v>663.25</v>
      </c>
      <c r="G36" s="5" t="str">
        <f>"SMART CHOICE CH CH CHIP MUFFIN"</f>
        <v>SMART CHOICE CH CH CHIP MUFFIN</v>
      </c>
      <c r="H36" s="14" t="str">
        <f t="shared" si="10"/>
        <v>96-2 oz. I.W.</v>
      </c>
      <c r="I36" s="15">
        <v>96</v>
      </c>
      <c r="J36" s="12">
        <v>4.5999999999999999E-3</v>
      </c>
      <c r="K36" s="34">
        <f t="shared" si="0"/>
        <v>217.39130434782609</v>
      </c>
      <c r="L36" s="37">
        <v>4.5999999999999999E-3</v>
      </c>
      <c r="M36" s="47">
        <f t="shared" si="2"/>
        <v>217.39130434782609</v>
      </c>
      <c r="N36" s="46">
        <f t="shared" si="3"/>
        <v>20869.565217391304</v>
      </c>
      <c r="Q36" s="80">
        <f t="shared" si="4"/>
        <v>3.6231884057971016</v>
      </c>
      <c r="R36" s="79" t="str">
        <f t="shared" si="5"/>
        <v>EQP-LAWPACK1</v>
      </c>
      <c r="S36" s="79" t="str">
        <f t="shared" si="6"/>
        <v>AUTOBAKE-P</v>
      </c>
    </row>
    <row r="37" spans="1:19" ht="15.6" customHeight="1" thickBot="1" x14ac:dyDescent="0.3">
      <c r="A37" t="s">
        <v>23</v>
      </c>
      <c r="B37" s="11" t="str">
        <f t="shared" si="1"/>
        <v/>
      </c>
      <c r="D37" s="13" t="str">
        <f>"02675"</f>
        <v>02675</v>
      </c>
      <c r="E37" s="7" t="str">
        <f>"7"</f>
        <v>7</v>
      </c>
      <c r="F37" s="27">
        <v>3362.1666666666665</v>
      </c>
      <c r="G37" s="5" t="str">
        <f>"SMART CHOICE BANANA MUFFINS"</f>
        <v>SMART CHOICE BANANA MUFFINS</v>
      </c>
      <c r="H37" s="14" t="str">
        <f t="shared" si="10"/>
        <v>96-2 oz. I.W.</v>
      </c>
      <c r="I37" s="15">
        <v>96</v>
      </c>
      <c r="J37" s="12">
        <v>4.5999999999999999E-3</v>
      </c>
      <c r="K37" s="34">
        <f t="shared" si="0"/>
        <v>217.39130434782609</v>
      </c>
      <c r="L37" s="37">
        <v>4.5999999999999999E-3</v>
      </c>
      <c r="M37" s="47">
        <f t="shared" si="2"/>
        <v>217.39130434782609</v>
      </c>
      <c r="N37" s="46">
        <f t="shared" si="3"/>
        <v>20869.565217391304</v>
      </c>
      <c r="Q37" s="80">
        <f t="shared" si="4"/>
        <v>3.6231884057971016</v>
      </c>
      <c r="R37" s="79" t="str">
        <f t="shared" si="5"/>
        <v>EQP-LAWPACK1</v>
      </c>
      <c r="S37" s="79" t="str">
        <f t="shared" si="6"/>
        <v>AUTOBAKE-P</v>
      </c>
    </row>
    <row r="38" spans="1:19" ht="15.6" hidden="1" customHeight="1" thickBot="1" x14ac:dyDescent="0.3">
      <c r="A38" t="s">
        <v>23</v>
      </c>
      <c r="B38" s="11" t="str">
        <f t="shared" si="1"/>
        <v>hide</v>
      </c>
      <c r="D38" s="13" t="str">
        <f>"02901"</f>
        <v>02901</v>
      </c>
      <c r="E38" s="7" t="str">
        <f>"13"</f>
        <v>13</v>
      </c>
      <c r="F38" s="27">
        <v>0</v>
      </c>
      <c r="G38" s="5" t="str">
        <f>"1343 Muffins, Wild Blueberry, IW"</f>
        <v>1343 Muffins, Wild Blueberry, IW</v>
      </c>
      <c r="H38" s="14" t="str">
        <f>"96/2 oz"</f>
        <v>96/2 oz</v>
      </c>
      <c r="I38" s="15">
        <v>96</v>
      </c>
      <c r="J38" s="12">
        <v>4.5999999999999999E-3</v>
      </c>
      <c r="K38" s="34">
        <f t="shared" si="0"/>
        <v>217.39130434782609</v>
      </c>
      <c r="L38" s="37">
        <v>4.5999999999999999E-3</v>
      </c>
      <c r="M38" s="47">
        <f t="shared" si="2"/>
        <v>217.39130434782609</v>
      </c>
      <c r="N38" s="46">
        <f t="shared" si="3"/>
        <v>20869.565217391304</v>
      </c>
      <c r="Q38" s="80">
        <f t="shared" si="4"/>
        <v>3.6231884057971016</v>
      </c>
      <c r="R38" s="79" t="str">
        <f t="shared" si="5"/>
        <v>EQP-LAWPACK1</v>
      </c>
      <c r="S38" s="79" t="str">
        <f t="shared" si="6"/>
        <v>AUTOBAKE-P</v>
      </c>
    </row>
    <row r="39" spans="1:19" ht="15.6" hidden="1" customHeight="1" thickBot="1" x14ac:dyDescent="0.3">
      <c r="A39" t="s">
        <v>23</v>
      </c>
      <c r="B39" s="11" t="str">
        <f t="shared" si="1"/>
        <v>hide</v>
      </c>
      <c r="D39" s="13" t="str">
        <f>"02906"</f>
        <v>02906</v>
      </c>
      <c r="E39" s="7" t="str">
        <f>"6"</f>
        <v>6</v>
      </c>
      <c r="F39" s="27">
        <v>0</v>
      </c>
      <c r="G39" s="5" t="str">
        <f>"1380 Muffins, Apple Cinnamon, IW"</f>
        <v>1380 Muffins, Apple Cinnamon, IW</v>
      </c>
      <c r="H39" s="14" t="str">
        <f>"96/2 oz"</f>
        <v>96/2 oz</v>
      </c>
      <c r="I39" s="15">
        <v>96</v>
      </c>
      <c r="J39" s="12">
        <v>4.5999999999999999E-3</v>
      </c>
      <c r="K39" s="34">
        <f t="shared" si="0"/>
        <v>217.39130434782609</v>
      </c>
      <c r="L39" s="37">
        <v>4.5999999999999999E-3</v>
      </c>
      <c r="M39" s="47">
        <f t="shared" si="2"/>
        <v>217.39130434782609</v>
      </c>
      <c r="N39" s="46">
        <f t="shared" si="3"/>
        <v>20869.565217391304</v>
      </c>
      <c r="Q39" s="80">
        <f t="shared" si="4"/>
        <v>3.6231884057971016</v>
      </c>
      <c r="R39" s="79" t="str">
        <f t="shared" si="5"/>
        <v>EQP-LAWPACK1</v>
      </c>
      <c r="S39" s="79" t="str">
        <f t="shared" si="6"/>
        <v>AUTOBAKE-P</v>
      </c>
    </row>
    <row r="40" spans="1:19" ht="15.6" customHeight="1" thickBot="1" x14ac:dyDescent="0.3">
      <c r="A40" t="s">
        <v>23</v>
      </c>
      <c r="B40" s="11" t="str">
        <f t="shared" si="1"/>
        <v/>
      </c>
      <c r="D40" s="13" t="str">
        <f>"02910"</f>
        <v>02910</v>
      </c>
      <c r="E40" s="7" t="str">
        <f>"7"</f>
        <v>7</v>
      </c>
      <c r="F40" s="27">
        <v>141.33333333333334</v>
      </c>
      <c r="G40" s="5" t="str">
        <f>"1345 Muffins, Chocolate Chip, IW"</f>
        <v>1345 Muffins, Chocolate Chip, IW</v>
      </c>
      <c r="H40" s="14" t="str">
        <f>"96/2 oz"</f>
        <v>96/2 oz</v>
      </c>
      <c r="I40" s="15">
        <v>96</v>
      </c>
      <c r="J40" s="12">
        <v>4.5999999999999999E-3</v>
      </c>
      <c r="K40" s="34">
        <f t="shared" si="0"/>
        <v>217.39130434782609</v>
      </c>
      <c r="L40" s="37">
        <v>4.5999999999999999E-3</v>
      </c>
      <c r="M40" s="47">
        <f t="shared" si="2"/>
        <v>217.39130434782609</v>
      </c>
      <c r="N40" s="46">
        <f t="shared" si="3"/>
        <v>20869.565217391304</v>
      </c>
      <c r="Q40" s="80">
        <f t="shared" si="4"/>
        <v>3.6231884057971016</v>
      </c>
      <c r="R40" s="79" t="str">
        <f t="shared" si="5"/>
        <v>EQP-LAWPACK1</v>
      </c>
      <c r="S40" s="79" t="str">
        <f t="shared" si="6"/>
        <v>AUTOBAKE-P</v>
      </c>
    </row>
    <row r="41" spans="1:19" ht="15.6" hidden="1" customHeight="1" thickBot="1" x14ac:dyDescent="0.3">
      <c r="A41" t="s">
        <v>23</v>
      </c>
      <c r="B41" s="11" t="str">
        <f t="shared" si="1"/>
        <v>hide</v>
      </c>
      <c r="D41" s="13" t="str">
        <f>"02912"</f>
        <v>02912</v>
      </c>
      <c r="E41" s="7" t="str">
        <f>"7"</f>
        <v>7</v>
      </c>
      <c r="F41" s="27">
        <v>0</v>
      </c>
      <c r="G41" s="5" t="str">
        <f>"1337 Muffins, Honey Bran, IW"</f>
        <v>1337 Muffins, Honey Bran, IW</v>
      </c>
      <c r="H41" s="14" t="str">
        <f>"96/2 oz"</f>
        <v>96/2 oz</v>
      </c>
      <c r="I41" s="15">
        <v>96</v>
      </c>
      <c r="J41" s="12">
        <v>4.5999999999999999E-3</v>
      </c>
      <c r="K41" s="34">
        <f t="shared" si="0"/>
        <v>217.39130434782609</v>
      </c>
      <c r="L41" s="37">
        <v>4.5999999999999999E-3</v>
      </c>
      <c r="M41" s="47">
        <f t="shared" si="2"/>
        <v>217.39130434782609</v>
      </c>
      <c r="N41" s="46">
        <f t="shared" si="3"/>
        <v>20869.565217391304</v>
      </c>
      <c r="Q41" s="80">
        <f t="shared" si="4"/>
        <v>3.6231884057971016</v>
      </c>
      <c r="R41" s="79" t="str">
        <f t="shared" si="5"/>
        <v>EQP-LAWPACK1</v>
      </c>
      <c r="S41" s="79" t="str">
        <f t="shared" si="6"/>
        <v>AUTOBAKE-P</v>
      </c>
    </row>
    <row r="42" spans="1:19" ht="15.6" hidden="1" customHeight="1" thickBot="1" x14ac:dyDescent="0.3">
      <c r="A42" t="s">
        <v>23</v>
      </c>
      <c r="B42" s="11" t="str">
        <f t="shared" si="1"/>
        <v>hide</v>
      </c>
      <c r="D42" s="13" t="str">
        <f>"02921"</f>
        <v>02921</v>
      </c>
      <c r="E42" s="7" t="str">
        <f>"5"</f>
        <v>5</v>
      </c>
      <c r="F42" s="27">
        <v>0</v>
      </c>
      <c r="G42" s="5" t="str">
        <f>"1413 Muffin, WG, Blueberry, IW"</f>
        <v>1413 Muffin, WG, Blueberry, IW</v>
      </c>
      <c r="H42" s="14" t="str">
        <f>"96/2 oz"</f>
        <v>96/2 oz</v>
      </c>
      <c r="I42" s="15">
        <v>96</v>
      </c>
      <c r="J42" s="12">
        <v>4.5999999999999999E-3</v>
      </c>
      <c r="K42" s="34">
        <f t="shared" si="0"/>
        <v>217.39130434782609</v>
      </c>
      <c r="L42" s="37">
        <v>4.5999999999999999E-3</v>
      </c>
      <c r="M42" s="47">
        <f t="shared" si="2"/>
        <v>217.39130434782609</v>
      </c>
      <c r="N42" s="46">
        <f t="shared" si="3"/>
        <v>20869.565217391304</v>
      </c>
      <c r="Q42" s="80">
        <f t="shared" si="4"/>
        <v>3.6231884057971016</v>
      </c>
      <c r="R42" s="79" t="str">
        <f t="shared" si="5"/>
        <v>EQP-LAWPACK1</v>
      </c>
      <c r="S42" s="79" t="str">
        <f t="shared" si="6"/>
        <v>AUTOBAKE-P</v>
      </c>
    </row>
    <row r="43" spans="1:19" ht="15.6" hidden="1" customHeight="1" thickBot="1" x14ac:dyDescent="0.3">
      <c r="A43" t="s">
        <v>23</v>
      </c>
      <c r="B43" s="11" t="str">
        <f t="shared" si="1"/>
        <v>hide</v>
      </c>
      <c r="D43" s="13" t="str">
        <f>"02926"</f>
        <v>02926</v>
      </c>
      <c r="E43" s="7" t="str">
        <f>"5"</f>
        <v>5</v>
      </c>
      <c r="F43" s="27">
        <v>0</v>
      </c>
      <c r="G43" s="5" t="str">
        <f>"1386 WG Apple Cinnamon"</f>
        <v>1386 WG Apple Cinnamon</v>
      </c>
      <c r="H43" s="14" t="str">
        <f>"96-2 oz. I.W. Muffins"</f>
        <v>96-2 oz. I.W. Muffins</v>
      </c>
      <c r="I43" s="15">
        <v>96</v>
      </c>
      <c r="J43" s="12">
        <v>4.5999999999999999E-3</v>
      </c>
      <c r="K43" s="34">
        <f t="shared" ref="K43:K74" si="11">1/J43</f>
        <v>217.39130434782609</v>
      </c>
      <c r="L43" s="37">
        <v>4.5999999999999999E-3</v>
      </c>
      <c r="M43" s="47">
        <f t="shared" si="2"/>
        <v>217.39130434782609</v>
      </c>
      <c r="N43" s="46">
        <f t="shared" si="3"/>
        <v>20869.565217391304</v>
      </c>
      <c r="Q43" s="80">
        <f t="shared" si="4"/>
        <v>3.6231884057971016</v>
      </c>
      <c r="R43" s="79" t="str">
        <f t="shared" si="5"/>
        <v>EQP-LAWPACK1</v>
      </c>
      <c r="S43" s="79" t="str">
        <f t="shared" si="6"/>
        <v>AUTOBAKE-P</v>
      </c>
    </row>
    <row r="44" spans="1:19" ht="15.6" customHeight="1" thickBot="1" x14ac:dyDescent="0.3">
      <c r="A44" t="s">
        <v>23</v>
      </c>
      <c r="B44" s="11" t="str">
        <f t="shared" si="1"/>
        <v/>
      </c>
      <c r="D44" s="13" t="str">
        <f>"02940"</f>
        <v>02940</v>
      </c>
      <c r="E44" s="7" t="str">
        <f>"10"</f>
        <v>10</v>
      </c>
      <c r="F44" s="27">
        <v>1771.25</v>
      </c>
      <c r="G44" s="5" t="str">
        <f>"1204 Muffin, WG, Choc Chip, IW"</f>
        <v>1204 Muffin, WG, Choc Chip, IW</v>
      </c>
      <c r="H44" s="14" t="str">
        <f t="shared" ref="H44:H51" si="12">"96/2 oz"</f>
        <v>96/2 oz</v>
      </c>
      <c r="I44" s="15">
        <v>96</v>
      </c>
      <c r="J44" s="12">
        <v>4.5999999999999999E-3</v>
      </c>
      <c r="K44" s="34">
        <f t="shared" si="11"/>
        <v>217.39130434782609</v>
      </c>
      <c r="L44" s="37">
        <v>4.5999999999999999E-3</v>
      </c>
      <c r="M44" s="47">
        <f t="shared" si="2"/>
        <v>217.39130434782609</v>
      </c>
      <c r="N44" s="46">
        <f t="shared" si="3"/>
        <v>20869.565217391304</v>
      </c>
      <c r="Q44" s="80">
        <f t="shared" si="4"/>
        <v>3.6231884057971016</v>
      </c>
      <c r="R44" s="79" t="str">
        <f t="shared" si="5"/>
        <v>EQP-LAWPACK1</v>
      </c>
      <c r="S44" s="79" t="str">
        <f t="shared" si="6"/>
        <v>AUTOBAKE-P</v>
      </c>
    </row>
    <row r="45" spans="1:19" ht="15.6" customHeight="1" thickBot="1" x14ac:dyDescent="0.3">
      <c r="A45" t="s">
        <v>23</v>
      </c>
      <c r="B45" s="11" t="str">
        <f t="shared" si="1"/>
        <v/>
      </c>
      <c r="D45" s="13" t="str">
        <f>"02941"</f>
        <v>02941</v>
      </c>
      <c r="E45" s="7" t="str">
        <f>"10"</f>
        <v>10</v>
      </c>
      <c r="F45" s="27">
        <v>3638.5</v>
      </c>
      <c r="G45" s="5" t="str">
        <f>"1201 Muffins, WG, Blueberry, RF, IW"</f>
        <v>1201 Muffins, WG, Blueberry, RF, IW</v>
      </c>
      <c r="H45" s="14" t="str">
        <f t="shared" si="12"/>
        <v>96/2 oz</v>
      </c>
      <c r="I45" s="15">
        <v>96</v>
      </c>
      <c r="J45" s="12">
        <v>4.5999999999999999E-3</v>
      </c>
      <c r="K45" s="34">
        <f t="shared" si="11"/>
        <v>217.39130434782609</v>
      </c>
      <c r="L45" s="37">
        <v>4.5999999999999999E-3</v>
      </c>
      <c r="M45" s="47">
        <f t="shared" si="2"/>
        <v>217.39130434782609</v>
      </c>
      <c r="N45" s="46">
        <f t="shared" si="3"/>
        <v>20869.565217391304</v>
      </c>
      <c r="Q45" s="80">
        <f t="shared" si="4"/>
        <v>3.6231884057971016</v>
      </c>
      <c r="R45" s="79" t="str">
        <f t="shared" si="5"/>
        <v>EQP-LAWPACK1</v>
      </c>
      <c r="S45" s="79" t="str">
        <f t="shared" si="6"/>
        <v>AUTOBAKE-P</v>
      </c>
    </row>
    <row r="46" spans="1:19" ht="15.6" customHeight="1" thickBot="1" x14ac:dyDescent="0.3">
      <c r="A46" t="s">
        <v>23</v>
      </c>
      <c r="B46" s="11" t="str">
        <f t="shared" si="1"/>
        <v/>
      </c>
      <c r="D46" s="13" t="str">
        <f>"02946"</f>
        <v>02946</v>
      </c>
      <c r="E46" s="7" t="str">
        <f>"10"</f>
        <v>10</v>
      </c>
      <c r="F46" s="27">
        <v>1551.25</v>
      </c>
      <c r="G46" s="5" t="str">
        <f>"1203 Muffin, WG, Apple Cinn, IW"</f>
        <v>1203 Muffin, WG, Apple Cinn, IW</v>
      </c>
      <c r="H46" s="14" t="str">
        <f t="shared" si="12"/>
        <v>96/2 oz</v>
      </c>
      <c r="I46" s="15">
        <v>96</v>
      </c>
      <c r="J46" s="12">
        <v>4.5999999999999999E-3</v>
      </c>
      <c r="K46" s="34">
        <f t="shared" si="11"/>
        <v>217.39130434782609</v>
      </c>
      <c r="L46" s="37">
        <v>4.5999999999999999E-3</v>
      </c>
      <c r="M46" s="47">
        <f t="shared" si="2"/>
        <v>217.39130434782609</v>
      </c>
      <c r="N46" s="46">
        <f t="shared" si="3"/>
        <v>20869.565217391304</v>
      </c>
      <c r="Q46" s="80">
        <f t="shared" si="4"/>
        <v>3.6231884057971016</v>
      </c>
      <c r="R46" s="79" t="str">
        <f t="shared" si="5"/>
        <v>EQP-LAWPACK1</v>
      </c>
      <c r="S46" s="79" t="str">
        <f t="shared" si="6"/>
        <v>AUTOBAKE-P</v>
      </c>
    </row>
    <row r="47" spans="1:19" ht="15.6" customHeight="1" thickBot="1" x14ac:dyDescent="0.3">
      <c r="A47" t="s">
        <v>23</v>
      </c>
      <c r="B47" s="11" t="str">
        <f t="shared" si="1"/>
        <v/>
      </c>
      <c r="D47" s="13" t="str">
        <f>"02949"</f>
        <v>02949</v>
      </c>
      <c r="E47" s="7" t="str">
        <f>"7"</f>
        <v>7</v>
      </c>
      <c r="F47" s="27">
        <v>270.00000000000006</v>
      </c>
      <c r="G47" s="5" t="str">
        <f>"2113 Muffins, WG, Orange Dream, IW"</f>
        <v>2113 Muffins, WG, Orange Dream, IW</v>
      </c>
      <c r="H47" s="14" t="str">
        <f t="shared" si="12"/>
        <v>96/2 oz</v>
      </c>
      <c r="I47" s="15">
        <v>96</v>
      </c>
      <c r="J47" s="12">
        <v>4.5999999999999999E-3</v>
      </c>
      <c r="K47" s="34">
        <f t="shared" si="11"/>
        <v>217.39130434782609</v>
      </c>
      <c r="L47" s="37">
        <v>4.5999999999999999E-3</v>
      </c>
      <c r="M47" s="47">
        <f t="shared" si="2"/>
        <v>217.39130434782609</v>
      </c>
      <c r="N47" s="46">
        <f t="shared" si="3"/>
        <v>20869.565217391304</v>
      </c>
      <c r="Q47" s="80">
        <f t="shared" si="4"/>
        <v>3.6231884057971016</v>
      </c>
      <c r="R47" s="79" t="str">
        <f t="shared" si="5"/>
        <v>EQP-LAWPACK1</v>
      </c>
      <c r="S47" s="79" t="str">
        <f t="shared" si="6"/>
        <v>AUTOBAKE-P</v>
      </c>
    </row>
    <row r="48" spans="1:19" ht="15.6" hidden="1" customHeight="1" thickBot="1" x14ac:dyDescent="0.3">
      <c r="A48" t="s">
        <v>23</v>
      </c>
      <c r="B48" s="11" t="str">
        <f t="shared" si="1"/>
        <v>hide</v>
      </c>
      <c r="D48" s="13" t="str">
        <f>"02975"</f>
        <v>02975</v>
      </c>
      <c r="E48" s="7" t="str">
        <f>"5"</f>
        <v>5</v>
      </c>
      <c r="F48" s="27">
        <v>0</v>
      </c>
      <c r="G48" s="5" t="str">
        <f>"1361 Muffins, Banana, Low Fat, IW"</f>
        <v>1361 Muffins, Banana, Low Fat, IW</v>
      </c>
      <c r="H48" s="14" t="str">
        <f t="shared" si="12"/>
        <v>96/2 oz</v>
      </c>
      <c r="I48" s="15">
        <v>96</v>
      </c>
      <c r="J48" s="12">
        <v>0</v>
      </c>
      <c r="K48" s="34" t="e">
        <f t="shared" si="11"/>
        <v>#DIV/0!</v>
      </c>
      <c r="L48" s="37">
        <v>3.5000000000000001E-3</v>
      </c>
      <c r="M48" s="47">
        <f t="shared" si="2"/>
        <v>285.71428571428572</v>
      </c>
      <c r="N48" s="46">
        <f t="shared" si="3"/>
        <v>27428.571428571428</v>
      </c>
      <c r="Q48" s="80">
        <f t="shared" si="4"/>
        <v>4.7619047619047619</v>
      </c>
      <c r="R48" s="79" t="str">
        <f t="shared" si="5"/>
        <v>EQP-LAWPACK1</v>
      </c>
      <c r="S48" s="79" t="str">
        <f t="shared" si="6"/>
        <v>AUTOBAKE-P</v>
      </c>
    </row>
    <row r="49" spans="1:19" ht="15.6" customHeight="1" thickBot="1" x14ac:dyDescent="0.3">
      <c r="A49" t="s">
        <v>23</v>
      </c>
      <c r="B49" s="11" t="str">
        <f t="shared" si="1"/>
        <v/>
      </c>
      <c r="D49" s="13" t="str">
        <f>"02991"</f>
        <v>02991</v>
      </c>
      <c r="E49" s="7" t="str">
        <f>"10"</f>
        <v>10</v>
      </c>
      <c r="F49" s="27">
        <v>2750.8333333333335</v>
      </c>
      <c r="G49" s="5" t="str">
        <f>"1202 Muffins, WG, Banana, RF, IW"</f>
        <v>1202 Muffins, WG, Banana, RF, IW</v>
      </c>
      <c r="H49" s="14" t="str">
        <f t="shared" si="12"/>
        <v>96/2 oz</v>
      </c>
      <c r="I49" s="15">
        <v>96</v>
      </c>
      <c r="J49" s="12">
        <v>4.5999999999999999E-3</v>
      </c>
      <c r="K49" s="34">
        <f t="shared" si="11"/>
        <v>217.39130434782609</v>
      </c>
      <c r="L49" s="37">
        <v>4.5999999999999999E-3</v>
      </c>
      <c r="M49" s="47">
        <f t="shared" si="2"/>
        <v>217.39130434782609</v>
      </c>
      <c r="N49" s="46">
        <f t="shared" si="3"/>
        <v>20869.565217391304</v>
      </c>
      <c r="Q49" s="80">
        <f t="shared" si="4"/>
        <v>3.6231884057971016</v>
      </c>
      <c r="R49" s="79" t="str">
        <f t="shared" si="5"/>
        <v>EQP-LAWPACK1</v>
      </c>
      <c r="S49" s="79" t="str">
        <f t="shared" si="6"/>
        <v>AUTOBAKE-P</v>
      </c>
    </row>
    <row r="50" spans="1:19" ht="15.6" customHeight="1" thickBot="1" x14ac:dyDescent="0.3">
      <c r="A50" t="s">
        <v>23</v>
      </c>
      <c r="B50" s="11" t="str">
        <f t="shared" si="1"/>
        <v/>
      </c>
      <c r="D50" s="13" t="str">
        <f>"02993"</f>
        <v>02993</v>
      </c>
      <c r="E50" s="7" t="str">
        <f>"9"</f>
        <v>9</v>
      </c>
      <c r="F50" s="27">
        <v>1371</v>
      </c>
      <c r="G50" s="5" t="str">
        <f>"2156 Muffin, WG, Choc Choc Chip, IW"</f>
        <v>2156 Muffin, WG, Choc Choc Chip, IW</v>
      </c>
      <c r="H50" s="14" t="str">
        <f t="shared" si="12"/>
        <v>96/2 oz</v>
      </c>
      <c r="I50" s="15">
        <v>96</v>
      </c>
      <c r="J50" s="12">
        <v>4.5999999999999999E-3</v>
      </c>
      <c r="K50" s="34">
        <f t="shared" si="11"/>
        <v>217.39130434782609</v>
      </c>
      <c r="L50" s="37">
        <v>4.5999999999999999E-3</v>
      </c>
      <c r="M50" s="47">
        <f t="shared" si="2"/>
        <v>217.39130434782609</v>
      </c>
      <c r="N50" s="46">
        <f t="shared" si="3"/>
        <v>20869.565217391304</v>
      </c>
      <c r="Q50" s="80">
        <f t="shared" si="4"/>
        <v>3.6231884057971016</v>
      </c>
      <c r="R50" s="79" t="str">
        <f t="shared" si="5"/>
        <v>EQP-LAWPACK1</v>
      </c>
      <c r="S50" s="79" t="str">
        <f t="shared" si="6"/>
        <v>AUTOBAKE-P</v>
      </c>
    </row>
    <row r="51" spans="1:19" ht="15.6" hidden="1" customHeight="1" thickBot="1" x14ac:dyDescent="0.3">
      <c r="A51" t="s">
        <v>23</v>
      </c>
      <c r="B51" s="11" t="str">
        <f t="shared" si="1"/>
        <v>hide</v>
      </c>
      <c r="D51" s="13" t="str">
        <f>"02998"</f>
        <v>02998</v>
      </c>
      <c r="E51" s="7" t="str">
        <f>"4"</f>
        <v>4</v>
      </c>
      <c r="F51" s="27">
        <v>0</v>
      </c>
      <c r="G51" s="5" t="str">
        <f>"1298 Muffin, WG, Swt Potato, IW"</f>
        <v>1298 Muffin, WG, Swt Potato, IW</v>
      </c>
      <c r="H51" s="14" t="str">
        <f t="shared" si="12"/>
        <v>96/2 oz</v>
      </c>
      <c r="I51" s="15">
        <v>96</v>
      </c>
      <c r="J51" s="12">
        <v>4.5999999999999999E-3</v>
      </c>
      <c r="K51" s="34">
        <f t="shared" si="11"/>
        <v>217.39130434782609</v>
      </c>
      <c r="L51" s="37">
        <v>4.5999999999999999E-3</v>
      </c>
      <c r="M51" s="47">
        <f t="shared" si="2"/>
        <v>217.39130434782609</v>
      </c>
      <c r="N51" s="46">
        <f t="shared" si="3"/>
        <v>20869.565217391304</v>
      </c>
      <c r="Q51" s="80">
        <f t="shared" si="4"/>
        <v>3.6231884057971016</v>
      </c>
      <c r="R51" s="79" t="str">
        <f t="shared" si="5"/>
        <v>EQP-LAWPACK1</v>
      </c>
      <c r="S51" s="79" t="str">
        <f t="shared" si="6"/>
        <v>AUTOBAKE-P</v>
      </c>
    </row>
    <row r="52" spans="1:19" ht="15.6" hidden="1" customHeight="1" thickBot="1" x14ac:dyDescent="0.3">
      <c r="A52" t="s">
        <v>23</v>
      </c>
      <c r="B52" s="11" t="str">
        <f t="shared" si="1"/>
        <v>hide</v>
      </c>
      <c r="D52" s="13" t="str">
        <f>"03501"</f>
        <v>03501</v>
      </c>
      <c r="E52" s="7" t="str">
        <f>"8"</f>
        <v>8</v>
      </c>
      <c r="F52" s="27">
        <v>0</v>
      </c>
      <c r="G52" s="5" t="str">
        <f>"BLUEBERRY MUFFINS"</f>
        <v>BLUEBERRY MUFFINS</v>
      </c>
      <c r="H52" s="14" t="str">
        <f>"192-2 oz. I.W."</f>
        <v>192-2 oz. I.W.</v>
      </c>
      <c r="I52" s="15">
        <v>192</v>
      </c>
      <c r="J52" s="12" t="str">
        <f>""</f>
        <v/>
      </c>
      <c r="K52" s="34" t="e">
        <f t="shared" si="11"/>
        <v>#VALUE!</v>
      </c>
      <c r="L52" s="37">
        <v>1</v>
      </c>
      <c r="M52" s="47">
        <f t="shared" si="2"/>
        <v>1</v>
      </c>
      <c r="N52" s="46">
        <f t="shared" si="3"/>
        <v>192</v>
      </c>
      <c r="Q52" s="80">
        <f t="shared" si="4"/>
        <v>1.6666666666666666E-2</v>
      </c>
      <c r="R52" s="79" t="str">
        <f t="shared" si="5"/>
        <v>EQP-LAWPACK1</v>
      </c>
      <c r="S52" s="79" t="str">
        <f t="shared" si="6"/>
        <v>AUTOBAKE-P</v>
      </c>
    </row>
    <row r="53" spans="1:19" ht="15.6" customHeight="1" thickBot="1" x14ac:dyDescent="0.3">
      <c r="A53" t="s">
        <v>23</v>
      </c>
      <c r="B53" s="11" t="str">
        <f t="shared" si="1"/>
        <v/>
      </c>
      <c r="D53" s="13" t="str">
        <f>"04804"</f>
        <v>04804</v>
      </c>
      <c r="E53" s="7" t="str">
        <f>"5"</f>
        <v>5</v>
      </c>
      <c r="F53" s="27">
        <v>983.58333333333337</v>
      </c>
      <c r="G53" s="5" t="str">
        <f>"WG Mixed Berry Muffins"</f>
        <v>WG Mixed Berry Muffins</v>
      </c>
      <c r="H53" s="14" t="str">
        <f>"48-2 oz. I.W."</f>
        <v>48-2 oz. I.W.</v>
      </c>
      <c r="I53" s="15">
        <v>48</v>
      </c>
      <c r="J53" s="12">
        <v>2.3E-3</v>
      </c>
      <c r="K53" s="34">
        <f t="shared" si="11"/>
        <v>434.78260869565219</v>
      </c>
      <c r="L53" s="37">
        <v>2.3E-3</v>
      </c>
      <c r="M53" s="47">
        <f t="shared" si="2"/>
        <v>434.78260869565219</v>
      </c>
      <c r="N53" s="46">
        <f t="shared" si="3"/>
        <v>20869.565217391304</v>
      </c>
      <c r="Q53" s="80">
        <f t="shared" si="4"/>
        <v>7.2463768115942031</v>
      </c>
      <c r="R53" s="79" t="str">
        <f t="shared" si="5"/>
        <v>EQP-LAWPACK1</v>
      </c>
      <c r="S53" s="79" t="str">
        <f t="shared" si="6"/>
        <v>AUTOBAKE-P</v>
      </c>
    </row>
    <row r="54" spans="1:19" ht="15.6" hidden="1" customHeight="1" thickBot="1" x14ac:dyDescent="0.3">
      <c r="A54" t="s">
        <v>23</v>
      </c>
      <c r="B54" s="11" t="str">
        <f t="shared" si="1"/>
        <v>hide</v>
      </c>
      <c r="D54" s="13" t="str">
        <f>"06061"</f>
        <v>06061</v>
      </c>
      <c r="E54" s="7" t="str">
        <f>"6"</f>
        <v>6</v>
      </c>
      <c r="F54" s="27">
        <v>0</v>
      </c>
      <c r="G54" s="5" t="str">
        <f>"Smart Choice Blueberry Muffin"</f>
        <v>Smart Choice Blueberry Muffin</v>
      </c>
      <c r="H54" s="14" t="str">
        <f>"48-3.6 oz. I.W. (clear film)"</f>
        <v>48-3.6 oz. I.W. (clear film)</v>
      </c>
      <c r="I54" s="15">
        <v>48</v>
      </c>
      <c r="J54" s="12">
        <v>1E-3</v>
      </c>
      <c r="K54" s="34">
        <f t="shared" si="11"/>
        <v>1000</v>
      </c>
      <c r="L54" s="37">
        <v>2.8400000000000001E-3</v>
      </c>
      <c r="M54" s="47">
        <f t="shared" si="2"/>
        <v>352.11267605633805</v>
      </c>
      <c r="N54" s="46">
        <f t="shared" si="3"/>
        <v>16901.408450704228</v>
      </c>
      <c r="Q54" s="80">
        <f t="shared" si="4"/>
        <v>5.868544600938967</v>
      </c>
      <c r="R54" s="79" t="str">
        <f t="shared" si="5"/>
        <v>EQP-LAWPACK1</v>
      </c>
      <c r="S54" s="79" t="str">
        <f t="shared" si="6"/>
        <v>AUTOBAKE-P</v>
      </c>
    </row>
    <row r="55" spans="1:19" ht="15.6" hidden="1" customHeight="1" thickBot="1" x14ac:dyDescent="0.3">
      <c r="A55" t="s">
        <v>23</v>
      </c>
      <c r="B55" s="11" t="str">
        <f t="shared" si="1"/>
        <v>hide</v>
      </c>
      <c r="D55" s="13" t="str">
        <f>"06070"</f>
        <v>06070</v>
      </c>
      <c r="E55" s="7" t="str">
        <f>"4"</f>
        <v>4</v>
      </c>
      <c r="F55" s="27">
        <v>0</v>
      </c>
      <c r="G55" s="5" t="str">
        <f>"Smart Choice Chocolate Chip"</f>
        <v>Smart Choice Chocolate Chip</v>
      </c>
      <c r="H55" s="14" t="str">
        <f>"48-3.6 oz. I.W. (clear film)"</f>
        <v>48-3.6 oz. I.W. (clear film)</v>
      </c>
      <c r="I55" s="15">
        <v>48</v>
      </c>
      <c r="J55" s="12">
        <v>1E-3</v>
      </c>
      <c r="K55" s="34">
        <f t="shared" si="11"/>
        <v>1000</v>
      </c>
      <c r="L55" s="37">
        <v>2.8400000000000001E-3</v>
      </c>
      <c r="M55" s="47">
        <f t="shared" si="2"/>
        <v>352.11267605633805</v>
      </c>
      <c r="N55" s="46">
        <f t="shared" si="3"/>
        <v>16901.408450704228</v>
      </c>
      <c r="Q55" s="80">
        <f t="shared" si="4"/>
        <v>5.868544600938967</v>
      </c>
      <c r="R55" s="79" t="str">
        <f t="shared" si="5"/>
        <v>EQP-LAWPACK1</v>
      </c>
      <c r="S55" s="79" t="str">
        <f t="shared" si="6"/>
        <v>AUTOBAKE-P</v>
      </c>
    </row>
    <row r="56" spans="1:19" ht="15.6" hidden="1" customHeight="1" thickBot="1" x14ac:dyDescent="0.3">
      <c r="A56" t="s">
        <v>23</v>
      </c>
      <c r="B56" s="11" t="str">
        <f t="shared" si="1"/>
        <v>hide</v>
      </c>
      <c r="D56" s="13" t="str">
        <f>"06630"</f>
        <v>06630</v>
      </c>
      <c r="E56" s="7" t="str">
        <f>"3"</f>
        <v>3</v>
      </c>
      <c r="F56" s="27">
        <v>0</v>
      </c>
      <c r="G56" s="5" t="str">
        <f>"SC Double Chocolate Muffin"</f>
        <v>SC Double Chocolate Muffin</v>
      </c>
      <c r="H56" s="14" t="str">
        <f t="shared" ref="H56:H62" si="13">"48-3.6 oz. I.W."</f>
        <v>48-3.6 oz. I.W.</v>
      </c>
      <c r="I56" s="15">
        <v>48</v>
      </c>
      <c r="J56" s="12">
        <v>2.8400000000000001E-3</v>
      </c>
      <c r="K56" s="34">
        <f t="shared" si="11"/>
        <v>352.11267605633805</v>
      </c>
      <c r="L56" s="37">
        <v>2.8400000000000001E-3</v>
      </c>
      <c r="M56" s="47">
        <f t="shared" si="2"/>
        <v>352.11267605633805</v>
      </c>
      <c r="N56" s="46">
        <f t="shared" si="3"/>
        <v>16901.408450704228</v>
      </c>
      <c r="Q56" s="80">
        <f t="shared" si="4"/>
        <v>5.868544600938967</v>
      </c>
      <c r="R56" s="79" t="str">
        <f t="shared" si="5"/>
        <v>EQP-LAWPACK1</v>
      </c>
      <c r="S56" s="79" t="str">
        <f t="shared" si="6"/>
        <v>AUTOBAKE-P</v>
      </c>
    </row>
    <row r="57" spans="1:19" ht="15.6" customHeight="1" thickBot="1" x14ac:dyDescent="0.3">
      <c r="A57" t="s">
        <v>23</v>
      </c>
      <c r="B57" s="11" t="str">
        <f t="shared" si="1"/>
        <v/>
      </c>
      <c r="D57" s="13" t="str">
        <f>"06661"</f>
        <v>06661</v>
      </c>
      <c r="E57" s="7" t="str">
        <f>"6"</f>
        <v>6</v>
      </c>
      <c r="F57" s="27">
        <v>2030.9999999999998</v>
      </c>
      <c r="G57" s="5" t="str">
        <f>"Smart Choice Blueberry Muffin"</f>
        <v>Smart Choice Blueberry Muffin</v>
      </c>
      <c r="H57" s="14" t="str">
        <f t="shared" si="13"/>
        <v>48-3.6 oz. I.W.</v>
      </c>
      <c r="I57" s="15">
        <v>48</v>
      </c>
      <c r="J57" s="12">
        <v>1E-3</v>
      </c>
      <c r="K57" s="34">
        <f t="shared" si="11"/>
        <v>1000</v>
      </c>
      <c r="L57" s="37">
        <v>2.8400000000000001E-3</v>
      </c>
      <c r="M57" s="47">
        <f t="shared" si="2"/>
        <v>352.11267605633805</v>
      </c>
      <c r="N57" s="46">
        <f t="shared" si="3"/>
        <v>16901.408450704228</v>
      </c>
      <c r="Q57" s="80">
        <f t="shared" si="4"/>
        <v>5.868544600938967</v>
      </c>
      <c r="R57" s="79" t="str">
        <f t="shared" si="5"/>
        <v>EQP-LAWPACK1</v>
      </c>
      <c r="S57" s="79" t="str">
        <f t="shared" si="6"/>
        <v>AUTOBAKE-P</v>
      </c>
    </row>
    <row r="58" spans="1:19" ht="15.6" customHeight="1" thickBot="1" x14ac:dyDescent="0.3">
      <c r="A58" t="s">
        <v>23</v>
      </c>
      <c r="B58" s="11" t="str">
        <f t="shared" si="1"/>
        <v/>
      </c>
      <c r="D58" s="13" t="str">
        <f>"06663"</f>
        <v>06663</v>
      </c>
      <c r="E58" s="7" t="str">
        <f>"4"</f>
        <v>4</v>
      </c>
      <c r="F58" s="27">
        <v>85.166666666666671</v>
      </c>
      <c r="G58" s="5" t="str">
        <f>"Smart Choice Org. Cranberry"</f>
        <v>Smart Choice Org. Cranberry</v>
      </c>
      <c r="H58" s="14" t="str">
        <f t="shared" si="13"/>
        <v>48-3.6 oz. I.W.</v>
      </c>
      <c r="I58" s="15">
        <v>48</v>
      </c>
      <c r="J58" s="12">
        <v>1E-3</v>
      </c>
      <c r="K58" s="34">
        <f t="shared" si="11"/>
        <v>1000</v>
      </c>
      <c r="L58" s="37">
        <v>2.8400000000000001E-3</v>
      </c>
      <c r="M58" s="47">
        <f t="shared" si="2"/>
        <v>352.11267605633805</v>
      </c>
      <c r="N58" s="46">
        <f t="shared" si="3"/>
        <v>16901.408450704228</v>
      </c>
      <c r="Q58" s="80">
        <f t="shared" si="4"/>
        <v>5.868544600938967</v>
      </c>
      <c r="R58" s="79" t="str">
        <f t="shared" si="5"/>
        <v>EQP-LAWPACK1</v>
      </c>
      <c r="S58" s="79" t="str">
        <f t="shared" si="6"/>
        <v>AUTOBAKE-P</v>
      </c>
    </row>
    <row r="59" spans="1:19" ht="15.6" customHeight="1" thickBot="1" x14ac:dyDescent="0.3">
      <c r="A59" t="s">
        <v>23</v>
      </c>
      <c r="B59" s="11" t="str">
        <f t="shared" si="1"/>
        <v/>
      </c>
      <c r="D59" s="13" t="str">
        <f>"06666"</f>
        <v>06666</v>
      </c>
      <c r="E59" s="7" t="str">
        <f>"6"</f>
        <v>6</v>
      </c>
      <c r="F59" s="27">
        <v>1010.3333333333335</v>
      </c>
      <c r="G59" s="5" t="str">
        <f>"Smart Choice Apple Cinn Muffin"</f>
        <v>Smart Choice Apple Cinn Muffin</v>
      </c>
      <c r="H59" s="14" t="str">
        <f t="shared" si="13"/>
        <v>48-3.6 oz. I.W.</v>
      </c>
      <c r="I59" s="15">
        <v>48</v>
      </c>
      <c r="J59" s="12">
        <v>1E-3</v>
      </c>
      <c r="K59" s="34">
        <f t="shared" si="11"/>
        <v>1000</v>
      </c>
      <c r="L59" s="37">
        <v>2.8400000000000001E-3</v>
      </c>
      <c r="M59" s="47">
        <f t="shared" si="2"/>
        <v>352.11267605633805</v>
      </c>
      <c r="N59" s="46">
        <f t="shared" si="3"/>
        <v>16901.408450704228</v>
      </c>
      <c r="Q59" s="80">
        <f t="shared" si="4"/>
        <v>5.868544600938967</v>
      </c>
      <c r="R59" s="79" t="str">
        <f t="shared" si="5"/>
        <v>EQP-LAWPACK1</v>
      </c>
      <c r="S59" s="79" t="str">
        <f t="shared" si="6"/>
        <v>AUTOBAKE-P</v>
      </c>
    </row>
    <row r="60" spans="1:19" ht="15.6" customHeight="1" thickBot="1" x14ac:dyDescent="0.3">
      <c r="A60" t="s">
        <v>23</v>
      </c>
      <c r="B60" s="11" t="str">
        <f t="shared" si="1"/>
        <v/>
      </c>
      <c r="D60" s="13" t="str">
        <f>"06670"</f>
        <v>06670</v>
      </c>
      <c r="E60" s="7" t="str">
        <f>"7"</f>
        <v>7</v>
      </c>
      <c r="F60" s="27">
        <v>3928.8333333333335</v>
      </c>
      <c r="G60" s="5" t="str">
        <f>"Smart Choice Choc Chip Muffin"</f>
        <v>Smart Choice Choc Chip Muffin</v>
      </c>
      <c r="H60" s="14" t="str">
        <f t="shared" si="13"/>
        <v>48-3.6 oz. I.W.</v>
      </c>
      <c r="I60" s="15">
        <v>48</v>
      </c>
      <c r="J60" s="12">
        <v>2.8400000000000001E-3</v>
      </c>
      <c r="K60" s="34">
        <f t="shared" si="11"/>
        <v>352.11267605633805</v>
      </c>
      <c r="L60" s="37">
        <v>2.8400000000000001E-3</v>
      </c>
      <c r="M60" s="47">
        <f t="shared" si="2"/>
        <v>352.11267605633805</v>
      </c>
      <c r="N60" s="46">
        <f t="shared" si="3"/>
        <v>16901.408450704228</v>
      </c>
      <c r="Q60" s="80">
        <f t="shared" si="4"/>
        <v>5.868544600938967</v>
      </c>
      <c r="R60" s="79" t="str">
        <f t="shared" si="5"/>
        <v>EQP-LAWPACK1</v>
      </c>
      <c r="S60" s="79" t="str">
        <f t="shared" si="6"/>
        <v>AUTOBAKE-P</v>
      </c>
    </row>
    <row r="61" spans="1:19" ht="15.6" customHeight="1" thickBot="1" x14ac:dyDescent="0.3">
      <c r="A61" t="s">
        <v>23</v>
      </c>
      <c r="B61" s="11" t="str">
        <f t="shared" si="1"/>
        <v/>
      </c>
      <c r="D61" s="13" t="str">
        <f>"06675"</f>
        <v>06675</v>
      </c>
      <c r="E61" s="7" t="str">
        <f>"3"</f>
        <v>3</v>
      </c>
      <c r="F61" s="27">
        <v>709</v>
      </c>
      <c r="G61" s="5" t="str">
        <f>"Smart Choice Banana Muffin"</f>
        <v>Smart Choice Banana Muffin</v>
      </c>
      <c r="H61" s="14" t="str">
        <f t="shared" si="13"/>
        <v>48-3.6 oz. I.W.</v>
      </c>
      <c r="I61" s="15">
        <v>48</v>
      </c>
      <c r="J61" s="12">
        <v>1E-3</v>
      </c>
      <c r="K61" s="34">
        <f t="shared" si="11"/>
        <v>1000</v>
      </c>
      <c r="L61" s="37">
        <v>2.8400000000000001E-3</v>
      </c>
      <c r="M61" s="47">
        <f t="shared" si="2"/>
        <v>352.11267605633805</v>
      </c>
      <c r="N61" s="46">
        <f t="shared" si="3"/>
        <v>16901.408450704228</v>
      </c>
      <c r="Q61" s="80">
        <f t="shared" si="4"/>
        <v>5.868544600938967</v>
      </c>
      <c r="R61" s="79" t="str">
        <f t="shared" si="5"/>
        <v>EQP-LAWPACK1</v>
      </c>
      <c r="S61" s="79" t="str">
        <f t="shared" si="6"/>
        <v>AUTOBAKE-P</v>
      </c>
    </row>
    <row r="62" spans="1:19" ht="15.6" hidden="1" customHeight="1" thickBot="1" x14ac:dyDescent="0.3">
      <c r="A62" t="s">
        <v>23</v>
      </c>
      <c r="B62" s="11" t="str">
        <f t="shared" si="1"/>
        <v>hide</v>
      </c>
      <c r="D62" s="13" t="str">
        <f>"06870"</f>
        <v>06870</v>
      </c>
      <c r="E62" s="7" t="str">
        <f>"2"</f>
        <v>2</v>
      </c>
      <c r="F62" s="27">
        <v>0</v>
      </c>
      <c r="G62" s="5" t="str">
        <f>"WG Choc Chip Muffin (national)"</f>
        <v>WG Choc Chip Muffin (national)</v>
      </c>
      <c r="H62" s="14" t="str">
        <f t="shared" si="13"/>
        <v>48-3.6 oz. I.W.</v>
      </c>
      <c r="I62" s="15">
        <v>48</v>
      </c>
      <c r="J62" s="12">
        <v>0</v>
      </c>
      <c r="K62" s="34" t="e">
        <f t="shared" si="11"/>
        <v>#DIV/0!</v>
      </c>
      <c r="L62" s="37">
        <v>2.5999999999999999E-3</v>
      </c>
      <c r="M62" s="47">
        <f t="shared" si="2"/>
        <v>384.61538461538464</v>
      </c>
      <c r="N62" s="46">
        <f t="shared" si="3"/>
        <v>18461.538461538461</v>
      </c>
      <c r="Q62" s="80">
        <f t="shared" si="4"/>
        <v>6.4102564102564106</v>
      </c>
      <c r="R62" s="79" t="str">
        <f t="shared" si="5"/>
        <v>EQP-LAWPACK1</v>
      </c>
      <c r="S62" s="79" t="str">
        <f t="shared" si="6"/>
        <v>AUTOBAKE-P</v>
      </c>
    </row>
    <row r="63" spans="1:19" ht="15.6" hidden="1" customHeight="1" thickBot="1" x14ac:dyDescent="0.3">
      <c r="A63" t="s">
        <v>23</v>
      </c>
      <c r="B63" s="11" t="str">
        <f t="shared" si="1"/>
        <v>hide</v>
      </c>
      <c r="D63" s="13" t="str">
        <f>"06901"</f>
        <v>06901</v>
      </c>
      <c r="E63" s="7" t="str">
        <f>"8"</f>
        <v>8</v>
      </c>
      <c r="F63" s="27">
        <v>0</v>
      </c>
      <c r="G63" s="5" t="str">
        <f>"1352 Muffins, Wild Blueberry, IW"</f>
        <v>1352 Muffins, Wild Blueberry, IW</v>
      </c>
      <c r="H63" s="14" t="str">
        <f>"48/3.6 oz"</f>
        <v>48/3.6 oz</v>
      </c>
      <c r="I63" s="15">
        <v>48</v>
      </c>
      <c r="J63" s="12">
        <v>1E-3</v>
      </c>
      <c r="K63" s="34">
        <f t="shared" si="11"/>
        <v>1000</v>
      </c>
      <c r="L63" s="37">
        <v>2.8400000000000001E-3</v>
      </c>
      <c r="M63" s="47">
        <f t="shared" si="2"/>
        <v>352.11267605633805</v>
      </c>
      <c r="N63" s="46">
        <f t="shared" si="3"/>
        <v>16901.408450704228</v>
      </c>
      <c r="Q63" s="80">
        <f t="shared" si="4"/>
        <v>5.868544600938967</v>
      </c>
      <c r="R63" s="79" t="str">
        <f t="shared" si="5"/>
        <v>EQP-LAWPACK1</v>
      </c>
      <c r="S63" s="79" t="str">
        <f t="shared" si="6"/>
        <v>AUTOBAKE-P</v>
      </c>
    </row>
    <row r="64" spans="1:19" ht="15.6" hidden="1" customHeight="1" thickBot="1" x14ac:dyDescent="0.3">
      <c r="A64" t="s">
        <v>23</v>
      </c>
      <c r="B64" s="11" t="str">
        <f t="shared" si="1"/>
        <v>hide</v>
      </c>
      <c r="D64" s="13" t="str">
        <f>"06941"</f>
        <v>06941</v>
      </c>
      <c r="E64" s="7" t="str">
        <f>"5"</f>
        <v>5</v>
      </c>
      <c r="F64" s="27">
        <v>0</v>
      </c>
      <c r="G64" s="5" t="str">
        <f>"1211 Muffins, WG, Blueberry, RF, IW"</f>
        <v>1211 Muffins, WG, Blueberry, RF, IW</v>
      </c>
      <c r="H64" s="14" t="str">
        <f>"48/3.6 oz"</f>
        <v>48/3.6 oz</v>
      </c>
      <c r="I64" s="15">
        <v>48</v>
      </c>
      <c r="J64" s="12">
        <v>1E-3</v>
      </c>
      <c r="K64" s="34">
        <f t="shared" si="11"/>
        <v>1000</v>
      </c>
      <c r="L64" s="37">
        <v>2.8400000000000001E-3</v>
      </c>
      <c r="M64" s="47">
        <f t="shared" si="2"/>
        <v>352.11267605633805</v>
      </c>
      <c r="N64" s="46">
        <f t="shared" si="3"/>
        <v>16901.408450704228</v>
      </c>
      <c r="Q64" s="80">
        <f t="shared" si="4"/>
        <v>5.868544600938967</v>
      </c>
      <c r="R64" s="79" t="str">
        <f t="shared" si="5"/>
        <v>EQP-LAWPACK1</v>
      </c>
      <c r="S64" s="79" t="str">
        <f t="shared" si="6"/>
        <v>AUTOBAKE-P</v>
      </c>
    </row>
    <row r="65" spans="1:19" ht="15.6" customHeight="1" thickBot="1" x14ac:dyDescent="0.3">
      <c r="A65" t="s">
        <v>23</v>
      </c>
      <c r="B65" s="11" t="str">
        <f t="shared" si="1"/>
        <v/>
      </c>
      <c r="D65" s="13" t="str">
        <f>"07661"</f>
        <v>07661</v>
      </c>
      <c r="E65" s="7" t="str">
        <f>"7"</f>
        <v>7</v>
      </c>
      <c r="F65" s="27">
        <v>353</v>
      </c>
      <c r="G65" s="5" t="str">
        <f>"Smart Choice Blueberry Muffin"</f>
        <v>Smart Choice Blueberry Muffin</v>
      </c>
      <c r="H65" s="14" t="str">
        <f>"48-4 oz. I.W."</f>
        <v>48-4 oz. I.W.</v>
      </c>
      <c r="I65" s="15">
        <v>48</v>
      </c>
      <c r="J65" s="12">
        <v>1E-3</v>
      </c>
      <c r="K65" s="34">
        <f t="shared" si="11"/>
        <v>1000</v>
      </c>
      <c r="L65" s="37">
        <v>2.7899999999999999E-3</v>
      </c>
      <c r="M65" s="47">
        <f t="shared" si="2"/>
        <v>358.42293906810039</v>
      </c>
      <c r="N65" s="46">
        <f t="shared" si="3"/>
        <v>17204.301075268821</v>
      </c>
      <c r="Q65" s="80">
        <f t="shared" si="4"/>
        <v>5.9737156511350067</v>
      </c>
      <c r="R65" s="79" t="str">
        <f t="shared" si="5"/>
        <v>EQP-LAWPACK1</v>
      </c>
      <c r="S65" s="79" t="str">
        <f t="shared" si="6"/>
        <v>AUTOBAKE-P</v>
      </c>
    </row>
    <row r="66" spans="1:19" ht="15.6" hidden="1" customHeight="1" thickBot="1" x14ac:dyDescent="0.3">
      <c r="A66" t="s">
        <v>23</v>
      </c>
      <c r="B66" s="11" t="str">
        <f t="shared" si="1"/>
        <v>hide</v>
      </c>
      <c r="D66" s="13" t="str">
        <f>"07666"</f>
        <v>07666</v>
      </c>
      <c r="E66" s="7" t="str">
        <f>"4"</f>
        <v>4</v>
      </c>
      <c r="F66" s="27">
        <v>0</v>
      </c>
      <c r="G66" s="5" t="str">
        <f>"Smart Choice Apple Cinnamon Muffin"</f>
        <v>Smart Choice Apple Cinnamon Muffin</v>
      </c>
      <c r="H66" s="14" t="str">
        <f>"48-4 oz. I.W."</f>
        <v>48-4 oz. I.W.</v>
      </c>
      <c r="I66" s="15">
        <v>48</v>
      </c>
      <c r="J66" s="12">
        <v>1E-3</v>
      </c>
      <c r="K66" s="34">
        <f t="shared" si="11"/>
        <v>1000</v>
      </c>
      <c r="L66" s="37">
        <v>2.7899999999999999E-3</v>
      </c>
      <c r="M66" s="47">
        <f t="shared" si="2"/>
        <v>358.42293906810039</v>
      </c>
      <c r="N66" s="46">
        <f t="shared" si="3"/>
        <v>17204.301075268821</v>
      </c>
      <c r="Q66" s="80">
        <f t="shared" si="4"/>
        <v>5.9737156511350067</v>
      </c>
      <c r="R66" s="79" t="str">
        <f t="shared" si="5"/>
        <v>EQP-LAWPACK1</v>
      </c>
      <c r="S66" s="79" t="str">
        <f t="shared" si="6"/>
        <v>AUTOBAKE-P</v>
      </c>
    </row>
    <row r="67" spans="1:19" ht="15.6" customHeight="1" thickBot="1" x14ac:dyDescent="0.3">
      <c r="A67" t="s">
        <v>23</v>
      </c>
      <c r="B67" s="11" t="str">
        <f t="shared" si="1"/>
        <v/>
      </c>
      <c r="D67" s="13" t="str">
        <f>"07670"</f>
        <v>07670</v>
      </c>
      <c r="E67" s="7" t="str">
        <f>"4"</f>
        <v>4</v>
      </c>
      <c r="F67" s="27">
        <v>447.91666666666669</v>
      </c>
      <c r="G67" s="5" t="str">
        <f>"Smart Choice Chocolate Chip"</f>
        <v>Smart Choice Chocolate Chip</v>
      </c>
      <c r="H67" s="14" t="str">
        <f>"48-4 oz. I.W."</f>
        <v>48-4 oz. I.W.</v>
      </c>
      <c r="I67" s="15">
        <v>48</v>
      </c>
      <c r="J67" s="12">
        <v>1E-3</v>
      </c>
      <c r="K67" s="34">
        <f t="shared" si="11"/>
        <v>1000</v>
      </c>
      <c r="L67" s="37">
        <v>2.7899999999999999E-3</v>
      </c>
      <c r="M67" s="47">
        <f t="shared" si="2"/>
        <v>358.42293906810039</v>
      </c>
      <c r="N67" s="46">
        <f t="shared" si="3"/>
        <v>17204.301075268821</v>
      </c>
      <c r="Q67" s="80">
        <f t="shared" si="4"/>
        <v>5.9737156511350067</v>
      </c>
      <c r="R67" s="79" t="str">
        <f t="shared" si="5"/>
        <v>EQP-LAWPACK1</v>
      </c>
      <c r="S67" s="79" t="str">
        <f t="shared" si="6"/>
        <v>AUTOBAKE-P</v>
      </c>
    </row>
    <row r="68" spans="1:19" ht="15.6" customHeight="1" thickBot="1" x14ac:dyDescent="0.3">
      <c r="A68" t="s">
        <v>23</v>
      </c>
      <c r="B68" s="11" t="str">
        <f t="shared" ref="B68" si="14">IF(F68=0,"hide","")</f>
        <v/>
      </c>
      <c r="D68" s="13" t="str">
        <f>"07670"</f>
        <v>07670</v>
      </c>
      <c r="E68" s="7" t="str">
        <f>"5"</f>
        <v>5</v>
      </c>
      <c r="F68" s="27">
        <v>447.91666666666669</v>
      </c>
      <c r="G68" s="5" t="str">
        <f>"Smart Choice Chocolate Chip"</f>
        <v>Smart Choice Chocolate Chip</v>
      </c>
      <c r="H68" s="14" t="str">
        <f>"48-4 oz. I.W."</f>
        <v>48-4 oz. I.W.</v>
      </c>
      <c r="I68" s="15">
        <v>48</v>
      </c>
      <c r="J68" s="12">
        <v>1E-3</v>
      </c>
      <c r="K68" s="34">
        <f t="shared" si="11"/>
        <v>1000</v>
      </c>
      <c r="L68" s="37">
        <v>2.7899999999999999E-3</v>
      </c>
      <c r="M68" s="47">
        <f t="shared" si="2"/>
        <v>358.42293906810039</v>
      </c>
      <c r="N68" s="46">
        <f t="shared" ref="N68" si="15">M68*I68</f>
        <v>17204.301075268821</v>
      </c>
      <c r="Q68" s="80">
        <f t="shared" ref="Q68" si="16">M68/60</f>
        <v>5.9737156511350067</v>
      </c>
      <c r="R68" s="79" t="str">
        <f t="shared" si="5"/>
        <v>EQP-LAWPACK1</v>
      </c>
      <c r="S68" s="79" t="str">
        <f t="shared" si="6"/>
        <v>AUTOBAKE-P</v>
      </c>
    </row>
    <row r="69" spans="1:19" ht="15.6" hidden="1" customHeight="1" thickBot="1" x14ac:dyDescent="0.3">
      <c r="A69" t="s">
        <v>23</v>
      </c>
      <c r="B69" s="11" t="str">
        <f t="shared" si="1"/>
        <v>hide</v>
      </c>
      <c r="D69" s="13" t="str">
        <f>"07675"</f>
        <v>07675</v>
      </c>
      <c r="E69" s="7" t="str">
        <f>"5"</f>
        <v>5</v>
      </c>
      <c r="F69" s="27">
        <v>0</v>
      </c>
      <c r="G69" s="5" t="str">
        <f>"Smart Choice Banana Muffin"</f>
        <v>Smart Choice Banana Muffin</v>
      </c>
      <c r="H69" s="14" t="str">
        <f>"48-4 oz. I.W."</f>
        <v>48-4 oz. I.W.</v>
      </c>
      <c r="I69" s="15">
        <v>48</v>
      </c>
      <c r="J69" s="12">
        <v>2.7399999999999998E-3</v>
      </c>
      <c r="K69" s="34">
        <f t="shared" si="11"/>
        <v>364.96350364963507</v>
      </c>
      <c r="L69" s="37">
        <v>2.7399999999999998E-3</v>
      </c>
      <c r="M69" s="47">
        <f t="shared" si="2"/>
        <v>364.96350364963507</v>
      </c>
      <c r="N69" s="46">
        <f t="shared" si="3"/>
        <v>17518.248175182482</v>
      </c>
      <c r="Q69" s="80">
        <f t="shared" si="4"/>
        <v>6.0827250608272516</v>
      </c>
      <c r="R69" s="79" t="str">
        <f t="shared" si="5"/>
        <v>EQP-LAWPACK1</v>
      </c>
      <c r="S69" s="79" t="str">
        <f t="shared" si="6"/>
        <v>AUTOBAKE-P</v>
      </c>
    </row>
    <row r="70" spans="1:19" ht="15.6" hidden="1" customHeight="1" thickBot="1" x14ac:dyDescent="0.3">
      <c r="A70" t="s">
        <v>23</v>
      </c>
      <c r="B70" s="11" t="str">
        <f t="shared" si="1"/>
        <v>hide</v>
      </c>
      <c r="D70" s="13" t="str">
        <f>"07910"</f>
        <v>07910</v>
      </c>
      <c r="E70" s="7" t="str">
        <f>"1"</f>
        <v>1</v>
      </c>
      <c r="F70" s="27">
        <v>0</v>
      </c>
      <c r="G70" s="5" t="str">
        <f>"1545 Chocolate Chip Muffin"</f>
        <v>1545 Chocolate Chip Muffin</v>
      </c>
      <c r="H70" s="14" t="str">
        <f>"48-4 oz. I.W. Muffins"</f>
        <v>48-4 oz. I.W. Muffins</v>
      </c>
      <c r="I70" s="15">
        <v>48</v>
      </c>
      <c r="J70" s="12">
        <v>0</v>
      </c>
      <c r="K70" s="34" t="e">
        <f t="shared" si="11"/>
        <v>#DIV/0!</v>
      </c>
      <c r="L70" s="37">
        <v>2.8600000000000001E-3</v>
      </c>
      <c r="M70" s="47">
        <f t="shared" si="2"/>
        <v>349.65034965034965</v>
      </c>
      <c r="N70" s="46">
        <f t="shared" si="3"/>
        <v>16783.216783216783</v>
      </c>
      <c r="Q70" s="80">
        <f t="shared" si="4"/>
        <v>5.8275058275058278</v>
      </c>
      <c r="R70" s="79" t="str">
        <f t="shared" si="5"/>
        <v>EQP-LAWPACK1</v>
      </c>
      <c r="S70" s="79" t="str">
        <f t="shared" si="6"/>
        <v>AUTOBAKE-P</v>
      </c>
    </row>
    <row r="71" spans="1:19" ht="15.6" hidden="1" customHeight="1" thickBot="1" x14ac:dyDescent="0.3">
      <c r="A71" t="s">
        <v>23</v>
      </c>
      <c r="B71" s="11" t="str">
        <f t="shared" si="1"/>
        <v>hide</v>
      </c>
      <c r="D71" s="13" t="str">
        <f>"07921"</f>
        <v>07921</v>
      </c>
      <c r="E71" s="7" t="str">
        <f>"5"</f>
        <v>5</v>
      </c>
      <c r="F71" s="27">
        <v>0</v>
      </c>
      <c r="G71" s="5" t="str">
        <f>"1412 WG Blueberry"</f>
        <v>1412 WG Blueberry</v>
      </c>
      <c r="H71" s="14" t="str">
        <f>"48-4 oz. I.W. Muffins"</f>
        <v>48-4 oz. I.W. Muffins</v>
      </c>
      <c r="I71" s="15">
        <v>48</v>
      </c>
      <c r="J71" s="12">
        <v>2.7399999999999998E-3</v>
      </c>
      <c r="K71" s="34">
        <f t="shared" si="11"/>
        <v>364.96350364963507</v>
      </c>
      <c r="L71" s="37">
        <v>2.7399999999999998E-3</v>
      </c>
      <c r="M71" s="47">
        <f t="shared" si="2"/>
        <v>364.96350364963507</v>
      </c>
      <c r="N71" s="46">
        <f t="shared" si="3"/>
        <v>17518.248175182482</v>
      </c>
      <c r="Q71" s="80">
        <f t="shared" si="4"/>
        <v>6.0827250608272516</v>
      </c>
      <c r="R71" s="79" t="str">
        <f t="shared" si="5"/>
        <v>EQP-LAWPACK1</v>
      </c>
      <c r="S71" s="79" t="str">
        <f t="shared" si="6"/>
        <v>AUTOBAKE-P</v>
      </c>
    </row>
    <row r="72" spans="1:19" ht="15.6" customHeight="1" thickBot="1" x14ac:dyDescent="0.3">
      <c r="A72" t="s">
        <v>23</v>
      </c>
      <c r="B72" s="11" t="str">
        <f t="shared" si="1"/>
        <v/>
      </c>
      <c r="D72" s="13" t="str">
        <f>"07940"</f>
        <v>07940</v>
      </c>
      <c r="E72" s="7" t="str">
        <f>"6"</f>
        <v>6</v>
      </c>
      <c r="F72" s="27">
        <v>2993.3333333333335</v>
      </c>
      <c r="G72" s="5" t="str">
        <f>"1392 Muffin, WG, Choc Chip, IW"</f>
        <v>1392 Muffin, WG, Choc Chip, IW</v>
      </c>
      <c r="H72" s="14" t="str">
        <f t="shared" ref="H72:H77" si="17">"48/4 oz"</f>
        <v>48/4 oz</v>
      </c>
      <c r="I72" s="15">
        <v>48</v>
      </c>
      <c r="J72" s="12">
        <v>1E-3</v>
      </c>
      <c r="K72" s="34">
        <f t="shared" si="11"/>
        <v>1000</v>
      </c>
      <c r="L72" s="37">
        <v>5.3E-3</v>
      </c>
      <c r="M72" s="47">
        <f t="shared" si="2"/>
        <v>188.67924528301887</v>
      </c>
      <c r="N72" s="46">
        <f t="shared" si="3"/>
        <v>9056.6037735849059</v>
      </c>
      <c r="Q72" s="80">
        <f t="shared" si="4"/>
        <v>3.1446540880503147</v>
      </c>
      <c r="R72" s="79" t="str">
        <f t="shared" si="5"/>
        <v>EQP-LAWPACK1</v>
      </c>
      <c r="S72" s="79" t="str">
        <f t="shared" si="6"/>
        <v>AUTOBAKE-P</v>
      </c>
    </row>
    <row r="73" spans="1:19" ht="15.6" customHeight="1" thickBot="1" x14ac:dyDescent="0.3">
      <c r="A73" t="s">
        <v>23</v>
      </c>
      <c r="B73" s="11" t="str">
        <f t="shared" si="1"/>
        <v/>
      </c>
      <c r="D73" s="13" t="str">
        <f>"07941"</f>
        <v>07941</v>
      </c>
      <c r="E73" s="7" t="str">
        <f>"5"</f>
        <v>5</v>
      </c>
      <c r="F73" s="27">
        <v>2602.9166666666665</v>
      </c>
      <c r="G73" s="5" t="str">
        <f>"1314 Muffins, WG, Blueberry, IW"</f>
        <v>1314 Muffins, WG, Blueberry, IW</v>
      </c>
      <c r="H73" s="14" t="str">
        <f t="shared" si="17"/>
        <v>48/4 oz</v>
      </c>
      <c r="I73" s="15">
        <v>48</v>
      </c>
      <c r="J73" s="12">
        <v>1E-3</v>
      </c>
      <c r="K73" s="34">
        <f t="shared" si="11"/>
        <v>1000</v>
      </c>
      <c r="L73" s="37">
        <v>2.8600000000000001E-3</v>
      </c>
      <c r="M73" s="47">
        <f t="shared" si="2"/>
        <v>349.65034965034965</v>
      </c>
      <c r="N73" s="46">
        <f t="shared" si="3"/>
        <v>16783.216783216783</v>
      </c>
      <c r="Q73" s="80">
        <f t="shared" si="4"/>
        <v>5.8275058275058278</v>
      </c>
      <c r="R73" s="79" t="str">
        <f t="shared" si="5"/>
        <v>EQP-LAWPACK1</v>
      </c>
      <c r="S73" s="79" t="str">
        <f t="shared" si="6"/>
        <v>AUTOBAKE-P</v>
      </c>
    </row>
    <row r="74" spans="1:19" ht="15.6" customHeight="1" thickBot="1" x14ac:dyDescent="0.3">
      <c r="A74" t="s">
        <v>23</v>
      </c>
      <c r="B74" s="11" t="str">
        <f t="shared" si="1"/>
        <v/>
      </c>
      <c r="D74" s="13" t="str">
        <f>"07946"</f>
        <v>07946</v>
      </c>
      <c r="E74" s="7" t="str">
        <f>"6"</f>
        <v>6</v>
      </c>
      <c r="F74" s="27">
        <v>1218.6666666666667</v>
      </c>
      <c r="G74" s="5" t="str">
        <f>"1336 Muffin, WG, Apple Cinnamon, IW"</f>
        <v>1336 Muffin, WG, Apple Cinnamon, IW</v>
      </c>
      <c r="H74" s="14" t="str">
        <f t="shared" si="17"/>
        <v>48/4 oz</v>
      </c>
      <c r="I74" s="15">
        <v>48</v>
      </c>
      <c r="J74" s="12">
        <v>1E-3</v>
      </c>
      <c r="K74" s="34">
        <f t="shared" si="11"/>
        <v>1000</v>
      </c>
      <c r="L74" s="37">
        <v>2.8600000000000001E-3</v>
      </c>
      <c r="M74" s="47">
        <f t="shared" si="2"/>
        <v>349.65034965034965</v>
      </c>
      <c r="N74" s="46">
        <f t="shared" si="3"/>
        <v>16783.216783216783</v>
      </c>
      <c r="Q74" s="80">
        <f t="shared" si="4"/>
        <v>5.8275058275058278</v>
      </c>
      <c r="R74" s="79" t="str">
        <f t="shared" si="5"/>
        <v>EQP-LAWPACK1</v>
      </c>
      <c r="S74" s="79" t="str">
        <f t="shared" si="6"/>
        <v>AUTOBAKE-P</v>
      </c>
    </row>
    <row r="75" spans="1:19" ht="15.6" customHeight="1" thickBot="1" x14ac:dyDescent="0.3">
      <c r="A75" t="s">
        <v>23</v>
      </c>
      <c r="B75" s="11" t="str">
        <f t="shared" si="1"/>
        <v/>
      </c>
      <c r="D75" s="13" t="str">
        <f>"07949"</f>
        <v>07949</v>
      </c>
      <c r="E75" s="7" t="str">
        <f>"6"</f>
        <v>6</v>
      </c>
      <c r="F75" s="27">
        <v>592.91666666666663</v>
      </c>
      <c r="G75" s="5" t="str">
        <f>"1389 Muffins, WG, Orange Dream, IW"</f>
        <v>1389 Muffins, WG, Orange Dream, IW</v>
      </c>
      <c r="H75" s="14" t="str">
        <f t="shared" si="17"/>
        <v>48/4 oz</v>
      </c>
      <c r="I75" s="15">
        <v>48</v>
      </c>
      <c r="J75" s="12">
        <v>1E-3</v>
      </c>
      <c r="K75" s="34">
        <f t="shared" ref="K75:K106" si="18">1/J75</f>
        <v>1000</v>
      </c>
      <c r="L75" s="37">
        <v>2.8600000000000001E-3</v>
      </c>
      <c r="M75" s="47">
        <f t="shared" si="2"/>
        <v>349.65034965034965</v>
      </c>
      <c r="N75" s="46">
        <f t="shared" si="3"/>
        <v>16783.216783216783</v>
      </c>
      <c r="Q75" s="80">
        <f t="shared" si="4"/>
        <v>5.8275058275058278</v>
      </c>
      <c r="R75" s="79" t="str">
        <f t="shared" si="5"/>
        <v>EQP-LAWPACK1</v>
      </c>
      <c r="S75" s="79" t="str">
        <f t="shared" si="6"/>
        <v>AUTOBAKE-P</v>
      </c>
    </row>
    <row r="76" spans="1:19" ht="15.6" customHeight="1" thickBot="1" x14ac:dyDescent="0.3">
      <c r="A76" t="s">
        <v>23</v>
      </c>
      <c r="B76" s="11" t="str">
        <f t="shared" si="1"/>
        <v/>
      </c>
      <c r="D76" s="13" t="str">
        <f>"07991"</f>
        <v>07991</v>
      </c>
      <c r="E76" s="7" t="str">
        <f>"4"</f>
        <v>4</v>
      </c>
      <c r="F76" s="27">
        <v>388.41666666666669</v>
      </c>
      <c r="G76" s="5" t="str">
        <f>"1324 Muffins, WG, Banana, IW"</f>
        <v>1324 Muffins, WG, Banana, IW</v>
      </c>
      <c r="H76" s="14" t="str">
        <f t="shared" si="17"/>
        <v>48/4 oz</v>
      </c>
      <c r="I76" s="15">
        <v>48</v>
      </c>
      <c r="J76" s="12">
        <v>1E-3</v>
      </c>
      <c r="K76" s="34">
        <f t="shared" si="18"/>
        <v>1000</v>
      </c>
      <c r="L76" s="37">
        <v>2.8600000000000001E-3</v>
      </c>
      <c r="M76" s="47">
        <f t="shared" si="2"/>
        <v>349.65034965034965</v>
      </c>
      <c r="N76" s="46">
        <f t="shared" si="3"/>
        <v>16783.216783216783</v>
      </c>
      <c r="Q76" s="80">
        <f t="shared" si="4"/>
        <v>5.8275058275058278</v>
      </c>
      <c r="R76" s="79" t="str">
        <f t="shared" si="5"/>
        <v>EQP-LAWPACK1</v>
      </c>
      <c r="S76" s="79" t="str">
        <f t="shared" si="6"/>
        <v>AUTOBAKE-P</v>
      </c>
    </row>
    <row r="77" spans="1:19" ht="15.6" hidden="1" customHeight="1" thickBot="1" x14ac:dyDescent="0.3">
      <c r="A77" t="s">
        <v>23</v>
      </c>
      <c r="B77" s="11" t="str">
        <f t="shared" si="1"/>
        <v>hide</v>
      </c>
      <c r="D77" s="13" t="str">
        <f>"07993"</f>
        <v>07993</v>
      </c>
      <c r="E77" s="7" t="str">
        <f>"6"</f>
        <v>6</v>
      </c>
      <c r="F77" s="27">
        <v>0</v>
      </c>
      <c r="G77" s="5" t="str">
        <f>"1325 Muffin, WG, Choc Choc Chip, IW"</f>
        <v>1325 Muffin, WG, Choc Choc Chip, IW</v>
      </c>
      <c r="H77" s="14" t="str">
        <f t="shared" si="17"/>
        <v>48/4 oz</v>
      </c>
      <c r="I77" s="15">
        <v>48</v>
      </c>
      <c r="J77" s="12">
        <v>1E-3</v>
      </c>
      <c r="K77" s="34">
        <f t="shared" si="18"/>
        <v>1000</v>
      </c>
      <c r="L77" s="37">
        <v>2.8600000000000001E-3</v>
      </c>
      <c r="M77" s="47">
        <f t="shared" si="2"/>
        <v>349.65034965034965</v>
      </c>
      <c r="N77" s="46">
        <f t="shared" si="3"/>
        <v>16783.216783216783</v>
      </c>
      <c r="Q77" s="80">
        <f t="shared" si="4"/>
        <v>5.8275058275058278</v>
      </c>
      <c r="R77" s="79" t="str">
        <f t="shared" si="5"/>
        <v>EQP-LAWPACK1</v>
      </c>
      <c r="S77" s="79" t="str">
        <f t="shared" si="6"/>
        <v>AUTOBAKE-P</v>
      </c>
    </row>
    <row r="78" spans="1:19" ht="15.6" hidden="1" customHeight="1" thickBot="1" x14ac:dyDescent="0.3">
      <c r="A78" t="s">
        <v>23</v>
      </c>
      <c r="B78" s="11" t="str">
        <f t="shared" ref="B78:B143" si="19">IF(F78=0,"hide","")</f>
        <v>hide</v>
      </c>
      <c r="D78" s="13" t="str">
        <f>"17701"</f>
        <v>17701</v>
      </c>
      <c r="E78" s="7" t="str">
        <f>"2"</f>
        <v>2</v>
      </c>
      <c r="F78" s="27">
        <v>0</v>
      </c>
      <c r="G78" s="5" t="str">
        <f>"BLUEBERRY LOAVES"</f>
        <v>BLUEBERRY LOAVES</v>
      </c>
      <c r="H78" s="14" t="str">
        <f>"140-2.25oz. 4-35 pk."</f>
        <v>140-2.25oz. 4-35 pk.</v>
      </c>
      <c r="I78" s="15">
        <v>140</v>
      </c>
      <c r="J78" s="12" t="str">
        <f>""</f>
        <v/>
      </c>
      <c r="K78" s="34" t="e">
        <f t="shared" si="18"/>
        <v>#VALUE!</v>
      </c>
      <c r="L78" s="37">
        <v>1</v>
      </c>
      <c r="M78" s="47">
        <f t="shared" ref="M78:M143" si="20">1/L78</f>
        <v>1</v>
      </c>
      <c r="N78" s="46">
        <f t="shared" ref="N78:N143" si="21">M78*I78</f>
        <v>140</v>
      </c>
      <c r="Q78" s="80">
        <f t="shared" ref="Q78:Q143" si="22">M78/60</f>
        <v>1.6666666666666666E-2</v>
      </c>
      <c r="R78" s="79" t="str">
        <f t="shared" ref="R78:R143" si="23">$G$4</f>
        <v>EQP-LAWPACK1</v>
      </c>
      <c r="S78" s="79" t="str">
        <f t="shared" ref="S78:S143" si="24">$G$5</f>
        <v>AUTOBAKE-P</v>
      </c>
    </row>
    <row r="79" spans="1:19" ht="15.6" hidden="1" customHeight="1" thickBot="1" x14ac:dyDescent="0.3">
      <c r="A79" t="s">
        <v>23</v>
      </c>
      <c r="B79" s="11" t="str">
        <f t="shared" si="19"/>
        <v>hide</v>
      </c>
      <c r="D79" s="13" t="str">
        <f>"23206"</f>
        <v>23206</v>
      </c>
      <c r="E79" s="7" t="str">
        <f>"5"</f>
        <v>5</v>
      </c>
      <c r="F79" s="27">
        <v>0</v>
      </c>
      <c r="G79" s="5" t="str">
        <f>"APPLE CINNAMON MUFFINS"</f>
        <v>APPLE CINNAMON MUFFINS</v>
      </c>
      <c r="H79" s="14" t="str">
        <f>"48-3 oz. I.W."</f>
        <v>48-3 oz. I.W.</v>
      </c>
      <c r="I79" s="15">
        <v>48</v>
      </c>
      <c r="J79" s="12">
        <v>2.7399999999999998E-3</v>
      </c>
      <c r="K79" s="34">
        <f t="shared" si="18"/>
        <v>364.96350364963507</v>
      </c>
      <c r="L79" s="37">
        <v>2.7399999999999998E-3</v>
      </c>
      <c r="M79" s="47">
        <f t="shared" si="20"/>
        <v>364.96350364963507</v>
      </c>
      <c r="N79" s="46">
        <f t="shared" si="21"/>
        <v>17518.248175182482</v>
      </c>
      <c r="Q79" s="80">
        <f t="shared" si="22"/>
        <v>6.0827250608272516</v>
      </c>
      <c r="R79" s="79" t="str">
        <f t="shared" si="23"/>
        <v>EQP-LAWPACK1</v>
      </c>
      <c r="S79" s="79" t="str">
        <f t="shared" si="24"/>
        <v>AUTOBAKE-P</v>
      </c>
    </row>
    <row r="80" spans="1:19" ht="15.6" customHeight="1" thickBot="1" x14ac:dyDescent="0.3">
      <c r="A80" t="s">
        <v>23</v>
      </c>
      <c r="B80" s="11" t="str">
        <f t="shared" si="19"/>
        <v/>
      </c>
      <c r="D80" s="13" t="str">
        <f>"23905"</f>
        <v>23905</v>
      </c>
      <c r="E80" s="7" t="str">
        <f>"11"</f>
        <v>11</v>
      </c>
      <c r="F80" s="27">
        <v>869.66666666666663</v>
      </c>
      <c r="G80" s="5" t="str">
        <f>"1277  WG, C orn Muffin , IW"</f>
        <v>1277  WG, C orn Muffin , IW</v>
      </c>
      <c r="H80" s="14" t="str">
        <f>"48/3 oz"</f>
        <v>48/3 oz</v>
      </c>
      <c r="I80" s="15">
        <v>48</v>
      </c>
      <c r="J80" s="12">
        <v>2.7399999999999998E-3</v>
      </c>
      <c r="K80" s="34">
        <f t="shared" si="18"/>
        <v>364.96350364963507</v>
      </c>
      <c r="L80" s="37">
        <v>2.7399999999999998E-3</v>
      </c>
      <c r="M80" s="47">
        <f t="shared" si="20"/>
        <v>364.96350364963507</v>
      </c>
      <c r="N80" s="46">
        <f t="shared" si="21"/>
        <v>17518.248175182482</v>
      </c>
      <c r="Q80" s="80">
        <f t="shared" si="22"/>
        <v>6.0827250608272516</v>
      </c>
      <c r="R80" s="79" t="str">
        <f t="shared" si="23"/>
        <v>EQP-LAWPACK1</v>
      </c>
      <c r="S80" s="79" t="str">
        <f t="shared" si="24"/>
        <v>AUTOBAKE-P</v>
      </c>
    </row>
    <row r="81" spans="1:19" ht="15.6" customHeight="1" thickBot="1" x14ac:dyDescent="0.3">
      <c r="A81" t="s">
        <v>23</v>
      </c>
      <c r="B81" s="11" t="str">
        <f t="shared" si="19"/>
        <v/>
      </c>
      <c r="D81" s="13" t="str">
        <f>"24661"</f>
        <v>24661</v>
      </c>
      <c r="E81" s="7" t="str">
        <f>"8"</f>
        <v>8</v>
      </c>
      <c r="F81" s="27">
        <v>2929.1666666666665</v>
      </c>
      <c r="G81" s="5" t="str">
        <f>"SC (2GE) Blueberry Muffins"</f>
        <v>SC (2GE) Blueberry Muffins</v>
      </c>
      <c r="H81" s="14" t="str">
        <f>"48-3.1 oz. I.W."</f>
        <v>48-3.1 oz. I.W.</v>
      </c>
      <c r="I81" s="15">
        <v>48</v>
      </c>
      <c r="J81" s="12">
        <v>2.7399999999999998E-3</v>
      </c>
      <c r="K81" s="34">
        <f t="shared" si="18"/>
        <v>364.96350364963507</v>
      </c>
      <c r="L81" s="37">
        <v>2.7399999999999998E-3</v>
      </c>
      <c r="M81" s="47">
        <f t="shared" si="20"/>
        <v>364.96350364963507</v>
      </c>
      <c r="N81" s="46">
        <f t="shared" si="21"/>
        <v>17518.248175182482</v>
      </c>
      <c r="Q81" s="80">
        <f t="shared" si="22"/>
        <v>6.0827250608272516</v>
      </c>
      <c r="R81" s="79" t="str">
        <f t="shared" si="23"/>
        <v>EQP-LAWPACK1</v>
      </c>
      <c r="S81" s="79" t="str">
        <f t="shared" si="24"/>
        <v>AUTOBAKE-P</v>
      </c>
    </row>
    <row r="82" spans="1:19" ht="15.6" customHeight="1" thickBot="1" x14ac:dyDescent="0.3">
      <c r="A82" t="s">
        <v>23</v>
      </c>
      <c r="B82" s="11" t="str">
        <f t="shared" si="19"/>
        <v/>
      </c>
      <c r="D82" s="13" t="str">
        <f>"24666"</f>
        <v>24666</v>
      </c>
      <c r="E82" s="7" t="str">
        <f>"6"</f>
        <v>6</v>
      </c>
      <c r="F82" s="27">
        <v>961.58333333333337</v>
      </c>
      <c r="G82" s="5" t="str">
        <f>"SC (2GE) Apple Cinn. Muffins"</f>
        <v>SC (2GE) Apple Cinn. Muffins</v>
      </c>
      <c r="H82" s="14" t="str">
        <f>"48-3.1 oz. I.W."</f>
        <v>48-3.1 oz. I.W.</v>
      </c>
      <c r="I82" s="15">
        <v>48</v>
      </c>
      <c r="J82" s="12">
        <v>2.7399999999999998E-3</v>
      </c>
      <c r="K82" s="34">
        <f t="shared" si="18"/>
        <v>364.96350364963507</v>
      </c>
      <c r="L82" s="37">
        <v>2.7399999999999998E-3</v>
      </c>
      <c r="M82" s="47">
        <f t="shared" si="20"/>
        <v>364.96350364963507</v>
      </c>
      <c r="N82" s="46">
        <f t="shared" si="21"/>
        <v>17518.248175182482</v>
      </c>
      <c r="Q82" s="80">
        <f t="shared" si="22"/>
        <v>6.0827250608272516</v>
      </c>
      <c r="R82" s="79" t="str">
        <f t="shared" si="23"/>
        <v>EQP-LAWPACK1</v>
      </c>
      <c r="S82" s="79" t="str">
        <f t="shared" si="24"/>
        <v>AUTOBAKE-P</v>
      </c>
    </row>
    <row r="83" spans="1:19" ht="15.6" customHeight="1" thickBot="1" x14ac:dyDescent="0.3">
      <c r="A83" t="s">
        <v>23</v>
      </c>
      <c r="B83" s="11" t="str">
        <f t="shared" si="19"/>
        <v/>
      </c>
      <c r="D83" s="13" t="str">
        <f>"24670"</f>
        <v>24670</v>
      </c>
      <c r="E83" s="7" t="str">
        <f>"7"</f>
        <v>7</v>
      </c>
      <c r="F83" s="27">
        <v>3926.0833333333335</v>
      </c>
      <c r="G83" s="5" t="str">
        <f>"SC (2GE) Chocolate Chip Muffin"</f>
        <v>SC (2GE) Chocolate Chip Muffin</v>
      </c>
      <c r="H83" s="14" t="str">
        <f>"48-3.1 oz. I.W."</f>
        <v>48-3.1 oz. I.W.</v>
      </c>
      <c r="I83" s="15">
        <v>48</v>
      </c>
      <c r="J83" s="12">
        <v>2.7399999999999998E-3</v>
      </c>
      <c r="K83" s="34">
        <f t="shared" si="18"/>
        <v>364.96350364963507</v>
      </c>
      <c r="L83" s="37">
        <v>2.7399999999999998E-3</v>
      </c>
      <c r="M83" s="47">
        <f t="shared" si="20"/>
        <v>364.96350364963507</v>
      </c>
      <c r="N83" s="46">
        <f t="shared" si="21"/>
        <v>17518.248175182482</v>
      </c>
      <c r="Q83" s="80">
        <f t="shared" si="22"/>
        <v>6.0827250608272516</v>
      </c>
      <c r="R83" s="79" t="str">
        <f t="shared" si="23"/>
        <v>EQP-LAWPACK1</v>
      </c>
      <c r="S83" s="79" t="str">
        <f t="shared" si="24"/>
        <v>AUTOBAKE-P</v>
      </c>
    </row>
    <row r="84" spans="1:19" ht="15.6" customHeight="1" thickBot="1" x14ac:dyDescent="0.3">
      <c r="A84" t="s">
        <v>23</v>
      </c>
      <c r="B84" s="11" t="str">
        <f t="shared" si="19"/>
        <v/>
      </c>
      <c r="D84" s="13" t="str">
        <f>"24675"</f>
        <v>24675</v>
      </c>
      <c r="E84" s="7" t="str">
        <f>"6"</f>
        <v>6</v>
      </c>
      <c r="F84" s="27">
        <v>1072.75</v>
      </c>
      <c r="G84" s="5" t="str">
        <f>"SC (2GE) Banana Muffins"</f>
        <v>SC (2GE) Banana Muffins</v>
      </c>
      <c r="H84" s="14" t="str">
        <f>"48-3.1 oz. I.W."</f>
        <v>48-3.1 oz. I.W.</v>
      </c>
      <c r="I84" s="15">
        <v>48</v>
      </c>
      <c r="J84" s="12">
        <v>2.7399999999999998E-3</v>
      </c>
      <c r="K84" s="34">
        <f t="shared" si="18"/>
        <v>364.96350364963507</v>
      </c>
      <c r="L84" s="37">
        <v>2.7399999999999998E-3</v>
      </c>
      <c r="M84" s="47">
        <f t="shared" si="20"/>
        <v>364.96350364963507</v>
      </c>
      <c r="N84" s="46">
        <f t="shared" si="21"/>
        <v>17518.248175182482</v>
      </c>
      <c r="Q84" s="80">
        <f t="shared" si="22"/>
        <v>6.0827250608272516</v>
      </c>
      <c r="R84" s="79" t="str">
        <f t="shared" si="23"/>
        <v>EQP-LAWPACK1</v>
      </c>
      <c r="S84" s="79" t="str">
        <f t="shared" si="24"/>
        <v>AUTOBAKE-P</v>
      </c>
    </row>
    <row r="85" spans="1:19" ht="15.6" hidden="1" customHeight="1" thickBot="1" x14ac:dyDescent="0.3">
      <c r="A85" t="s">
        <v>23</v>
      </c>
      <c r="B85" s="11" t="str">
        <f t="shared" si="19"/>
        <v>hide</v>
      </c>
      <c r="D85" s="13" t="str">
        <f>"24766"</f>
        <v>24766</v>
      </c>
      <c r="E85" s="7" t="str">
        <f>"1"</f>
        <v>1</v>
      </c>
      <c r="F85" s="27">
        <v>0</v>
      </c>
      <c r="G85" s="5" t="str">
        <f>"WG CLEAN LABEL APPLE CINN MUFFIN"</f>
        <v>WG CLEAN LABEL APPLE CINN MUFFIN</v>
      </c>
      <c r="H85" s="14" t="str">
        <f>"48-3.1 oz. I.W."</f>
        <v>48-3.1 oz. I.W.</v>
      </c>
      <c r="I85" s="15">
        <v>48</v>
      </c>
      <c r="J85" s="12">
        <v>0</v>
      </c>
      <c r="K85" s="34" t="e">
        <f t="shared" si="18"/>
        <v>#DIV/0!</v>
      </c>
      <c r="L85" s="37">
        <v>0</v>
      </c>
      <c r="M85" s="47" t="e">
        <f t="shared" si="20"/>
        <v>#DIV/0!</v>
      </c>
      <c r="N85" s="46" t="e">
        <f t="shared" si="21"/>
        <v>#DIV/0!</v>
      </c>
      <c r="Q85" s="80" t="e">
        <f t="shared" si="22"/>
        <v>#DIV/0!</v>
      </c>
      <c r="R85" s="79" t="str">
        <f t="shared" si="23"/>
        <v>EQP-LAWPACK1</v>
      </c>
      <c r="S85" s="79" t="str">
        <f t="shared" si="24"/>
        <v>AUTOBAKE-P</v>
      </c>
    </row>
    <row r="86" spans="1:19" ht="15.6" hidden="1" customHeight="1" thickBot="1" x14ac:dyDescent="0.3">
      <c r="A86" t="s">
        <v>23</v>
      </c>
      <c r="B86" s="11" t="str">
        <f t="shared" si="19"/>
        <v>hide</v>
      </c>
      <c r="D86" s="13" t="str">
        <f>"24860"</f>
        <v>24860</v>
      </c>
      <c r="E86" s="7" t="str">
        <f>"3"</f>
        <v>3</v>
      </c>
      <c r="F86" s="27">
        <v>0</v>
      </c>
      <c r="G86" s="5" t="str">
        <f>"GM CINN.TOAST Muffins"</f>
        <v>GM CINN.TOAST Muffins</v>
      </c>
      <c r="H86" s="14" t="str">
        <f>"40-3.1 oz. I.W."</f>
        <v>40-3.1 oz. I.W.</v>
      </c>
      <c r="I86" s="15">
        <v>40</v>
      </c>
      <c r="J86" s="12">
        <v>0</v>
      </c>
      <c r="K86" s="34" t="e">
        <f t="shared" si="18"/>
        <v>#DIV/0!</v>
      </c>
      <c r="L86" s="37">
        <v>3.0000000000000001E-3</v>
      </c>
      <c r="M86" s="47">
        <f t="shared" si="20"/>
        <v>333.33333333333331</v>
      </c>
      <c r="N86" s="46">
        <f t="shared" si="21"/>
        <v>13333.333333333332</v>
      </c>
      <c r="Q86" s="80">
        <f t="shared" si="22"/>
        <v>5.5555555555555554</v>
      </c>
      <c r="R86" s="79" t="str">
        <f t="shared" si="23"/>
        <v>EQP-LAWPACK1</v>
      </c>
      <c r="S86" s="79" t="str">
        <f t="shared" si="24"/>
        <v>AUTOBAKE-P</v>
      </c>
    </row>
    <row r="87" spans="1:19" ht="15.6" hidden="1" customHeight="1" thickBot="1" x14ac:dyDescent="0.3">
      <c r="A87" t="s">
        <v>23</v>
      </c>
      <c r="B87" s="11" t="str">
        <f t="shared" si="19"/>
        <v>hide</v>
      </c>
      <c r="D87" s="13" t="str">
        <f>"24861"</f>
        <v>24861</v>
      </c>
      <c r="E87" s="7" t="str">
        <f>"1"</f>
        <v>1</v>
      </c>
      <c r="F87" s="27">
        <v>0</v>
      </c>
      <c r="G87" s="5" t="str">
        <f>"WG Blueberry Muffins"</f>
        <v>WG Blueberry Muffins</v>
      </c>
      <c r="H87" s="14" t="str">
        <f>"48-3.1 oz. I.W."</f>
        <v>48-3.1 oz. I.W.</v>
      </c>
      <c r="I87" s="15">
        <v>48</v>
      </c>
      <c r="J87" s="12">
        <v>2.7399999999999998E-3</v>
      </c>
      <c r="K87" s="34">
        <f t="shared" si="18"/>
        <v>364.96350364963507</v>
      </c>
      <c r="L87" s="37">
        <v>2.7399999999999998E-3</v>
      </c>
      <c r="M87" s="47">
        <f t="shared" si="20"/>
        <v>364.96350364963507</v>
      </c>
      <c r="N87" s="46">
        <f t="shared" si="21"/>
        <v>17518.248175182482</v>
      </c>
      <c r="Q87" s="80">
        <f t="shared" si="22"/>
        <v>6.0827250608272516</v>
      </c>
      <c r="R87" s="79" t="str">
        <f t="shared" si="23"/>
        <v>EQP-LAWPACK1</v>
      </c>
      <c r="S87" s="79" t="str">
        <f t="shared" si="24"/>
        <v>AUTOBAKE-P</v>
      </c>
    </row>
    <row r="88" spans="1:19" ht="15.6" hidden="1" customHeight="1" thickBot="1" x14ac:dyDescent="0.3">
      <c r="A88" t="s">
        <v>23</v>
      </c>
      <c r="B88" s="11" t="str">
        <f t="shared" si="19"/>
        <v>hide</v>
      </c>
      <c r="D88" s="13" t="str">
        <f>"24869"</f>
        <v>24869</v>
      </c>
      <c r="E88" s="7" t="str">
        <f>"3"</f>
        <v>3</v>
      </c>
      <c r="F88" s="27">
        <v>0</v>
      </c>
      <c r="G88" s="5" t="str">
        <f>"GM TRIX Muffins"</f>
        <v>GM TRIX Muffins</v>
      </c>
      <c r="H88" s="14" t="str">
        <f>"40-3.1 oz. I.W."</f>
        <v>40-3.1 oz. I.W.</v>
      </c>
      <c r="I88" s="15">
        <v>40</v>
      </c>
      <c r="J88" s="12">
        <v>0</v>
      </c>
      <c r="K88" s="34" t="e">
        <f t="shared" si="18"/>
        <v>#DIV/0!</v>
      </c>
      <c r="L88" s="37">
        <v>3.0000000000000001E-3</v>
      </c>
      <c r="M88" s="47">
        <f t="shared" si="20"/>
        <v>333.33333333333331</v>
      </c>
      <c r="N88" s="46">
        <f t="shared" si="21"/>
        <v>13333.333333333332</v>
      </c>
      <c r="Q88" s="80">
        <f t="shared" si="22"/>
        <v>5.5555555555555554</v>
      </c>
      <c r="R88" s="79" t="str">
        <f t="shared" si="23"/>
        <v>EQP-LAWPACK1</v>
      </c>
      <c r="S88" s="79" t="str">
        <f t="shared" si="24"/>
        <v>AUTOBAKE-P</v>
      </c>
    </row>
    <row r="89" spans="1:19" ht="15.6" hidden="1" customHeight="1" thickBot="1" x14ac:dyDescent="0.3">
      <c r="A89" t="s">
        <v>23</v>
      </c>
      <c r="B89" s="11" t="str">
        <f t="shared" si="19"/>
        <v>hide</v>
      </c>
      <c r="D89" s="13" t="str">
        <f>"24870"</f>
        <v>24870</v>
      </c>
      <c r="E89" s="7" t="str">
        <f>"1"</f>
        <v>1</v>
      </c>
      <c r="F89" s="27">
        <v>0</v>
      </c>
      <c r="G89" s="5" t="str">
        <f>"WG Chocolate Chip Muffin"</f>
        <v>WG Chocolate Chip Muffin</v>
      </c>
      <c r="H89" s="14" t="str">
        <f>"48-3.1 oz. I.W."</f>
        <v>48-3.1 oz. I.W.</v>
      </c>
      <c r="I89" s="15">
        <v>48</v>
      </c>
      <c r="J89" s="12">
        <v>0</v>
      </c>
      <c r="K89" s="34" t="e">
        <f t="shared" si="18"/>
        <v>#DIV/0!</v>
      </c>
      <c r="L89" s="37">
        <v>2.5000000000000001E-3</v>
      </c>
      <c r="M89" s="47">
        <f t="shared" si="20"/>
        <v>400</v>
      </c>
      <c r="N89" s="46">
        <f t="shared" si="21"/>
        <v>19200</v>
      </c>
      <c r="Q89" s="80">
        <f t="shared" si="22"/>
        <v>6.666666666666667</v>
      </c>
      <c r="R89" s="79" t="str">
        <f t="shared" si="23"/>
        <v>EQP-LAWPACK1</v>
      </c>
      <c r="S89" s="79" t="str">
        <f t="shared" si="24"/>
        <v>AUTOBAKE-P</v>
      </c>
    </row>
    <row r="90" spans="1:19" ht="15.6" customHeight="1" thickBot="1" x14ac:dyDescent="0.3">
      <c r="A90" t="s">
        <v>23</v>
      </c>
      <c r="B90" s="11" t="str">
        <f t="shared" si="19"/>
        <v/>
      </c>
      <c r="D90" s="13" t="str">
        <f>"24961"</f>
        <v>24961</v>
      </c>
      <c r="E90" s="7" t="str">
        <f>"12"</f>
        <v>12</v>
      </c>
      <c r="F90" s="27">
        <v>1409.4166666666667</v>
      </c>
      <c r="G90" s="5" t="str">
        <f>"2164 Muffins, WG, Blueberry, IW"</f>
        <v>2164 Muffins, WG, Blueberry, IW</v>
      </c>
      <c r="H90" s="14" t="str">
        <f>"48/3.1 oz"</f>
        <v>48/3.1 oz</v>
      </c>
      <c r="I90" s="15">
        <v>48</v>
      </c>
      <c r="J90" s="12">
        <v>2.7399999999999998E-3</v>
      </c>
      <c r="K90" s="34">
        <f t="shared" si="18"/>
        <v>364.96350364963507</v>
      </c>
      <c r="L90" s="37">
        <v>2.7399999999999998E-3</v>
      </c>
      <c r="M90" s="47">
        <f t="shared" si="20"/>
        <v>364.96350364963507</v>
      </c>
      <c r="N90" s="46">
        <f t="shared" si="21"/>
        <v>17518.248175182482</v>
      </c>
      <c r="Q90" s="80">
        <f t="shared" si="22"/>
        <v>6.0827250608272516</v>
      </c>
      <c r="R90" s="79" t="str">
        <f t="shared" si="23"/>
        <v>EQP-LAWPACK1</v>
      </c>
      <c r="S90" s="79" t="str">
        <f t="shared" si="24"/>
        <v>AUTOBAKE-P</v>
      </c>
    </row>
    <row r="91" spans="1:19" ht="15.6" customHeight="1" thickBot="1" x14ac:dyDescent="0.3">
      <c r="A91" t="s">
        <v>23</v>
      </c>
      <c r="B91" s="11" t="str">
        <f t="shared" si="19"/>
        <v/>
      </c>
      <c r="D91" s="13" t="str">
        <f>"24966"</f>
        <v>24966</v>
      </c>
      <c r="E91" s="7" t="str">
        <f>"12"</f>
        <v>12</v>
      </c>
      <c r="F91" s="27">
        <v>483.83333333333331</v>
      </c>
      <c r="G91" s="5" t="str">
        <f>"2165 Muffin, WG, Apple Cinn, IW"</f>
        <v>2165 Muffin, WG, Apple Cinn, IW</v>
      </c>
      <c r="H91" s="14" t="str">
        <f>"48/3.1 oz"</f>
        <v>48/3.1 oz</v>
      </c>
      <c r="I91" s="15">
        <v>48</v>
      </c>
      <c r="J91" s="12">
        <v>2.7399999999999998E-3</v>
      </c>
      <c r="K91" s="34">
        <f t="shared" si="18"/>
        <v>364.96350364963507</v>
      </c>
      <c r="L91" s="37">
        <v>2.7399999999999998E-3</v>
      </c>
      <c r="M91" s="47">
        <f t="shared" si="20"/>
        <v>364.96350364963507</v>
      </c>
      <c r="N91" s="46">
        <f t="shared" si="21"/>
        <v>17518.248175182482</v>
      </c>
      <c r="Q91" s="80">
        <f t="shared" si="22"/>
        <v>6.0827250608272516</v>
      </c>
      <c r="R91" s="79" t="str">
        <f t="shared" si="23"/>
        <v>EQP-LAWPACK1</v>
      </c>
      <c r="S91" s="79" t="str">
        <f t="shared" si="24"/>
        <v>AUTOBAKE-P</v>
      </c>
    </row>
    <row r="92" spans="1:19" ht="15.6" customHeight="1" thickBot="1" x14ac:dyDescent="0.3">
      <c r="A92" t="s">
        <v>23</v>
      </c>
      <c r="B92" s="11" t="str">
        <f t="shared" si="19"/>
        <v/>
      </c>
      <c r="D92" s="13" t="str">
        <f>"24970"</f>
        <v>24970</v>
      </c>
      <c r="E92" s="7" t="str">
        <f>"11"</f>
        <v>11</v>
      </c>
      <c r="F92" s="27">
        <v>1453.8333333333333</v>
      </c>
      <c r="G92" s="5" t="str">
        <f>"2167 Muffin, WG, Choc Chip, IW"</f>
        <v>2167 Muffin, WG, Choc Chip, IW</v>
      </c>
      <c r="H92" s="14" t="str">
        <f>"48/3.1 oz"</f>
        <v>48/3.1 oz</v>
      </c>
      <c r="I92" s="15">
        <v>48</v>
      </c>
      <c r="J92" s="12">
        <v>2.7399999999999998E-3</v>
      </c>
      <c r="K92" s="34">
        <f t="shared" si="18"/>
        <v>364.96350364963507</v>
      </c>
      <c r="L92" s="37">
        <v>2.7399999999999998E-3</v>
      </c>
      <c r="M92" s="47">
        <f t="shared" si="20"/>
        <v>364.96350364963507</v>
      </c>
      <c r="N92" s="46">
        <f t="shared" si="21"/>
        <v>17518.248175182482</v>
      </c>
      <c r="Q92" s="80">
        <f t="shared" si="22"/>
        <v>6.0827250608272516</v>
      </c>
      <c r="R92" s="79" t="str">
        <f t="shared" si="23"/>
        <v>EQP-LAWPACK1</v>
      </c>
      <c r="S92" s="79" t="str">
        <f t="shared" si="24"/>
        <v>AUTOBAKE-P</v>
      </c>
    </row>
    <row r="93" spans="1:19" ht="15.6" customHeight="1" thickBot="1" x14ac:dyDescent="0.3">
      <c r="A93" t="s">
        <v>23</v>
      </c>
      <c r="B93" s="11" t="str">
        <f t="shared" si="19"/>
        <v/>
      </c>
      <c r="D93" s="13" t="str">
        <f>"24975"</f>
        <v>24975</v>
      </c>
      <c r="E93" s="7" t="str">
        <f>"9"</f>
        <v>9</v>
      </c>
      <c r="F93" s="27">
        <v>384.83333333333331</v>
      </c>
      <c r="G93" s="5" t="str">
        <f>"2166 Muffins, WG, Banana, IW"</f>
        <v>2166 Muffins, WG, Banana, IW</v>
      </c>
      <c r="H93" s="14" t="str">
        <f>"48/3.1 oz"</f>
        <v>48/3.1 oz</v>
      </c>
      <c r="I93" s="15">
        <v>48</v>
      </c>
      <c r="J93" s="12">
        <v>2.7399999999999998E-3</v>
      </c>
      <c r="K93" s="34">
        <f t="shared" si="18"/>
        <v>364.96350364963507</v>
      </c>
      <c r="L93" s="37">
        <v>2.7399999999999998E-3</v>
      </c>
      <c r="M93" s="47">
        <f t="shared" si="20"/>
        <v>364.96350364963507</v>
      </c>
      <c r="N93" s="46">
        <f t="shared" si="21"/>
        <v>17518.248175182482</v>
      </c>
      <c r="Q93" s="80">
        <f t="shared" si="22"/>
        <v>6.0827250608272516</v>
      </c>
      <c r="R93" s="79" t="str">
        <f t="shared" si="23"/>
        <v>EQP-LAWPACK1</v>
      </c>
      <c r="S93" s="79" t="str">
        <f t="shared" si="24"/>
        <v>AUTOBAKE-P</v>
      </c>
    </row>
    <row r="94" spans="1:19" ht="15.6" customHeight="1" thickBot="1" x14ac:dyDescent="0.3">
      <c r="A94" t="s">
        <v>23</v>
      </c>
      <c r="B94" s="11" t="str">
        <f t="shared" si="19"/>
        <v/>
      </c>
      <c r="D94" s="13" t="str">
        <f>"27205"</f>
        <v>27205</v>
      </c>
      <c r="E94" s="7" t="str">
        <f>"1"</f>
        <v>1</v>
      </c>
      <c r="F94" s="27">
        <v>489.91666666666669</v>
      </c>
      <c r="G94" s="5" t="str">
        <f>"CORNBREAD LOAVES"</f>
        <v>CORNBREAD LOAVES</v>
      </c>
      <c r="H94" s="14" t="str">
        <f t="shared" ref="H94:H101" si="25">"120-2 oz. 10 packs of 12"</f>
        <v>120-2 oz. 10 packs of 12</v>
      </c>
      <c r="I94" s="15">
        <v>120</v>
      </c>
      <c r="J94" s="12">
        <v>3.3400000000000001E-3</v>
      </c>
      <c r="K94" s="34">
        <f t="shared" si="18"/>
        <v>299.40119760479041</v>
      </c>
      <c r="L94" s="37">
        <v>3.8400000000000001E-3</v>
      </c>
      <c r="M94" s="47">
        <f t="shared" si="20"/>
        <v>260.41666666666669</v>
      </c>
      <c r="N94" s="46">
        <f t="shared" si="21"/>
        <v>31250.000000000004</v>
      </c>
      <c r="Q94" s="80">
        <f t="shared" si="22"/>
        <v>4.3402777777777777</v>
      </c>
      <c r="R94" s="79" t="str">
        <f t="shared" si="23"/>
        <v>EQP-LAWPACK1</v>
      </c>
      <c r="S94" s="79" t="str">
        <f t="shared" si="24"/>
        <v>AUTOBAKE-P</v>
      </c>
    </row>
    <row r="95" spans="1:19" ht="15.6" customHeight="1" thickBot="1" x14ac:dyDescent="0.3">
      <c r="A95" t="s">
        <v>23</v>
      </c>
      <c r="B95" s="11" t="str">
        <f t="shared" si="19"/>
        <v/>
      </c>
      <c r="D95" s="13" t="str">
        <f>"27305"</f>
        <v>27305</v>
      </c>
      <c r="E95" s="7" t="str">
        <f>"1"</f>
        <v>1</v>
      </c>
      <c r="F95" s="27">
        <v>99.166666666666671</v>
      </c>
      <c r="G95" s="5" t="str">
        <f>"SABRINA'S CORNBREAD LOAVES"</f>
        <v>SABRINA'S CORNBREAD LOAVES</v>
      </c>
      <c r="H95" s="14" t="str">
        <f t="shared" si="25"/>
        <v>120-2 oz. 10 packs of 12</v>
      </c>
      <c r="I95" s="15">
        <v>120</v>
      </c>
      <c r="J95" s="12">
        <v>0</v>
      </c>
      <c r="K95" s="34" t="e">
        <f t="shared" si="18"/>
        <v>#DIV/0!</v>
      </c>
      <c r="L95" s="37">
        <v>3.3400000000000001E-3</v>
      </c>
      <c r="M95" s="47">
        <f t="shared" si="20"/>
        <v>299.40119760479041</v>
      </c>
      <c r="N95" s="46">
        <f t="shared" si="21"/>
        <v>35928.143712574849</v>
      </c>
      <c r="Q95" s="80">
        <f t="shared" si="22"/>
        <v>4.9900199600798398</v>
      </c>
      <c r="R95" s="79" t="str">
        <f t="shared" si="23"/>
        <v>EQP-LAWPACK1</v>
      </c>
      <c r="S95" s="79" t="str">
        <f t="shared" si="24"/>
        <v>AUTOBAKE-P</v>
      </c>
    </row>
    <row r="96" spans="1:19" ht="15.6" customHeight="1" thickBot="1" x14ac:dyDescent="0.3">
      <c r="A96" t="s">
        <v>23</v>
      </c>
      <c r="B96" s="11" t="str">
        <f t="shared" si="19"/>
        <v/>
      </c>
      <c r="D96" s="13" t="str">
        <f>"27405"</f>
        <v>27405</v>
      </c>
      <c r="E96" s="7" t="str">
        <f>"15"</f>
        <v>15</v>
      </c>
      <c r="F96" s="27">
        <v>5389.5</v>
      </c>
      <c r="G96" s="5" t="str">
        <f>"CORNBREAD LOAVES"</f>
        <v>CORNBREAD LOAVES</v>
      </c>
      <c r="H96" s="14" t="str">
        <f t="shared" si="25"/>
        <v>120-2 oz. 10 packs of 12</v>
      </c>
      <c r="I96" s="15">
        <v>120</v>
      </c>
      <c r="J96" s="12">
        <v>3.3400000000000001E-3</v>
      </c>
      <c r="K96" s="34">
        <f t="shared" si="18"/>
        <v>299.40119760479041</v>
      </c>
      <c r="L96" s="37">
        <v>3.8400000000000001E-3</v>
      </c>
      <c r="M96" s="47">
        <f t="shared" si="20"/>
        <v>260.41666666666669</v>
      </c>
      <c r="N96" s="46">
        <f t="shared" si="21"/>
        <v>31250.000000000004</v>
      </c>
      <c r="Q96" s="80">
        <f t="shared" si="22"/>
        <v>4.3402777777777777</v>
      </c>
      <c r="R96" s="79" t="str">
        <f t="shared" si="23"/>
        <v>EQP-LAWPACK1</v>
      </c>
      <c r="S96" s="79" t="str">
        <f t="shared" si="24"/>
        <v>AUTOBAKE-P</v>
      </c>
    </row>
    <row r="97" spans="1:19" ht="15.6" hidden="1" customHeight="1" thickBot="1" x14ac:dyDescent="0.3">
      <c r="A97" t="s">
        <v>23</v>
      </c>
      <c r="B97" s="11" t="str">
        <f t="shared" si="19"/>
        <v>hide</v>
      </c>
      <c r="D97" s="13" t="str">
        <f>"27425"</f>
        <v>27425</v>
      </c>
      <c r="E97" s="7" t="str">
        <f>"5"</f>
        <v>5</v>
      </c>
      <c r="F97" s="27">
        <v>0</v>
      </c>
      <c r="G97" s="5" t="str">
        <f>"JALAPENO CORNBREAD LOAVES"</f>
        <v>JALAPENO CORNBREAD LOAVES</v>
      </c>
      <c r="H97" s="14" t="str">
        <f t="shared" si="25"/>
        <v>120-2 oz. 10 packs of 12</v>
      </c>
      <c r="I97" s="15">
        <v>120</v>
      </c>
      <c r="J97" s="12">
        <v>3.3400000000000001E-3</v>
      </c>
      <c r="K97" s="34">
        <f t="shared" si="18"/>
        <v>299.40119760479041</v>
      </c>
      <c r="L97" s="37">
        <v>3.3400000000000001E-3</v>
      </c>
      <c r="M97" s="47">
        <f t="shared" si="20"/>
        <v>299.40119760479041</v>
      </c>
      <c r="N97" s="46">
        <f t="shared" si="21"/>
        <v>35928.143712574849</v>
      </c>
      <c r="Q97" s="80">
        <f t="shared" si="22"/>
        <v>4.9900199600798398</v>
      </c>
      <c r="R97" s="79" t="str">
        <f t="shared" si="23"/>
        <v>EQP-LAWPACK1</v>
      </c>
      <c r="S97" s="79" t="str">
        <f t="shared" si="24"/>
        <v>AUTOBAKE-P</v>
      </c>
    </row>
    <row r="98" spans="1:19" ht="15.6" customHeight="1" thickBot="1" x14ac:dyDescent="0.3">
      <c r="A98" t="s">
        <v>23</v>
      </c>
      <c r="B98" s="11" t="str">
        <f t="shared" si="19"/>
        <v/>
      </c>
      <c r="D98" s="13" t="str">
        <f>"27705"</f>
        <v>27705</v>
      </c>
      <c r="E98" s="7" t="str">
        <f>"6"</f>
        <v>6</v>
      </c>
      <c r="F98" s="27">
        <v>65</v>
      </c>
      <c r="G98" s="5" t="str">
        <f>"CORNBREAD LOAVES"</f>
        <v>CORNBREAD LOAVES</v>
      </c>
      <c r="H98" s="14" t="str">
        <f t="shared" si="25"/>
        <v>120-2 oz. 10 packs of 12</v>
      </c>
      <c r="I98" s="15">
        <v>120</v>
      </c>
      <c r="J98" s="12">
        <v>3.3400000000000001E-3</v>
      </c>
      <c r="K98" s="34">
        <f t="shared" si="18"/>
        <v>299.40119760479041</v>
      </c>
      <c r="L98" s="37">
        <v>3.3400000000000001E-3</v>
      </c>
      <c r="M98" s="47">
        <f t="shared" si="20"/>
        <v>299.40119760479041</v>
      </c>
      <c r="N98" s="46">
        <f t="shared" si="21"/>
        <v>35928.143712574849</v>
      </c>
      <c r="Q98" s="80">
        <f t="shared" si="22"/>
        <v>4.9900199600798398</v>
      </c>
      <c r="R98" s="79" t="str">
        <f t="shared" si="23"/>
        <v>EQP-LAWPACK1</v>
      </c>
      <c r="S98" s="79" t="str">
        <f t="shared" si="24"/>
        <v>AUTOBAKE-P</v>
      </c>
    </row>
    <row r="99" spans="1:19" ht="15.6" customHeight="1" thickBot="1" x14ac:dyDescent="0.3">
      <c r="A99" t="s">
        <v>23</v>
      </c>
      <c r="B99" s="11" t="str">
        <f t="shared" si="19"/>
        <v/>
      </c>
      <c r="D99" s="13" t="str">
        <f>"27805"</f>
        <v>27805</v>
      </c>
      <c r="E99" s="7" t="str">
        <f>"8"</f>
        <v>8</v>
      </c>
      <c r="F99" s="27">
        <v>2191.3333333333335</v>
      </c>
      <c r="G99" s="5" t="str">
        <f>"Cornbread Loaves"</f>
        <v>Cornbread Loaves</v>
      </c>
      <c r="H99" s="14" t="str">
        <f t="shared" si="25"/>
        <v>120-2 oz. 10 packs of 12</v>
      </c>
      <c r="I99" s="15">
        <v>120</v>
      </c>
      <c r="J99" s="12">
        <v>3.3400000000000001E-3</v>
      </c>
      <c r="K99" s="34">
        <f t="shared" si="18"/>
        <v>299.40119760479041</v>
      </c>
      <c r="L99" s="37">
        <v>3.8400000000000001E-3</v>
      </c>
      <c r="M99" s="47">
        <f t="shared" si="20"/>
        <v>260.41666666666669</v>
      </c>
      <c r="N99" s="46">
        <f t="shared" si="21"/>
        <v>31250.000000000004</v>
      </c>
      <c r="Q99" s="80">
        <f t="shared" si="22"/>
        <v>4.3402777777777777</v>
      </c>
      <c r="R99" s="79" t="str">
        <f t="shared" si="23"/>
        <v>EQP-LAWPACK1</v>
      </c>
      <c r="S99" s="79" t="str">
        <f t="shared" si="24"/>
        <v>AUTOBAKE-P</v>
      </c>
    </row>
    <row r="100" spans="1:19" ht="15.6" hidden="1" customHeight="1" thickBot="1" x14ac:dyDescent="0.3">
      <c r="A100" t="s">
        <v>23</v>
      </c>
      <c r="B100" s="11" t="str">
        <f t="shared" si="19"/>
        <v>hide</v>
      </c>
      <c r="D100" s="13" t="str">
        <f>"27825"</f>
        <v>27825</v>
      </c>
      <c r="E100" s="7" t="str">
        <f>"8"</f>
        <v>8</v>
      </c>
      <c r="F100" s="27">
        <v>0</v>
      </c>
      <c r="G100" s="5" t="str">
        <f>"JALAPENO CORNBREAD LOAVES"</f>
        <v>JALAPENO CORNBREAD LOAVES</v>
      </c>
      <c r="H100" s="14" t="str">
        <f t="shared" si="25"/>
        <v>120-2 oz. 10 packs of 12</v>
      </c>
      <c r="I100" s="15">
        <v>120</v>
      </c>
      <c r="J100" s="12">
        <v>3.3400000000000001E-3</v>
      </c>
      <c r="K100" s="34">
        <f t="shared" si="18"/>
        <v>299.40119760479041</v>
      </c>
      <c r="L100" s="37">
        <v>3.3400000000000001E-3</v>
      </c>
      <c r="M100" s="47">
        <f t="shared" si="20"/>
        <v>299.40119760479041</v>
      </c>
      <c r="N100" s="46">
        <f t="shared" si="21"/>
        <v>35928.143712574849</v>
      </c>
      <c r="Q100" s="80">
        <f t="shared" si="22"/>
        <v>4.9900199600798398</v>
      </c>
      <c r="R100" s="79" t="str">
        <f t="shared" si="23"/>
        <v>EQP-LAWPACK1</v>
      </c>
      <c r="S100" s="79" t="str">
        <f t="shared" si="24"/>
        <v>AUTOBAKE-P</v>
      </c>
    </row>
    <row r="101" spans="1:19" ht="15.6" customHeight="1" thickBot="1" x14ac:dyDescent="0.3">
      <c r="A101" t="s">
        <v>23</v>
      </c>
      <c r="B101" s="11" t="str">
        <f t="shared" si="19"/>
        <v/>
      </c>
      <c r="D101" s="13" t="str">
        <f>"27836"</f>
        <v>27836</v>
      </c>
      <c r="E101" s="7" t="str">
        <f>"7"</f>
        <v>7</v>
      </c>
      <c r="F101" s="27">
        <v>102.58333333333333</v>
      </c>
      <c r="G101" s="5" t="str">
        <f>"CINNAMON CRUMB COFFEE CAKE"</f>
        <v>CINNAMON CRUMB COFFEE CAKE</v>
      </c>
      <c r="H101" s="14" t="str">
        <f t="shared" si="25"/>
        <v>120-2 oz. 10 packs of 12</v>
      </c>
      <c r="I101" s="15">
        <v>120</v>
      </c>
      <c r="J101" s="12" t="str">
        <f>""</f>
        <v/>
      </c>
      <c r="K101" s="34" t="e">
        <f t="shared" si="18"/>
        <v>#VALUE!</v>
      </c>
      <c r="L101" s="37">
        <v>1</v>
      </c>
      <c r="M101" s="47">
        <f t="shared" si="20"/>
        <v>1</v>
      </c>
      <c r="N101" s="46">
        <f t="shared" si="21"/>
        <v>120</v>
      </c>
      <c r="Q101" s="80">
        <f t="shared" si="22"/>
        <v>1.6666666666666666E-2</v>
      </c>
      <c r="R101" s="79" t="str">
        <f t="shared" si="23"/>
        <v>EQP-LAWPACK1</v>
      </c>
      <c r="S101" s="79" t="str">
        <f t="shared" si="24"/>
        <v>AUTOBAKE-P</v>
      </c>
    </row>
    <row r="102" spans="1:19" ht="15.6" customHeight="1" thickBot="1" x14ac:dyDescent="0.3">
      <c r="A102" t="s">
        <v>23</v>
      </c>
      <c r="B102" s="11" t="str">
        <f t="shared" si="19"/>
        <v/>
      </c>
      <c r="D102" s="13" t="str">
        <f>"27905"</f>
        <v>27905</v>
      </c>
      <c r="E102" s="7" t="str">
        <f>"8"</f>
        <v>8</v>
      </c>
      <c r="F102" s="27">
        <v>5866.666666666667</v>
      </c>
      <c r="G102" s="5" t="str">
        <f>"Authentic Cornbread DRC"</f>
        <v>Authentic Cornbread DRC</v>
      </c>
      <c r="H102" s="14" t="str">
        <f>"10 pks -12 units per case"</f>
        <v>10 pks -12 units per case</v>
      </c>
      <c r="I102" s="15">
        <v>120</v>
      </c>
      <c r="J102" s="12">
        <v>3.3800000000000002E-3</v>
      </c>
      <c r="K102" s="34">
        <f t="shared" si="18"/>
        <v>295.85798816568047</v>
      </c>
      <c r="L102" s="37">
        <v>3.8400000000000001E-3</v>
      </c>
      <c r="M102" s="47">
        <f t="shared" si="20"/>
        <v>260.41666666666669</v>
      </c>
      <c r="N102" s="46">
        <f t="shared" si="21"/>
        <v>31250.000000000004</v>
      </c>
      <c r="Q102" s="80">
        <f t="shared" si="22"/>
        <v>4.3402777777777777</v>
      </c>
      <c r="R102" s="79" t="str">
        <f t="shared" si="23"/>
        <v>EQP-LAWPACK1</v>
      </c>
      <c r="S102" s="79" t="str">
        <f t="shared" si="24"/>
        <v>AUTOBAKE-P</v>
      </c>
    </row>
    <row r="103" spans="1:19" ht="15.6" customHeight="1" thickBot="1" x14ac:dyDescent="0.3">
      <c r="A103" t="s">
        <v>23</v>
      </c>
      <c r="B103" s="11" t="str">
        <f t="shared" si="19"/>
        <v/>
      </c>
      <c r="D103" s="13" t="str">
        <f>"33405"</f>
        <v>33405</v>
      </c>
      <c r="E103" s="7" t="str">
        <f>"13"</f>
        <v>13</v>
      </c>
      <c r="F103" s="27">
        <v>2999.75</v>
      </c>
      <c r="G103" s="5" t="str">
        <f>"CORNBREAD LOAVES"</f>
        <v>CORNBREAD LOAVES</v>
      </c>
      <c r="H103" s="14" t="str">
        <f>"96-2oz. 24 trays of 4"</f>
        <v>96-2oz. 24 trays of 4</v>
      </c>
      <c r="I103" s="15">
        <v>96</v>
      </c>
      <c r="J103" s="12" t="str">
        <f>""</f>
        <v/>
      </c>
      <c r="K103" s="34" t="e">
        <f t="shared" si="18"/>
        <v>#VALUE!</v>
      </c>
      <c r="L103" s="37">
        <v>1</v>
      </c>
      <c r="M103" s="47">
        <f t="shared" si="20"/>
        <v>1</v>
      </c>
      <c r="N103" s="46">
        <f t="shared" si="21"/>
        <v>96</v>
      </c>
      <c r="Q103" s="80">
        <f t="shared" si="22"/>
        <v>1.6666666666666666E-2</v>
      </c>
      <c r="R103" s="79" t="str">
        <f t="shared" si="23"/>
        <v>EQP-LAWPACK1</v>
      </c>
      <c r="S103" s="79" t="str">
        <f t="shared" si="24"/>
        <v>AUTOBAKE-P</v>
      </c>
    </row>
    <row r="104" spans="1:19" ht="15.6" customHeight="1" thickBot="1" x14ac:dyDescent="0.3">
      <c r="A104" t="s">
        <v>23</v>
      </c>
      <c r="B104" s="11" t="str">
        <f t="shared" si="19"/>
        <v/>
      </c>
      <c r="D104" s="13" t="str">
        <f>"37401"</f>
        <v>37401</v>
      </c>
      <c r="E104" s="7" t="str">
        <f>"11"</f>
        <v>11</v>
      </c>
      <c r="F104" s="27">
        <v>297.75000000000006</v>
      </c>
      <c r="G104" s="5" t="str">
        <f>"BLUEBERRY MUFFINS"</f>
        <v>BLUEBERRY MUFFINS</v>
      </c>
      <c r="H104" s="14" t="str">
        <f>"24-4.5 oz. 6-4 pack"</f>
        <v>24-4.5 oz. 6-4 pack</v>
      </c>
      <c r="I104" s="15">
        <v>24</v>
      </c>
      <c r="J104" s="12" t="str">
        <f>""</f>
        <v/>
      </c>
      <c r="K104" s="34" t="e">
        <f t="shared" si="18"/>
        <v>#VALUE!</v>
      </c>
      <c r="L104" s="37">
        <v>1</v>
      </c>
      <c r="M104" s="47">
        <f t="shared" si="20"/>
        <v>1</v>
      </c>
      <c r="N104" s="46">
        <f t="shared" si="21"/>
        <v>24</v>
      </c>
      <c r="Q104" s="80">
        <f t="shared" si="22"/>
        <v>1.6666666666666666E-2</v>
      </c>
      <c r="R104" s="79" t="str">
        <f t="shared" si="23"/>
        <v>EQP-LAWPACK1</v>
      </c>
      <c r="S104" s="79" t="str">
        <f t="shared" si="24"/>
        <v>AUTOBAKE-P</v>
      </c>
    </row>
    <row r="105" spans="1:19" ht="15.6" customHeight="1" thickBot="1" x14ac:dyDescent="0.3">
      <c r="A105" t="s">
        <v>23</v>
      </c>
      <c r="B105" s="11" t="str">
        <f t="shared" ref="B105" si="26">IF(F105=0,"hide","")</f>
        <v/>
      </c>
      <c r="D105" s="13" t="str">
        <f>"37401"</f>
        <v>37401</v>
      </c>
      <c r="E105" s="7" t="str">
        <f>"13"</f>
        <v>13</v>
      </c>
      <c r="F105" s="27">
        <v>297.75000000000006</v>
      </c>
      <c r="G105" s="5" t="str">
        <f>"BLUEBERRY MUFFINS"</f>
        <v>BLUEBERRY MUFFINS</v>
      </c>
      <c r="H105" s="14" t="str">
        <f>"24-4.5 oz. 6-4 pack"</f>
        <v>24-4.5 oz. 6-4 pack</v>
      </c>
      <c r="I105" s="15">
        <v>24</v>
      </c>
      <c r="J105" s="12">
        <v>4.1999999999999997E-3</v>
      </c>
      <c r="K105" s="34">
        <f t="shared" si="18"/>
        <v>238.0952380952381</v>
      </c>
      <c r="L105" s="37">
        <v>2.3999999999999998E-3</v>
      </c>
      <c r="M105" s="47">
        <f t="shared" si="20"/>
        <v>416.66666666666669</v>
      </c>
      <c r="N105" s="46">
        <f t="shared" ref="N105" si="27">M105*I105</f>
        <v>10000</v>
      </c>
      <c r="Q105" s="80">
        <f t="shared" ref="Q105" si="28">M105/60</f>
        <v>6.9444444444444446</v>
      </c>
      <c r="R105" s="79" t="str">
        <f t="shared" si="23"/>
        <v>EQP-LAWPACK1</v>
      </c>
      <c r="S105" s="79" t="str">
        <f t="shared" si="24"/>
        <v>AUTOBAKE-P</v>
      </c>
    </row>
    <row r="106" spans="1:19" ht="15.6" customHeight="1" thickBot="1" x14ac:dyDescent="0.3">
      <c r="A106" t="s">
        <v>23</v>
      </c>
      <c r="B106" s="11" t="str">
        <f t="shared" si="19"/>
        <v/>
      </c>
      <c r="D106" s="13" t="str">
        <f>"37405"</f>
        <v>37405</v>
      </c>
      <c r="E106" s="7" t="str">
        <f>"5"</f>
        <v>5</v>
      </c>
      <c r="F106" s="27">
        <v>187.5</v>
      </c>
      <c r="G106" s="5" t="str">
        <f>"CORN MUFFINS"</f>
        <v>CORN MUFFINS</v>
      </c>
      <c r="H106" s="14" t="str">
        <f>"24-4.5 oz. 6-4 pack"</f>
        <v>24-4.5 oz. 6-4 pack</v>
      </c>
      <c r="I106" s="15">
        <v>24</v>
      </c>
      <c r="J106" s="12" t="str">
        <f>""</f>
        <v/>
      </c>
      <c r="K106" s="34" t="e">
        <f t="shared" si="18"/>
        <v>#VALUE!</v>
      </c>
      <c r="L106" s="37">
        <v>1</v>
      </c>
      <c r="M106" s="47">
        <f t="shared" si="20"/>
        <v>1</v>
      </c>
      <c r="N106" s="46">
        <f t="shared" si="21"/>
        <v>24</v>
      </c>
      <c r="Q106" s="80">
        <f t="shared" si="22"/>
        <v>1.6666666666666666E-2</v>
      </c>
      <c r="R106" s="79" t="str">
        <f t="shared" si="23"/>
        <v>EQP-LAWPACK1</v>
      </c>
      <c r="S106" s="79" t="str">
        <f t="shared" si="24"/>
        <v>AUTOBAKE-P</v>
      </c>
    </row>
    <row r="107" spans="1:19" ht="15.6" customHeight="1" thickBot="1" x14ac:dyDescent="0.3">
      <c r="A107" t="s">
        <v>23</v>
      </c>
      <c r="B107" s="11" t="str">
        <f t="shared" ref="B107" si="29">IF(F107=0,"hide","")</f>
        <v/>
      </c>
      <c r="D107" s="13" t="str">
        <f>"37405"</f>
        <v>37405</v>
      </c>
      <c r="E107" s="7" t="str">
        <f>"7"</f>
        <v>7</v>
      </c>
      <c r="F107" s="27">
        <v>187.5</v>
      </c>
      <c r="G107" s="5" t="str">
        <f>"CORN MUFFINS"</f>
        <v>CORN MUFFINS</v>
      </c>
      <c r="H107" s="14" t="str">
        <f>"24-4.5 oz. 6-4 pack"</f>
        <v>24-4.5 oz. 6-4 pack</v>
      </c>
      <c r="I107" s="15">
        <v>24</v>
      </c>
      <c r="J107" s="12">
        <v>4.1999999999999997E-3</v>
      </c>
      <c r="K107" s="34">
        <f t="shared" ref="K107:K138" si="30">1/J107</f>
        <v>238.0952380952381</v>
      </c>
      <c r="L107" s="37">
        <v>2.3999999999999998E-3</v>
      </c>
      <c r="M107" s="47">
        <f t="shared" si="20"/>
        <v>416.66666666666669</v>
      </c>
      <c r="N107" s="46">
        <f t="shared" ref="N107" si="31">M107*I107</f>
        <v>10000</v>
      </c>
      <c r="Q107" s="80">
        <f t="shared" ref="Q107" si="32">M107/60</f>
        <v>6.9444444444444446</v>
      </c>
      <c r="R107" s="79" t="str">
        <f t="shared" si="23"/>
        <v>EQP-LAWPACK1</v>
      </c>
      <c r="S107" s="79" t="str">
        <f t="shared" si="24"/>
        <v>AUTOBAKE-P</v>
      </c>
    </row>
    <row r="108" spans="1:19" ht="15.6" customHeight="1" thickBot="1" x14ac:dyDescent="0.3">
      <c r="A108" t="s">
        <v>23</v>
      </c>
      <c r="B108" s="11" t="str">
        <f t="shared" si="19"/>
        <v/>
      </c>
      <c r="D108" s="13" t="str">
        <f>"37410"</f>
        <v>37410</v>
      </c>
      <c r="E108" s="7" t="str">
        <f>"7"</f>
        <v>7</v>
      </c>
      <c r="F108" s="27">
        <v>178.91666666666666</v>
      </c>
      <c r="G108" s="5" t="str">
        <f>"CHOCOLATE CHIP MUFFINS"</f>
        <v>CHOCOLATE CHIP MUFFINS</v>
      </c>
      <c r="H108" s="14" t="str">
        <f>"24-4.5 oz. 6-4 pack"</f>
        <v>24-4.5 oz. 6-4 pack</v>
      </c>
      <c r="I108" s="15">
        <v>24</v>
      </c>
      <c r="J108" s="12">
        <v>4.1999999999999997E-3</v>
      </c>
      <c r="K108" s="34">
        <f t="shared" si="30"/>
        <v>238.0952380952381</v>
      </c>
      <c r="L108" s="37">
        <v>4.4000000000000003E-3</v>
      </c>
      <c r="M108" s="47">
        <f t="shared" si="20"/>
        <v>227.27272727272725</v>
      </c>
      <c r="N108" s="46">
        <f t="shared" si="21"/>
        <v>5454.545454545454</v>
      </c>
      <c r="Q108" s="80">
        <f t="shared" si="22"/>
        <v>3.7878787878787876</v>
      </c>
      <c r="R108" s="79" t="str">
        <f t="shared" si="23"/>
        <v>EQP-LAWPACK1</v>
      </c>
      <c r="S108" s="79" t="str">
        <f t="shared" si="24"/>
        <v>AUTOBAKE-P</v>
      </c>
    </row>
    <row r="109" spans="1:19" ht="15.6" customHeight="1" thickBot="1" x14ac:dyDescent="0.3">
      <c r="A109" t="s">
        <v>23</v>
      </c>
      <c r="B109" s="11" t="str">
        <f t="shared" si="19"/>
        <v/>
      </c>
      <c r="D109" s="13" t="str">
        <f>"39610"</f>
        <v>39610</v>
      </c>
      <c r="E109" s="7" t="str">
        <f>"4"</f>
        <v>4</v>
      </c>
      <c r="F109" s="27">
        <v>741</v>
      </c>
      <c r="G109" s="5" t="str">
        <f>"CHOCOLATE CHIP MUFFINS"</f>
        <v>CHOCOLATE CHIP MUFFINS</v>
      </c>
      <c r="H109" s="14" t="str">
        <f>"64-5 oz. 16-4 pack"</f>
        <v>64-5 oz. 16-4 pack</v>
      </c>
      <c r="I109" s="15">
        <v>64</v>
      </c>
      <c r="J109" s="12">
        <v>4.1000000000000003E-3</v>
      </c>
      <c r="K109" s="34">
        <f t="shared" si="30"/>
        <v>243.90243902439022</v>
      </c>
      <c r="L109" s="37">
        <v>1.17E-2</v>
      </c>
      <c r="M109" s="47">
        <f t="shared" si="20"/>
        <v>85.470085470085465</v>
      </c>
      <c r="N109" s="46">
        <f t="shared" si="21"/>
        <v>5470.0854700854698</v>
      </c>
      <c r="Q109" s="80">
        <f t="shared" si="22"/>
        <v>1.4245014245014245</v>
      </c>
      <c r="R109" s="79" t="str">
        <f t="shared" si="23"/>
        <v>EQP-LAWPACK1</v>
      </c>
      <c r="S109" s="79" t="str">
        <f t="shared" si="24"/>
        <v>AUTOBAKE-P</v>
      </c>
    </row>
    <row r="110" spans="1:19" ht="15.6" customHeight="1" thickBot="1" x14ac:dyDescent="0.3">
      <c r="A110" t="s">
        <v>23</v>
      </c>
      <c r="B110" s="11" t="str">
        <f t="shared" si="19"/>
        <v/>
      </c>
      <c r="D110" s="13" t="str">
        <f>"41401"</f>
        <v>41401</v>
      </c>
      <c r="E110" s="7" t="str">
        <f>"4"</f>
        <v>4</v>
      </c>
      <c r="F110" s="27">
        <v>390.83333333333331</v>
      </c>
      <c r="G110" s="5" t="str">
        <f>"Blueberry Mufifn TOPS"</f>
        <v>Blueberry Mufifn TOPS</v>
      </c>
      <c r="H110" s="14" t="str">
        <f>"96-2 oz. 12pks of 8 w/labels"</f>
        <v>96-2 oz. 12pks of 8 w/labels</v>
      </c>
      <c r="I110" s="15">
        <v>96</v>
      </c>
      <c r="J110" s="12">
        <v>0</v>
      </c>
      <c r="K110" s="34" t="e">
        <f t="shared" si="30"/>
        <v>#DIV/0!</v>
      </c>
      <c r="L110" s="37">
        <v>0</v>
      </c>
      <c r="M110" s="47" t="e">
        <f t="shared" si="20"/>
        <v>#DIV/0!</v>
      </c>
      <c r="N110" s="46" t="e">
        <f t="shared" si="21"/>
        <v>#DIV/0!</v>
      </c>
      <c r="Q110" s="80" t="e">
        <f t="shared" si="22"/>
        <v>#DIV/0!</v>
      </c>
      <c r="R110" s="79" t="str">
        <f t="shared" si="23"/>
        <v>EQP-LAWPACK1</v>
      </c>
      <c r="S110" s="79" t="str">
        <f t="shared" si="24"/>
        <v>AUTOBAKE-P</v>
      </c>
    </row>
    <row r="111" spans="1:19" ht="15.6" customHeight="1" thickBot="1" x14ac:dyDescent="0.3">
      <c r="A111" t="s">
        <v>23</v>
      </c>
      <c r="B111" s="11" t="str">
        <f t="shared" si="19"/>
        <v/>
      </c>
      <c r="D111" s="13" t="str">
        <f>"41701"</f>
        <v>41701</v>
      </c>
      <c r="E111" s="7" t="str">
        <f>"1"</f>
        <v>1</v>
      </c>
      <c r="F111" s="27">
        <v>15.75</v>
      </c>
      <c r="G111" s="5" t="str">
        <f>"Blueberry TOPS -Sabrinas"</f>
        <v>Blueberry TOPS -Sabrinas</v>
      </c>
      <c r="H111" s="14" t="str">
        <f>"96-2 oz. 12 packages of 8"</f>
        <v>96-2 oz. 12 packages of 8</v>
      </c>
      <c r="I111" s="15">
        <v>96</v>
      </c>
      <c r="J111" s="12">
        <v>8.0000000000000002E-3</v>
      </c>
      <c r="K111" s="34">
        <f t="shared" si="30"/>
        <v>125</v>
      </c>
      <c r="L111" s="37">
        <v>8.0000000000000002E-3</v>
      </c>
      <c r="M111" s="47">
        <f t="shared" si="20"/>
        <v>125</v>
      </c>
      <c r="N111" s="46">
        <f t="shared" si="21"/>
        <v>12000</v>
      </c>
      <c r="Q111" s="80">
        <f t="shared" si="22"/>
        <v>2.0833333333333335</v>
      </c>
      <c r="R111" s="79" t="str">
        <f t="shared" si="23"/>
        <v>EQP-LAWPACK1</v>
      </c>
      <c r="S111" s="79" t="str">
        <f t="shared" si="24"/>
        <v>AUTOBAKE-P</v>
      </c>
    </row>
    <row r="112" spans="1:19" ht="15.6" customHeight="1" thickBot="1" x14ac:dyDescent="0.3">
      <c r="A112" t="s">
        <v>23</v>
      </c>
      <c r="B112" s="11" t="str">
        <f t="shared" si="19"/>
        <v/>
      </c>
      <c r="D112" s="13" t="str">
        <f>"41705"</f>
        <v>41705</v>
      </c>
      <c r="E112" s="7" t="str">
        <f>"1"</f>
        <v>1</v>
      </c>
      <c r="F112" s="27">
        <v>15.75</v>
      </c>
      <c r="G112" s="5" t="str">
        <f>"Corn TOPS -Sabrinas"</f>
        <v>Corn TOPS -Sabrinas</v>
      </c>
      <c r="H112" s="14" t="str">
        <f>"96-2 oz. 12 packages of 8"</f>
        <v>96-2 oz. 12 packages of 8</v>
      </c>
      <c r="I112" s="15">
        <v>96</v>
      </c>
      <c r="J112" s="12">
        <v>8.0000000000000002E-3</v>
      </c>
      <c r="K112" s="34">
        <f t="shared" si="30"/>
        <v>125</v>
      </c>
      <c r="L112" s="37">
        <v>8.0000000000000002E-3</v>
      </c>
      <c r="M112" s="47">
        <f t="shared" si="20"/>
        <v>125</v>
      </c>
      <c r="N112" s="46">
        <f t="shared" si="21"/>
        <v>12000</v>
      </c>
      <c r="Q112" s="80">
        <f t="shared" si="22"/>
        <v>2.0833333333333335</v>
      </c>
      <c r="R112" s="79" t="str">
        <f t="shared" si="23"/>
        <v>EQP-LAWPACK1</v>
      </c>
      <c r="S112" s="79" t="str">
        <f t="shared" si="24"/>
        <v>AUTOBAKE-P</v>
      </c>
    </row>
    <row r="113" spans="1:19" ht="15.6" customHeight="1" thickBot="1" x14ac:dyDescent="0.3">
      <c r="A113" t="s">
        <v>23</v>
      </c>
      <c r="B113" s="11" t="str">
        <f t="shared" si="19"/>
        <v/>
      </c>
      <c r="D113" s="13" t="str">
        <f>"43160"</f>
        <v>43160</v>
      </c>
      <c r="E113" s="7" t="str">
        <f>"1"</f>
        <v>1</v>
      </c>
      <c r="F113" s="27">
        <v>814.08333333333337</v>
      </c>
      <c r="G113" s="5" t="str">
        <f>"WG BANANA ELFIN LOAVES"</f>
        <v>WG BANANA ELFIN LOAVES</v>
      </c>
      <c r="H113" s="14" t="str">
        <f>"72/2 oz. I.W. #431609"</f>
        <v>72/2 oz. I.W. #431609</v>
      </c>
      <c r="I113" s="15">
        <v>72</v>
      </c>
      <c r="J113" s="12">
        <v>1E-3</v>
      </c>
      <c r="K113" s="34">
        <f t="shared" si="30"/>
        <v>1000</v>
      </c>
      <c r="L113" s="37">
        <v>2.2699999999999999E-3</v>
      </c>
      <c r="M113" s="47">
        <f t="shared" si="20"/>
        <v>440.52863436123351</v>
      </c>
      <c r="N113" s="46">
        <f t="shared" si="21"/>
        <v>31718.061674008812</v>
      </c>
      <c r="Q113" s="80">
        <f t="shared" si="22"/>
        <v>7.3421439060205582</v>
      </c>
      <c r="R113" s="79" t="str">
        <f t="shared" si="23"/>
        <v>EQP-LAWPACK1</v>
      </c>
      <c r="S113" s="79" t="str">
        <f t="shared" si="24"/>
        <v>AUTOBAKE-P</v>
      </c>
    </row>
    <row r="114" spans="1:19" ht="15.6" customHeight="1" thickBot="1" x14ac:dyDescent="0.3">
      <c r="A114" t="s">
        <v>23</v>
      </c>
      <c r="B114" s="11" t="str">
        <f t="shared" si="19"/>
        <v/>
      </c>
      <c r="D114" s="13" t="str">
        <f>"43163"</f>
        <v>43163</v>
      </c>
      <c r="E114" s="7" t="str">
        <f>"1"</f>
        <v>1</v>
      </c>
      <c r="F114" s="27">
        <v>348.33333333333331</v>
      </c>
      <c r="G114" s="5" t="str">
        <f>"WG BLUEBERRY ELFIN LOAVES"</f>
        <v>WG BLUEBERRY ELFIN LOAVES</v>
      </c>
      <c r="H114" s="14" t="str">
        <f>"72/2 oz. I.W. #431633"</f>
        <v>72/2 oz. I.W. #431633</v>
      </c>
      <c r="I114" s="15">
        <v>72</v>
      </c>
      <c r="J114" s="12">
        <v>1E-3</v>
      </c>
      <c r="K114" s="34">
        <f t="shared" si="30"/>
        <v>1000</v>
      </c>
      <c r="L114" s="37">
        <v>2.2699999999999999E-3</v>
      </c>
      <c r="M114" s="47">
        <f t="shared" si="20"/>
        <v>440.52863436123351</v>
      </c>
      <c r="N114" s="46">
        <f t="shared" si="21"/>
        <v>31718.061674008812</v>
      </c>
      <c r="Q114" s="80">
        <f t="shared" si="22"/>
        <v>7.3421439060205582</v>
      </c>
      <c r="R114" s="79" t="str">
        <f t="shared" si="23"/>
        <v>EQP-LAWPACK1</v>
      </c>
      <c r="S114" s="79" t="str">
        <f t="shared" si="24"/>
        <v>AUTOBAKE-P</v>
      </c>
    </row>
    <row r="115" spans="1:19" ht="15.6" customHeight="1" thickBot="1" x14ac:dyDescent="0.3">
      <c r="A115" t="s">
        <v>23</v>
      </c>
      <c r="B115" s="11" t="str">
        <f t="shared" si="19"/>
        <v/>
      </c>
      <c r="D115" s="13" t="str">
        <f>"51005"</f>
        <v>51005</v>
      </c>
      <c r="E115" s="7" t="str">
        <f>"5"</f>
        <v>5</v>
      </c>
      <c r="F115" s="27">
        <v>2609.9999999999995</v>
      </c>
      <c r="G115" s="5" t="str">
        <f>"CORNBREAD SNACK'N LOAF"</f>
        <v>CORNBREAD SNACK'N LOAF</v>
      </c>
      <c r="H115" s="14" t="str">
        <f>"72-2 oz. IW #501"</f>
        <v>72-2 oz. IW #501</v>
      </c>
      <c r="I115" s="15">
        <v>72</v>
      </c>
      <c r="J115" s="12">
        <v>2E-3</v>
      </c>
      <c r="K115" s="34">
        <f t="shared" si="30"/>
        <v>500</v>
      </c>
      <c r="L115" s="37">
        <v>2.2699999999999999E-3</v>
      </c>
      <c r="M115" s="47">
        <f t="shared" si="20"/>
        <v>440.52863436123351</v>
      </c>
      <c r="N115" s="46">
        <f t="shared" si="21"/>
        <v>31718.061674008812</v>
      </c>
      <c r="Q115" s="80">
        <f t="shared" si="22"/>
        <v>7.3421439060205582</v>
      </c>
      <c r="R115" s="79" t="str">
        <f t="shared" si="23"/>
        <v>EQP-LAWPACK1</v>
      </c>
      <c r="S115" s="79" t="str">
        <f t="shared" si="24"/>
        <v>AUTOBAKE-P</v>
      </c>
    </row>
    <row r="116" spans="1:19" ht="15.6" hidden="1" customHeight="1" thickBot="1" x14ac:dyDescent="0.3">
      <c r="A116" t="s">
        <v>23</v>
      </c>
      <c r="B116" s="11" t="str">
        <f t="shared" si="19"/>
        <v>hide</v>
      </c>
      <c r="D116" s="13" t="str">
        <f>"51119"</f>
        <v>51119</v>
      </c>
      <c r="E116" s="7" t="str">
        <f>"3"</f>
        <v>3</v>
      </c>
      <c r="F116" s="27">
        <v>0</v>
      </c>
      <c r="G116" s="5" t="str">
        <f>"Orange Loaves"</f>
        <v>Orange Loaves</v>
      </c>
      <c r="H116" s="14" t="str">
        <f>"72-2 oz. IW"</f>
        <v>72-2 oz. IW</v>
      </c>
      <c r="I116" s="15">
        <v>72</v>
      </c>
      <c r="J116" s="12">
        <v>2E-3</v>
      </c>
      <c r="K116" s="34">
        <f t="shared" si="30"/>
        <v>500</v>
      </c>
      <c r="L116" s="37">
        <v>2E-3</v>
      </c>
      <c r="M116" s="47">
        <f t="shared" si="20"/>
        <v>500</v>
      </c>
      <c r="N116" s="46">
        <f t="shared" si="21"/>
        <v>36000</v>
      </c>
      <c r="Q116" s="80">
        <f t="shared" si="22"/>
        <v>8.3333333333333339</v>
      </c>
      <c r="R116" s="79" t="str">
        <f t="shared" si="23"/>
        <v>EQP-LAWPACK1</v>
      </c>
      <c r="S116" s="79" t="str">
        <f t="shared" si="24"/>
        <v>AUTOBAKE-P</v>
      </c>
    </row>
    <row r="117" spans="1:19" ht="15.6" hidden="1" customHeight="1" thickBot="1" x14ac:dyDescent="0.3">
      <c r="A117" t="s">
        <v>23</v>
      </c>
      <c r="B117" s="11" t="str">
        <f t="shared" si="19"/>
        <v>hide</v>
      </c>
      <c r="D117" s="13" t="str">
        <f>"51151"</f>
        <v>51151</v>
      </c>
      <c r="E117" s="7" t="str">
        <f>"2"</f>
        <v>2</v>
      </c>
      <c r="F117" s="27">
        <v>0</v>
      </c>
      <c r="G117" s="5" t="str">
        <f>"Banana Loaf"</f>
        <v>Banana Loaf</v>
      </c>
      <c r="H117" s="14" t="str">
        <f>"72-2 oz IW"</f>
        <v>72-2 oz IW</v>
      </c>
      <c r="I117" s="15">
        <v>72</v>
      </c>
      <c r="J117" s="12">
        <v>1E-3</v>
      </c>
      <c r="K117" s="34">
        <f t="shared" si="30"/>
        <v>1000</v>
      </c>
      <c r="L117" s="37">
        <v>2.2699999999999999E-3</v>
      </c>
      <c r="M117" s="47">
        <f t="shared" si="20"/>
        <v>440.52863436123351</v>
      </c>
      <c r="N117" s="46">
        <f t="shared" si="21"/>
        <v>31718.061674008812</v>
      </c>
      <c r="Q117" s="80">
        <f t="shared" si="22"/>
        <v>7.3421439060205582</v>
      </c>
      <c r="R117" s="79" t="str">
        <f t="shared" si="23"/>
        <v>EQP-LAWPACK1</v>
      </c>
      <c r="S117" s="79" t="str">
        <f t="shared" si="24"/>
        <v>AUTOBAKE-P</v>
      </c>
    </row>
    <row r="118" spans="1:19" ht="15.6" customHeight="1" thickBot="1" x14ac:dyDescent="0.3">
      <c r="A118" t="s">
        <v>23</v>
      </c>
      <c r="B118" s="11" t="str">
        <f t="shared" si="19"/>
        <v/>
      </c>
      <c r="D118" s="13" t="str">
        <f>"51401"</f>
        <v>51401</v>
      </c>
      <c r="E118" s="7" t="str">
        <f>"3"</f>
        <v>3</v>
      </c>
      <c r="F118" s="27">
        <v>92.083333333333329</v>
      </c>
      <c r="G118" s="5" t="str">
        <f>"BLUEBERRY SNACK'N LOAF"</f>
        <v>BLUEBERRY SNACK'N LOAF</v>
      </c>
      <c r="H118" s="14" t="str">
        <f>"72/2 oz. I.W."</f>
        <v>72/2 oz. I.W.</v>
      </c>
      <c r="I118" s="15">
        <v>72</v>
      </c>
      <c r="J118" s="12">
        <v>2E-3</v>
      </c>
      <c r="K118" s="34">
        <f t="shared" si="30"/>
        <v>500</v>
      </c>
      <c r="L118" s="37">
        <v>2.2699999999999999E-3</v>
      </c>
      <c r="M118" s="47">
        <f t="shared" si="20"/>
        <v>440.52863436123351</v>
      </c>
      <c r="N118" s="46">
        <f t="shared" si="21"/>
        <v>31718.061674008812</v>
      </c>
      <c r="Q118" s="80">
        <f t="shared" si="22"/>
        <v>7.3421439060205582</v>
      </c>
      <c r="R118" s="79" t="str">
        <f t="shared" si="23"/>
        <v>EQP-LAWPACK1</v>
      </c>
      <c r="S118" s="79" t="str">
        <f t="shared" si="24"/>
        <v>AUTOBAKE-P</v>
      </c>
    </row>
    <row r="119" spans="1:19" ht="15.6" hidden="1" customHeight="1" thickBot="1" x14ac:dyDescent="0.3">
      <c r="A119" t="s">
        <v>23</v>
      </c>
      <c r="B119" s="11" t="str">
        <f t="shared" si="19"/>
        <v>hide</v>
      </c>
      <c r="D119" s="13" t="str">
        <f>"51402"</f>
        <v>51402</v>
      </c>
      <c r="E119" s="7" t="str">
        <f>"2"</f>
        <v>2</v>
      </c>
      <c r="F119" s="27">
        <v>0</v>
      </c>
      <c r="G119" s="5" t="str">
        <f>"CRANBERRY SNACK'N LOAF"</f>
        <v>CRANBERRY SNACK'N LOAF</v>
      </c>
      <c r="H119" s="14" t="str">
        <f>"72/2 oz. I.W."</f>
        <v>72/2 oz. I.W.</v>
      </c>
      <c r="I119" s="15">
        <v>72</v>
      </c>
      <c r="J119" s="12">
        <v>1E-3</v>
      </c>
      <c r="K119" s="34">
        <f t="shared" si="30"/>
        <v>1000</v>
      </c>
      <c r="L119" s="37">
        <v>2.2699999999999999E-3</v>
      </c>
      <c r="M119" s="47">
        <f t="shared" si="20"/>
        <v>440.52863436123351</v>
      </c>
      <c r="N119" s="46">
        <f t="shared" si="21"/>
        <v>31718.061674008812</v>
      </c>
      <c r="Q119" s="80">
        <f t="shared" si="22"/>
        <v>7.3421439060205582</v>
      </c>
      <c r="R119" s="79" t="str">
        <f t="shared" si="23"/>
        <v>EQP-LAWPACK1</v>
      </c>
      <c r="S119" s="79" t="str">
        <f t="shared" si="24"/>
        <v>AUTOBAKE-P</v>
      </c>
    </row>
    <row r="120" spans="1:19" ht="15.6" customHeight="1" thickBot="1" x14ac:dyDescent="0.3">
      <c r="A120" t="s">
        <v>23</v>
      </c>
      <c r="B120" s="11" t="str">
        <f t="shared" si="19"/>
        <v/>
      </c>
      <c r="D120" s="13" t="str">
        <f>"51405"</f>
        <v>51405</v>
      </c>
      <c r="E120" s="7" t="str">
        <f>"6"</f>
        <v>6</v>
      </c>
      <c r="F120" s="27">
        <v>1979.6666666666667</v>
      </c>
      <c r="G120" s="5" t="str">
        <f>"CORNBREAD MINI LOAF"</f>
        <v>CORNBREAD MINI LOAF</v>
      </c>
      <c r="H120" s="14" t="str">
        <f>"72/2 oz. I.W"</f>
        <v>72/2 oz. I.W</v>
      </c>
      <c r="I120" s="15">
        <v>72</v>
      </c>
      <c r="J120" s="12">
        <v>2E-3</v>
      </c>
      <c r="K120" s="34">
        <f t="shared" si="30"/>
        <v>500</v>
      </c>
      <c r="L120" s="37">
        <v>2.2699999999999999E-3</v>
      </c>
      <c r="M120" s="47">
        <f t="shared" si="20"/>
        <v>440.52863436123351</v>
      </c>
      <c r="N120" s="46">
        <f t="shared" si="21"/>
        <v>31718.061674008812</v>
      </c>
      <c r="Q120" s="80">
        <f t="shared" si="22"/>
        <v>7.3421439060205582</v>
      </c>
      <c r="R120" s="79" t="str">
        <f t="shared" si="23"/>
        <v>EQP-LAWPACK1</v>
      </c>
      <c r="S120" s="79" t="str">
        <f t="shared" si="24"/>
        <v>AUTOBAKE-P</v>
      </c>
    </row>
    <row r="121" spans="1:19" ht="15.6" customHeight="1" thickBot="1" x14ac:dyDescent="0.3">
      <c r="A121" t="s">
        <v>23</v>
      </c>
      <c r="B121" s="11" t="str">
        <f t="shared" si="19"/>
        <v/>
      </c>
      <c r="D121" s="13" t="str">
        <f>"51406"</f>
        <v>51406</v>
      </c>
      <c r="E121" s="7" t="str">
        <f>"2"</f>
        <v>2</v>
      </c>
      <c r="F121" s="27">
        <v>259.25</v>
      </c>
      <c r="G121" s="5" t="str">
        <f>"APPLE CINNAMON SNACK'N LOAF"</f>
        <v>APPLE CINNAMON SNACK'N LOAF</v>
      </c>
      <c r="H121" s="14" t="str">
        <f>"72-2 oz. IW"</f>
        <v>72-2 oz. IW</v>
      </c>
      <c r="I121" s="15">
        <v>72</v>
      </c>
      <c r="J121" s="12">
        <v>1E-3</v>
      </c>
      <c r="K121" s="34">
        <f t="shared" si="30"/>
        <v>1000</v>
      </c>
      <c r="L121" s="37">
        <v>2.2699999999999999E-3</v>
      </c>
      <c r="M121" s="47">
        <f t="shared" si="20"/>
        <v>440.52863436123351</v>
      </c>
      <c r="N121" s="46">
        <f t="shared" si="21"/>
        <v>31718.061674008812</v>
      </c>
      <c r="Q121" s="80">
        <f t="shared" si="22"/>
        <v>7.3421439060205582</v>
      </c>
      <c r="R121" s="79" t="str">
        <f t="shared" si="23"/>
        <v>EQP-LAWPACK1</v>
      </c>
      <c r="S121" s="79" t="str">
        <f t="shared" si="24"/>
        <v>AUTOBAKE-P</v>
      </c>
    </row>
    <row r="122" spans="1:19" ht="15.6" hidden="1" customHeight="1" thickBot="1" x14ac:dyDescent="0.3">
      <c r="A122" t="s">
        <v>23</v>
      </c>
      <c r="B122" s="11" t="str">
        <f t="shared" si="19"/>
        <v>hide</v>
      </c>
      <c r="D122" s="13" t="str">
        <f>"51408"</f>
        <v>51408</v>
      </c>
      <c r="E122" s="7" t="str">
        <f>"2"</f>
        <v>2</v>
      </c>
      <c r="F122" s="27">
        <v>0</v>
      </c>
      <c r="G122" s="5" t="str">
        <f>"CHERRY SNACK'N LOAF"</f>
        <v>CHERRY SNACK'N LOAF</v>
      </c>
      <c r="H122" s="14" t="str">
        <f>"72-2 oz. IW"</f>
        <v>72-2 oz. IW</v>
      </c>
      <c r="I122" s="15">
        <v>72</v>
      </c>
      <c r="J122" s="12">
        <v>1E-3</v>
      </c>
      <c r="K122" s="34">
        <f t="shared" si="30"/>
        <v>1000</v>
      </c>
      <c r="L122" s="37">
        <v>2.2699999999999999E-3</v>
      </c>
      <c r="M122" s="47">
        <f t="shared" si="20"/>
        <v>440.52863436123351</v>
      </c>
      <c r="N122" s="46">
        <f t="shared" si="21"/>
        <v>31718.061674008812</v>
      </c>
      <c r="Q122" s="80">
        <f t="shared" si="22"/>
        <v>7.3421439060205582</v>
      </c>
      <c r="R122" s="79" t="str">
        <f t="shared" si="23"/>
        <v>EQP-LAWPACK1</v>
      </c>
      <c r="S122" s="79" t="str">
        <f t="shared" si="24"/>
        <v>AUTOBAKE-P</v>
      </c>
    </row>
    <row r="123" spans="1:19" ht="15.6" hidden="1" customHeight="1" thickBot="1" x14ac:dyDescent="0.3">
      <c r="A123" t="s">
        <v>23</v>
      </c>
      <c r="B123" s="11" t="str">
        <f t="shared" si="19"/>
        <v>hide</v>
      </c>
      <c r="D123" s="13" t="str">
        <f>"51410"</f>
        <v>51410</v>
      </c>
      <c r="E123" s="7" t="str">
        <f>"3"</f>
        <v>3</v>
      </c>
      <c r="F123" s="27">
        <v>0</v>
      </c>
      <c r="G123" s="5" t="str">
        <f>"CHOCOLATE CHIP SNACK'N LOAF"</f>
        <v>CHOCOLATE CHIP SNACK'N LOAF</v>
      </c>
      <c r="H123" s="14" t="str">
        <f>"72/2 oz. I.W."</f>
        <v>72/2 oz. I.W.</v>
      </c>
      <c r="I123" s="15">
        <v>72</v>
      </c>
      <c r="J123" s="12">
        <v>1E-3</v>
      </c>
      <c r="K123" s="34">
        <f t="shared" si="30"/>
        <v>1000</v>
      </c>
      <c r="L123" s="37">
        <v>2.2000000000000001E-3</v>
      </c>
      <c r="M123" s="47">
        <f t="shared" si="20"/>
        <v>454.5454545454545</v>
      </c>
      <c r="N123" s="46">
        <f t="shared" si="21"/>
        <v>32727.272727272724</v>
      </c>
      <c r="Q123" s="80">
        <f t="shared" si="22"/>
        <v>7.5757575757575752</v>
      </c>
      <c r="R123" s="79" t="str">
        <f t="shared" si="23"/>
        <v>EQP-LAWPACK1</v>
      </c>
      <c r="S123" s="79" t="str">
        <f t="shared" si="24"/>
        <v>AUTOBAKE-P</v>
      </c>
    </row>
    <row r="124" spans="1:19" ht="15.6" hidden="1" customHeight="1" thickBot="1" x14ac:dyDescent="0.3">
      <c r="A124" t="s">
        <v>23</v>
      </c>
      <c r="B124" s="11" t="str">
        <f t="shared" si="19"/>
        <v>hide</v>
      </c>
      <c r="D124" s="13" t="str">
        <f>"51451"</f>
        <v>51451</v>
      </c>
      <c r="E124" s="7" t="str">
        <f>"2"</f>
        <v>2</v>
      </c>
      <c r="F124" s="27">
        <v>0</v>
      </c>
      <c r="G124" s="5" t="str">
        <f>"BANANA SNACK'N LOAF"</f>
        <v>BANANA SNACK'N LOAF</v>
      </c>
      <c r="H124" s="14" t="str">
        <f>"72-2 oz. IW"</f>
        <v>72-2 oz. IW</v>
      </c>
      <c r="I124" s="15">
        <v>72</v>
      </c>
      <c r="J124" s="12">
        <v>1E-3</v>
      </c>
      <c r="K124" s="34">
        <f t="shared" si="30"/>
        <v>1000</v>
      </c>
      <c r="L124" s="37">
        <v>2.2000000000000001E-3</v>
      </c>
      <c r="M124" s="47">
        <f t="shared" si="20"/>
        <v>454.5454545454545</v>
      </c>
      <c r="N124" s="46">
        <f t="shared" si="21"/>
        <v>32727.272727272724</v>
      </c>
      <c r="Q124" s="80">
        <f t="shared" si="22"/>
        <v>7.5757575757575752</v>
      </c>
      <c r="R124" s="79" t="str">
        <f t="shared" si="23"/>
        <v>EQP-LAWPACK1</v>
      </c>
      <c r="S124" s="79" t="str">
        <f t="shared" si="24"/>
        <v>AUTOBAKE-P</v>
      </c>
    </row>
    <row r="125" spans="1:19" ht="15.6" customHeight="1" thickBot="1" x14ac:dyDescent="0.3">
      <c r="A125" t="s">
        <v>23</v>
      </c>
      <c r="B125" s="11" t="str">
        <f t="shared" si="19"/>
        <v/>
      </c>
      <c r="D125" s="13" t="str">
        <f>"51605"</f>
        <v>51605</v>
      </c>
      <c r="E125" s="7" t="str">
        <f>"7"</f>
        <v>7</v>
      </c>
      <c r="F125" s="27">
        <v>8045.916666666667</v>
      </c>
      <c r="G125" s="5" t="str">
        <f>"SmartChoice Wh GRAIN CORNBREAD"</f>
        <v>SmartChoice Wh GRAIN CORNBREAD</v>
      </c>
      <c r="H125" s="14" t="str">
        <f>"72-2 oz. IW"</f>
        <v>72-2 oz. IW</v>
      </c>
      <c r="I125" s="15">
        <v>72</v>
      </c>
      <c r="J125" s="12">
        <v>4.0000000000000001E-3</v>
      </c>
      <c r="K125" s="34">
        <f t="shared" si="30"/>
        <v>250</v>
      </c>
      <c r="L125" s="37">
        <v>4.0000000000000001E-3</v>
      </c>
      <c r="M125" s="47">
        <f t="shared" si="20"/>
        <v>250</v>
      </c>
      <c r="N125" s="46">
        <f t="shared" si="21"/>
        <v>18000</v>
      </c>
      <c r="Q125" s="80">
        <f t="shared" si="22"/>
        <v>4.166666666666667</v>
      </c>
      <c r="R125" s="79" t="str">
        <f t="shared" si="23"/>
        <v>EQP-LAWPACK1</v>
      </c>
      <c r="S125" s="79" t="str">
        <f t="shared" si="24"/>
        <v>AUTOBAKE-P</v>
      </c>
    </row>
    <row r="126" spans="1:19" ht="15.6" customHeight="1" thickBot="1" x14ac:dyDescent="0.3">
      <c r="A126" t="s">
        <v>23</v>
      </c>
      <c r="B126" s="11" t="str">
        <f t="shared" si="19"/>
        <v/>
      </c>
      <c r="D126" s="13" t="str">
        <f>"51625"</f>
        <v>51625</v>
      </c>
      <c r="E126" s="7" t="str">
        <f>"4"</f>
        <v>4</v>
      </c>
      <c r="F126" s="27">
        <v>20</v>
      </c>
      <c r="G126" s="5" t="str">
        <f>"WG Jalapeno Cornbread"</f>
        <v>WG Jalapeno Cornbread</v>
      </c>
      <c r="H126" s="14" t="str">
        <f>"72-2oz. IW"</f>
        <v>72-2oz. IW</v>
      </c>
      <c r="I126" s="15">
        <v>72</v>
      </c>
      <c r="J126" s="12">
        <v>1E-3</v>
      </c>
      <c r="K126" s="34">
        <f t="shared" si="30"/>
        <v>1000</v>
      </c>
      <c r="L126" s="37">
        <v>2E-3</v>
      </c>
      <c r="M126" s="47">
        <f t="shared" si="20"/>
        <v>500</v>
      </c>
      <c r="N126" s="46">
        <f t="shared" si="21"/>
        <v>36000</v>
      </c>
      <c r="Q126" s="80">
        <f t="shared" si="22"/>
        <v>8.3333333333333339</v>
      </c>
      <c r="R126" s="79" t="str">
        <f t="shared" si="23"/>
        <v>EQP-LAWPACK1</v>
      </c>
      <c r="S126" s="79" t="str">
        <f t="shared" si="24"/>
        <v>AUTOBAKE-P</v>
      </c>
    </row>
    <row r="127" spans="1:19" ht="15.6" customHeight="1" thickBot="1" x14ac:dyDescent="0.3">
      <c r="A127" t="s">
        <v>23</v>
      </c>
      <c r="B127" s="11" t="str">
        <f t="shared" si="19"/>
        <v/>
      </c>
      <c r="D127" s="13" t="str">
        <f>"51661"</f>
        <v>51661</v>
      </c>
      <c r="E127" s="7" t="str">
        <f>"7"</f>
        <v>7</v>
      </c>
      <c r="F127" s="27">
        <v>887.5</v>
      </c>
      <c r="G127" s="5" t="str">
        <f>"SMART CHOICE BLUEBERRY"</f>
        <v>SMART CHOICE BLUEBERRY</v>
      </c>
      <c r="H127" s="14" t="str">
        <f>"72/2 oz. I.W. LOAVES"</f>
        <v>72/2 oz. I.W. LOAVES</v>
      </c>
      <c r="I127" s="15">
        <v>72</v>
      </c>
      <c r="J127" s="12">
        <v>1E-3</v>
      </c>
      <c r="K127" s="34">
        <f t="shared" si="30"/>
        <v>1000</v>
      </c>
      <c r="L127" s="37">
        <v>2.2699999999999999E-3</v>
      </c>
      <c r="M127" s="47">
        <f t="shared" si="20"/>
        <v>440.52863436123351</v>
      </c>
      <c r="N127" s="46">
        <f t="shared" si="21"/>
        <v>31718.061674008812</v>
      </c>
      <c r="Q127" s="80">
        <f t="shared" si="22"/>
        <v>7.3421439060205582</v>
      </c>
      <c r="R127" s="79" t="str">
        <f t="shared" si="23"/>
        <v>EQP-LAWPACK1</v>
      </c>
      <c r="S127" s="79" t="str">
        <f t="shared" si="24"/>
        <v>AUTOBAKE-P</v>
      </c>
    </row>
    <row r="128" spans="1:19" ht="15.6" customHeight="1" thickBot="1" x14ac:dyDescent="0.3">
      <c r="A128" t="s">
        <v>23</v>
      </c>
      <c r="B128" s="11" t="str">
        <f t="shared" si="19"/>
        <v/>
      </c>
      <c r="D128" s="13" t="str">
        <f>"51666"</f>
        <v>51666</v>
      </c>
      <c r="E128" s="7" t="str">
        <f>"6"</f>
        <v>6</v>
      </c>
      <c r="F128" s="27">
        <v>1010.1666666666666</v>
      </c>
      <c r="G128" s="5" t="str">
        <f>"SMART CHOICE APPLE CINNAMON"</f>
        <v>SMART CHOICE APPLE CINNAMON</v>
      </c>
      <c r="H128" s="14" t="str">
        <f>"72/2 oz. I.W. LOAVES"</f>
        <v>72/2 oz. I.W. LOAVES</v>
      </c>
      <c r="I128" s="15">
        <v>72</v>
      </c>
      <c r="J128" s="12">
        <v>1E-3</v>
      </c>
      <c r="K128" s="34">
        <f t="shared" si="30"/>
        <v>1000</v>
      </c>
      <c r="L128" s="37">
        <v>2.2699999999999999E-3</v>
      </c>
      <c r="M128" s="47">
        <f t="shared" si="20"/>
        <v>440.52863436123351</v>
      </c>
      <c r="N128" s="46">
        <f t="shared" si="21"/>
        <v>31718.061674008812</v>
      </c>
      <c r="Q128" s="80">
        <f t="shared" si="22"/>
        <v>7.3421439060205582</v>
      </c>
      <c r="R128" s="79" t="str">
        <f t="shared" si="23"/>
        <v>EQP-LAWPACK1</v>
      </c>
      <c r="S128" s="79" t="str">
        <f t="shared" si="24"/>
        <v>AUTOBAKE-P</v>
      </c>
    </row>
    <row r="129" spans="1:19" ht="15.6" customHeight="1" thickBot="1" x14ac:dyDescent="0.3">
      <c r="A129" t="s">
        <v>23</v>
      </c>
      <c r="B129" s="11" t="str">
        <f t="shared" si="19"/>
        <v/>
      </c>
      <c r="D129" s="13" t="str">
        <f>"51670"</f>
        <v>51670</v>
      </c>
      <c r="E129" s="7" t="str">
        <f>"5"</f>
        <v>5</v>
      </c>
      <c r="F129" s="27">
        <v>660.33333333333326</v>
      </c>
      <c r="G129" s="5" t="str">
        <f>"SMART CHOICE CHOCOLATE CHIP"</f>
        <v>SMART CHOICE CHOCOLATE CHIP</v>
      </c>
      <c r="H129" s="14" t="str">
        <f>"72/2 oz. I.W. LOAVES"</f>
        <v>72/2 oz. I.W. LOAVES</v>
      </c>
      <c r="I129" s="15">
        <v>72</v>
      </c>
      <c r="J129" s="12">
        <v>1E-3</v>
      </c>
      <c r="K129" s="34">
        <f t="shared" si="30"/>
        <v>1000</v>
      </c>
      <c r="L129" s="37">
        <v>2E-3</v>
      </c>
      <c r="M129" s="47">
        <f t="shared" si="20"/>
        <v>500</v>
      </c>
      <c r="N129" s="46">
        <f t="shared" si="21"/>
        <v>36000</v>
      </c>
      <c r="Q129" s="80">
        <f t="shared" si="22"/>
        <v>8.3333333333333339</v>
      </c>
      <c r="R129" s="79" t="str">
        <f t="shared" si="23"/>
        <v>EQP-LAWPACK1</v>
      </c>
      <c r="S129" s="79" t="str">
        <f t="shared" si="24"/>
        <v>AUTOBAKE-P</v>
      </c>
    </row>
    <row r="130" spans="1:19" ht="15.6" customHeight="1" thickBot="1" x14ac:dyDescent="0.3">
      <c r="A130" t="s">
        <v>23</v>
      </c>
      <c r="B130" s="11" t="str">
        <f t="shared" si="19"/>
        <v/>
      </c>
      <c r="D130" s="13" t="str">
        <f>"51675"</f>
        <v>51675</v>
      </c>
      <c r="E130" s="7" t="str">
        <f>"6"</f>
        <v>6</v>
      </c>
      <c r="F130" s="27">
        <v>789.16666666666663</v>
      </c>
      <c r="G130" s="5" t="str">
        <f>"SMART CHOICE BANANA"</f>
        <v>SMART CHOICE BANANA</v>
      </c>
      <c r="H130" s="14" t="str">
        <f>"72-2 oz. I.W. LOAVES"</f>
        <v>72-2 oz. I.W. LOAVES</v>
      </c>
      <c r="I130" s="15">
        <v>72</v>
      </c>
      <c r="J130" s="12">
        <v>1E-3</v>
      </c>
      <c r="K130" s="34">
        <f t="shared" si="30"/>
        <v>1000</v>
      </c>
      <c r="L130" s="37">
        <v>2.2699999999999999E-3</v>
      </c>
      <c r="M130" s="47">
        <f t="shared" si="20"/>
        <v>440.52863436123351</v>
      </c>
      <c r="N130" s="46">
        <f t="shared" si="21"/>
        <v>31718.061674008812</v>
      </c>
      <c r="Q130" s="80">
        <f t="shared" si="22"/>
        <v>7.3421439060205582</v>
      </c>
      <c r="R130" s="79" t="str">
        <f t="shared" si="23"/>
        <v>EQP-LAWPACK1</v>
      </c>
      <c r="S130" s="79" t="str">
        <f t="shared" si="24"/>
        <v>AUTOBAKE-P</v>
      </c>
    </row>
    <row r="131" spans="1:19" ht="15.6" hidden="1" customHeight="1" thickBot="1" x14ac:dyDescent="0.3">
      <c r="A131" t="s">
        <v>23</v>
      </c>
      <c r="B131" s="11" t="str">
        <f t="shared" si="19"/>
        <v>hide</v>
      </c>
      <c r="D131" s="13" t="str">
        <f>"51805"</f>
        <v>51805</v>
      </c>
      <c r="E131" s="7" t="str">
        <f>"1"</f>
        <v>1</v>
      </c>
      <c r="F131" s="27">
        <v>0</v>
      </c>
      <c r="G131" s="5" t="str">
        <f>"CORNBREAD SNACK'N LOAF"</f>
        <v>CORNBREAD SNACK'N LOAF</v>
      </c>
      <c r="H131" s="14" t="str">
        <f>"72-2 oz. IW"</f>
        <v>72-2 oz. IW</v>
      </c>
      <c r="I131" s="15">
        <v>72</v>
      </c>
      <c r="J131" s="12">
        <v>2E-3</v>
      </c>
      <c r="K131" s="34">
        <f t="shared" si="30"/>
        <v>500</v>
      </c>
      <c r="L131" s="37">
        <v>2.2699999999999999E-3</v>
      </c>
      <c r="M131" s="47">
        <f t="shared" si="20"/>
        <v>440.52863436123351</v>
      </c>
      <c r="N131" s="46">
        <f t="shared" si="21"/>
        <v>31718.061674008812</v>
      </c>
      <c r="Q131" s="80">
        <f t="shared" si="22"/>
        <v>7.3421439060205582</v>
      </c>
      <c r="R131" s="79" t="str">
        <f t="shared" si="23"/>
        <v>EQP-LAWPACK1</v>
      </c>
      <c r="S131" s="79" t="str">
        <f t="shared" si="24"/>
        <v>AUTOBAKE-P</v>
      </c>
    </row>
    <row r="132" spans="1:19" ht="15.6" hidden="1" customHeight="1" thickBot="1" x14ac:dyDescent="0.3">
      <c r="A132" t="s">
        <v>23</v>
      </c>
      <c r="B132" s="11" t="str">
        <f t="shared" si="19"/>
        <v>hide</v>
      </c>
      <c r="D132" s="13" t="str">
        <f>"51901"</f>
        <v>51901</v>
      </c>
      <c r="E132" s="7" t="str">
        <f>"4"</f>
        <v>4</v>
      </c>
      <c r="F132" s="27">
        <v>0</v>
      </c>
      <c r="G132" s="5" t="str">
        <f>"344 Mini Loaf, Blueberry, IW"</f>
        <v>344 Mini Loaf, Blueberry, IW</v>
      </c>
      <c r="H132" s="14" t="str">
        <f t="shared" ref="H132:H137" si="33">"72/2 oz"</f>
        <v>72/2 oz</v>
      </c>
      <c r="I132" s="15">
        <v>72</v>
      </c>
      <c r="J132" s="12">
        <v>2E-3</v>
      </c>
      <c r="K132" s="34">
        <f t="shared" si="30"/>
        <v>500</v>
      </c>
      <c r="L132" s="37">
        <v>2.2699999999999999E-3</v>
      </c>
      <c r="M132" s="47">
        <f t="shared" si="20"/>
        <v>440.52863436123351</v>
      </c>
      <c r="N132" s="46">
        <f t="shared" si="21"/>
        <v>31718.061674008812</v>
      </c>
      <c r="Q132" s="80">
        <f t="shared" si="22"/>
        <v>7.3421439060205582</v>
      </c>
      <c r="R132" s="79" t="str">
        <f t="shared" si="23"/>
        <v>EQP-LAWPACK1</v>
      </c>
      <c r="S132" s="79" t="str">
        <f t="shared" si="24"/>
        <v>AUTOBAKE-P</v>
      </c>
    </row>
    <row r="133" spans="1:19" ht="15.6" customHeight="1" thickBot="1" x14ac:dyDescent="0.3">
      <c r="A133" t="s">
        <v>23</v>
      </c>
      <c r="B133" s="11" t="str">
        <f t="shared" si="19"/>
        <v/>
      </c>
      <c r="D133" s="13" t="str">
        <f>"51905"</f>
        <v>51905</v>
      </c>
      <c r="E133" s="7" t="str">
        <f>"7"</f>
        <v>7</v>
      </c>
      <c r="F133" s="27">
        <v>685.41666666666663</v>
      </c>
      <c r="G133" s="5" t="str">
        <f>"1315 Mini Loaf, Cornbread, RTL, IW"</f>
        <v>1315 Mini Loaf, Cornbread, RTL, IW</v>
      </c>
      <c r="H133" s="14" t="str">
        <f t="shared" si="33"/>
        <v>72/2 oz</v>
      </c>
      <c r="I133" s="15">
        <v>72</v>
      </c>
      <c r="J133" s="12">
        <v>1E-3</v>
      </c>
      <c r="K133" s="34">
        <f t="shared" si="30"/>
        <v>1000</v>
      </c>
      <c r="L133" s="37">
        <v>2.2699999999999999E-3</v>
      </c>
      <c r="M133" s="47">
        <f t="shared" si="20"/>
        <v>440.52863436123351</v>
      </c>
      <c r="N133" s="46">
        <f t="shared" si="21"/>
        <v>31718.061674008812</v>
      </c>
      <c r="Q133" s="80">
        <f t="shared" si="22"/>
        <v>7.3421439060205582</v>
      </c>
      <c r="R133" s="79" t="str">
        <f t="shared" si="23"/>
        <v>EQP-LAWPACK1</v>
      </c>
      <c r="S133" s="79" t="str">
        <f t="shared" si="24"/>
        <v>AUTOBAKE-P</v>
      </c>
    </row>
    <row r="134" spans="1:19" ht="15.6" hidden="1" customHeight="1" thickBot="1" x14ac:dyDescent="0.3">
      <c r="A134" t="s">
        <v>23</v>
      </c>
      <c r="B134" s="11" t="str">
        <f t="shared" si="19"/>
        <v>hide</v>
      </c>
      <c r="D134" s="13" t="str">
        <f>"51906"</f>
        <v>51906</v>
      </c>
      <c r="E134" s="7" t="str">
        <f>"4"</f>
        <v>4</v>
      </c>
      <c r="F134" s="27">
        <v>0</v>
      </c>
      <c r="G134" s="5" t="str">
        <f>"345 Mini Loaf, Apple Cinnamon, IW"</f>
        <v>345 Mini Loaf, Apple Cinnamon, IW</v>
      </c>
      <c r="H134" s="14" t="str">
        <f t="shared" si="33"/>
        <v>72/2 oz</v>
      </c>
      <c r="I134" s="15">
        <v>72</v>
      </c>
      <c r="J134" s="12">
        <v>1E-3</v>
      </c>
      <c r="K134" s="34">
        <f t="shared" si="30"/>
        <v>1000</v>
      </c>
      <c r="L134" s="37">
        <v>2.2699999999999999E-3</v>
      </c>
      <c r="M134" s="47">
        <f t="shared" si="20"/>
        <v>440.52863436123351</v>
      </c>
      <c r="N134" s="46">
        <f t="shared" si="21"/>
        <v>31718.061674008812</v>
      </c>
      <c r="Q134" s="80">
        <f t="shared" si="22"/>
        <v>7.3421439060205582</v>
      </c>
      <c r="R134" s="79" t="str">
        <f t="shared" si="23"/>
        <v>EQP-LAWPACK1</v>
      </c>
      <c r="S134" s="79" t="str">
        <f t="shared" si="24"/>
        <v>AUTOBAKE-P</v>
      </c>
    </row>
    <row r="135" spans="1:19" ht="15.6" customHeight="1" thickBot="1" x14ac:dyDescent="0.3">
      <c r="A135" t="s">
        <v>23</v>
      </c>
      <c r="B135" s="11" t="str">
        <f t="shared" si="19"/>
        <v/>
      </c>
      <c r="D135" s="13" t="str">
        <f>"51941"</f>
        <v>51941</v>
      </c>
      <c r="E135" s="7" t="str">
        <f>"9"</f>
        <v>9</v>
      </c>
      <c r="F135" s="27">
        <v>1667.9166666666667</v>
      </c>
      <c r="G135" s="5" t="str">
        <f>"411 Mini Loaf, WG, Blueberry, IW"</f>
        <v>411 Mini Loaf, WG, Blueberry, IW</v>
      </c>
      <c r="H135" s="14" t="str">
        <f t="shared" si="33"/>
        <v>72/2 oz</v>
      </c>
      <c r="I135" s="15">
        <v>72</v>
      </c>
      <c r="J135" s="12">
        <v>1E-3</v>
      </c>
      <c r="K135" s="34">
        <f t="shared" si="30"/>
        <v>1000</v>
      </c>
      <c r="L135" s="37">
        <v>2.2699999999999999E-3</v>
      </c>
      <c r="M135" s="47">
        <f t="shared" si="20"/>
        <v>440.52863436123351</v>
      </c>
      <c r="N135" s="46">
        <f t="shared" si="21"/>
        <v>31718.061674008812</v>
      </c>
      <c r="Q135" s="80">
        <f t="shared" si="22"/>
        <v>7.3421439060205582</v>
      </c>
      <c r="R135" s="79" t="str">
        <f t="shared" si="23"/>
        <v>EQP-LAWPACK1</v>
      </c>
      <c r="S135" s="79" t="str">
        <f t="shared" si="24"/>
        <v>AUTOBAKE-P</v>
      </c>
    </row>
    <row r="136" spans="1:19" ht="15.6" hidden="1" customHeight="1" thickBot="1" x14ac:dyDescent="0.3">
      <c r="A136" t="s">
        <v>23</v>
      </c>
      <c r="B136" s="11" t="str">
        <f t="shared" si="19"/>
        <v>hide</v>
      </c>
      <c r="D136" s="13" t="str">
        <f>"51951"</f>
        <v>51951</v>
      </c>
      <c r="E136" s="7" t="str">
        <f>"3"</f>
        <v>3</v>
      </c>
      <c r="F136" s="27">
        <v>0</v>
      </c>
      <c r="G136" s="5" t="str">
        <f>"346 Mini Loaf, Banana, IW"</f>
        <v>346 Mini Loaf, Banana, IW</v>
      </c>
      <c r="H136" s="14" t="str">
        <f t="shared" si="33"/>
        <v>72/2 oz</v>
      </c>
      <c r="I136" s="15">
        <v>72</v>
      </c>
      <c r="J136" s="12">
        <v>1E-3</v>
      </c>
      <c r="K136" s="34">
        <f t="shared" si="30"/>
        <v>1000</v>
      </c>
      <c r="L136" s="37">
        <v>2.2699999999999999E-3</v>
      </c>
      <c r="M136" s="47">
        <f t="shared" si="20"/>
        <v>440.52863436123351</v>
      </c>
      <c r="N136" s="46">
        <f t="shared" si="21"/>
        <v>31718.061674008812</v>
      </c>
      <c r="Q136" s="80">
        <f t="shared" si="22"/>
        <v>7.3421439060205582</v>
      </c>
      <c r="R136" s="79" t="str">
        <f t="shared" si="23"/>
        <v>EQP-LAWPACK1</v>
      </c>
      <c r="S136" s="79" t="str">
        <f t="shared" si="24"/>
        <v>AUTOBAKE-P</v>
      </c>
    </row>
    <row r="137" spans="1:19" ht="15.6" customHeight="1" thickBot="1" x14ac:dyDescent="0.3">
      <c r="A137" t="s">
        <v>23</v>
      </c>
      <c r="B137" s="11" t="str">
        <f t="shared" si="19"/>
        <v/>
      </c>
      <c r="D137" s="13" t="str">
        <f>"51965"</f>
        <v>51965</v>
      </c>
      <c r="E137" s="7" t="str">
        <f>"8"</f>
        <v>8</v>
      </c>
      <c r="F137" s="27">
        <v>3221.5</v>
      </c>
      <c r="G137" s="5" t="str">
        <f>"2111 Mini Loaf, WG, Cornbread, IW"</f>
        <v>2111 Mini Loaf, WG, Cornbread, IW</v>
      </c>
      <c r="H137" s="14" t="str">
        <f t="shared" si="33"/>
        <v>72/2 oz</v>
      </c>
      <c r="I137" s="15">
        <v>72</v>
      </c>
      <c r="J137" s="12">
        <v>1E-3</v>
      </c>
      <c r="K137" s="34">
        <f t="shared" si="30"/>
        <v>1000</v>
      </c>
      <c r="L137" s="37">
        <v>2.2699999999999999E-3</v>
      </c>
      <c r="M137" s="47">
        <f t="shared" si="20"/>
        <v>440.52863436123351</v>
      </c>
      <c r="N137" s="46">
        <f t="shared" si="21"/>
        <v>31718.061674008812</v>
      </c>
      <c r="Q137" s="80">
        <f t="shared" si="22"/>
        <v>7.3421439060205582</v>
      </c>
      <c r="R137" s="79" t="str">
        <f t="shared" si="23"/>
        <v>EQP-LAWPACK1</v>
      </c>
      <c r="S137" s="79" t="str">
        <f t="shared" si="24"/>
        <v>AUTOBAKE-P</v>
      </c>
    </row>
    <row r="138" spans="1:19" ht="15.6" hidden="1" customHeight="1" thickBot="1" x14ac:dyDescent="0.3">
      <c r="A138" t="s">
        <v>23</v>
      </c>
      <c r="B138" s="11" t="str">
        <f t="shared" si="19"/>
        <v>hide</v>
      </c>
      <c r="D138" s="13" t="str">
        <f>"51985"</f>
        <v>51985</v>
      </c>
      <c r="E138" s="7" t="str">
        <f>"5"</f>
        <v>5</v>
      </c>
      <c r="F138" s="27">
        <v>0</v>
      </c>
      <c r="G138" s="5" t="str">
        <f>"2112 WG JALAPENO CORNBREAD"</f>
        <v>2112 WG JALAPENO CORNBREAD</v>
      </c>
      <c r="H138" s="14" t="str">
        <f>"72/2 oz. I.W."</f>
        <v>72/2 oz. I.W.</v>
      </c>
      <c r="I138" s="15">
        <v>72</v>
      </c>
      <c r="J138" s="12">
        <v>1E-3</v>
      </c>
      <c r="K138" s="34">
        <f t="shared" si="30"/>
        <v>1000</v>
      </c>
      <c r="L138" s="37">
        <v>2.2699999999999999E-3</v>
      </c>
      <c r="M138" s="47">
        <f t="shared" si="20"/>
        <v>440.52863436123351</v>
      </c>
      <c r="N138" s="46">
        <f t="shared" si="21"/>
        <v>31718.061674008812</v>
      </c>
      <c r="Q138" s="80">
        <f t="shared" si="22"/>
        <v>7.3421439060205582</v>
      </c>
      <c r="R138" s="79" t="str">
        <f t="shared" si="23"/>
        <v>EQP-LAWPACK1</v>
      </c>
      <c r="S138" s="79" t="str">
        <f t="shared" si="24"/>
        <v>AUTOBAKE-P</v>
      </c>
    </row>
    <row r="139" spans="1:19" ht="15.6" customHeight="1" thickBot="1" x14ac:dyDescent="0.3">
      <c r="A139" t="s">
        <v>23</v>
      </c>
      <c r="B139" s="11" t="str">
        <f t="shared" si="19"/>
        <v/>
      </c>
      <c r="D139" s="13" t="str">
        <f>"51991"</f>
        <v>51991</v>
      </c>
      <c r="E139" s="7" t="str">
        <f>"9"</f>
        <v>9</v>
      </c>
      <c r="F139" s="27">
        <v>1284.0833333333333</v>
      </c>
      <c r="G139" s="5" t="str">
        <f>"412 Mini Loaf, WG, Banana, RF, IW"</f>
        <v>412 Mini Loaf, WG, Banana, RF, IW</v>
      </c>
      <c r="H139" s="14" t="str">
        <f>"72/2 oz"</f>
        <v>72/2 oz</v>
      </c>
      <c r="I139" s="15">
        <v>72</v>
      </c>
      <c r="J139" s="12">
        <v>1E-3</v>
      </c>
      <c r="K139" s="34">
        <f t="shared" ref="K139:K170" si="34">1/J139</f>
        <v>1000</v>
      </c>
      <c r="L139" s="37">
        <v>2.2699999999999999E-3</v>
      </c>
      <c r="M139" s="47">
        <f t="shared" si="20"/>
        <v>440.52863436123351</v>
      </c>
      <c r="N139" s="46">
        <f t="shared" si="21"/>
        <v>31718.061674008812</v>
      </c>
      <c r="Q139" s="80">
        <f t="shared" si="22"/>
        <v>7.3421439060205582</v>
      </c>
      <c r="R139" s="79" t="str">
        <f t="shared" si="23"/>
        <v>EQP-LAWPACK1</v>
      </c>
      <c r="S139" s="79" t="str">
        <f t="shared" si="24"/>
        <v>AUTOBAKE-P</v>
      </c>
    </row>
    <row r="140" spans="1:19" ht="15.6" hidden="1" customHeight="1" thickBot="1" x14ac:dyDescent="0.3">
      <c r="A140" t="s">
        <v>23</v>
      </c>
      <c r="B140" s="11" t="str">
        <f t="shared" si="19"/>
        <v>hide</v>
      </c>
      <c r="D140" s="13" t="str">
        <f>"51993"</f>
        <v>51993</v>
      </c>
      <c r="E140" s="7" t="str">
        <f>"5"</f>
        <v>5</v>
      </c>
      <c r="F140" s="27">
        <v>0</v>
      </c>
      <c r="G140" s="5" t="str">
        <f>"1414 Mini Loaf, WG Choc Choc Chip, IW"</f>
        <v>1414 Mini Loaf, WG Choc Choc Chip, IW</v>
      </c>
      <c r="H140" s="14" t="str">
        <f>"72/2 oz"</f>
        <v>72/2 oz</v>
      </c>
      <c r="I140" s="15">
        <v>72</v>
      </c>
      <c r="J140" s="12">
        <v>1E-3</v>
      </c>
      <c r="K140" s="34">
        <f t="shared" si="34"/>
        <v>1000</v>
      </c>
      <c r="L140" s="37">
        <v>2.2699999999999999E-3</v>
      </c>
      <c r="M140" s="47">
        <f t="shared" si="20"/>
        <v>440.52863436123351</v>
      </c>
      <c r="N140" s="46">
        <f t="shared" si="21"/>
        <v>31718.061674008812</v>
      </c>
      <c r="Q140" s="80">
        <f t="shared" si="22"/>
        <v>7.3421439060205582</v>
      </c>
      <c r="R140" s="79" t="str">
        <f t="shared" si="23"/>
        <v>EQP-LAWPACK1</v>
      </c>
      <c r="S140" s="79" t="str">
        <f t="shared" si="24"/>
        <v>AUTOBAKE-P</v>
      </c>
    </row>
    <row r="141" spans="1:19" ht="15.6" customHeight="1" thickBot="1" x14ac:dyDescent="0.3">
      <c r="A141" t="s">
        <v>23</v>
      </c>
      <c r="B141" s="11" t="str">
        <f t="shared" si="19"/>
        <v/>
      </c>
      <c r="D141" s="13" t="str">
        <f>"51996"</f>
        <v>51996</v>
      </c>
      <c r="E141" s="7" t="str">
        <f>"7"</f>
        <v>7</v>
      </c>
      <c r="F141" s="27">
        <v>181.58333333333334</v>
      </c>
      <c r="G141" s="5" t="str">
        <f>"413 Mini Loaf, WG, Apple Cinn, IW"</f>
        <v>413 Mini Loaf, WG, Apple Cinn, IW</v>
      </c>
      <c r="H141" s="14" t="str">
        <f>"72/2 oz"</f>
        <v>72/2 oz</v>
      </c>
      <c r="I141" s="15">
        <v>72</v>
      </c>
      <c r="J141" s="12">
        <v>1E-3</v>
      </c>
      <c r="K141" s="34">
        <f t="shared" si="34"/>
        <v>1000</v>
      </c>
      <c r="L141" s="37">
        <v>2.3E-3</v>
      </c>
      <c r="M141" s="47">
        <f t="shared" si="20"/>
        <v>434.78260869565219</v>
      </c>
      <c r="N141" s="46">
        <f t="shared" si="21"/>
        <v>31304.347826086956</v>
      </c>
      <c r="Q141" s="80">
        <f t="shared" si="22"/>
        <v>7.2463768115942031</v>
      </c>
      <c r="R141" s="79" t="str">
        <f t="shared" si="23"/>
        <v>EQP-LAWPACK1</v>
      </c>
      <c r="S141" s="79" t="str">
        <f t="shared" si="24"/>
        <v>AUTOBAKE-P</v>
      </c>
    </row>
    <row r="142" spans="1:19" ht="15.6" hidden="1" customHeight="1" thickBot="1" x14ac:dyDescent="0.3">
      <c r="A142" t="s">
        <v>23</v>
      </c>
      <c r="B142" s="11" t="str">
        <f t="shared" si="19"/>
        <v>hide</v>
      </c>
      <c r="D142" s="13" t="str">
        <f>"57134"</f>
        <v>57134</v>
      </c>
      <c r="E142" s="7" t="str">
        <f>"9"</f>
        <v>9</v>
      </c>
      <c r="F142" s="27">
        <v>0</v>
      </c>
      <c r="G142" s="5" t="str">
        <f>"Corn Tops"</f>
        <v>Corn Tops</v>
      </c>
      <c r="H142" s="14" t="str">
        <f t="shared" ref="H142:H148" si="35">"24-2 oz."</f>
        <v>24-2 oz.</v>
      </c>
      <c r="I142" s="15">
        <v>24</v>
      </c>
      <c r="J142" s="12" t="str">
        <f>""</f>
        <v/>
      </c>
      <c r="K142" s="34" t="e">
        <f t="shared" si="34"/>
        <v>#VALUE!</v>
      </c>
      <c r="L142" s="37">
        <v>1</v>
      </c>
      <c r="M142" s="47">
        <f t="shared" si="20"/>
        <v>1</v>
      </c>
      <c r="N142" s="46">
        <f t="shared" si="21"/>
        <v>24</v>
      </c>
      <c r="Q142" s="80">
        <f t="shared" si="22"/>
        <v>1.6666666666666666E-2</v>
      </c>
      <c r="R142" s="79" t="str">
        <f t="shared" si="23"/>
        <v>EQP-LAWPACK1</v>
      </c>
      <c r="S142" s="79" t="str">
        <f t="shared" si="24"/>
        <v>AUTOBAKE-P</v>
      </c>
    </row>
    <row r="143" spans="1:19" ht="15.6" hidden="1" customHeight="1" thickBot="1" x14ac:dyDescent="0.3">
      <c r="A143" t="s">
        <v>23</v>
      </c>
      <c r="B143" s="11" t="str">
        <f t="shared" si="19"/>
        <v>hide</v>
      </c>
      <c r="D143" s="13" t="str">
        <f>"57174"</f>
        <v>57174</v>
      </c>
      <c r="E143" s="7" t="str">
        <f>"13"</f>
        <v>13</v>
      </c>
      <c r="F143" s="27">
        <v>0</v>
      </c>
      <c r="G143" s="5" t="str">
        <f>"Deep Chocolate Tops"</f>
        <v>Deep Chocolate Tops</v>
      </c>
      <c r="H143" s="14" t="str">
        <f t="shared" si="35"/>
        <v>24-2 oz.</v>
      </c>
      <c r="I143" s="15">
        <v>24</v>
      </c>
      <c r="J143" s="12" t="str">
        <f>""</f>
        <v/>
      </c>
      <c r="K143" s="34" t="e">
        <f t="shared" si="34"/>
        <v>#VALUE!</v>
      </c>
      <c r="L143" s="37">
        <v>1</v>
      </c>
      <c r="M143" s="47">
        <f t="shared" si="20"/>
        <v>1</v>
      </c>
      <c r="N143" s="46">
        <f t="shared" si="21"/>
        <v>24</v>
      </c>
      <c r="Q143" s="80">
        <f t="shared" si="22"/>
        <v>1.6666666666666666E-2</v>
      </c>
      <c r="R143" s="79" t="str">
        <f t="shared" si="23"/>
        <v>EQP-LAWPACK1</v>
      </c>
      <c r="S143" s="79" t="str">
        <f t="shared" si="24"/>
        <v>AUTOBAKE-P</v>
      </c>
    </row>
    <row r="144" spans="1:19" ht="15.6" hidden="1" customHeight="1" thickBot="1" x14ac:dyDescent="0.3">
      <c r="A144" t="s">
        <v>23</v>
      </c>
      <c r="B144" s="11" t="str">
        <f t="shared" ref="B144:B191" si="36">IF(F144=0,"hide","")</f>
        <v>hide</v>
      </c>
      <c r="D144" s="13" t="str">
        <f>"57194"</f>
        <v>57194</v>
      </c>
      <c r="E144" s="7" t="str">
        <f>"5"</f>
        <v>5</v>
      </c>
      <c r="F144" s="27">
        <v>0</v>
      </c>
      <c r="G144" s="5" t="str">
        <f>"Chocolate Chip Tops"</f>
        <v>Chocolate Chip Tops</v>
      </c>
      <c r="H144" s="14" t="str">
        <f t="shared" si="35"/>
        <v>24-2 oz.</v>
      </c>
      <c r="I144" s="15">
        <v>24</v>
      </c>
      <c r="J144" s="12">
        <v>1E-3</v>
      </c>
      <c r="K144" s="34">
        <f t="shared" si="34"/>
        <v>1000</v>
      </c>
      <c r="L144" s="37">
        <v>2.8800000000000002E-3</v>
      </c>
      <c r="M144" s="47">
        <f t="shared" ref="M144:M191" si="37">1/L144</f>
        <v>347.22222222222223</v>
      </c>
      <c r="N144" s="46">
        <f t="shared" ref="N144:N191" si="38">M144*I144</f>
        <v>8333.3333333333339</v>
      </c>
      <c r="Q144" s="80">
        <f t="shared" ref="Q144:Q191" si="39">M144/60</f>
        <v>5.7870370370370372</v>
      </c>
      <c r="R144" s="79" t="str">
        <f t="shared" ref="R144:R191" si="40">$G$4</f>
        <v>EQP-LAWPACK1</v>
      </c>
      <c r="S144" s="79" t="str">
        <f t="shared" ref="S144:S191" si="41">$G$5</f>
        <v>AUTOBAKE-P</v>
      </c>
    </row>
    <row r="145" spans="1:19" ht="15.6" hidden="1" customHeight="1" thickBot="1" x14ac:dyDescent="0.3">
      <c r="A145" t="s">
        <v>23</v>
      </c>
      <c r="B145" s="11" t="str">
        <f t="shared" si="36"/>
        <v>hide</v>
      </c>
      <c r="D145" s="13" t="str">
        <f>"57197"</f>
        <v>57197</v>
      </c>
      <c r="E145" s="7" t="str">
        <f>"8"</f>
        <v>8</v>
      </c>
      <c r="F145" s="27">
        <v>0</v>
      </c>
      <c r="G145" s="5" t="str">
        <f>"Protein Banana Vitatop"</f>
        <v>Protein Banana Vitatop</v>
      </c>
      <c r="H145" s="14" t="str">
        <f t="shared" si="35"/>
        <v>24-2 oz.</v>
      </c>
      <c r="I145" s="15">
        <v>24</v>
      </c>
      <c r="J145" s="12" t="str">
        <f>""</f>
        <v/>
      </c>
      <c r="K145" s="34" t="e">
        <f t="shared" si="34"/>
        <v>#VALUE!</v>
      </c>
      <c r="L145" s="37">
        <v>1</v>
      </c>
      <c r="M145" s="47">
        <f t="shared" si="37"/>
        <v>1</v>
      </c>
      <c r="N145" s="46">
        <f t="shared" si="38"/>
        <v>24</v>
      </c>
      <c r="Q145" s="80">
        <f t="shared" si="39"/>
        <v>1.6666666666666666E-2</v>
      </c>
      <c r="R145" s="79" t="str">
        <f t="shared" si="40"/>
        <v>EQP-LAWPACK1</v>
      </c>
      <c r="S145" s="79" t="str">
        <f t="shared" si="41"/>
        <v>AUTOBAKE-P</v>
      </c>
    </row>
    <row r="146" spans="1:19" ht="15.6" hidden="1" customHeight="1" thickBot="1" x14ac:dyDescent="0.3">
      <c r="A146" t="s">
        <v>23</v>
      </c>
      <c r="B146" s="11" t="str">
        <f t="shared" si="36"/>
        <v>hide</v>
      </c>
      <c r="D146" s="13" t="str">
        <f>"57199"</f>
        <v>57199</v>
      </c>
      <c r="E146" s="7" t="str">
        <f>"13"</f>
        <v>13</v>
      </c>
      <c r="F146" s="27">
        <v>0</v>
      </c>
      <c r="G146" s="5" t="str">
        <f>"ORGANIC Wild Blue TOPS"</f>
        <v>ORGANIC Wild Blue TOPS</v>
      </c>
      <c r="H146" s="14" t="str">
        <f t="shared" si="35"/>
        <v>24-2 oz.</v>
      </c>
      <c r="I146" s="15">
        <v>24</v>
      </c>
      <c r="J146" s="12">
        <v>5.8999999999999999E-3</v>
      </c>
      <c r="K146" s="34">
        <f t="shared" si="34"/>
        <v>169.49152542372883</v>
      </c>
      <c r="L146" s="37">
        <v>2.0799999999999998E-3</v>
      </c>
      <c r="M146" s="47">
        <f t="shared" si="37"/>
        <v>480.76923076923083</v>
      </c>
      <c r="N146" s="46">
        <f t="shared" si="38"/>
        <v>11538.461538461539</v>
      </c>
      <c r="Q146" s="80">
        <f t="shared" si="39"/>
        <v>8.0128205128205146</v>
      </c>
      <c r="R146" s="79" t="str">
        <f t="shared" si="40"/>
        <v>EQP-LAWPACK1</v>
      </c>
      <c r="S146" s="79" t="str">
        <f t="shared" si="41"/>
        <v>AUTOBAKE-P</v>
      </c>
    </row>
    <row r="147" spans="1:19" ht="15.6" hidden="1" customHeight="1" thickBot="1" x14ac:dyDescent="0.3">
      <c r="A147" t="s">
        <v>23</v>
      </c>
      <c r="B147" s="11" t="str">
        <f t="shared" si="36"/>
        <v>hide</v>
      </c>
      <c r="D147" s="13" t="str">
        <f>"57253"</f>
        <v>57253</v>
      </c>
      <c r="E147" s="7" t="str">
        <f>"7"</f>
        <v>7</v>
      </c>
      <c r="F147" s="27">
        <v>0</v>
      </c>
      <c r="G147" s="5" t="str">
        <f>"SugarFree Choc. Tops"</f>
        <v>SugarFree Choc. Tops</v>
      </c>
      <c r="H147" s="14" t="str">
        <f t="shared" si="35"/>
        <v>24-2 oz.</v>
      </c>
      <c r="I147" s="15">
        <v>24</v>
      </c>
      <c r="J147" s="12">
        <v>2E-3</v>
      </c>
      <c r="K147" s="34">
        <f t="shared" si="34"/>
        <v>500</v>
      </c>
      <c r="L147" s="37">
        <v>2.8800000000000002E-3</v>
      </c>
      <c r="M147" s="47">
        <f t="shared" si="37"/>
        <v>347.22222222222223</v>
      </c>
      <c r="N147" s="46">
        <f t="shared" si="38"/>
        <v>8333.3333333333339</v>
      </c>
      <c r="Q147" s="80">
        <f t="shared" si="39"/>
        <v>5.7870370370370372</v>
      </c>
      <c r="R147" s="79" t="str">
        <f t="shared" si="40"/>
        <v>EQP-LAWPACK1</v>
      </c>
      <c r="S147" s="79" t="str">
        <f t="shared" si="41"/>
        <v>AUTOBAKE-P</v>
      </c>
    </row>
    <row r="148" spans="1:19" ht="15.6" hidden="1" customHeight="1" thickBot="1" x14ac:dyDescent="0.3">
      <c r="A148" t="s">
        <v>23</v>
      </c>
      <c r="B148" s="11" t="str">
        <f t="shared" si="36"/>
        <v>hide</v>
      </c>
      <c r="D148" s="13" t="str">
        <f>"57360"</f>
        <v>57360</v>
      </c>
      <c r="E148" s="7" t="str">
        <f>"5"</f>
        <v>5</v>
      </c>
      <c r="F148" s="27">
        <v>0</v>
      </c>
      <c r="G148" s="5" t="str">
        <f>"Chocolate Mint Tops"</f>
        <v>Chocolate Mint Tops</v>
      </c>
      <c r="H148" s="14" t="str">
        <f t="shared" si="35"/>
        <v>24-2 oz.</v>
      </c>
      <c r="I148" s="15">
        <v>24</v>
      </c>
      <c r="J148" s="12" t="str">
        <f>""</f>
        <v/>
      </c>
      <c r="K148" s="34" t="e">
        <f t="shared" si="34"/>
        <v>#VALUE!</v>
      </c>
      <c r="L148" s="37">
        <v>1</v>
      </c>
      <c r="M148" s="47">
        <f t="shared" si="37"/>
        <v>1</v>
      </c>
      <c r="N148" s="46">
        <f t="shared" si="38"/>
        <v>24</v>
      </c>
      <c r="Q148" s="80">
        <f t="shared" si="39"/>
        <v>1.6666666666666666E-2</v>
      </c>
      <c r="R148" s="79" t="str">
        <f t="shared" si="40"/>
        <v>EQP-LAWPACK1</v>
      </c>
      <c r="S148" s="79" t="str">
        <f t="shared" si="41"/>
        <v>AUTOBAKE-P</v>
      </c>
    </row>
    <row r="149" spans="1:19" ht="15.6" customHeight="1" thickBot="1" x14ac:dyDescent="0.3">
      <c r="A149" t="s">
        <v>23</v>
      </c>
      <c r="B149" s="11" t="str">
        <f t="shared" si="36"/>
        <v/>
      </c>
      <c r="D149" s="13" t="str">
        <f>"57633"</f>
        <v>57633</v>
      </c>
      <c r="E149" s="7" t="str">
        <f>"6"</f>
        <v>6</v>
      </c>
      <c r="F149" s="27">
        <v>789.75</v>
      </c>
      <c r="G149" s="5" t="str">
        <f>"Smart Choice Choc.Choc Ch TOP"</f>
        <v>Smart Choice Choc.Choc Ch TOP</v>
      </c>
      <c r="H149" s="14" t="str">
        <f t="shared" ref="H149:H155" si="42">"60-2 oz. I.W."</f>
        <v>60-2 oz. I.W.</v>
      </c>
      <c r="I149" s="15">
        <v>60</v>
      </c>
      <c r="J149" s="12">
        <v>1E-3</v>
      </c>
      <c r="K149" s="34">
        <f t="shared" si="34"/>
        <v>1000</v>
      </c>
      <c r="L149" s="37">
        <v>2.8800000000000002E-3</v>
      </c>
      <c r="M149" s="47">
        <f t="shared" si="37"/>
        <v>347.22222222222223</v>
      </c>
      <c r="N149" s="46">
        <f t="shared" si="38"/>
        <v>20833.333333333332</v>
      </c>
      <c r="Q149" s="80">
        <f t="shared" si="39"/>
        <v>5.7870370370370372</v>
      </c>
      <c r="R149" s="79" t="str">
        <f t="shared" si="40"/>
        <v>EQP-LAWPACK1</v>
      </c>
      <c r="S149" s="79" t="str">
        <f t="shared" si="41"/>
        <v>AUTOBAKE-P</v>
      </c>
    </row>
    <row r="150" spans="1:19" ht="15.6" customHeight="1" thickBot="1" x14ac:dyDescent="0.3">
      <c r="A150" t="s">
        <v>23</v>
      </c>
      <c r="B150" s="11" t="str">
        <f t="shared" si="36"/>
        <v/>
      </c>
      <c r="D150" s="13" t="str">
        <f>"57661"</f>
        <v>57661</v>
      </c>
      <c r="E150" s="7" t="str">
        <f>"6"</f>
        <v>6</v>
      </c>
      <c r="F150" s="27">
        <v>1216.75</v>
      </c>
      <c r="G150" s="5" t="str">
        <f>"Smart Choice Blueberry TOPS"</f>
        <v>Smart Choice Blueberry TOPS</v>
      </c>
      <c r="H150" s="14" t="str">
        <f t="shared" si="42"/>
        <v>60-2 oz. I.W.</v>
      </c>
      <c r="I150" s="15">
        <v>60</v>
      </c>
      <c r="J150" s="12">
        <v>1E-3</v>
      </c>
      <c r="K150" s="34">
        <f t="shared" si="34"/>
        <v>1000</v>
      </c>
      <c r="L150" s="37">
        <v>2.8800000000000002E-3</v>
      </c>
      <c r="M150" s="47">
        <f t="shared" si="37"/>
        <v>347.22222222222223</v>
      </c>
      <c r="N150" s="46">
        <f t="shared" si="38"/>
        <v>20833.333333333332</v>
      </c>
      <c r="Q150" s="80">
        <f t="shared" si="39"/>
        <v>5.7870370370370372</v>
      </c>
      <c r="R150" s="79" t="str">
        <f t="shared" si="40"/>
        <v>EQP-LAWPACK1</v>
      </c>
      <c r="S150" s="79" t="str">
        <f t="shared" si="41"/>
        <v>AUTOBAKE-P</v>
      </c>
    </row>
    <row r="151" spans="1:19" ht="15.6" customHeight="1" thickBot="1" x14ac:dyDescent="0.3">
      <c r="A151" t="s">
        <v>23</v>
      </c>
      <c r="B151" s="11" t="str">
        <f t="shared" si="36"/>
        <v/>
      </c>
      <c r="D151" s="13" t="str">
        <f>"57666"</f>
        <v>57666</v>
      </c>
      <c r="E151" s="7" t="str">
        <f>"9"</f>
        <v>9</v>
      </c>
      <c r="F151" s="27">
        <v>1288.75</v>
      </c>
      <c r="G151" s="5" t="str">
        <f>"Smart Choice Apple TOPS"</f>
        <v>Smart Choice Apple TOPS</v>
      </c>
      <c r="H151" s="14" t="str">
        <f t="shared" si="42"/>
        <v>60-2 oz. I.W.</v>
      </c>
      <c r="I151" s="15">
        <v>60</v>
      </c>
      <c r="J151" s="12">
        <v>1E-3</v>
      </c>
      <c r="K151" s="34">
        <f t="shared" si="34"/>
        <v>1000</v>
      </c>
      <c r="L151" s="37">
        <v>2.8800000000000002E-3</v>
      </c>
      <c r="M151" s="47">
        <f t="shared" si="37"/>
        <v>347.22222222222223</v>
      </c>
      <c r="N151" s="46">
        <f t="shared" si="38"/>
        <v>20833.333333333332</v>
      </c>
      <c r="Q151" s="80">
        <f t="shared" si="39"/>
        <v>5.7870370370370372</v>
      </c>
      <c r="R151" s="79" t="str">
        <f t="shared" si="40"/>
        <v>EQP-LAWPACK1</v>
      </c>
      <c r="S151" s="79" t="str">
        <f t="shared" si="41"/>
        <v>AUTOBAKE-P</v>
      </c>
    </row>
    <row r="152" spans="1:19" ht="15.6" customHeight="1" thickBot="1" x14ac:dyDescent="0.3">
      <c r="A152" t="s">
        <v>23</v>
      </c>
      <c r="B152" s="11" t="str">
        <f t="shared" si="36"/>
        <v/>
      </c>
      <c r="D152" s="13" t="str">
        <f>"57670"</f>
        <v>57670</v>
      </c>
      <c r="E152" s="7" t="str">
        <f>"6"</f>
        <v>6</v>
      </c>
      <c r="F152" s="27">
        <v>3097.25</v>
      </c>
      <c r="G152" s="5" t="str">
        <f>"Smart Choice Choc Chip TOP"</f>
        <v>Smart Choice Choc Chip TOP</v>
      </c>
      <c r="H152" s="14" t="str">
        <f t="shared" si="42"/>
        <v>60-2 oz. I.W.</v>
      </c>
      <c r="I152" s="15">
        <v>60</v>
      </c>
      <c r="J152" s="12">
        <v>1E-3</v>
      </c>
      <c r="K152" s="34">
        <f t="shared" si="34"/>
        <v>1000</v>
      </c>
      <c r="L152" s="37">
        <v>2.9199999999999999E-3</v>
      </c>
      <c r="M152" s="47">
        <f t="shared" si="37"/>
        <v>342.46575342465758</v>
      </c>
      <c r="N152" s="46">
        <f t="shared" si="38"/>
        <v>20547.945205479453</v>
      </c>
      <c r="Q152" s="80">
        <f t="shared" si="39"/>
        <v>5.7077625570776265</v>
      </c>
      <c r="R152" s="79" t="str">
        <f t="shared" si="40"/>
        <v>EQP-LAWPACK1</v>
      </c>
      <c r="S152" s="79" t="str">
        <f t="shared" si="41"/>
        <v>AUTOBAKE-P</v>
      </c>
    </row>
    <row r="153" spans="1:19" ht="15.6" customHeight="1" thickBot="1" x14ac:dyDescent="0.3">
      <c r="A153" t="s">
        <v>23</v>
      </c>
      <c r="B153" s="11" t="str">
        <f t="shared" si="36"/>
        <v/>
      </c>
      <c r="D153" s="13" t="str">
        <f>"57675"</f>
        <v>57675</v>
      </c>
      <c r="E153" s="7" t="str">
        <f>"6"</f>
        <v>6</v>
      </c>
      <c r="F153" s="27">
        <v>486.66666666666669</v>
      </c>
      <c r="G153" s="5" t="str">
        <f>"Smart Choice Banana TOP"</f>
        <v>Smart Choice Banana TOP</v>
      </c>
      <c r="H153" s="14" t="str">
        <f t="shared" si="42"/>
        <v>60-2 oz. I.W.</v>
      </c>
      <c r="I153" s="15">
        <v>60</v>
      </c>
      <c r="J153" s="12">
        <v>1E-3</v>
      </c>
      <c r="K153" s="34">
        <f t="shared" si="34"/>
        <v>1000</v>
      </c>
      <c r="L153" s="37">
        <v>2.8800000000000002E-3</v>
      </c>
      <c r="M153" s="47">
        <f t="shared" si="37"/>
        <v>347.22222222222223</v>
      </c>
      <c r="N153" s="46">
        <f t="shared" si="38"/>
        <v>20833.333333333332</v>
      </c>
      <c r="Q153" s="80">
        <f t="shared" si="39"/>
        <v>5.7870370370370372</v>
      </c>
      <c r="R153" s="79" t="str">
        <f t="shared" si="40"/>
        <v>EQP-LAWPACK1</v>
      </c>
      <c r="S153" s="79" t="str">
        <f t="shared" si="41"/>
        <v>AUTOBAKE-P</v>
      </c>
    </row>
    <row r="154" spans="1:19" ht="15.6" customHeight="1" thickBot="1" x14ac:dyDescent="0.3">
      <c r="A154" t="s">
        <v>23</v>
      </c>
      <c r="B154" s="11" t="str">
        <f t="shared" si="36"/>
        <v/>
      </c>
      <c r="D154" s="13" t="str">
        <f>"57961"</f>
        <v>57961</v>
      </c>
      <c r="E154" s="7" t="str">
        <f>"1"</f>
        <v>1</v>
      </c>
      <c r="F154" s="27">
        <v>79.916666666666671</v>
      </c>
      <c r="G154" s="5" t="str">
        <f>"1238 WG Blueberry Muffin Top"</f>
        <v>1238 WG Blueberry Muffin Top</v>
      </c>
      <c r="H154" s="14" t="str">
        <f t="shared" si="42"/>
        <v>60-2 oz. I.W.</v>
      </c>
      <c r="I154" s="15">
        <v>60</v>
      </c>
      <c r="J154" s="12">
        <v>0</v>
      </c>
      <c r="K154" s="34" t="e">
        <f t="shared" si="34"/>
        <v>#DIV/0!</v>
      </c>
      <c r="L154" s="37">
        <v>2.8800000000000002E-3</v>
      </c>
      <c r="M154" s="47">
        <f t="shared" si="37"/>
        <v>347.22222222222223</v>
      </c>
      <c r="N154" s="46">
        <f t="shared" si="38"/>
        <v>20833.333333333332</v>
      </c>
      <c r="Q154" s="80">
        <f t="shared" si="39"/>
        <v>5.7870370370370372</v>
      </c>
      <c r="R154" s="79" t="str">
        <f t="shared" si="40"/>
        <v>EQP-LAWPACK1</v>
      </c>
      <c r="S154" s="79" t="str">
        <f t="shared" si="41"/>
        <v>AUTOBAKE-P</v>
      </c>
    </row>
    <row r="155" spans="1:19" ht="15.6" customHeight="1" thickBot="1" x14ac:dyDescent="0.3">
      <c r="A155" t="s">
        <v>23</v>
      </c>
      <c r="B155" s="11" t="str">
        <f t="shared" si="36"/>
        <v/>
      </c>
      <c r="D155" s="13" t="str">
        <f>"57970"</f>
        <v>57970</v>
      </c>
      <c r="E155" s="7" t="str">
        <f>"1"</f>
        <v>1</v>
      </c>
      <c r="F155" s="27">
        <v>102.25</v>
      </c>
      <c r="G155" s="5" t="str">
        <f>"1239 Smart Choice Choc Chip Top"</f>
        <v>1239 Smart Choice Choc Chip Top</v>
      </c>
      <c r="H155" s="14" t="str">
        <f t="shared" si="42"/>
        <v>60-2 oz. I.W.</v>
      </c>
      <c r="I155" s="15">
        <v>60</v>
      </c>
      <c r="J155" s="12">
        <v>0</v>
      </c>
      <c r="K155" s="34" t="e">
        <f t="shared" si="34"/>
        <v>#DIV/0!</v>
      </c>
      <c r="L155" s="37">
        <v>2.8800000000000002E-3</v>
      </c>
      <c r="M155" s="47">
        <f t="shared" si="37"/>
        <v>347.22222222222223</v>
      </c>
      <c r="N155" s="46">
        <f t="shared" si="38"/>
        <v>20833.333333333332</v>
      </c>
      <c r="Q155" s="80">
        <f t="shared" si="39"/>
        <v>5.7870370370370372</v>
      </c>
      <c r="R155" s="79" t="str">
        <f t="shared" si="40"/>
        <v>EQP-LAWPACK1</v>
      </c>
      <c r="S155" s="79" t="str">
        <f t="shared" si="41"/>
        <v>AUTOBAKE-P</v>
      </c>
    </row>
    <row r="156" spans="1:19" ht="15.6" customHeight="1" thickBot="1" x14ac:dyDescent="0.3">
      <c r="A156" t="s">
        <v>23</v>
      </c>
      <c r="B156" s="11" t="str">
        <f t="shared" si="36"/>
        <v/>
      </c>
      <c r="D156" s="13" t="str">
        <f>"59605"</f>
        <v>59605</v>
      </c>
      <c r="E156" s="7" t="str">
        <f>"2"</f>
        <v>2</v>
      </c>
      <c r="F156" s="27">
        <v>196</v>
      </c>
      <c r="G156" s="5" t="str">
        <f>"CORN MUFFINS"</f>
        <v>CORN MUFFINS</v>
      </c>
      <c r="H156" s="14" t="str">
        <f>"36-5 oz. 18-2 pack"</f>
        <v>36-5 oz. 18-2 pack</v>
      </c>
      <c r="I156" s="15">
        <v>36</v>
      </c>
      <c r="J156" s="12">
        <v>0</v>
      </c>
      <c r="K156" s="34" t="e">
        <f t="shared" si="34"/>
        <v>#DIV/0!</v>
      </c>
      <c r="L156" s="37">
        <v>0</v>
      </c>
      <c r="M156" s="47" t="e">
        <f t="shared" si="37"/>
        <v>#DIV/0!</v>
      </c>
      <c r="N156" s="46" t="e">
        <f t="shared" si="38"/>
        <v>#DIV/0!</v>
      </c>
      <c r="Q156" s="80" t="e">
        <f t="shared" si="39"/>
        <v>#DIV/0!</v>
      </c>
      <c r="R156" s="79" t="str">
        <f t="shared" si="40"/>
        <v>EQP-LAWPACK1</v>
      </c>
      <c r="S156" s="79" t="str">
        <f t="shared" si="41"/>
        <v>AUTOBAKE-P</v>
      </c>
    </row>
    <row r="157" spans="1:19" ht="15.6" hidden="1" customHeight="1" thickBot="1" x14ac:dyDescent="0.3">
      <c r="A157" t="s">
        <v>23</v>
      </c>
      <c r="B157" s="11" t="str">
        <f t="shared" si="36"/>
        <v>hide</v>
      </c>
      <c r="D157" s="13" t="str">
        <f>"61103"</f>
        <v>61103</v>
      </c>
      <c r="E157" s="7" t="str">
        <f>"1"</f>
        <v>1</v>
      </c>
      <c r="F157" s="27">
        <v>0</v>
      </c>
      <c r="G157" s="5" t="str">
        <f>"ES Lucky Charms Breakfast Packs"</f>
        <v>ES Lucky Charms Breakfast Packs</v>
      </c>
      <c r="H157" s="14" t="str">
        <f>"60 units IW"</f>
        <v>60 units IW</v>
      </c>
      <c r="I157" s="15">
        <v>0</v>
      </c>
      <c r="J157" s="12">
        <v>0</v>
      </c>
      <c r="K157" s="34" t="e">
        <f t="shared" si="34"/>
        <v>#DIV/0!</v>
      </c>
      <c r="L157" s="37">
        <v>0</v>
      </c>
      <c r="M157" s="47" t="e">
        <f t="shared" si="37"/>
        <v>#DIV/0!</v>
      </c>
      <c r="N157" s="46" t="e">
        <f t="shared" si="38"/>
        <v>#DIV/0!</v>
      </c>
      <c r="Q157" s="80" t="e">
        <f t="shared" si="39"/>
        <v>#DIV/0!</v>
      </c>
      <c r="R157" s="79" t="str">
        <f t="shared" si="40"/>
        <v>EQP-LAWPACK1</v>
      </c>
      <c r="S157" s="79" t="str">
        <f t="shared" si="41"/>
        <v>AUTOBAKE-P</v>
      </c>
    </row>
    <row r="158" spans="1:19" ht="15.6" hidden="1" customHeight="1" thickBot="1" x14ac:dyDescent="0.3">
      <c r="A158" t="s">
        <v>23</v>
      </c>
      <c r="B158" s="11" t="str">
        <f t="shared" si="36"/>
        <v>hide</v>
      </c>
      <c r="D158" s="13" t="str">
        <f>"61114"</f>
        <v>61114</v>
      </c>
      <c r="E158" s="7" t="str">
        <f>"1"</f>
        <v>1</v>
      </c>
      <c r="F158" s="27">
        <v>0</v>
      </c>
      <c r="G158" s="5" t="str">
        <f>"ES Trix Breakfast Break"</f>
        <v>ES Trix Breakfast Break</v>
      </c>
      <c r="H158" s="14" t="str">
        <f>"60 units IW"</f>
        <v>60 units IW</v>
      </c>
      <c r="I158" s="15">
        <v>0</v>
      </c>
      <c r="J158" s="12">
        <v>0</v>
      </c>
      <c r="K158" s="34" t="e">
        <f t="shared" si="34"/>
        <v>#DIV/0!</v>
      </c>
      <c r="L158" s="37">
        <v>0</v>
      </c>
      <c r="M158" s="47" t="e">
        <f t="shared" si="37"/>
        <v>#DIV/0!</v>
      </c>
      <c r="N158" s="46" t="e">
        <f t="shared" si="38"/>
        <v>#DIV/0!</v>
      </c>
      <c r="Q158" s="80" t="e">
        <f t="shared" si="39"/>
        <v>#DIV/0!</v>
      </c>
      <c r="R158" s="79" t="str">
        <f t="shared" si="40"/>
        <v>EQP-LAWPACK1</v>
      </c>
      <c r="S158" s="79" t="str">
        <f t="shared" si="41"/>
        <v>AUTOBAKE-P</v>
      </c>
    </row>
    <row r="159" spans="1:19" ht="15.6" hidden="1" customHeight="1" thickBot="1" x14ac:dyDescent="0.3">
      <c r="A159" t="s">
        <v>23</v>
      </c>
      <c r="B159" s="11" t="str">
        <f t="shared" si="36"/>
        <v>hide</v>
      </c>
      <c r="D159" s="13" t="str">
        <f>"61152"</f>
        <v>61152</v>
      </c>
      <c r="E159" s="7" t="str">
        <f>"1"</f>
        <v>1</v>
      </c>
      <c r="F159" s="27">
        <v>0</v>
      </c>
      <c r="G159" s="5" t="str">
        <f>"ESE Thaw &amp; Serve WG Chocolate Chip Muffin Breakfas"</f>
        <v>ESE Thaw &amp; Serve WG Chocolate Chip Muffin Breakfas</v>
      </c>
      <c r="H159" s="14" t="str">
        <f>"48 units IW"</f>
        <v>48 units IW</v>
      </c>
      <c r="I159" s="15">
        <v>48</v>
      </c>
      <c r="J159" s="12">
        <v>0</v>
      </c>
      <c r="K159" s="34" t="e">
        <f t="shared" si="34"/>
        <v>#DIV/0!</v>
      </c>
      <c r="L159" s="37">
        <v>0</v>
      </c>
      <c r="M159" s="47" t="e">
        <f t="shared" si="37"/>
        <v>#DIV/0!</v>
      </c>
      <c r="N159" s="46" t="e">
        <f t="shared" si="38"/>
        <v>#DIV/0!</v>
      </c>
      <c r="Q159" s="80" t="e">
        <f t="shared" si="39"/>
        <v>#DIV/0!</v>
      </c>
      <c r="R159" s="79" t="str">
        <f t="shared" si="40"/>
        <v>EQP-LAWPACK1</v>
      </c>
      <c r="S159" s="79" t="str">
        <f t="shared" si="41"/>
        <v>AUTOBAKE-P</v>
      </c>
    </row>
    <row r="160" spans="1:19" ht="15.6" hidden="1" customHeight="1" thickBot="1" x14ac:dyDescent="0.3">
      <c r="A160" t="s">
        <v>23</v>
      </c>
      <c r="B160" s="11" t="str">
        <f t="shared" si="36"/>
        <v>hide</v>
      </c>
      <c r="D160" s="13" t="str">
        <f>"61153"</f>
        <v>61153</v>
      </c>
      <c r="E160" s="7" t="str">
        <f>"1"</f>
        <v>1</v>
      </c>
      <c r="F160" s="27">
        <v>0</v>
      </c>
      <c r="G160" s="5" t="str">
        <f>"ESE Thaw &amp; Serve WG SC Blueberry Muffin Breakfast"</f>
        <v>ESE Thaw &amp; Serve WG SC Blueberry Muffin Breakfast</v>
      </c>
      <c r="H160" s="14" t="str">
        <f>"48 units IW"</f>
        <v>48 units IW</v>
      </c>
      <c r="I160" s="15">
        <v>48</v>
      </c>
      <c r="J160" s="12">
        <v>0</v>
      </c>
      <c r="K160" s="34" t="e">
        <f t="shared" si="34"/>
        <v>#DIV/0!</v>
      </c>
      <c r="L160" s="37">
        <v>0</v>
      </c>
      <c r="M160" s="47" t="e">
        <f t="shared" si="37"/>
        <v>#DIV/0!</v>
      </c>
      <c r="N160" s="46" t="e">
        <f t="shared" si="38"/>
        <v>#DIV/0!</v>
      </c>
      <c r="Q160" s="80" t="e">
        <f t="shared" si="39"/>
        <v>#DIV/0!</v>
      </c>
      <c r="R160" s="79" t="str">
        <f t="shared" si="40"/>
        <v>EQP-LAWPACK1</v>
      </c>
      <c r="S160" s="79" t="str">
        <f t="shared" si="41"/>
        <v>AUTOBAKE-P</v>
      </c>
    </row>
    <row r="161" spans="1:19" ht="15.6" hidden="1" customHeight="1" thickBot="1" x14ac:dyDescent="0.3">
      <c r="A161" t="s">
        <v>23</v>
      </c>
      <c r="B161" s="11" t="str">
        <f t="shared" si="36"/>
        <v>hide</v>
      </c>
      <c r="D161" s="13" t="str">
        <f>"61949"</f>
        <v>61949</v>
      </c>
      <c r="E161" s="7" t="str">
        <f>"1"</f>
        <v>1</v>
      </c>
      <c r="F161" s="27">
        <v>0</v>
      </c>
      <c r="G161" s="5" t="str">
        <f>"Sunbutter Grape Sandwich Meal"</f>
        <v>Sunbutter Grape Sandwich Meal</v>
      </c>
      <c r="H161" s="14" t="str">
        <f>"30 units IW"</f>
        <v>30 units IW</v>
      </c>
      <c r="I161" s="15">
        <v>30</v>
      </c>
      <c r="J161" s="12">
        <v>0</v>
      </c>
      <c r="K161" s="34" t="e">
        <f t="shared" si="34"/>
        <v>#DIV/0!</v>
      </c>
      <c r="L161" s="37">
        <v>0</v>
      </c>
      <c r="M161" s="47" t="e">
        <f t="shared" si="37"/>
        <v>#DIV/0!</v>
      </c>
      <c r="N161" s="46" t="e">
        <f t="shared" si="38"/>
        <v>#DIV/0!</v>
      </c>
      <c r="Q161" s="80" t="e">
        <f t="shared" si="39"/>
        <v>#DIV/0!</v>
      </c>
      <c r="R161" s="79" t="str">
        <f t="shared" si="40"/>
        <v>EQP-LAWPACK1</v>
      </c>
      <c r="S161" s="79" t="str">
        <f t="shared" si="41"/>
        <v>AUTOBAKE-P</v>
      </c>
    </row>
    <row r="162" spans="1:19" ht="15.6" hidden="1" customHeight="1" thickBot="1" x14ac:dyDescent="0.3">
      <c r="A162" t="s">
        <v>23</v>
      </c>
      <c r="B162" s="11" t="str">
        <f t="shared" si="36"/>
        <v>hide</v>
      </c>
      <c r="D162" s="13" t="str">
        <f>"64701"</f>
        <v>64701</v>
      </c>
      <c r="E162" s="7" t="str">
        <f>"6"</f>
        <v>6</v>
      </c>
      <c r="F162" s="27">
        <v>0</v>
      </c>
      <c r="G162" s="5" t="str">
        <f>"Blueberry Crumb Tops"</f>
        <v>Blueberry Crumb Tops</v>
      </c>
      <c r="H162" s="14" t="str">
        <f>"90-2.25 oz. I.W. Ovenable"</f>
        <v>90-2.25 oz. I.W. Ovenable</v>
      </c>
      <c r="I162" s="15">
        <v>90</v>
      </c>
      <c r="J162" s="12" t="str">
        <f>""</f>
        <v/>
      </c>
      <c r="K162" s="34" t="e">
        <f t="shared" si="34"/>
        <v>#VALUE!</v>
      </c>
      <c r="L162" s="37">
        <v>1</v>
      </c>
      <c r="M162" s="47">
        <f t="shared" si="37"/>
        <v>1</v>
      </c>
      <c r="N162" s="46">
        <f t="shared" si="38"/>
        <v>90</v>
      </c>
      <c r="Q162" s="80">
        <f t="shared" si="39"/>
        <v>1.6666666666666666E-2</v>
      </c>
      <c r="R162" s="79" t="str">
        <f t="shared" si="40"/>
        <v>EQP-LAWPACK1</v>
      </c>
      <c r="S162" s="79" t="str">
        <f t="shared" si="41"/>
        <v>AUTOBAKE-P</v>
      </c>
    </row>
    <row r="163" spans="1:19" ht="15.6" hidden="1" customHeight="1" thickBot="1" x14ac:dyDescent="0.3">
      <c r="A163" t="s">
        <v>23</v>
      </c>
      <c r="B163" s="11" t="str">
        <f t="shared" si="36"/>
        <v>hide</v>
      </c>
      <c r="D163" s="13" t="str">
        <f>"66308"</f>
        <v>66308</v>
      </c>
      <c r="E163" s="7" t="str">
        <f>"3"</f>
        <v>3</v>
      </c>
      <c r="F163" s="27">
        <v>0</v>
      </c>
      <c r="G163" s="5" t="str">
        <f>"Garden Lite GF Chocolate"</f>
        <v>Garden Lite GF Chocolate</v>
      </c>
      <c r="H163" s="14" t="str">
        <f>"96-2oz. IW"</f>
        <v>96-2oz. IW</v>
      </c>
      <c r="I163" s="15">
        <v>96</v>
      </c>
      <c r="J163" s="12" t="str">
        <f>""</f>
        <v/>
      </c>
      <c r="K163" s="34" t="e">
        <f t="shared" si="34"/>
        <v>#VALUE!</v>
      </c>
      <c r="L163" s="37">
        <v>1</v>
      </c>
      <c r="M163" s="47">
        <f t="shared" si="37"/>
        <v>1</v>
      </c>
      <c r="N163" s="46">
        <f t="shared" si="38"/>
        <v>96</v>
      </c>
      <c r="Q163" s="80">
        <f t="shared" si="39"/>
        <v>1.6666666666666666E-2</v>
      </c>
      <c r="R163" s="79" t="str">
        <f t="shared" si="40"/>
        <v>EQP-LAWPACK1</v>
      </c>
      <c r="S163" s="79" t="str">
        <f t="shared" si="41"/>
        <v>AUTOBAKE-P</v>
      </c>
    </row>
    <row r="164" spans="1:19" ht="15.6" hidden="1" customHeight="1" thickBot="1" x14ac:dyDescent="0.3">
      <c r="A164" t="s">
        <v>23</v>
      </c>
      <c r="B164" s="11" t="str">
        <f t="shared" si="36"/>
        <v>hide</v>
      </c>
      <c r="D164" s="13" t="str">
        <f>"751701"</f>
        <v>751701</v>
      </c>
      <c r="E164" s="7" t="str">
        <f>"3"</f>
        <v>3</v>
      </c>
      <c r="F164" s="27">
        <v>0</v>
      </c>
      <c r="G164" s="5" t="str">
        <f>"Gluten Free Blueberry Mini Loaf"</f>
        <v>Gluten Free Blueberry Mini Loaf</v>
      </c>
      <c r="H164" s="14" t="str">
        <f>"72-2oz. I.W."</f>
        <v>72-2oz. I.W.</v>
      </c>
      <c r="I164" s="15">
        <v>72</v>
      </c>
      <c r="J164" s="12">
        <v>1E-3</v>
      </c>
      <c r="K164" s="34">
        <f t="shared" si="34"/>
        <v>1000</v>
      </c>
      <c r="L164" s="37">
        <v>2.2699999999999999E-3</v>
      </c>
      <c r="M164" s="47">
        <f t="shared" si="37"/>
        <v>440.52863436123351</v>
      </c>
      <c r="N164" s="46">
        <f t="shared" si="38"/>
        <v>31718.061674008812</v>
      </c>
      <c r="Q164" s="80">
        <f t="shared" si="39"/>
        <v>7.3421439060205582</v>
      </c>
      <c r="R164" s="79" t="str">
        <f t="shared" si="40"/>
        <v>EQP-LAWPACK1</v>
      </c>
      <c r="S164" s="79" t="str">
        <f t="shared" si="41"/>
        <v>AUTOBAKE-P</v>
      </c>
    </row>
    <row r="165" spans="1:19" ht="15.6" hidden="1" customHeight="1" thickBot="1" x14ac:dyDescent="0.3">
      <c r="A165" t="s">
        <v>23</v>
      </c>
      <c r="B165" s="11" t="str">
        <f t="shared" si="36"/>
        <v>hide</v>
      </c>
      <c r="D165" s="13" t="str">
        <f>"751710"</f>
        <v>751710</v>
      </c>
      <c r="E165" s="7" t="str">
        <f>"3"</f>
        <v>3</v>
      </c>
      <c r="F165" s="27">
        <v>0</v>
      </c>
      <c r="G165" s="5" t="str">
        <f>"Gluten Free Chocolate Chip Mini Loaf"</f>
        <v>Gluten Free Chocolate Chip Mini Loaf</v>
      </c>
      <c r="H165" s="14" t="str">
        <f>"72-2oz. I.W."</f>
        <v>72-2oz. I.W.</v>
      </c>
      <c r="I165" s="15">
        <v>72</v>
      </c>
      <c r="J165" s="12">
        <v>1E-3</v>
      </c>
      <c r="K165" s="34">
        <f t="shared" si="34"/>
        <v>1000</v>
      </c>
      <c r="L165" s="37">
        <v>2.2699999999999999E-3</v>
      </c>
      <c r="M165" s="47">
        <f t="shared" si="37"/>
        <v>440.52863436123351</v>
      </c>
      <c r="N165" s="46">
        <f t="shared" si="38"/>
        <v>31718.061674008812</v>
      </c>
      <c r="Q165" s="80">
        <f t="shared" si="39"/>
        <v>7.3421439060205582</v>
      </c>
      <c r="R165" s="79" t="str">
        <f t="shared" si="40"/>
        <v>EQP-LAWPACK1</v>
      </c>
      <c r="S165" s="79" t="str">
        <f t="shared" si="41"/>
        <v>AUTOBAKE-P</v>
      </c>
    </row>
    <row r="166" spans="1:19" ht="15.6" hidden="1" customHeight="1" thickBot="1" x14ac:dyDescent="0.3">
      <c r="A166" t="s">
        <v>23</v>
      </c>
      <c r="B166" s="11" t="str">
        <f t="shared" si="36"/>
        <v>hide</v>
      </c>
      <c r="D166" s="13" t="str">
        <f>"751736"</f>
        <v>751736</v>
      </c>
      <c r="E166" s="7" t="str">
        <f>"4"</f>
        <v>4</v>
      </c>
      <c r="F166" s="27">
        <v>0</v>
      </c>
      <c r="G166" s="5" t="str">
        <f>"Gluten Free Coffee Cake  Mini Loaf"</f>
        <v>Gluten Free Coffee Cake  Mini Loaf</v>
      </c>
      <c r="H166" s="14" t="str">
        <f>"72-2 oz. Ind. Wrapped"</f>
        <v>72-2 oz. Ind. Wrapped</v>
      </c>
      <c r="I166" s="15">
        <v>72</v>
      </c>
      <c r="J166" s="12" t="str">
        <f>""</f>
        <v/>
      </c>
      <c r="K166" s="34" t="e">
        <f t="shared" si="34"/>
        <v>#VALUE!</v>
      </c>
      <c r="L166" s="37">
        <v>1</v>
      </c>
      <c r="M166" s="47">
        <f t="shared" si="37"/>
        <v>1</v>
      </c>
      <c r="N166" s="46">
        <f t="shared" si="38"/>
        <v>72</v>
      </c>
      <c r="Q166" s="80">
        <f t="shared" si="39"/>
        <v>1.6666666666666666E-2</v>
      </c>
      <c r="R166" s="79" t="str">
        <f t="shared" si="40"/>
        <v>EQP-LAWPACK1</v>
      </c>
      <c r="S166" s="79" t="str">
        <f t="shared" si="41"/>
        <v>AUTOBAKE-P</v>
      </c>
    </row>
    <row r="167" spans="1:19" ht="15.6" hidden="1" customHeight="1" thickBot="1" x14ac:dyDescent="0.3">
      <c r="A167" t="s">
        <v>23</v>
      </c>
      <c r="B167" s="11" t="str">
        <f t="shared" si="36"/>
        <v>hide</v>
      </c>
      <c r="D167" s="13" t="str">
        <f>"80641"</f>
        <v>80641</v>
      </c>
      <c r="E167" s="7" t="str">
        <f>"3"</f>
        <v>3</v>
      </c>
      <c r="F167" s="27">
        <v>0</v>
      </c>
      <c r="G167" s="5" t="str">
        <f>"800641 Double Choc. Chip Muffin"</f>
        <v>800641 Double Choc. Chip Muffin</v>
      </c>
      <c r="H167" s="14" t="str">
        <f t="shared" ref="H167:H174" si="43">"24-4 oz. I.W."</f>
        <v>24-4 oz. I.W.</v>
      </c>
      <c r="I167" s="15">
        <v>24</v>
      </c>
      <c r="J167" s="12">
        <v>1.82E-3</v>
      </c>
      <c r="K167" s="34">
        <f t="shared" si="34"/>
        <v>549.45054945054949</v>
      </c>
      <c r="L167" s="37">
        <v>1.82E-3</v>
      </c>
      <c r="M167" s="47">
        <f t="shared" si="37"/>
        <v>549.45054945054949</v>
      </c>
      <c r="N167" s="46">
        <f t="shared" si="38"/>
        <v>13186.813186813188</v>
      </c>
      <c r="Q167" s="80">
        <f t="shared" si="39"/>
        <v>9.1575091575091587</v>
      </c>
      <c r="R167" s="79" t="str">
        <f t="shared" si="40"/>
        <v>EQP-LAWPACK1</v>
      </c>
      <c r="S167" s="79" t="str">
        <f t="shared" si="41"/>
        <v>AUTOBAKE-P</v>
      </c>
    </row>
    <row r="168" spans="1:19" ht="15.6" hidden="1" customHeight="1" thickBot="1" x14ac:dyDescent="0.3">
      <c r="A168" t="s">
        <v>23</v>
      </c>
      <c r="B168" s="11" t="str">
        <f t="shared" si="36"/>
        <v>hide</v>
      </c>
      <c r="D168" s="13" t="str">
        <f>"80642"</f>
        <v>80642</v>
      </c>
      <c r="E168" s="7" t="str">
        <f>"2"</f>
        <v>2</v>
      </c>
      <c r="F168" s="27">
        <v>0</v>
      </c>
      <c r="G168" s="5" t="str">
        <f>"800642 Double Choc. Chip Muffins FRZ"</f>
        <v>800642 Double Choc. Chip Muffins FRZ</v>
      </c>
      <c r="H168" s="14" t="str">
        <f t="shared" si="43"/>
        <v>24-4 oz. I.W.</v>
      </c>
      <c r="I168" s="15">
        <v>24</v>
      </c>
      <c r="J168" s="12">
        <v>1.82E-3</v>
      </c>
      <c r="K168" s="34">
        <f t="shared" si="34"/>
        <v>549.45054945054949</v>
      </c>
      <c r="L168" s="37">
        <v>1.82E-3</v>
      </c>
      <c r="M168" s="47">
        <f t="shared" si="37"/>
        <v>549.45054945054949</v>
      </c>
      <c r="N168" s="46">
        <f t="shared" si="38"/>
        <v>13186.813186813188</v>
      </c>
      <c r="Q168" s="80">
        <f t="shared" si="39"/>
        <v>9.1575091575091587</v>
      </c>
      <c r="R168" s="79" t="str">
        <f t="shared" si="40"/>
        <v>EQP-LAWPACK1</v>
      </c>
      <c r="S168" s="79" t="str">
        <f t="shared" si="41"/>
        <v>AUTOBAKE-P</v>
      </c>
    </row>
    <row r="169" spans="1:19" ht="15.6" hidden="1" customHeight="1" thickBot="1" x14ac:dyDescent="0.3">
      <c r="A169" t="s">
        <v>23</v>
      </c>
      <c r="B169" s="11" t="str">
        <f t="shared" si="36"/>
        <v>hide</v>
      </c>
      <c r="D169" s="13" t="str">
        <f>"80643"</f>
        <v>80643</v>
      </c>
      <c r="E169" s="7" t="str">
        <f t="shared" ref="E169:E174" si="44">"3"</f>
        <v>3</v>
      </c>
      <c r="F169" s="27">
        <v>0</v>
      </c>
      <c r="G169" s="5" t="str">
        <f>"800643 Chocolate Chip Muffins"</f>
        <v>800643 Chocolate Chip Muffins</v>
      </c>
      <c r="H169" s="14" t="str">
        <f t="shared" si="43"/>
        <v>24-4 oz. I.W.</v>
      </c>
      <c r="I169" s="15">
        <v>24</v>
      </c>
      <c r="J169" s="12">
        <v>1.82E-3</v>
      </c>
      <c r="K169" s="34">
        <f t="shared" si="34"/>
        <v>549.45054945054949</v>
      </c>
      <c r="L169" s="37">
        <v>1.82E-3</v>
      </c>
      <c r="M169" s="47">
        <f t="shared" si="37"/>
        <v>549.45054945054949</v>
      </c>
      <c r="N169" s="46">
        <f t="shared" si="38"/>
        <v>13186.813186813188</v>
      </c>
      <c r="Q169" s="80">
        <f t="shared" si="39"/>
        <v>9.1575091575091587</v>
      </c>
      <c r="R169" s="79" t="str">
        <f t="shared" si="40"/>
        <v>EQP-LAWPACK1</v>
      </c>
      <c r="S169" s="79" t="str">
        <f t="shared" si="41"/>
        <v>AUTOBAKE-P</v>
      </c>
    </row>
    <row r="170" spans="1:19" ht="15.6" hidden="1" customHeight="1" thickBot="1" x14ac:dyDescent="0.3">
      <c r="A170" t="s">
        <v>23</v>
      </c>
      <c r="B170" s="11" t="str">
        <f t="shared" si="36"/>
        <v>hide</v>
      </c>
      <c r="D170" s="13" t="str">
        <f>"80644"</f>
        <v>80644</v>
      </c>
      <c r="E170" s="7" t="str">
        <f t="shared" si="44"/>
        <v>3</v>
      </c>
      <c r="F170" s="27">
        <v>0</v>
      </c>
      <c r="G170" s="5" t="str">
        <f>"800644 Choc. Chip Muffin FZN"</f>
        <v>800644 Choc. Chip Muffin FZN</v>
      </c>
      <c r="H170" s="14" t="str">
        <f t="shared" si="43"/>
        <v>24-4 oz. I.W.</v>
      </c>
      <c r="I170" s="15">
        <v>24</v>
      </c>
      <c r="J170" s="12">
        <v>0</v>
      </c>
      <c r="K170" s="34" t="e">
        <f t="shared" si="34"/>
        <v>#DIV/0!</v>
      </c>
      <c r="L170" s="37">
        <v>1.82E-3</v>
      </c>
      <c r="M170" s="47">
        <f t="shared" si="37"/>
        <v>549.45054945054949</v>
      </c>
      <c r="N170" s="46">
        <f t="shared" si="38"/>
        <v>13186.813186813188</v>
      </c>
      <c r="Q170" s="80">
        <f t="shared" si="39"/>
        <v>9.1575091575091587</v>
      </c>
      <c r="R170" s="79" t="str">
        <f t="shared" si="40"/>
        <v>EQP-LAWPACK1</v>
      </c>
      <c r="S170" s="79" t="str">
        <f t="shared" si="41"/>
        <v>AUTOBAKE-P</v>
      </c>
    </row>
    <row r="171" spans="1:19" ht="15.6" hidden="1" customHeight="1" thickBot="1" x14ac:dyDescent="0.3">
      <c r="A171" t="s">
        <v>23</v>
      </c>
      <c r="B171" s="11" t="str">
        <f t="shared" si="36"/>
        <v>hide</v>
      </c>
      <c r="D171" s="13" t="str">
        <f>"80645"</f>
        <v>80645</v>
      </c>
      <c r="E171" s="7" t="str">
        <f t="shared" si="44"/>
        <v>3</v>
      </c>
      <c r="F171" s="27">
        <v>0</v>
      </c>
      <c r="G171" s="5" t="str">
        <f>"800645 Blueberry Muffins"</f>
        <v>800645 Blueberry Muffins</v>
      </c>
      <c r="H171" s="14" t="str">
        <f t="shared" si="43"/>
        <v>24-4 oz. I.W.</v>
      </c>
      <c r="I171" s="15">
        <v>24</v>
      </c>
      <c r="J171" s="12">
        <v>1.82E-3</v>
      </c>
      <c r="K171" s="34">
        <f t="shared" ref="K171:K202" si="45">1/J171</f>
        <v>549.45054945054949</v>
      </c>
      <c r="L171" s="37">
        <v>1.82E-3</v>
      </c>
      <c r="M171" s="47">
        <f t="shared" si="37"/>
        <v>549.45054945054949</v>
      </c>
      <c r="N171" s="46">
        <f t="shared" si="38"/>
        <v>13186.813186813188</v>
      </c>
      <c r="Q171" s="80">
        <f t="shared" si="39"/>
        <v>9.1575091575091587</v>
      </c>
      <c r="R171" s="79" t="str">
        <f t="shared" si="40"/>
        <v>EQP-LAWPACK1</v>
      </c>
      <c r="S171" s="79" t="str">
        <f t="shared" si="41"/>
        <v>AUTOBAKE-P</v>
      </c>
    </row>
    <row r="172" spans="1:19" ht="15.6" hidden="1" customHeight="1" thickBot="1" x14ac:dyDescent="0.3">
      <c r="A172" t="s">
        <v>23</v>
      </c>
      <c r="B172" s="11" t="str">
        <f t="shared" si="36"/>
        <v>hide</v>
      </c>
      <c r="D172" s="13" t="str">
        <f>"80646"</f>
        <v>80646</v>
      </c>
      <c r="E172" s="7" t="str">
        <f t="shared" si="44"/>
        <v>3</v>
      </c>
      <c r="F172" s="27">
        <v>0</v>
      </c>
      <c r="G172" s="5" t="str">
        <f>"800646 Blueberry Muffins FZN"</f>
        <v>800646 Blueberry Muffins FZN</v>
      </c>
      <c r="H172" s="14" t="str">
        <f t="shared" si="43"/>
        <v>24-4 oz. I.W.</v>
      </c>
      <c r="I172" s="15">
        <v>24</v>
      </c>
      <c r="J172" s="12">
        <v>1.82E-3</v>
      </c>
      <c r="K172" s="34">
        <f t="shared" si="45"/>
        <v>549.45054945054949</v>
      </c>
      <c r="L172" s="37">
        <v>1.82E-3</v>
      </c>
      <c r="M172" s="47">
        <f t="shared" si="37"/>
        <v>549.45054945054949</v>
      </c>
      <c r="N172" s="46">
        <f t="shared" si="38"/>
        <v>13186.813186813188</v>
      </c>
      <c r="Q172" s="80">
        <f t="shared" si="39"/>
        <v>9.1575091575091587</v>
      </c>
      <c r="R172" s="79" t="str">
        <f t="shared" si="40"/>
        <v>EQP-LAWPACK1</v>
      </c>
      <c r="S172" s="79" t="str">
        <f t="shared" si="41"/>
        <v>AUTOBAKE-P</v>
      </c>
    </row>
    <row r="173" spans="1:19" ht="15.6" hidden="1" customHeight="1" thickBot="1" x14ac:dyDescent="0.3">
      <c r="A173" t="s">
        <v>23</v>
      </c>
      <c r="B173" s="11" t="str">
        <f t="shared" si="36"/>
        <v>hide</v>
      </c>
      <c r="D173" s="13" t="str">
        <f>"80647"</f>
        <v>80647</v>
      </c>
      <c r="E173" s="7" t="str">
        <f t="shared" si="44"/>
        <v>3</v>
      </c>
      <c r="F173" s="27">
        <v>0</v>
      </c>
      <c r="G173" s="5" t="str">
        <f>"800647 Banana Muffins"</f>
        <v>800647 Banana Muffins</v>
      </c>
      <c r="H173" s="14" t="str">
        <f t="shared" si="43"/>
        <v>24-4 oz. I.W.</v>
      </c>
      <c r="I173" s="15">
        <v>24</v>
      </c>
      <c r="J173" s="12">
        <v>1.82E-3</v>
      </c>
      <c r="K173" s="34">
        <f t="shared" si="45"/>
        <v>549.45054945054949</v>
      </c>
      <c r="L173" s="37">
        <v>1.82E-3</v>
      </c>
      <c r="M173" s="47">
        <f t="shared" si="37"/>
        <v>549.45054945054949</v>
      </c>
      <c r="N173" s="46">
        <f t="shared" si="38"/>
        <v>13186.813186813188</v>
      </c>
      <c r="Q173" s="80">
        <f t="shared" si="39"/>
        <v>9.1575091575091587</v>
      </c>
      <c r="R173" s="79" t="str">
        <f t="shared" si="40"/>
        <v>EQP-LAWPACK1</v>
      </c>
      <c r="S173" s="79" t="str">
        <f t="shared" si="41"/>
        <v>AUTOBAKE-P</v>
      </c>
    </row>
    <row r="174" spans="1:19" ht="15.6" hidden="1" customHeight="1" thickBot="1" x14ac:dyDescent="0.3">
      <c r="A174" t="s">
        <v>23</v>
      </c>
      <c r="B174" s="11" t="str">
        <f t="shared" si="36"/>
        <v>hide</v>
      </c>
      <c r="D174" s="13" t="str">
        <f>"80648"</f>
        <v>80648</v>
      </c>
      <c r="E174" s="7" t="str">
        <f t="shared" si="44"/>
        <v>3</v>
      </c>
      <c r="F174" s="27">
        <v>0</v>
      </c>
      <c r="G174" s="5" t="str">
        <f>"800648 Banana Muffin - FZN"</f>
        <v>800648 Banana Muffin - FZN</v>
      </c>
      <c r="H174" s="14" t="str">
        <f t="shared" si="43"/>
        <v>24-4 oz. I.W.</v>
      </c>
      <c r="I174" s="15">
        <v>24</v>
      </c>
      <c r="J174" s="12">
        <v>1.82E-3</v>
      </c>
      <c r="K174" s="34">
        <f t="shared" si="45"/>
        <v>549.45054945054949</v>
      </c>
      <c r="L174" s="37">
        <v>1.82E-3</v>
      </c>
      <c r="M174" s="47">
        <f t="shared" si="37"/>
        <v>549.45054945054949</v>
      </c>
      <c r="N174" s="46">
        <f t="shared" si="38"/>
        <v>13186.813186813188</v>
      </c>
      <c r="Q174" s="80">
        <f t="shared" si="39"/>
        <v>9.1575091575091587</v>
      </c>
      <c r="R174" s="79" t="str">
        <f t="shared" si="40"/>
        <v>EQP-LAWPACK1</v>
      </c>
      <c r="S174" s="79" t="str">
        <f t="shared" si="41"/>
        <v>AUTOBAKE-P</v>
      </c>
    </row>
    <row r="175" spans="1:19" ht="15.6" customHeight="1" thickBot="1" x14ac:dyDescent="0.3">
      <c r="A175" t="s">
        <v>23</v>
      </c>
      <c r="B175" s="11" t="str">
        <f t="shared" si="36"/>
        <v/>
      </c>
      <c r="D175" s="13" t="str">
        <f>"81905"</f>
        <v>81905</v>
      </c>
      <c r="E175" s="7" t="str">
        <f>"9"</f>
        <v>9</v>
      </c>
      <c r="F175" s="27">
        <v>237.75</v>
      </c>
      <c r="G175" s="5" t="str">
        <f>"1394 Muffins, Golden Cornbread, IW"</f>
        <v>1394 Muffins, Golden Cornbread, IW</v>
      </c>
      <c r="H175" s="14" t="str">
        <f>"72/2.2 oz"</f>
        <v>72/2.2 oz</v>
      </c>
      <c r="I175" s="15">
        <v>72</v>
      </c>
      <c r="J175" s="12">
        <v>3.46E-3</v>
      </c>
      <c r="K175" s="34">
        <f t="shared" si="45"/>
        <v>289.01734104046244</v>
      </c>
      <c r="L175" s="37">
        <v>3.46E-3</v>
      </c>
      <c r="M175" s="47">
        <f t="shared" si="37"/>
        <v>289.01734104046244</v>
      </c>
      <c r="N175" s="46">
        <f t="shared" si="38"/>
        <v>20809.248554913294</v>
      </c>
      <c r="Q175" s="80">
        <f t="shared" si="39"/>
        <v>4.8169556840077075</v>
      </c>
      <c r="R175" s="79" t="str">
        <f t="shared" si="40"/>
        <v>EQP-LAWPACK1</v>
      </c>
      <c r="S175" s="79" t="str">
        <f t="shared" si="41"/>
        <v>AUTOBAKE-P</v>
      </c>
    </row>
    <row r="176" spans="1:19" ht="15.6" hidden="1" customHeight="1" thickBot="1" x14ac:dyDescent="0.3">
      <c r="A176" t="s">
        <v>23</v>
      </c>
      <c r="B176" s="11" t="str">
        <f t="shared" si="36"/>
        <v>hide</v>
      </c>
      <c r="D176" s="13" t="str">
        <f>"87124"</f>
        <v>87124</v>
      </c>
      <c r="E176" s="7" t="str">
        <f>"8"</f>
        <v>8</v>
      </c>
      <c r="F176" s="27">
        <v>0</v>
      </c>
      <c r="G176" s="5" t="str">
        <f>"SuperFood CranBran TOPS"</f>
        <v>SuperFood CranBran TOPS</v>
      </c>
      <c r="H176" s="14" t="str">
        <f>"48-2oz 12-4pk FrzTOP"</f>
        <v>48-2oz 12-4pk FrzTOP</v>
      </c>
      <c r="I176" s="15">
        <v>48</v>
      </c>
      <c r="J176" s="12">
        <v>2.2399999999999998E-3</v>
      </c>
      <c r="K176" s="34">
        <f t="shared" si="45"/>
        <v>446.42857142857144</v>
      </c>
      <c r="L176" s="37">
        <v>4.3400000000000001E-3</v>
      </c>
      <c r="M176" s="47">
        <f t="shared" si="37"/>
        <v>230.41474654377879</v>
      </c>
      <c r="N176" s="46">
        <f t="shared" si="38"/>
        <v>11059.907834101381</v>
      </c>
      <c r="Q176" s="80">
        <f t="shared" si="39"/>
        <v>3.8402457757296466</v>
      </c>
      <c r="R176" s="79" t="str">
        <f t="shared" si="40"/>
        <v>EQP-LAWPACK1</v>
      </c>
      <c r="S176" s="79" t="str">
        <f t="shared" si="41"/>
        <v>AUTOBAKE-P</v>
      </c>
    </row>
    <row r="177" spans="1:19" ht="15.6" hidden="1" customHeight="1" thickBot="1" x14ac:dyDescent="0.3">
      <c r="A177" t="s">
        <v>23</v>
      </c>
      <c r="B177" s="11" t="str">
        <f t="shared" si="36"/>
        <v>hide</v>
      </c>
      <c r="D177" s="13" t="str">
        <f>"87174"</f>
        <v>87174</v>
      </c>
      <c r="E177" s="7" t="str">
        <f>"22"</f>
        <v>22</v>
      </c>
      <c r="F177" s="27">
        <v>0</v>
      </c>
      <c r="G177" s="5" t="str">
        <f>"ORGANIC DeepChoc TOPS"</f>
        <v>ORGANIC DeepChoc TOPS</v>
      </c>
      <c r="H177" s="14" t="str">
        <f>"48-2oz 12-4pk FrzTOP"</f>
        <v>48-2oz 12-4pk FrzTOP</v>
      </c>
      <c r="I177" s="15">
        <v>24</v>
      </c>
      <c r="J177" s="12">
        <v>3.82E-3</v>
      </c>
      <c r="K177" s="34">
        <f t="shared" si="45"/>
        <v>261.78010471204186</v>
      </c>
      <c r="L177" s="37">
        <v>3.82E-3</v>
      </c>
      <c r="M177" s="47">
        <f t="shared" si="37"/>
        <v>261.78010471204186</v>
      </c>
      <c r="N177" s="46">
        <f t="shared" si="38"/>
        <v>6282.7225130890047</v>
      </c>
      <c r="Q177" s="80">
        <f t="shared" si="39"/>
        <v>4.3630017452006973</v>
      </c>
      <c r="R177" s="79" t="str">
        <f t="shared" si="40"/>
        <v>EQP-LAWPACK1</v>
      </c>
      <c r="S177" s="79" t="str">
        <f t="shared" si="41"/>
        <v>AUTOBAKE-P</v>
      </c>
    </row>
    <row r="178" spans="1:19" ht="15.6" hidden="1" customHeight="1" thickBot="1" x14ac:dyDescent="0.3">
      <c r="A178" t="s">
        <v>23</v>
      </c>
      <c r="B178" s="11" t="str">
        <f t="shared" si="36"/>
        <v>hide</v>
      </c>
      <c r="D178" s="13" t="str">
        <f>"87194"</f>
        <v>87194</v>
      </c>
      <c r="E178" s="7" t="str">
        <f>""</f>
        <v/>
      </c>
      <c r="F178" s="27">
        <v>0</v>
      </c>
      <c r="G178" s="5" t="str">
        <f>"Chocolate Chip TOPS"</f>
        <v>Chocolate Chip TOPS</v>
      </c>
      <c r="H178" s="14" t="str">
        <f>"48-2oz. 12-4pk FrzTOP"</f>
        <v>48-2oz. 12-4pk FrzTOP</v>
      </c>
      <c r="I178" s="15">
        <v>48</v>
      </c>
      <c r="J178" s="12" t="e">
        <v>#VALUE!</v>
      </c>
      <c r="K178" s="34" t="e">
        <f t="shared" si="45"/>
        <v>#VALUE!</v>
      </c>
      <c r="L178" s="37" t="e">
        <v>#VALUE!</v>
      </c>
      <c r="M178" s="47" t="e">
        <f t="shared" si="37"/>
        <v>#VALUE!</v>
      </c>
      <c r="N178" s="46" t="e">
        <f t="shared" si="38"/>
        <v>#VALUE!</v>
      </c>
      <c r="Q178" s="80" t="e">
        <f t="shared" si="39"/>
        <v>#VALUE!</v>
      </c>
      <c r="R178" s="79" t="str">
        <f t="shared" si="40"/>
        <v>EQP-LAWPACK1</v>
      </c>
      <c r="S178" s="79" t="str">
        <f t="shared" si="41"/>
        <v>AUTOBAKE-P</v>
      </c>
    </row>
    <row r="179" spans="1:19" ht="15.6" hidden="1" customHeight="1" thickBot="1" x14ac:dyDescent="0.3">
      <c r="A179" t="s">
        <v>23</v>
      </c>
      <c r="B179" s="11" t="str">
        <f t="shared" si="36"/>
        <v>hide</v>
      </c>
      <c r="D179" s="13" t="str">
        <f>"87197"</f>
        <v>87197</v>
      </c>
      <c r="E179" s="7" t="str">
        <f>"8"</f>
        <v>8</v>
      </c>
      <c r="F179" s="27">
        <v>0</v>
      </c>
      <c r="G179" s="5" t="str">
        <f>"Protein Banana Vitatop"</f>
        <v>Protein Banana Vitatop</v>
      </c>
      <c r="H179" s="14" t="str">
        <f>"48-2oz. 12-4pk FrzTOP"</f>
        <v>48-2oz. 12-4pk FrzTOP</v>
      </c>
      <c r="I179" s="15">
        <v>48</v>
      </c>
      <c r="J179" s="12">
        <v>2E-3</v>
      </c>
      <c r="K179" s="34">
        <f t="shared" si="45"/>
        <v>500</v>
      </c>
      <c r="L179" s="37">
        <v>2.2699999999999999E-3</v>
      </c>
      <c r="M179" s="47">
        <f t="shared" si="37"/>
        <v>440.52863436123351</v>
      </c>
      <c r="N179" s="46">
        <f t="shared" si="38"/>
        <v>21145.374449339208</v>
      </c>
      <c r="Q179" s="80">
        <f t="shared" si="39"/>
        <v>7.3421439060205582</v>
      </c>
      <c r="R179" s="79" t="str">
        <f t="shared" si="40"/>
        <v>EQP-LAWPACK1</v>
      </c>
      <c r="S179" s="79" t="str">
        <f t="shared" si="41"/>
        <v>AUTOBAKE-P</v>
      </c>
    </row>
    <row r="180" spans="1:19" ht="15.6" hidden="1" customHeight="1" thickBot="1" x14ac:dyDescent="0.3">
      <c r="A180" t="s">
        <v>23</v>
      </c>
      <c r="B180" s="11" t="str">
        <f t="shared" si="36"/>
        <v>hide</v>
      </c>
      <c r="D180" s="13" t="str">
        <f>"87199"</f>
        <v>87199</v>
      </c>
      <c r="E180" s="7" t="str">
        <f>"15"</f>
        <v>15</v>
      </c>
      <c r="F180" s="27">
        <v>0</v>
      </c>
      <c r="G180" s="5" t="str">
        <f>"ORGANIC Wild Blue TOPS"</f>
        <v>ORGANIC Wild Blue TOPS</v>
      </c>
      <c r="H180" s="14" t="str">
        <f>"48-2oz. 12-4pk FrzTOP"</f>
        <v>48-2oz. 12-4pk FrzTOP</v>
      </c>
      <c r="I180" s="15">
        <v>48</v>
      </c>
      <c r="J180" s="12">
        <v>5.3499999999999997E-3</v>
      </c>
      <c r="K180" s="34">
        <f t="shared" si="45"/>
        <v>186.9158878504673</v>
      </c>
      <c r="L180" s="37">
        <v>5.3499999999999997E-3</v>
      </c>
      <c r="M180" s="47">
        <f t="shared" si="37"/>
        <v>186.9158878504673</v>
      </c>
      <c r="N180" s="46">
        <f t="shared" si="38"/>
        <v>8971.9626168224313</v>
      </c>
      <c r="Q180" s="80">
        <f t="shared" si="39"/>
        <v>3.1152647975077885</v>
      </c>
      <c r="R180" s="79" t="str">
        <f t="shared" si="40"/>
        <v>EQP-LAWPACK1</v>
      </c>
      <c r="S180" s="79" t="str">
        <f t="shared" si="41"/>
        <v>AUTOBAKE-P</v>
      </c>
    </row>
    <row r="181" spans="1:19" ht="15.6" hidden="1" customHeight="1" thickBot="1" x14ac:dyDescent="0.3">
      <c r="A181" t="s">
        <v>23</v>
      </c>
      <c r="B181" s="11" t="str">
        <f t="shared" si="36"/>
        <v>hide</v>
      </c>
      <c r="D181" s="13" t="str">
        <f>"87253"</f>
        <v>87253</v>
      </c>
      <c r="E181" s="7" t="str">
        <f>"6"</f>
        <v>6</v>
      </c>
      <c r="F181" s="27">
        <v>0</v>
      </c>
      <c r="G181" s="5" t="str">
        <f>"SugarFree Choc Tops"</f>
        <v>SugarFree Choc Tops</v>
      </c>
      <c r="H181" s="14" t="str">
        <f>"48-2oz. 12-4pk FrzTOP"</f>
        <v>48-2oz. 12-4pk FrzTOP</v>
      </c>
      <c r="I181" s="15">
        <v>48</v>
      </c>
      <c r="J181" s="12">
        <v>2E-3</v>
      </c>
      <c r="K181" s="34">
        <f t="shared" si="45"/>
        <v>500</v>
      </c>
      <c r="L181" s="37">
        <v>2.2699999999999999E-3</v>
      </c>
      <c r="M181" s="47">
        <f t="shared" si="37"/>
        <v>440.52863436123351</v>
      </c>
      <c r="N181" s="46">
        <f t="shared" si="38"/>
        <v>21145.374449339208</v>
      </c>
      <c r="Q181" s="80">
        <f t="shared" si="39"/>
        <v>7.3421439060205582</v>
      </c>
      <c r="R181" s="79" t="str">
        <f t="shared" si="40"/>
        <v>EQP-LAWPACK1</v>
      </c>
      <c r="S181" s="79" t="str">
        <f t="shared" si="41"/>
        <v>AUTOBAKE-P</v>
      </c>
    </row>
    <row r="182" spans="1:19" ht="15.6" customHeight="1" thickBot="1" x14ac:dyDescent="0.3">
      <c r="A182" t="s">
        <v>23</v>
      </c>
      <c r="B182" s="11" t="str">
        <f t="shared" si="36"/>
        <v/>
      </c>
      <c r="D182" s="13" t="str">
        <f>"96605"</f>
        <v>96605</v>
      </c>
      <c r="E182" s="7" t="str">
        <f>"13"</f>
        <v>13</v>
      </c>
      <c r="F182" s="27">
        <v>4086.5000000000005</v>
      </c>
      <c r="G182" s="5" t="str">
        <f>"WG CORN MUFFINS (2GE)"</f>
        <v>WG CORN MUFFINS (2GE)</v>
      </c>
      <c r="H182" s="14" t="str">
        <f>"60-2.5 oz. I.W."</f>
        <v>60-2.5 oz. I.W.</v>
      </c>
      <c r="I182" s="15">
        <v>60</v>
      </c>
      <c r="J182" s="12">
        <v>2.8800000000000002E-3</v>
      </c>
      <c r="K182" s="34">
        <f t="shared" si="45"/>
        <v>347.22222222222223</v>
      </c>
      <c r="L182" s="37">
        <v>2.8800000000000002E-3</v>
      </c>
      <c r="M182" s="47">
        <f t="shared" si="37"/>
        <v>347.22222222222223</v>
      </c>
      <c r="N182" s="46">
        <f t="shared" si="38"/>
        <v>20833.333333333332</v>
      </c>
      <c r="Q182" s="80">
        <f t="shared" si="39"/>
        <v>5.7870370370370372</v>
      </c>
      <c r="R182" s="79" t="str">
        <f t="shared" si="40"/>
        <v>EQP-LAWPACK1</v>
      </c>
      <c r="S182" s="79" t="str">
        <f t="shared" si="41"/>
        <v>AUTOBAKE-P</v>
      </c>
    </row>
    <row r="183" spans="1:19" ht="15.6" customHeight="1" thickBot="1" x14ac:dyDescent="0.3">
      <c r="A183" t="s">
        <v>23</v>
      </c>
      <c r="B183" s="11" t="str">
        <f t="shared" si="36"/>
        <v/>
      </c>
      <c r="D183" s="13" t="str">
        <f>"96905"</f>
        <v>96905</v>
      </c>
      <c r="E183" s="7" t="str">
        <f>"4"</f>
        <v>4</v>
      </c>
      <c r="F183" s="27">
        <v>503.41666666666669</v>
      </c>
      <c r="G183" s="5" t="str">
        <f>"2175 WG Corn Muffin 60/2.5oz"</f>
        <v>2175 WG Corn Muffin 60/2.5oz</v>
      </c>
      <c r="H183" s="14" t="str">
        <f>"60/2.5 oz. I.W."</f>
        <v>60/2.5 oz. I.W.</v>
      </c>
      <c r="I183" s="15">
        <v>60</v>
      </c>
      <c r="J183" s="12">
        <v>2.8800000000000002E-3</v>
      </c>
      <c r="K183" s="34">
        <f t="shared" si="45"/>
        <v>347.22222222222223</v>
      </c>
      <c r="L183" s="37">
        <v>2.8800000000000002E-3</v>
      </c>
      <c r="M183" s="47">
        <f t="shared" si="37"/>
        <v>347.22222222222223</v>
      </c>
      <c r="N183" s="46">
        <f t="shared" si="38"/>
        <v>20833.333333333332</v>
      </c>
      <c r="Q183" s="80">
        <f t="shared" si="39"/>
        <v>5.7870370370370372</v>
      </c>
      <c r="R183" s="79" t="str">
        <f t="shared" si="40"/>
        <v>EQP-LAWPACK1</v>
      </c>
      <c r="S183" s="79" t="str">
        <f t="shared" si="41"/>
        <v>AUTOBAKE-P</v>
      </c>
    </row>
    <row r="184" spans="1:19" ht="15.6" hidden="1" customHeight="1" thickBot="1" x14ac:dyDescent="0.3">
      <c r="A184" t="s">
        <v>23</v>
      </c>
      <c r="B184" s="11" t="str">
        <f t="shared" si="36"/>
        <v>hide</v>
      </c>
      <c r="D184" s="13" t="str">
        <f>"JCBLD296"</f>
        <v>JCBLD296</v>
      </c>
      <c r="E184" s="7" t="str">
        <f>"3"</f>
        <v>3</v>
      </c>
      <c r="F184" s="27">
        <v>0</v>
      </c>
      <c r="G184" s="5" t="str">
        <f>"WG Honey Jalapeno Corn Bread Loaf"</f>
        <v>WG Honey Jalapeno Corn Bread Loaf</v>
      </c>
      <c r="H184" s="14" t="str">
        <f>"96-2.5oz IW"</f>
        <v>96-2.5oz IW</v>
      </c>
      <c r="I184" s="15">
        <v>96</v>
      </c>
      <c r="J184" s="12">
        <v>8.6899999999999998E-3</v>
      </c>
      <c r="K184" s="34">
        <f t="shared" si="45"/>
        <v>115.07479861910242</v>
      </c>
      <c r="L184" s="37">
        <v>8.6899999999999998E-3</v>
      </c>
      <c r="M184" s="47">
        <f t="shared" si="37"/>
        <v>115.07479861910242</v>
      </c>
      <c r="N184" s="46">
        <f t="shared" si="38"/>
        <v>11047.180667433833</v>
      </c>
      <c r="Q184" s="80">
        <f t="shared" si="39"/>
        <v>1.9179133103183736</v>
      </c>
      <c r="R184" s="79" t="str">
        <f t="shared" si="40"/>
        <v>EQP-LAWPACK1</v>
      </c>
      <c r="S184" s="79" t="str">
        <f t="shared" si="41"/>
        <v>AUTOBAKE-P</v>
      </c>
    </row>
    <row r="185" spans="1:19" ht="15.6" hidden="1" customHeight="1" thickBot="1" x14ac:dyDescent="0.3">
      <c r="A185" t="s">
        <v>23</v>
      </c>
      <c r="B185" s="11" t="str">
        <f t="shared" ref="B185" si="46">IF(F185=0,"hide","")</f>
        <v>hide</v>
      </c>
      <c r="D185" s="13" t="str">
        <f>"JCBLD296"</f>
        <v>JCBLD296</v>
      </c>
      <c r="E185" s="7" t="str">
        <f>"4"</f>
        <v>4</v>
      </c>
      <c r="F185" s="27">
        <v>0</v>
      </c>
      <c r="G185" s="5" t="str">
        <f>"WG Honey Jalapeno Corn Bread Loaf"</f>
        <v>WG Honey Jalapeno Corn Bread Loaf</v>
      </c>
      <c r="H185" s="14" t="str">
        <f>"96-2.5oz IW"</f>
        <v>96-2.5oz IW</v>
      </c>
      <c r="I185" s="15">
        <v>96</v>
      </c>
      <c r="J185" s="12">
        <v>8.6899999999999998E-3</v>
      </c>
      <c r="K185" s="34">
        <f t="shared" si="45"/>
        <v>115.07479861910242</v>
      </c>
      <c r="L185" s="37">
        <v>8.6899999999999998E-3</v>
      </c>
      <c r="M185" s="47">
        <f t="shared" si="37"/>
        <v>115.07479861910242</v>
      </c>
      <c r="N185" s="46">
        <f t="shared" ref="N185" si="47">M185*I185</f>
        <v>11047.180667433833</v>
      </c>
      <c r="Q185" s="80">
        <f t="shared" ref="Q185" si="48">M185/60</f>
        <v>1.9179133103183736</v>
      </c>
      <c r="R185" s="79" t="str">
        <f t="shared" si="40"/>
        <v>EQP-LAWPACK1</v>
      </c>
      <c r="S185" s="79" t="str">
        <f t="shared" si="41"/>
        <v>AUTOBAKE-P</v>
      </c>
    </row>
    <row r="186" spans="1:19" ht="15.6" customHeight="1" thickBot="1" x14ac:dyDescent="0.3">
      <c r="A186" t="s">
        <v>23</v>
      </c>
      <c r="B186" s="11" t="str">
        <f t="shared" si="36"/>
        <v/>
      </c>
      <c r="D186" s="13" t="str">
        <f>"MTCHCH260"</f>
        <v>MTCHCH260</v>
      </c>
      <c r="E186" s="7" t="str">
        <f>"1"</f>
        <v>1</v>
      </c>
      <c r="F186" s="27">
        <v>62</v>
      </c>
      <c r="G186" s="5" t="str">
        <f>"Whole Grain Choc Chip TOPS"</f>
        <v>Whole Grain Choc Chip TOPS</v>
      </c>
      <c r="H186" s="14" t="str">
        <f>"60-3.2oz IW"</f>
        <v>60-3.2oz IW</v>
      </c>
      <c r="I186" s="15">
        <v>60</v>
      </c>
      <c r="J186" s="12">
        <v>0</v>
      </c>
      <c r="K186" s="34" t="e">
        <f t="shared" si="45"/>
        <v>#DIV/0!</v>
      </c>
      <c r="L186" s="37">
        <v>0</v>
      </c>
      <c r="M186" s="47" t="e">
        <f t="shared" si="37"/>
        <v>#DIV/0!</v>
      </c>
      <c r="N186" s="46" t="e">
        <f t="shared" si="38"/>
        <v>#DIV/0!</v>
      </c>
      <c r="Q186" s="80" t="e">
        <f t="shared" si="39"/>
        <v>#DIV/0!</v>
      </c>
      <c r="R186" s="79" t="str">
        <f t="shared" si="40"/>
        <v>EQP-LAWPACK1</v>
      </c>
      <c r="S186" s="79" t="str">
        <f t="shared" si="41"/>
        <v>AUTOBAKE-P</v>
      </c>
    </row>
    <row r="187" spans="1:19" ht="15.6" customHeight="1" thickBot="1" x14ac:dyDescent="0.3">
      <c r="A187" t="s">
        <v>23</v>
      </c>
      <c r="B187" s="11" t="str">
        <f t="shared" ref="B187" si="49">IF(F187=0,"hide","")</f>
        <v/>
      </c>
      <c r="D187" s="13" t="str">
        <f>"MTCHCH260"</f>
        <v>MTCHCH260</v>
      </c>
      <c r="E187" s="7" t="str">
        <f>"2"</f>
        <v>2</v>
      </c>
      <c r="F187" s="27">
        <v>62</v>
      </c>
      <c r="G187" s="5" t="str">
        <f>"Whole Grain Choc Chip TOPS"</f>
        <v>Whole Grain Choc Chip TOPS</v>
      </c>
      <c r="H187" s="14" t="str">
        <f>"60-3.2oz IW"</f>
        <v>60-3.2oz IW</v>
      </c>
      <c r="I187" s="15">
        <v>60</v>
      </c>
      <c r="J187" s="12">
        <v>0</v>
      </c>
      <c r="K187" s="34" t="e">
        <f t="shared" si="45"/>
        <v>#DIV/0!</v>
      </c>
      <c r="L187" s="37">
        <v>0</v>
      </c>
      <c r="M187" s="47" t="e">
        <f t="shared" si="37"/>
        <v>#DIV/0!</v>
      </c>
      <c r="N187" s="46" t="e">
        <f t="shared" ref="N187" si="50">M187*I187</f>
        <v>#DIV/0!</v>
      </c>
      <c r="Q187" s="80" t="e">
        <f t="shared" ref="Q187" si="51">M187/60</f>
        <v>#DIV/0!</v>
      </c>
      <c r="R187" s="79" t="str">
        <f t="shared" si="40"/>
        <v>EQP-LAWPACK1</v>
      </c>
      <c r="S187" s="79" t="str">
        <f t="shared" si="41"/>
        <v>AUTOBAKE-P</v>
      </c>
    </row>
    <row r="188" spans="1:19" ht="15.6" hidden="1" customHeight="1" thickBot="1" x14ac:dyDescent="0.3">
      <c r="A188" t="s">
        <v>23</v>
      </c>
      <c r="B188" s="11" t="str">
        <f t="shared" si="36"/>
        <v>hide</v>
      </c>
      <c r="D188" s="13" t="str">
        <f>"PD-BOM00019"</f>
        <v>PD-BOM00019</v>
      </c>
      <c r="E188" s="7" t="str">
        <f>""</f>
        <v/>
      </c>
      <c r="F188" s="27">
        <v>0</v>
      </c>
      <c r="G188" s="5" t="str">
        <f>""</f>
        <v/>
      </c>
      <c r="H188" s="14" t="str">
        <f>""</f>
        <v/>
      </c>
      <c r="I188" s="15" t="str">
        <f>""</f>
        <v/>
      </c>
      <c r="J188" s="12" t="e">
        <v>#VALUE!</v>
      </c>
      <c r="K188" s="34" t="e">
        <f t="shared" si="45"/>
        <v>#VALUE!</v>
      </c>
      <c r="L188" s="37" t="e">
        <v>#VALUE!</v>
      </c>
      <c r="M188" s="47" t="e">
        <f t="shared" si="37"/>
        <v>#VALUE!</v>
      </c>
      <c r="N188" s="46" t="e">
        <f t="shared" si="38"/>
        <v>#VALUE!</v>
      </c>
      <c r="Q188" s="80" t="e">
        <f t="shared" si="39"/>
        <v>#VALUE!</v>
      </c>
      <c r="R188" s="79" t="str">
        <f t="shared" si="40"/>
        <v>EQP-LAWPACK1</v>
      </c>
      <c r="S188" s="79" t="str">
        <f t="shared" si="41"/>
        <v>AUTOBAKE-P</v>
      </c>
    </row>
    <row r="189" spans="1:19" ht="15.6" hidden="1" customHeight="1" thickBot="1" x14ac:dyDescent="0.3">
      <c r="A189" t="s">
        <v>23</v>
      </c>
      <c r="B189" s="11" t="str">
        <f t="shared" si="36"/>
        <v>hide</v>
      </c>
      <c r="D189" s="13" t="str">
        <f>"PD-BOM00024"</f>
        <v>PD-BOM00024</v>
      </c>
      <c r="E189" s="7" t="str">
        <f>""</f>
        <v/>
      </c>
      <c r="F189" s="27">
        <v>0</v>
      </c>
      <c r="G189" s="5" t="str">
        <f>""</f>
        <v/>
      </c>
      <c r="H189" s="14" t="str">
        <f>""</f>
        <v/>
      </c>
      <c r="I189" s="15" t="str">
        <f>""</f>
        <v/>
      </c>
      <c r="J189" s="12" t="e">
        <v>#VALUE!</v>
      </c>
      <c r="K189" s="34" t="e">
        <f t="shared" si="45"/>
        <v>#VALUE!</v>
      </c>
      <c r="L189" s="37" t="e">
        <v>#VALUE!</v>
      </c>
      <c r="M189" s="47" t="e">
        <f t="shared" si="37"/>
        <v>#VALUE!</v>
      </c>
      <c r="N189" s="46" t="e">
        <f t="shared" si="38"/>
        <v>#VALUE!</v>
      </c>
      <c r="Q189" s="80" t="e">
        <f t="shared" si="39"/>
        <v>#VALUE!</v>
      </c>
      <c r="R189" s="79" t="str">
        <f t="shared" si="40"/>
        <v>EQP-LAWPACK1</v>
      </c>
      <c r="S189" s="79" t="str">
        <f t="shared" si="41"/>
        <v>AUTOBAKE-P</v>
      </c>
    </row>
    <row r="190" spans="1:19" ht="15.6" customHeight="1" thickBot="1" x14ac:dyDescent="0.3">
      <c r="A190" t="s">
        <v>23</v>
      </c>
      <c r="B190" s="11" t="str">
        <f t="shared" si="36"/>
        <v/>
      </c>
      <c r="D190" s="13" t="str">
        <f>"WMCHCH248"</f>
        <v>WMCHCH248</v>
      </c>
      <c r="E190" s="7" t="str">
        <f>"4"</f>
        <v>4</v>
      </c>
      <c r="F190" s="27">
        <v>1875</v>
      </c>
      <c r="G190" s="5" t="str">
        <f>"Whole Grain Simply Choc Chp Muffins 2G "</f>
        <v xml:space="preserve">Whole Grain Simply Choc Chp Muffins 2G </v>
      </c>
      <c r="H190" s="14" t="str">
        <f>"48-3.2oz IW"</f>
        <v>48-3.2oz IW</v>
      </c>
      <c r="I190" s="15">
        <v>48</v>
      </c>
      <c r="J190" s="12">
        <v>0</v>
      </c>
      <c r="K190" s="34" t="e">
        <f t="shared" si="45"/>
        <v>#DIV/0!</v>
      </c>
      <c r="L190" s="37">
        <v>5.4000000000000003E-3</v>
      </c>
      <c r="M190" s="47">
        <f t="shared" si="37"/>
        <v>185.18518518518516</v>
      </c>
      <c r="N190" s="46">
        <f t="shared" si="38"/>
        <v>8888.8888888888869</v>
      </c>
      <c r="Q190" s="80">
        <f t="shared" si="39"/>
        <v>3.0864197530864192</v>
      </c>
      <c r="R190" s="79" t="str">
        <f t="shared" si="40"/>
        <v>EQP-LAWPACK1</v>
      </c>
      <c r="S190" s="79" t="str">
        <f t="shared" si="41"/>
        <v>AUTOBAKE-P</v>
      </c>
    </row>
    <row r="191" spans="1:19" ht="15.6" customHeight="1" thickBot="1" x14ac:dyDescent="0.3">
      <c r="A191" t="s">
        <v>23</v>
      </c>
      <c r="B191" s="11" t="str">
        <f t="shared" si="36"/>
        <v/>
      </c>
      <c r="D191" s="13" t="str">
        <f>"WMDC248"</f>
        <v>WMDC248</v>
      </c>
      <c r="E191" s="7" t="str">
        <f>"3"</f>
        <v>3</v>
      </c>
      <c r="F191" s="27">
        <v>514.25</v>
      </c>
      <c r="G191" s="5" t="str">
        <f>" WG Double Chocolate Muffin"</f>
        <v xml:space="preserve"> WG Double Chocolate Muffin</v>
      </c>
      <c r="H191" s="14" t="str">
        <f>"48-3.2oz IW"</f>
        <v>48-3.2oz IW</v>
      </c>
      <c r="I191" s="15">
        <v>48</v>
      </c>
      <c r="J191" s="12">
        <v>0</v>
      </c>
      <c r="K191" s="34" t="e">
        <f t="shared" si="45"/>
        <v>#DIV/0!</v>
      </c>
      <c r="L191" s="37">
        <v>2.7000000000000001E-3</v>
      </c>
      <c r="M191" s="47">
        <f t="shared" si="37"/>
        <v>370.37037037037032</v>
      </c>
      <c r="N191" s="46">
        <f t="shared" si="38"/>
        <v>17777.777777777774</v>
      </c>
      <c r="Q191" s="80">
        <f t="shared" si="39"/>
        <v>6.1728395061728385</v>
      </c>
      <c r="R191" s="79" t="str">
        <f t="shared" si="40"/>
        <v>EQP-LAWPACK1</v>
      </c>
      <c r="S191" s="79" t="str">
        <f t="shared" si="41"/>
        <v>AUTOBAKE-P</v>
      </c>
    </row>
    <row r="192" spans="1:19" ht="12" customHeight="1" x14ac:dyDescent="0.25">
      <c r="I192"/>
      <c r="L192" s="33"/>
    </row>
    <row r="193" spans="8:12" x14ac:dyDescent="0.25">
      <c r="H193" s="20" t="s">
        <v>4</v>
      </c>
      <c r="I193" s="28">
        <f>COUNT(#REF!)</f>
        <v>0</v>
      </c>
      <c r="L193" s="33"/>
    </row>
    <row r="194" spans="8:12" x14ac:dyDescent="0.25">
      <c r="L194" s="33"/>
    </row>
  </sheetData>
  <phoneticPr fontId="0" type="noConversion"/>
  <pageMargins left="0" right="0" top="0" bottom="0" header="0.17" footer="0.5"/>
  <pageSetup scale="80" orientation="portrait" r:id="rId1"/>
  <headerFooter alignWithMargins="0">
    <oddHeader>&amp;RPrint Date:&amp;D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927A9-85F2-4A7B-9048-4B043C2FFCF1}">
  <dimension ref="A1:S33"/>
  <sheetViews>
    <sheetView topLeftCell="D2" zoomScaleNormal="100" workbookViewId="0">
      <selection activeCell="D4" sqref="D4"/>
    </sheetView>
  </sheetViews>
  <sheetFormatPr defaultRowHeight="13.2" x14ac:dyDescent="0.25"/>
  <cols>
    <col min="1" max="1" width="12.44140625" hidden="1" customWidth="1"/>
    <col min="2" max="2" width="13" hidden="1" customWidth="1"/>
    <col min="3" max="3" width="5.44140625" hidden="1" customWidth="1"/>
    <col min="4" max="4" width="13.5546875" customWidth="1"/>
    <col min="5" max="5" width="5.5546875" hidden="1" customWidth="1"/>
    <col min="6" max="6" width="9.33203125" hidden="1" customWidth="1"/>
    <col min="7" max="7" width="25" customWidth="1"/>
    <col min="8" max="8" width="14.88671875" customWidth="1"/>
    <col min="9" max="9" width="6.6640625" style="8" customWidth="1"/>
    <col min="10" max="10" width="9.109375" hidden="1" customWidth="1"/>
    <col min="11" max="11" width="10" hidden="1" customWidth="1"/>
    <col min="12" max="12" width="9.5546875" hidden="1" customWidth="1"/>
    <col min="13" max="13" width="12.109375" customWidth="1"/>
    <col min="14" max="14" width="10.109375" customWidth="1"/>
    <col min="18" max="18" width="17" bestFit="1" customWidth="1"/>
    <col min="19" max="19" width="13.21875" bestFit="1" customWidth="1"/>
  </cols>
  <sheetData>
    <row r="1" spans="1:19" ht="39" hidden="1" customHeight="1" x14ac:dyDescent="0.4">
      <c r="A1" t="s">
        <v>48032</v>
      </c>
      <c r="B1" t="s">
        <v>9</v>
      </c>
      <c r="C1" s="16" t="s">
        <v>5</v>
      </c>
      <c r="D1" s="1"/>
      <c r="E1" s="16" t="s">
        <v>5</v>
      </c>
      <c r="F1" s="16" t="s">
        <v>5</v>
      </c>
      <c r="I1" s="16"/>
      <c r="J1" s="16" t="s">
        <v>5</v>
      </c>
      <c r="K1" s="16" t="s">
        <v>5</v>
      </c>
      <c r="L1" s="16" t="s">
        <v>5</v>
      </c>
      <c r="N1" s="16"/>
      <c r="R1" s="35" t="s">
        <v>46381</v>
      </c>
      <c r="S1" s="35" t="s">
        <v>46381</v>
      </c>
    </row>
    <row r="2" spans="1:19" ht="24.6" x14ac:dyDescent="0.4">
      <c r="D2" s="83" t="s">
        <v>48022</v>
      </c>
      <c r="E2" s="9"/>
      <c r="F2" s="9"/>
      <c r="J2" s="8"/>
      <c r="K2" s="8"/>
      <c r="L2" s="8"/>
    </row>
    <row r="3" spans="1:19" ht="8.4" customHeight="1" thickBot="1" x14ac:dyDescent="0.45">
      <c r="D3" s="1"/>
      <c r="E3" s="1"/>
      <c r="F3" s="1"/>
      <c r="J3" s="8"/>
      <c r="K3" s="8"/>
      <c r="L3" s="8"/>
    </row>
    <row r="4" spans="1:19" ht="28.8" thickBot="1" x14ac:dyDescent="0.55000000000000004">
      <c r="B4" s="42">
        <f ca="1">TODAY()</f>
        <v>45355</v>
      </c>
      <c r="D4" s="6"/>
      <c r="E4" s="6"/>
      <c r="F4" s="6"/>
      <c r="G4" s="29" t="str">
        <f>"EQP-LAWPACK2"</f>
        <v>EQP-LAWPACK2</v>
      </c>
      <c r="H4" s="81" t="s">
        <v>48021</v>
      </c>
      <c r="J4" s="8"/>
      <c r="K4" s="8"/>
      <c r="L4" s="8"/>
    </row>
    <row r="5" spans="1:19" ht="16.5" customHeight="1" thickBot="1" x14ac:dyDescent="0.55000000000000004">
      <c r="B5" s="42"/>
      <c r="D5" s="6"/>
      <c r="E5" s="6"/>
      <c r="F5" s="6"/>
      <c r="G5" s="77" t="str">
        <f>"BAABLINE-P"</f>
        <v>BAABLINE-P</v>
      </c>
      <c r="H5" s="78" t="s">
        <v>46382</v>
      </c>
      <c r="J5" s="8"/>
      <c r="K5" s="8"/>
      <c r="L5" s="8"/>
    </row>
    <row r="6" spans="1:19" ht="16.5" customHeight="1" thickBot="1" x14ac:dyDescent="0.55000000000000004">
      <c r="B6" s="43">
        <v>44927</v>
      </c>
      <c r="D6" s="6"/>
      <c r="E6" s="6"/>
      <c r="F6" s="6"/>
      <c r="G6" s="29" t="str">
        <f>"LAWRENCE"</f>
        <v>LAWRENCE</v>
      </c>
      <c r="H6" s="30" t="s">
        <v>46383</v>
      </c>
      <c r="J6" s="8"/>
      <c r="K6" s="8"/>
      <c r="L6" s="8"/>
    </row>
    <row r="7" spans="1:19" ht="16.5" hidden="1" customHeight="1" thickBot="1" x14ac:dyDescent="0.55000000000000004">
      <c r="A7" t="s">
        <v>5</v>
      </c>
      <c r="B7">
        <f ca="1">B6-B4</f>
        <v>-428</v>
      </c>
      <c r="D7" s="6"/>
      <c r="E7" s="6"/>
      <c r="F7" s="29"/>
      <c r="G7" s="36">
        <v>50000.000000000007</v>
      </c>
      <c r="H7" s="30" t="s">
        <v>16</v>
      </c>
      <c r="J7" s="8"/>
      <c r="K7" s="8"/>
      <c r="L7" s="8"/>
    </row>
    <row r="8" spans="1:19" ht="24.6" customHeight="1" thickBot="1" x14ac:dyDescent="0.55000000000000004">
      <c r="B8">
        <f ca="1">B7/28.3</f>
        <v>-15.123674911660776</v>
      </c>
      <c r="D8" s="6"/>
      <c r="E8" s="6"/>
      <c r="F8" s="44">
        <f ca="1">B8</f>
        <v>-15.123674911660776</v>
      </c>
      <c r="J8" s="8"/>
      <c r="K8" s="8"/>
      <c r="L8" s="8"/>
    </row>
    <row r="9" spans="1:19" ht="31.2" hidden="1" customHeight="1" thickBot="1" x14ac:dyDescent="0.45">
      <c r="A9" t="s">
        <v>5</v>
      </c>
      <c r="D9" s="1"/>
      <c r="J9" s="24" t="s">
        <v>10</v>
      </c>
      <c r="K9" s="24" t="s">
        <v>10</v>
      </c>
      <c r="L9" s="31" t="s">
        <v>12</v>
      </c>
      <c r="M9" s="25" t="s">
        <v>12</v>
      </c>
      <c r="N9" s="39"/>
    </row>
    <row r="10" spans="1:19" ht="45" customHeight="1" thickBot="1" x14ac:dyDescent="0.3">
      <c r="B10" s="3" t="s">
        <v>3</v>
      </c>
      <c r="C10" s="4"/>
      <c r="D10" s="17" t="s">
        <v>0</v>
      </c>
      <c r="E10" s="18" t="s">
        <v>8</v>
      </c>
      <c r="F10" s="26" t="s">
        <v>564</v>
      </c>
      <c r="G10" s="19" t="s">
        <v>1</v>
      </c>
      <c r="H10" s="17" t="s">
        <v>2</v>
      </c>
      <c r="I10" s="40" t="s">
        <v>19</v>
      </c>
      <c r="J10" s="23" t="str">
        <f>$G$4</f>
        <v>EQP-LAWPACK2</v>
      </c>
      <c r="K10" s="23" t="s">
        <v>13</v>
      </c>
      <c r="L10" s="32" t="str">
        <f>$G$4</f>
        <v>EQP-LAWPACK2</v>
      </c>
      <c r="M10" s="23" t="s">
        <v>13</v>
      </c>
      <c r="N10" s="38" t="s">
        <v>18</v>
      </c>
      <c r="O10" s="45" t="s">
        <v>46378</v>
      </c>
      <c r="P10" s="45" t="s">
        <v>46379</v>
      </c>
      <c r="Q10" s="45" t="s">
        <v>46380</v>
      </c>
      <c r="R10" s="45" t="s">
        <v>48020</v>
      </c>
      <c r="S10" s="82" t="s">
        <v>46382</v>
      </c>
    </row>
    <row r="11" spans="1:19" ht="15.6" customHeight="1" thickBot="1" x14ac:dyDescent="0.3">
      <c r="B11" s="11" t="str">
        <f>IF(F11=0,"hide","")</f>
        <v/>
      </c>
      <c r="D11" s="13" t="str">
        <f>"02661"</f>
        <v>02661</v>
      </c>
      <c r="E11" s="7" t="str">
        <f>"8"</f>
        <v>8</v>
      </c>
      <c r="F11" s="27">
        <v>8916.6666666666661</v>
      </c>
      <c r="G11" s="5" t="str">
        <f>"SMART CHOICE BLUEBERRY MUFFIN"</f>
        <v>SMART CHOICE BLUEBERRY MUFFIN</v>
      </c>
      <c r="H11" s="14" t="str">
        <f>"96-2 oz. I.W."</f>
        <v>96-2 oz. I.W.</v>
      </c>
      <c r="I11" s="15">
        <v>96</v>
      </c>
      <c r="J11" s="12">
        <v>0</v>
      </c>
      <c r="K11" s="34" t="e">
        <f t="shared" ref="K11:K30" si="0">1/J11</f>
        <v>#DIV/0!</v>
      </c>
      <c r="L11" s="37">
        <v>5.5999999999999999E-3</v>
      </c>
      <c r="M11" s="47">
        <f>1/L11</f>
        <v>178.57142857142858</v>
      </c>
      <c r="N11" s="46">
        <f>M11*I11</f>
        <v>17142.857142857145</v>
      </c>
      <c r="Q11" s="80">
        <f>M11/60</f>
        <v>2.9761904761904763</v>
      </c>
      <c r="R11" s="79" t="str">
        <f>$G$4</f>
        <v>EQP-LAWPACK2</v>
      </c>
      <c r="S11" s="79" t="str">
        <f>$G$5</f>
        <v>BAABLINE-P</v>
      </c>
    </row>
    <row r="12" spans="1:19" ht="15.6" customHeight="1" thickBot="1" x14ac:dyDescent="0.3">
      <c r="A12" t="s">
        <v>23</v>
      </c>
      <c r="B12" s="11" t="str">
        <f t="shared" ref="B12:B29" si="1">IF(F12=0,"hide","")</f>
        <v/>
      </c>
      <c r="D12" s="13" t="str">
        <f>"02665"</f>
        <v>02665</v>
      </c>
      <c r="E12" s="7" t="str">
        <f>"11"</f>
        <v>11</v>
      </c>
      <c r="F12" s="27">
        <v>1155.5</v>
      </c>
      <c r="G12" s="5" t="str">
        <f>"Smart Choice Corn Muffins"</f>
        <v>Smart Choice Corn Muffins</v>
      </c>
      <c r="H12" s="14" t="str">
        <f>"96-2 oz. I.W."</f>
        <v>96-2 oz. I.W.</v>
      </c>
      <c r="I12" s="15">
        <v>96</v>
      </c>
      <c r="J12" s="12">
        <v>0</v>
      </c>
      <c r="K12" s="34" t="e">
        <f t="shared" si="0"/>
        <v>#DIV/0!</v>
      </c>
      <c r="L12" s="37">
        <v>7.6E-3</v>
      </c>
      <c r="M12" s="47">
        <f t="shared" ref="M12:M30" si="2">1/L12</f>
        <v>131.57894736842104</v>
      </c>
      <c r="N12" s="46">
        <f t="shared" ref="N12:N29" si="3">M12*I12</f>
        <v>12631.57894736842</v>
      </c>
      <c r="Q12" s="80">
        <f t="shared" ref="Q12:Q29" si="4">M12/60</f>
        <v>2.1929824561403506</v>
      </c>
      <c r="R12" s="79" t="str">
        <f t="shared" ref="R12:R30" si="5">$G$4</f>
        <v>EQP-LAWPACK2</v>
      </c>
      <c r="S12" s="79" t="str">
        <f t="shared" ref="S12:S30" si="6">$G$5</f>
        <v>BAABLINE-P</v>
      </c>
    </row>
    <row r="13" spans="1:19" ht="15.6" customHeight="1" thickBot="1" x14ac:dyDescent="0.3">
      <c r="A13" t="s">
        <v>23</v>
      </c>
      <c r="B13" s="11" t="str">
        <f t="shared" si="1"/>
        <v/>
      </c>
      <c r="D13" s="13" t="str">
        <f>"02666"</f>
        <v>02666</v>
      </c>
      <c r="E13" s="7" t="str">
        <f>"9"</f>
        <v>9</v>
      </c>
      <c r="F13" s="27">
        <v>3190.8333333333335</v>
      </c>
      <c r="G13" s="5" t="str">
        <f>"SMART CHOICE APPLE CIN MUFFIN"</f>
        <v>SMART CHOICE APPLE CIN MUFFIN</v>
      </c>
      <c r="H13" s="14" t="str">
        <f>"96-2 oz. I.W."</f>
        <v>96-2 oz. I.W.</v>
      </c>
      <c r="I13" s="15">
        <v>96</v>
      </c>
      <c r="J13" s="12">
        <v>0</v>
      </c>
      <c r="K13" s="34" t="e">
        <f t="shared" si="0"/>
        <v>#DIV/0!</v>
      </c>
      <c r="L13" s="37">
        <v>4.5999999999999999E-3</v>
      </c>
      <c r="M13" s="47">
        <f t="shared" si="2"/>
        <v>217.39130434782609</v>
      </c>
      <c r="N13" s="46">
        <f t="shared" si="3"/>
        <v>20869.565217391304</v>
      </c>
      <c r="Q13" s="80">
        <f t="shared" si="4"/>
        <v>3.6231884057971016</v>
      </c>
      <c r="R13" s="79" t="str">
        <f t="shared" si="5"/>
        <v>EQP-LAWPACK2</v>
      </c>
      <c r="S13" s="79" t="str">
        <f t="shared" si="6"/>
        <v>BAABLINE-P</v>
      </c>
    </row>
    <row r="14" spans="1:19" ht="15.6" customHeight="1" thickBot="1" x14ac:dyDescent="0.3">
      <c r="A14" t="s">
        <v>23</v>
      </c>
      <c r="B14" s="11" t="str">
        <f t="shared" si="1"/>
        <v/>
      </c>
      <c r="D14" s="13" t="str">
        <f>"02675"</f>
        <v>02675</v>
      </c>
      <c r="E14" s="7" t="str">
        <f>"7"</f>
        <v>7</v>
      </c>
      <c r="F14" s="27">
        <v>3362.1666666666665</v>
      </c>
      <c r="G14" s="5" t="str">
        <f>"SMART CHOICE BANANA MUFFINS"</f>
        <v>SMART CHOICE BANANA MUFFINS</v>
      </c>
      <c r="H14" s="14" t="str">
        <f>"96-2 oz. I.W."</f>
        <v>96-2 oz. I.W.</v>
      </c>
      <c r="I14" s="15">
        <v>96</v>
      </c>
      <c r="J14" s="12">
        <v>0</v>
      </c>
      <c r="K14" s="34" t="e">
        <f t="shared" si="0"/>
        <v>#DIV/0!</v>
      </c>
      <c r="L14" s="37">
        <v>4.5999999999999999E-3</v>
      </c>
      <c r="M14" s="47">
        <f t="shared" si="2"/>
        <v>217.39130434782609</v>
      </c>
      <c r="N14" s="46">
        <f t="shared" si="3"/>
        <v>20869.565217391304</v>
      </c>
      <c r="Q14" s="80">
        <f t="shared" si="4"/>
        <v>3.6231884057971016</v>
      </c>
      <c r="R14" s="79" t="str">
        <f t="shared" si="5"/>
        <v>EQP-LAWPACK2</v>
      </c>
      <c r="S14" s="79" t="str">
        <f t="shared" si="6"/>
        <v>BAABLINE-P</v>
      </c>
    </row>
    <row r="15" spans="1:19" ht="15.6" customHeight="1" thickBot="1" x14ac:dyDescent="0.3">
      <c r="A15" t="s">
        <v>23</v>
      </c>
      <c r="B15" s="11" t="str">
        <f t="shared" si="1"/>
        <v/>
      </c>
      <c r="D15" s="13" t="str">
        <f>"02940"</f>
        <v>02940</v>
      </c>
      <c r="E15" s="7" t="str">
        <f>"10"</f>
        <v>10</v>
      </c>
      <c r="F15" s="27">
        <v>1771.25</v>
      </c>
      <c r="G15" s="5" t="str">
        <f>"1204 Muffin, WG, Choc Chip, IW"</f>
        <v>1204 Muffin, WG, Choc Chip, IW</v>
      </c>
      <c r="H15" s="14" t="str">
        <f>"96/2 oz"</f>
        <v>96/2 oz</v>
      </c>
      <c r="I15" s="15">
        <v>96</v>
      </c>
      <c r="J15" s="12">
        <v>0</v>
      </c>
      <c r="K15" s="34" t="e">
        <f t="shared" si="0"/>
        <v>#DIV/0!</v>
      </c>
      <c r="L15" s="37">
        <v>8.0000000000000002E-3</v>
      </c>
      <c r="M15" s="47">
        <f t="shared" si="2"/>
        <v>125</v>
      </c>
      <c r="N15" s="46">
        <f t="shared" si="3"/>
        <v>12000</v>
      </c>
      <c r="Q15" s="80">
        <f t="shared" si="4"/>
        <v>2.0833333333333335</v>
      </c>
      <c r="R15" s="79" t="str">
        <f t="shared" si="5"/>
        <v>EQP-LAWPACK2</v>
      </c>
      <c r="S15" s="79" t="str">
        <f t="shared" si="6"/>
        <v>BAABLINE-P</v>
      </c>
    </row>
    <row r="16" spans="1:19" ht="15.6" customHeight="1" thickBot="1" x14ac:dyDescent="0.3">
      <c r="A16" t="s">
        <v>23</v>
      </c>
      <c r="B16" s="11" t="str">
        <f t="shared" si="1"/>
        <v/>
      </c>
      <c r="D16" s="13" t="str">
        <f>"02946"</f>
        <v>02946</v>
      </c>
      <c r="E16" s="7" t="str">
        <f>"10"</f>
        <v>10</v>
      </c>
      <c r="F16" s="27">
        <v>1551.25</v>
      </c>
      <c r="G16" s="5" t="str">
        <f>"1203 Muffin, WG, Apple Cinn, IW"</f>
        <v>1203 Muffin, WG, Apple Cinn, IW</v>
      </c>
      <c r="H16" s="14" t="str">
        <f>"96/2 oz"</f>
        <v>96/2 oz</v>
      </c>
      <c r="I16" s="15">
        <v>96</v>
      </c>
      <c r="J16" s="12">
        <v>0</v>
      </c>
      <c r="K16" s="34" t="e">
        <f t="shared" si="0"/>
        <v>#DIV/0!</v>
      </c>
      <c r="L16" s="37">
        <v>4.4999999999999997E-3</v>
      </c>
      <c r="M16" s="47">
        <f t="shared" si="2"/>
        <v>222.22222222222223</v>
      </c>
      <c r="N16" s="46">
        <f t="shared" si="3"/>
        <v>21333.333333333336</v>
      </c>
      <c r="Q16" s="80">
        <f t="shared" si="4"/>
        <v>3.7037037037037037</v>
      </c>
      <c r="R16" s="79" t="str">
        <f t="shared" si="5"/>
        <v>EQP-LAWPACK2</v>
      </c>
      <c r="S16" s="79" t="str">
        <f t="shared" si="6"/>
        <v>BAABLINE-P</v>
      </c>
    </row>
    <row r="17" spans="1:19" ht="15.6" customHeight="1" thickBot="1" x14ac:dyDescent="0.3">
      <c r="A17" t="s">
        <v>23</v>
      </c>
      <c r="B17" s="11" t="str">
        <f t="shared" si="1"/>
        <v/>
      </c>
      <c r="D17" s="13" t="str">
        <f>"02991"</f>
        <v>02991</v>
      </c>
      <c r="E17" s="7" t="str">
        <f>"10"</f>
        <v>10</v>
      </c>
      <c r="F17" s="27">
        <v>2750.8333333333335</v>
      </c>
      <c r="G17" s="5" t="str">
        <f>"1202 Muffins, WG, Banana, RF, IW"</f>
        <v>1202 Muffins, WG, Banana, RF, IW</v>
      </c>
      <c r="H17" s="14" t="str">
        <f>"96/2 oz"</f>
        <v>96/2 oz</v>
      </c>
      <c r="I17" s="15">
        <v>96</v>
      </c>
      <c r="J17" s="12">
        <v>0</v>
      </c>
      <c r="K17" s="34" t="e">
        <f t="shared" si="0"/>
        <v>#DIV/0!</v>
      </c>
      <c r="L17" s="37">
        <v>4.5999999999999999E-3</v>
      </c>
      <c r="M17" s="47">
        <f t="shared" si="2"/>
        <v>217.39130434782609</v>
      </c>
      <c r="N17" s="46">
        <f t="shared" si="3"/>
        <v>20869.565217391304</v>
      </c>
      <c r="Q17" s="80">
        <f t="shared" si="4"/>
        <v>3.6231884057971016</v>
      </c>
      <c r="R17" s="79" t="str">
        <f t="shared" si="5"/>
        <v>EQP-LAWPACK2</v>
      </c>
      <c r="S17" s="79" t="str">
        <f t="shared" si="6"/>
        <v>BAABLINE-P</v>
      </c>
    </row>
    <row r="18" spans="1:19" ht="15.6" customHeight="1" thickBot="1" x14ac:dyDescent="0.3">
      <c r="A18" t="s">
        <v>23</v>
      </c>
      <c r="B18" s="11" t="str">
        <f t="shared" si="1"/>
        <v/>
      </c>
      <c r="D18" s="13" t="str">
        <f>"03499"</f>
        <v>03499</v>
      </c>
      <c r="E18" s="7" t="str">
        <f>"3"</f>
        <v>3</v>
      </c>
      <c r="F18" s="27">
        <v>17.333333333333332</v>
      </c>
      <c r="G18" s="5" t="str">
        <f>"RICH's Chocolate Cupcake NatArt Flavored"</f>
        <v>RICH's Chocolate Cupcake NatArt Flavored</v>
      </c>
      <c r="H18" s="14" t="str">
        <f>"144-1.15 oz. 4 trays of 36"</f>
        <v>144-1.15 oz. 4 trays of 36</v>
      </c>
      <c r="I18" s="15">
        <v>144</v>
      </c>
      <c r="J18" s="12">
        <v>0</v>
      </c>
      <c r="K18" s="34" t="e">
        <f t="shared" si="0"/>
        <v>#DIV/0!</v>
      </c>
      <c r="L18" s="37">
        <v>1.0500000000000001E-2</v>
      </c>
      <c r="M18" s="47">
        <f t="shared" si="2"/>
        <v>95.238095238095227</v>
      </c>
      <c r="N18" s="46">
        <f t="shared" si="3"/>
        <v>13714.285714285712</v>
      </c>
      <c r="Q18" s="80">
        <f t="shared" si="4"/>
        <v>1.5873015873015872</v>
      </c>
      <c r="R18" s="79" t="str">
        <f t="shared" si="5"/>
        <v>EQP-LAWPACK2</v>
      </c>
      <c r="S18" s="79" t="str">
        <f t="shared" si="6"/>
        <v>BAABLINE-P</v>
      </c>
    </row>
    <row r="19" spans="1:19" ht="15.6" customHeight="1" thickBot="1" x14ac:dyDescent="0.3">
      <c r="A19" t="s">
        <v>23</v>
      </c>
      <c r="B19" s="11" t="str">
        <f t="shared" si="1"/>
        <v/>
      </c>
      <c r="D19" s="13" t="str">
        <f>"05371"</f>
        <v>05371</v>
      </c>
      <c r="E19" s="7" t="str">
        <f>"2"</f>
        <v>2</v>
      </c>
      <c r="F19" s="27">
        <v>132.5</v>
      </c>
      <c r="G19" s="5" t="str">
        <f>"RICH's White Cupcake"</f>
        <v>RICH's White Cupcake</v>
      </c>
      <c r="H19" s="14" t="str">
        <f>"144-1.15 oz. 4 trays of 36"</f>
        <v>144-1.15 oz. 4 trays of 36</v>
      </c>
      <c r="I19" s="15">
        <v>144</v>
      </c>
      <c r="J19" s="12">
        <v>0</v>
      </c>
      <c r="K19" s="34" t="e">
        <f t="shared" si="0"/>
        <v>#DIV/0!</v>
      </c>
      <c r="L19" s="37">
        <v>1.0500000000000001E-2</v>
      </c>
      <c r="M19" s="47">
        <f t="shared" si="2"/>
        <v>95.238095238095227</v>
      </c>
      <c r="N19" s="46">
        <f t="shared" si="3"/>
        <v>13714.285714285712</v>
      </c>
      <c r="Q19" s="80">
        <f t="shared" si="4"/>
        <v>1.5873015873015872</v>
      </c>
      <c r="R19" s="79" t="str">
        <f t="shared" si="5"/>
        <v>EQP-LAWPACK2</v>
      </c>
      <c r="S19" s="79" t="str">
        <f t="shared" si="6"/>
        <v>BAABLINE-P</v>
      </c>
    </row>
    <row r="20" spans="1:19" ht="15.6" customHeight="1" thickBot="1" x14ac:dyDescent="0.3">
      <c r="A20" t="s">
        <v>23</v>
      </c>
      <c r="B20" s="11" t="str">
        <f t="shared" si="1"/>
        <v/>
      </c>
      <c r="D20" s="13" t="str">
        <f>"06661"</f>
        <v>06661</v>
      </c>
      <c r="E20" s="7" t="str">
        <f>"6"</f>
        <v>6</v>
      </c>
      <c r="F20" s="27">
        <v>2030.9999999999998</v>
      </c>
      <c r="G20" s="5" t="str">
        <f>"Smart Choice Blueberry Muffin"</f>
        <v>Smart Choice Blueberry Muffin</v>
      </c>
      <c r="H20" s="14" t="str">
        <f>"48-3.6 oz. I.W."</f>
        <v>48-3.6 oz. I.W.</v>
      </c>
      <c r="I20" s="15">
        <v>48</v>
      </c>
      <c r="J20" s="12">
        <v>0</v>
      </c>
      <c r="K20" s="34" t="e">
        <f t="shared" si="0"/>
        <v>#DIV/0!</v>
      </c>
      <c r="L20" s="37">
        <v>5.0000000000000001E-3</v>
      </c>
      <c r="M20" s="47">
        <f t="shared" si="2"/>
        <v>200</v>
      </c>
      <c r="N20" s="46">
        <f t="shared" si="3"/>
        <v>9600</v>
      </c>
      <c r="Q20" s="80">
        <f t="shared" si="4"/>
        <v>3.3333333333333335</v>
      </c>
      <c r="R20" s="79" t="str">
        <f t="shared" si="5"/>
        <v>EQP-LAWPACK2</v>
      </c>
      <c r="S20" s="79" t="str">
        <f t="shared" si="6"/>
        <v>BAABLINE-P</v>
      </c>
    </row>
    <row r="21" spans="1:19" ht="15.6" customHeight="1" thickBot="1" x14ac:dyDescent="0.3">
      <c r="A21" t="s">
        <v>23</v>
      </c>
      <c r="B21" s="11" t="str">
        <f t="shared" si="1"/>
        <v/>
      </c>
      <c r="D21" s="13" t="str">
        <f>"06670"</f>
        <v>06670</v>
      </c>
      <c r="E21" s="7" t="str">
        <f>"7"</f>
        <v>7</v>
      </c>
      <c r="F21" s="27">
        <v>3928.8333333333335</v>
      </c>
      <c r="G21" s="5" t="str">
        <f>"Smart Choice Choc Chip Muffin"</f>
        <v>Smart Choice Choc Chip Muffin</v>
      </c>
      <c r="H21" s="14" t="str">
        <f>"48-3.6 oz. I.W."</f>
        <v>48-3.6 oz. I.W.</v>
      </c>
      <c r="I21" s="15">
        <v>48</v>
      </c>
      <c r="J21" s="12">
        <v>5.2399999999999999E-3</v>
      </c>
      <c r="K21" s="34">
        <f t="shared" si="0"/>
        <v>190.83969465648855</v>
      </c>
      <c r="L21" s="37">
        <v>5.2399999999999999E-3</v>
      </c>
      <c r="M21" s="47">
        <f t="shared" si="2"/>
        <v>190.83969465648855</v>
      </c>
      <c r="N21" s="46">
        <f t="shared" si="3"/>
        <v>9160.3053435114507</v>
      </c>
      <c r="Q21" s="80">
        <f t="shared" si="4"/>
        <v>3.1806615776081424</v>
      </c>
      <c r="R21" s="79" t="str">
        <f t="shared" si="5"/>
        <v>EQP-LAWPACK2</v>
      </c>
      <c r="S21" s="79" t="str">
        <f t="shared" si="6"/>
        <v>BAABLINE-P</v>
      </c>
    </row>
    <row r="22" spans="1:19" ht="15.6" customHeight="1" thickBot="1" x14ac:dyDescent="0.3">
      <c r="A22" t="s">
        <v>23</v>
      </c>
      <c r="B22" s="11" t="str">
        <f t="shared" si="1"/>
        <v/>
      </c>
      <c r="D22" s="13" t="str">
        <f>"07940"</f>
        <v>07940</v>
      </c>
      <c r="E22" s="7" t="str">
        <f>"6"</f>
        <v>6</v>
      </c>
      <c r="F22" s="27">
        <v>2993.3333333333335</v>
      </c>
      <c r="G22" s="5" t="str">
        <f>"1392 Muffin, WG, Choc Chip, IW"</f>
        <v>1392 Muffin, WG, Choc Chip, IW</v>
      </c>
      <c r="H22" s="14" t="str">
        <f>"48/4 oz"</f>
        <v>48/4 oz</v>
      </c>
      <c r="I22" s="15">
        <v>48</v>
      </c>
      <c r="J22" s="12">
        <v>0</v>
      </c>
      <c r="K22" s="34" t="e">
        <f t="shared" si="0"/>
        <v>#DIV/0!</v>
      </c>
      <c r="L22" s="37">
        <v>5.3E-3</v>
      </c>
      <c r="M22" s="47">
        <f t="shared" si="2"/>
        <v>188.67924528301887</v>
      </c>
      <c r="N22" s="46">
        <f t="shared" si="3"/>
        <v>9056.6037735849059</v>
      </c>
      <c r="Q22" s="80">
        <f t="shared" si="4"/>
        <v>3.1446540880503147</v>
      </c>
      <c r="R22" s="79" t="str">
        <f t="shared" si="5"/>
        <v>EQP-LAWPACK2</v>
      </c>
      <c r="S22" s="79" t="str">
        <f t="shared" si="6"/>
        <v>BAABLINE-P</v>
      </c>
    </row>
    <row r="23" spans="1:19" ht="15.6" customHeight="1" thickBot="1" x14ac:dyDescent="0.3">
      <c r="A23" t="s">
        <v>23</v>
      </c>
      <c r="B23" s="11" t="str">
        <f t="shared" si="1"/>
        <v/>
      </c>
      <c r="D23" s="13" t="str">
        <f>"07941"</f>
        <v>07941</v>
      </c>
      <c r="E23" s="7" t="str">
        <f>"5"</f>
        <v>5</v>
      </c>
      <c r="F23" s="27">
        <v>2602.9166666666665</v>
      </c>
      <c r="G23" s="5" t="str">
        <f>"1314 Muffins, WG, Blueberry, IW"</f>
        <v>1314 Muffins, WG, Blueberry, IW</v>
      </c>
      <c r="H23" s="14" t="str">
        <f>"48/4 oz"</f>
        <v>48/4 oz</v>
      </c>
      <c r="I23" s="15">
        <v>48</v>
      </c>
      <c r="J23" s="12">
        <v>0</v>
      </c>
      <c r="K23" s="34" t="e">
        <f t="shared" si="0"/>
        <v>#DIV/0!</v>
      </c>
      <c r="L23" s="37">
        <v>5.4000000000000003E-3</v>
      </c>
      <c r="M23" s="47">
        <f t="shared" si="2"/>
        <v>185.18518518518516</v>
      </c>
      <c r="N23" s="46">
        <f t="shared" si="3"/>
        <v>8888.8888888888869</v>
      </c>
      <c r="Q23" s="80">
        <f t="shared" si="4"/>
        <v>3.0864197530864192</v>
      </c>
      <c r="R23" s="79" t="str">
        <f t="shared" si="5"/>
        <v>EQP-LAWPACK2</v>
      </c>
      <c r="S23" s="79" t="str">
        <f t="shared" si="6"/>
        <v>BAABLINE-P</v>
      </c>
    </row>
    <row r="24" spans="1:19" ht="15.6" customHeight="1" thickBot="1" x14ac:dyDescent="0.3">
      <c r="A24" t="s">
        <v>23</v>
      </c>
      <c r="B24" s="11" t="str">
        <f t="shared" si="1"/>
        <v/>
      </c>
      <c r="D24" s="13" t="str">
        <f>"24970"</f>
        <v>24970</v>
      </c>
      <c r="E24" s="7" t="str">
        <f>"11"</f>
        <v>11</v>
      </c>
      <c r="F24" s="27">
        <v>1453.8333333333333</v>
      </c>
      <c r="G24" s="5" t="str">
        <f>"2167 Muffin, WG, Choc Chip, IW"</f>
        <v>2167 Muffin, WG, Choc Chip, IW</v>
      </c>
      <c r="H24" s="14" t="str">
        <f>"48/3.1 oz"</f>
        <v>48/3.1 oz</v>
      </c>
      <c r="I24" s="15">
        <v>48</v>
      </c>
      <c r="J24" s="12">
        <v>0</v>
      </c>
      <c r="K24" s="34" t="e">
        <f t="shared" si="0"/>
        <v>#DIV/0!</v>
      </c>
      <c r="L24" s="37">
        <v>5.4999999999999997E-3</v>
      </c>
      <c r="M24" s="47">
        <f t="shared" si="2"/>
        <v>181.81818181818184</v>
      </c>
      <c r="N24" s="46">
        <f t="shared" si="3"/>
        <v>8727.2727272727279</v>
      </c>
      <c r="Q24" s="80">
        <f t="shared" si="4"/>
        <v>3.0303030303030307</v>
      </c>
      <c r="R24" s="79" t="str">
        <f t="shared" si="5"/>
        <v>EQP-LAWPACK2</v>
      </c>
      <c r="S24" s="79" t="str">
        <f t="shared" si="6"/>
        <v>BAABLINE-P</v>
      </c>
    </row>
    <row r="25" spans="1:19" ht="15.6" customHeight="1" thickBot="1" x14ac:dyDescent="0.3">
      <c r="A25" t="s">
        <v>23</v>
      </c>
      <c r="B25" s="11" t="str">
        <f t="shared" si="1"/>
        <v/>
      </c>
      <c r="D25" s="13" t="str">
        <f>"28405"</f>
        <v>28405</v>
      </c>
      <c r="E25" s="7" t="str">
        <f>"7"</f>
        <v>7</v>
      </c>
      <c r="F25" s="27">
        <v>569.91666666666663</v>
      </c>
      <c r="G25" s="5" t="str">
        <f>"CORNBREAD LOAVES"</f>
        <v>CORNBREAD LOAVES</v>
      </c>
      <c r="H25" s="14" t="str">
        <f>"12-15oz. Dome Covered"</f>
        <v>12-15oz. Dome Covered</v>
      </c>
      <c r="I25" s="15">
        <v>12</v>
      </c>
      <c r="J25" s="12">
        <v>0</v>
      </c>
      <c r="K25" s="34" t="e">
        <f t="shared" si="0"/>
        <v>#DIV/0!</v>
      </c>
      <c r="L25" s="37">
        <v>6.0000000000000001E-3</v>
      </c>
      <c r="M25" s="47">
        <f t="shared" si="2"/>
        <v>166.66666666666666</v>
      </c>
      <c r="N25" s="46">
        <f t="shared" si="3"/>
        <v>2000</v>
      </c>
      <c r="Q25" s="80">
        <f t="shared" si="4"/>
        <v>2.7777777777777777</v>
      </c>
      <c r="R25" s="79" t="str">
        <f t="shared" si="5"/>
        <v>EQP-LAWPACK2</v>
      </c>
      <c r="S25" s="79" t="str">
        <f t="shared" si="6"/>
        <v>BAABLINE-P</v>
      </c>
    </row>
    <row r="26" spans="1:19" ht="15.6" customHeight="1" thickBot="1" x14ac:dyDescent="0.3">
      <c r="A26" t="s">
        <v>23</v>
      </c>
      <c r="B26" s="11" t="str">
        <f t="shared" si="1"/>
        <v/>
      </c>
      <c r="D26" s="13" t="str">
        <f>"28505"</f>
        <v>28505</v>
      </c>
      <c r="E26" s="7" t="str">
        <f>"6"</f>
        <v>6</v>
      </c>
      <c r="F26" s="27">
        <v>2837.25</v>
      </c>
      <c r="G26" s="5" t="str">
        <f>"CORNBREAD LOAVES"</f>
        <v>CORNBREAD LOAVES</v>
      </c>
      <c r="H26" s="14" t="str">
        <f>"12-15oz. Dome Cover "</f>
        <v xml:space="preserve">12-15oz. Dome Cover </v>
      </c>
      <c r="I26" s="15">
        <v>12</v>
      </c>
      <c r="J26" s="12">
        <v>6.0000000000000001E-3</v>
      </c>
      <c r="K26" s="34">
        <f t="shared" si="0"/>
        <v>166.66666666666666</v>
      </c>
      <c r="L26" s="37">
        <v>6.0000000000000001E-3</v>
      </c>
      <c r="M26" s="47">
        <f t="shared" si="2"/>
        <v>166.66666666666666</v>
      </c>
      <c r="N26" s="46">
        <f t="shared" si="3"/>
        <v>2000</v>
      </c>
      <c r="Q26" s="80">
        <f t="shared" si="4"/>
        <v>2.7777777777777777</v>
      </c>
      <c r="R26" s="79" t="str">
        <f t="shared" si="5"/>
        <v>EQP-LAWPACK2</v>
      </c>
      <c r="S26" s="79" t="str">
        <f t="shared" si="6"/>
        <v>BAABLINE-P</v>
      </c>
    </row>
    <row r="27" spans="1:19" ht="15.6" customHeight="1" thickBot="1" x14ac:dyDescent="0.3">
      <c r="A27" t="s">
        <v>23</v>
      </c>
      <c r="B27" s="11" t="str">
        <f t="shared" si="1"/>
        <v/>
      </c>
      <c r="D27" s="13" t="str">
        <f>"42201"</f>
        <v>42201</v>
      </c>
      <c r="E27" s="7" t="str">
        <f>"3"</f>
        <v>3</v>
      </c>
      <c r="F27" s="27">
        <v>268.08333333333331</v>
      </c>
      <c r="G27" s="5" t="str">
        <f>"BLUEBERRY MUFFINS"</f>
        <v>BLUEBERRY MUFFINS</v>
      </c>
      <c r="H27" s="14" t="str">
        <f>"72-1.8 oz. I.W."</f>
        <v>72-1.8 oz. I.W.</v>
      </c>
      <c r="I27" s="15">
        <v>72</v>
      </c>
      <c r="J27" s="12">
        <v>4.7600000000000003E-3</v>
      </c>
      <c r="K27" s="34">
        <f t="shared" si="0"/>
        <v>210.08403361344537</v>
      </c>
      <c r="L27" s="37">
        <v>4.7600000000000003E-3</v>
      </c>
      <c r="M27" s="47">
        <f t="shared" si="2"/>
        <v>210.08403361344537</v>
      </c>
      <c r="N27" s="46">
        <f t="shared" si="3"/>
        <v>15126.050420168067</v>
      </c>
      <c r="Q27" s="80">
        <f t="shared" si="4"/>
        <v>3.5014005602240896</v>
      </c>
      <c r="R27" s="79" t="str">
        <f t="shared" si="5"/>
        <v>EQP-LAWPACK2</v>
      </c>
      <c r="S27" s="79" t="str">
        <f t="shared" si="6"/>
        <v>BAABLINE-P</v>
      </c>
    </row>
    <row r="28" spans="1:19" ht="15.6" customHeight="1" thickBot="1" x14ac:dyDescent="0.3">
      <c r="A28" t="s">
        <v>23</v>
      </c>
      <c r="B28" s="11" t="str">
        <f t="shared" si="1"/>
        <v/>
      </c>
      <c r="D28" s="13" t="str">
        <f>"42661"</f>
        <v>42661</v>
      </c>
      <c r="E28" s="7" t="str">
        <f>"10"</f>
        <v>10</v>
      </c>
      <c r="F28" s="27">
        <v>2645.6666666666665</v>
      </c>
      <c r="G28" s="5" t="str">
        <f>"Smart Choice BLUEBERRY MUFFINS"</f>
        <v>Smart Choice BLUEBERRY MUFFINS</v>
      </c>
      <c r="H28" s="14" t="str">
        <f>"72-1.8 oz. I.W."</f>
        <v>72-1.8 oz. I.W.</v>
      </c>
      <c r="I28" s="15">
        <v>72</v>
      </c>
      <c r="J28" s="12">
        <v>0</v>
      </c>
      <c r="K28" s="34" t="e">
        <f t="shared" si="0"/>
        <v>#DIV/0!</v>
      </c>
      <c r="L28" s="37">
        <v>6.0000000000000001E-3</v>
      </c>
      <c r="M28" s="47">
        <f t="shared" si="2"/>
        <v>166.66666666666666</v>
      </c>
      <c r="N28" s="46">
        <f t="shared" si="3"/>
        <v>12000</v>
      </c>
      <c r="Q28" s="80">
        <f t="shared" si="4"/>
        <v>2.7777777777777777</v>
      </c>
      <c r="R28" s="79" t="str">
        <f t="shared" si="5"/>
        <v>EQP-LAWPACK2</v>
      </c>
      <c r="S28" s="79" t="str">
        <f t="shared" si="6"/>
        <v>BAABLINE-P</v>
      </c>
    </row>
    <row r="29" spans="1:19" ht="15.6" hidden="1" customHeight="1" thickBot="1" x14ac:dyDescent="0.3">
      <c r="A29" t="s">
        <v>23</v>
      </c>
      <c r="B29" s="11" t="str">
        <f t="shared" si="1"/>
        <v>hide</v>
      </c>
      <c r="D29" s="13" t="str">
        <f>"JCBLD296"</f>
        <v>JCBLD296</v>
      </c>
      <c r="E29" s="7" t="str">
        <f>"3"</f>
        <v>3</v>
      </c>
      <c r="F29" s="27">
        <v>0</v>
      </c>
      <c r="G29" s="5" t="str">
        <f>"WG Honey Jalapeno Corn Bread Loaf"</f>
        <v>WG Honey Jalapeno Corn Bread Loaf</v>
      </c>
      <c r="H29" s="14" t="str">
        <f>"96-2.5oz IW"</f>
        <v>96-2.5oz IW</v>
      </c>
      <c r="I29" s="15">
        <v>96</v>
      </c>
      <c r="J29" s="12">
        <v>8.6899999999999998E-3</v>
      </c>
      <c r="K29" s="34">
        <f t="shared" si="0"/>
        <v>115.07479861910242</v>
      </c>
      <c r="L29" s="37">
        <v>8.6899999999999998E-3</v>
      </c>
      <c r="M29" s="47">
        <f t="shared" si="2"/>
        <v>115.07479861910242</v>
      </c>
      <c r="N29" s="46">
        <f t="shared" si="3"/>
        <v>11047.180667433833</v>
      </c>
      <c r="Q29" s="80">
        <f t="shared" si="4"/>
        <v>1.9179133103183736</v>
      </c>
      <c r="R29" s="79" t="str">
        <f t="shared" si="5"/>
        <v>EQP-LAWPACK2</v>
      </c>
      <c r="S29" s="79" t="str">
        <f t="shared" si="6"/>
        <v>BAABLINE-P</v>
      </c>
    </row>
    <row r="30" spans="1:19" ht="15.6" hidden="1" customHeight="1" thickBot="1" x14ac:dyDescent="0.3">
      <c r="A30" t="s">
        <v>23</v>
      </c>
      <c r="B30" s="11" t="str">
        <f t="shared" ref="B30" si="7">IF(F30=0,"hide","")</f>
        <v>hide</v>
      </c>
      <c r="D30" s="13" t="str">
        <f>"JCBLD296"</f>
        <v>JCBLD296</v>
      </c>
      <c r="E30" s="7" t="str">
        <f>"4"</f>
        <v>4</v>
      </c>
      <c r="F30" s="27">
        <v>0</v>
      </c>
      <c r="G30" s="5" t="str">
        <f>"WG Honey Jalapeno Corn Bread Loaf"</f>
        <v>WG Honey Jalapeno Corn Bread Loaf</v>
      </c>
      <c r="H30" s="14" t="str">
        <f>"96-2.5oz IW"</f>
        <v>96-2.5oz IW</v>
      </c>
      <c r="I30" s="15">
        <v>96</v>
      </c>
      <c r="J30" s="12">
        <v>8.6899999999999998E-3</v>
      </c>
      <c r="K30" s="34">
        <f t="shared" si="0"/>
        <v>115.07479861910242</v>
      </c>
      <c r="L30" s="37">
        <v>8.6899999999999998E-3</v>
      </c>
      <c r="M30" s="47">
        <f t="shared" si="2"/>
        <v>115.07479861910242</v>
      </c>
      <c r="N30" s="46">
        <f t="shared" ref="N30" si="8">M30*I30</f>
        <v>11047.180667433833</v>
      </c>
      <c r="Q30" s="80">
        <f t="shared" ref="Q30" si="9">M30/60</f>
        <v>1.9179133103183736</v>
      </c>
      <c r="R30" s="79" t="str">
        <f t="shared" si="5"/>
        <v>EQP-LAWPACK2</v>
      </c>
      <c r="S30" s="79" t="str">
        <f t="shared" si="6"/>
        <v>BAABLINE-P</v>
      </c>
    </row>
    <row r="31" spans="1:19" ht="12" customHeight="1" x14ac:dyDescent="0.25">
      <c r="I31"/>
      <c r="L31" s="33"/>
    </row>
    <row r="32" spans="1:19" x14ac:dyDescent="0.25">
      <c r="H32" s="20" t="s">
        <v>4</v>
      </c>
      <c r="I32" s="28">
        <f>COUNT(#REF!)</f>
        <v>0</v>
      </c>
      <c r="L32" s="33"/>
    </row>
    <row r="33" spans="12:12" x14ac:dyDescent="0.25">
      <c r="L33" s="33"/>
    </row>
  </sheetData>
  <pageMargins left="0" right="0" top="0" bottom="0" header="0.17" footer="0.5"/>
  <pageSetup scale="80" orientation="portrait" r:id="rId1"/>
  <headerFooter alignWithMargins="0">
    <oddHeader>&amp;RPrint Date:&amp;D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FEDA9-2389-48AD-B610-BB8CC7D9BF55}">
  <dimension ref="A1:S44"/>
  <sheetViews>
    <sheetView topLeftCell="D2" zoomScaleNormal="100" workbookViewId="0">
      <selection activeCell="D4" sqref="D4"/>
    </sheetView>
  </sheetViews>
  <sheetFormatPr defaultRowHeight="13.2" x14ac:dyDescent="0.25"/>
  <cols>
    <col min="1" max="1" width="12.44140625" hidden="1" customWidth="1"/>
    <col min="2" max="2" width="13" hidden="1" customWidth="1"/>
    <col min="3" max="3" width="5.44140625" hidden="1" customWidth="1"/>
    <col min="4" max="4" width="13.5546875" customWidth="1"/>
    <col min="5" max="5" width="5.5546875" hidden="1" customWidth="1"/>
    <col min="6" max="6" width="9.33203125" hidden="1" customWidth="1"/>
    <col min="7" max="7" width="25" customWidth="1"/>
    <col min="8" max="8" width="14.88671875" customWidth="1"/>
    <col min="9" max="9" width="6.6640625" style="8" customWidth="1"/>
    <col min="10" max="10" width="9.109375" hidden="1" customWidth="1"/>
    <col min="11" max="11" width="10" hidden="1" customWidth="1"/>
    <col min="12" max="12" width="9.5546875" hidden="1" customWidth="1"/>
    <col min="13" max="13" width="12.109375" customWidth="1"/>
    <col min="14" max="14" width="10.109375" customWidth="1"/>
    <col min="18" max="18" width="19.5546875" bestFit="1" customWidth="1"/>
    <col min="19" max="19" width="14.6640625" bestFit="1" customWidth="1"/>
  </cols>
  <sheetData>
    <row r="1" spans="1:19" ht="39" hidden="1" customHeight="1" x14ac:dyDescent="0.4">
      <c r="A1" t="s">
        <v>48034</v>
      </c>
      <c r="B1" t="s">
        <v>9</v>
      </c>
      <c r="C1" s="16" t="s">
        <v>5</v>
      </c>
      <c r="D1" s="1"/>
      <c r="E1" s="16" t="s">
        <v>5</v>
      </c>
      <c r="F1" s="16" t="s">
        <v>5</v>
      </c>
      <c r="I1" s="16"/>
      <c r="J1" s="16" t="s">
        <v>5</v>
      </c>
      <c r="K1" s="16" t="s">
        <v>5</v>
      </c>
      <c r="L1" s="16" t="s">
        <v>5</v>
      </c>
      <c r="N1" s="16"/>
      <c r="R1" s="35" t="s">
        <v>46381</v>
      </c>
      <c r="S1" s="35" t="s">
        <v>46381</v>
      </c>
    </row>
    <row r="2" spans="1:19" ht="24.6" x14ac:dyDescent="0.4">
      <c r="D2" s="83" t="s">
        <v>48022</v>
      </c>
      <c r="E2" s="9"/>
      <c r="F2" s="9"/>
      <c r="J2" s="8"/>
      <c r="K2" s="8"/>
      <c r="L2" s="8"/>
    </row>
    <row r="3" spans="1:19" ht="8.4" customHeight="1" thickBot="1" x14ac:dyDescent="0.45">
      <c r="D3" s="1"/>
      <c r="E3" s="1"/>
      <c r="F3" s="1"/>
      <c r="J3" s="8"/>
      <c r="K3" s="8"/>
      <c r="L3" s="8"/>
    </row>
    <row r="4" spans="1:19" ht="28.8" thickBot="1" x14ac:dyDescent="0.55000000000000004">
      <c r="B4" s="42">
        <f ca="1">TODAY()</f>
        <v>45355</v>
      </c>
      <c r="D4" s="6"/>
      <c r="E4" s="6"/>
      <c r="F4" s="6"/>
      <c r="G4" s="29" t="str">
        <f>"SW-COMAS-PACKL"</f>
        <v>SW-COMAS-PACKL</v>
      </c>
      <c r="H4" s="81" t="s">
        <v>48021</v>
      </c>
      <c r="J4" s="8"/>
      <c r="K4" s="8"/>
      <c r="L4" s="8"/>
    </row>
    <row r="5" spans="1:19" ht="16.5" customHeight="1" thickBot="1" x14ac:dyDescent="0.55000000000000004">
      <c r="B5" s="42"/>
      <c r="D5" s="6"/>
      <c r="E5" s="6"/>
      <c r="F5" s="6"/>
      <c r="G5" s="77" t="str">
        <f>"SW-COMAS-P"</f>
        <v>SW-COMAS-P</v>
      </c>
      <c r="H5" s="78" t="s">
        <v>46382</v>
      </c>
      <c r="J5" s="8"/>
      <c r="K5" s="8"/>
      <c r="L5" s="8"/>
    </row>
    <row r="6" spans="1:19" ht="16.5" customHeight="1" thickBot="1" x14ac:dyDescent="0.55000000000000004">
      <c r="B6" s="43">
        <v>44927</v>
      </c>
      <c r="D6" s="6"/>
      <c r="E6" s="6"/>
      <c r="F6" s="6"/>
      <c r="G6" s="29" t="str">
        <f>"LAWRENCE"</f>
        <v>LAWRENCE</v>
      </c>
      <c r="H6" s="30" t="s">
        <v>46383</v>
      </c>
      <c r="J6" s="8"/>
      <c r="K6" s="8"/>
      <c r="L6" s="8"/>
    </row>
    <row r="7" spans="1:19" ht="16.5" hidden="1" customHeight="1" thickBot="1" x14ac:dyDescent="0.55000000000000004">
      <c r="A7" t="s">
        <v>5</v>
      </c>
      <c r="B7">
        <f ca="1">B6-B4</f>
        <v>-428</v>
      </c>
      <c r="D7" s="6"/>
      <c r="E7" s="6"/>
      <c r="F7" s="29"/>
      <c r="G7" s="36">
        <v>100000.00000000001</v>
      </c>
      <c r="H7" s="30" t="s">
        <v>16</v>
      </c>
      <c r="J7" s="8"/>
      <c r="K7" s="8"/>
      <c r="L7" s="8"/>
    </row>
    <row r="8" spans="1:19" ht="24.6" customHeight="1" thickBot="1" x14ac:dyDescent="0.55000000000000004">
      <c r="B8">
        <f ca="1">B7/28.3</f>
        <v>-15.123674911660776</v>
      </c>
      <c r="D8" s="6"/>
      <c r="E8" s="6"/>
      <c r="F8" s="44">
        <f ca="1">B8</f>
        <v>-15.123674911660776</v>
      </c>
      <c r="J8" s="8"/>
      <c r="K8" s="8"/>
      <c r="L8" s="8"/>
    </row>
    <row r="9" spans="1:19" ht="31.2" hidden="1" customHeight="1" thickBot="1" x14ac:dyDescent="0.45">
      <c r="A9" t="s">
        <v>5</v>
      </c>
      <c r="D9" s="1"/>
      <c r="J9" s="24" t="s">
        <v>10</v>
      </c>
      <c r="K9" s="24" t="s">
        <v>10</v>
      </c>
      <c r="L9" s="31" t="s">
        <v>12</v>
      </c>
      <c r="M9" s="25" t="s">
        <v>12</v>
      </c>
      <c r="N9" s="39"/>
    </row>
    <row r="10" spans="1:19" ht="45" customHeight="1" thickBot="1" x14ac:dyDescent="0.3">
      <c r="B10" s="3" t="s">
        <v>3</v>
      </c>
      <c r="C10" s="4"/>
      <c r="D10" s="17" t="s">
        <v>0</v>
      </c>
      <c r="E10" s="18" t="s">
        <v>8</v>
      </c>
      <c r="F10" s="26" t="s">
        <v>564</v>
      </c>
      <c r="G10" s="19" t="s">
        <v>1</v>
      </c>
      <c r="H10" s="17" t="s">
        <v>2</v>
      </c>
      <c r="I10" s="40" t="s">
        <v>19</v>
      </c>
      <c r="J10" s="23" t="str">
        <f>$G$4</f>
        <v>SW-COMAS-PACKL</v>
      </c>
      <c r="K10" s="23" t="s">
        <v>13</v>
      </c>
      <c r="L10" s="32" t="str">
        <f>$G$4</f>
        <v>SW-COMAS-PACKL</v>
      </c>
      <c r="M10" s="23" t="s">
        <v>13</v>
      </c>
      <c r="N10" s="38" t="s">
        <v>18</v>
      </c>
      <c r="O10" s="45" t="s">
        <v>46378</v>
      </c>
      <c r="P10" s="45" t="s">
        <v>46379</v>
      </c>
      <c r="Q10" s="45" t="s">
        <v>46380</v>
      </c>
      <c r="R10" s="45" t="s">
        <v>48020</v>
      </c>
      <c r="S10" s="82" t="s">
        <v>46382</v>
      </c>
    </row>
    <row r="11" spans="1:19" ht="15.6" customHeight="1" thickBot="1" x14ac:dyDescent="0.3">
      <c r="B11" s="11" t="str">
        <f>IF(F11=0,"hide","")</f>
        <v/>
      </c>
      <c r="D11" s="13" t="str">
        <f>"12028"</f>
        <v>12028</v>
      </c>
      <c r="E11" s="7" t="str">
        <f>"2"</f>
        <v>2</v>
      </c>
      <c r="F11" s="27">
        <v>0.41666666666666669</v>
      </c>
      <c r="G11" s="5" t="str">
        <f>"Jammies GRAPE Sandwich"</f>
        <v>Jammies GRAPE Sandwich</v>
      </c>
      <c r="H11" s="14" t="str">
        <f>"96-2 oz. I.W. Jammies Film"</f>
        <v>96-2 oz. I.W. Jammies Film</v>
      </c>
      <c r="I11" s="15">
        <v>96</v>
      </c>
      <c r="J11" s="12">
        <v>0.01</v>
      </c>
      <c r="K11" s="34">
        <f t="shared" ref="K11:K41" si="0">1/J11</f>
        <v>100</v>
      </c>
      <c r="L11" s="37">
        <v>0.01</v>
      </c>
      <c r="M11" s="47">
        <f>1/L11</f>
        <v>100</v>
      </c>
      <c r="N11" s="46">
        <f>M11*I11</f>
        <v>9600</v>
      </c>
      <c r="Q11" s="80">
        <f>M11/60</f>
        <v>1.6666666666666667</v>
      </c>
      <c r="R11" s="79" t="str">
        <f>$G$4</f>
        <v>SW-COMAS-PACKL</v>
      </c>
      <c r="S11" s="79" t="str">
        <f>$G$5</f>
        <v>SW-COMAS-P</v>
      </c>
    </row>
    <row r="12" spans="1:19" ht="15.6" customHeight="1" thickBot="1" x14ac:dyDescent="0.3">
      <c r="A12" t="s">
        <v>23</v>
      </c>
      <c r="B12" s="11" t="str">
        <f t="shared" ref="B12:B41" si="1">IF(F12=0,"hide","")</f>
        <v/>
      </c>
      <c r="D12" s="13" t="str">
        <f>"12228"</f>
        <v>12228</v>
      </c>
      <c r="E12" s="7" t="str">
        <f>"17"</f>
        <v>17</v>
      </c>
      <c r="F12" s="27">
        <v>7910.416666666667</v>
      </c>
      <c r="G12" s="5" t="str">
        <f>"Sunbutter GRAPE Sandwich"</f>
        <v>Sunbutter GRAPE Sandwich</v>
      </c>
      <c r="H12" s="14" t="str">
        <f>"96-2.8 oz. I.W. NO-HFCS"</f>
        <v>96-2.8 oz. I.W. NO-HFCS</v>
      </c>
      <c r="I12" s="15">
        <v>96</v>
      </c>
      <c r="J12" s="12">
        <v>0.01</v>
      </c>
      <c r="K12" s="34">
        <f t="shared" si="0"/>
        <v>100</v>
      </c>
      <c r="L12" s="37">
        <v>0.01</v>
      </c>
      <c r="M12" s="47">
        <f t="shared" ref="M12:M41" si="2">1/L12</f>
        <v>100</v>
      </c>
      <c r="N12" s="46">
        <f t="shared" ref="N12:N41" si="3">M12*I12</f>
        <v>9600</v>
      </c>
      <c r="Q12" s="80">
        <f t="shared" ref="Q12:Q41" si="4">M12/60</f>
        <v>1.6666666666666667</v>
      </c>
      <c r="R12" s="79" t="str">
        <f t="shared" ref="R12:R41" si="5">$G$4</f>
        <v>SW-COMAS-PACKL</v>
      </c>
      <c r="S12" s="79" t="str">
        <f t="shared" ref="S12:S41" si="6">$G$5</f>
        <v>SW-COMAS-P</v>
      </c>
    </row>
    <row r="13" spans="1:19" ht="15.6" hidden="1" customHeight="1" thickBot="1" x14ac:dyDescent="0.3">
      <c r="A13" t="s">
        <v>23</v>
      </c>
      <c r="B13" s="11" t="str">
        <f t="shared" si="1"/>
        <v>hide</v>
      </c>
      <c r="D13" s="13" t="str">
        <f>"12230"</f>
        <v>12230</v>
      </c>
      <c r="E13" s="7" t="str">
        <f>"1"</f>
        <v>1</v>
      </c>
      <c r="F13" s="27">
        <v>0</v>
      </c>
      <c r="G13" s="5" t="str">
        <f>"Chocolate SunButter Sandwich"</f>
        <v>Chocolate SunButter Sandwich</v>
      </c>
      <c r="H13" s="14" t="str">
        <f>"96-2.8 oz. I.W. "</f>
        <v xml:space="preserve">96-2.8 oz. I.W. </v>
      </c>
      <c r="I13" s="15">
        <v>96</v>
      </c>
      <c r="J13" s="12">
        <v>0</v>
      </c>
      <c r="K13" s="34" t="e">
        <f t="shared" si="0"/>
        <v>#DIV/0!</v>
      </c>
      <c r="L13" s="37">
        <v>1.333E-2</v>
      </c>
      <c r="M13" s="47">
        <f t="shared" si="2"/>
        <v>75.018754688672175</v>
      </c>
      <c r="N13" s="46">
        <f t="shared" si="3"/>
        <v>7201.8004501125288</v>
      </c>
      <c r="Q13" s="80">
        <f t="shared" si="4"/>
        <v>1.2503125781445363</v>
      </c>
      <c r="R13" s="79" t="str">
        <f t="shared" si="5"/>
        <v>SW-COMAS-PACKL</v>
      </c>
      <c r="S13" s="79" t="str">
        <f t="shared" si="6"/>
        <v>SW-COMAS-P</v>
      </c>
    </row>
    <row r="14" spans="1:19" ht="15.6" customHeight="1" thickBot="1" x14ac:dyDescent="0.3">
      <c r="A14" t="s">
        <v>23</v>
      </c>
      <c r="B14" s="11" t="str">
        <f t="shared" si="1"/>
        <v/>
      </c>
      <c r="D14" s="13" t="str">
        <f>"12258"</f>
        <v>12258</v>
      </c>
      <c r="E14" s="7" t="str">
        <f>"5"</f>
        <v>5</v>
      </c>
      <c r="F14" s="27">
        <v>1460.0833333333333</v>
      </c>
      <c r="G14" s="5" t="str">
        <f>"Sunbutter STRAWBERRY Sandwich"</f>
        <v>Sunbutter STRAWBERRY Sandwich</v>
      </c>
      <c r="H14" s="14" t="str">
        <f>"96-2.8 oz. I.W. NO-HFCS"</f>
        <v>96-2.8 oz. I.W. NO-HFCS</v>
      </c>
      <c r="I14" s="15">
        <v>96</v>
      </c>
      <c r="J14" s="12">
        <v>0.01</v>
      </c>
      <c r="K14" s="34">
        <f t="shared" si="0"/>
        <v>100</v>
      </c>
      <c r="L14" s="37">
        <v>1.4489999999999999E-2</v>
      </c>
      <c r="M14" s="47">
        <f t="shared" si="2"/>
        <v>69.013112491373363</v>
      </c>
      <c r="N14" s="46">
        <f t="shared" si="3"/>
        <v>6625.2587991718428</v>
      </c>
      <c r="Q14" s="80">
        <f t="shared" si="4"/>
        <v>1.1502185415228894</v>
      </c>
      <c r="R14" s="79" t="str">
        <f t="shared" si="5"/>
        <v>SW-COMAS-PACKL</v>
      </c>
      <c r="S14" s="79" t="str">
        <f t="shared" si="6"/>
        <v>SW-COMAS-P</v>
      </c>
    </row>
    <row r="15" spans="1:19" ht="15.6" hidden="1" customHeight="1" thickBot="1" x14ac:dyDescent="0.3">
      <c r="A15" t="s">
        <v>23</v>
      </c>
      <c r="B15" s="11" t="str">
        <f t="shared" si="1"/>
        <v>hide</v>
      </c>
      <c r="D15" s="13" t="str">
        <f>"12328"</f>
        <v>12328</v>
      </c>
      <c r="E15" s="7" t="str">
        <f>"1"</f>
        <v>1</v>
      </c>
      <c r="F15" s="27">
        <v>0</v>
      </c>
      <c r="G15" s="5" t="str">
        <f>"Sunbutter GRAPE Sandwich (White Bread)"</f>
        <v>Sunbutter GRAPE Sandwich (White Bread)</v>
      </c>
      <c r="H15" s="14" t="str">
        <f>"96-2.8 oz. I.W. NO-HFCS"</f>
        <v>96-2.8 oz. I.W. NO-HFCS</v>
      </c>
      <c r="I15" s="15">
        <v>96</v>
      </c>
      <c r="J15" s="12">
        <v>0</v>
      </c>
      <c r="K15" s="34" t="e">
        <f t="shared" si="0"/>
        <v>#DIV/0!</v>
      </c>
      <c r="L15" s="37">
        <v>1.333E-2</v>
      </c>
      <c r="M15" s="47">
        <f t="shared" si="2"/>
        <v>75.018754688672175</v>
      </c>
      <c r="N15" s="46">
        <f t="shared" si="3"/>
        <v>7201.8004501125288</v>
      </c>
      <c r="Q15" s="80">
        <f t="shared" si="4"/>
        <v>1.2503125781445363</v>
      </c>
      <c r="R15" s="79" t="str">
        <f t="shared" si="5"/>
        <v>SW-COMAS-PACKL</v>
      </c>
      <c r="S15" s="79" t="str">
        <f t="shared" si="6"/>
        <v>SW-COMAS-P</v>
      </c>
    </row>
    <row r="16" spans="1:19" ht="15.6" customHeight="1" thickBot="1" x14ac:dyDescent="0.3">
      <c r="A16" t="s">
        <v>23</v>
      </c>
      <c r="B16" s="11" t="str">
        <f t="shared" si="1"/>
        <v/>
      </c>
      <c r="D16" s="13" t="str">
        <f>"12530"</f>
        <v>12530</v>
      </c>
      <c r="E16" s="7" t="str">
        <f>"3"</f>
        <v>3</v>
      </c>
      <c r="F16" s="27">
        <v>1204.9166666666667</v>
      </c>
      <c r="G16" s="5" t="str">
        <f>"IW WG CRUSTLESS COCOA CPB SANDWICH"</f>
        <v>IW WG CRUSTLESS COCOA CPB SANDWICH</v>
      </c>
      <c r="H16" s="14" t="str">
        <f>"96-2.4oz IW SANDWICH"</f>
        <v>96-2.4oz IW SANDWICH</v>
      </c>
      <c r="I16" s="15">
        <v>96</v>
      </c>
      <c r="J16" s="12">
        <v>0.01</v>
      </c>
      <c r="K16" s="34">
        <f t="shared" si="0"/>
        <v>100</v>
      </c>
      <c r="L16" s="37">
        <v>0.01</v>
      </c>
      <c r="M16" s="47">
        <f t="shared" si="2"/>
        <v>100</v>
      </c>
      <c r="N16" s="46">
        <f t="shared" si="3"/>
        <v>9600</v>
      </c>
      <c r="Q16" s="80">
        <f t="shared" si="4"/>
        <v>1.6666666666666667</v>
      </c>
      <c r="R16" s="79" t="str">
        <f t="shared" si="5"/>
        <v>SW-COMAS-PACKL</v>
      </c>
      <c r="S16" s="79" t="str">
        <f t="shared" si="6"/>
        <v>SW-COMAS-P</v>
      </c>
    </row>
    <row r="17" spans="1:19" ht="15.6" hidden="1" customHeight="1" thickBot="1" x14ac:dyDescent="0.3">
      <c r="A17" t="s">
        <v>23</v>
      </c>
      <c r="B17" s="11" t="str">
        <f t="shared" si="1"/>
        <v>hide</v>
      </c>
      <c r="D17" s="13" t="str">
        <f>"12828"</f>
        <v>12828</v>
      </c>
      <c r="E17" s="7" t="str">
        <f>"1"</f>
        <v>1</v>
      </c>
      <c r="F17" s="27">
        <v>0</v>
      </c>
      <c r="G17" s="5" t="str">
        <f>"SoyButter GRAPE Sandwiches"</f>
        <v>SoyButter GRAPE Sandwiches</v>
      </c>
      <c r="H17" s="14" t="str">
        <f>"96-2.8 oz. I.W. NO-HFCS"</f>
        <v>96-2.8 oz. I.W. NO-HFCS</v>
      </c>
      <c r="I17" s="15">
        <v>96</v>
      </c>
      <c r="J17" s="12">
        <v>1E-3</v>
      </c>
      <c r="K17" s="34">
        <f t="shared" si="0"/>
        <v>1000</v>
      </c>
      <c r="L17" s="37">
        <v>1.333E-2</v>
      </c>
      <c r="M17" s="47">
        <f t="shared" si="2"/>
        <v>75.018754688672175</v>
      </c>
      <c r="N17" s="46">
        <f t="shared" si="3"/>
        <v>7201.8004501125288</v>
      </c>
      <c r="Q17" s="80">
        <f t="shared" si="4"/>
        <v>1.2503125781445363</v>
      </c>
      <c r="R17" s="79" t="str">
        <f t="shared" si="5"/>
        <v>SW-COMAS-PACKL</v>
      </c>
      <c r="S17" s="79" t="str">
        <f t="shared" si="6"/>
        <v>SW-COMAS-P</v>
      </c>
    </row>
    <row r="18" spans="1:19" ht="15.6" hidden="1" customHeight="1" thickBot="1" x14ac:dyDescent="0.3">
      <c r="A18" t="s">
        <v>23</v>
      </c>
      <c r="B18" s="11" t="str">
        <f t="shared" si="1"/>
        <v>hide</v>
      </c>
      <c r="D18" s="13" t="str">
        <f>"12858"</f>
        <v>12858</v>
      </c>
      <c r="E18" s="7" t="str">
        <f>"1"</f>
        <v>1</v>
      </c>
      <c r="F18" s="27">
        <v>0</v>
      </c>
      <c r="G18" s="5" t="str">
        <f>"SoyButter STRAWBERY Sandwiches"</f>
        <v>SoyButter STRAWBERY Sandwiches</v>
      </c>
      <c r="H18" s="14" t="str">
        <f>"96-2.8 oz. I.W. NO-HFCS"</f>
        <v>96-2.8 oz. I.W. NO-HFCS</v>
      </c>
      <c r="I18" s="15">
        <v>96</v>
      </c>
      <c r="J18" s="12">
        <v>1E-3</v>
      </c>
      <c r="K18" s="34">
        <f t="shared" si="0"/>
        <v>1000</v>
      </c>
      <c r="L18" s="37">
        <v>1.333E-2</v>
      </c>
      <c r="M18" s="47">
        <f t="shared" si="2"/>
        <v>75.018754688672175</v>
      </c>
      <c r="N18" s="46">
        <f t="shared" si="3"/>
        <v>7201.8004501125288</v>
      </c>
      <c r="Q18" s="80">
        <f t="shared" si="4"/>
        <v>1.2503125781445363</v>
      </c>
      <c r="R18" s="79" t="str">
        <f t="shared" si="5"/>
        <v>SW-COMAS-PACKL</v>
      </c>
      <c r="S18" s="79" t="str">
        <f t="shared" si="6"/>
        <v>SW-COMAS-P</v>
      </c>
    </row>
    <row r="19" spans="1:19" ht="15.6" customHeight="1" thickBot="1" x14ac:dyDescent="0.3">
      <c r="A19" t="s">
        <v>23</v>
      </c>
      <c r="B19" s="11" t="str">
        <f t="shared" si="1"/>
        <v/>
      </c>
      <c r="D19" s="13" t="str">
        <f>"13228"</f>
        <v>13228</v>
      </c>
      <c r="E19" s="7" t="str">
        <f>"1"</f>
        <v>1</v>
      </c>
      <c r="F19" s="27">
        <v>216.66666666666666</v>
      </c>
      <c r="G19" s="5" t="str">
        <f>"Sunbutter GRAPE Sandwich"</f>
        <v>Sunbutter GRAPE Sandwich</v>
      </c>
      <c r="H19" s="14" t="str">
        <f>"36-2.8oz. I.W. Sunwise Sandwich"</f>
        <v>36-2.8oz. I.W. Sunwise Sandwich</v>
      </c>
      <c r="I19" s="15">
        <v>36</v>
      </c>
      <c r="J19" s="12">
        <v>3.7499999999999999E-3</v>
      </c>
      <c r="K19" s="34">
        <f t="shared" si="0"/>
        <v>266.66666666666669</v>
      </c>
      <c r="L19" s="37">
        <v>3.7499999999999999E-3</v>
      </c>
      <c r="M19" s="47">
        <f t="shared" si="2"/>
        <v>266.66666666666669</v>
      </c>
      <c r="N19" s="46">
        <f t="shared" si="3"/>
        <v>9600</v>
      </c>
      <c r="Q19" s="80">
        <f t="shared" si="4"/>
        <v>4.4444444444444446</v>
      </c>
      <c r="R19" s="79" t="str">
        <f t="shared" si="5"/>
        <v>SW-COMAS-PACKL</v>
      </c>
      <c r="S19" s="79" t="str">
        <f t="shared" si="6"/>
        <v>SW-COMAS-P</v>
      </c>
    </row>
    <row r="20" spans="1:19" ht="15.6" customHeight="1" thickBot="1" x14ac:dyDescent="0.3">
      <c r="A20" t="s">
        <v>23</v>
      </c>
      <c r="B20" s="11" t="str">
        <f t="shared" si="1"/>
        <v/>
      </c>
      <c r="D20" s="13" t="str">
        <f>"13258"</f>
        <v>13258</v>
      </c>
      <c r="E20" s="7" t="str">
        <f>"1"</f>
        <v>1</v>
      </c>
      <c r="F20" s="27">
        <v>86.666666666666671</v>
      </c>
      <c r="G20" s="5" t="str">
        <f>"SunWise Strawberry Sandwich"</f>
        <v>SunWise Strawberry Sandwich</v>
      </c>
      <c r="H20" s="14" t="str">
        <f>"36.-2.8oz. I.W. Sunwise Strawberry Sandwich"</f>
        <v>36.-2.8oz. I.W. Sunwise Strawberry Sandwich</v>
      </c>
      <c r="I20" s="15">
        <v>36</v>
      </c>
      <c r="J20" s="12">
        <v>3.7499999999999999E-3</v>
      </c>
      <c r="K20" s="34">
        <f t="shared" si="0"/>
        <v>266.66666666666669</v>
      </c>
      <c r="L20" s="37">
        <v>3.7499999999999999E-3</v>
      </c>
      <c r="M20" s="47">
        <f t="shared" si="2"/>
        <v>266.66666666666669</v>
      </c>
      <c r="N20" s="46">
        <f t="shared" si="3"/>
        <v>9600</v>
      </c>
      <c r="Q20" s="80">
        <f t="shared" si="4"/>
        <v>4.4444444444444446</v>
      </c>
      <c r="R20" s="79" t="str">
        <f t="shared" si="5"/>
        <v>SW-COMAS-PACKL</v>
      </c>
      <c r="S20" s="79" t="str">
        <f t="shared" si="6"/>
        <v>SW-COMAS-P</v>
      </c>
    </row>
    <row r="21" spans="1:19" ht="15.6" hidden="1" customHeight="1" thickBot="1" x14ac:dyDescent="0.3">
      <c r="A21" t="s">
        <v>23</v>
      </c>
      <c r="B21" s="11" t="str">
        <f t="shared" si="1"/>
        <v>hide</v>
      </c>
      <c r="D21" s="13" t="str">
        <f>"14228"</f>
        <v>14228</v>
      </c>
      <c r="E21" s="7" t="str">
        <f>"8"</f>
        <v>8</v>
      </c>
      <c r="F21" s="27">
        <v>0</v>
      </c>
      <c r="G21" s="5" t="str">
        <f>"Sunbutter GRAPE Sandwich"</f>
        <v>Sunbutter GRAPE Sandwich</v>
      </c>
      <c r="H21" s="14" t="str">
        <f>"32-2.8oz IW  8 cartons of 4"</f>
        <v>32-2.8oz IW  8 cartons of 4</v>
      </c>
      <c r="I21" s="15">
        <v>32</v>
      </c>
      <c r="J21" s="12">
        <v>3.3E-3</v>
      </c>
      <c r="K21" s="34">
        <f t="shared" si="0"/>
        <v>303.03030303030306</v>
      </c>
      <c r="L21" s="37">
        <v>3.3E-3</v>
      </c>
      <c r="M21" s="47">
        <f t="shared" si="2"/>
        <v>303.03030303030306</v>
      </c>
      <c r="N21" s="46">
        <f t="shared" si="3"/>
        <v>9696.9696969696979</v>
      </c>
      <c r="Q21" s="80">
        <f t="shared" si="4"/>
        <v>5.0505050505050511</v>
      </c>
      <c r="R21" s="79" t="str">
        <f t="shared" si="5"/>
        <v>SW-COMAS-PACKL</v>
      </c>
      <c r="S21" s="79" t="str">
        <f t="shared" si="6"/>
        <v>SW-COMAS-P</v>
      </c>
    </row>
    <row r="22" spans="1:19" ht="15.6" hidden="1" customHeight="1" thickBot="1" x14ac:dyDescent="0.3">
      <c r="A22" t="s">
        <v>23</v>
      </c>
      <c r="B22" s="11" t="str">
        <f t="shared" si="1"/>
        <v>hide</v>
      </c>
      <c r="D22" s="13" t="str">
        <f>"14258"</f>
        <v>14258</v>
      </c>
      <c r="E22" s="7" t="str">
        <f>"2"</f>
        <v>2</v>
      </c>
      <c r="F22" s="27">
        <v>0</v>
      </c>
      <c r="G22" s="5" t="str">
        <f>"Sunbutter STRAWBERRY Sandwich"</f>
        <v>Sunbutter STRAWBERRY Sandwich</v>
      </c>
      <c r="H22" s="14" t="str">
        <f>"32-2.8oz IW  8 cartons of 4"</f>
        <v>32-2.8oz IW  8 cartons of 4</v>
      </c>
      <c r="I22" s="15">
        <v>32</v>
      </c>
      <c r="J22" s="12">
        <v>1E-3</v>
      </c>
      <c r="K22" s="34">
        <f t="shared" si="0"/>
        <v>1000</v>
      </c>
      <c r="L22" s="37">
        <v>3.3E-3</v>
      </c>
      <c r="M22" s="47">
        <f t="shared" si="2"/>
        <v>303.03030303030306</v>
      </c>
      <c r="N22" s="46">
        <f t="shared" si="3"/>
        <v>9696.9696969696979</v>
      </c>
      <c r="Q22" s="80">
        <f t="shared" si="4"/>
        <v>5.0505050505050511</v>
      </c>
      <c r="R22" s="79" t="str">
        <f t="shared" si="5"/>
        <v>SW-COMAS-PACKL</v>
      </c>
      <c r="S22" s="79" t="str">
        <f t="shared" si="6"/>
        <v>SW-COMAS-P</v>
      </c>
    </row>
    <row r="23" spans="1:19" ht="15.6" customHeight="1" thickBot="1" x14ac:dyDescent="0.3">
      <c r="A23" t="s">
        <v>23</v>
      </c>
      <c r="B23" s="11" t="str">
        <f t="shared" si="1"/>
        <v/>
      </c>
      <c r="D23" s="13" t="str">
        <f>"14328"</f>
        <v>14328</v>
      </c>
      <c r="E23" s="7" t="str">
        <f>"1"</f>
        <v>1</v>
      </c>
      <c r="F23" s="27">
        <v>734.75</v>
      </c>
      <c r="G23" s="5" t="str">
        <f>"Good and Gather GRAPE 4pk"</f>
        <v>Good and Gather GRAPE 4pk</v>
      </c>
      <c r="H23" s="14" t="str">
        <f>"32-2 oz IW 8 cartons of 4"</f>
        <v>32-2 oz IW 8 cartons of 4</v>
      </c>
      <c r="I23" s="15">
        <v>32</v>
      </c>
      <c r="J23" s="12">
        <v>3.3300000000000001E-3</v>
      </c>
      <c r="K23" s="34">
        <f t="shared" si="0"/>
        <v>300.30030030030031</v>
      </c>
      <c r="L23" s="37">
        <v>3.3300000000000001E-3</v>
      </c>
      <c r="M23" s="47">
        <f t="shared" si="2"/>
        <v>300.30030030030031</v>
      </c>
      <c r="N23" s="46">
        <f t="shared" si="3"/>
        <v>9609.6096096096098</v>
      </c>
      <c r="Q23" s="80">
        <f t="shared" si="4"/>
        <v>5.005005005005005</v>
      </c>
      <c r="R23" s="79" t="str">
        <f t="shared" si="5"/>
        <v>SW-COMAS-PACKL</v>
      </c>
      <c r="S23" s="79" t="str">
        <f t="shared" si="6"/>
        <v>SW-COMAS-P</v>
      </c>
    </row>
    <row r="24" spans="1:19" ht="15.6" customHeight="1" thickBot="1" x14ac:dyDescent="0.3">
      <c r="A24" t="s">
        <v>23</v>
      </c>
      <c r="B24" s="11" t="str">
        <f t="shared" si="1"/>
        <v/>
      </c>
      <c r="D24" s="13" t="str">
        <f>"14358"</f>
        <v>14358</v>
      </c>
      <c r="E24" s="7" t="str">
        <f>"1"</f>
        <v>1</v>
      </c>
      <c r="F24" s="27">
        <v>998.58333333333337</v>
      </c>
      <c r="G24" s="5" t="str">
        <f>"Good and Gather STRAWBERY 4pk"</f>
        <v>Good and Gather STRAWBERY 4pk</v>
      </c>
      <c r="H24" s="14" t="str">
        <f>"32-2 oz IW 8 cartons of 4"</f>
        <v>32-2 oz IW 8 cartons of 4</v>
      </c>
      <c r="I24" s="15">
        <v>32</v>
      </c>
      <c r="J24" s="12">
        <v>3.3300000000000001E-3</v>
      </c>
      <c r="K24" s="34">
        <f t="shared" si="0"/>
        <v>300.30030030030031</v>
      </c>
      <c r="L24" s="37">
        <v>3.3300000000000001E-3</v>
      </c>
      <c r="M24" s="47">
        <f t="shared" si="2"/>
        <v>300.30030030030031</v>
      </c>
      <c r="N24" s="46">
        <f t="shared" si="3"/>
        <v>9609.6096096096098</v>
      </c>
      <c r="Q24" s="80">
        <f t="shared" si="4"/>
        <v>5.005005005005005</v>
      </c>
      <c r="R24" s="79" t="str">
        <f t="shared" si="5"/>
        <v>SW-COMAS-PACKL</v>
      </c>
      <c r="S24" s="79" t="str">
        <f t="shared" si="6"/>
        <v>SW-COMAS-P</v>
      </c>
    </row>
    <row r="25" spans="1:19" ht="15.6" hidden="1" customHeight="1" thickBot="1" x14ac:dyDescent="0.3">
      <c r="A25" t="s">
        <v>23</v>
      </c>
      <c r="B25" s="11" t="str">
        <f t="shared" si="1"/>
        <v>hide</v>
      </c>
      <c r="D25" s="13" t="str">
        <f>"14801"</f>
        <v>14801</v>
      </c>
      <c r="E25" s="7" t="str">
        <f>"1"</f>
        <v>1</v>
      </c>
      <c r="F25" s="27">
        <v>0</v>
      </c>
      <c r="G25" s="5" t="str">
        <f>"Nurture Life Sammies -BLUEBERRY"</f>
        <v>Nurture Life Sammies -BLUEBERRY</v>
      </c>
      <c r="H25" s="14" t="str">
        <f>"32-2.2 oz IW 8 Cartons of 4"</f>
        <v>32-2.2 oz IW 8 Cartons of 4</v>
      </c>
      <c r="I25" s="15">
        <v>32</v>
      </c>
      <c r="J25" s="12">
        <v>3.0000000000000001E-3</v>
      </c>
      <c r="K25" s="34">
        <f t="shared" si="0"/>
        <v>333.33333333333331</v>
      </c>
      <c r="L25" s="37">
        <v>3.0000000000000001E-3</v>
      </c>
      <c r="M25" s="47">
        <f t="shared" si="2"/>
        <v>333.33333333333331</v>
      </c>
      <c r="N25" s="46">
        <f t="shared" si="3"/>
        <v>10666.666666666666</v>
      </c>
      <c r="Q25" s="80">
        <f t="shared" si="4"/>
        <v>5.5555555555555554</v>
      </c>
      <c r="R25" s="79" t="str">
        <f t="shared" si="5"/>
        <v>SW-COMAS-PACKL</v>
      </c>
      <c r="S25" s="79" t="str">
        <f t="shared" si="6"/>
        <v>SW-COMAS-P</v>
      </c>
    </row>
    <row r="26" spans="1:19" ht="15.6" hidden="1" customHeight="1" thickBot="1" x14ac:dyDescent="0.3">
      <c r="A26" t="s">
        <v>23</v>
      </c>
      <c r="B26" s="11" t="str">
        <f t="shared" si="1"/>
        <v>hide</v>
      </c>
      <c r="D26" s="13" t="str">
        <f>"14828"</f>
        <v>14828</v>
      </c>
      <c r="E26" s="7" t="str">
        <f>"1"</f>
        <v>1</v>
      </c>
      <c r="F26" s="27">
        <v>0</v>
      </c>
      <c r="G26" s="5" t="str">
        <f>"Nurture Life Sammies -CHOCOLATE BERRY"</f>
        <v>Nurture Life Sammies -CHOCOLATE BERRY</v>
      </c>
      <c r="H26" s="14" t="str">
        <f>"32-2.2 oz IW  8 cartons of 4"</f>
        <v>32-2.2 oz IW  8 cartons of 4</v>
      </c>
      <c r="I26" s="15">
        <v>32</v>
      </c>
      <c r="J26" s="12">
        <v>3.0000000000000001E-3</v>
      </c>
      <c r="K26" s="34">
        <f t="shared" si="0"/>
        <v>333.33333333333331</v>
      </c>
      <c r="L26" s="37">
        <v>3.0000000000000001E-3</v>
      </c>
      <c r="M26" s="47">
        <f t="shared" si="2"/>
        <v>333.33333333333331</v>
      </c>
      <c r="N26" s="46">
        <f t="shared" si="3"/>
        <v>10666.666666666666</v>
      </c>
      <c r="Q26" s="80">
        <f t="shared" si="4"/>
        <v>5.5555555555555554</v>
      </c>
      <c r="R26" s="79" t="str">
        <f t="shared" si="5"/>
        <v>SW-COMAS-PACKL</v>
      </c>
      <c r="S26" s="79" t="str">
        <f t="shared" si="6"/>
        <v>SW-COMAS-P</v>
      </c>
    </row>
    <row r="27" spans="1:19" ht="15.6" hidden="1" customHeight="1" thickBot="1" x14ac:dyDescent="0.3">
      <c r="A27" t="s">
        <v>23</v>
      </c>
      <c r="B27" s="11" t="str">
        <f t="shared" si="1"/>
        <v>hide</v>
      </c>
      <c r="D27" s="13" t="str">
        <f>"14858"</f>
        <v>14858</v>
      </c>
      <c r="E27" s="7" t="str">
        <f>"1"</f>
        <v>1</v>
      </c>
      <c r="F27" s="27">
        <v>0</v>
      </c>
      <c r="G27" s="5" t="str">
        <f>"Nurture Life Sammies -STRAWBERRY"</f>
        <v>Nurture Life Sammies -STRAWBERRY</v>
      </c>
      <c r="H27" s="14" t="str">
        <f>"32-2.2 oz IW  8 cartons of 4"</f>
        <v>32-2.2 oz IW  8 cartons of 4</v>
      </c>
      <c r="I27" s="15">
        <v>32</v>
      </c>
      <c r="J27" s="12">
        <v>1E-3</v>
      </c>
      <c r="K27" s="34">
        <f t="shared" si="0"/>
        <v>1000</v>
      </c>
      <c r="L27" s="37">
        <v>3.3E-3</v>
      </c>
      <c r="M27" s="47">
        <f t="shared" si="2"/>
        <v>303.03030303030306</v>
      </c>
      <c r="N27" s="46">
        <f t="shared" si="3"/>
        <v>9696.9696969696979</v>
      </c>
      <c r="Q27" s="80">
        <f t="shared" si="4"/>
        <v>5.0505050505050511</v>
      </c>
      <c r="R27" s="79" t="str">
        <f t="shared" si="5"/>
        <v>SW-COMAS-PACKL</v>
      </c>
      <c r="S27" s="79" t="str">
        <f t="shared" si="6"/>
        <v>SW-COMAS-P</v>
      </c>
    </row>
    <row r="28" spans="1:19" ht="15.6" customHeight="1" thickBot="1" x14ac:dyDescent="0.3">
      <c r="A28" t="s">
        <v>23</v>
      </c>
      <c r="B28" s="11" t="str">
        <f t="shared" si="1"/>
        <v/>
      </c>
      <c r="D28" s="13" t="str">
        <f>"15228"</f>
        <v>15228</v>
      </c>
      <c r="E28" s="7" t="str">
        <f>"7"</f>
        <v>7</v>
      </c>
      <c r="F28" s="27">
        <v>1760.0833333333333</v>
      </c>
      <c r="G28" s="5" t="str">
        <f>"SunButter Grape Sandwich"</f>
        <v>SunButter Grape Sandwich</v>
      </c>
      <c r="H28" s="14" t="str">
        <f>"48-5.2 oz. IW"</f>
        <v>48-5.2 oz. IW</v>
      </c>
      <c r="I28" s="15">
        <v>48</v>
      </c>
      <c r="J28" s="12">
        <v>5.0000000000000001E-3</v>
      </c>
      <c r="K28" s="34">
        <f t="shared" si="0"/>
        <v>200</v>
      </c>
      <c r="L28" s="37">
        <v>5.0000000000000001E-3</v>
      </c>
      <c r="M28" s="47">
        <f t="shared" si="2"/>
        <v>200</v>
      </c>
      <c r="N28" s="46">
        <f t="shared" si="3"/>
        <v>9600</v>
      </c>
      <c r="Q28" s="80">
        <f t="shared" si="4"/>
        <v>3.3333333333333335</v>
      </c>
      <c r="R28" s="79" t="str">
        <f t="shared" si="5"/>
        <v>SW-COMAS-PACKL</v>
      </c>
      <c r="S28" s="79" t="str">
        <f t="shared" si="6"/>
        <v>SW-COMAS-P</v>
      </c>
    </row>
    <row r="29" spans="1:19" ht="15.6" customHeight="1" thickBot="1" x14ac:dyDescent="0.3">
      <c r="A29" t="s">
        <v>23</v>
      </c>
      <c r="B29" s="11" t="str">
        <f t="shared" si="1"/>
        <v/>
      </c>
      <c r="D29" s="13" t="str">
        <f>"15258"</f>
        <v>15258</v>
      </c>
      <c r="E29" s="7" t="str">
        <f>"1"</f>
        <v>1</v>
      </c>
      <c r="F29" s="27">
        <v>52.5</v>
      </c>
      <c r="G29" s="5" t="str">
        <f>"SunButter Strawberry Sandwich"</f>
        <v>SunButter Strawberry Sandwich</v>
      </c>
      <c r="H29" s="14" t="str">
        <f>"48-5.2 oz. IW Bulk"</f>
        <v>48-5.2 oz. IW Bulk</v>
      </c>
      <c r="I29" s="15">
        <v>48</v>
      </c>
      <c r="J29" s="12">
        <v>5.0000000000000001E-3</v>
      </c>
      <c r="K29" s="34">
        <f t="shared" si="0"/>
        <v>200</v>
      </c>
      <c r="L29" s="37">
        <v>5.0000000000000001E-3</v>
      </c>
      <c r="M29" s="47">
        <f t="shared" si="2"/>
        <v>200</v>
      </c>
      <c r="N29" s="46">
        <f t="shared" si="3"/>
        <v>9600</v>
      </c>
      <c r="Q29" s="80">
        <f t="shared" si="4"/>
        <v>3.3333333333333335</v>
      </c>
      <c r="R29" s="79" t="str">
        <f t="shared" si="5"/>
        <v>SW-COMAS-PACKL</v>
      </c>
      <c r="S29" s="79" t="str">
        <f t="shared" si="6"/>
        <v>SW-COMAS-P</v>
      </c>
    </row>
    <row r="30" spans="1:19" ht="15.6" customHeight="1" thickBot="1" x14ac:dyDescent="0.3">
      <c r="A30" t="s">
        <v>23</v>
      </c>
      <c r="B30" s="11" t="str">
        <f t="shared" si="1"/>
        <v/>
      </c>
      <c r="D30" s="13" t="str">
        <f>"20003"</f>
        <v>20003</v>
      </c>
      <c r="E30" s="7" t="str">
        <f>"1"</f>
        <v>1</v>
      </c>
      <c r="F30" s="27">
        <v>1132.4166666666667</v>
      </c>
      <c r="G30" s="5" t="str">
        <f>"SunButter Jammies Sandwich GRAPE"</f>
        <v>SunButter Jammies Sandwich GRAPE</v>
      </c>
      <c r="H30" s="14" t="str">
        <f>"32-2oz IW  8 cartons of 4"</f>
        <v>32-2oz IW  8 cartons of 4</v>
      </c>
      <c r="I30" s="15">
        <v>32</v>
      </c>
      <c r="J30" s="12">
        <v>3.3300000000000001E-3</v>
      </c>
      <c r="K30" s="34">
        <f t="shared" si="0"/>
        <v>300.30030030030031</v>
      </c>
      <c r="L30" s="37">
        <v>3.3300000000000001E-3</v>
      </c>
      <c r="M30" s="47">
        <f t="shared" si="2"/>
        <v>300.30030030030031</v>
      </c>
      <c r="N30" s="46">
        <f t="shared" si="3"/>
        <v>9609.6096096096098</v>
      </c>
      <c r="Q30" s="80">
        <f t="shared" si="4"/>
        <v>5.005005005005005</v>
      </c>
      <c r="R30" s="79" t="str">
        <f t="shared" si="5"/>
        <v>SW-COMAS-PACKL</v>
      </c>
      <c r="S30" s="79" t="str">
        <f t="shared" si="6"/>
        <v>SW-COMAS-P</v>
      </c>
    </row>
    <row r="31" spans="1:19" ht="15.6" customHeight="1" thickBot="1" x14ac:dyDescent="0.3">
      <c r="A31" t="s">
        <v>23</v>
      </c>
      <c r="B31" s="11" t="str">
        <f t="shared" si="1"/>
        <v/>
      </c>
      <c r="D31" s="13" t="str">
        <f>"20006"</f>
        <v>20006</v>
      </c>
      <c r="E31" s="7" t="str">
        <f>"1"</f>
        <v>1</v>
      </c>
      <c r="F31" s="27">
        <v>774.33333333333337</v>
      </c>
      <c r="G31" s="5" t="str">
        <f>"SunButter Jammies Sandwich STRAWBERY"</f>
        <v>SunButter Jammies Sandwich STRAWBERY</v>
      </c>
      <c r="H31" s="14" t="str">
        <f>"32-2oz IW  8 cartons of 4"</f>
        <v>32-2oz IW  8 cartons of 4</v>
      </c>
      <c r="I31" s="15">
        <v>32</v>
      </c>
      <c r="J31" s="12">
        <v>3.3300000000000001E-3</v>
      </c>
      <c r="K31" s="34">
        <f t="shared" si="0"/>
        <v>300.30030030030031</v>
      </c>
      <c r="L31" s="37">
        <v>3.3300000000000001E-3</v>
      </c>
      <c r="M31" s="47">
        <f t="shared" si="2"/>
        <v>300.30030030030031</v>
      </c>
      <c r="N31" s="46">
        <f t="shared" si="3"/>
        <v>9609.6096096096098</v>
      </c>
      <c r="Q31" s="80">
        <f t="shared" si="4"/>
        <v>5.005005005005005</v>
      </c>
      <c r="R31" s="79" t="str">
        <f t="shared" si="5"/>
        <v>SW-COMAS-PACKL</v>
      </c>
      <c r="S31" s="79" t="str">
        <f t="shared" si="6"/>
        <v>SW-COMAS-P</v>
      </c>
    </row>
    <row r="32" spans="1:19" ht="15.6" customHeight="1" thickBot="1" x14ac:dyDescent="0.3">
      <c r="A32" t="s">
        <v>23</v>
      </c>
      <c r="B32" s="11" t="str">
        <f t="shared" si="1"/>
        <v/>
      </c>
      <c r="D32" s="13" t="str">
        <f>"20012"</f>
        <v>20012</v>
      </c>
      <c r="E32" s="7" t="str">
        <f>"2"</f>
        <v>2</v>
      </c>
      <c r="F32" s="27">
        <v>352.91666666666669</v>
      </c>
      <c r="G32" s="5" t="str">
        <f>"SunButter Jammies Sandwich GRAPE"</f>
        <v>SunButter Jammies Sandwich GRAPE</v>
      </c>
      <c r="H32" s="14" t="str">
        <f>"180-2oz IW 15 cartons of 12"</f>
        <v>180-2oz IW 15 cartons of 12</v>
      </c>
      <c r="I32" s="15">
        <v>180</v>
      </c>
      <c r="J32" s="12">
        <v>1.8749999999999999E-2</v>
      </c>
      <c r="K32" s="34">
        <f t="shared" si="0"/>
        <v>53.333333333333336</v>
      </c>
      <c r="L32" s="37">
        <v>1.8749999999999999E-2</v>
      </c>
      <c r="M32" s="47">
        <f t="shared" si="2"/>
        <v>53.333333333333336</v>
      </c>
      <c r="N32" s="46">
        <f t="shared" si="3"/>
        <v>9600</v>
      </c>
      <c r="Q32" s="80">
        <f t="shared" si="4"/>
        <v>0.88888888888888895</v>
      </c>
      <c r="R32" s="79" t="str">
        <f t="shared" si="5"/>
        <v>SW-COMAS-PACKL</v>
      </c>
      <c r="S32" s="79" t="str">
        <f t="shared" si="6"/>
        <v>SW-COMAS-P</v>
      </c>
    </row>
    <row r="33" spans="1:19" ht="15.6" hidden="1" customHeight="1" thickBot="1" x14ac:dyDescent="0.3">
      <c r="A33" t="s">
        <v>23</v>
      </c>
      <c r="B33" s="11" t="str">
        <f t="shared" si="1"/>
        <v>hide</v>
      </c>
      <c r="D33" s="13" t="str">
        <f>"20020"</f>
        <v>20020</v>
      </c>
      <c r="E33" s="7" t="str">
        <f t="shared" ref="E33:E41" si="7">"1"</f>
        <v>1</v>
      </c>
      <c r="F33" s="27">
        <v>0</v>
      </c>
      <c r="G33" s="5" t="str">
        <f>"SunButter CDN Jammie GRAPE Sandwich"</f>
        <v>SunButter CDN Jammie GRAPE Sandwich</v>
      </c>
      <c r="H33" s="14" t="str">
        <f>"32-2oz IW  8 cartons of 4"</f>
        <v>32-2oz IW  8 cartons of 4</v>
      </c>
      <c r="I33" s="15">
        <v>32</v>
      </c>
      <c r="J33" s="12">
        <v>3.3300000000000001E-3</v>
      </c>
      <c r="K33" s="34">
        <f t="shared" si="0"/>
        <v>300.30030030030031</v>
      </c>
      <c r="L33" s="37">
        <v>3.3300000000000001E-3</v>
      </c>
      <c r="M33" s="47">
        <f t="shared" si="2"/>
        <v>300.30030030030031</v>
      </c>
      <c r="N33" s="46">
        <f t="shared" si="3"/>
        <v>9609.6096096096098</v>
      </c>
      <c r="Q33" s="80">
        <f t="shared" si="4"/>
        <v>5.005005005005005</v>
      </c>
      <c r="R33" s="79" t="str">
        <f t="shared" si="5"/>
        <v>SW-COMAS-PACKL</v>
      </c>
      <c r="S33" s="79" t="str">
        <f t="shared" si="6"/>
        <v>SW-COMAS-P</v>
      </c>
    </row>
    <row r="34" spans="1:19" ht="15.6" hidden="1" customHeight="1" thickBot="1" x14ac:dyDescent="0.3">
      <c r="A34" t="s">
        <v>23</v>
      </c>
      <c r="B34" s="11" t="str">
        <f t="shared" si="1"/>
        <v>hide</v>
      </c>
      <c r="D34" s="13" t="str">
        <f>"20023"</f>
        <v>20023</v>
      </c>
      <c r="E34" s="7" t="str">
        <f t="shared" si="7"/>
        <v>1</v>
      </c>
      <c r="F34" s="27">
        <v>0</v>
      </c>
      <c r="G34" s="5" t="str">
        <f>"SunButter CDN Jammie STRWBRY Sandwich"</f>
        <v>SunButter CDN Jammie STRWBRY Sandwich</v>
      </c>
      <c r="H34" s="14" t="str">
        <f>"32-2oz IW  8 cartons of 4"</f>
        <v>32-2oz IW  8 cartons of 4</v>
      </c>
      <c r="I34" s="15">
        <v>32</v>
      </c>
      <c r="J34" s="12">
        <v>3.3300000000000001E-3</v>
      </c>
      <c r="K34" s="34">
        <f t="shared" si="0"/>
        <v>300.30030030030031</v>
      </c>
      <c r="L34" s="37">
        <v>3.3300000000000001E-3</v>
      </c>
      <c r="M34" s="47">
        <f t="shared" si="2"/>
        <v>300.30030030030031</v>
      </c>
      <c r="N34" s="46">
        <f t="shared" si="3"/>
        <v>9609.6096096096098</v>
      </c>
      <c r="Q34" s="80">
        <f t="shared" si="4"/>
        <v>5.005005005005005</v>
      </c>
      <c r="R34" s="79" t="str">
        <f t="shared" si="5"/>
        <v>SW-COMAS-PACKL</v>
      </c>
      <c r="S34" s="79" t="str">
        <f t="shared" si="6"/>
        <v>SW-COMAS-P</v>
      </c>
    </row>
    <row r="35" spans="1:19" ht="15.6" hidden="1" customHeight="1" thickBot="1" x14ac:dyDescent="0.3">
      <c r="A35" t="s">
        <v>23</v>
      </c>
      <c r="B35" s="11" t="str">
        <f t="shared" si="1"/>
        <v>hide</v>
      </c>
      <c r="D35" s="13" t="str">
        <f>"21828"</f>
        <v>21828</v>
      </c>
      <c r="E35" s="7" t="str">
        <f t="shared" si="7"/>
        <v>1</v>
      </c>
      <c r="F35" s="27">
        <v>0</v>
      </c>
      <c r="G35" s="5" t="str">
        <f>"SoyBut GRAPE Jelly Sandwiches"</f>
        <v>SoyBut GRAPE Jelly Sandwiches</v>
      </c>
      <c r="H35" s="14" t="str">
        <f>"24-2oz IW  6 cartons of 4"</f>
        <v>24-2oz IW  6 cartons of 4</v>
      </c>
      <c r="I35" s="15">
        <v>24</v>
      </c>
      <c r="J35" s="12">
        <v>0</v>
      </c>
      <c r="K35" s="34" t="e">
        <f t="shared" si="0"/>
        <v>#DIV/0!</v>
      </c>
      <c r="L35" s="37">
        <v>3.3E-3</v>
      </c>
      <c r="M35" s="47">
        <f t="shared" si="2"/>
        <v>303.03030303030306</v>
      </c>
      <c r="N35" s="46">
        <f t="shared" si="3"/>
        <v>7272.7272727272739</v>
      </c>
      <c r="Q35" s="80">
        <f t="shared" si="4"/>
        <v>5.0505050505050511</v>
      </c>
      <c r="R35" s="79" t="str">
        <f t="shared" si="5"/>
        <v>SW-COMAS-PACKL</v>
      </c>
      <c r="S35" s="79" t="str">
        <f t="shared" si="6"/>
        <v>SW-COMAS-P</v>
      </c>
    </row>
    <row r="36" spans="1:19" ht="15.6" hidden="1" customHeight="1" thickBot="1" x14ac:dyDescent="0.3">
      <c r="A36" t="s">
        <v>23</v>
      </c>
      <c r="B36" s="11" t="str">
        <f t="shared" si="1"/>
        <v>hide</v>
      </c>
      <c r="D36" s="13" t="str">
        <f>"21858"</f>
        <v>21858</v>
      </c>
      <c r="E36" s="7" t="str">
        <f t="shared" si="7"/>
        <v>1</v>
      </c>
      <c r="F36" s="27">
        <v>0</v>
      </c>
      <c r="G36" s="5" t="str">
        <f>"SoyButt STRAWBRY Jelly Sandwich"</f>
        <v>SoyButt STRAWBRY Jelly Sandwich</v>
      </c>
      <c r="H36" s="14" t="str">
        <f>"24-2oz IW  6 cartons of 4"</f>
        <v>24-2oz IW  6 cartons of 4</v>
      </c>
      <c r="I36" s="15">
        <v>24</v>
      </c>
      <c r="J36" s="12">
        <v>0</v>
      </c>
      <c r="K36" s="34" t="e">
        <f t="shared" si="0"/>
        <v>#DIV/0!</v>
      </c>
      <c r="L36" s="37">
        <v>3.3E-3</v>
      </c>
      <c r="M36" s="47">
        <f t="shared" si="2"/>
        <v>303.03030303030306</v>
      </c>
      <c r="N36" s="46">
        <f t="shared" si="3"/>
        <v>7272.7272727272739</v>
      </c>
      <c r="Q36" s="80">
        <f t="shared" si="4"/>
        <v>5.0505050505050511</v>
      </c>
      <c r="R36" s="79" t="str">
        <f t="shared" si="5"/>
        <v>SW-COMAS-PACKL</v>
      </c>
      <c r="S36" s="79" t="str">
        <f t="shared" si="6"/>
        <v>SW-COMAS-P</v>
      </c>
    </row>
    <row r="37" spans="1:19" ht="15.6" hidden="1" customHeight="1" thickBot="1" x14ac:dyDescent="0.3">
      <c r="A37" t="s">
        <v>23</v>
      </c>
      <c r="B37" s="11" t="str">
        <f t="shared" si="1"/>
        <v>hide</v>
      </c>
      <c r="D37" s="13" t="str">
        <f>"25000"</f>
        <v>25000</v>
      </c>
      <c r="E37" s="7" t="str">
        <f t="shared" si="7"/>
        <v>1</v>
      </c>
      <c r="F37" s="27">
        <v>0</v>
      </c>
      <c r="G37" s="5" t="str">
        <f>"Ann PEA BJ Pocket GRAPE 4ct"</f>
        <v>Ann PEA BJ Pocket GRAPE 4ct</v>
      </c>
      <c r="H37" s="14" t="str">
        <f>"600250000  32-2.4oz IW  8-4ct"</f>
        <v>600250000  32-2.4oz IW  8-4ct</v>
      </c>
      <c r="I37" s="15">
        <v>32</v>
      </c>
      <c r="J37" s="12">
        <v>1E-3</v>
      </c>
      <c r="K37" s="34">
        <f t="shared" si="0"/>
        <v>1000</v>
      </c>
      <c r="L37" s="37">
        <v>0</v>
      </c>
      <c r="M37" s="47" t="e">
        <f t="shared" si="2"/>
        <v>#DIV/0!</v>
      </c>
      <c r="N37" s="46" t="e">
        <f t="shared" si="3"/>
        <v>#DIV/0!</v>
      </c>
      <c r="Q37" s="80" t="e">
        <f t="shared" si="4"/>
        <v>#DIV/0!</v>
      </c>
      <c r="R37" s="79" t="str">
        <f t="shared" si="5"/>
        <v>SW-COMAS-PACKL</v>
      </c>
      <c r="S37" s="79" t="str">
        <f t="shared" si="6"/>
        <v>SW-COMAS-P</v>
      </c>
    </row>
    <row r="38" spans="1:19" ht="15.6" hidden="1" customHeight="1" thickBot="1" x14ac:dyDescent="0.3">
      <c r="A38" t="s">
        <v>23</v>
      </c>
      <c r="B38" s="11" t="str">
        <f t="shared" si="1"/>
        <v>hide</v>
      </c>
      <c r="D38" s="13" t="str">
        <f>"25100"</f>
        <v>25100</v>
      </c>
      <c r="E38" s="7" t="str">
        <f t="shared" si="7"/>
        <v>1</v>
      </c>
      <c r="F38" s="27">
        <v>0</v>
      </c>
      <c r="G38" s="5" t="str">
        <f>"Ann PEA BJ Pocket STRWBRY 4ct"</f>
        <v>Ann PEA BJ Pocket STRWBRY 4ct</v>
      </c>
      <c r="H38" s="14" t="str">
        <f>"600251000  32-2.4oz IW  8-4ct"</f>
        <v>600251000  32-2.4oz IW  8-4ct</v>
      </c>
      <c r="I38" s="15">
        <v>32</v>
      </c>
      <c r="J38" s="12">
        <v>1E-3</v>
      </c>
      <c r="K38" s="34">
        <f t="shared" si="0"/>
        <v>1000</v>
      </c>
      <c r="L38" s="37">
        <v>0</v>
      </c>
      <c r="M38" s="47" t="e">
        <f t="shared" si="2"/>
        <v>#DIV/0!</v>
      </c>
      <c r="N38" s="46" t="e">
        <f t="shared" si="3"/>
        <v>#DIV/0!</v>
      </c>
      <c r="Q38" s="80" t="e">
        <f t="shared" si="4"/>
        <v>#DIV/0!</v>
      </c>
      <c r="R38" s="79" t="str">
        <f t="shared" si="5"/>
        <v>SW-COMAS-PACKL</v>
      </c>
      <c r="S38" s="79" t="str">
        <f t="shared" si="6"/>
        <v>SW-COMAS-P</v>
      </c>
    </row>
    <row r="39" spans="1:19" ht="15.6" hidden="1" customHeight="1" thickBot="1" x14ac:dyDescent="0.3">
      <c r="A39" t="s">
        <v>23</v>
      </c>
      <c r="B39" s="11" t="str">
        <f t="shared" si="1"/>
        <v>hide</v>
      </c>
      <c r="D39" s="13" t="str">
        <f>"25400"</f>
        <v>25400</v>
      </c>
      <c r="E39" s="7" t="str">
        <f t="shared" si="7"/>
        <v>1</v>
      </c>
      <c r="F39" s="27">
        <v>0</v>
      </c>
      <c r="G39" s="5" t="str">
        <f>"Ann PEA BJ Pocket GRAPE 8ct"</f>
        <v>Ann PEA BJ Pocket GRAPE 8ct</v>
      </c>
      <c r="H39" s="14" t="str">
        <f>"600254000  64-2.4oz IW  8-8ct"</f>
        <v>600254000  64-2.4oz IW  8-8ct</v>
      </c>
      <c r="I39" s="15">
        <v>64</v>
      </c>
      <c r="J39" s="12">
        <v>1E-3</v>
      </c>
      <c r="K39" s="34">
        <f t="shared" si="0"/>
        <v>1000</v>
      </c>
      <c r="L39" s="37">
        <v>0</v>
      </c>
      <c r="M39" s="47" t="e">
        <f t="shared" si="2"/>
        <v>#DIV/0!</v>
      </c>
      <c r="N39" s="46" t="e">
        <f t="shared" si="3"/>
        <v>#DIV/0!</v>
      </c>
      <c r="Q39" s="80" t="e">
        <f t="shared" si="4"/>
        <v>#DIV/0!</v>
      </c>
      <c r="R39" s="79" t="str">
        <f t="shared" si="5"/>
        <v>SW-COMAS-PACKL</v>
      </c>
      <c r="S39" s="79" t="str">
        <f t="shared" si="6"/>
        <v>SW-COMAS-P</v>
      </c>
    </row>
    <row r="40" spans="1:19" ht="15.6" hidden="1" customHeight="1" thickBot="1" x14ac:dyDescent="0.3">
      <c r="A40" t="s">
        <v>23</v>
      </c>
      <c r="B40" s="11" t="str">
        <f t="shared" si="1"/>
        <v>hide</v>
      </c>
      <c r="D40" s="13" t="str">
        <f>"25500"</f>
        <v>25500</v>
      </c>
      <c r="E40" s="7" t="str">
        <f t="shared" si="7"/>
        <v>1</v>
      </c>
      <c r="F40" s="27">
        <v>0</v>
      </c>
      <c r="G40" s="5" t="str">
        <f>"Ann PEA BJ Pocket STRWBRY 8ct"</f>
        <v>Ann PEA BJ Pocket STRWBRY 8ct</v>
      </c>
      <c r="H40" s="14" t="str">
        <f>"600255000  64-2.4oz IW  8-8ct"</f>
        <v>600255000  64-2.4oz IW  8-8ct</v>
      </c>
      <c r="I40" s="15">
        <v>64</v>
      </c>
      <c r="J40" s="12">
        <v>1E-3</v>
      </c>
      <c r="K40" s="34">
        <f t="shared" si="0"/>
        <v>1000</v>
      </c>
      <c r="L40" s="37">
        <v>0</v>
      </c>
      <c r="M40" s="47" t="e">
        <f t="shared" si="2"/>
        <v>#DIV/0!</v>
      </c>
      <c r="N40" s="46" t="e">
        <f t="shared" si="3"/>
        <v>#DIV/0!</v>
      </c>
      <c r="Q40" s="80" t="e">
        <f t="shared" si="4"/>
        <v>#DIV/0!</v>
      </c>
      <c r="R40" s="79" t="str">
        <f t="shared" si="5"/>
        <v>SW-COMAS-PACKL</v>
      </c>
      <c r="S40" s="79" t="str">
        <f t="shared" si="6"/>
        <v>SW-COMAS-P</v>
      </c>
    </row>
    <row r="41" spans="1:19" ht="15.6" hidden="1" customHeight="1" thickBot="1" x14ac:dyDescent="0.3">
      <c r="A41" t="s">
        <v>23</v>
      </c>
      <c r="B41" s="11" t="str">
        <f t="shared" si="1"/>
        <v>hide</v>
      </c>
      <c r="D41" s="13" t="str">
        <f>"SBGS248"</f>
        <v>SBGS248</v>
      </c>
      <c r="E41" s="7" t="str">
        <f t="shared" si="7"/>
        <v>1</v>
      </c>
      <c r="F41" s="27">
        <v>0</v>
      </c>
      <c r="G41" s="5" t="str">
        <f>"Soybutter Grape Sandwich"</f>
        <v>Soybutter Grape Sandwich</v>
      </c>
      <c r="H41" s="14" t="str">
        <f>"48-5.2 oz. IW "</f>
        <v xml:space="preserve">48-5.2 oz. IW </v>
      </c>
      <c r="I41" s="15">
        <v>48</v>
      </c>
      <c r="J41" s="12">
        <v>0</v>
      </c>
      <c r="K41" s="34" t="e">
        <f t="shared" si="0"/>
        <v>#DIV/0!</v>
      </c>
      <c r="L41" s="37">
        <v>1.3299999999999999E-2</v>
      </c>
      <c r="M41" s="47">
        <f t="shared" si="2"/>
        <v>75.187969924812037</v>
      </c>
      <c r="N41" s="46">
        <f t="shared" si="3"/>
        <v>3609.022556390978</v>
      </c>
      <c r="Q41" s="80">
        <f t="shared" si="4"/>
        <v>1.2531328320802007</v>
      </c>
      <c r="R41" s="79" t="str">
        <f t="shared" si="5"/>
        <v>SW-COMAS-PACKL</v>
      </c>
      <c r="S41" s="79" t="str">
        <f t="shared" si="6"/>
        <v>SW-COMAS-P</v>
      </c>
    </row>
    <row r="42" spans="1:19" ht="12" customHeight="1" x14ac:dyDescent="0.25">
      <c r="I42"/>
      <c r="L42" s="33"/>
    </row>
    <row r="43" spans="1:19" x14ac:dyDescent="0.25">
      <c r="H43" s="20" t="s">
        <v>4</v>
      </c>
      <c r="I43" s="28">
        <f>COUNT(#REF!)</f>
        <v>0</v>
      </c>
      <c r="L43" s="33"/>
    </row>
    <row r="44" spans="1:19" x14ac:dyDescent="0.25">
      <c r="L44" s="33"/>
    </row>
  </sheetData>
  <pageMargins left="0" right="0" top="0" bottom="0" header="0.17" footer="0.5"/>
  <pageSetup scale="80" orientation="portrait" r:id="rId1"/>
  <headerFooter alignWithMargins="0">
    <oddHeader>&amp;RPrint Date:&amp;D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3EFF2-3EF4-4EFD-AB73-A914AADD6DD3}">
  <dimension ref="A1:S32"/>
  <sheetViews>
    <sheetView topLeftCell="D2" zoomScaleNormal="100" workbookViewId="0">
      <selection activeCell="D4" sqref="D4"/>
    </sheetView>
  </sheetViews>
  <sheetFormatPr defaultRowHeight="13.2" x14ac:dyDescent="0.25"/>
  <cols>
    <col min="1" max="1" width="12.44140625" hidden="1" customWidth="1"/>
    <col min="2" max="2" width="13" hidden="1" customWidth="1"/>
    <col min="3" max="3" width="5.44140625" hidden="1" customWidth="1"/>
    <col min="4" max="4" width="13.5546875" customWidth="1"/>
    <col min="5" max="5" width="5.5546875" hidden="1" customWidth="1"/>
    <col min="6" max="6" width="9.33203125" hidden="1" customWidth="1"/>
    <col min="7" max="7" width="25" customWidth="1"/>
    <col min="8" max="8" width="14.88671875" customWidth="1"/>
    <col min="9" max="9" width="6.6640625" style="8" customWidth="1"/>
    <col min="10" max="10" width="9.109375" hidden="1" customWidth="1"/>
    <col min="11" max="11" width="10" hidden="1" customWidth="1"/>
    <col min="12" max="12" width="9.5546875" hidden="1" customWidth="1"/>
    <col min="13" max="13" width="12.109375" customWidth="1"/>
    <col min="14" max="14" width="10.109375" customWidth="1"/>
    <col min="18" max="18" width="17.44140625" bestFit="1" customWidth="1"/>
    <col min="19" max="19" width="13.5546875" bestFit="1" customWidth="1"/>
  </cols>
  <sheetData>
    <row r="1" spans="1:19" ht="39" hidden="1" customHeight="1" x14ac:dyDescent="0.4">
      <c r="A1" t="s">
        <v>48036</v>
      </c>
      <c r="B1" t="s">
        <v>9</v>
      </c>
      <c r="C1" s="16" t="s">
        <v>5</v>
      </c>
      <c r="D1" s="1"/>
      <c r="E1" s="16" t="s">
        <v>5</v>
      </c>
      <c r="F1" s="16" t="s">
        <v>5</v>
      </c>
      <c r="I1" s="16"/>
      <c r="J1" s="16" t="s">
        <v>5</v>
      </c>
      <c r="K1" s="16" t="s">
        <v>5</v>
      </c>
      <c r="L1" s="16" t="s">
        <v>5</v>
      </c>
      <c r="N1" s="16"/>
      <c r="R1" s="35" t="s">
        <v>46381</v>
      </c>
      <c r="S1" s="35" t="s">
        <v>46381</v>
      </c>
    </row>
    <row r="2" spans="1:19" ht="24.6" x14ac:dyDescent="0.4">
      <c r="D2" s="83" t="s">
        <v>48022</v>
      </c>
      <c r="E2" s="9"/>
      <c r="F2" s="9"/>
      <c r="J2" s="8"/>
      <c r="K2" s="8"/>
      <c r="L2" s="8"/>
    </row>
    <row r="3" spans="1:19" ht="8.4" customHeight="1" thickBot="1" x14ac:dyDescent="0.45">
      <c r="D3" s="1"/>
      <c r="E3" s="1"/>
      <c r="F3" s="1"/>
      <c r="J3" s="8"/>
      <c r="K3" s="8"/>
      <c r="L3" s="8"/>
    </row>
    <row r="4" spans="1:19" ht="28.8" thickBot="1" x14ac:dyDescent="0.55000000000000004">
      <c r="B4" s="42">
        <f ca="1">TODAY()</f>
        <v>45355</v>
      </c>
      <c r="D4" s="6"/>
      <c r="E4" s="6"/>
      <c r="F4" s="6"/>
      <c r="G4" s="29" t="str">
        <f>"SW-RISER-PACK"</f>
        <v>SW-RISER-PACK</v>
      </c>
      <c r="H4" s="81" t="s">
        <v>48021</v>
      </c>
      <c r="J4" s="8"/>
      <c r="K4" s="8"/>
      <c r="L4" s="8"/>
    </row>
    <row r="5" spans="1:19" ht="16.5" customHeight="1" thickBot="1" x14ac:dyDescent="0.55000000000000004">
      <c r="B5" s="42"/>
      <c r="D5" s="6"/>
      <c r="E5" s="6"/>
      <c r="F5" s="6"/>
      <c r="G5" s="77" t="str">
        <f>"SW-RISER-P"</f>
        <v>SW-RISER-P</v>
      </c>
      <c r="H5" s="78" t="s">
        <v>46382</v>
      </c>
      <c r="J5" s="8"/>
      <c r="K5" s="8"/>
      <c r="L5" s="8"/>
    </row>
    <row r="6" spans="1:19" ht="16.5" customHeight="1" thickBot="1" x14ac:dyDescent="0.55000000000000004">
      <c r="B6" s="43">
        <v>44927</v>
      </c>
      <c r="D6" s="6"/>
      <c r="E6" s="6"/>
      <c r="F6" s="6"/>
      <c r="G6" s="29" t="str">
        <f>"LAWRENCE"</f>
        <v>LAWRENCE</v>
      </c>
      <c r="H6" s="30" t="s">
        <v>46383</v>
      </c>
      <c r="J6" s="8"/>
      <c r="K6" s="8"/>
      <c r="L6" s="8"/>
    </row>
    <row r="7" spans="1:19" ht="16.5" hidden="1" customHeight="1" thickBot="1" x14ac:dyDescent="0.55000000000000004">
      <c r="A7" t="s">
        <v>5</v>
      </c>
      <c r="B7">
        <f ca="1">B6-B4</f>
        <v>-428</v>
      </c>
      <c r="D7" s="6"/>
      <c r="E7" s="6"/>
      <c r="F7" s="29"/>
      <c r="G7" s="36">
        <v>100000.00000000001</v>
      </c>
      <c r="H7" s="30" t="s">
        <v>16</v>
      </c>
      <c r="J7" s="8"/>
      <c r="K7" s="8"/>
      <c r="L7" s="8"/>
    </row>
    <row r="8" spans="1:19" ht="24.6" customHeight="1" thickBot="1" x14ac:dyDescent="0.55000000000000004">
      <c r="B8">
        <f ca="1">B7/28.3</f>
        <v>-15.123674911660776</v>
      </c>
      <c r="D8" s="6"/>
      <c r="E8" s="6"/>
      <c r="F8" s="44">
        <f ca="1">B8</f>
        <v>-15.123674911660776</v>
      </c>
      <c r="J8" s="8"/>
      <c r="K8" s="8"/>
      <c r="L8" s="8"/>
    </row>
    <row r="9" spans="1:19" ht="31.2" hidden="1" customHeight="1" thickBot="1" x14ac:dyDescent="0.45">
      <c r="A9" t="s">
        <v>5</v>
      </c>
      <c r="D9" s="1"/>
      <c r="J9" s="24" t="s">
        <v>10</v>
      </c>
      <c r="K9" s="24" t="s">
        <v>10</v>
      </c>
      <c r="L9" s="31" t="s">
        <v>12</v>
      </c>
      <c r="M9" s="25" t="s">
        <v>12</v>
      </c>
      <c r="N9" s="39"/>
    </row>
    <row r="10" spans="1:19" ht="45" customHeight="1" thickBot="1" x14ac:dyDescent="0.3">
      <c r="B10" s="3" t="s">
        <v>3</v>
      </c>
      <c r="C10" s="4"/>
      <c r="D10" s="17" t="s">
        <v>0</v>
      </c>
      <c r="E10" s="18" t="s">
        <v>8</v>
      </c>
      <c r="F10" s="26" t="s">
        <v>564</v>
      </c>
      <c r="G10" s="19" t="s">
        <v>1</v>
      </c>
      <c r="H10" s="17" t="s">
        <v>2</v>
      </c>
      <c r="I10" s="40" t="s">
        <v>19</v>
      </c>
      <c r="J10" s="23" t="str">
        <f>$G$4</f>
        <v>SW-RISER-PACK</v>
      </c>
      <c r="K10" s="23" t="s">
        <v>13</v>
      </c>
      <c r="L10" s="32" t="str">
        <f>$G$4</f>
        <v>SW-RISER-PACK</v>
      </c>
      <c r="M10" s="23" t="s">
        <v>13</v>
      </c>
      <c r="N10" s="38" t="s">
        <v>18</v>
      </c>
      <c r="O10" s="45" t="s">
        <v>46378</v>
      </c>
      <c r="P10" s="45" t="s">
        <v>46379</v>
      </c>
      <c r="Q10" s="45" t="s">
        <v>46380</v>
      </c>
      <c r="R10" s="45" t="s">
        <v>48020</v>
      </c>
      <c r="S10" s="82" t="s">
        <v>46382</v>
      </c>
    </row>
    <row r="11" spans="1:19" ht="15.6" customHeight="1" thickBot="1" x14ac:dyDescent="0.3">
      <c r="B11" s="11" t="str">
        <f>IF(F11=0,"hide","")</f>
        <v/>
      </c>
      <c r="D11" s="13" t="str">
        <f>"12028"</f>
        <v>12028</v>
      </c>
      <c r="E11" s="7" t="str">
        <f>"2"</f>
        <v>2</v>
      </c>
      <c r="F11" s="27">
        <v>0.41666666666666669</v>
      </c>
      <c r="G11" s="5" t="str">
        <f>"Jammies GRAPE Sandwich"</f>
        <v>Jammies GRAPE Sandwich</v>
      </c>
      <c r="H11" s="14" t="str">
        <f>"96-2 oz. I.W. Jammies Film"</f>
        <v>96-2 oz. I.W. Jammies Film</v>
      </c>
      <c r="I11" s="15">
        <v>96</v>
      </c>
      <c r="J11" s="12">
        <v>1.14E-2</v>
      </c>
      <c r="K11" s="34">
        <f t="shared" ref="K11:K29" si="0">1/J11</f>
        <v>87.719298245614027</v>
      </c>
      <c r="L11" s="37">
        <v>1.14E-2</v>
      </c>
      <c r="M11" s="47">
        <f>1/L11</f>
        <v>87.719298245614027</v>
      </c>
      <c r="N11" s="46">
        <f>M11*I11</f>
        <v>8421.0526315789466</v>
      </c>
      <c r="Q11" s="80">
        <f>M11/60</f>
        <v>1.4619883040935671</v>
      </c>
      <c r="R11" s="79" t="str">
        <f>$G$4</f>
        <v>SW-RISER-PACK</v>
      </c>
      <c r="S11" s="79" t="str">
        <f>$G$5</f>
        <v>SW-RISER-P</v>
      </c>
    </row>
    <row r="12" spans="1:19" ht="15.6" customHeight="1" thickBot="1" x14ac:dyDescent="0.3">
      <c r="A12" t="s">
        <v>23</v>
      </c>
      <c r="B12" s="11" t="str">
        <f t="shared" ref="B12:B29" si="1">IF(F12=0,"hide","")</f>
        <v/>
      </c>
      <c r="D12" s="13" t="str">
        <f>"12228"</f>
        <v>12228</v>
      </c>
      <c r="E12" s="7" t="str">
        <f>"17"</f>
        <v>17</v>
      </c>
      <c r="F12" s="27">
        <v>7910.416666666667</v>
      </c>
      <c r="G12" s="5" t="str">
        <f>"Sunbutter GRAPE Sandwich"</f>
        <v>Sunbutter GRAPE Sandwich</v>
      </c>
      <c r="H12" s="14" t="str">
        <f>"96-2.8 oz. I.W. NO-HFCS"</f>
        <v>96-2.8 oz. I.W. NO-HFCS</v>
      </c>
      <c r="I12" s="15">
        <v>96</v>
      </c>
      <c r="J12" s="12">
        <v>1.14E-2</v>
      </c>
      <c r="K12" s="34">
        <f t="shared" si="0"/>
        <v>87.719298245614027</v>
      </c>
      <c r="L12" s="37">
        <v>1.14E-2</v>
      </c>
      <c r="M12" s="47">
        <f t="shared" ref="M12:M29" si="2">1/L12</f>
        <v>87.719298245614027</v>
      </c>
      <c r="N12" s="46">
        <f t="shared" ref="N12:N29" si="3">M12*I12</f>
        <v>8421.0526315789466</v>
      </c>
      <c r="Q12" s="80">
        <f t="shared" ref="Q12:Q29" si="4">M12/60</f>
        <v>1.4619883040935671</v>
      </c>
      <c r="R12" s="79" t="str">
        <f t="shared" ref="R12:R29" si="5">$G$4</f>
        <v>SW-RISER-PACK</v>
      </c>
      <c r="S12" s="79" t="str">
        <f t="shared" ref="S12:S29" si="6">$G$5</f>
        <v>SW-RISER-P</v>
      </c>
    </row>
    <row r="13" spans="1:19" ht="15.6" customHeight="1" thickBot="1" x14ac:dyDescent="0.3">
      <c r="A13" t="s">
        <v>23</v>
      </c>
      <c r="B13" s="11" t="str">
        <f t="shared" si="1"/>
        <v/>
      </c>
      <c r="D13" s="13" t="str">
        <f>"12258"</f>
        <v>12258</v>
      </c>
      <c r="E13" s="7" t="str">
        <f>"5"</f>
        <v>5</v>
      </c>
      <c r="F13" s="27">
        <v>1460.0833333333333</v>
      </c>
      <c r="G13" s="5" t="str">
        <f>"Sunbutter STRAWBERRY Sandwich"</f>
        <v>Sunbutter STRAWBERRY Sandwich</v>
      </c>
      <c r="H13" s="14" t="str">
        <f>"96-2.8 oz. I.W. NO-HFCS"</f>
        <v>96-2.8 oz. I.W. NO-HFCS</v>
      </c>
      <c r="I13" s="15">
        <v>96</v>
      </c>
      <c r="J13" s="12">
        <v>1.14E-2</v>
      </c>
      <c r="K13" s="34">
        <f t="shared" si="0"/>
        <v>87.719298245614027</v>
      </c>
      <c r="L13" s="37">
        <v>1.14E-2</v>
      </c>
      <c r="M13" s="47">
        <f t="shared" si="2"/>
        <v>87.719298245614027</v>
      </c>
      <c r="N13" s="46">
        <f t="shared" si="3"/>
        <v>8421.0526315789466</v>
      </c>
      <c r="Q13" s="80">
        <f t="shared" si="4"/>
        <v>1.4619883040935671</v>
      </c>
      <c r="R13" s="79" t="str">
        <f t="shared" si="5"/>
        <v>SW-RISER-PACK</v>
      </c>
      <c r="S13" s="79" t="str">
        <f t="shared" si="6"/>
        <v>SW-RISER-P</v>
      </c>
    </row>
    <row r="14" spans="1:19" ht="15.6" customHeight="1" thickBot="1" x14ac:dyDescent="0.3">
      <c r="A14" t="s">
        <v>23</v>
      </c>
      <c r="B14" s="11" t="str">
        <f t="shared" si="1"/>
        <v/>
      </c>
      <c r="D14" s="13" t="str">
        <f>"12530"</f>
        <v>12530</v>
      </c>
      <c r="E14" s="7" t="str">
        <f>"3"</f>
        <v>3</v>
      </c>
      <c r="F14" s="27">
        <v>1204.9166666666667</v>
      </c>
      <c r="G14" s="5" t="str">
        <f>"IW WG CRUSTLESS COCOA CPB SANDWICH"</f>
        <v>IW WG CRUSTLESS COCOA CPB SANDWICH</v>
      </c>
      <c r="H14" s="14" t="str">
        <f>"96-2.4oz IW SANDWICH"</f>
        <v>96-2.4oz IW SANDWICH</v>
      </c>
      <c r="I14" s="15">
        <v>96</v>
      </c>
      <c r="J14" s="12">
        <v>1.14E-2</v>
      </c>
      <c r="K14" s="34">
        <f t="shared" si="0"/>
        <v>87.719298245614027</v>
      </c>
      <c r="L14" s="37">
        <v>1.14E-2</v>
      </c>
      <c r="M14" s="47">
        <f t="shared" si="2"/>
        <v>87.719298245614027</v>
      </c>
      <c r="N14" s="46">
        <f t="shared" si="3"/>
        <v>8421.0526315789466</v>
      </c>
      <c r="Q14" s="80">
        <f t="shared" si="4"/>
        <v>1.4619883040935671</v>
      </c>
      <c r="R14" s="79" t="str">
        <f t="shared" si="5"/>
        <v>SW-RISER-PACK</v>
      </c>
      <c r="S14" s="79" t="str">
        <f t="shared" si="6"/>
        <v>SW-RISER-P</v>
      </c>
    </row>
    <row r="15" spans="1:19" ht="15.6" hidden="1" customHeight="1" thickBot="1" x14ac:dyDescent="0.3">
      <c r="A15" t="s">
        <v>23</v>
      </c>
      <c r="B15" s="11" t="str">
        <f t="shared" si="1"/>
        <v>hide</v>
      </c>
      <c r="D15" s="13" t="str">
        <f>"12928"</f>
        <v>12928</v>
      </c>
      <c r="E15" s="7" t="str">
        <f t="shared" ref="E15:E22" si="7">"1"</f>
        <v>1</v>
      </c>
      <c r="F15" s="27">
        <v>0</v>
      </c>
      <c r="G15" s="5" t="str">
        <f>"Sandwich, WG, Sunbutter &amp; Grape Jelly, IW"</f>
        <v>Sandwich, WG, Sunbutter &amp; Grape Jelly, IW</v>
      </c>
      <c r="H15" s="14" t="str">
        <f>"96-2.8 oz. I.W. NO-HFCS"</f>
        <v>96-2.8 oz. I.W. NO-HFCS</v>
      </c>
      <c r="I15" s="15">
        <v>96</v>
      </c>
      <c r="J15" s="12">
        <v>0</v>
      </c>
      <c r="K15" s="34" t="e">
        <f t="shared" si="0"/>
        <v>#DIV/0!</v>
      </c>
      <c r="L15" s="37">
        <v>1.333E-2</v>
      </c>
      <c r="M15" s="47">
        <f t="shared" si="2"/>
        <v>75.018754688672175</v>
      </c>
      <c r="N15" s="46">
        <f t="shared" si="3"/>
        <v>7201.8004501125288</v>
      </c>
      <c r="Q15" s="80">
        <f t="shared" si="4"/>
        <v>1.2503125781445363</v>
      </c>
      <c r="R15" s="79" t="str">
        <f t="shared" si="5"/>
        <v>SW-RISER-PACK</v>
      </c>
      <c r="S15" s="79" t="str">
        <f t="shared" si="6"/>
        <v>SW-RISER-P</v>
      </c>
    </row>
    <row r="16" spans="1:19" ht="15.6" customHeight="1" thickBot="1" x14ac:dyDescent="0.3">
      <c r="A16" t="s">
        <v>23</v>
      </c>
      <c r="B16" s="11" t="str">
        <f t="shared" si="1"/>
        <v/>
      </c>
      <c r="D16" s="13" t="str">
        <f>"13228"</f>
        <v>13228</v>
      </c>
      <c r="E16" s="7" t="str">
        <f t="shared" si="7"/>
        <v>1</v>
      </c>
      <c r="F16" s="27">
        <v>216.66666666666666</v>
      </c>
      <c r="G16" s="5" t="str">
        <f>"Sunbutter GRAPE Sandwich"</f>
        <v>Sunbutter GRAPE Sandwich</v>
      </c>
      <c r="H16" s="14" t="str">
        <f>"36-2.8oz. I.W. Sunwise Sandwich"</f>
        <v>36-2.8oz. I.W. Sunwise Sandwich</v>
      </c>
      <c r="I16" s="15">
        <v>36</v>
      </c>
      <c r="J16" s="12">
        <v>4.28E-3</v>
      </c>
      <c r="K16" s="34">
        <f t="shared" si="0"/>
        <v>233.64485981308411</v>
      </c>
      <c r="L16" s="37">
        <v>4.28E-3</v>
      </c>
      <c r="M16" s="47">
        <f t="shared" si="2"/>
        <v>233.64485981308411</v>
      </c>
      <c r="N16" s="46">
        <f t="shared" si="3"/>
        <v>8411.2149532710282</v>
      </c>
      <c r="Q16" s="80">
        <f t="shared" si="4"/>
        <v>3.894080996884735</v>
      </c>
      <c r="R16" s="79" t="str">
        <f t="shared" si="5"/>
        <v>SW-RISER-PACK</v>
      </c>
      <c r="S16" s="79" t="str">
        <f t="shared" si="6"/>
        <v>SW-RISER-P</v>
      </c>
    </row>
    <row r="17" spans="1:19" ht="15.6" customHeight="1" thickBot="1" x14ac:dyDescent="0.3">
      <c r="A17" t="s">
        <v>23</v>
      </c>
      <c r="B17" s="11" t="str">
        <f t="shared" si="1"/>
        <v/>
      </c>
      <c r="D17" s="13" t="str">
        <f>"13258"</f>
        <v>13258</v>
      </c>
      <c r="E17" s="7" t="str">
        <f t="shared" si="7"/>
        <v>1</v>
      </c>
      <c r="F17" s="27">
        <v>86.666666666666671</v>
      </c>
      <c r="G17" s="5" t="str">
        <f>"SunWise Strawberry Sandwich"</f>
        <v>SunWise Strawberry Sandwich</v>
      </c>
      <c r="H17" s="14" t="str">
        <f>"36.-2.8oz. I.W. Sunwise Strawberry Sandwich"</f>
        <v>36.-2.8oz. I.W. Sunwise Strawberry Sandwich</v>
      </c>
      <c r="I17" s="15">
        <v>36</v>
      </c>
      <c r="J17" s="12">
        <v>4.28E-3</v>
      </c>
      <c r="K17" s="34">
        <f t="shared" si="0"/>
        <v>233.64485981308411</v>
      </c>
      <c r="L17" s="37">
        <v>4.28E-3</v>
      </c>
      <c r="M17" s="47">
        <f t="shared" si="2"/>
        <v>233.64485981308411</v>
      </c>
      <c r="N17" s="46">
        <f t="shared" si="3"/>
        <v>8411.2149532710282</v>
      </c>
      <c r="Q17" s="80">
        <f t="shared" si="4"/>
        <v>3.894080996884735</v>
      </c>
      <c r="R17" s="79" t="str">
        <f t="shared" si="5"/>
        <v>SW-RISER-PACK</v>
      </c>
      <c r="S17" s="79" t="str">
        <f t="shared" si="6"/>
        <v>SW-RISER-P</v>
      </c>
    </row>
    <row r="18" spans="1:19" ht="15.6" customHeight="1" thickBot="1" x14ac:dyDescent="0.3">
      <c r="A18" t="s">
        <v>23</v>
      </c>
      <c r="B18" s="11" t="str">
        <f t="shared" si="1"/>
        <v/>
      </c>
      <c r="D18" s="13" t="str">
        <f>"14328"</f>
        <v>14328</v>
      </c>
      <c r="E18" s="7" t="str">
        <f t="shared" si="7"/>
        <v>1</v>
      </c>
      <c r="F18" s="27">
        <v>734.75</v>
      </c>
      <c r="G18" s="5" t="str">
        <f>"Good and Gather GRAPE 4pk"</f>
        <v>Good and Gather GRAPE 4pk</v>
      </c>
      <c r="H18" s="14" t="str">
        <f>"32-2 oz IW 8 cartons of 4"</f>
        <v>32-2 oz IW 8 cartons of 4</v>
      </c>
      <c r="I18" s="15">
        <v>32</v>
      </c>
      <c r="J18" s="12">
        <v>3.8E-3</v>
      </c>
      <c r="K18" s="34">
        <f t="shared" si="0"/>
        <v>263.15789473684208</v>
      </c>
      <c r="L18" s="37">
        <v>3.8E-3</v>
      </c>
      <c r="M18" s="47">
        <f t="shared" si="2"/>
        <v>263.15789473684208</v>
      </c>
      <c r="N18" s="46">
        <f t="shared" si="3"/>
        <v>8421.0526315789466</v>
      </c>
      <c r="Q18" s="80">
        <f t="shared" si="4"/>
        <v>4.3859649122807012</v>
      </c>
      <c r="R18" s="79" t="str">
        <f t="shared" si="5"/>
        <v>SW-RISER-PACK</v>
      </c>
      <c r="S18" s="79" t="str">
        <f t="shared" si="6"/>
        <v>SW-RISER-P</v>
      </c>
    </row>
    <row r="19" spans="1:19" ht="15.6" customHeight="1" thickBot="1" x14ac:dyDescent="0.3">
      <c r="A19" t="s">
        <v>23</v>
      </c>
      <c r="B19" s="11" t="str">
        <f t="shared" si="1"/>
        <v/>
      </c>
      <c r="D19" s="13" t="str">
        <f>"14358"</f>
        <v>14358</v>
      </c>
      <c r="E19" s="7" t="str">
        <f t="shared" si="7"/>
        <v>1</v>
      </c>
      <c r="F19" s="27">
        <v>998.58333333333337</v>
      </c>
      <c r="G19" s="5" t="str">
        <f>"Good and Gather STRAWBERY 4pk"</f>
        <v>Good and Gather STRAWBERY 4pk</v>
      </c>
      <c r="H19" s="14" t="str">
        <f>"32-2 oz IW 8 cartons of 4"</f>
        <v>32-2 oz IW 8 cartons of 4</v>
      </c>
      <c r="I19" s="15">
        <v>32</v>
      </c>
      <c r="J19" s="12">
        <v>3.8E-3</v>
      </c>
      <c r="K19" s="34">
        <f t="shared" si="0"/>
        <v>263.15789473684208</v>
      </c>
      <c r="L19" s="37">
        <v>3.8E-3</v>
      </c>
      <c r="M19" s="47">
        <f t="shared" si="2"/>
        <v>263.15789473684208</v>
      </c>
      <c r="N19" s="46">
        <f t="shared" si="3"/>
        <v>8421.0526315789466</v>
      </c>
      <c r="Q19" s="80">
        <f t="shared" si="4"/>
        <v>4.3859649122807012</v>
      </c>
      <c r="R19" s="79" t="str">
        <f t="shared" si="5"/>
        <v>SW-RISER-PACK</v>
      </c>
      <c r="S19" s="79" t="str">
        <f t="shared" si="6"/>
        <v>SW-RISER-P</v>
      </c>
    </row>
    <row r="20" spans="1:19" ht="15.6" hidden="1" customHeight="1" thickBot="1" x14ac:dyDescent="0.3">
      <c r="A20" t="s">
        <v>23</v>
      </c>
      <c r="B20" s="11" t="str">
        <f t="shared" si="1"/>
        <v>hide</v>
      </c>
      <c r="D20" s="13" t="str">
        <f>"14801"</f>
        <v>14801</v>
      </c>
      <c r="E20" s="7" t="str">
        <f t="shared" si="7"/>
        <v>1</v>
      </c>
      <c r="F20" s="27">
        <v>0</v>
      </c>
      <c r="G20" s="5" t="str">
        <f>"Nurture Life Sammies -BLUEBERRY"</f>
        <v>Nurture Life Sammies -BLUEBERRY</v>
      </c>
      <c r="H20" s="14" t="str">
        <f>"32-2.2 oz IW 8 Cartons of 4"</f>
        <v>32-2.2 oz IW 8 Cartons of 4</v>
      </c>
      <c r="I20" s="15">
        <v>32</v>
      </c>
      <c r="J20" s="12">
        <v>3.0000000000000001E-3</v>
      </c>
      <c r="K20" s="34">
        <f t="shared" si="0"/>
        <v>333.33333333333331</v>
      </c>
      <c r="L20" s="37">
        <v>3.0000000000000001E-3</v>
      </c>
      <c r="M20" s="47">
        <f t="shared" si="2"/>
        <v>333.33333333333331</v>
      </c>
      <c r="N20" s="46">
        <f t="shared" si="3"/>
        <v>10666.666666666666</v>
      </c>
      <c r="Q20" s="80">
        <f t="shared" si="4"/>
        <v>5.5555555555555554</v>
      </c>
      <c r="R20" s="79" t="str">
        <f t="shared" si="5"/>
        <v>SW-RISER-PACK</v>
      </c>
      <c r="S20" s="79" t="str">
        <f t="shared" si="6"/>
        <v>SW-RISER-P</v>
      </c>
    </row>
    <row r="21" spans="1:19" ht="15.6" hidden="1" customHeight="1" thickBot="1" x14ac:dyDescent="0.3">
      <c r="A21" t="s">
        <v>23</v>
      </c>
      <c r="B21" s="11" t="str">
        <f t="shared" si="1"/>
        <v>hide</v>
      </c>
      <c r="D21" s="13" t="str">
        <f>"14828"</f>
        <v>14828</v>
      </c>
      <c r="E21" s="7" t="str">
        <f t="shared" si="7"/>
        <v>1</v>
      </c>
      <c r="F21" s="27">
        <v>0</v>
      </c>
      <c r="G21" s="5" t="str">
        <f>"Nurture Life Sammies -CHOCOLATE BERRY"</f>
        <v>Nurture Life Sammies -CHOCOLATE BERRY</v>
      </c>
      <c r="H21" s="14" t="str">
        <f>"32-2.2 oz IW  8 cartons of 4"</f>
        <v>32-2.2 oz IW  8 cartons of 4</v>
      </c>
      <c r="I21" s="15">
        <v>32</v>
      </c>
      <c r="J21" s="12">
        <v>3.0000000000000001E-3</v>
      </c>
      <c r="K21" s="34">
        <f t="shared" si="0"/>
        <v>333.33333333333331</v>
      </c>
      <c r="L21" s="37">
        <v>3.0000000000000001E-3</v>
      </c>
      <c r="M21" s="47">
        <f t="shared" si="2"/>
        <v>333.33333333333331</v>
      </c>
      <c r="N21" s="46">
        <f t="shared" si="3"/>
        <v>10666.666666666666</v>
      </c>
      <c r="Q21" s="80">
        <f t="shared" si="4"/>
        <v>5.5555555555555554</v>
      </c>
      <c r="R21" s="79" t="str">
        <f t="shared" si="5"/>
        <v>SW-RISER-PACK</v>
      </c>
      <c r="S21" s="79" t="str">
        <f t="shared" si="6"/>
        <v>SW-RISER-P</v>
      </c>
    </row>
    <row r="22" spans="1:19" ht="15.6" hidden="1" customHeight="1" thickBot="1" x14ac:dyDescent="0.3">
      <c r="A22" t="s">
        <v>23</v>
      </c>
      <c r="B22" s="11" t="str">
        <f t="shared" si="1"/>
        <v>hide</v>
      </c>
      <c r="D22" s="13" t="str">
        <f>"14858"</f>
        <v>14858</v>
      </c>
      <c r="E22" s="7" t="str">
        <f t="shared" si="7"/>
        <v>1</v>
      </c>
      <c r="F22" s="27">
        <v>0</v>
      </c>
      <c r="G22" s="5" t="str">
        <f>"Nurture Life Sammies -STRAWBERRY"</f>
        <v>Nurture Life Sammies -STRAWBERRY</v>
      </c>
      <c r="H22" s="14" t="str">
        <f>"32-2.2 oz IW  8 cartons of 4"</f>
        <v>32-2.2 oz IW  8 cartons of 4</v>
      </c>
      <c r="I22" s="15">
        <v>32</v>
      </c>
      <c r="J22" s="12">
        <v>1E-3</v>
      </c>
      <c r="K22" s="34">
        <f t="shared" si="0"/>
        <v>1000</v>
      </c>
      <c r="L22" s="37">
        <v>3.3E-3</v>
      </c>
      <c r="M22" s="47">
        <f t="shared" si="2"/>
        <v>303.03030303030306</v>
      </c>
      <c r="N22" s="46">
        <f t="shared" si="3"/>
        <v>9696.9696969696979</v>
      </c>
      <c r="Q22" s="80">
        <f t="shared" si="4"/>
        <v>5.0505050505050511</v>
      </c>
      <c r="R22" s="79" t="str">
        <f t="shared" si="5"/>
        <v>SW-RISER-PACK</v>
      </c>
      <c r="S22" s="79" t="str">
        <f t="shared" si="6"/>
        <v>SW-RISER-P</v>
      </c>
    </row>
    <row r="23" spans="1:19" ht="15.6" customHeight="1" thickBot="1" x14ac:dyDescent="0.3">
      <c r="A23" t="s">
        <v>23</v>
      </c>
      <c r="B23" s="11" t="str">
        <f t="shared" si="1"/>
        <v/>
      </c>
      <c r="D23" s="13" t="str">
        <f>"15228"</f>
        <v>15228</v>
      </c>
      <c r="E23" s="7" t="str">
        <f>"7"</f>
        <v>7</v>
      </c>
      <c r="F23" s="27">
        <v>1760.0833333333333</v>
      </c>
      <c r="G23" s="5" t="str">
        <f>"SunButter Grape Sandwich"</f>
        <v>SunButter Grape Sandwich</v>
      </c>
      <c r="H23" s="14" t="str">
        <f>"48-5.2 oz. IW"</f>
        <v>48-5.2 oz. IW</v>
      </c>
      <c r="I23" s="15">
        <v>48</v>
      </c>
      <c r="J23" s="12">
        <v>5.7099999999999998E-3</v>
      </c>
      <c r="K23" s="34">
        <f t="shared" si="0"/>
        <v>175.13134851138355</v>
      </c>
      <c r="L23" s="37">
        <v>5.7099999999999998E-3</v>
      </c>
      <c r="M23" s="47">
        <f t="shared" si="2"/>
        <v>175.13134851138355</v>
      </c>
      <c r="N23" s="46">
        <f t="shared" si="3"/>
        <v>8406.3047285464108</v>
      </c>
      <c r="Q23" s="80">
        <f t="shared" si="4"/>
        <v>2.9188558085230594</v>
      </c>
      <c r="R23" s="79" t="str">
        <f t="shared" si="5"/>
        <v>SW-RISER-PACK</v>
      </c>
      <c r="S23" s="79" t="str">
        <f t="shared" si="6"/>
        <v>SW-RISER-P</v>
      </c>
    </row>
    <row r="24" spans="1:19" ht="15.6" customHeight="1" thickBot="1" x14ac:dyDescent="0.3">
      <c r="A24" t="s">
        <v>23</v>
      </c>
      <c r="B24" s="11" t="str">
        <f t="shared" si="1"/>
        <v/>
      </c>
      <c r="D24" s="13" t="str">
        <f>"15258"</f>
        <v>15258</v>
      </c>
      <c r="E24" s="7" t="str">
        <f>"1"</f>
        <v>1</v>
      </c>
      <c r="F24" s="27">
        <v>52.5</v>
      </c>
      <c r="G24" s="5" t="str">
        <f>"SunButter Strawberry Sandwich"</f>
        <v>SunButter Strawberry Sandwich</v>
      </c>
      <c r="H24" s="14" t="str">
        <f>"48-5.2 oz. IW Bulk"</f>
        <v>48-5.2 oz. IW Bulk</v>
      </c>
      <c r="I24" s="15">
        <v>48</v>
      </c>
      <c r="J24" s="12">
        <v>5.7099999999999998E-3</v>
      </c>
      <c r="K24" s="34">
        <f t="shared" si="0"/>
        <v>175.13134851138355</v>
      </c>
      <c r="L24" s="37">
        <v>5.7099999999999998E-3</v>
      </c>
      <c r="M24" s="47">
        <f t="shared" si="2"/>
        <v>175.13134851138355</v>
      </c>
      <c r="N24" s="46">
        <f t="shared" si="3"/>
        <v>8406.3047285464108</v>
      </c>
      <c r="Q24" s="80">
        <f t="shared" si="4"/>
        <v>2.9188558085230594</v>
      </c>
      <c r="R24" s="79" t="str">
        <f t="shared" si="5"/>
        <v>SW-RISER-PACK</v>
      </c>
      <c r="S24" s="79" t="str">
        <f t="shared" si="6"/>
        <v>SW-RISER-P</v>
      </c>
    </row>
    <row r="25" spans="1:19" ht="15.6" customHeight="1" thickBot="1" x14ac:dyDescent="0.3">
      <c r="A25" t="s">
        <v>23</v>
      </c>
      <c r="B25" s="11" t="str">
        <f t="shared" si="1"/>
        <v/>
      </c>
      <c r="D25" s="13" t="str">
        <f>"20003"</f>
        <v>20003</v>
      </c>
      <c r="E25" s="7" t="str">
        <f>"1"</f>
        <v>1</v>
      </c>
      <c r="F25" s="27">
        <v>1132.4166666666667</v>
      </c>
      <c r="G25" s="5" t="str">
        <f>"SunButter Jammies Sandwich GRAPE"</f>
        <v>SunButter Jammies Sandwich GRAPE</v>
      </c>
      <c r="H25" s="14" t="str">
        <f>"32-2oz IW  8 cartons of 4"</f>
        <v>32-2oz IW  8 cartons of 4</v>
      </c>
      <c r="I25" s="15">
        <v>32</v>
      </c>
      <c r="J25" s="12">
        <v>3.8E-3</v>
      </c>
      <c r="K25" s="34">
        <f t="shared" si="0"/>
        <v>263.15789473684208</v>
      </c>
      <c r="L25" s="37">
        <v>3.8E-3</v>
      </c>
      <c r="M25" s="47">
        <f t="shared" si="2"/>
        <v>263.15789473684208</v>
      </c>
      <c r="N25" s="46">
        <f t="shared" si="3"/>
        <v>8421.0526315789466</v>
      </c>
      <c r="Q25" s="80">
        <f t="shared" si="4"/>
        <v>4.3859649122807012</v>
      </c>
      <c r="R25" s="79" t="str">
        <f t="shared" si="5"/>
        <v>SW-RISER-PACK</v>
      </c>
      <c r="S25" s="79" t="str">
        <f t="shared" si="6"/>
        <v>SW-RISER-P</v>
      </c>
    </row>
    <row r="26" spans="1:19" ht="15.6" customHeight="1" thickBot="1" x14ac:dyDescent="0.3">
      <c r="A26" t="s">
        <v>23</v>
      </c>
      <c r="B26" s="11" t="str">
        <f t="shared" si="1"/>
        <v/>
      </c>
      <c r="D26" s="13" t="str">
        <f>"20006"</f>
        <v>20006</v>
      </c>
      <c r="E26" s="7" t="str">
        <f>"1"</f>
        <v>1</v>
      </c>
      <c r="F26" s="27">
        <v>774.33333333333337</v>
      </c>
      <c r="G26" s="5" t="str">
        <f>"SunButter Jammies Sandwich STRAWBERY"</f>
        <v>SunButter Jammies Sandwich STRAWBERY</v>
      </c>
      <c r="H26" s="14" t="str">
        <f>"32-2oz IW  8 cartons of 4"</f>
        <v>32-2oz IW  8 cartons of 4</v>
      </c>
      <c r="I26" s="15">
        <v>32</v>
      </c>
      <c r="J26" s="12">
        <v>3.8E-3</v>
      </c>
      <c r="K26" s="34">
        <f t="shared" si="0"/>
        <v>263.15789473684208</v>
      </c>
      <c r="L26" s="37">
        <v>3.8E-3</v>
      </c>
      <c r="M26" s="47">
        <f t="shared" si="2"/>
        <v>263.15789473684208</v>
      </c>
      <c r="N26" s="46">
        <f t="shared" si="3"/>
        <v>8421.0526315789466</v>
      </c>
      <c r="Q26" s="80">
        <f t="shared" si="4"/>
        <v>4.3859649122807012</v>
      </c>
      <c r="R26" s="79" t="str">
        <f t="shared" si="5"/>
        <v>SW-RISER-PACK</v>
      </c>
      <c r="S26" s="79" t="str">
        <f t="shared" si="6"/>
        <v>SW-RISER-P</v>
      </c>
    </row>
    <row r="27" spans="1:19" ht="15.6" customHeight="1" thickBot="1" x14ac:dyDescent="0.3">
      <c r="A27" t="s">
        <v>23</v>
      </c>
      <c r="B27" s="11" t="str">
        <f t="shared" si="1"/>
        <v/>
      </c>
      <c r="D27" s="13" t="str">
        <f>"20012"</f>
        <v>20012</v>
      </c>
      <c r="E27" s="7" t="str">
        <f>"2"</f>
        <v>2</v>
      </c>
      <c r="F27" s="27">
        <v>352.91666666666669</v>
      </c>
      <c r="G27" s="5" t="str">
        <f>"SunButter Jammies Sandwich GRAPE"</f>
        <v>SunButter Jammies Sandwich GRAPE</v>
      </c>
      <c r="H27" s="14" t="str">
        <f>"180-2oz IW 15 cartons of 12"</f>
        <v>180-2oz IW 15 cartons of 12</v>
      </c>
      <c r="I27" s="15">
        <v>180</v>
      </c>
      <c r="J27" s="12">
        <v>2.1430000000000001E-2</v>
      </c>
      <c r="K27" s="34">
        <f t="shared" si="0"/>
        <v>46.663555762949137</v>
      </c>
      <c r="L27" s="37">
        <v>2.1430000000000001E-2</v>
      </c>
      <c r="M27" s="47">
        <f t="shared" si="2"/>
        <v>46.663555762949137</v>
      </c>
      <c r="N27" s="46">
        <f t="shared" si="3"/>
        <v>8399.4400373308454</v>
      </c>
      <c r="Q27" s="80">
        <f t="shared" si="4"/>
        <v>0.77772592938248564</v>
      </c>
      <c r="R27" s="79" t="str">
        <f t="shared" si="5"/>
        <v>SW-RISER-PACK</v>
      </c>
      <c r="S27" s="79" t="str">
        <f t="shared" si="6"/>
        <v>SW-RISER-P</v>
      </c>
    </row>
    <row r="28" spans="1:19" ht="15.6" hidden="1" customHeight="1" thickBot="1" x14ac:dyDescent="0.3">
      <c r="A28" t="s">
        <v>23</v>
      </c>
      <c r="B28" s="11" t="str">
        <f t="shared" si="1"/>
        <v>hide</v>
      </c>
      <c r="D28" s="13" t="str">
        <f>"20020"</f>
        <v>20020</v>
      </c>
      <c r="E28" s="7" t="str">
        <f>"1"</f>
        <v>1</v>
      </c>
      <c r="F28" s="27">
        <v>0</v>
      </c>
      <c r="G28" s="5" t="str">
        <f>"SunButter CDN Jammie GRAPE Sandwich"</f>
        <v>SunButter CDN Jammie GRAPE Sandwich</v>
      </c>
      <c r="H28" s="14" t="str">
        <f>"32-2oz IW  8 cartons of 4"</f>
        <v>32-2oz IW  8 cartons of 4</v>
      </c>
      <c r="I28" s="15">
        <v>32</v>
      </c>
      <c r="J28" s="12">
        <v>3.8E-3</v>
      </c>
      <c r="K28" s="34">
        <f t="shared" si="0"/>
        <v>263.15789473684208</v>
      </c>
      <c r="L28" s="37">
        <v>3.8E-3</v>
      </c>
      <c r="M28" s="47">
        <f t="shared" si="2"/>
        <v>263.15789473684208</v>
      </c>
      <c r="N28" s="46">
        <f t="shared" si="3"/>
        <v>8421.0526315789466</v>
      </c>
      <c r="Q28" s="80">
        <f t="shared" si="4"/>
        <v>4.3859649122807012</v>
      </c>
      <c r="R28" s="79" t="str">
        <f t="shared" si="5"/>
        <v>SW-RISER-PACK</v>
      </c>
      <c r="S28" s="79" t="str">
        <f t="shared" si="6"/>
        <v>SW-RISER-P</v>
      </c>
    </row>
    <row r="29" spans="1:19" ht="15.6" hidden="1" customHeight="1" thickBot="1" x14ac:dyDescent="0.3">
      <c r="A29" t="s">
        <v>23</v>
      </c>
      <c r="B29" s="11" t="str">
        <f t="shared" si="1"/>
        <v>hide</v>
      </c>
      <c r="D29" s="13" t="str">
        <f>"20023"</f>
        <v>20023</v>
      </c>
      <c r="E29" s="7" t="str">
        <f>"1"</f>
        <v>1</v>
      </c>
      <c r="F29" s="27">
        <v>0</v>
      </c>
      <c r="G29" s="5" t="str">
        <f>"SunButter CDN Jammie STRWBRY Sandwich"</f>
        <v>SunButter CDN Jammie STRWBRY Sandwich</v>
      </c>
      <c r="H29" s="14" t="str">
        <f>"32-2oz IW  8 cartons of 4"</f>
        <v>32-2oz IW  8 cartons of 4</v>
      </c>
      <c r="I29" s="15">
        <v>32</v>
      </c>
      <c r="J29" s="12">
        <v>3.8E-3</v>
      </c>
      <c r="K29" s="34">
        <f t="shared" si="0"/>
        <v>263.15789473684208</v>
      </c>
      <c r="L29" s="37">
        <v>3.8E-3</v>
      </c>
      <c r="M29" s="47">
        <f t="shared" si="2"/>
        <v>263.15789473684208</v>
      </c>
      <c r="N29" s="46">
        <f t="shared" si="3"/>
        <v>8421.0526315789466</v>
      </c>
      <c r="Q29" s="80">
        <f t="shared" si="4"/>
        <v>4.3859649122807012</v>
      </c>
      <c r="R29" s="79" t="str">
        <f t="shared" si="5"/>
        <v>SW-RISER-PACK</v>
      </c>
      <c r="S29" s="79" t="str">
        <f t="shared" si="6"/>
        <v>SW-RISER-P</v>
      </c>
    </row>
    <row r="30" spans="1:19" ht="12" customHeight="1" x14ac:dyDescent="0.25">
      <c r="I30"/>
      <c r="L30" s="33"/>
    </row>
    <row r="31" spans="1:19" x14ac:dyDescent="0.25">
      <c r="H31" s="20" t="s">
        <v>4</v>
      </c>
      <c r="I31" s="28">
        <f>COUNT(#REF!)</f>
        <v>0</v>
      </c>
      <c r="L31" s="33"/>
    </row>
    <row r="32" spans="1:19" x14ac:dyDescent="0.25">
      <c r="L32" s="33"/>
    </row>
  </sheetData>
  <pageMargins left="0" right="0" top="0" bottom="0" header="0.17" footer="0.5"/>
  <pageSetup scale="80" orientation="portrait" r:id="rId1"/>
  <headerFooter alignWithMargins="0">
    <oddHeader>&amp;RPrint Date:&amp;D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3C5AB-7E11-4363-8840-5EBBE60E343E}">
  <dimension ref="A1:S13"/>
  <sheetViews>
    <sheetView workbookViewId="0"/>
  </sheetViews>
  <sheetFormatPr defaultRowHeight="13.2" x14ac:dyDescent="0.25"/>
  <sheetData>
    <row r="1" spans="1:19" x14ac:dyDescent="0.25">
      <c r="A1" s="41" t="s">
        <v>48023</v>
      </c>
      <c r="B1" s="41" t="s">
        <v>9</v>
      </c>
      <c r="C1" s="41" t="s">
        <v>5</v>
      </c>
      <c r="E1" s="41" t="s">
        <v>5</v>
      </c>
      <c r="F1" s="41" t="s">
        <v>5</v>
      </c>
      <c r="G1" s="41" t="s">
        <v>5</v>
      </c>
      <c r="H1" s="41" t="s">
        <v>5</v>
      </c>
      <c r="I1" s="41" t="s">
        <v>5</v>
      </c>
      <c r="K1" s="41" t="s">
        <v>5</v>
      </c>
      <c r="O1" s="41" t="s">
        <v>5</v>
      </c>
      <c r="P1" s="41" t="s">
        <v>5</v>
      </c>
      <c r="Q1" s="41" t="s">
        <v>5</v>
      </c>
    </row>
    <row r="2" spans="1:19" x14ac:dyDescent="0.25">
      <c r="D2" s="41" t="s">
        <v>887</v>
      </c>
    </row>
    <row r="4" spans="1:19" x14ac:dyDescent="0.25">
      <c r="A4" s="41" t="s">
        <v>5</v>
      </c>
      <c r="B4" s="41" t="s">
        <v>565</v>
      </c>
      <c r="M4" s="41" t="s">
        <v>15</v>
      </c>
    </row>
    <row r="5" spans="1:19" x14ac:dyDescent="0.25">
      <c r="B5" s="41" t="s">
        <v>566</v>
      </c>
      <c r="H5" s="41" t="s">
        <v>1074</v>
      </c>
      <c r="I5" s="41" t="s">
        <v>1073</v>
      </c>
      <c r="L5" s="41" t="s">
        <v>921</v>
      </c>
      <c r="M5" s="41" t="s">
        <v>920</v>
      </c>
    </row>
    <row r="6" spans="1:19" x14ac:dyDescent="0.25">
      <c r="A6" s="41" t="s">
        <v>5</v>
      </c>
      <c r="B6" s="41" t="s">
        <v>567</v>
      </c>
      <c r="J6" s="41" t="s">
        <v>932</v>
      </c>
      <c r="L6" s="41" t="s">
        <v>933</v>
      </c>
      <c r="M6" s="41" t="s">
        <v>16</v>
      </c>
    </row>
    <row r="7" spans="1:19" x14ac:dyDescent="0.25">
      <c r="B7" s="41" t="s">
        <v>568</v>
      </c>
      <c r="J7" s="41" t="s">
        <v>569</v>
      </c>
      <c r="L7" s="41" t="s">
        <v>905</v>
      </c>
    </row>
    <row r="8" spans="1:19" x14ac:dyDescent="0.25">
      <c r="A8" s="41" t="s">
        <v>5</v>
      </c>
      <c r="F8" s="41" t="s">
        <v>889</v>
      </c>
      <c r="G8" s="41" t="s">
        <v>904</v>
      </c>
      <c r="H8" s="41" t="s">
        <v>903</v>
      </c>
      <c r="I8" s="41" t="s">
        <v>902</v>
      </c>
      <c r="J8" s="41" t="s">
        <v>901</v>
      </c>
      <c r="O8" s="41" t="s">
        <v>10</v>
      </c>
      <c r="P8" s="41" t="s">
        <v>10</v>
      </c>
      <c r="Q8" s="41" t="s">
        <v>12</v>
      </c>
      <c r="R8" s="41" t="s">
        <v>12</v>
      </c>
    </row>
    <row r="9" spans="1:19" x14ac:dyDescent="0.25">
      <c r="B9" s="41" t="s">
        <v>3</v>
      </c>
      <c r="D9" s="41" t="s">
        <v>0</v>
      </c>
      <c r="E9" s="41" t="s">
        <v>8</v>
      </c>
      <c r="F9" s="41" t="s">
        <v>560</v>
      </c>
      <c r="G9" s="41" t="s">
        <v>561</v>
      </c>
      <c r="H9" s="41" t="s">
        <v>562</v>
      </c>
      <c r="I9" s="41" t="s">
        <v>563</v>
      </c>
      <c r="J9" s="41" t="s">
        <v>564</v>
      </c>
      <c r="K9" s="41" t="s">
        <v>931</v>
      </c>
      <c r="L9" s="41" t="s">
        <v>1</v>
      </c>
      <c r="M9" s="41" t="s">
        <v>2</v>
      </c>
      <c r="N9" s="41" t="s">
        <v>19</v>
      </c>
      <c r="O9" s="41" t="s">
        <v>934</v>
      </c>
      <c r="P9" s="41" t="s">
        <v>13</v>
      </c>
      <c r="Q9" s="41" t="s">
        <v>934</v>
      </c>
      <c r="R9" s="41" t="s">
        <v>13</v>
      </c>
      <c r="S9" s="41" t="s">
        <v>18</v>
      </c>
    </row>
    <row r="10" spans="1:19" x14ac:dyDescent="0.25">
      <c r="B10" s="41" t="s">
        <v>935</v>
      </c>
      <c r="D10" s="41" t="s">
        <v>922</v>
      </c>
      <c r="E10" s="41" t="s">
        <v>21</v>
      </c>
      <c r="F10" s="41" t="s">
        <v>570</v>
      </c>
      <c r="G10" s="41" t="s">
        <v>571</v>
      </c>
      <c r="H10" s="41" t="s">
        <v>572</v>
      </c>
      <c r="I10" s="41" t="s">
        <v>573</v>
      </c>
      <c r="J10" s="41" t="s">
        <v>906</v>
      </c>
      <c r="K10" s="41" t="s">
        <v>936</v>
      </c>
      <c r="L10" s="41" t="s">
        <v>937</v>
      </c>
      <c r="M10" s="41" t="s">
        <v>938</v>
      </c>
      <c r="N10" s="41" t="s">
        <v>22</v>
      </c>
      <c r="O10" s="41" t="s">
        <v>939</v>
      </c>
      <c r="P10" s="41" t="s">
        <v>940</v>
      </c>
      <c r="Q10" s="41" t="s">
        <v>941</v>
      </c>
      <c r="R10" s="41" t="s">
        <v>942</v>
      </c>
      <c r="S10" s="41" t="s">
        <v>943</v>
      </c>
    </row>
    <row r="11" spans="1:19" x14ac:dyDescent="0.25">
      <c r="B11" s="41" t="s">
        <v>944</v>
      </c>
      <c r="D11" s="41" t="s">
        <v>890</v>
      </c>
      <c r="F11" s="41" t="s">
        <v>945</v>
      </c>
      <c r="G11" s="41" t="s">
        <v>946</v>
      </c>
      <c r="H11" s="41" t="s">
        <v>947</v>
      </c>
      <c r="I11" s="41" t="s">
        <v>948</v>
      </c>
      <c r="J11" s="41" t="s">
        <v>949</v>
      </c>
      <c r="K11" s="41" t="s">
        <v>950</v>
      </c>
      <c r="L11" s="41" t="s">
        <v>891</v>
      </c>
    </row>
    <row r="12" spans="1:19" x14ac:dyDescent="0.25">
      <c r="A12" s="41" t="s">
        <v>5</v>
      </c>
      <c r="B12" s="41" t="s">
        <v>892</v>
      </c>
    </row>
    <row r="13" spans="1:19" x14ac:dyDescent="0.25">
      <c r="B13" s="41" t="s">
        <v>893</v>
      </c>
      <c r="F13" s="41" t="s">
        <v>894</v>
      </c>
      <c r="G13" s="41" t="s">
        <v>895</v>
      </c>
      <c r="H13" s="41" t="s">
        <v>896</v>
      </c>
      <c r="I13" s="41" t="s">
        <v>897</v>
      </c>
      <c r="J13" s="41" t="s">
        <v>898</v>
      </c>
      <c r="L13" s="41" t="s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F7AD6-11F3-4C5B-AA85-6F49D482198C}">
  <dimension ref="A1:S13"/>
  <sheetViews>
    <sheetView workbookViewId="0"/>
  </sheetViews>
  <sheetFormatPr defaultRowHeight="13.2" x14ac:dyDescent="0.25"/>
  <sheetData>
    <row r="1" spans="1:19" x14ac:dyDescent="0.25">
      <c r="A1" s="41" t="s">
        <v>48023</v>
      </c>
      <c r="B1" s="41" t="s">
        <v>9</v>
      </c>
      <c r="C1" s="41" t="s">
        <v>5</v>
      </c>
      <c r="E1" s="41" t="s">
        <v>5</v>
      </c>
      <c r="F1" s="41" t="s">
        <v>5</v>
      </c>
      <c r="G1" s="41" t="s">
        <v>5</v>
      </c>
      <c r="H1" s="41" t="s">
        <v>5</v>
      </c>
      <c r="I1" s="41" t="s">
        <v>5</v>
      </c>
      <c r="K1" s="41" t="s">
        <v>5</v>
      </c>
      <c r="O1" s="41" t="s">
        <v>5</v>
      </c>
      <c r="P1" s="41" t="s">
        <v>5</v>
      </c>
      <c r="Q1" s="41" t="s">
        <v>5</v>
      </c>
    </row>
    <row r="2" spans="1:19" x14ac:dyDescent="0.25">
      <c r="D2" s="41" t="s">
        <v>887</v>
      </c>
    </row>
    <row r="4" spans="1:19" x14ac:dyDescent="0.25">
      <c r="A4" s="41" t="s">
        <v>5</v>
      </c>
      <c r="B4" s="41" t="s">
        <v>565</v>
      </c>
      <c r="M4" s="41" t="s">
        <v>15</v>
      </c>
    </row>
    <row r="5" spans="1:19" x14ac:dyDescent="0.25">
      <c r="B5" s="41" t="s">
        <v>566</v>
      </c>
      <c r="H5" s="41" t="s">
        <v>1074</v>
      </c>
      <c r="I5" s="41" t="s">
        <v>1073</v>
      </c>
      <c r="L5" s="41" t="s">
        <v>921</v>
      </c>
      <c r="M5" s="41" t="s">
        <v>920</v>
      </c>
    </row>
    <row r="6" spans="1:19" x14ac:dyDescent="0.25">
      <c r="A6" s="41" t="s">
        <v>5</v>
      </c>
      <c r="B6" s="41" t="s">
        <v>567</v>
      </c>
      <c r="J6" s="41" t="s">
        <v>932</v>
      </c>
      <c r="L6" s="41" t="s">
        <v>933</v>
      </c>
      <c r="M6" s="41" t="s">
        <v>16</v>
      </c>
    </row>
    <row r="7" spans="1:19" x14ac:dyDescent="0.25">
      <c r="B7" s="41" t="s">
        <v>568</v>
      </c>
      <c r="J7" s="41" t="s">
        <v>569</v>
      </c>
      <c r="L7" s="41" t="s">
        <v>905</v>
      </c>
    </row>
    <row r="8" spans="1:19" x14ac:dyDescent="0.25">
      <c r="A8" s="41" t="s">
        <v>5</v>
      </c>
      <c r="F8" s="41" t="s">
        <v>889</v>
      </c>
      <c r="G8" s="41" t="s">
        <v>904</v>
      </c>
      <c r="H8" s="41" t="s">
        <v>903</v>
      </c>
      <c r="I8" s="41" t="s">
        <v>902</v>
      </c>
      <c r="J8" s="41" t="s">
        <v>901</v>
      </c>
      <c r="O8" s="41" t="s">
        <v>10</v>
      </c>
      <c r="P8" s="41" t="s">
        <v>10</v>
      </c>
      <c r="Q8" s="41" t="s">
        <v>12</v>
      </c>
      <c r="R8" s="41" t="s">
        <v>12</v>
      </c>
    </row>
    <row r="9" spans="1:19" x14ac:dyDescent="0.25">
      <c r="B9" s="41" t="s">
        <v>3</v>
      </c>
      <c r="D9" s="41" t="s">
        <v>0</v>
      </c>
      <c r="E9" s="41" t="s">
        <v>8</v>
      </c>
      <c r="F9" s="41" t="s">
        <v>560</v>
      </c>
      <c r="G9" s="41" t="s">
        <v>561</v>
      </c>
      <c r="H9" s="41" t="s">
        <v>562</v>
      </c>
      <c r="I9" s="41" t="s">
        <v>563</v>
      </c>
      <c r="J9" s="41" t="s">
        <v>564</v>
      </c>
      <c r="K9" s="41" t="s">
        <v>931</v>
      </c>
      <c r="L9" s="41" t="s">
        <v>1</v>
      </c>
      <c r="M9" s="41" t="s">
        <v>2</v>
      </c>
      <c r="N9" s="41" t="s">
        <v>19</v>
      </c>
      <c r="O9" s="41" t="s">
        <v>934</v>
      </c>
      <c r="P9" s="41" t="s">
        <v>13</v>
      </c>
      <c r="Q9" s="41" t="s">
        <v>934</v>
      </c>
      <c r="R9" s="41" t="s">
        <v>13</v>
      </c>
      <c r="S9" s="41" t="s">
        <v>18</v>
      </c>
    </row>
    <row r="10" spans="1:19" x14ac:dyDescent="0.25">
      <c r="B10" s="41" t="s">
        <v>935</v>
      </c>
      <c r="D10" s="41" t="s">
        <v>922</v>
      </c>
      <c r="E10" s="41" t="s">
        <v>21</v>
      </c>
      <c r="F10" s="41" t="s">
        <v>570</v>
      </c>
      <c r="G10" s="41" t="s">
        <v>571</v>
      </c>
      <c r="H10" s="41" t="s">
        <v>572</v>
      </c>
      <c r="I10" s="41" t="s">
        <v>573</v>
      </c>
      <c r="J10" s="41" t="s">
        <v>906</v>
      </c>
      <c r="K10" s="41" t="s">
        <v>936</v>
      </c>
      <c r="L10" s="41" t="s">
        <v>937</v>
      </c>
      <c r="M10" s="41" t="s">
        <v>938</v>
      </c>
      <c r="N10" s="41" t="s">
        <v>22</v>
      </c>
      <c r="O10" s="41" t="s">
        <v>939</v>
      </c>
      <c r="P10" s="41" t="s">
        <v>940</v>
      </c>
      <c r="Q10" s="41" t="s">
        <v>941</v>
      </c>
      <c r="R10" s="41" t="s">
        <v>942</v>
      </c>
      <c r="S10" s="41" t="s">
        <v>943</v>
      </c>
    </row>
    <row r="11" spans="1:19" x14ac:dyDescent="0.25">
      <c r="B11" s="41" t="s">
        <v>944</v>
      </c>
      <c r="D11" s="41" t="s">
        <v>890</v>
      </c>
      <c r="F11" s="41" t="s">
        <v>945</v>
      </c>
      <c r="G11" s="41" t="s">
        <v>946</v>
      </c>
      <c r="H11" s="41" t="s">
        <v>947</v>
      </c>
      <c r="I11" s="41" t="s">
        <v>948</v>
      </c>
      <c r="J11" s="41" t="s">
        <v>949</v>
      </c>
      <c r="K11" s="41" t="s">
        <v>950</v>
      </c>
      <c r="L11" s="41" t="s">
        <v>891</v>
      </c>
    </row>
    <row r="12" spans="1:19" x14ac:dyDescent="0.25">
      <c r="A12" s="41" t="s">
        <v>5</v>
      </c>
      <c r="B12" s="41" t="s">
        <v>892</v>
      </c>
    </row>
    <row r="13" spans="1:19" x14ac:dyDescent="0.25">
      <c r="B13" s="41" t="s">
        <v>893</v>
      </c>
      <c r="F13" s="41" t="s">
        <v>894</v>
      </c>
      <c r="G13" s="41" t="s">
        <v>895</v>
      </c>
      <c r="H13" s="41" t="s">
        <v>896</v>
      </c>
      <c r="I13" s="41" t="s">
        <v>897</v>
      </c>
      <c r="J13" s="41" t="s">
        <v>898</v>
      </c>
      <c r="L13" s="41" t="s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6AEB-22C7-4863-8973-9AB0F00832DD}">
  <dimension ref="A1:S13"/>
  <sheetViews>
    <sheetView workbookViewId="0"/>
  </sheetViews>
  <sheetFormatPr defaultRowHeight="13.2" x14ac:dyDescent="0.25"/>
  <sheetData>
    <row r="1" spans="1:19" x14ac:dyDescent="0.25">
      <c r="A1" s="41" t="s">
        <v>48024</v>
      </c>
      <c r="B1" s="41" t="s">
        <v>9</v>
      </c>
      <c r="C1" s="41" t="s">
        <v>5</v>
      </c>
      <c r="E1" s="41" t="s">
        <v>5</v>
      </c>
      <c r="F1" s="41" t="s">
        <v>5</v>
      </c>
      <c r="J1" s="41" t="s">
        <v>5</v>
      </c>
      <c r="K1" s="41" t="s">
        <v>5</v>
      </c>
      <c r="L1" s="41" t="s">
        <v>5</v>
      </c>
      <c r="R1" s="41" t="s">
        <v>46381</v>
      </c>
      <c r="S1" s="41" t="s">
        <v>46381</v>
      </c>
    </row>
    <row r="2" spans="1:19" x14ac:dyDescent="0.25">
      <c r="D2" s="41" t="s">
        <v>48022</v>
      </c>
    </row>
    <row r="4" spans="1:19" x14ac:dyDescent="0.25">
      <c r="B4" s="41" t="s">
        <v>565</v>
      </c>
      <c r="G4" s="41" t="s">
        <v>20</v>
      </c>
      <c r="H4" s="41" t="s">
        <v>48021</v>
      </c>
    </row>
    <row r="5" spans="1:19" x14ac:dyDescent="0.25">
      <c r="G5" s="41" t="s">
        <v>46384</v>
      </c>
      <c r="H5" s="41" t="s">
        <v>46382</v>
      </c>
    </row>
    <row r="6" spans="1:19" x14ac:dyDescent="0.25">
      <c r="B6" s="41" t="s">
        <v>566</v>
      </c>
      <c r="G6" s="41" t="s">
        <v>46385</v>
      </c>
      <c r="H6" s="41" t="s">
        <v>46383</v>
      </c>
    </row>
    <row r="7" spans="1:19" x14ac:dyDescent="0.25">
      <c r="A7" s="41" t="s">
        <v>5</v>
      </c>
      <c r="B7" s="41" t="s">
        <v>44786</v>
      </c>
      <c r="G7" s="41" t="s">
        <v>46386</v>
      </c>
      <c r="H7" s="41" t="s">
        <v>16</v>
      </c>
    </row>
    <row r="8" spans="1:19" x14ac:dyDescent="0.25">
      <c r="B8" s="41" t="s">
        <v>44787</v>
      </c>
      <c r="F8" s="41" t="s">
        <v>44788</v>
      </c>
    </row>
    <row r="9" spans="1:19" x14ac:dyDescent="0.25">
      <c r="A9" s="41" t="s">
        <v>5</v>
      </c>
      <c r="J9" s="41" t="s">
        <v>10</v>
      </c>
      <c r="K9" s="41" t="s">
        <v>10</v>
      </c>
      <c r="L9" s="41" t="s">
        <v>12</v>
      </c>
      <c r="M9" s="41" t="s">
        <v>12</v>
      </c>
    </row>
    <row r="10" spans="1:19" x14ac:dyDescent="0.25">
      <c r="B10" s="41" t="s">
        <v>3</v>
      </c>
      <c r="D10" s="41" t="s">
        <v>0</v>
      </c>
      <c r="E10" s="41" t="s">
        <v>8</v>
      </c>
      <c r="F10" s="41" t="s">
        <v>564</v>
      </c>
      <c r="G10" s="41" t="s">
        <v>1</v>
      </c>
      <c r="H10" s="41" t="s">
        <v>2</v>
      </c>
      <c r="I10" s="41" t="s">
        <v>19</v>
      </c>
      <c r="J10" s="41" t="s">
        <v>46387</v>
      </c>
      <c r="K10" s="41" t="s">
        <v>13</v>
      </c>
      <c r="L10" s="41" t="s">
        <v>46387</v>
      </c>
      <c r="M10" s="41" t="s">
        <v>13</v>
      </c>
      <c r="N10" s="41" t="s">
        <v>18</v>
      </c>
      <c r="O10" s="41" t="s">
        <v>46378</v>
      </c>
      <c r="P10" s="41" t="s">
        <v>46379</v>
      </c>
      <c r="Q10" s="41" t="s">
        <v>46380</v>
      </c>
      <c r="R10" s="41" t="s">
        <v>48020</v>
      </c>
      <c r="S10" s="41" t="s">
        <v>46382</v>
      </c>
    </row>
    <row r="11" spans="1:19" x14ac:dyDescent="0.25">
      <c r="B11" s="41" t="s">
        <v>46388</v>
      </c>
      <c r="D11" s="41" t="s">
        <v>48019</v>
      </c>
      <c r="E11" s="41" t="s">
        <v>24</v>
      </c>
      <c r="F11" s="41" t="s">
        <v>574</v>
      </c>
      <c r="G11" s="41" t="s">
        <v>46389</v>
      </c>
      <c r="H11" s="41" t="s">
        <v>46390</v>
      </c>
      <c r="I11" s="41" t="s">
        <v>25</v>
      </c>
      <c r="J11" s="41" t="s">
        <v>46391</v>
      </c>
      <c r="K11" s="41" t="s">
        <v>46392</v>
      </c>
      <c r="L11" s="41" t="s">
        <v>46393</v>
      </c>
      <c r="M11" s="41" t="s">
        <v>46394</v>
      </c>
      <c r="N11" s="41" t="s">
        <v>46395</v>
      </c>
      <c r="Q11" s="41" t="s">
        <v>46396</v>
      </c>
      <c r="R11" s="41" t="s">
        <v>46387</v>
      </c>
      <c r="S11" s="41" t="s">
        <v>46397</v>
      </c>
    </row>
    <row r="13" spans="1:19" x14ac:dyDescent="0.25">
      <c r="H13" s="41" t="s">
        <v>4</v>
      </c>
      <c r="I13" s="41" t="s">
        <v>46398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B9AA1-4DA1-4632-8442-CEEDF3A6AF59}">
  <dimension ref="A1:S13"/>
  <sheetViews>
    <sheetView workbookViewId="0"/>
  </sheetViews>
  <sheetFormatPr defaultRowHeight="13.2" x14ac:dyDescent="0.25"/>
  <sheetData>
    <row r="1" spans="1:19" x14ac:dyDescent="0.25">
      <c r="A1" s="41" t="s">
        <v>48024</v>
      </c>
      <c r="B1" s="41" t="s">
        <v>9</v>
      </c>
      <c r="C1" s="41" t="s">
        <v>5</v>
      </c>
      <c r="E1" s="41" t="s">
        <v>5</v>
      </c>
      <c r="F1" s="41" t="s">
        <v>5</v>
      </c>
      <c r="J1" s="41" t="s">
        <v>5</v>
      </c>
      <c r="K1" s="41" t="s">
        <v>5</v>
      </c>
      <c r="L1" s="41" t="s">
        <v>5</v>
      </c>
      <c r="R1" s="41" t="s">
        <v>46381</v>
      </c>
      <c r="S1" s="41" t="s">
        <v>46381</v>
      </c>
    </row>
    <row r="2" spans="1:19" x14ac:dyDescent="0.25">
      <c r="D2" s="41" t="s">
        <v>48022</v>
      </c>
    </row>
    <row r="4" spans="1:19" x14ac:dyDescent="0.25">
      <c r="B4" s="41" t="s">
        <v>565</v>
      </c>
      <c r="G4" s="41" t="s">
        <v>20</v>
      </c>
      <c r="H4" s="41" t="s">
        <v>48021</v>
      </c>
    </row>
    <row r="5" spans="1:19" x14ac:dyDescent="0.25">
      <c r="G5" s="41" t="s">
        <v>46384</v>
      </c>
      <c r="H5" s="41" t="s">
        <v>46382</v>
      </c>
    </row>
    <row r="6" spans="1:19" x14ac:dyDescent="0.25">
      <c r="B6" s="41" t="s">
        <v>566</v>
      </c>
      <c r="G6" s="41" t="s">
        <v>46385</v>
      </c>
      <c r="H6" s="41" t="s">
        <v>46383</v>
      </c>
    </row>
    <row r="7" spans="1:19" x14ac:dyDescent="0.25">
      <c r="A7" s="41" t="s">
        <v>5</v>
      </c>
      <c r="B7" s="41" t="s">
        <v>44786</v>
      </c>
      <c r="G7" s="41" t="s">
        <v>46386</v>
      </c>
      <c r="H7" s="41" t="s">
        <v>16</v>
      </c>
    </row>
    <row r="8" spans="1:19" x14ac:dyDescent="0.25">
      <c r="B8" s="41" t="s">
        <v>44787</v>
      </c>
      <c r="F8" s="41" t="s">
        <v>44788</v>
      </c>
    </row>
    <row r="9" spans="1:19" x14ac:dyDescent="0.25">
      <c r="A9" s="41" t="s">
        <v>5</v>
      </c>
      <c r="J9" s="41" t="s">
        <v>10</v>
      </c>
      <c r="K9" s="41" t="s">
        <v>10</v>
      </c>
      <c r="L9" s="41" t="s">
        <v>12</v>
      </c>
      <c r="M9" s="41" t="s">
        <v>12</v>
      </c>
    </row>
    <row r="10" spans="1:19" x14ac:dyDescent="0.25">
      <c r="B10" s="41" t="s">
        <v>3</v>
      </c>
      <c r="D10" s="41" t="s">
        <v>0</v>
      </c>
      <c r="E10" s="41" t="s">
        <v>8</v>
      </c>
      <c r="F10" s="41" t="s">
        <v>564</v>
      </c>
      <c r="G10" s="41" t="s">
        <v>1</v>
      </c>
      <c r="H10" s="41" t="s">
        <v>2</v>
      </c>
      <c r="I10" s="41" t="s">
        <v>19</v>
      </c>
      <c r="J10" s="41" t="s">
        <v>46387</v>
      </c>
      <c r="K10" s="41" t="s">
        <v>13</v>
      </c>
      <c r="L10" s="41" t="s">
        <v>46387</v>
      </c>
      <c r="M10" s="41" t="s">
        <v>13</v>
      </c>
      <c r="N10" s="41" t="s">
        <v>18</v>
      </c>
      <c r="O10" s="41" t="s">
        <v>46378</v>
      </c>
      <c r="P10" s="41" t="s">
        <v>46379</v>
      </c>
      <c r="Q10" s="41" t="s">
        <v>46380</v>
      </c>
      <c r="R10" s="41" t="s">
        <v>48020</v>
      </c>
      <c r="S10" s="41" t="s">
        <v>46382</v>
      </c>
    </row>
    <row r="11" spans="1:19" x14ac:dyDescent="0.25">
      <c r="B11" s="41" t="s">
        <v>46388</v>
      </c>
      <c r="D11" s="41" t="s">
        <v>48019</v>
      </c>
      <c r="E11" s="41" t="s">
        <v>24</v>
      </c>
      <c r="F11" s="41" t="s">
        <v>574</v>
      </c>
      <c r="G11" s="41" t="s">
        <v>46389</v>
      </c>
      <c r="H11" s="41" t="s">
        <v>46390</v>
      </c>
      <c r="I11" s="41" t="s">
        <v>25</v>
      </c>
      <c r="J11" s="41" t="s">
        <v>46391</v>
      </c>
      <c r="K11" s="41" t="s">
        <v>46392</v>
      </c>
      <c r="L11" s="41" t="s">
        <v>46393</v>
      </c>
      <c r="M11" s="41" t="s">
        <v>46394</v>
      </c>
      <c r="N11" s="41" t="s">
        <v>46395</v>
      </c>
      <c r="Q11" s="41" t="s">
        <v>46396</v>
      </c>
      <c r="R11" s="41" t="s">
        <v>46387</v>
      </c>
      <c r="S11" s="41" t="s">
        <v>46397</v>
      </c>
    </row>
    <row r="13" spans="1:19" x14ac:dyDescent="0.25">
      <c r="H13" s="41" t="s">
        <v>4</v>
      </c>
      <c r="I13" s="41" t="s">
        <v>46398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AD77C-34BA-4880-9A63-552B318D8F76}">
  <dimension ref="A1:S5726"/>
  <sheetViews>
    <sheetView workbookViewId="0"/>
  </sheetViews>
  <sheetFormatPr defaultRowHeight="13.2" x14ac:dyDescent="0.25"/>
  <sheetData>
    <row r="1" spans="1:19" x14ac:dyDescent="0.25">
      <c r="A1" s="41" t="s">
        <v>48026</v>
      </c>
      <c r="B1" s="41" t="s">
        <v>9</v>
      </c>
      <c r="C1" s="41" t="s">
        <v>5</v>
      </c>
      <c r="E1" s="41" t="s">
        <v>5</v>
      </c>
      <c r="F1" s="41" t="s">
        <v>5</v>
      </c>
      <c r="G1" s="41" t="s">
        <v>5</v>
      </c>
      <c r="H1" s="41" t="s">
        <v>5</v>
      </c>
      <c r="I1" s="41" t="s">
        <v>5</v>
      </c>
      <c r="K1" s="41" t="s">
        <v>5</v>
      </c>
      <c r="O1" s="41" t="s">
        <v>5</v>
      </c>
      <c r="P1" s="41" t="s">
        <v>5</v>
      </c>
      <c r="Q1" s="41" t="s">
        <v>5</v>
      </c>
    </row>
    <row r="2" spans="1:19" x14ac:dyDescent="0.25">
      <c r="D2" s="41" t="s">
        <v>887</v>
      </c>
    </row>
    <row r="4" spans="1:19" x14ac:dyDescent="0.25">
      <c r="A4" s="41" t="s">
        <v>5</v>
      </c>
      <c r="B4" s="41" t="s">
        <v>565</v>
      </c>
      <c r="M4" s="41" t="s">
        <v>15</v>
      </c>
    </row>
    <row r="5" spans="1:19" x14ac:dyDescent="0.25">
      <c r="B5" s="41" t="s">
        <v>566</v>
      </c>
      <c r="H5" s="41" t="s">
        <v>1074</v>
      </c>
      <c r="I5" s="41" t="s">
        <v>1073</v>
      </c>
      <c r="L5" s="41" t="s">
        <v>921</v>
      </c>
      <c r="M5" s="41" t="s">
        <v>920</v>
      </c>
    </row>
    <row r="6" spans="1:19" x14ac:dyDescent="0.25">
      <c r="A6" s="41" t="s">
        <v>5</v>
      </c>
      <c r="B6" s="41" t="s">
        <v>567</v>
      </c>
      <c r="J6" s="41" t="s">
        <v>932</v>
      </c>
      <c r="L6" s="41" t="s">
        <v>933</v>
      </c>
      <c r="M6" s="41" t="s">
        <v>16</v>
      </c>
    </row>
    <row r="7" spans="1:19" x14ac:dyDescent="0.25">
      <c r="B7" s="41" t="s">
        <v>568</v>
      </c>
      <c r="J7" s="41" t="s">
        <v>569</v>
      </c>
      <c r="L7" s="41" t="s">
        <v>905</v>
      </c>
    </row>
    <row r="8" spans="1:19" x14ac:dyDescent="0.25">
      <c r="A8" s="41" t="s">
        <v>5</v>
      </c>
      <c r="F8" s="41" t="s">
        <v>889</v>
      </c>
      <c r="G8" s="41" t="s">
        <v>904</v>
      </c>
      <c r="H8" s="41" t="s">
        <v>903</v>
      </c>
      <c r="I8" s="41" t="s">
        <v>902</v>
      </c>
      <c r="J8" s="41" t="s">
        <v>901</v>
      </c>
      <c r="O8" s="41" t="s">
        <v>10</v>
      </c>
      <c r="P8" s="41" t="s">
        <v>10</v>
      </c>
      <c r="Q8" s="41" t="s">
        <v>12</v>
      </c>
      <c r="R8" s="41" t="s">
        <v>12</v>
      </c>
    </row>
    <row r="9" spans="1:19" x14ac:dyDescent="0.25">
      <c r="B9" s="41" t="s">
        <v>3</v>
      </c>
      <c r="D9" s="41" t="s">
        <v>0</v>
      </c>
      <c r="E9" s="41" t="s">
        <v>8</v>
      </c>
      <c r="F9" s="41" t="s">
        <v>560</v>
      </c>
      <c r="G9" s="41" t="s">
        <v>561</v>
      </c>
      <c r="H9" s="41" t="s">
        <v>562</v>
      </c>
      <c r="I9" s="41" t="s">
        <v>563</v>
      </c>
      <c r="J9" s="41" t="s">
        <v>564</v>
      </c>
      <c r="K9" s="41" t="s">
        <v>931</v>
      </c>
      <c r="L9" s="41" t="s">
        <v>1</v>
      </c>
      <c r="M9" s="41" t="s">
        <v>2</v>
      </c>
      <c r="N9" s="41" t="s">
        <v>19</v>
      </c>
      <c r="O9" s="41" t="s">
        <v>934</v>
      </c>
      <c r="P9" s="41" t="s">
        <v>13</v>
      </c>
      <c r="Q9" s="41" t="s">
        <v>934</v>
      </c>
      <c r="R9" s="41" t="s">
        <v>13</v>
      </c>
      <c r="S9" s="41" t="s">
        <v>18</v>
      </c>
    </row>
    <row r="10" spans="1:19" x14ac:dyDescent="0.25">
      <c r="B10" s="41" t="s">
        <v>935</v>
      </c>
      <c r="D10" s="41" t="s">
        <v>922</v>
      </c>
      <c r="E10" s="41" t="s">
        <v>21</v>
      </c>
      <c r="F10" s="41" t="s">
        <v>570</v>
      </c>
      <c r="G10" s="41" t="s">
        <v>571</v>
      </c>
      <c r="H10" s="41" t="s">
        <v>572</v>
      </c>
      <c r="I10" s="41" t="s">
        <v>573</v>
      </c>
      <c r="J10" s="41" t="s">
        <v>906</v>
      </c>
      <c r="K10" s="41" t="s">
        <v>936</v>
      </c>
      <c r="L10" s="41" t="s">
        <v>937</v>
      </c>
      <c r="M10" s="41" t="s">
        <v>938</v>
      </c>
      <c r="N10" s="41" t="s">
        <v>22</v>
      </c>
      <c r="O10" s="41" t="s">
        <v>939</v>
      </c>
      <c r="P10" s="41" t="s">
        <v>940</v>
      </c>
      <c r="Q10" s="41" t="s">
        <v>941</v>
      </c>
      <c r="R10" s="41" t="s">
        <v>942</v>
      </c>
      <c r="S10" s="41" t="s">
        <v>943</v>
      </c>
    </row>
    <row r="11" spans="1:19" x14ac:dyDescent="0.25">
      <c r="B11" s="41" t="s">
        <v>944</v>
      </c>
      <c r="D11" s="41" t="s">
        <v>890</v>
      </c>
      <c r="F11" s="41" t="s">
        <v>945</v>
      </c>
      <c r="G11" s="41" t="s">
        <v>946</v>
      </c>
      <c r="H11" s="41" t="s">
        <v>947</v>
      </c>
      <c r="I11" s="41" t="s">
        <v>948</v>
      </c>
      <c r="J11" s="41" t="s">
        <v>949</v>
      </c>
      <c r="K11" s="41" t="s">
        <v>950</v>
      </c>
      <c r="L11" s="41" t="s">
        <v>891</v>
      </c>
    </row>
    <row r="12" spans="1:19" x14ac:dyDescent="0.25">
      <c r="A12" s="41" t="s">
        <v>23</v>
      </c>
      <c r="B12" s="41" t="s">
        <v>951</v>
      </c>
      <c r="D12" s="41" t="s">
        <v>900</v>
      </c>
      <c r="F12" s="41" t="s">
        <v>952</v>
      </c>
      <c r="G12" s="41" t="s">
        <v>953</v>
      </c>
      <c r="H12" s="41" t="s">
        <v>954</v>
      </c>
      <c r="I12" s="41" t="s">
        <v>955</v>
      </c>
      <c r="J12" s="41" t="s">
        <v>956</v>
      </c>
      <c r="K12" s="41" t="s">
        <v>957</v>
      </c>
      <c r="L12" s="41" t="s">
        <v>1076</v>
      </c>
    </row>
    <row r="13" spans="1:19" x14ac:dyDescent="0.25">
      <c r="A13" s="41" t="s">
        <v>23</v>
      </c>
      <c r="B13" s="41" t="s">
        <v>1077</v>
      </c>
      <c r="D13" s="41" t="s">
        <v>1078</v>
      </c>
      <c r="F13" s="41" t="s">
        <v>1079</v>
      </c>
      <c r="G13" s="41" t="s">
        <v>1080</v>
      </c>
      <c r="H13" s="41" t="s">
        <v>1081</v>
      </c>
      <c r="I13" s="41" t="s">
        <v>1082</v>
      </c>
      <c r="J13" s="41" t="s">
        <v>1083</v>
      </c>
      <c r="K13" s="41" t="s">
        <v>1084</v>
      </c>
      <c r="L13" s="41" t="s">
        <v>1085</v>
      </c>
    </row>
    <row r="14" spans="1:19" x14ac:dyDescent="0.25">
      <c r="A14" s="41" t="s">
        <v>23</v>
      </c>
      <c r="B14" s="41" t="s">
        <v>1086</v>
      </c>
      <c r="D14" s="41" t="s">
        <v>1087</v>
      </c>
      <c r="F14" s="41" t="s">
        <v>1088</v>
      </c>
      <c r="G14" s="41" t="s">
        <v>1089</v>
      </c>
      <c r="H14" s="41" t="s">
        <v>1090</v>
      </c>
      <c r="I14" s="41" t="s">
        <v>1091</v>
      </c>
      <c r="J14" s="41" t="s">
        <v>1092</v>
      </c>
      <c r="K14" s="41" t="s">
        <v>1093</v>
      </c>
      <c r="L14" s="41" t="s">
        <v>1094</v>
      </c>
    </row>
    <row r="15" spans="1:19" x14ac:dyDescent="0.25">
      <c r="A15" s="41" t="s">
        <v>5</v>
      </c>
      <c r="B15" s="41" t="s">
        <v>892</v>
      </c>
    </row>
    <row r="16" spans="1:19" x14ac:dyDescent="0.25">
      <c r="B16" s="41" t="s">
        <v>1095</v>
      </c>
      <c r="F16" s="41" t="s">
        <v>1096</v>
      </c>
      <c r="G16" s="41" t="s">
        <v>1097</v>
      </c>
      <c r="H16" s="41" t="s">
        <v>1098</v>
      </c>
      <c r="I16" s="41" t="s">
        <v>1099</v>
      </c>
      <c r="J16" s="41" t="s">
        <v>1100</v>
      </c>
      <c r="L16" s="41" t="s">
        <v>4</v>
      </c>
    </row>
    <row r="17" spans="1:19" x14ac:dyDescent="0.25">
      <c r="A17" s="41" t="s">
        <v>23</v>
      </c>
      <c r="B17" s="41" t="s">
        <v>958</v>
      </c>
      <c r="D17" s="41" t="s">
        <v>511</v>
      </c>
      <c r="E17" s="41" t="s">
        <v>37</v>
      </c>
      <c r="F17" s="41" t="s">
        <v>580</v>
      </c>
      <c r="G17" s="41" t="s">
        <v>581</v>
      </c>
      <c r="H17" s="41" t="s">
        <v>582</v>
      </c>
      <c r="I17" s="41" t="s">
        <v>583</v>
      </c>
      <c r="J17" s="41" t="s">
        <v>1101</v>
      </c>
      <c r="K17" s="41" t="s">
        <v>959</v>
      </c>
      <c r="L17" s="41" t="s">
        <v>1102</v>
      </c>
      <c r="M17" s="41" t="s">
        <v>1103</v>
      </c>
      <c r="N17" s="41" t="s">
        <v>38</v>
      </c>
      <c r="O17" s="41" t="s">
        <v>1104</v>
      </c>
      <c r="P17" s="41" t="s">
        <v>1105</v>
      </c>
      <c r="Q17" s="41" t="s">
        <v>1106</v>
      </c>
      <c r="R17" s="41" t="s">
        <v>1107</v>
      </c>
      <c r="S17" s="41" t="s">
        <v>1108</v>
      </c>
    </row>
    <row r="18" spans="1:19" x14ac:dyDescent="0.25">
      <c r="A18" s="41" t="s">
        <v>23</v>
      </c>
      <c r="B18" s="41" t="s">
        <v>1109</v>
      </c>
      <c r="D18" s="41" t="s">
        <v>1110</v>
      </c>
      <c r="F18" s="41" t="s">
        <v>1111</v>
      </c>
      <c r="G18" s="41" t="s">
        <v>1112</v>
      </c>
      <c r="H18" s="41" t="s">
        <v>1113</v>
      </c>
      <c r="I18" s="41" t="s">
        <v>1114</v>
      </c>
      <c r="J18" s="41" t="s">
        <v>1115</v>
      </c>
      <c r="K18" s="41" t="s">
        <v>1116</v>
      </c>
      <c r="L18" s="41" t="s">
        <v>891</v>
      </c>
    </row>
    <row r="19" spans="1:19" x14ac:dyDescent="0.25">
      <c r="A19" s="41" t="s">
        <v>23</v>
      </c>
      <c r="B19" s="41" t="s">
        <v>1117</v>
      </c>
      <c r="D19" s="41" t="s">
        <v>1118</v>
      </c>
      <c r="F19" s="41" t="s">
        <v>1119</v>
      </c>
      <c r="G19" s="41" t="s">
        <v>1120</v>
      </c>
      <c r="H19" s="41" t="s">
        <v>1121</v>
      </c>
      <c r="I19" s="41" t="s">
        <v>1122</v>
      </c>
      <c r="J19" s="41" t="s">
        <v>1123</v>
      </c>
      <c r="K19" s="41" t="s">
        <v>1124</v>
      </c>
      <c r="L19" s="41" t="s">
        <v>1076</v>
      </c>
    </row>
    <row r="20" spans="1:19" x14ac:dyDescent="0.25">
      <c r="A20" s="41" t="s">
        <v>23</v>
      </c>
      <c r="B20" s="41" t="s">
        <v>960</v>
      </c>
      <c r="D20" s="41" t="s">
        <v>1125</v>
      </c>
      <c r="F20" s="41" t="s">
        <v>1126</v>
      </c>
      <c r="G20" s="41" t="s">
        <v>1127</v>
      </c>
      <c r="H20" s="41" t="s">
        <v>1128</v>
      </c>
      <c r="I20" s="41" t="s">
        <v>1129</v>
      </c>
      <c r="J20" s="41" t="s">
        <v>1130</v>
      </c>
      <c r="K20" s="41" t="s">
        <v>961</v>
      </c>
      <c r="L20" s="41" t="s">
        <v>1085</v>
      </c>
    </row>
    <row r="21" spans="1:19" x14ac:dyDescent="0.25">
      <c r="A21" s="41" t="s">
        <v>23</v>
      </c>
      <c r="B21" s="41" t="s">
        <v>962</v>
      </c>
      <c r="D21" s="41" t="s">
        <v>910</v>
      </c>
      <c r="F21" s="41" t="s">
        <v>963</v>
      </c>
      <c r="G21" s="41" t="s">
        <v>964</v>
      </c>
      <c r="H21" s="41" t="s">
        <v>965</v>
      </c>
      <c r="I21" s="41" t="s">
        <v>966</v>
      </c>
      <c r="J21" s="41" t="s">
        <v>967</v>
      </c>
      <c r="K21" s="41" t="s">
        <v>968</v>
      </c>
      <c r="L21" s="41" t="s">
        <v>1094</v>
      </c>
    </row>
    <row r="22" spans="1:19" x14ac:dyDescent="0.25">
      <c r="A22" s="41" t="s">
        <v>908</v>
      </c>
      <c r="B22" s="41" t="s">
        <v>909</v>
      </c>
    </row>
    <row r="23" spans="1:19" x14ac:dyDescent="0.25">
      <c r="A23" s="41" t="s">
        <v>23</v>
      </c>
      <c r="B23" s="41" t="s">
        <v>1131</v>
      </c>
      <c r="F23" s="41" t="s">
        <v>1132</v>
      </c>
      <c r="G23" s="41" t="s">
        <v>1133</v>
      </c>
      <c r="H23" s="41" t="s">
        <v>1134</v>
      </c>
      <c r="I23" s="41" t="s">
        <v>1135</v>
      </c>
      <c r="J23" s="41" t="s">
        <v>1136</v>
      </c>
      <c r="L23" s="41" t="s">
        <v>4</v>
      </c>
    </row>
    <row r="24" spans="1:19" x14ac:dyDescent="0.25">
      <c r="A24" s="41" t="s">
        <v>23</v>
      </c>
      <c r="B24" s="41" t="s">
        <v>1137</v>
      </c>
      <c r="D24" s="41" t="s">
        <v>512</v>
      </c>
      <c r="E24" s="41" t="s">
        <v>54</v>
      </c>
      <c r="F24" s="41" t="s">
        <v>591</v>
      </c>
      <c r="G24" s="41" t="s">
        <v>592</v>
      </c>
      <c r="H24" s="41" t="s">
        <v>593</v>
      </c>
      <c r="I24" s="41" t="s">
        <v>594</v>
      </c>
      <c r="J24" s="41" t="s">
        <v>1138</v>
      </c>
      <c r="K24" s="41" t="s">
        <v>1139</v>
      </c>
      <c r="L24" s="41" t="s">
        <v>1140</v>
      </c>
      <c r="M24" s="41" t="s">
        <v>1141</v>
      </c>
      <c r="N24" s="41" t="s">
        <v>55</v>
      </c>
      <c r="O24" s="41" t="s">
        <v>1142</v>
      </c>
      <c r="P24" s="41" t="s">
        <v>1143</v>
      </c>
      <c r="Q24" s="41" t="s">
        <v>1144</v>
      </c>
      <c r="R24" s="41" t="s">
        <v>1145</v>
      </c>
      <c r="S24" s="41" t="s">
        <v>1146</v>
      </c>
    </row>
    <row r="25" spans="1:19" x14ac:dyDescent="0.25">
      <c r="A25" s="41" t="s">
        <v>23</v>
      </c>
      <c r="B25" s="41" t="s">
        <v>969</v>
      </c>
      <c r="D25" s="41" t="s">
        <v>1147</v>
      </c>
      <c r="F25" s="41" t="s">
        <v>1148</v>
      </c>
      <c r="G25" s="41" t="s">
        <v>1149</v>
      </c>
      <c r="H25" s="41" t="s">
        <v>1150</v>
      </c>
      <c r="I25" s="41" t="s">
        <v>1151</v>
      </c>
      <c r="J25" s="41" t="s">
        <v>1152</v>
      </c>
      <c r="K25" s="41" t="s">
        <v>970</v>
      </c>
      <c r="L25" s="41" t="s">
        <v>891</v>
      </c>
    </row>
    <row r="26" spans="1:19" x14ac:dyDescent="0.25">
      <c r="A26" s="41" t="s">
        <v>23</v>
      </c>
      <c r="B26" s="41" t="s">
        <v>971</v>
      </c>
      <c r="D26" s="41" t="s">
        <v>923</v>
      </c>
      <c r="F26" s="41" t="s">
        <v>972</v>
      </c>
      <c r="G26" s="41" t="s">
        <v>973</v>
      </c>
      <c r="H26" s="41" t="s">
        <v>974</v>
      </c>
      <c r="I26" s="41" t="s">
        <v>975</v>
      </c>
      <c r="J26" s="41" t="s">
        <v>976</v>
      </c>
      <c r="K26" s="41" t="s">
        <v>977</v>
      </c>
      <c r="L26" s="41" t="s">
        <v>1076</v>
      </c>
    </row>
    <row r="27" spans="1:19" x14ac:dyDescent="0.25">
      <c r="A27" s="41" t="s">
        <v>23</v>
      </c>
      <c r="B27" s="41" t="s">
        <v>978</v>
      </c>
      <c r="D27" s="41" t="s">
        <v>911</v>
      </c>
      <c r="F27" s="41" t="s">
        <v>979</v>
      </c>
      <c r="G27" s="41" t="s">
        <v>980</v>
      </c>
      <c r="H27" s="41" t="s">
        <v>981</v>
      </c>
      <c r="I27" s="41" t="s">
        <v>982</v>
      </c>
      <c r="J27" s="41" t="s">
        <v>983</v>
      </c>
      <c r="K27" s="41" t="s">
        <v>984</v>
      </c>
      <c r="L27" s="41" t="s">
        <v>1085</v>
      </c>
    </row>
    <row r="28" spans="1:19" x14ac:dyDescent="0.25">
      <c r="A28" s="41" t="s">
        <v>23</v>
      </c>
      <c r="B28" s="41" t="s">
        <v>1153</v>
      </c>
      <c r="D28" s="41" t="s">
        <v>1154</v>
      </c>
      <c r="F28" s="41" t="s">
        <v>1155</v>
      </c>
      <c r="G28" s="41" t="s">
        <v>1156</v>
      </c>
      <c r="H28" s="41" t="s">
        <v>1157</v>
      </c>
      <c r="I28" s="41" t="s">
        <v>1158</v>
      </c>
      <c r="J28" s="41" t="s">
        <v>1159</v>
      </c>
      <c r="K28" s="41" t="s">
        <v>1160</v>
      </c>
      <c r="L28" s="41" t="s">
        <v>1094</v>
      </c>
    </row>
    <row r="29" spans="1:19" x14ac:dyDescent="0.25">
      <c r="A29" s="41" t="s">
        <v>908</v>
      </c>
      <c r="B29" s="41" t="s">
        <v>1161</v>
      </c>
    </row>
    <row r="30" spans="1:19" x14ac:dyDescent="0.25">
      <c r="A30" s="41" t="s">
        <v>23</v>
      </c>
      <c r="B30" s="41" t="s">
        <v>1162</v>
      </c>
      <c r="F30" s="41" t="s">
        <v>1163</v>
      </c>
      <c r="G30" s="41" t="s">
        <v>1164</v>
      </c>
      <c r="H30" s="41" t="s">
        <v>1165</v>
      </c>
      <c r="I30" s="41" t="s">
        <v>1166</v>
      </c>
      <c r="J30" s="41" t="s">
        <v>1167</v>
      </c>
      <c r="L30" s="41" t="s">
        <v>4</v>
      </c>
    </row>
    <row r="31" spans="1:19" x14ac:dyDescent="0.25">
      <c r="A31" s="41" t="s">
        <v>23</v>
      </c>
      <c r="B31" s="41" t="s">
        <v>985</v>
      </c>
      <c r="D31" s="41" t="s">
        <v>513</v>
      </c>
      <c r="E31" s="41" t="s">
        <v>69</v>
      </c>
      <c r="F31" s="41" t="s">
        <v>602</v>
      </c>
      <c r="G31" s="41" t="s">
        <v>603</v>
      </c>
      <c r="H31" s="41" t="s">
        <v>604</v>
      </c>
      <c r="I31" s="41" t="s">
        <v>605</v>
      </c>
      <c r="J31" s="41" t="s">
        <v>1168</v>
      </c>
      <c r="K31" s="41" t="s">
        <v>986</v>
      </c>
      <c r="L31" s="41" t="s">
        <v>1169</v>
      </c>
      <c r="M31" s="41" t="s">
        <v>1170</v>
      </c>
      <c r="N31" s="41" t="s">
        <v>70</v>
      </c>
      <c r="O31" s="41" t="s">
        <v>1171</v>
      </c>
      <c r="P31" s="41" t="s">
        <v>1172</v>
      </c>
      <c r="Q31" s="41" t="s">
        <v>1173</v>
      </c>
      <c r="R31" s="41" t="s">
        <v>1174</v>
      </c>
      <c r="S31" s="41" t="s">
        <v>1175</v>
      </c>
    </row>
    <row r="32" spans="1:19" x14ac:dyDescent="0.25">
      <c r="A32" s="41" t="s">
        <v>23</v>
      </c>
      <c r="B32" s="41" t="s">
        <v>987</v>
      </c>
      <c r="D32" s="41" t="s">
        <v>924</v>
      </c>
      <c r="F32" s="41" t="s">
        <v>988</v>
      </c>
      <c r="G32" s="41" t="s">
        <v>989</v>
      </c>
      <c r="H32" s="41" t="s">
        <v>990</v>
      </c>
      <c r="I32" s="41" t="s">
        <v>991</v>
      </c>
      <c r="J32" s="41" t="s">
        <v>992</v>
      </c>
      <c r="K32" s="41" t="s">
        <v>993</v>
      </c>
      <c r="L32" s="41" t="s">
        <v>891</v>
      </c>
    </row>
    <row r="33" spans="1:19" x14ac:dyDescent="0.25">
      <c r="A33" s="41" t="s">
        <v>23</v>
      </c>
      <c r="B33" s="41" t="s">
        <v>1176</v>
      </c>
      <c r="D33" s="41" t="s">
        <v>1177</v>
      </c>
      <c r="F33" s="41" t="s">
        <v>1178</v>
      </c>
      <c r="G33" s="41" t="s">
        <v>1179</v>
      </c>
      <c r="H33" s="41" t="s">
        <v>1180</v>
      </c>
      <c r="I33" s="41" t="s">
        <v>1181</v>
      </c>
      <c r="J33" s="41" t="s">
        <v>1182</v>
      </c>
      <c r="K33" s="41" t="s">
        <v>1183</v>
      </c>
      <c r="L33" s="41" t="s">
        <v>1076</v>
      </c>
    </row>
    <row r="34" spans="1:19" x14ac:dyDescent="0.25">
      <c r="A34" s="41" t="s">
        <v>23</v>
      </c>
      <c r="B34" s="41" t="s">
        <v>1184</v>
      </c>
      <c r="D34" s="41" t="s">
        <v>1185</v>
      </c>
      <c r="F34" s="41" t="s">
        <v>1186</v>
      </c>
      <c r="G34" s="41" t="s">
        <v>1187</v>
      </c>
      <c r="H34" s="41" t="s">
        <v>1188</v>
      </c>
      <c r="I34" s="41" t="s">
        <v>1189</v>
      </c>
      <c r="J34" s="41" t="s">
        <v>1190</v>
      </c>
      <c r="K34" s="41" t="s">
        <v>1191</v>
      </c>
      <c r="L34" s="41" t="s">
        <v>1085</v>
      </c>
    </row>
    <row r="35" spans="1:19" x14ac:dyDescent="0.25">
      <c r="A35" s="41" t="s">
        <v>23</v>
      </c>
      <c r="B35" s="41" t="s">
        <v>994</v>
      </c>
      <c r="D35" s="41" t="s">
        <v>1192</v>
      </c>
      <c r="F35" s="41" t="s">
        <v>1193</v>
      </c>
      <c r="G35" s="41" t="s">
        <v>1194</v>
      </c>
      <c r="H35" s="41" t="s">
        <v>1195</v>
      </c>
      <c r="I35" s="41" t="s">
        <v>1196</v>
      </c>
      <c r="J35" s="41" t="s">
        <v>1197</v>
      </c>
      <c r="K35" s="41" t="s">
        <v>995</v>
      </c>
      <c r="L35" s="41" t="s">
        <v>1094</v>
      </c>
    </row>
    <row r="36" spans="1:19" x14ac:dyDescent="0.25">
      <c r="A36" s="41" t="s">
        <v>908</v>
      </c>
      <c r="B36" s="41" t="s">
        <v>1198</v>
      </c>
    </row>
    <row r="37" spans="1:19" x14ac:dyDescent="0.25">
      <c r="A37" s="41" t="s">
        <v>23</v>
      </c>
      <c r="B37" s="41" t="s">
        <v>912</v>
      </c>
      <c r="F37" s="41" t="s">
        <v>1199</v>
      </c>
      <c r="G37" s="41" t="s">
        <v>1200</v>
      </c>
      <c r="H37" s="41" t="s">
        <v>1201</v>
      </c>
      <c r="I37" s="41" t="s">
        <v>1202</v>
      </c>
      <c r="J37" s="41" t="s">
        <v>1203</v>
      </c>
      <c r="L37" s="41" t="s">
        <v>4</v>
      </c>
    </row>
    <row r="38" spans="1:19" x14ac:dyDescent="0.25">
      <c r="A38" s="41" t="s">
        <v>23</v>
      </c>
      <c r="B38" s="41" t="s">
        <v>1204</v>
      </c>
      <c r="D38" s="41" t="s">
        <v>870</v>
      </c>
      <c r="E38" s="41" t="s">
        <v>89</v>
      </c>
      <c r="F38" s="41" t="s">
        <v>613</v>
      </c>
      <c r="G38" s="41" t="s">
        <v>614</v>
      </c>
      <c r="H38" s="41" t="s">
        <v>615</v>
      </c>
      <c r="I38" s="41" t="s">
        <v>616</v>
      </c>
      <c r="J38" s="41" t="s">
        <v>1205</v>
      </c>
      <c r="K38" s="41" t="s">
        <v>1206</v>
      </c>
      <c r="L38" s="41" t="s">
        <v>1207</v>
      </c>
      <c r="M38" s="41" t="s">
        <v>1208</v>
      </c>
      <c r="N38" s="41" t="s">
        <v>90</v>
      </c>
      <c r="O38" s="41" t="s">
        <v>1209</v>
      </c>
      <c r="P38" s="41" t="s">
        <v>1210</v>
      </c>
      <c r="Q38" s="41" t="s">
        <v>1211</v>
      </c>
      <c r="R38" s="41" t="s">
        <v>1212</v>
      </c>
      <c r="S38" s="41" t="s">
        <v>1213</v>
      </c>
    </row>
    <row r="39" spans="1:19" x14ac:dyDescent="0.25">
      <c r="A39" s="41" t="s">
        <v>23</v>
      </c>
      <c r="B39" s="41" t="s">
        <v>1214</v>
      </c>
      <c r="D39" s="41" t="s">
        <v>1215</v>
      </c>
      <c r="F39" s="41" t="s">
        <v>1216</v>
      </c>
      <c r="G39" s="41" t="s">
        <v>1217</v>
      </c>
      <c r="H39" s="41" t="s">
        <v>1218</v>
      </c>
      <c r="I39" s="41" t="s">
        <v>1219</v>
      </c>
      <c r="J39" s="41" t="s">
        <v>1220</v>
      </c>
      <c r="K39" s="41" t="s">
        <v>1221</v>
      </c>
      <c r="L39" s="41" t="s">
        <v>891</v>
      </c>
    </row>
    <row r="40" spans="1:19" x14ac:dyDescent="0.25">
      <c r="A40" s="41" t="s">
        <v>23</v>
      </c>
      <c r="B40" s="41" t="s">
        <v>996</v>
      </c>
      <c r="D40" s="41" t="s">
        <v>1222</v>
      </c>
      <c r="F40" s="41" t="s">
        <v>1223</v>
      </c>
      <c r="G40" s="41" t="s">
        <v>1224</v>
      </c>
      <c r="H40" s="41" t="s">
        <v>1225</v>
      </c>
      <c r="I40" s="41" t="s">
        <v>1226</v>
      </c>
      <c r="J40" s="41" t="s">
        <v>1227</v>
      </c>
      <c r="K40" s="41" t="s">
        <v>997</v>
      </c>
      <c r="L40" s="41" t="s">
        <v>1076</v>
      </c>
    </row>
    <row r="41" spans="1:19" x14ac:dyDescent="0.25">
      <c r="A41" s="41" t="s">
        <v>23</v>
      </c>
      <c r="B41" s="41" t="s">
        <v>998</v>
      </c>
      <c r="D41" s="41" t="s">
        <v>925</v>
      </c>
      <c r="F41" s="41" t="s">
        <v>999</v>
      </c>
      <c r="G41" s="41" t="s">
        <v>1000</v>
      </c>
      <c r="H41" s="41" t="s">
        <v>1001</v>
      </c>
      <c r="I41" s="41" t="s">
        <v>1002</v>
      </c>
      <c r="J41" s="41" t="s">
        <v>1003</v>
      </c>
      <c r="K41" s="41" t="s">
        <v>1004</v>
      </c>
      <c r="L41" s="41" t="s">
        <v>1085</v>
      </c>
    </row>
    <row r="42" spans="1:19" x14ac:dyDescent="0.25">
      <c r="A42" s="41" t="s">
        <v>23</v>
      </c>
      <c r="B42" s="41" t="s">
        <v>1005</v>
      </c>
      <c r="D42" s="41" t="s">
        <v>926</v>
      </c>
      <c r="F42" s="41" t="s">
        <v>1006</v>
      </c>
      <c r="G42" s="41" t="s">
        <v>1007</v>
      </c>
      <c r="H42" s="41" t="s">
        <v>1008</v>
      </c>
      <c r="I42" s="41" t="s">
        <v>1009</v>
      </c>
      <c r="J42" s="41" t="s">
        <v>1010</v>
      </c>
      <c r="K42" s="41" t="s">
        <v>1011</v>
      </c>
      <c r="L42" s="41" t="s">
        <v>1094</v>
      </c>
    </row>
    <row r="43" spans="1:19" x14ac:dyDescent="0.25">
      <c r="A43" s="41" t="s">
        <v>908</v>
      </c>
      <c r="B43" s="41" t="s">
        <v>1228</v>
      </c>
    </row>
    <row r="44" spans="1:19" x14ac:dyDescent="0.25">
      <c r="A44" s="41" t="s">
        <v>23</v>
      </c>
      <c r="B44" s="41" t="s">
        <v>913</v>
      </c>
      <c r="F44" s="41" t="s">
        <v>1229</v>
      </c>
      <c r="G44" s="41" t="s">
        <v>1230</v>
      </c>
      <c r="H44" s="41" t="s">
        <v>1231</v>
      </c>
      <c r="I44" s="41" t="s">
        <v>1232</v>
      </c>
      <c r="J44" s="41" t="s">
        <v>1233</v>
      </c>
      <c r="L44" s="41" t="s">
        <v>4</v>
      </c>
    </row>
    <row r="45" spans="1:19" x14ac:dyDescent="0.25">
      <c r="A45" s="41" t="s">
        <v>23</v>
      </c>
      <c r="B45" s="41" t="s">
        <v>1012</v>
      </c>
      <c r="D45" s="41" t="s">
        <v>871</v>
      </c>
      <c r="E45" s="41" t="s">
        <v>105</v>
      </c>
      <c r="F45" s="41" t="s">
        <v>624</v>
      </c>
      <c r="G45" s="41" t="s">
        <v>625</v>
      </c>
      <c r="H45" s="41" t="s">
        <v>626</v>
      </c>
      <c r="I45" s="41" t="s">
        <v>627</v>
      </c>
      <c r="J45" s="41" t="s">
        <v>927</v>
      </c>
      <c r="K45" s="41" t="s">
        <v>1013</v>
      </c>
      <c r="L45" s="41" t="s">
        <v>1014</v>
      </c>
      <c r="M45" s="41" t="s">
        <v>1015</v>
      </c>
      <c r="N45" s="41" t="s">
        <v>106</v>
      </c>
      <c r="O45" s="41" t="s">
        <v>1016</v>
      </c>
      <c r="P45" s="41" t="s">
        <v>1017</v>
      </c>
      <c r="Q45" s="41" t="s">
        <v>1018</v>
      </c>
      <c r="R45" s="41" t="s">
        <v>1019</v>
      </c>
      <c r="S45" s="41" t="s">
        <v>1020</v>
      </c>
    </row>
    <row r="46" spans="1:19" x14ac:dyDescent="0.25">
      <c r="A46" s="41" t="s">
        <v>23</v>
      </c>
      <c r="B46" s="41" t="s">
        <v>1021</v>
      </c>
      <c r="D46" s="41" t="s">
        <v>914</v>
      </c>
      <c r="F46" s="41" t="s">
        <v>1022</v>
      </c>
      <c r="G46" s="41" t="s">
        <v>1023</v>
      </c>
      <c r="H46" s="41" t="s">
        <v>1024</v>
      </c>
      <c r="I46" s="41" t="s">
        <v>1025</v>
      </c>
      <c r="J46" s="41" t="s">
        <v>1026</v>
      </c>
      <c r="K46" s="41" t="s">
        <v>1027</v>
      </c>
      <c r="L46" s="41" t="s">
        <v>891</v>
      </c>
    </row>
    <row r="47" spans="1:19" x14ac:dyDescent="0.25">
      <c r="A47" s="41" t="s">
        <v>23</v>
      </c>
      <c r="B47" s="41" t="s">
        <v>1028</v>
      </c>
      <c r="D47" s="41" t="s">
        <v>929</v>
      </c>
      <c r="F47" s="41" t="s">
        <v>1029</v>
      </c>
      <c r="G47" s="41" t="s">
        <v>1030</v>
      </c>
      <c r="H47" s="41" t="s">
        <v>1031</v>
      </c>
      <c r="I47" s="41" t="s">
        <v>1032</v>
      </c>
      <c r="J47" s="41" t="s">
        <v>1033</v>
      </c>
      <c r="K47" s="41" t="s">
        <v>1034</v>
      </c>
      <c r="L47" s="41" t="s">
        <v>1076</v>
      </c>
    </row>
    <row r="48" spans="1:19" x14ac:dyDescent="0.25">
      <c r="A48" s="41" t="s">
        <v>23</v>
      </c>
      <c r="B48" s="41" t="s">
        <v>1234</v>
      </c>
      <c r="D48" s="41" t="s">
        <v>1235</v>
      </c>
      <c r="F48" s="41" t="s">
        <v>1236</v>
      </c>
      <c r="G48" s="41" t="s">
        <v>1237</v>
      </c>
      <c r="H48" s="41" t="s">
        <v>1238</v>
      </c>
      <c r="I48" s="41" t="s">
        <v>1239</v>
      </c>
      <c r="J48" s="41" t="s">
        <v>1240</v>
      </c>
      <c r="K48" s="41" t="s">
        <v>1241</v>
      </c>
      <c r="L48" s="41" t="s">
        <v>1085</v>
      </c>
    </row>
    <row r="49" spans="1:19" x14ac:dyDescent="0.25">
      <c r="A49" s="41" t="s">
        <v>23</v>
      </c>
      <c r="B49" s="41" t="s">
        <v>1242</v>
      </c>
      <c r="D49" s="41" t="s">
        <v>1243</v>
      </c>
      <c r="F49" s="41" t="s">
        <v>1244</v>
      </c>
      <c r="G49" s="41" t="s">
        <v>1245</v>
      </c>
      <c r="H49" s="41" t="s">
        <v>1246</v>
      </c>
      <c r="I49" s="41" t="s">
        <v>1247</v>
      </c>
      <c r="J49" s="41" t="s">
        <v>1248</v>
      </c>
      <c r="K49" s="41" t="s">
        <v>1249</v>
      </c>
      <c r="L49" s="41" t="s">
        <v>1094</v>
      </c>
    </row>
    <row r="50" spans="1:19" x14ac:dyDescent="0.25">
      <c r="A50" s="41" t="s">
        <v>908</v>
      </c>
      <c r="B50" s="41" t="s">
        <v>928</v>
      </c>
    </row>
    <row r="51" spans="1:19" x14ac:dyDescent="0.25">
      <c r="A51" s="41" t="s">
        <v>23</v>
      </c>
      <c r="B51" s="41" t="s">
        <v>1250</v>
      </c>
      <c r="F51" s="41" t="s">
        <v>1251</v>
      </c>
      <c r="G51" s="41" t="s">
        <v>1252</v>
      </c>
      <c r="H51" s="41" t="s">
        <v>1253</v>
      </c>
      <c r="I51" s="41" t="s">
        <v>1254</v>
      </c>
      <c r="J51" s="41" t="s">
        <v>1255</v>
      </c>
      <c r="L51" s="41" t="s">
        <v>4</v>
      </c>
    </row>
    <row r="52" spans="1:19" x14ac:dyDescent="0.25">
      <c r="A52" s="41" t="s">
        <v>23</v>
      </c>
      <c r="B52" s="41" t="s">
        <v>1035</v>
      </c>
      <c r="D52" s="41" t="s">
        <v>872</v>
      </c>
      <c r="E52" s="41" t="s">
        <v>125</v>
      </c>
      <c r="F52" s="41" t="s">
        <v>635</v>
      </c>
      <c r="G52" s="41" t="s">
        <v>636</v>
      </c>
      <c r="H52" s="41" t="s">
        <v>637</v>
      </c>
      <c r="I52" s="41" t="s">
        <v>638</v>
      </c>
      <c r="J52" s="41" t="s">
        <v>1256</v>
      </c>
      <c r="K52" s="41" t="s">
        <v>1036</v>
      </c>
      <c r="L52" s="41" t="s">
        <v>1257</v>
      </c>
      <c r="M52" s="41" t="s">
        <v>1258</v>
      </c>
      <c r="N52" s="41" t="s">
        <v>126</v>
      </c>
      <c r="O52" s="41" t="s">
        <v>1259</v>
      </c>
      <c r="P52" s="41" t="s">
        <v>1260</v>
      </c>
      <c r="Q52" s="41" t="s">
        <v>1261</v>
      </c>
      <c r="R52" s="41" t="s">
        <v>1262</v>
      </c>
      <c r="S52" s="41" t="s">
        <v>1263</v>
      </c>
    </row>
    <row r="53" spans="1:19" x14ac:dyDescent="0.25">
      <c r="A53" s="41" t="s">
        <v>23</v>
      </c>
      <c r="B53" s="41" t="s">
        <v>1264</v>
      </c>
      <c r="D53" s="41" t="s">
        <v>1265</v>
      </c>
      <c r="F53" s="41" t="s">
        <v>1266</v>
      </c>
      <c r="G53" s="41" t="s">
        <v>1267</v>
      </c>
      <c r="H53" s="41" t="s">
        <v>1268</v>
      </c>
      <c r="I53" s="41" t="s">
        <v>1269</v>
      </c>
      <c r="J53" s="41" t="s">
        <v>1270</v>
      </c>
      <c r="K53" s="41" t="s">
        <v>1271</v>
      </c>
      <c r="L53" s="41" t="s">
        <v>891</v>
      </c>
    </row>
    <row r="54" spans="1:19" x14ac:dyDescent="0.25">
      <c r="A54" s="41" t="s">
        <v>23</v>
      </c>
      <c r="B54" s="41" t="s">
        <v>1272</v>
      </c>
      <c r="D54" s="41" t="s">
        <v>1273</v>
      </c>
      <c r="F54" s="41" t="s">
        <v>1274</v>
      </c>
      <c r="G54" s="41" t="s">
        <v>1275</v>
      </c>
      <c r="H54" s="41" t="s">
        <v>1276</v>
      </c>
      <c r="I54" s="41" t="s">
        <v>1277</v>
      </c>
      <c r="J54" s="41" t="s">
        <v>1278</v>
      </c>
      <c r="K54" s="41" t="s">
        <v>1279</v>
      </c>
      <c r="L54" s="41" t="s">
        <v>1076</v>
      </c>
    </row>
    <row r="55" spans="1:19" x14ac:dyDescent="0.25">
      <c r="A55" s="41" t="s">
        <v>23</v>
      </c>
      <c r="B55" s="41" t="s">
        <v>1037</v>
      </c>
      <c r="D55" s="41" t="s">
        <v>1280</v>
      </c>
      <c r="F55" s="41" t="s">
        <v>1281</v>
      </c>
      <c r="G55" s="41" t="s">
        <v>1282</v>
      </c>
      <c r="H55" s="41" t="s">
        <v>1283</v>
      </c>
      <c r="I55" s="41" t="s">
        <v>1284</v>
      </c>
      <c r="J55" s="41" t="s">
        <v>1285</v>
      </c>
      <c r="K55" s="41" t="s">
        <v>1038</v>
      </c>
      <c r="L55" s="41" t="s">
        <v>1085</v>
      </c>
    </row>
    <row r="56" spans="1:19" x14ac:dyDescent="0.25">
      <c r="A56" s="41" t="s">
        <v>23</v>
      </c>
      <c r="B56" s="41" t="s">
        <v>1039</v>
      </c>
      <c r="D56" s="41" t="s">
        <v>930</v>
      </c>
      <c r="F56" s="41" t="s">
        <v>1040</v>
      </c>
      <c r="G56" s="41" t="s">
        <v>1041</v>
      </c>
      <c r="H56" s="41" t="s">
        <v>1042</v>
      </c>
      <c r="I56" s="41" t="s">
        <v>1043</v>
      </c>
      <c r="J56" s="41" t="s">
        <v>1044</v>
      </c>
      <c r="K56" s="41" t="s">
        <v>1045</v>
      </c>
      <c r="L56" s="41" t="s">
        <v>1094</v>
      </c>
    </row>
    <row r="57" spans="1:19" x14ac:dyDescent="0.25">
      <c r="A57" s="41" t="s">
        <v>908</v>
      </c>
      <c r="B57" s="41" t="s">
        <v>915</v>
      </c>
    </row>
    <row r="58" spans="1:19" x14ac:dyDescent="0.25">
      <c r="A58" s="41" t="s">
        <v>23</v>
      </c>
      <c r="B58" s="41" t="s">
        <v>1286</v>
      </c>
      <c r="F58" s="41" t="s">
        <v>1287</v>
      </c>
      <c r="G58" s="41" t="s">
        <v>1288</v>
      </c>
      <c r="H58" s="41" t="s">
        <v>1289</v>
      </c>
      <c r="I58" s="41" t="s">
        <v>1290</v>
      </c>
      <c r="J58" s="41" t="s">
        <v>1291</v>
      </c>
      <c r="L58" s="41" t="s">
        <v>4</v>
      </c>
    </row>
    <row r="59" spans="1:19" x14ac:dyDescent="0.25">
      <c r="A59" s="41" t="s">
        <v>23</v>
      </c>
      <c r="B59" s="41" t="s">
        <v>1292</v>
      </c>
      <c r="D59" s="41" t="s">
        <v>514</v>
      </c>
      <c r="E59" s="41" t="s">
        <v>143</v>
      </c>
      <c r="F59" s="41" t="s">
        <v>646</v>
      </c>
      <c r="G59" s="41" t="s">
        <v>647</v>
      </c>
      <c r="H59" s="41" t="s">
        <v>648</v>
      </c>
      <c r="I59" s="41" t="s">
        <v>649</v>
      </c>
      <c r="J59" s="41" t="s">
        <v>1293</v>
      </c>
      <c r="K59" s="41" t="s">
        <v>1294</v>
      </c>
      <c r="L59" s="41" t="s">
        <v>1295</v>
      </c>
      <c r="M59" s="41" t="s">
        <v>1296</v>
      </c>
      <c r="N59" s="41" t="s">
        <v>144</v>
      </c>
      <c r="O59" s="41" t="s">
        <v>1297</v>
      </c>
      <c r="P59" s="41" t="s">
        <v>1298</v>
      </c>
      <c r="Q59" s="41" t="s">
        <v>1299</v>
      </c>
      <c r="R59" s="41" t="s">
        <v>1300</v>
      </c>
      <c r="S59" s="41" t="s">
        <v>1301</v>
      </c>
    </row>
    <row r="60" spans="1:19" x14ac:dyDescent="0.25">
      <c r="A60" s="41" t="s">
        <v>23</v>
      </c>
      <c r="B60" s="41" t="s">
        <v>1046</v>
      </c>
      <c r="D60" s="41" t="s">
        <v>1302</v>
      </c>
      <c r="F60" s="41" t="s">
        <v>1303</v>
      </c>
      <c r="G60" s="41" t="s">
        <v>1304</v>
      </c>
      <c r="H60" s="41" t="s">
        <v>1305</v>
      </c>
      <c r="I60" s="41" t="s">
        <v>1306</v>
      </c>
      <c r="J60" s="41" t="s">
        <v>1307</v>
      </c>
      <c r="K60" s="41" t="s">
        <v>1047</v>
      </c>
      <c r="L60" s="41" t="s">
        <v>891</v>
      </c>
    </row>
    <row r="61" spans="1:19" x14ac:dyDescent="0.25">
      <c r="A61" s="41" t="s">
        <v>23</v>
      </c>
      <c r="B61" s="41" t="s">
        <v>1048</v>
      </c>
      <c r="D61" s="41" t="s">
        <v>916</v>
      </c>
      <c r="F61" s="41" t="s">
        <v>1049</v>
      </c>
      <c r="G61" s="41" t="s">
        <v>1050</v>
      </c>
      <c r="H61" s="41" t="s">
        <v>1051</v>
      </c>
      <c r="I61" s="41" t="s">
        <v>1052</v>
      </c>
      <c r="J61" s="41" t="s">
        <v>1053</v>
      </c>
      <c r="K61" s="41" t="s">
        <v>1054</v>
      </c>
      <c r="L61" s="41" t="s">
        <v>1076</v>
      </c>
    </row>
    <row r="62" spans="1:19" x14ac:dyDescent="0.25">
      <c r="A62" s="41" t="s">
        <v>23</v>
      </c>
      <c r="B62" s="41" t="s">
        <v>1055</v>
      </c>
      <c r="D62" s="41" t="s">
        <v>917</v>
      </c>
      <c r="F62" s="41" t="s">
        <v>1056</v>
      </c>
      <c r="G62" s="41" t="s">
        <v>1057</v>
      </c>
      <c r="H62" s="41" t="s">
        <v>1058</v>
      </c>
      <c r="I62" s="41" t="s">
        <v>1059</v>
      </c>
      <c r="J62" s="41" t="s">
        <v>1060</v>
      </c>
      <c r="K62" s="41" t="s">
        <v>1061</v>
      </c>
      <c r="L62" s="41" t="s">
        <v>1085</v>
      </c>
    </row>
    <row r="63" spans="1:19" x14ac:dyDescent="0.25">
      <c r="A63" s="41" t="s">
        <v>23</v>
      </c>
      <c r="B63" s="41" t="s">
        <v>1308</v>
      </c>
      <c r="D63" s="41" t="s">
        <v>1309</v>
      </c>
      <c r="F63" s="41" t="s">
        <v>1310</v>
      </c>
      <c r="G63" s="41" t="s">
        <v>1311</v>
      </c>
      <c r="H63" s="41" t="s">
        <v>1312</v>
      </c>
      <c r="I63" s="41" t="s">
        <v>1313</v>
      </c>
      <c r="J63" s="41" t="s">
        <v>1314</v>
      </c>
      <c r="K63" s="41" t="s">
        <v>1315</v>
      </c>
      <c r="L63" s="41" t="s">
        <v>1094</v>
      </c>
    </row>
    <row r="64" spans="1:19" x14ac:dyDescent="0.25">
      <c r="A64" s="41" t="s">
        <v>908</v>
      </c>
      <c r="B64" s="41" t="s">
        <v>1316</v>
      </c>
    </row>
    <row r="65" spans="1:19" x14ac:dyDescent="0.25">
      <c r="A65" s="41" t="s">
        <v>23</v>
      </c>
      <c r="B65" s="41" t="s">
        <v>1317</v>
      </c>
      <c r="F65" s="41" t="s">
        <v>1318</v>
      </c>
      <c r="G65" s="41" t="s">
        <v>1319</v>
      </c>
      <c r="H65" s="41" t="s">
        <v>1320</v>
      </c>
      <c r="I65" s="41" t="s">
        <v>1321</v>
      </c>
      <c r="J65" s="41" t="s">
        <v>1322</v>
      </c>
      <c r="L65" s="41" t="s">
        <v>4</v>
      </c>
    </row>
    <row r="66" spans="1:19" x14ac:dyDescent="0.25">
      <c r="A66" s="41" t="s">
        <v>23</v>
      </c>
      <c r="B66" s="41" t="s">
        <v>1062</v>
      </c>
      <c r="D66" s="41" t="s">
        <v>515</v>
      </c>
      <c r="E66" s="41" t="s">
        <v>1323</v>
      </c>
      <c r="F66" s="41" t="s">
        <v>657</v>
      </c>
      <c r="G66" s="41" t="s">
        <v>658</v>
      </c>
      <c r="H66" s="41" t="s">
        <v>659</v>
      </c>
      <c r="I66" s="41" t="s">
        <v>660</v>
      </c>
      <c r="J66" s="41" t="s">
        <v>1324</v>
      </c>
      <c r="K66" s="41" t="s">
        <v>1063</v>
      </c>
      <c r="L66" s="41" t="s">
        <v>1325</v>
      </c>
      <c r="M66" s="41" t="s">
        <v>1326</v>
      </c>
      <c r="N66" s="41" t="s">
        <v>162</v>
      </c>
      <c r="O66" s="41" t="s">
        <v>1327</v>
      </c>
      <c r="P66" s="41" t="s">
        <v>1328</v>
      </c>
      <c r="Q66" s="41" t="s">
        <v>1329</v>
      </c>
      <c r="R66" s="41" t="s">
        <v>1330</v>
      </c>
      <c r="S66" s="41" t="s">
        <v>1331</v>
      </c>
    </row>
    <row r="67" spans="1:19" x14ac:dyDescent="0.25">
      <c r="A67" s="41" t="s">
        <v>23</v>
      </c>
      <c r="B67" s="41" t="s">
        <v>1064</v>
      </c>
      <c r="D67" s="41" t="s">
        <v>918</v>
      </c>
      <c r="F67" s="41" t="s">
        <v>1065</v>
      </c>
      <c r="G67" s="41" t="s">
        <v>1066</v>
      </c>
      <c r="H67" s="41" t="s">
        <v>1067</v>
      </c>
      <c r="I67" s="41" t="s">
        <v>1068</v>
      </c>
      <c r="J67" s="41" t="s">
        <v>1069</v>
      </c>
      <c r="K67" s="41" t="s">
        <v>1070</v>
      </c>
      <c r="L67" s="41" t="s">
        <v>891</v>
      </c>
    </row>
    <row r="68" spans="1:19" x14ac:dyDescent="0.25">
      <c r="A68" s="41" t="s">
        <v>23</v>
      </c>
      <c r="B68" s="41" t="s">
        <v>1332</v>
      </c>
      <c r="D68" s="41" t="s">
        <v>1333</v>
      </c>
      <c r="F68" s="41" t="s">
        <v>1334</v>
      </c>
      <c r="G68" s="41" t="s">
        <v>1335</v>
      </c>
      <c r="H68" s="41" t="s">
        <v>1336</v>
      </c>
      <c r="I68" s="41" t="s">
        <v>1337</v>
      </c>
      <c r="J68" s="41" t="s">
        <v>1338</v>
      </c>
      <c r="K68" s="41" t="s">
        <v>1339</v>
      </c>
      <c r="L68" s="41" t="s">
        <v>1076</v>
      </c>
    </row>
    <row r="69" spans="1:19" x14ac:dyDescent="0.25">
      <c r="A69" s="41" t="s">
        <v>23</v>
      </c>
      <c r="B69" s="41" t="s">
        <v>1340</v>
      </c>
      <c r="D69" s="41" t="s">
        <v>1341</v>
      </c>
      <c r="F69" s="41" t="s">
        <v>1342</v>
      </c>
      <c r="G69" s="41" t="s">
        <v>1343</v>
      </c>
      <c r="H69" s="41" t="s">
        <v>1344</v>
      </c>
      <c r="I69" s="41" t="s">
        <v>1345</v>
      </c>
      <c r="J69" s="41" t="s">
        <v>1346</v>
      </c>
      <c r="K69" s="41" t="s">
        <v>1347</v>
      </c>
      <c r="L69" s="41" t="s">
        <v>1085</v>
      </c>
    </row>
    <row r="70" spans="1:19" x14ac:dyDescent="0.25">
      <c r="A70" s="41" t="s">
        <v>23</v>
      </c>
      <c r="B70" s="41" t="s">
        <v>1071</v>
      </c>
      <c r="D70" s="41" t="s">
        <v>1348</v>
      </c>
      <c r="F70" s="41" t="s">
        <v>1349</v>
      </c>
      <c r="G70" s="41" t="s">
        <v>1350</v>
      </c>
      <c r="H70" s="41" t="s">
        <v>1351</v>
      </c>
      <c r="I70" s="41" t="s">
        <v>1352</v>
      </c>
      <c r="J70" s="41" t="s">
        <v>1353</v>
      </c>
      <c r="K70" s="41" t="s">
        <v>1072</v>
      </c>
      <c r="L70" s="41" t="s">
        <v>1094</v>
      </c>
    </row>
    <row r="71" spans="1:19" x14ac:dyDescent="0.25">
      <c r="A71" s="41" t="s">
        <v>908</v>
      </c>
      <c r="B71" s="41" t="s">
        <v>1354</v>
      </c>
    </row>
    <row r="72" spans="1:19" x14ac:dyDescent="0.25">
      <c r="A72" s="41" t="s">
        <v>23</v>
      </c>
      <c r="B72" s="41" t="s">
        <v>919</v>
      </c>
      <c r="F72" s="41" t="s">
        <v>1355</v>
      </c>
      <c r="G72" s="41" t="s">
        <v>1356</v>
      </c>
      <c r="H72" s="41" t="s">
        <v>1357</v>
      </c>
      <c r="I72" s="41" t="s">
        <v>1358</v>
      </c>
      <c r="J72" s="41" t="s">
        <v>1359</v>
      </c>
      <c r="L72" s="41" t="s">
        <v>4</v>
      </c>
    </row>
    <row r="73" spans="1:19" x14ac:dyDescent="0.25">
      <c r="A73" s="41" t="s">
        <v>23</v>
      </c>
      <c r="B73" s="41" t="s">
        <v>1360</v>
      </c>
      <c r="D73" s="41" t="s">
        <v>516</v>
      </c>
      <c r="E73" s="41" t="s">
        <v>173</v>
      </c>
      <c r="F73" s="41" t="s">
        <v>668</v>
      </c>
      <c r="G73" s="41" t="s">
        <v>669</v>
      </c>
      <c r="H73" s="41" t="s">
        <v>670</v>
      </c>
      <c r="I73" s="41" t="s">
        <v>671</v>
      </c>
      <c r="J73" s="41" t="s">
        <v>1361</v>
      </c>
      <c r="K73" s="41" t="s">
        <v>1362</v>
      </c>
      <c r="L73" s="41" t="s">
        <v>1363</v>
      </c>
      <c r="M73" s="41" t="s">
        <v>1364</v>
      </c>
      <c r="N73" s="41" t="s">
        <v>174</v>
      </c>
      <c r="O73" s="41" t="s">
        <v>1365</v>
      </c>
      <c r="P73" s="41" t="s">
        <v>1366</v>
      </c>
      <c r="Q73" s="41" t="s">
        <v>1367</v>
      </c>
      <c r="R73" s="41" t="s">
        <v>1368</v>
      </c>
      <c r="S73" s="41" t="s">
        <v>1369</v>
      </c>
    </row>
    <row r="74" spans="1:19" x14ac:dyDescent="0.25">
      <c r="A74" s="41" t="s">
        <v>23</v>
      </c>
      <c r="B74" s="41" t="s">
        <v>1370</v>
      </c>
      <c r="D74" s="41" t="s">
        <v>1371</v>
      </c>
      <c r="F74" s="41" t="s">
        <v>1372</v>
      </c>
      <c r="G74" s="41" t="s">
        <v>1373</v>
      </c>
      <c r="H74" s="41" t="s">
        <v>1374</v>
      </c>
      <c r="I74" s="41" t="s">
        <v>1375</v>
      </c>
      <c r="J74" s="41" t="s">
        <v>1376</v>
      </c>
      <c r="K74" s="41" t="s">
        <v>1377</v>
      </c>
      <c r="L74" s="41" t="s">
        <v>891</v>
      </c>
    </row>
    <row r="75" spans="1:19" x14ac:dyDescent="0.25">
      <c r="A75" s="41" t="s">
        <v>23</v>
      </c>
      <c r="B75" s="41" t="s">
        <v>1378</v>
      </c>
      <c r="D75" s="41" t="s">
        <v>1379</v>
      </c>
      <c r="F75" s="41" t="s">
        <v>1380</v>
      </c>
      <c r="G75" s="41" t="s">
        <v>1381</v>
      </c>
      <c r="H75" s="41" t="s">
        <v>1382</v>
      </c>
      <c r="I75" s="41" t="s">
        <v>1383</v>
      </c>
      <c r="J75" s="41" t="s">
        <v>1384</v>
      </c>
      <c r="K75" s="41" t="s">
        <v>1385</v>
      </c>
      <c r="L75" s="41" t="s">
        <v>1076</v>
      </c>
    </row>
    <row r="76" spans="1:19" x14ac:dyDescent="0.25">
      <c r="A76" s="41" t="s">
        <v>23</v>
      </c>
      <c r="B76" s="41" t="s">
        <v>1386</v>
      </c>
      <c r="D76" s="41" t="s">
        <v>1387</v>
      </c>
      <c r="F76" s="41" t="s">
        <v>1388</v>
      </c>
      <c r="G76" s="41" t="s">
        <v>1389</v>
      </c>
      <c r="H76" s="41" t="s">
        <v>1390</v>
      </c>
      <c r="I76" s="41" t="s">
        <v>1391</v>
      </c>
      <c r="J76" s="41" t="s">
        <v>1392</v>
      </c>
      <c r="K76" s="41" t="s">
        <v>1393</v>
      </c>
      <c r="L76" s="41" t="s">
        <v>1085</v>
      </c>
    </row>
    <row r="77" spans="1:19" x14ac:dyDescent="0.25">
      <c r="A77" s="41" t="s">
        <v>23</v>
      </c>
      <c r="B77" s="41" t="s">
        <v>1394</v>
      </c>
      <c r="D77" s="41" t="s">
        <v>1395</v>
      </c>
      <c r="F77" s="41" t="s">
        <v>1396</v>
      </c>
      <c r="G77" s="41" t="s">
        <v>1397</v>
      </c>
      <c r="H77" s="41" t="s">
        <v>1398</v>
      </c>
      <c r="I77" s="41" t="s">
        <v>1399</v>
      </c>
      <c r="J77" s="41" t="s">
        <v>1400</v>
      </c>
      <c r="K77" s="41" t="s">
        <v>1401</v>
      </c>
      <c r="L77" s="41" t="s">
        <v>1094</v>
      </c>
    </row>
    <row r="78" spans="1:19" x14ac:dyDescent="0.25">
      <c r="A78" s="41" t="s">
        <v>908</v>
      </c>
      <c r="B78" s="41" t="s">
        <v>1402</v>
      </c>
    </row>
    <row r="79" spans="1:19" x14ac:dyDescent="0.25">
      <c r="A79" s="41" t="s">
        <v>23</v>
      </c>
      <c r="B79" s="41" t="s">
        <v>1403</v>
      </c>
      <c r="F79" s="41" t="s">
        <v>1404</v>
      </c>
      <c r="G79" s="41" t="s">
        <v>1405</v>
      </c>
      <c r="H79" s="41" t="s">
        <v>1406</v>
      </c>
      <c r="I79" s="41" t="s">
        <v>1407</v>
      </c>
      <c r="J79" s="41" t="s">
        <v>1408</v>
      </c>
      <c r="L79" s="41" t="s">
        <v>4</v>
      </c>
    </row>
    <row r="80" spans="1:19" x14ac:dyDescent="0.25">
      <c r="A80" s="41" t="s">
        <v>23</v>
      </c>
      <c r="B80" s="41" t="s">
        <v>1409</v>
      </c>
      <c r="D80" s="41" t="s">
        <v>873</v>
      </c>
      <c r="E80" s="41" t="s">
        <v>187</v>
      </c>
      <c r="F80" s="41" t="s">
        <v>679</v>
      </c>
      <c r="G80" s="41" t="s">
        <v>680</v>
      </c>
      <c r="H80" s="41" t="s">
        <v>681</v>
      </c>
      <c r="I80" s="41" t="s">
        <v>682</v>
      </c>
      <c r="J80" s="41" t="s">
        <v>1410</v>
      </c>
      <c r="K80" s="41" t="s">
        <v>1411</v>
      </c>
      <c r="L80" s="41" t="s">
        <v>1412</v>
      </c>
      <c r="M80" s="41" t="s">
        <v>1413</v>
      </c>
      <c r="N80" s="41" t="s">
        <v>188</v>
      </c>
      <c r="O80" s="41" t="s">
        <v>1414</v>
      </c>
      <c r="P80" s="41" t="s">
        <v>1415</v>
      </c>
      <c r="Q80" s="41" t="s">
        <v>1416</v>
      </c>
      <c r="R80" s="41" t="s">
        <v>1417</v>
      </c>
      <c r="S80" s="41" t="s">
        <v>1418</v>
      </c>
    </row>
    <row r="81" spans="1:19" x14ac:dyDescent="0.25">
      <c r="A81" s="41" t="s">
        <v>23</v>
      </c>
      <c r="B81" s="41" t="s">
        <v>1419</v>
      </c>
      <c r="D81" s="41" t="s">
        <v>1420</v>
      </c>
      <c r="F81" s="41" t="s">
        <v>1421</v>
      </c>
      <c r="G81" s="41" t="s">
        <v>1422</v>
      </c>
      <c r="H81" s="41" t="s">
        <v>1423</v>
      </c>
      <c r="I81" s="41" t="s">
        <v>1424</v>
      </c>
      <c r="J81" s="41" t="s">
        <v>1425</v>
      </c>
      <c r="K81" s="41" t="s">
        <v>1426</v>
      </c>
      <c r="L81" s="41" t="s">
        <v>891</v>
      </c>
    </row>
    <row r="82" spans="1:19" x14ac:dyDescent="0.25">
      <c r="A82" s="41" t="s">
        <v>23</v>
      </c>
      <c r="B82" s="41" t="s">
        <v>1427</v>
      </c>
      <c r="D82" s="41" t="s">
        <v>1428</v>
      </c>
      <c r="F82" s="41" t="s">
        <v>1429</v>
      </c>
      <c r="G82" s="41" t="s">
        <v>1430</v>
      </c>
      <c r="H82" s="41" t="s">
        <v>1431</v>
      </c>
      <c r="I82" s="41" t="s">
        <v>1432</v>
      </c>
      <c r="J82" s="41" t="s">
        <v>1433</v>
      </c>
      <c r="K82" s="41" t="s">
        <v>1434</v>
      </c>
      <c r="L82" s="41" t="s">
        <v>1076</v>
      </c>
    </row>
    <row r="83" spans="1:19" x14ac:dyDescent="0.25">
      <c r="A83" s="41" t="s">
        <v>23</v>
      </c>
      <c r="B83" s="41" t="s">
        <v>1435</v>
      </c>
      <c r="D83" s="41" t="s">
        <v>1436</v>
      </c>
      <c r="F83" s="41" t="s">
        <v>1437</v>
      </c>
      <c r="G83" s="41" t="s">
        <v>1438</v>
      </c>
      <c r="H83" s="41" t="s">
        <v>1439</v>
      </c>
      <c r="I83" s="41" t="s">
        <v>1440</v>
      </c>
      <c r="J83" s="41" t="s">
        <v>1441</v>
      </c>
      <c r="K83" s="41" t="s">
        <v>1442</v>
      </c>
      <c r="L83" s="41" t="s">
        <v>1085</v>
      </c>
    </row>
    <row r="84" spans="1:19" x14ac:dyDescent="0.25">
      <c r="A84" s="41" t="s">
        <v>23</v>
      </c>
      <c r="B84" s="41" t="s">
        <v>1443</v>
      </c>
      <c r="D84" s="41" t="s">
        <v>1444</v>
      </c>
      <c r="F84" s="41" t="s">
        <v>1445</v>
      </c>
      <c r="G84" s="41" t="s">
        <v>1446</v>
      </c>
      <c r="H84" s="41" t="s">
        <v>1447</v>
      </c>
      <c r="I84" s="41" t="s">
        <v>1448</v>
      </c>
      <c r="J84" s="41" t="s">
        <v>1449</v>
      </c>
      <c r="K84" s="41" t="s">
        <v>1450</v>
      </c>
      <c r="L84" s="41" t="s">
        <v>1094</v>
      </c>
    </row>
    <row r="85" spans="1:19" x14ac:dyDescent="0.25">
      <c r="A85" s="41" t="s">
        <v>908</v>
      </c>
      <c r="B85" s="41" t="s">
        <v>1451</v>
      </c>
    </row>
    <row r="86" spans="1:19" x14ac:dyDescent="0.25">
      <c r="A86" s="41" t="s">
        <v>23</v>
      </c>
      <c r="B86" s="41" t="s">
        <v>1452</v>
      </c>
      <c r="F86" s="41" t="s">
        <v>1453</v>
      </c>
      <c r="G86" s="41" t="s">
        <v>1454</v>
      </c>
      <c r="H86" s="41" t="s">
        <v>1455</v>
      </c>
      <c r="I86" s="41" t="s">
        <v>1456</v>
      </c>
      <c r="J86" s="41" t="s">
        <v>1457</v>
      </c>
      <c r="L86" s="41" t="s">
        <v>4</v>
      </c>
    </row>
    <row r="87" spans="1:19" x14ac:dyDescent="0.25">
      <c r="A87" s="41" t="s">
        <v>23</v>
      </c>
      <c r="B87" s="41" t="s">
        <v>1458</v>
      </c>
      <c r="D87" s="41" t="s">
        <v>874</v>
      </c>
      <c r="E87" s="41" t="s">
        <v>522</v>
      </c>
      <c r="F87" s="41" t="s">
        <v>691</v>
      </c>
      <c r="G87" s="41" t="s">
        <v>692</v>
      </c>
      <c r="H87" s="41" t="s">
        <v>693</v>
      </c>
      <c r="I87" s="41" t="s">
        <v>694</v>
      </c>
      <c r="J87" s="41" t="s">
        <v>1459</v>
      </c>
      <c r="K87" s="41" t="s">
        <v>1460</v>
      </c>
      <c r="L87" s="41" t="s">
        <v>1461</v>
      </c>
      <c r="M87" s="41" t="s">
        <v>1462</v>
      </c>
      <c r="N87" s="41" t="s">
        <v>203</v>
      </c>
      <c r="O87" s="41" t="s">
        <v>1463</v>
      </c>
      <c r="P87" s="41" t="s">
        <v>1464</v>
      </c>
      <c r="Q87" s="41" t="s">
        <v>1465</v>
      </c>
      <c r="R87" s="41" t="s">
        <v>1466</v>
      </c>
      <c r="S87" s="41" t="s">
        <v>1467</v>
      </c>
    </row>
    <row r="88" spans="1:19" x14ac:dyDescent="0.25">
      <c r="A88" s="41" t="s">
        <v>23</v>
      </c>
      <c r="B88" s="41" t="s">
        <v>1468</v>
      </c>
      <c r="D88" s="41" t="s">
        <v>1469</v>
      </c>
      <c r="F88" s="41" t="s">
        <v>1470</v>
      </c>
      <c r="G88" s="41" t="s">
        <v>1471</v>
      </c>
      <c r="H88" s="41" t="s">
        <v>1472</v>
      </c>
      <c r="I88" s="41" t="s">
        <v>1473</v>
      </c>
      <c r="J88" s="41" t="s">
        <v>1474</v>
      </c>
      <c r="K88" s="41" t="s">
        <v>1475</v>
      </c>
      <c r="L88" s="41" t="s">
        <v>891</v>
      </c>
    </row>
    <row r="89" spans="1:19" x14ac:dyDescent="0.25">
      <c r="A89" s="41" t="s">
        <v>23</v>
      </c>
      <c r="B89" s="41" t="s">
        <v>1476</v>
      </c>
      <c r="D89" s="41" t="s">
        <v>1477</v>
      </c>
      <c r="F89" s="41" t="s">
        <v>1478</v>
      </c>
      <c r="G89" s="41" t="s">
        <v>1479</v>
      </c>
      <c r="H89" s="41" t="s">
        <v>1480</v>
      </c>
      <c r="I89" s="41" t="s">
        <v>1481</v>
      </c>
      <c r="J89" s="41" t="s">
        <v>1482</v>
      </c>
      <c r="K89" s="41" t="s">
        <v>1483</v>
      </c>
      <c r="L89" s="41" t="s">
        <v>1076</v>
      </c>
    </row>
    <row r="90" spans="1:19" x14ac:dyDescent="0.25">
      <c r="A90" s="41" t="s">
        <v>23</v>
      </c>
      <c r="B90" s="41" t="s">
        <v>1484</v>
      </c>
      <c r="D90" s="41" t="s">
        <v>1485</v>
      </c>
      <c r="F90" s="41" t="s">
        <v>1486</v>
      </c>
      <c r="G90" s="41" t="s">
        <v>1487</v>
      </c>
      <c r="H90" s="41" t="s">
        <v>1488</v>
      </c>
      <c r="I90" s="41" t="s">
        <v>1489</v>
      </c>
      <c r="J90" s="41" t="s">
        <v>1490</v>
      </c>
      <c r="K90" s="41" t="s">
        <v>1491</v>
      </c>
      <c r="L90" s="41" t="s">
        <v>1085</v>
      </c>
    </row>
    <row r="91" spans="1:19" x14ac:dyDescent="0.25">
      <c r="A91" s="41" t="s">
        <v>23</v>
      </c>
      <c r="B91" s="41" t="s">
        <v>1492</v>
      </c>
      <c r="D91" s="41" t="s">
        <v>1493</v>
      </c>
      <c r="F91" s="41" t="s">
        <v>1494</v>
      </c>
      <c r="G91" s="41" t="s">
        <v>1495</v>
      </c>
      <c r="H91" s="41" t="s">
        <v>1496</v>
      </c>
      <c r="I91" s="41" t="s">
        <v>1497</v>
      </c>
      <c r="J91" s="41" t="s">
        <v>1498</v>
      </c>
      <c r="K91" s="41" t="s">
        <v>1499</v>
      </c>
      <c r="L91" s="41" t="s">
        <v>1094</v>
      </c>
    </row>
    <row r="92" spans="1:19" x14ac:dyDescent="0.25">
      <c r="A92" s="41" t="s">
        <v>908</v>
      </c>
      <c r="B92" s="41" t="s">
        <v>1500</v>
      </c>
    </row>
    <row r="93" spans="1:19" x14ac:dyDescent="0.25">
      <c r="A93" s="41" t="s">
        <v>23</v>
      </c>
      <c r="B93" s="41" t="s">
        <v>1501</v>
      </c>
      <c r="F93" s="41" t="s">
        <v>1502</v>
      </c>
      <c r="G93" s="41" t="s">
        <v>1503</v>
      </c>
      <c r="H93" s="41" t="s">
        <v>1504</v>
      </c>
      <c r="I93" s="41" t="s">
        <v>1505</v>
      </c>
      <c r="J93" s="41" t="s">
        <v>1506</v>
      </c>
      <c r="L93" s="41" t="s">
        <v>4</v>
      </c>
    </row>
    <row r="94" spans="1:19" x14ac:dyDescent="0.25">
      <c r="A94" s="41" t="s">
        <v>23</v>
      </c>
      <c r="B94" s="41" t="s">
        <v>1507</v>
      </c>
      <c r="D94" s="41" t="s">
        <v>875</v>
      </c>
      <c r="E94" s="41" t="s">
        <v>218</v>
      </c>
      <c r="F94" s="41" t="s">
        <v>702</v>
      </c>
      <c r="G94" s="41" t="s">
        <v>703</v>
      </c>
      <c r="H94" s="41" t="s">
        <v>704</v>
      </c>
      <c r="I94" s="41" t="s">
        <v>705</v>
      </c>
      <c r="J94" s="41" t="s">
        <v>1508</v>
      </c>
      <c r="K94" s="41" t="s">
        <v>1509</v>
      </c>
      <c r="L94" s="41" t="s">
        <v>1510</v>
      </c>
      <c r="M94" s="41" t="s">
        <v>1511</v>
      </c>
      <c r="N94" s="41" t="s">
        <v>219</v>
      </c>
      <c r="O94" s="41" t="s">
        <v>1512</v>
      </c>
      <c r="P94" s="41" t="s">
        <v>1513</v>
      </c>
      <c r="Q94" s="41" t="s">
        <v>1514</v>
      </c>
      <c r="R94" s="41" t="s">
        <v>1515</v>
      </c>
      <c r="S94" s="41" t="s">
        <v>1516</v>
      </c>
    </row>
    <row r="95" spans="1:19" x14ac:dyDescent="0.25">
      <c r="A95" s="41" t="s">
        <v>23</v>
      </c>
      <c r="B95" s="41" t="s">
        <v>1517</v>
      </c>
      <c r="D95" s="41" t="s">
        <v>875</v>
      </c>
      <c r="E95" s="41" t="s">
        <v>1518</v>
      </c>
      <c r="F95" s="41" t="s">
        <v>707</v>
      </c>
      <c r="G95" s="41" t="s">
        <v>708</v>
      </c>
      <c r="H95" s="41" t="s">
        <v>709</v>
      </c>
      <c r="I95" s="41" t="s">
        <v>710</v>
      </c>
      <c r="J95" s="41" t="s">
        <v>1519</v>
      </c>
      <c r="K95" s="41" t="s">
        <v>1520</v>
      </c>
      <c r="L95" s="41" t="s">
        <v>1521</v>
      </c>
      <c r="M95" s="41" t="s">
        <v>1522</v>
      </c>
      <c r="N95" s="41" t="s">
        <v>222</v>
      </c>
      <c r="O95" s="41" t="s">
        <v>1523</v>
      </c>
      <c r="P95" s="41" t="s">
        <v>1524</v>
      </c>
      <c r="Q95" s="41" t="s">
        <v>1525</v>
      </c>
      <c r="R95" s="41" t="s">
        <v>1526</v>
      </c>
      <c r="S95" s="41" t="s">
        <v>1527</v>
      </c>
    </row>
    <row r="96" spans="1:19" x14ac:dyDescent="0.25">
      <c r="A96" s="41" t="s">
        <v>23</v>
      </c>
      <c r="B96" s="41" t="s">
        <v>1528</v>
      </c>
      <c r="D96" s="41" t="s">
        <v>1529</v>
      </c>
      <c r="F96" s="41" t="s">
        <v>1530</v>
      </c>
      <c r="G96" s="41" t="s">
        <v>1531</v>
      </c>
      <c r="H96" s="41" t="s">
        <v>1532</v>
      </c>
      <c r="I96" s="41" t="s">
        <v>1533</v>
      </c>
      <c r="J96" s="41" t="s">
        <v>1534</v>
      </c>
      <c r="K96" s="41" t="s">
        <v>1535</v>
      </c>
      <c r="L96" s="41" t="s">
        <v>891</v>
      </c>
    </row>
    <row r="97" spans="1:19" x14ac:dyDescent="0.25">
      <c r="A97" s="41" t="s">
        <v>23</v>
      </c>
      <c r="B97" s="41" t="s">
        <v>1536</v>
      </c>
      <c r="D97" s="41" t="s">
        <v>1537</v>
      </c>
      <c r="F97" s="41" t="s">
        <v>1538</v>
      </c>
      <c r="G97" s="41" t="s">
        <v>1539</v>
      </c>
      <c r="H97" s="41" t="s">
        <v>1540</v>
      </c>
      <c r="I97" s="41" t="s">
        <v>1541</v>
      </c>
      <c r="J97" s="41" t="s">
        <v>1542</v>
      </c>
      <c r="K97" s="41" t="s">
        <v>1543</v>
      </c>
      <c r="L97" s="41" t="s">
        <v>1076</v>
      </c>
    </row>
    <row r="98" spans="1:19" x14ac:dyDescent="0.25">
      <c r="A98" s="41" t="s">
        <v>23</v>
      </c>
      <c r="B98" s="41" t="s">
        <v>1544</v>
      </c>
      <c r="D98" s="41" t="s">
        <v>1545</v>
      </c>
      <c r="F98" s="41" t="s">
        <v>1546</v>
      </c>
      <c r="G98" s="41" t="s">
        <v>1547</v>
      </c>
      <c r="H98" s="41" t="s">
        <v>1548</v>
      </c>
      <c r="I98" s="41" t="s">
        <v>1549</v>
      </c>
      <c r="J98" s="41" t="s">
        <v>1550</v>
      </c>
      <c r="K98" s="41" t="s">
        <v>1551</v>
      </c>
      <c r="L98" s="41" t="s">
        <v>1085</v>
      </c>
    </row>
    <row r="99" spans="1:19" x14ac:dyDescent="0.25">
      <c r="A99" s="41" t="s">
        <v>23</v>
      </c>
      <c r="B99" s="41" t="s">
        <v>1552</v>
      </c>
      <c r="D99" s="41" t="s">
        <v>1553</v>
      </c>
      <c r="F99" s="41" t="s">
        <v>1554</v>
      </c>
      <c r="G99" s="41" t="s">
        <v>1555</v>
      </c>
      <c r="H99" s="41" t="s">
        <v>1556</v>
      </c>
      <c r="I99" s="41" t="s">
        <v>1557</v>
      </c>
      <c r="J99" s="41" t="s">
        <v>1558</v>
      </c>
      <c r="K99" s="41" t="s">
        <v>1559</v>
      </c>
      <c r="L99" s="41" t="s">
        <v>1094</v>
      </c>
    </row>
    <row r="100" spans="1:19" x14ac:dyDescent="0.25">
      <c r="A100" s="41" t="s">
        <v>908</v>
      </c>
      <c r="B100" s="41" t="s">
        <v>1560</v>
      </c>
    </row>
    <row r="101" spans="1:19" x14ac:dyDescent="0.25">
      <c r="A101" s="41" t="s">
        <v>23</v>
      </c>
      <c r="B101" s="41" t="s">
        <v>1561</v>
      </c>
      <c r="F101" s="41" t="s">
        <v>1562</v>
      </c>
      <c r="G101" s="41" t="s">
        <v>1563</v>
      </c>
      <c r="H101" s="41" t="s">
        <v>1564</v>
      </c>
      <c r="I101" s="41" t="s">
        <v>1565</v>
      </c>
      <c r="J101" s="41" t="s">
        <v>1566</v>
      </c>
      <c r="L101" s="41" t="s">
        <v>4</v>
      </c>
    </row>
    <row r="102" spans="1:19" x14ac:dyDescent="0.25">
      <c r="A102" s="41" t="s">
        <v>23</v>
      </c>
      <c r="B102" s="41" t="s">
        <v>1567</v>
      </c>
      <c r="D102" s="41" t="s">
        <v>1568</v>
      </c>
      <c r="E102" s="41" t="s">
        <v>239</v>
      </c>
      <c r="F102" s="41" t="s">
        <v>718</v>
      </c>
      <c r="G102" s="41" t="s">
        <v>719</v>
      </c>
      <c r="H102" s="41" t="s">
        <v>720</v>
      </c>
      <c r="I102" s="41" t="s">
        <v>721</v>
      </c>
      <c r="J102" s="41" t="s">
        <v>1569</v>
      </c>
      <c r="K102" s="41" t="s">
        <v>1570</v>
      </c>
      <c r="L102" s="41" t="s">
        <v>1571</v>
      </c>
      <c r="M102" s="41" t="s">
        <v>1572</v>
      </c>
      <c r="N102" s="41" t="s">
        <v>240</v>
      </c>
      <c r="O102" s="41" t="s">
        <v>1573</v>
      </c>
      <c r="P102" s="41" t="s">
        <v>1574</v>
      </c>
      <c r="Q102" s="41" t="s">
        <v>1575</v>
      </c>
      <c r="R102" s="41" t="s">
        <v>1576</v>
      </c>
      <c r="S102" s="41" t="s">
        <v>1577</v>
      </c>
    </row>
    <row r="103" spans="1:19" x14ac:dyDescent="0.25">
      <c r="A103" s="41" t="s">
        <v>23</v>
      </c>
      <c r="B103" s="41" t="s">
        <v>1578</v>
      </c>
      <c r="D103" s="41" t="s">
        <v>1579</v>
      </c>
      <c r="F103" s="41" t="s">
        <v>1580</v>
      </c>
      <c r="G103" s="41" t="s">
        <v>1581</v>
      </c>
      <c r="H103" s="41" t="s">
        <v>1582</v>
      </c>
      <c r="I103" s="41" t="s">
        <v>1583</v>
      </c>
      <c r="J103" s="41" t="s">
        <v>1584</v>
      </c>
      <c r="K103" s="41" t="s">
        <v>1585</v>
      </c>
      <c r="L103" s="41" t="s">
        <v>891</v>
      </c>
    </row>
    <row r="104" spans="1:19" x14ac:dyDescent="0.25">
      <c r="A104" s="41" t="s">
        <v>23</v>
      </c>
      <c r="B104" s="41" t="s">
        <v>1586</v>
      </c>
      <c r="D104" s="41" t="s">
        <v>1587</v>
      </c>
      <c r="F104" s="41" t="s">
        <v>1588</v>
      </c>
      <c r="G104" s="41" t="s">
        <v>1589</v>
      </c>
      <c r="H104" s="41" t="s">
        <v>1590</v>
      </c>
      <c r="I104" s="41" t="s">
        <v>1591</v>
      </c>
      <c r="J104" s="41" t="s">
        <v>1592</v>
      </c>
      <c r="K104" s="41" t="s">
        <v>1593</v>
      </c>
      <c r="L104" s="41" t="s">
        <v>1076</v>
      </c>
    </row>
    <row r="105" spans="1:19" x14ac:dyDescent="0.25">
      <c r="A105" s="41" t="s">
        <v>23</v>
      </c>
      <c r="B105" s="41" t="s">
        <v>1594</v>
      </c>
      <c r="D105" s="41" t="s">
        <v>1595</v>
      </c>
      <c r="F105" s="41" t="s">
        <v>1596</v>
      </c>
      <c r="G105" s="41" t="s">
        <v>1597</v>
      </c>
      <c r="H105" s="41" t="s">
        <v>1598</v>
      </c>
      <c r="I105" s="41" t="s">
        <v>1599</v>
      </c>
      <c r="J105" s="41" t="s">
        <v>1600</v>
      </c>
      <c r="K105" s="41" t="s">
        <v>1601</v>
      </c>
      <c r="L105" s="41" t="s">
        <v>1085</v>
      </c>
    </row>
    <row r="106" spans="1:19" x14ac:dyDescent="0.25">
      <c r="A106" s="41" t="s">
        <v>23</v>
      </c>
      <c r="B106" s="41" t="s">
        <v>1602</v>
      </c>
      <c r="D106" s="41" t="s">
        <v>1603</v>
      </c>
      <c r="F106" s="41" t="s">
        <v>1604</v>
      </c>
      <c r="G106" s="41" t="s">
        <v>1605</v>
      </c>
      <c r="H106" s="41" t="s">
        <v>1606</v>
      </c>
      <c r="I106" s="41" t="s">
        <v>1607</v>
      </c>
      <c r="J106" s="41" t="s">
        <v>1608</v>
      </c>
      <c r="K106" s="41" t="s">
        <v>1609</v>
      </c>
      <c r="L106" s="41" t="s">
        <v>1094</v>
      </c>
    </row>
    <row r="107" spans="1:19" x14ac:dyDescent="0.25">
      <c r="A107" s="41" t="s">
        <v>908</v>
      </c>
      <c r="B107" s="41" t="s">
        <v>1610</v>
      </c>
    </row>
    <row r="108" spans="1:19" x14ac:dyDescent="0.25">
      <c r="A108" s="41" t="s">
        <v>23</v>
      </c>
      <c r="B108" s="41" t="s">
        <v>1611</v>
      </c>
      <c r="F108" s="41" t="s">
        <v>1612</v>
      </c>
      <c r="G108" s="41" t="s">
        <v>1613</v>
      </c>
      <c r="H108" s="41" t="s">
        <v>1614</v>
      </c>
      <c r="I108" s="41" t="s">
        <v>1615</v>
      </c>
      <c r="J108" s="41" t="s">
        <v>1616</v>
      </c>
      <c r="L108" s="41" t="s">
        <v>4</v>
      </c>
    </row>
    <row r="109" spans="1:19" x14ac:dyDescent="0.25">
      <c r="A109" s="41" t="s">
        <v>23</v>
      </c>
      <c r="B109" s="41" t="s">
        <v>1617</v>
      </c>
      <c r="D109" s="41" t="s">
        <v>1618</v>
      </c>
      <c r="E109" s="41" t="s">
        <v>254</v>
      </c>
      <c r="F109" s="41" t="s">
        <v>729</v>
      </c>
      <c r="G109" s="41" t="s">
        <v>730</v>
      </c>
      <c r="H109" s="41" t="s">
        <v>731</v>
      </c>
      <c r="I109" s="41" t="s">
        <v>732</v>
      </c>
      <c r="J109" s="41" t="s">
        <v>1619</v>
      </c>
      <c r="K109" s="41" t="s">
        <v>1620</v>
      </c>
      <c r="L109" s="41" t="s">
        <v>1621</v>
      </c>
      <c r="M109" s="41" t="s">
        <v>1622</v>
      </c>
      <c r="N109" s="41" t="s">
        <v>255</v>
      </c>
      <c r="O109" s="41" t="s">
        <v>1623</v>
      </c>
      <c r="P109" s="41" t="s">
        <v>1624</v>
      </c>
      <c r="Q109" s="41" t="s">
        <v>1625</v>
      </c>
      <c r="R109" s="41" t="s">
        <v>1626</v>
      </c>
      <c r="S109" s="41" t="s">
        <v>1627</v>
      </c>
    </row>
    <row r="110" spans="1:19" x14ac:dyDescent="0.25">
      <c r="A110" s="41" t="s">
        <v>23</v>
      </c>
      <c r="B110" s="41" t="s">
        <v>1628</v>
      </c>
      <c r="D110" s="41" t="s">
        <v>1629</v>
      </c>
      <c r="F110" s="41" t="s">
        <v>1630</v>
      </c>
      <c r="G110" s="41" t="s">
        <v>1631</v>
      </c>
      <c r="H110" s="41" t="s">
        <v>1632</v>
      </c>
      <c r="I110" s="41" t="s">
        <v>1633</v>
      </c>
      <c r="J110" s="41" t="s">
        <v>1634</v>
      </c>
      <c r="K110" s="41" t="s">
        <v>1635</v>
      </c>
      <c r="L110" s="41" t="s">
        <v>891</v>
      </c>
    </row>
    <row r="111" spans="1:19" x14ac:dyDescent="0.25">
      <c r="A111" s="41" t="s">
        <v>23</v>
      </c>
      <c r="B111" s="41" t="s">
        <v>1636</v>
      </c>
      <c r="D111" s="41" t="s">
        <v>1637</v>
      </c>
      <c r="F111" s="41" t="s">
        <v>1638</v>
      </c>
      <c r="G111" s="41" t="s">
        <v>1639</v>
      </c>
      <c r="H111" s="41" t="s">
        <v>1640</v>
      </c>
      <c r="I111" s="41" t="s">
        <v>1641</v>
      </c>
      <c r="J111" s="41" t="s">
        <v>1642</v>
      </c>
      <c r="K111" s="41" t="s">
        <v>1643</v>
      </c>
      <c r="L111" s="41" t="s">
        <v>1076</v>
      </c>
    </row>
    <row r="112" spans="1:19" x14ac:dyDescent="0.25">
      <c r="A112" s="41" t="s">
        <v>23</v>
      </c>
      <c r="B112" s="41" t="s">
        <v>1644</v>
      </c>
      <c r="D112" s="41" t="s">
        <v>1645</v>
      </c>
      <c r="F112" s="41" t="s">
        <v>1646</v>
      </c>
      <c r="G112" s="41" t="s">
        <v>1647</v>
      </c>
      <c r="H112" s="41" t="s">
        <v>1648</v>
      </c>
      <c r="I112" s="41" t="s">
        <v>1649</v>
      </c>
      <c r="J112" s="41" t="s">
        <v>1650</v>
      </c>
      <c r="K112" s="41" t="s">
        <v>1651</v>
      </c>
      <c r="L112" s="41" t="s">
        <v>1085</v>
      </c>
    </row>
    <row r="113" spans="1:19" x14ac:dyDescent="0.25">
      <c r="A113" s="41" t="s">
        <v>23</v>
      </c>
      <c r="B113" s="41" t="s">
        <v>1652</v>
      </c>
      <c r="D113" s="41" t="s">
        <v>1653</v>
      </c>
      <c r="F113" s="41" t="s">
        <v>1654</v>
      </c>
      <c r="G113" s="41" t="s">
        <v>1655</v>
      </c>
      <c r="H113" s="41" t="s">
        <v>1656</v>
      </c>
      <c r="I113" s="41" t="s">
        <v>1657</v>
      </c>
      <c r="J113" s="41" t="s">
        <v>1658</v>
      </c>
      <c r="K113" s="41" t="s">
        <v>1659</v>
      </c>
      <c r="L113" s="41" t="s">
        <v>1094</v>
      </c>
    </row>
    <row r="114" spans="1:19" x14ac:dyDescent="0.25">
      <c r="A114" s="41" t="s">
        <v>908</v>
      </c>
      <c r="B114" s="41" t="s">
        <v>1660</v>
      </c>
    </row>
    <row r="115" spans="1:19" x14ac:dyDescent="0.25">
      <c r="A115" s="41" t="s">
        <v>23</v>
      </c>
      <c r="B115" s="41" t="s">
        <v>1661</v>
      </c>
      <c r="F115" s="41" t="s">
        <v>1662</v>
      </c>
      <c r="G115" s="41" t="s">
        <v>1663</v>
      </c>
      <c r="H115" s="41" t="s">
        <v>1664</v>
      </c>
      <c r="I115" s="41" t="s">
        <v>1665</v>
      </c>
      <c r="J115" s="41" t="s">
        <v>1666</v>
      </c>
      <c r="L115" s="41" t="s">
        <v>4</v>
      </c>
    </row>
    <row r="116" spans="1:19" x14ac:dyDescent="0.25">
      <c r="A116" s="41" t="s">
        <v>23</v>
      </c>
      <c r="B116" s="41" t="s">
        <v>1667</v>
      </c>
      <c r="D116" s="41" t="s">
        <v>1668</v>
      </c>
      <c r="E116" s="41" t="s">
        <v>271</v>
      </c>
      <c r="F116" s="41" t="s">
        <v>740</v>
      </c>
      <c r="G116" s="41" t="s">
        <v>741</v>
      </c>
      <c r="H116" s="41" t="s">
        <v>742</v>
      </c>
      <c r="I116" s="41" t="s">
        <v>743</v>
      </c>
      <c r="J116" s="41" t="s">
        <v>1669</v>
      </c>
      <c r="K116" s="41" t="s">
        <v>1670</v>
      </c>
      <c r="L116" s="41" t="s">
        <v>1671</v>
      </c>
      <c r="M116" s="41" t="s">
        <v>1672</v>
      </c>
      <c r="N116" s="41" t="s">
        <v>272</v>
      </c>
      <c r="O116" s="41" t="s">
        <v>1673</v>
      </c>
      <c r="P116" s="41" t="s">
        <v>1674</v>
      </c>
      <c r="Q116" s="41" t="s">
        <v>1675</v>
      </c>
      <c r="R116" s="41" t="s">
        <v>1676</v>
      </c>
      <c r="S116" s="41" t="s">
        <v>1677</v>
      </c>
    </row>
    <row r="117" spans="1:19" x14ac:dyDescent="0.25">
      <c r="A117" s="41" t="s">
        <v>23</v>
      </c>
      <c r="B117" s="41" t="s">
        <v>1678</v>
      </c>
      <c r="D117" s="41" t="s">
        <v>1679</v>
      </c>
      <c r="F117" s="41" t="s">
        <v>1680</v>
      </c>
      <c r="G117" s="41" t="s">
        <v>1681</v>
      </c>
      <c r="H117" s="41" t="s">
        <v>1682</v>
      </c>
      <c r="I117" s="41" t="s">
        <v>1683</v>
      </c>
      <c r="J117" s="41" t="s">
        <v>1684</v>
      </c>
      <c r="K117" s="41" t="s">
        <v>1685</v>
      </c>
      <c r="L117" s="41" t="s">
        <v>891</v>
      </c>
    </row>
    <row r="118" spans="1:19" x14ac:dyDescent="0.25">
      <c r="A118" s="41" t="s">
        <v>23</v>
      </c>
      <c r="B118" s="41" t="s">
        <v>1686</v>
      </c>
      <c r="D118" s="41" t="s">
        <v>1687</v>
      </c>
      <c r="F118" s="41" t="s">
        <v>1688</v>
      </c>
      <c r="G118" s="41" t="s">
        <v>1689</v>
      </c>
      <c r="H118" s="41" t="s">
        <v>1690</v>
      </c>
      <c r="I118" s="41" t="s">
        <v>1691</v>
      </c>
      <c r="J118" s="41" t="s">
        <v>1692</v>
      </c>
      <c r="K118" s="41" t="s">
        <v>1693</v>
      </c>
      <c r="L118" s="41" t="s">
        <v>1076</v>
      </c>
    </row>
    <row r="119" spans="1:19" x14ac:dyDescent="0.25">
      <c r="A119" s="41" t="s">
        <v>23</v>
      </c>
      <c r="B119" s="41" t="s">
        <v>1694</v>
      </c>
      <c r="D119" s="41" t="s">
        <v>1695</v>
      </c>
      <c r="F119" s="41" t="s">
        <v>1696</v>
      </c>
      <c r="G119" s="41" t="s">
        <v>1697</v>
      </c>
      <c r="H119" s="41" t="s">
        <v>1698</v>
      </c>
      <c r="I119" s="41" t="s">
        <v>1699</v>
      </c>
      <c r="J119" s="41" t="s">
        <v>1700</v>
      </c>
      <c r="K119" s="41" t="s">
        <v>1701</v>
      </c>
      <c r="L119" s="41" t="s">
        <v>1085</v>
      </c>
    </row>
    <row r="120" spans="1:19" x14ac:dyDescent="0.25">
      <c r="A120" s="41" t="s">
        <v>23</v>
      </c>
      <c r="B120" s="41" t="s">
        <v>1702</v>
      </c>
      <c r="D120" s="41" t="s">
        <v>1703</v>
      </c>
      <c r="F120" s="41" t="s">
        <v>1704</v>
      </c>
      <c r="G120" s="41" t="s">
        <v>1705</v>
      </c>
      <c r="H120" s="41" t="s">
        <v>1706</v>
      </c>
      <c r="I120" s="41" t="s">
        <v>1707</v>
      </c>
      <c r="J120" s="41" t="s">
        <v>1708</v>
      </c>
      <c r="K120" s="41" t="s">
        <v>1709</v>
      </c>
      <c r="L120" s="41" t="s">
        <v>1094</v>
      </c>
    </row>
    <row r="121" spans="1:19" x14ac:dyDescent="0.25">
      <c r="A121" s="41" t="s">
        <v>908</v>
      </c>
      <c r="B121" s="41" t="s">
        <v>1710</v>
      </c>
    </row>
    <row r="122" spans="1:19" x14ac:dyDescent="0.25">
      <c r="A122" s="41" t="s">
        <v>23</v>
      </c>
      <c r="B122" s="41" t="s">
        <v>1711</v>
      </c>
      <c r="F122" s="41" t="s">
        <v>1712</v>
      </c>
      <c r="G122" s="41" t="s">
        <v>1713</v>
      </c>
      <c r="H122" s="41" t="s">
        <v>1714</v>
      </c>
      <c r="I122" s="41" t="s">
        <v>1715</v>
      </c>
      <c r="J122" s="41" t="s">
        <v>1716</v>
      </c>
      <c r="L122" s="41" t="s">
        <v>4</v>
      </c>
    </row>
    <row r="123" spans="1:19" x14ac:dyDescent="0.25">
      <c r="A123" s="41" t="s">
        <v>23</v>
      </c>
      <c r="B123" s="41" t="s">
        <v>1717</v>
      </c>
      <c r="D123" s="41" t="s">
        <v>1718</v>
      </c>
      <c r="E123" s="41" t="s">
        <v>287</v>
      </c>
      <c r="F123" s="41" t="s">
        <v>751</v>
      </c>
      <c r="G123" s="41" t="s">
        <v>752</v>
      </c>
      <c r="H123" s="41" t="s">
        <v>753</v>
      </c>
      <c r="I123" s="41" t="s">
        <v>754</v>
      </c>
      <c r="J123" s="41" t="s">
        <v>1719</v>
      </c>
      <c r="K123" s="41" t="s">
        <v>1720</v>
      </c>
      <c r="L123" s="41" t="s">
        <v>1721</v>
      </c>
      <c r="M123" s="41" t="s">
        <v>1722</v>
      </c>
      <c r="N123" s="41" t="s">
        <v>288</v>
      </c>
      <c r="O123" s="41" t="s">
        <v>1723</v>
      </c>
      <c r="P123" s="41" t="s">
        <v>1724</v>
      </c>
      <c r="Q123" s="41" t="s">
        <v>1725</v>
      </c>
      <c r="R123" s="41" t="s">
        <v>1726</v>
      </c>
      <c r="S123" s="41" t="s">
        <v>1727</v>
      </c>
    </row>
    <row r="124" spans="1:19" x14ac:dyDescent="0.25">
      <c r="A124" s="41" t="s">
        <v>23</v>
      </c>
      <c r="B124" s="41" t="s">
        <v>1728</v>
      </c>
      <c r="D124" s="41" t="s">
        <v>1729</v>
      </c>
      <c r="F124" s="41" t="s">
        <v>1730</v>
      </c>
      <c r="G124" s="41" t="s">
        <v>1731</v>
      </c>
      <c r="H124" s="41" t="s">
        <v>1732</v>
      </c>
      <c r="I124" s="41" t="s">
        <v>1733</v>
      </c>
      <c r="J124" s="41" t="s">
        <v>1734</v>
      </c>
      <c r="K124" s="41" t="s">
        <v>1735</v>
      </c>
      <c r="L124" s="41" t="s">
        <v>891</v>
      </c>
    </row>
    <row r="125" spans="1:19" x14ac:dyDescent="0.25">
      <c r="A125" s="41" t="s">
        <v>23</v>
      </c>
      <c r="B125" s="41" t="s">
        <v>1736</v>
      </c>
      <c r="D125" s="41" t="s">
        <v>1737</v>
      </c>
      <c r="F125" s="41" t="s">
        <v>1738</v>
      </c>
      <c r="G125" s="41" t="s">
        <v>1739</v>
      </c>
      <c r="H125" s="41" t="s">
        <v>1740</v>
      </c>
      <c r="I125" s="41" t="s">
        <v>1741</v>
      </c>
      <c r="J125" s="41" t="s">
        <v>1742</v>
      </c>
      <c r="K125" s="41" t="s">
        <v>1743</v>
      </c>
      <c r="L125" s="41" t="s">
        <v>1076</v>
      </c>
    </row>
    <row r="126" spans="1:19" x14ac:dyDescent="0.25">
      <c r="A126" s="41" t="s">
        <v>23</v>
      </c>
      <c r="B126" s="41" t="s">
        <v>1744</v>
      </c>
      <c r="D126" s="41" t="s">
        <v>1745</v>
      </c>
      <c r="F126" s="41" t="s">
        <v>1746</v>
      </c>
      <c r="G126" s="41" t="s">
        <v>1747</v>
      </c>
      <c r="H126" s="41" t="s">
        <v>1748</v>
      </c>
      <c r="I126" s="41" t="s">
        <v>1749</v>
      </c>
      <c r="J126" s="41" t="s">
        <v>1750</v>
      </c>
      <c r="K126" s="41" t="s">
        <v>1751</v>
      </c>
      <c r="L126" s="41" t="s">
        <v>1085</v>
      </c>
    </row>
    <row r="127" spans="1:19" x14ac:dyDescent="0.25">
      <c r="A127" s="41" t="s">
        <v>23</v>
      </c>
      <c r="B127" s="41" t="s">
        <v>1752</v>
      </c>
      <c r="D127" s="41" t="s">
        <v>1753</v>
      </c>
      <c r="F127" s="41" t="s">
        <v>1754</v>
      </c>
      <c r="G127" s="41" t="s">
        <v>1755</v>
      </c>
      <c r="H127" s="41" t="s">
        <v>1756</v>
      </c>
      <c r="I127" s="41" t="s">
        <v>1757</v>
      </c>
      <c r="J127" s="41" t="s">
        <v>1758</v>
      </c>
      <c r="K127" s="41" t="s">
        <v>1759</v>
      </c>
      <c r="L127" s="41" t="s">
        <v>1094</v>
      </c>
    </row>
    <row r="128" spans="1:19" x14ac:dyDescent="0.25">
      <c r="A128" s="41" t="s">
        <v>908</v>
      </c>
      <c r="B128" s="41" t="s">
        <v>1760</v>
      </c>
    </row>
    <row r="129" spans="1:19" x14ac:dyDescent="0.25">
      <c r="A129" s="41" t="s">
        <v>23</v>
      </c>
      <c r="B129" s="41" t="s">
        <v>1761</v>
      </c>
      <c r="F129" s="41" t="s">
        <v>1762</v>
      </c>
      <c r="G129" s="41" t="s">
        <v>1763</v>
      </c>
      <c r="H129" s="41" t="s">
        <v>1764</v>
      </c>
      <c r="I129" s="41" t="s">
        <v>1765</v>
      </c>
      <c r="J129" s="41" t="s">
        <v>1766</v>
      </c>
      <c r="L129" s="41" t="s">
        <v>4</v>
      </c>
    </row>
    <row r="130" spans="1:19" x14ac:dyDescent="0.25">
      <c r="A130" s="41" t="s">
        <v>23</v>
      </c>
      <c r="B130" s="41" t="s">
        <v>1767</v>
      </c>
      <c r="D130" s="41" t="s">
        <v>1768</v>
      </c>
      <c r="E130" s="41" t="s">
        <v>301</v>
      </c>
      <c r="F130" s="41" t="s">
        <v>762</v>
      </c>
      <c r="G130" s="41" t="s">
        <v>763</v>
      </c>
      <c r="H130" s="41" t="s">
        <v>764</v>
      </c>
      <c r="I130" s="41" t="s">
        <v>765</v>
      </c>
      <c r="J130" s="41" t="s">
        <v>1769</v>
      </c>
      <c r="K130" s="41" t="s">
        <v>1770</v>
      </c>
      <c r="L130" s="41" t="s">
        <v>1771</v>
      </c>
      <c r="M130" s="41" t="s">
        <v>1772</v>
      </c>
      <c r="N130" s="41" t="s">
        <v>302</v>
      </c>
      <c r="O130" s="41" t="s">
        <v>1773</v>
      </c>
      <c r="P130" s="41" t="s">
        <v>1774</v>
      </c>
      <c r="Q130" s="41" t="s">
        <v>1775</v>
      </c>
      <c r="R130" s="41" t="s">
        <v>1776</v>
      </c>
      <c r="S130" s="41" t="s">
        <v>1777</v>
      </c>
    </row>
    <row r="131" spans="1:19" x14ac:dyDescent="0.25">
      <c r="A131" s="41" t="s">
        <v>23</v>
      </c>
      <c r="B131" s="41" t="s">
        <v>1778</v>
      </c>
      <c r="D131" s="41" t="s">
        <v>1779</v>
      </c>
      <c r="F131" s="41" t="s">
        <v>1780</v>
      </c>
      <c r="G131" s="41" t="s">
        <v>1781</v>
      </c>
      <c r="H131" s="41" t="s">
        <v>1782</v>
      </c>
      <c r="I131" s="41" t="s">
        <v>1783</v>
      </c>
      <c r="J131" s="41" t="s">
        <v>1784</v>
      </c>
      <c r="K131" s="41" t="s">
        <v>1785</v>
      </c>
      <c r="L131" s="41" t="s">
        <v>891</v>
      </c>
    </row>
    <row r="132" spans="1:19" x14ac:dyDescent="0.25">
      <c r="A132" s="41" t="s">
        <v>23</v>
      </c>
      <c r="B132" s="41" t="s">
        <v>1786</v>
      </c>
      <c r="D132" s="41" t="s">
        <v>1787</v>
      </c>
      <c r="F132" s="41" t="s">
        <v>1788</v>
      </c>
      <c r="G132" s="41" t="s">
        <v>1789</v>
      </c>
      <c r="H132" s="41" t="s">
        <v>1790</v>
      </c>
      <c r="I132" s="41" t="s">
        <v>1791</v>
      </c>
      <c r="J132" s="41" t="s">
        <v>1792</v>
      </c>
      <c r="K132" s="41" t="s">
        <v>1793</v>
      </c>
      <c r="L132" s="41" t="s">
        <v>1076</v>
      </c>
    </row>
    <row r="133" spans="1:19" x14ac:dyDescent="0.25">
      <c r="A133" s="41" t="s">
        <v>23</v>
      </c>
      <c r="B133" s="41" t="s">
        <v>1794</v>
      </c>
      <c r="D133" s="41" t="s">
        <v>1795</v>
      </c>
      <c r="F133" s="41" t="s">
        <v>1796</v>
      </c>
      <c r="G133" s="41" t="s">
        <v>1797</v>
      </c>
      <c r="H133" s="41" t="s">
        <v>1798</v>
      </c>
      <c r="I133" s="41" t="s">
        <v>1799</v>
      </c>
      <c r="J133" s="41" t="s">
        <v>1800</v>
      </c>
      <c r="K133" s="41" t="s">
        <v>1801</v>
      </c>
      <c r="L133" s="41" t="s">
        <v>1085</v>
      </c>
    </row>
    <row r="134" spans="1:19" x14ac:dyDescent="0.25">
      <c r="A134" s="41" t="s">
        <v>23</v>
      </c>
      <c r="B134" s="41" t="s">
        <v>1802</v>
      </c>
      <c r="D134" s="41" t="s">
        <v>1803</v>
      </c>
      <c r="F134" s="41" t="s">
        <v>1804</v>
      </c>
      <c r="G134" s="41" t="s">
        <v>1805</v>
      </c>
      <c r="H134" s="41" t="s">
        <v>1806</v>
      </c>
      <c r="I134" s="41" t="s">
        <v>1807</v>
      </c>
      <c r="J134" s="41" t="s">
        <v>1808</v>
      </c>
      <c r="K134" s="41" t="s">
        <v>1809</v>
      </c>
      <c r="L134" s="41" t="s">
        <v>1094</v>
      </c>
    </row>
    <row r="135" spans="1:19" x14ac:dyDescent="0.25">
      <c r="A135" s="41" t="s">
        <v>908</v>
      </c>
      <c r="B135" s="41" t="s">
        <v>1810</v>
      </c>
    </row>
    <row r="136" spans="1:19" x14ac:dyDescent="0.25">
      <c r="A136" s="41" t="s">
        <v>23</v>
      </c>
      <c r="B136" s="41" t="s">
        <v>1811</v>
      </c>
      <c r="F136" s="41" t="s">
        <v>1812</v>
      </c>
      <c r="G136" s="41" t="s">
        <v>1813</v>
      </c>
      <c r="H136" s="41" t="s">
        <v>1814</v>
      </c>
      <c r="I136" s="41" t="s">
        <v>1815</v>
      </c>
      <c r="J136" s="41" t="s">
        <v>1816</v>
      </c>
      <c r="L136" s="41" t="s">
        <v>4</v>
      </c>
    </row>
    <row r="137" spans="1:19" x14ac:dyDescent="0.25">
      <c r="A137" s="41" t="s">
        <v>23</v>
      </c>
      <c r="B137" s="41" t="s">
        <v>1817</v>
      </c>
      <c r="D137" s="41" t="s">
        <v>1818</v>
      </c>
      <c r="E137" s="41" t="s">
        <v>315</v>
      </c>
      <c r="F137" s="41" t="s">
        <v>773</v>
      </c>
      <c r="G137" s="41" t="s">
        <v>774</v>
      </c>
      <c r="H137" s="41" t="s">
        <v>775</v>
      </c>
      <c r="I137" s="41" t="s">
        <v>776</v>
      </c>
      <c r="J137" s="41" t="s">
        <v>1819</v>
      </c>
      <c r="K137" s="41" t="s">
        <v>1820</v>
      </c>
      <c r="L137" s="41" t="s">
        <v>1821</v>
      </c>
      <c r="M137" s="41" t="s">
        <v>1822</v>
      </c>
      <c r="N137" s="41" t="s">
        <v>316</v>
      </c>
      <c r="O137" s="41" t="s">
        <v>1823</v>
      </c>
      <c r="P137" s="41" t="s">
        <v>1824</v>
      </c>
      <c r="Q137" s="41" t="s">
        <v>1825</v>
      </c>
      <c r="R137" s="41" t="s">
        <v>1826</v>
      </c>
      <c r="S137" s="41" t="s">
        <v>1827</v>
      </c>
    </row>
    <row r="138" spans="1:19" x14ac:dyDescent="0.25">
      <c r="A138" s="41" t="s">
        <v>23</v>
      </c>
      <c r="B138" s="41" t="s">
        <v>1828</v>
      </c>
      <c r="D138" s="41" t="s">
        <v>1829</v>
      </c>
      <c r="F138" s="41" t="s">
        <v>1830</v>
      </c>
      <c r="G138" s="41" t="s">
        <v>1831</v>
      </c>
      <c r="H138" s="41" t="s">
        <v>1832</v>
      </c>
      <c r="I138" s="41" t="s">
        <v>1833</v>
      </c>
      <c r="J138" s="41" t="s">
        <v>1834</v>
      </c>
      <c r="K138" s="41" t="s">
        <v>1835</v>
      </c>
      <c r="L138" s="41" t="s">
        <v>891</v>
      </c>
    </row>
    <row r="139" spans="1:19" x14ac:dyDescent="0.25">
      <c r="A139" s="41" t="s">
        <v>23</v>
      </c>
      <c r="B139" s="41" t="s">
        <v>1836</v>
      </c>
      <c r="D139" s="41" t="s">
        <v>1837</v>
      </c>
      <c r="F139" s="41" t="s">
        <v>1838</v>
      </c>
      <c r="G139" s="41" t="s">
        <v>1839</v>
      </c>
      <c r="H139" s="41" t="s">
        <v>1840</v>
      </c>
      <c r="I139" s="41" t="s">
        <v>1841</v>
      </c>
      <c r="J139" s="41" t="s">
        <v>1842</v>
      </c>
      <c r="K139" s="41" t="s">
        <v>1843</v>
      </c>
      <c r="L139" s="41" t="s">
        <v>1076</v>
      </c>
    </row>
    <row r="140" spans="1:19" x14ac:dyDescent="0.25">
      <c r="A140" s="41" t="s">
        <v>23</v>
      </c>
      <c r="B140" s="41" t="s">
        <v>1844</v>
      </c>
      <c r="D140" s="41" t="s">
        <v>1845</v>
      </c>
      <c r="F140" s="41" t="s">
        <v>1846</v>
      </c>
      <c r="G140" s="41" t="s">
        <v>1847</v>
      </c>
      <c r="H140" s="41" t="s">
        <v>1848</v>
      </c>
      <c r="I140" s="41" t="s">
        <v>1849</v>
      </c>
      <c r="J140" s="41" t="s">
        <v>1850</v>
      </c>
      <c r="K140" s="41" t="s">
        <v>1851</v>
      </c>
      <c r="L140" s="41" t="s">
        <v>1085</v>
      </c>
    </row>
    <row r="141" spans="1:19" x14ac:dyDescent="0.25">
      <c r="A141" s="41" t="s">
        <v>23</v>
      </c>
      <c r="B141" s="41" t="s">
        <v>1852</v>
      </c>
      <c r="D141" s="41" t="s">
        <v>1853</v>
      </c>
      <c r="F141" s="41" t="s">
        <v>1854</v>
      </c>
      <c r="G141" s="41" t="s">
        <v>1855</v>
      </c>
      <c r="H141" s="41" t="s">
        <v>1856</v>
      </c>
      <c r="I141" s="41" t="s">
        <v>1857</v>
      </c>
      <c r="J141" s="41" t="s">
        <v>1858</v>
      </c>
      <c r="K141" s="41" t="s">
        <v>1859</v>
      </c>
      <c r="L141" s="41" t="s">
        <v>1094</v>
      </c>
    </row>
    <row r="142" spans="1:19" x14ac:dyDescent="0.25">
      <c r="A142" s="41" t="s">
        <v>908</v>
      </c>
      <c r="B142" s="41" t="s">
        <v>1860</v>
      </c>
    </row>
    <row r="143" spans="1:19" x14ac:dyDescent="0.25">
      <c r="A143" s="41" t="s">
        <v>23</v>
      </c>
      <c r="B143" s="41" t="s">
        <v>1861</v>
      </c>
      <c r="F143" s="41" t="s">
        <v>1862</v>
      </c>
      <c r="G143" s="41" t="s">
        <v>1863</v>
      </c>
      <c r="H143" s="41" t="s">
        <v>1864</v>
      </c>
      <c r="I143" s="41" t="s">
        <v>1865</v>
      </c>
      <c r="J143" s="41" t="s">
        <v>1866</v>
      </c>
      <c r="L143" s="41" t="s">
        <v>4</v>
      </c>
    </row>
    <row r="144" spans="1:19" x14ac:dyDescent="0.25">
      <c r="A144" s="41" t="s">
        <v>23</v>
      </c>
      <c r="B144" s="41" t="s">
        <v>1867</v>
      </c>
      <c r="D144" s="41" t="s">
        <v>1868</v>
      </c>
      <c r="E144" s="41" t="s">
        <v>329</v>
      </c>
      <c r="F144" s="41" t="s">
        <v>784</v>
      </c>
      <c r="G144" s="41" t="s">
        <v>785</v>
      </c>
      <c r="H144" s="41" t="s">
        <v>786</v>
      </c>
      <c r="I144" s="41" t="s">
        <v>787</v>
      </c>
      <c r="J144" s="41" t="s">
        <v>1869</v>
      </c>
      <c r="K144" s="41" t="s">
        <v>1870</v>
      </c>
      <c r="L144" s="41" t="s">
        <v>1871</v>
      </c>
      <c r="M144" s="41" t="s">
        <v>1872</v>
      </c>
      <c r="N144" s="41" t="s">
        <v>330</v>
      </c>
      <c r="O144" s="41" t="s">
        <v>1873</v>
      </c>
      <c r="P144" s="41" t="s">
        <v>1874</v>
      </c>
      <c r="Q144" s="41" t="s">
        <v>1875</v>
      </c>
      <c r="R144" s="41" t="s">
        <v>1876</v>
      </c>
      <c r="S144" s="41" t="s">
        <v>1877</v>
      </c>
    </row>
    <row r="145" spans="1:19" x14ac:dyDescent="0.25">
      <c r="A145" s="41" t="s">
        <v>23</v>
      </c>
      <c r="B145" s="41" t="s">
        <v>1878</v>
      </c>
      <c r="D145" s="41" t="s">
        <v>1879</v>
      </c>
      <c r="F145" s="41" t="s">
        <v>1880</v>
      </c>
      <c r="G145" s="41" t="s">
        <v>1881</v>
      </c>
      <c r="H145" s="41" t="s">
        <v>1882</v>
      </c>
      <c r="I145" s="41" t="s">
        <v>1883</v>
      </c>
      <c r="J145" s="41" t="s">
        <v>1884</v>
      </c>
      <c r="K145" s="41" t="s">
        <v>1885</v>
      </c>
      <c r="L145" s="41" t="s">
        <v>891</v>
      </c>
    </row>
    <row r="146" spans="1:19" x14ac:dyDescent="0.25">
      <c r="A146" s="41" t="s">
        <v>23</v>
      </c>
      <c r="B146" s="41" t="s">
        <v>1886</v>
      </c>
      <c r="D146" s="41" t="s">
        <v>1887</v>
      </c>
      <c r="F146" s="41" t="s">
        <v>1888</v>
      </c>
      <c r="G146" s="41" t="s">
        <v>1889</v>
      </c>
      <c r="H146" s="41" t="s">
        <v>1890</v>
      </c>
      <c r="I146" s="41" t="s">
        <v>1891</v>
      </c>
      <c r="J146" s="41" t="s">
        <v>1892</v>
      </c>
      <c r="K146" s="41" t="s">
        <v>1893</v>
      </c>
      <c r="L146" s="41" t="s">
        <v>1076</v>
      </c>
    </row>
    <row r="147" spans="1:19" x14ac:dyDescent="0.25">
      <c r="A147" s="41" t="s">
        <v>23</v>
      </c>
      <c r="B147" s="41" t="s">
        <v>1894</v>
      </c>
      <c r="D147" s="41" t="s">
        <v>1895</v>
      </c>
      <c r="F147" s="41" t="s">
        <v>1896</v>
      </c>
      <c r="G147" s="41" t="s">
        <v>1897</v>
      </c>
      <c r="H147" s="41" t="s">
        <v>1898</v>
      </c>
      <c r="I147" s="41" t="s">
        <v>1899</v>
      </c>
      <c r="J147" s="41" t="s">
        <v>1900</v>
      </c>
      <c r="K147" s="41" t="s">
        <v>1901</v>
      </c>
      <c r="L147" s="41" t="s">
        <v>1085</v>
      </c>
    </row>
    <row r="148" spans="1:19" x14ac:dyDescent="0.25">
      <c r="A148" s="41" t="s">
        <v>23</v>
      </c>
      <c r="B148" s="41" t="s">
        <v>1902</v>
      </c>
      <c r="D148" s="41" t="s">
        <v>1903</v>
      </c>
      <c r="F148" s="41" t="s">
        <v>1904</v>
      </c>
      <c r="G148" s="41" t="s">
        <v>1905</v>
      </c>
      <c r="H148" s="41" t="s">
        <v>1906</v>
      </c>
      <c r="I148" s="41" t="s">
        <v>1907</v>
      </c>
      <c r="J148" s="41" t="s">
        <v>1908</v>
      </c>
      <c r="K148" s="41" t="s">
        <v>1909</v>
      </c>
      <c r="L148" s="41" t="s">
        <v>1094</v>
      </c>
    </row>
    <row r="149" spans="1:19" x14ac:dyDescent="0.25">
      <c r="A149" s="41" t="s">
        <v>908</v>
      </c>
      <c r="B149" s="41" t="s">
        <v>1910</v>
      </c>
    </row>
    <row r="150" spans="1:19" x14ac:dyDescent="0.25">
      <c r="A150" s="41" t="s">
        <v>23</v>
      </c>
      <c r="B150" s="41" t="s">
        <v>1911</v>
      </c>
      <c r="F150" s="41" t="s">
        <v>1912</v>
      </c>
      <c r="G150" s="41" t="s">
        <v>1913</v>
      </c>
      <c r="H150" s="41" t="s">
        <v>1914</v>
      </c>
      <c r="I150" s="41" t="s">
        <v>1915</v>
      </c>
      <c r="J150" s="41" t="s">
        <v>1916</v>
      </c>
      <c r="L150" s="41" t="s">
        <v>4</v>
      </c>
    </row>
    <row r="151" spans="1:19" x14ac:dyDescent="0.25">
      <c r="A151" s="41" t="s">
        <v>23</v>
      </c>
      <c r="B151" s="41" t="s">
        <v>1917</v>
      </c>
      <c r="D151" s="41" t="s">
        <v>1918</v>
      </c>
      <c r="E151" s="41" t="s">
        <v>343</v>
      </c>
      <c r="F151" s="41" t="s">
        <v>795</v>
      </c>
      <c r="G151" s="41" t="s">
        <v>796</v>
      </c>
      <c r="H151" s="41" t="s">
        <v>797</v>
      </c>
      <c r="I151" s="41" t="s">
        <v>798</v>
      </c>
      <c r="J151" s="41" t="s">
        <v>1919</v>
      </c>
      <c r="K151" s="41" t="s">
        <v>1920</v>
      </c>
      <c r="L151" s="41" t="s">
        <v>1921</v>
      </c>
      <c r="M151" s="41" t="s">
        <v>1922</v>
      </c>
      <c r="N151" s="41" t="s">
        <v>344</v>
      </c>
      <c r="O151" s="41" t="s">
        <v>1923</v>
      </c>
      <c r="P151" s="41" t="s">
        <v>1924</v>
      </c>
      <c r="Q151" s="41" t="s">
        <v>1925</v>
      </c>
      <c r="R151" s="41" t="s">
        <v>1926</v>
      </c>
      <c r="S151" s="41" t="s">
        <v>1927</v>
      </c>
    </row>
    <row r="152" spans="1:19" x14ac:dyDescent="0.25">
      <c r="A152" s="41" t="s">
        <v>23</v>
      </c>
      <c r="B152" s="41" t="s">
        <v>1928</v>
      </c>
      <c r="D152" s="41" t="s">
        <v>1929</v>
      </c>
      <c r="F152" s="41" t="s">
        <v>1930</v>
      </c>
      <c r="G152" s="41" t="s">
        <v>1931</v>
      </c>
      <c r="H152" s="41" t="s">
        <v>1932</v>
      </c>
      <c r="I152" s="41" t="s">
        <v>1933</v>
      </c>
      <c r="J152" s="41" t="s">
        <v>1934</v>
      </c>
      <c r="K152" s="41" t="s">
        <v>1935</v>
      </c>
      <c r="L152" s="41" t="s">
        <v>891</v>
      </c>
    </row>
    <row r="153" spans="1:19" x14ac:dyDescent="0.25">
      <c r="A153" s="41" t="s">
        <v>23</v>
      </c>
      <c r="B153" s="41" t="s">
        <v>1936</v>
      </c>
      <c r="D153" s="41" t="s">
        <v>1937</v>
      </c>
      <c r="F153" s="41" t="s">
        <v>1938</v>
      </c>
      <c r="G153" s="41" t="s">
        <v>1939</v>
      </c>
      <c r="H153" s="41" t="s">
        <v>1940</v>
      </c>
      <c r="I153" s="41" t="s">
        <v>1941</v>
      </c>
      <c r="J153" s="41" t="s">
        <v>1942</v>
      </c>
      <c r="K153" s="41" t="s">
        <v>1943</v>
      </c>
      <c r="L153" s="41" t="s">
        <v>1076</v>
      </c>
    </row>
    <row r="154" spans="1:19" x14ac:dyDescent="0.25">
      <c r="A154" s="41" t="s">
        <v>23</v>
      </c>
      <c r="B154" s="41" t="s">
        <v>1944</v>
      </c>
      <c r="D154" s="41" t="s">
        <v>1945</v>
      </c>
      <c r="F154" s="41" t="s">
        <v>1946</v>
      </c>
      <c r="G154" s="41" t="s">
        <v>1947</v>
      </c>
      <c r="H154" s="41" t="s">
        <v>1948</v>
      </c>
      <c r="I154" s="41" t="s">
        <v>1949</v>
      </c>
      <c r="J154" s="41" t="s">
        <v>1950</v>
      </c>
      <c r="K154" s="41" t="s">
        <v>1951</v>
      </c>
      <c r="L154" s="41" t="s">
        <v>1085</v>
      </c>
    </row>
    <row r="155" spans="1:19" x14ac:dyDescent="0.25">
      <c r="A155" s="41" t="s">
        <v>23</v>
      </c>
      <c r="B155" s="41" t="s">
        <v>1952</v>
      </c>
      <c r="D155" s="41" t="s">
        <v>1953</v>
      </c>
      <c r="F155" s="41" t="s">
        <v>1954</v>
      </c>
      <c r="G155" s="41" t="s">
        <v>1955</v>
      </c>
      <c r="H155" s="41" t="s">
        <v>1956</v>
      </c>
      <c r="I155" s="41" t="s">
        <v>1957</v>
      </c>
      <c r="J155" s="41" t="s">
        <v>1958</v>
      </c>
      <c r="K155" s="41" t="s">
        <v>1959</v>
      </c>
      <c r="L155" s="41" t="s">
        <v>1094</v>
      </c>
    </row>
    <row r="156" spans="1:19" x14ac:dyDescent="0.25">
      <c r="A156" s="41" t="s">
        <v>908</v>
      </c>
      <c r="B156" s="41" t="s">
        <v>1960</v>
      </c>
    </row>
    <row r="157" spans="1:19" x14ac:dyDescent="0.25">
      <c r="A157" s="41" t="s">
        <v>23</v>
      </c>
      <c r="B157" s="41" t="s">
        <v>1961</v>
      </c>
      <c r="F157" s="41" t="s">
        <v>1962</v>
      </c>
      <c r="G157" s="41" t="s">
        <v>1963</v>
      </c>
      <c r="H157" s="41" t="s">
        <v>1964</v>
      </c>
      <c r="I157" s="41" t="s">
        <v>1965</v>
      </c>
      <c r="J157" s="41" t="s">
        <v>1966</v>
      </c>
      <c r="L157" s="41" t="s">
        <v>4</v>
      </c>
    </row>
    <row r="158" spans="1:19" x14ac:dyDescent="0.25">
      <c r="A158" s="41" t="s">
        <v>23</v>
      </c>
      <c r="B158" s="41" t="s">
        <v>1967</v>
      </c>
      <c r="D158" s="41" t="s">
        <v>36</v>
      </c>
      <c r="E158" s="41" t="s">
        <v>357</v>
      </c>
      <c r="F158" s="41" t="s">
        <v>806</v>
      </c>
      <c r="G158" s="41" t="s">
        <v>807</v>
      </c>
      <c r="H158" s="41" t="s">
        <v>808</v>
      </c>
      <c r="I158" s="41" t="s">
        <v>809</v>
      </c>
      <c r="J158" s="41" t="s">
        <v>1968</v>
      </c>
      <c r="K158" s="41" t="s">
        <v>1969</v>
      </c>
      <c r="L158" s="41" t="s">
        <v>1970</v>
      </c>
      <c r="M158" s="41" t="s">
        <v>1971</v>
      </c>
      <c r="N158" s="41" t="s">
        <v>358</v>
      </c>
      <c r="O158" s="41" t="s">
        <v>1972</v>
      </c>
      <c r="P158" s="41" t="s">
        <v>1973</v>
      </c>
      <c r="Q158" s="41" t="s">
        <v>1974</v>
      </c>
      <c r="R158" s="41" t="s">
        <v>1975</v>
      </c>
      <c r="S158" s="41" t="s">
        <v>1976</v>
      </c>
    </row>
    <row r="159" spans="1:19" x14ac:dyDescent="0.25">
      <c r="A159" s="41" t="s">
        <v>23</v>
      </c>
      <c r="B159" s="41" t="s">
        <v>1977</v>
      </c>
      <c r="D159" s="41" t="s">
        <v>1978</v>
      </c>
      <c r="F159" s="41" t="s">
        <v>1979</v>
      </c>
      <c r="G159" s="41" t="s">
        <v>1980</v>
      </c>
      <c r="H159" s="41" t="s">
        <v>1981</v>
      </c>
      <c r="I159" s="41" t="s">
        <v>1982</v>
      </c>
      <c r="J159" s="41" t="s">
        <v>1983</v>
      </c>
      <c r="K159" s="41" t="s">
        <v>1984</v>
      </c>
      <c r="L159" s="41" t="s">
        <v>891</v>
      </c>
    </row>
    <row r="160" spans="1:19" x14ac:dyDescent="0.25">
      <c r="A160" s="41" t="s">
        <v>23</v>
      </c>
      <c r="B160" s="41" t="s">
        <v>1985</v>
      </c>
      <c r="D160" s="41" t="s">
        <v>1986</v>
      </c>
      <c r="F160" s="41" t="s">
        <v>1987</v>
      </c>
      <c r="G160" s="41" t="s">
        <v>1988</v>
      </c>
      <c r="H160" s="41" t="s">
        <v>1989</v>
      </c>
      <c r="I160" s="41" t="s">
        <v>1990</v>
      </c>
      <c r="J160" s="41" t="s">
        <v>1991</v>
      </c>
      <c r="K160" s="41" t="s">
        <v>1992</v>
      </c>
      <c r="L160" s="41" t="s">
        <v>1076</v>
      </c>
    </row>
    <row r="161" spans="1:19" x14ac:dyDescent="0.25">
      <c r="A161" s="41" t="s">
        <v>23</v>
      </c>
      <c r="B161" s="41" t="s">
        <v>1993</v>
      </c>
      <c r="D161" s="41" t="s">
        <v>1994</v>
      </c>
      <c r="F161" s="41" t="s">
        <v>1995</v>
      </c>
      <c r="G161" s="41" t="s">
        <v>1996</v>
      </c>
      <c r="H161" s="41" t="s">
        <v>1997</v>
      </c>
      <c r="I161" s="41" t="s">
        <v>1998</v>
      </c>
      <c r="J161" s="41" t="s">
        <v>1999</v>
      </c>
      <c r="K161" s="41" t="s">
        <v>2000</v>
      </c>
      <c r="L161" s="41" t="s">
        <v>1085</v>
      </c>
    </row>
    <row r="162" spans="1:19" x14ac:dyDescent="0.25">
      <c r="A162" s="41" t="s">
        <v>23</v>
      </c>
      <c r="B162" s="41" t="s">
        <v>2001</v>
      </c>
      <c r="D162" s="41" t="s">
        <v>2002</v>
      </c>
      <c r="F162" s="41" t="s">
        <v>2003</v>
      </c>
      <c r="G162" s="41" t="s">
        <v>2004</v>
      </c>
      <c r="H162" s="41" t="s">
        <v>2005</v>
      </c>
      <c r="I162" s="41" t="s">
        <v>2006</v>
      </c>
      <c r="J162" s="41" t="s">
        <v>2007</v>
      </c>
      <c r="K162" s="41" t="s">
        <v>2008</v>
      </c>
      <c r="L162" s="41" t="s">
        <v>1094</v>
      </c>
    </row>
    <row r="163" spans="1:19" x14ac:dyDescent="0.25">
      <c r="A163" s="41" t="s">
        <v>908</v>
      </c>
      <c r="B163" s="41" t="s">
        <v>2009</v>
      </c>
    </row>
    <row r="164" spans="1:19" x14ac:dyDescent="0.25">
      <c r="A164" s="41" t="s">
        <v>23</v>
      </c>
      <c r="B164" s="41" t="s">
        <v>2010</v>
      </c>
      <c r="F164" s="41" t="s">
        <v>2011</v>
      </c>
      <c r="G164" s="41" t="s">
        <v>2012</v>
      </c>
      <c r="H164" s="41" t="s">
        <v>2013</v>
      </c>
      <c r="I164" s="41" t="s">
        <v>2014</v>
      </c>
      <c r="J164" s="41" t="s">
        <v>2015</v>
      </c>
      <c r="L164" s="41" t="s">
        <v>4</v>
      </c>
    </row>
    <row r="165" spans="1:19" x14ac:dyDescent="0.25">
      <c r="A165" s="41" t="s">
        <v>23</v>
      </c>
      <c r="B165" s="41" t="s">
        <v>2016</v>
      </c>
      <c r="D165" s="41" t="s">
        <v>39</v>
      </c>
      <c r="E165" s="41" t="s">
        <v>371</v>
      </c>
      <c r="F165" s="41" t="s">
        <v>817</v>
      </c>
      <c r="G165" s="41" t="s">
        <v>818</v>
      </c>
      <c r="H165" s="41" t="s">
        <v>819</v>
      </c>
      <c r="I165" s="41" t="s">
        <v>820</v>
      </c>
      <c r="J165" s="41" t="s">
        <v>2017</v>
      </c>
      <c r="K165" s="41" t="s">
        <v>2018</v>
      </c>
      <c r="L165" s="41" t="s">
        <v>2019</v>
      </c>
      <c r="M165" s="41" t="s">
        <v>2020</v>
      </c>
      <c r="N165" s="41" t="s">
        <v>372</v>
      </c>
      <c r="O165" s="41" t="s">
        <v>2021</v>
      </c>
      <c r="P165" s="41" t="s">
        <v>2022</v>
      </c>
      <c r="Q165" s="41" t="s">
        <v>2023</v>
      </c>
      <c r="R165" s="41" t="s">
        <v>2024</v>
      </c>
      <c r="S165" s="41" t="s">
        <v>2025</v>
      </c>
    </row>
    <row r="166" spans="1:19" x14ac:dyDescent="0.25">
      <c r="A166" s="41" t="s">
        <v>23</v>
      </c>
      <c r="B166" s="41" t="s">
        <v>2026</v>
      </c>
      <c r="D166" s="41" t="s">
        <v>2027</v>
      </c>
      <c r="F166" s="41" t="s">
        <v>2028</v>
      </c>
      <c r="G166" s="41" t="s">
        <v>2029</v>
      </c>
      <c r="H166" s="41" t="s">
        <v>2030</v>
      </c>
      <c r="I166" s="41" t="s">
        <v>2031</v>
      </c>
      <c r="J166" s="41" t="s">
        <v>2032</v>
      </c>
      <c r="K166" s="41" t="s">
        <v>2033</v>
      </c>
      <c r="L166" s="41" t="s">
        <v>891</v>
      </c>
    </row>
    <row r="167" spans="1:19" x14ac:dyDescent="0.25">
      <c r="A167" s="41" t="s">
        <v>23</v>
      </c>
      <c r="B167" s="41" t="s">
        <v>2034</v>
      </c>
      <c r="D167" s="41" t="s">
        <v>2035</v>
      </c>
      <c r="F167" s="41" t="s">
        <v>2036</v>
      </c>
      <c r="G167" s="41" t="s">
        <v>2037</v>
      </c>
      <c r="H167" s="41" t="s">
        <v>2038</v>
      </c>
      <c r="I167" s="41" t="s">
        <v>2039</v>
      </c>
      <c r="J167" s="41" t="s">
        <v>2040</v>
      </c>
      <c r="K167" s="41" t="s">
        <v>2041</v>
      </c>
      <c r="L167" s="41" t="s">
        <v>1076</v>
      </c>
    </row>
    <row r="168" spans="1:19" x14ac:dyDescent="0.25">
      <c r="A168" s="41" t="s">
        <v>23</v>
      </c>
      <c r="B168" s="41" t="s">
        <v>2042</v>
      </c>
      <c r="D168" s="41" t="s">
        <v>2043</v>
      </c>
      <c r="F168" s="41" t="s">
        <v>2044</v>
      </c>
      <c r="G168" s="41" t="s">
        <v>2045</v>
      </c>
      <c r="H168" s="41" t="s">
        <v>2046</v>
      </c>
      <c r="I168" s="41" t="s">
        <v>2047</v>
      </c>
      <c r="J168" s="41" t="s">
        <v>2048</v>
      </c>
      <c r="K168" s="41" t="s">
        <v>2049</v>
      </c>
      <c r="L168" s="41" t="s">
        <v>1085</v>
      </c>
    </row>
    <row r="169" spans="1:19" x14ac:dyDescent="0.25">
      <c r="A169" s="41" t="s">
        <v>23</v>
      </c>
      <c r="B169" s="41" t="s">
        <v>2050</v>
      </c>
      <c r="D169" s="41" t="s">
        <v>2051</v>
      </c>
      <c r="F169" s="41" t="s">
        <v>2052</v>
      </c>
      <c r="G169" s="41" t="s">
        <v>2053</v>
      </c>
      <c r="H169" s="41" t="s">
        <v>2054</v>
      </c>
      <c r="I169" s="41" t="s">
        <v>2055</v>
      </c>
      <c r="J169" s="41" t="s">
        <v>2056</v>
      </c>
      <c r="K169" s="41" t="s">
        <v>2057</v>
      </c>
      <c r="L169" s="41" t="s">
        <v>1094</v>
      </c>
    </row>
    <row r="170" spans="1:19" x14ac:dyDescent="0.25">
      <c r="A170" s="41" t="s">
        <v>908</v>
      </c>
      <c r="B170" s="41" t="s">
        <v>2058</v>
      </c>
    </row>
    <row r="171" spans="1:19" x14ac:dyDescent="0.25">
      <c r="A171" s="41" t="s">
        <v>23</v>
      </c>
      <c r="B171" s="41" t="s">
        <v>2059</v>
      </c>
      <c r="F171" s="41" t="s">
        <v>2060</v>
      </c>
      <c r="G171" s="41" t="s">
        <v>2061</v>
      </c>
      <c r="H171" s="41" t="s">
        <v>2062</v>
      </c>
      <c r="I171" s="41" t="s">
        <v>2063</v>
      </c>
      <c r="J171" s="41" t="s">
        <v>2064</v>
      </c>
      <c r="L171" s="41" t="s">
        <v>4</v>
      </c>
    </row>
    <row r="172" spans="1:19" x14ac:dyDescent="0.25">
      <c r="A172" s="41" t="s">
        <v>23</v>
      </c>
      <c r="B172" s="41" t="s">
        <v>2065</v>
      </c>
      <c r="D172" s="41" t="s">
        <v>42</v>
      </c>
      <c r="E172" s="41" t="s">
        <v>385</v>
      </c>
      <c r="F172" s="41" t="s">
        <v>828</v>
      </c>
      <c r="G172" s="41" t="s">
        <v>829</v>
      </c>
      <c r="H172" s="41" t="s">
        <v>830</v>
      </c>
      <c r="I172" s="41" t="s">
        <v>831</v>
      </c>
      <c r="J172" s="41" t="s">
        <v>2066</v>
      </c>
      <c r="K172" s="41" t="s">
        <v>2067</v>
      </c>
      <c r="L172" s="41" t="s">
        <v>2068</v>
      </c>
      <c r="M172" s="41" t="s">
        <v>2069</v>
      </c>
      <c r="N172" s="41" t="s">
        <v>386</v>
      </c>
      <c r="O172" s="41" t="s">
        <v>2070</v>
      </c>
      <c r="P172" s="41" t="s">
        <v>2071</v>
      </c>
      <c r="Q172" s="41" t="s">
        <v>2072</v>
      </c>
      <c r="R172" s="41" t="s">
        <v>2073</v>
      </c>
      <c r="S172" s="41" t="s">
        <v>2074</v>
      </c>
    </row>
    <row r="173" spans="1:19" x14ac:dyDescent="0.25">
      <c r="A173" s="41" t="s">
        <v>23</v>
      </c>
      <c r="B173" s="41" t="s">
        <v>2075</v>
      </c>
      <c r="D173" s="41" t="s">
        <v>2076</v>
      </c>
      <c r="F173" s="41" t="s">
        <v>2077</v>
      </c>
      <c r="G173" s="41" t="s">
        <v>2078</v>
      </c>
      <c r="H173" s="41" t="s">
        <v>2079</v>
      </c>
      <c r="I173" s="41" t="s">
        <v>2080</v>
      </c>
      <c r="J173" s="41" t="s">
        <v>2081</v>
      </c>
      <c r="K173" s="41" t="s">
        <v>2082</v>
      </c>
      <c r="L173" s="41" t="s">
        <v>891</v>
      </c>
    </row>
    <row r="174" spans="1:19" x14ac:dyDescent="0.25">
      <c r="A174" s="41" t="s">
        <v>23</v>
      </c>
      <c r="B174" s="41" t="s">
        <v>2083</v>
      </c>
      <c r="D174" s="41" t="s">
        <v>2084</v>
      </c>
      <c r="F174" s="41" t="s">
        <v>2085</v>
      </c>
      <c r="G174" s="41" t="s">
        <v>2086</v>
      </c>
      <c r="H174" s="41" t="s">
        <v>2087</v>
      </c>
      <c r="I174" s="41" t="s">
        <v>2088</v>
      </c>
      <c r="J174" s="41" t="s">
        <v>2089</v>
      </c>
      <c r="K174" s="41" t="s">
        <v>2090</v>
      </c>
      <c r="L174" s="41" t="s">
        <v>1076</v>
      </c>
    </row>
    <row r="175" spans="1:19" x14ac:dyDescent="0.25">
      <c r="A175" s="41" t="s">
        <v>23</v>
      </c>
      <c r="B175" s="41" t="s">
        <v>2091</v>
      </c>
      <c r="D175" s="41" t="s">
        <v>2092</v>
      </c>
      <c r="F175" s="41" t="s">
        <v>2093</v>
      </c>
      <c r="G175" s="41" t="s">
        <v>2094</v>
      </c>
      <c r="H175" s="41" t="s">
        <v>2095</v>
      </c>
      <c r="I175" s="41" t="s">
        <v>2096</v>
      </c>
      <c r="J175" s="41" t="s">
        <v>2097</v>
      </c>
      <c r="K175" s="41" t="s">
        <v>2098</v>
      </c>
      <c r="L175" s="41" t="s">
        <v>1085</v>
      </c>
    </row>
    <row r="176" spans="1:19" x14ac:dyDescent="0.25">
      <c r="A176" s="41" t="s">
        <v>23</v>
      </c>
      <c r="B176" s="41" t="s">
        <v>2099</v>
      </c>
      <c r="D176" s="41" t="s">
        <v>2100</v>
      </c>
      <c r="F176" s="41" t="s">
        <v>2101</v>
      </c>
      <c r="G176" s="41" t="s">
        <v>2102</v>
      </c>
      <c r="H176" s="41" t="s">
        <v>2103</v>
      </c>
      <c r="I176" s="41" t="s">
        <v>2104</v>
      </c>
      <c r="J176" s="41" t="s">
        <v>2105</v>
      </c>
      <c r="K176" s="41" t="s">
        <v>2106</v>
      </c>
      <c r="L176" s="41" t="s">
        <v>1094</v>
      </c>
    </row>
    <row r="177" spans="1:19" x14ac:dyDescent="0.25">
      <c r="A177" s="41" t="s">
        <v>908</v>
      </c>
      <c r="B177" s="41" t="s">
        <v>2107</v>
      </c>
    </row>
    <row r="178" spans="1:19" x14ac:dyDescent="0.25">
      <c r="A178" s="41" t="s">
        <v>23</v>
      </c>
      <c r="B178" s="41" t="s">
        <v>2108</v>
      </c>
      <c r="F178" s="41" t="s">
        <v>2109</v>
      </c>
      <c r="G178" s="41" t="s">
        <v>2110</v>
      </c>
      <c r="H178" s="41" t="s">
        <v>2111</v>
      </c>
      <c r="I178" s="41" t="s">
        <v>2112</v>
      </c>
      <c r="J178" s="41" t="s">
        <v>2113</v>
      </c>
      <c r="L178" s="41" t="s">
        <v>4</v>
      </c>
    </row>
    <row r="179" spans="1:19" x14ac:dyDescent="0.25">
      <c r="A179" s="41" t="s">
        <v>23</v>
      </c>
      <c r="B179" s="41" t="s">
        <v>2114</v>
      </c>
      <c r="D179" s="41" t="s">
        <v>45</v>
      </c>
      <c r="E179" s="41" t="s">
        <v>400</v>
      </c>
      <c r="F179" s="41" t="s">
        <v>839</v>
      </c>
      <c r="G179" s="41" t="s">
        <v>840</v>
      </c>
      <c r="H179" s="41" t="s">
        <v>841</v>
      </c>
      <c r="I179" s="41" t="s">
        <v>842</v>
      </c>
      <c r="J179" s="41" t="s">
        <v>2115</v>
      </c>
      <c r="K179" s="41" t="s">
        <v>2116</v>
      </c>
      <c r="L179" s="41" t="s">
        <v>2117</v>
      </c>
      <c r="M179" s="41" t="s">
        <v>2118</v>
      </c>
      <c r="N179" s="41" t="s">
        <v>401</v>
      </c>
      <c r="O179" s="41" t="s">
        <v>2119</v>
      </c>
      <c r="P179" s="41" t="s">
        <v>2120</v>
      </c>
      <c r="Q179" s="41" t="s">
        <v>2121</v>
      </c>
      <c r="R179" s="41" t="s">
        <v>2122</v>
      </c>
      <c r="S179" s="41" t="s">
        <v>2123</v>
      </c>
    </row>
    <row r="180" spans="1:19" x14ac:dyDescent="0.25">
      <c r="A180" s="41" t="s">
        <v>23</v>
      </c>
      <c r="B180" s="41" t="s">
        <v>2124</v>
      </c>
      <c r="D180" s="41" t="s">
        <v>2125</v>
      </c>
      <c r="F180" s="41" t="s">
        <v>2126</v>
      </c>
      <c r="G180" s="41" t="s">
        <v>2127</v>
      </c>
      <c r="H180" s="41" t="s">
        <v>2128</v>
      </c>
      <c r="I180" s="41" t="s">
        <v>2129</v>
      </c>
      <c r="J180" s="41" t="s">
        <v>2130</v>
      </c>
      <c r="K180" s="41" t="s">
        <v>2131</v>
      </c>
      <c r="L180" s="41" t="s">
        <v>891</v>
      </c>
    </row>
    <row r="181" spans="1:19" x14ac:dyDescent="0.25">
      <c r="A181" s="41" t="s">
        <v>23</v>
      </c>
      <c r="B181" s="41" t="s">
        <v>2132</v>
      </c>
      <c r="D181" s="41" t="s">
        <v>2133</v>
      </c>
      <c r="F181" s="41" t="s">
        <v>2134</v>
      </c>
      <c r="G181" s="41" t="s">
        <v>2135</v>
      </c>
      <c r="H181" s="41" t="s">
        <v>2136</v>
      </c>
      <c r="I181" s="41" t="s">
        <v>2137</v>
      </c>
      <c r="J181" s="41" t="s">
        <v>2138</v>
      </c>
      <c r="K181" s="41" t="s">
        <v>2139</v>
      </c>
      <c r="L181" s="41" t="s">
        <v>1076</v>
      </c>
    </row>
    <row r="182" spans="1:19" x14ac:dyDescent="0.25">
      <c r="A182" s="41" t="s">
        <v>23</v>
      </c>
      <c r="B182" s="41" t="s">
        <v>2140</v>
      </c>
      <c r="D182" s="41" t="s">
        <v>2141</v>
      </c>
      <c r="F182" s="41" t="s">
        <v>2142</v>
      </c>
      <c r="G182" s="41" t="s">
        <v>2143</v>
      </c>
      <c r="H182" s="41" t="s">
        <v>2144</v>
      </c>
      <c r="I182" s="41" t="s">
        <v>2145</v>
      </c>
      <c r="J182" s="41" t="s">
        <v>2146</v>
      </c>
      <c r="K182" s="41" t="s">
        <v>2147</v>
      </c>
      <c r="L182" s="41" t="s">
        <v>1085</v>
      </c>
    </row>
    <row r="183" spans="1:19" x14ac:dyDescent="0.25">
      <c r="A183" s="41" t="s">
        <v>23</v>
      </c>
      <c r="B183" s="41" t="s">
        <v>2148</v>
      </c>
      <c r="D183" s="41" t="s">
        <v>2149</v>
      </c>
      <c r="F183" s="41" t="s">
        <v>2150</v>
      </c>
      <c r="G183" s="41" t="s">
        <v>2151</v>
      </c>
      <c r="H183" s="41" t="s">
        <v>2152</v>
      </c>
      <c r="I183" s="41" t="s">
        <v>2153</v>
      </c>
      <c r="J183" s="41" t="s">
        <v>2154</v>
      </c>
      <c r="K183" s="41" t="s">
        <v>2155</v>
      </c>
      <c r="L183" s="41" t="s">
        <v>1094</v>
      </c>
    </row>
    <row r="184" spans="1:19" x14ac:dyDescent="0.25">
      <c r="A184" s="41" t="s">
        <v>908</v>
      </c>
      <c r="B184" s="41" t="s">
        <v>2156</v>
      </c>
    </row>
    <row r="185" spans="1:19" x14ac:dyDescent="0.25">
      <c r="A185" s="41" t="s">
        <v>23</v>
      </c>
      <c r="B185" s="41" t="s">
        <v>2157</v>
      </c>
      <c r="F185" s="41" t="s">
        <v>2158</v>
      </c>
      <c r="G185" s="41" t="s">
        <v>2159</v>
      </c>
      <c r="H185" s="41" t="s">
        <v>2160</v>
      </c>
      <c r="I185" s="41" t="s">
        <v>2161</v>
      </c>
      <c r="J185" s="41" t="s">
        <v>2162</v>
      </c>
      <c r="L185" s="41" t="s">
        <v>4</v>
      </c>
    </row>
    <row r="186" spans="1:19" x14ac:dyDescent="0.25">
      <c r="A186" s="41" t="s">
        <v>23</v>
      </c>
      <c r="B186" s="41" t="s">
        <v>2163</v>
      </c>
      <c r="D186" s="41" t="s">
        <v>2164</v>
      </c>
      <c r="E186" s="41" t="s">
        <v>415</v>
      </c>
      <c r="F186" s="41" t="s">
        <v>850</v>
      </c>
      <c r="G186" s="41" t="s">
        <v>851</v>
      </c>
      <c r="H186" s="41" t="s">
        <v>852</v>
      </c>
      <c r="I186" s="41" t="s">
        <v>853</v>
      </c>
      <c r="J186" s="41" t="s">
        <v>2165</v>
      </c>
      <c r="K186" s="41" t="s">
        <v>2166</v>
      </c>
      <c r="L186" s="41" t="s">
        <v>2167</v>
      </c>
      <c r="M186" s="41" t="s">
        <v>2168</v>
      </c>
      <c r="N186" s="41" t="s">
        <v>416</v>
      </c>
      <c r="O186" s="41" t="s">
        <v>2169</v>
      </c>
      <c r="P186" s="41" t="s">
        <v>2170</v>
      </c>
      <c r="Q186" s="41" t="s">
        <v>2171</v>
      </c>
      <c r="R186" s="41" t="s">
        <v>2172</v>
      </c>
      <c r="S186" s="41" t="s">
        <v>2173</v>
      </c>
    </row>
    <row r="187" spans="1:19" x14ac:dyDescent="0.25">
      <c r="A187" s="41" t="s">
        <v>23</v>
      </c>
      <c r="B187" s="41" t="s">
        <v>2174</v>
      </c>
      <c r="D187" s="41" t="s">
        <v>2175</v>
      </c>
      <c r="F187" s="41" t="s">
        <v>2176</v>
      </c>
      <c r="G187" s="41" t="s">
        <v>2177</v>
      </c>
      <c r="H187" s="41" t="s">
        <v>2178</v>
      </c>
      <c r="I187" s="41" t="s">
        <v>2179</v>
      </c>
      <c r="J187" s="41" t="s">
        <v>2180</v>
      </c>
      <c r="K187" s="41" t="s">
        <v>2181</v>
      </c>
      <c r="L187" s="41" t="s">
        <v>891</v>
      </c>
    </row>
    <row r="188" spans="1:19" x14ac:dyDescent="0.25">
      <c r="A188" s="41" t="s">
        <v>23</v>
      </c>
      <c r="B188" s="41" t="s">
        <v>2182</v>
      </c>
      <c r="D188" s="41" t="s">
        <v>2183</v>
      </c>
      <c r="F188" s="41" t="s">
        <v>2184</v>
      </c>
      <c r="G188" s="41" t="s">
        <v>2185</v>
      </c>
      <c r="H188" s="41" t="s">
        <v>2186</v>
      </c>
      <c r="I188" s="41" t="s">
        <v>2187</v>
      </c>
      <c r="J188" s="41" t="s">
        <v>2188</v>
      </c>
      <c r="K188" s="41" t="s">
        <v>2189</v>
      </c>
      <c r="L188" s="41" t="s">
        <v>1076</v>
      </c>
    </row>
    <row r="189" spans="1:19" x14ac:dyDescent="0.25">
      <c r="A189" s="41" t="s">
        <v>23</v>
      </c>
      <c r="B189" s="41" t="s">
        <v>2190</v>
      </c>
      <c r="D189" s="41" t="s">
        <v>2191</v>
      </c>
      <c r="F189" s="41" t="s">
        <v>2192</v>
      </c>
      <c r="G189" s="41" t="s">
        <v>2193</v>
      </c>
      <c r="H189" s="41" t="s">
        <v>2194</v>
      </c>
      <c r="I189" s="41" t="s">
        <v>2195</v>
      </c>
      <c r="J189" s="41" t="s">
        <v>2196</v>
      </c>
      <c r="K189" s="41" t="s">
        <v>2197</v>
      </c>
      <c r="L189" s="41" t="s">
        <v>1085</v>
      </c>
    </row>
    <row r="190" spans="1:19" x14ac:dyDescent="0.25">
      <c r="A190" s="41" t="s">
        <v>23</v>
      </c>
      <c r="B190" s="41" t="s">
        <v>2198</v>
      </c>
      <c r="D190" s="41" t="s">
        <v>2199</v>
      </c>
      <c r="F190" s="41" t="s">
        <v>2200</v>
      </c>
      <c r="G190" s="41" t="s">
        <v>2201</v>
      </c>
      <c r="H190" s="41" t="s">
        <v>2202</v>
      </c>
      <c r="I190" s="41" t="s">
        <v>2203</v>
      </c>
      <c r="J190" s="41" t="s">
        <v>2204</v>
      </c>
      <c r="K190" s="41" t="s">
        <v>2205</v>
      </c>
      <c r="L190" s="41" t="s">
        <v>1094</v>
      </c>
    </row>
    <row r="191" spans="1:19" x14ac:dyDescent="0.25">
      <c r="A191" s="41" t="s">
        <v>908</v>
      </c>
      <c r="B191" s="41" t="s">
        <v>2206</v>
      </c>
    </row>
    <row r="192" spans="1:19" x14ac:dyDescent="0.25">
      <c r="A192" s="41" t="s">
        <v>23</v>
      </c>
      <c r="B192" s="41" t="s">
        <v>2207</v>
      </c>
      <c r="F192" s="41" t="s">
        <v>2208</v>
      </c>
      <c r="G192" s="41" t="s">
        <v>2209</v>
      </c>
      <c r="H192" s="41" t="s">
        <v>2210</v>
      </c>
      <c r="I192" s="41" t="s">
        <v>2211</v>
      </c>
      <c r="J192" s="41" t="s">
        <v>2212</v>
      </c>
      <c r="L192" s="41" t="s">
        <v>4</v>
      </c>
    </row>
    <row r="193" spans="1:19" x14ac:dyDescent="0.25">
      <c r="A193" s="41" t="s">
        <v>23</v>
      </c>
      <c r="B193" s="41" t="s">
        <v>2213</v>
      </c>
      <c r="D193" s="41" t="s">
        <v>2214</v>
      </c>
      <c r="E193" s="41" t="s">
        <v>2215</v>
      </c>
      <c r="F193" s="41" t="s">
        <v>2216</v>
      </c>
      <c r="G193" s="41" t="s">
        <v>2217</v>
      </c>
      <c r="H193" s="41" t="s">
        <v>2218</v>
      </c>
      <c r="I193" s="41" t="s">
        <v>2219</v>
      </c>
      <c r="J193" s="41" t="s">
        <v>2220</v>
      </c>
      <c r="K193" s="41" t="s">
        <v>2221</v>
      </c>
      <c r="L193" s="41" t="s">
        <v>2222</v>
      </c>
      <c r="M193" s="41" t="s">
        <v>2223</v>
      </c>
      <c r="N193" s="41" t="s">
        <v>2224</v>
      </c>
      <c r="O193" s="41" t="s">
        <v>2225</v>
      </c>
      <c r="P193" s="41" t="s">
        <v>2226</v>
      </c>
      <c r="Q193" s="41" t="s">
        <v>2227</v>
      </c>
      <c r="R193" s="41" t="s">
        <v>2228</v>
      </c>
      <c r="S193" s="41" t="s">
        <v>2229</v>
      </c>
    </row>
    <row r="194" spans="1:19" x14ac:dyDescent="0.25">
      <c r="A194" s="41" t="s">
        <v>23</v>
      </c>
      <c r="B194" s="41" t="s">
        <v>2230</v>
      </c>
      <c r="D194" s="41" t="s">
        <v>2231</v>
      </c>
      <c r="F194" s="41" t="s">
        <v>2232</v>
      </c>
      <c r="G194" s="41" t="s">
        <v>2233</v>
      </c>
      <c r="H194" s="41" t="s">
        <v>2234</v>
      </c>
      <c r="I194" s="41" t="s">
        <v>2235</v>
      </c>
      <c r="J194" s="41" t="s">
        <v>2236</v>
      </c>
      <c r="K194" s="41" t="s">
        <v>2237</v>
      </c>
      <c r="L194" s="41" t="s">
        <v>891</v>
      </c>
    </row>
    <row r="195" spans="1:19" x14ac:dyDescent="0.25">
      <c r="A195" s="41" t="s">
        <v>23</v>
      </c>
      <c r="B195" s="41" t="s">
        <v>2238</v>
      </c>
      <c r="D195" s="41" t="s">
        <v>2239</v>
      </c>
      <c r="F195" s="41" t="s">
        <v>2240</v>
      </c>
      <c r="G195" s="41" t="s">
        <v>2241</v>
      </c>
      <c r="H195" s="41" t="s">
        <v>2242</v>
      </c>
      <c r="I195" s="41" t="s">
        <v>2243</v>
      </c>
      <c r="J195" s="41" t="s">
        <v>2244</v>
      </c>
      <c r="K195" s="41" t="s">
        <v>2245</v>
      </c>
      <c r="L195" s="41" t="s">
        <v>1076</v>
      </c>
    </row>
    <row r="196" spans="1:19" x14ac:dyDescent="0.25">
      <c r="A196" s="41" t="s">
        <v>23</v>
      </c>
      <c r="B196" s="41" t="s">
        <v>2246</v>
      </c>
      <c r="D196" s="41" t="s">
        <v>2247</v>
      </c>
      <c r="F196" s="41" t="s">
        <v>2248</v>
      </c>
      <c r="G196" s="41" t="s">
        <v>2249</v>
      </c>
      <c r="H196" s="41" t="s">
        <v>2250</v>
      </c>
      <c r="I196" s="41" t="s">
        <v>2251</v>
      </c>
      <c r="J196" s="41" t="s">
        <v>2252</v>
      </c>
      <c r="K196" s="41" t="s">
        <v>2253</v>
      </c>
      <c r="L196" s="41" t="s">
        <v>1085</v>
      </c>
    </row>
    <row r="197" spans="1:19" x14ac:dyDescent="0.25">
      <c r="A197" s="41" t="s">
        <v>23</v>
      </c>
      <c r="B197" s="41" t="s">
        <v>2254</v>
      </c>
      <c r="D197" s="41" t="s">
        <v>2255</v>
      </c>
      <c r="F197" s="41" t="s">
        <v>2256</v>
      </c>
      <c r="G197" s="41" t="s">
        <v>2257</v>
      </c>
      <c r="H197" s="41" t="s">
        <v>2258</v>
      </c>
      <c r="I197" s="41" t="s">
        <v>2259</v>
      </c>
      <c r="J197" s="41" t="s">
        <v>2260</v>
      </c>
      <c r="K197" s="41" t="s">
        <v>2261</v>
      </c>
      <c r="L197" s="41" t="s">
        <v>1094</v>
      </c>
    </row>
    <row r="198" spans="1:19" x14ac:dyDescent="0.25">
      <c r="A198" s="41" t="s">
        <v>908</v>
      </c>
      <c r="B198" s="41" t="s">
        <v>2262</v>
      </c>
    </row>
    <row r="199" spans="1:19" x14ac:dyDescent="0.25">
      <c r="A199" s="41" t="s">
        <v>23</v>
      </c>
      <c r="B199" s="41" t="s">
        <v>2263</v>
      </c>
      <c r="F199" s="41" t="s">
        <v>2264</v>
      </c>
      <c r="G199" s="41" t="s">
        <v>2265</v>
      </c>
      <c r="H199" s="41" t="s">
        <v>2266</v>
      </c>
      <c r="I199" s="41" t="s">
        <v>2267</v>
      </c>
      <c r="J199" s="41" t="s">
        <v>2268</v>
      </c>
      <c r="L199" s="41" t="s">
        <v>4</v>
      </c>
    </row>
    <row r="200" spans="1:19" x14ac:dyDescent="0.25">
      <c r="A200" s="41" t="s">
        <v>23</v>
      </c>
      <c r="B200" s="41" t="s">
        <v>2269</v>
      </c>
      <c r="D200" s="41" t="s">
        <v>2270</v>
      </c>
      <c r="E200" s="41" t="s">
        <v>2271</v>
      </c>
      <c r="F200" s="41" t="s">
        <v>2272</v>
      </c>
      <c r="G200" s="41" t="s">
        <v>2273</v>
      </c>
      <c r="H200" s="41" t="s">
        <v>2274</v>
      </c>
      <c r="I200" s="41" t="s">
        <v>2275</v>
      </c>
      <c r="J200" s="41" t="s">
        <v>2276</v>
      </c>
      <c r="K200" s="41" t="s">
        <v>2277</v>
      </c>
      <c r="L200" s="41" t="s">
        <v>2278</v>
      </c>
      <c r="M200" s="41" t="s">
        <v>2279</v>
      </c>
      <c r="N200" s="41" t="s">
        <v>2280</v>
      </c>
      <c r="O200" s="41" t="s">
        <v>2281</v>
      </c>
      <c r="P200" s="41" t="s">
        <v>2282</v>
      </c>
      <c r="Q200" s="41" t="s">
        <v>2283</v>
      </c>
      <c r="R200" s="41" t="s">
        <v>2284</v>
      </c>
      <c r="S200" s="41" t="s">
        <v>2285</v>
      </c>
    </row>
    <row r="201" spans="1:19" x14ac:dyDescent="0.25">
      <c r="A201" s="41" t="s">
        <v>23</v>
      </c>
      <c r="B201" s="41" t="s">
        <v>2286</v>
      </c>
      <c r="D201" s="41" t="s">
        <v>2287</v>
      </c>
      <c r="F201" s="41" t="s">
        <v>2288</v>
      </c>
      <c r="G201" s="41" t="s">
        <v>2289</v>
      </c>
      <c r="H201" s="41" t="s">
        <v>2290</v>
      </c>
      <c r="I201" s="41" t="s">
        <v>2291</v>
      </c>
      <c r="J201" s="41" t="s">
        <v>2292</v>
      </c>
      <c r="K201" s="41" t="s">
        <v>2293</v>
      </c>
      <c r="L201" s="41" t="s">
        <v>891</v>
      </c>
    </row>
    <row r="202" spans="1:19" x14ac:dyDescent="0.25">
      <c r="A202" s="41" t="s">
        <v>23</v>
      </c>
      <c r="B202" s="41" t="s">
        <v>2294</v>
      </c>
      <c r="D202" s="41" t="s">
        <v>2295</v>
      </c>
      <c r="F202" s="41" t="s">
        <v>2296</v>
      </c>
      <c r="G202" s="41" t="s">
        <v>2297</v>
      </c>
      <c r="H202" s="41" t="s">
        <v>2298</v>
      </c>
      <c r="I202" s="41" t="s">
        <v>2299</v>
      </c>
      <c r="J202" s="41" t="s">
        <v>2300</v>
      </c>
      <c r="K202" s="41" t="s">
        <v>2301</v>
      </c>
      <c r="L202" s="41" t="s">
        <v>1076</v>
      </c>
    </row>
    <row r="203" spans="1:19" x14ac:dyDescent="0.25">
      <c r="A203" s="41" t="s">
        <v>23</v>
      </c>
      <c r="B203" s="41" t="s">
        <v>2302</v>
      </c>
      <c r="D203" s="41" t="s">
        <v>2303</v>
      </c>
      <c r="F203" s="41" t="s">
        <v>2304</v>
      </c>
      <c r="G203" s="41" t="s">
        <v>2305</v>
      </c>
      <c r="H203" s="41" t="s">
        <v>2306</v>
      </c>
      <c r="I203" s="41" t="s">
        <v>2307</v>
      </c>
      <c r="J203" s="41" t="s">
        <v>2308</v>
      </c>
      <c r="K203" s="41" t="s">
        <v>2309</v>
      </c>
      <c r="L203" s="41" t="s">
        <v>1085</v>
      </c>
    </row>
    <row r="204" spans="1:19" x14ac:dyDescent="0.25">
      <c r="A204" s="41" t="s">
        <v>23</v>
      </c>
      <c r="B204" s="41" t="s">
        <v>2310</v>
      </c>
      <c r="D204" s="41" t="s">
        <v>2311</v>
      </c>
      <c r="F204" s="41" t="s">
        <v>2312</v>
      </c>
      <c r="G204" s="41" t="s">
        <v>2313</v>
      </c>
      <c r="H204" s="41" t="s">
        <v>2314</v>
      </c>
      <c r="I204" s="41" t="s">
        <v>2315</v>
      </c>
      <c r="J204" s="41" t="s">
        <v>2316</v>
      </c>
      <c r="K204" s="41" t="s">
        <v>2317</v>
      </c>
      <c r="L204" s="41" t="s">
        <v>1094</v>
      </c>
    </row>
    <row r="205" spans="1:19" x14ac:dyDescent="0.25">
      <c r="A205" s="41" t="s">
        <v>908</v>
      </c>
      <c r="B205" s="41" t="s">
        <v>2318</v>
      </c>
    </row>
    <row r="206" spans="1:19" x14ac:dyDescent="0.25">
      <c r="A206" s="41" t="s">
        <v>23</v>
      </c>
      <c r="B206" s="41" t="s">
        <v>2319</v>
      </c>
      <c r="F206" s="41" t="s">
        <v>2320</v>
      </c>
      <c r="G206" s="41" t="s">
        <v>2321</v>
      </c>
      <c r="H206" s="41" t="s">
        <v>2322</v>
      </c>
      <c r="I206" s="41" t="s">
        <v>2323</v>
      </c>
      <c r="J206" s="41" t="s">
        <v>2324</v>
      </c>
      <c r="L206" s="41" t="s">
        <v>4</v>
      </c>
    </row>
    <row r="207" spans="1:19" x14ac:dyDescent="0.25">
      <c r="A207" s="41" t="s">
        <v>23</v>
      </c>
      <c r="B207" s="41" t="s">
        <v>2325</v>
      </c>
      <c r="D207" s="41" t="s">
        <v>2326</v>
      </c>
      <c r="E207" s="41" t="s">
        <v>2327</v>
      </c>
      <c r="F207" s="41" t="s">
        <v>2328</v>
      </c>
      <c r="G207" s="41" t="s">
        <v>2329</v>
      </c>
      <c r="H207" s="41" t="s">
        <v>2330</v>
      </c>
      <c r="I207" s="41" t="s">
        <v>2331</v>
      </c>
      <c r="J207" s="41" t="s">
        <v>2332</v>
      </c>
      <c r="K207" s="41" t="s">
        <v>2333</v>
      </c>
      <c r="L207" s="41" t="s">
        <v>2334</v>
      </c>
      <c r="M207" s="41" t="s">
        <v>2335</v>
      </c>
      <c r="N207" s="41" t="s">
        <v>2336</v>
      </c>
      <c r="O207" s="41" t="s">
        <v>2337</v>
      </c>
      <c r="P207" s="41" t="s">
        <v>2338</v>
      </c>
      <c r="Q207" s="41" t="s">
        <v>2339</v>
      </c>
      <c r="R207" s="41" t="s">
        <v>2340</v>
      </c>
      <c r="S207" s="41" t="s">
        <v>2341</v>
      </c>
    </row>
    <row r="208" spans="1:19" x14ac:dyDescent="0.25">
      <c r="A208" s="41" t="s">
        <v>23</v>
      </c>
      <c r="B208" s="41" t="s">
        <v>2342</v>
      </c>
      <c r="D208" s="41" t="s">
        <v>2343</v>
      </c>
      <c r="F208" s="41" t="s">
        <v>2344</v>
      </c>
      <c r="G208" s="41" t="s">
        <v>2345</v>
      </c>
      <c r="H208" s="41" t="s">
        <v>2346</v>
      </c>
      <c r="I208" s="41" t="s">
        <v>2347</v>
      </c>
      <c r="J208" s="41" t="s">
        <v>2348</v>
      </c>
      <c r="K208" s="41" t="s">
        <v>2349</v>
      </c>
      <c r="L208" s="41" t="s">
        <v>891</v>
      </c>
    </row>
    <row r="209" spans="1:19" x14ac:dyDescent="0.25">
      <c r="A209" s="41" t="s">
        <v>23</v>
      </c>
      <c r="B209" s="41" t="s">
        <v>2350</v>
      </c>
      <c r="D209" s="41" t="s">
        <v>2351</v>
      </c>
      <c r="F209" s="41" t="s">
        <v>2352</v>
      </c>
      <c r="G209" s="41" t="s">
        <v>2353</v>
      </c>
      <c r="H209" s="41" t="s">
        <v>2354</v>
      </c>
      <c r="I209" s="41" t="s">
        <v>2355</v>
      </c>
      <c r="J209" s="41" t="s">
        <v>2356</v>
      </c>
      <c r="K209" s="41" t="s">
        <v>2357</v>
      </c>
      <c r="L209" s="41" t="s">
        <v>1076</v>
      </c>
    </row>
    <row r="210" spans="1:19" x14ac:dyDescent="0.25">
      <c r="A210" s="41" t="s">
        <v>23</v>
      </c>
      <c r="B210" s="41" t="s">
        <v>2358</v>
      </c>
      <c r="D210" s="41" t="s">
        <v>2359</v>
      </c>
      <c r="F210" s="41" t="s">
        <v>2360</v>
      </c>
      <c r="G210" s="41" t="s">
        <v>2361</v>
      </c>
      <c r="H210" s="41" t="s">
        <v>2362</v>
      </c>
      <c r="I210" s="41" t="s">
        <v>2363</v>
      </c>
      <c r="J210" s="41" t="s">
        <v>2364</v>
      </c>
      <c r="K210" s="41" t="s">
        <v>2365</v>
      </c>
      <c r="L210" s="41" t="s">
        <v>1085</v>
      </c>
    </row>
    <row r="211" spans="1:19" x14ac:dyDescent="0.25">
      <c r="A211" s="41" t="s">
        <v>23</v>
      </c>
      <c r="B211" s="41" t="s">
        <v>2366</v>
      </c>
      <c r="D211" s="41" t="s">
        <v>2367</v>
      </c>
      <c r="F211" s="41" t="s">
        <v>2368</v>
      </c>
      <c r="G211" s="41" t="s">
        <v>2369</v>
      </c>
      <c r="H211" s="41" t="s">
        <v>2370</v>
      </c>
      <c r="I211" s="41" t="s">
        <v>2371</v>
      </c>
      <c r="J211" s="41" t="s">
        <v>2372</v>
      </c>
      <c r="K211" s="41" t="s">
        <v>2373</v>
      </c>
      <c r="L211" s="41" t="s">
        <v>1094</v>
      </c>
    </row>
    <row r="212" spans="1:19" x14ac:dyDescent="0.25">
      <c r="A212" s="41" t="s">
        <v>908</v>
      </c>
      <c r="B212" s="41" t="s">
        <v>2374</v>
      </c>
    </row>
    <row r="213" spans="1:19" x14ac:dyDescent="0.25">
      <c r="A213" s="41" t="s">
        <v>23</v>
      </c>
      <c r="B213" s="41" t="s">
        <v>2375</v>
      </c>
      <c r="F213" s="41" t="s">
        <v>2376</v>
      </c>
      <c r="G213" s="41" t="s">
        <v>2377</v>
      </c>
      <c r="H213" s="41" t="s">
        <v>2378</v>
      </c>
      <c r="I213" s="41" t="s">
        <v>2379</v>
      </c>
      <c r="J213" s="41" t="s">
        <v>2380</v>
      </c>
      <c r="L213" s="41" t="s">
        <v>4</v>
      </c>
    </row>
    <row r="214" spans="1:19" x14ac:dyDescent="0.25">
      <c r="A214" s="41" t="s">
        <v>23</v>
      </c>
      <c r="B214" s="41" t="s">
        <v>2381</v>
      </c>
      <c r="D214" s="41" t="s">
        <v>2382</v>
      </c>
      <c r="E214" s="41" t="s">
        <v>2383</v>
      </c>
      <c r="F214" s="41" t="s">
        <v>2384</v>
      </c>
      <c r="G214" s="41" t="s">
        <v>2385</v>
      </c>
      <c r="H214" s="41" t="s">
        <v>2386</v>
      </c>
      <c r="I214" s="41" t="s">
        <v>2387</v>
      </c>
      <c r="J214" s="41" t="s">
        <v>2388</v>
      </c>
      <c r="K214" s="41" t="s">
        <v>2389</v>
      </c>
      <c r="L214" s="41" t="s">
        <v>2390</v>
      </c>
      <c r="M214" s="41" t="s">
        <v>2391</v>
      </c>
      <c r="N214" s="41" t="s">
        <v>2392</v>
      </c>
      <c r="O214" s="41" t="s">
        <v>2393</v>
      </c>
      <c r="P214" s="41" t="s">
        <v>2394</v>
      </c>
      <c r="Q214" s="41" t="s">
        <v>2395</v>
      </c>
      <c r="R214" s="41" t="s">
        <v>2396</v>
      </c>
      <c r="S214" s="41" t="s">
        <v>2397</v>
      </c>
    </row>
    <row r="215" spans="1:19" x14ac:dyDescent="0.25">
      <c r="A215" s="41" t="s">
        <v>23</v>
      </c>
      <c r="B215" s="41" t="s">
        <v>2398</v>
      </c>
      <c r="D215" s="41" t="s">
        <v>2399</v>
      </c>
      <c r="F215" s="41" t="s">
        <v>2400</v>
      </c>
      <c r="G215" s="41" t="s">
        <v>2401</v>
      </c>
      <c r="H215" s="41" t="s">
        <v>2402</v>
      </c>
      <c r="I215" s="41" t="s">
        <v>2403</v>
      </c>
      <c r="J215" s="41" t="s">
        <v>2404</v>
      </c>
      <c r="K215" s="41" t="s">
        <v>2405</v>
      </c>
      <c r="L215" s="41" t="s">
        <v>891</v>
      </c>
    </row>
    <row r="216" spans="1:19" x14ac:dyDescent="0.25">
      <c r="A216" s="41" t="s">
        <v>23</v>
      </c>
      <c r="B216" s="41" t="s">
        <v>2406</v>
      </c>
      <c r="D216" s="41" t="s">
        <v>2407</v>
      </c>
      <c r="F216" s="41" t="s">
        <v>2408</v>
      </c>
      <c r="G216" s="41" t="s">
        <v>2409</v>
      </c>
      <c r="H216" s="41" t="s">
        <v>2410</v>
      </c>
      <c r="I216" s="41" t="s">
        <v>2411</v>
      </c>
      <c r="J216" s="41" t="s">
        <v>2412</v>
      </c>
      <c r="K216" s="41" t="s">
        <v>2413</v>
      </c>
      <c r="L216" s="41" t="s">
        <v>1076</v>
      </c>
    </row>
    <row r="217" spans="1:19" x14ac:dyDescent="0.25">
      <c r="A217" s="41" t="s">
        <v>23</v>
      </c>
      <c r="B217" s="41" t="s">
        <v>2414</v>
      </c>
      <c r="D217" s="41" t="s">
        <v>2415</v>
      </c>
      <c r="F217" s="41" t="s">
        <v>2416</v>
      </c>
      <c r="G217" s="41" t="s">
        <v>2417</v>
      </c>
      <c r="H217" s="41" t="s">
        <v>2418</v>
      </c>
      <c r="I217" s="41" t="s">
        <v>2419</v>
      </c>
      <c r="J217" s="41" t="s">
        <v>2420</v>
      </c>
      <c r="K217" s="41" t="s">
        <v>2421</v>
      </c>
      <c r="L217" s="41" t="s">
        <v>1085</v>
      </c>
    </row>
    <row r="218" spans="1:19" x14ac:dyDescent="0.25">
      <c r="A218" s="41" t="s">
        <v>23</v>
      </c>
      <c r="B218" s="41" t="s">
        <v>2422</v>
      </c>
      <c r="D218" s="41" t="s">
        <v>2423</v>
      </c>
      <c r="F218" s="41" t="s">
        <v>2424</v>
      </c>
      <c r="G218" s="41" t="s">
        <v>2425</v>
      </c>
      <c r="H218" s="41" t="s">
        <v>2426</v>
      </c>
      <c r="I218" s="41" t="s">
        <v>2427</v>
      </c>
      <c r="J218" s="41" t="s">
        <v>2428</v>
      </c>
      <c r="K218" s="41" t="s">
        <v>2429</v>
      </c>
      <c r="L218" s="41" t="s">
        <v>1094</v>
      </c>
    </row>
    <row r="219" spans="1:19" x14ac:dyDescent="0.25">
      <c r="A219" s="41" t="s">
        <v>908</v>
      </c>
      <c r="B219" s="41" t="s">
        <v>2430</v>
      </c>
    </row>
    <row r="220" spans="1:19" x14ac:dyDescent="0.25">
      <c r="A220" s="41" t="s">
        <v>23</v>
      </c>
      <c r="B220" s="41" t="s">
        <v>2431</v>
      </c>
      <c r="F220" s="41" t="s">
        <v>2432</v>
      </c>
      <c r="G220" s="41" t="s">
        <v>2433</v>
      </c>
      <c r="H220" s="41" t="s">
        <v>2434</v>
      </c>
      <c r="I220" s="41" t="s">
        <v>2435</v>
      </c>
      <c r="J220" s="41" t="s">
        <v>2436</v>
      </c>
      <c r="L220" s="41" t="s">
        <v>4</v>
      </c>
    </row>
    <row r="221" spans="1:19" x14ac:dyDescent="0.25">
      <c r="A221" s="41" t="s">
        <v>23</v>
      </c>
      <c r="B221" s="41" t="s">
        <v>2437</v>
      </c>
      <c r="D221" s="41" t="s">
        <v>2438</v>
      </c>
      <c r="E221" s="41" t="s">
        <v>2439</v>
      </c>
      <c r="F221" s="41" t="s">
        <v>2440</v>
      </c>
      <c r="G221" s="41" t="s">
        <v>2441</v>
      </c>
      <c r="H221" s="41" t="s">
        <v>2442</v>
      </c>
      <c r="I221" s="41" t="s">
        <v>2443</v>
      </c>
      <c r="J221" s="41" t="s">
        <v>2444</v>
      </c>
      <c r="K221" s="41" t="s">
        <v>2445</v>
      </c>
      <c r="L221" s="41" t="s">
        <v>2446</v>
      </c>
      <c r="M221" s="41" t="s">
        <v>2447</v>
      </c>
      <c r="N221" s="41" t="s">
        <v>2448</v>
      </c>
      <c r="O221" s="41" t="s">
        <v>2449</v>
      </c>
      <c r="P221" s="41" t="s">
        <v>2450</v>
      </c>
      <c r="Q221" s="41" t="s">
        <v>2451</v>
      </c>
      <c r="R221" s="41" t="s">
        <v>2452</v>
      </c>
      <c r="S221" s="41" t="s">
        <v>2453</v>
      </c>
    </row>
    <row r="222" spans="1:19" x14ac:dyDescent="0.25">
      <c r="A222" s="41" t="s">
        <v>23</v>
      </c>
      <c r="B222" s="41" t="s">
        <v>2454</v>
      </c>
      <c r="D222" s="41" t="s">
        <v>2455</v>
      </c>
      <c r="F222" s="41" t="s">
        <v>2456</v>
      </c>
      <c r="G222" s="41" t="s">
        <v>2457</v>
      </c>
      <c r="H222" s="41" t="s">
        <v>2458</v>
      </c>
      <c r="I222" s="41" t="s">
        <v>2459</v>
      </c>
      <c r="J222" s="41" t="s">
        <v>2460</v>
      </c>
      <c r="K222" s="41" t="s">
        <v>2461</v>
      </c>
      <c r="L222" s="41" t="s">
        <v>891</v>
      </c>
    </row>
    <row r="223" spans="1:19" x14ac:dyDescent="0.25">
      <c r="A223" s="41" t="s">
        <v>23</v>
      </c>
      <c r="B223" s="41" t="s">
        <v>2462</v>
      </c>
      <c r="D223" s="41" t="s">
        <v>2463</v>
      </c>
      <c r="F223" s="41" t="s">
        <v>2464</v>
      </c>
      <c r="G223" s="41" t="s">
        <v>2465</v>
      </c>
      <c r="H223" s="41" t="s">
        <v>2466</v>
      </c>
      <c r="I223" s="41" t="s">
        <v>2467</v>
      </c>
      <c r="J223" s="41" t="s">
        <v>2468</v>
      </c>
      <c r="K223" s="41" t="s">
        <v>2469</v>
      </c>
      <c r="L223" s="41" t="s">
        <v>1076</v>
      </c>
    </row>
    <row r="224" spans="1:19" x14ac:dyDescent="0.25">
      <c r="A224" s="41" t="s">
        <v>23</v>
      </c>
      <c r="B224" s="41" t="s">
        <v>2470</v>
      </c>
      <c r="D224" s="41" t="s">
        <v>2471</v>
      </c>
      <c r="F224" s="41" t="s">
        <v>2472</v>
      </c>
      <c r="G224" s="41" t="s">
        <v>2473</v>
      </c>
      <c r="H224" s="41" t="s">
        <v>2474</v>
      </c>
      <c r="I224" s="41" t="s">
        <v>2475</v>
      </c>
      <c r="J224" s="41" t="s">
        <v>2476</v>
      </c>
      <c r="K224" s="41" t="s">
        <v>2477</v>
      </c>
      <c r="L224" s="41" t="s">
        <v>1085</v>
      </c>
    </row>
    <row r="225" spans="1:19" x14ac:dyDescent="0.25">
      <c r="A225" s="41" t="s">
        <v>23</v>
      </c>
      <c r="B225" s="41" t="s">
        <v>2478</v>
      </c>
      <c r="D225" s="41" t="s">
        <v>2479</v>
      </c>
      <c r="F225" s="41" t="s">
        <v>2480</v>
      </c>
      <c r="G225" s="41" t="s">
        <v>2481</v>
      </c>
      <c r="H225" s="41" t="s">
        <v>2482</v>
      </c>
      <c r="I225" s="41" t="s">
        <v>2483</v>
      </c>
      <c r="J225" s="41" t="s">
        <v>2484</v>
      </c>
      <c r="K225" s="41" t="s">
        <v>2485</v>
      </c>
      <c r="L225" s="41" t="s">
        <v>1094</v>
      </c>
    </row>
    <row r="226" spans="1:19" x14ac:dyDescent="0.25">
      <c r="A226" s="41" t="s">
        <v>908</v>
      </c>
      <c r="B226" s="41" t="s">
        <v>2486</v>
      </c>
    </row>
    <row r="227" spans="1:19" x14ac:dyDescent="0.25">
      <c r="A227" s="41" t="s">
        <v>23</v>
      </c>
      <c r="B227" s="41" t="s">
        <v>2487</v>
      </c>
      <c r="F227" s="41" t="s">
        <v>2488</v>
      </c>
      <c r="G227" s="41" t="s">
        <v>2489</v>
      </c>
      <c r="H227" s="41" t="s">
        <v>2490</v>
      </c>
      <c r="I227" s="41" t="s">
        <v>2491</v>
      </c>
      <c r="J227" s="41" t="s">
        <v>2492</v>
      </c>
      <c r="L227" s="41" t="s">
        <v>4</v>
      </c>
    </row>
    <row r="228" spans="1:19" x14ac:dyDescent="0.25">
      <c r="A228" s="41" t="s">
        <v>23</v>
      </c>
      <c r="B228" s="41" t="s">
        <v>2493</v>
      </c>
      <c r="D228" s="41" t="s">
        <v>60</v>
      </c>
      <c r="E228" s="41" t="s">
        <v>2494</v>
      </c>
      <c r="F228" s="41" t="s">
        <v>2495</v>
      </c>
      <c r="G228" s="41" t="s">
        <v>2496</v>
      </c>
      <c r="H228" s="41" t="s">
        <v>2497</v>
      </c>
      <c r="I228" s="41" t="s">
        <v>2498</v>
      </c>
      <c r="J228" s="41" t="s">
        <v>2499</v>
      </c>
      <c r="K228" s="41" t="s">
        <v>2500</v>
      </c>
      <c r="L228" s="41" t="s">
        <v>2501</v>
      </c>
      <c r="M228" s="41" t="s">
        <v>2502</v>
      </c>
      <c r="N228" s="41" t="s">
        <v>2503</v>
      </c>
      <c r="O228" s="41" t="s">
        <v>2504</v>
      </c>
      <c r="P228" s="41" t="s">
        <v>2505</v>
      </c>
      <c r="Q228" s="41" t="s">
        <v>2506</v>
      </c>
      <c r="R228" s="41" t="s">
        <v>2507</v>
      </c>
      <c r="S228" s="41" t="s">
        <v>2508</v>
      </c>
    </row>
    <row r="229" spans="1:19" x14ac:dyDescent="0.25">
      <c r="A229" s="41" t="s">
        <v>23</v>
      </c>
      <c r="B229" s="41" t="s">
        <v>2509</v>
      </c>
      <c r="D229" s="41" t="s">
        <v>2510</v>
      </c>
      <c r="F229" s="41" t="s">
        <v>2511</v>
      </c>
      <c r="G229" s="41" t="s">
        <v>2512</v>
      </c>
      <c r="H229" s="41" t="s">
        <v>2513</v>
      </c>
      <c r="I229" s="41" t="s">
        <v>2514</v>
      </c>
      <c r="J229" s="41" t="s">
        <v>2515</v>
      </c>
      <c r="K229" s="41" t="s">
        <v>2516</v>
      </c>
      <c r="L229" s="41" t="s">
        <v>891</v>
      </c>
    </row>
    <row r="230" spans="1:19" x14ac:dyDescent="0.25">
      <c r="A230" s="41" t="s">
        <v>23</v>
      </c>
      <c r="B230" s="41" t="s">
        <v>2517</v>
      </c>
      <c r="D230" s="41" t="s">
        <v>2518</v>
      </c>
      <c r="F230" s="41" t="s">
        <v>2519</v>
      </c>
      <c r="G230" s="41" t="s">
        <v>2520</v>
      </c>
      <c r="H230" s="41" t="s">
        <v>2521</v>
      </c>
      <c r="I230" s="41" t="s">
        <v>2522</v>
      </c>
      <c r="J230" s="41" t="s">
        <v>2523</v>
      </c>
      <c r="K230" s="41" t="s">
        <v>2524</v>
      </c>
      <c r="L230" s="41" t="s">
        <v>1076</v>
      </c>
    </row>
    <row r="231" spans="1:19" x14ac:dyDescent="0.25">
      <c r="A231" s="41" t="s">
        <v>23</v>
      </c>
      <c r="B231" s="41" t="s">
        <v>2525</v>
      </c>
      <c r="D231" s="41" t="s">
        <v>2526</v>
      </c>
      <c r="F231" s="41" t="s">
        <v>2527</v>
      </c>
      <c r="G231" s="41" t="s">
        <v>2528</v>
      </c>
      <c r="H231" s="41" t="s">
        <v>2529</v>
      </c>
      <c r="I231" s="41" t="s">
        <v>2530</v>
      </c>
      <c r="J231" s="41" t="s">
        <v>2531</v>
      </c>
      <c r="K231" s="41" t="s">
        <v>2532</v>
      </c>
      <c r="L231" s="41" t="s">
        <v>1085</v>
      </c>
    </row>
    <row r="232" spans="1:19" x14ac:dyDescent="0.25">
      <c r="A232" s="41" t="s">
        <v>23</v>
      </c>
      <c r="B232" s="41" t="s">
        <v>2533</v>
      </c>
      <c r="D232" s="41" t="s">
        <v>2534</v>
      </c>
      <c r="F232" s="41" t="s">
        <v>2535</v>
      </c>
      <c r="G232" s="41" t="s">
        <v>2536</v>
      </c>
      <c r="H232" s="41" t="s">
        <v>2537</v>
      </c>
      <c r="I232" s="41" t="s">
        <v>2538</v>
      </c>
      <c r="J232" s="41" t="s">
        <v>2539</v>
      </c>
      <c r="K232" s="41" t="s">
        <v>2540</v>
      </c>
      <c r="L232" s="41" t="s">
        <v>1094</v>
      </c>
    </row>
    <row r="233" spans="1:19" x14ac:dyDescent="0.25">
      <c r="A233" s="41" t="s">
        <v>908</v>
      </c>
      <c r="B233" s="41" t="s">
        <v>2541</v>
      </c>
    </row>
    <row r="234" spans="1:19" x14ac:dyDescent="0.25">
      <c r="A234" s="41" t="s">
        <v>23</v>
      </c>
      <c r="B234" s="41" t="s">
        <v>2542</v>
      </c>
      <c r="F234" s="41" t="s">
        <v>2543</v>
      </c>
      <c r="G234" s="41" t="s">
        <v>2544</v>
      </c>
      <c r="H234" s="41" t="s">
        <v>2545</v>
      </c>
      <c r="I234" s="41" t="s">
        <v>2546</v>
      </c>
      <c r="J234" s="41" t="s">
        <v>2547</v>
      </c>
      <c r="L234" s="41" t="s">
        <v>4</v>
      </c>
    </row>
    <row r="235" spans="1:19" x14ac:dyDescent="0.25">
      <c r="A235" s="41" t="s">
        <v>23</v>
      </c>
      <c r="B235" s="41" t="s">
        <v>2548</v>
      </c>
      <c r="D235" s="41" t="s">
        <v>2549</v>
      </c>
      <c r="E235" s="41" t="s">
        <v>2550</v>
      </c>
      <c r="F235" s="41" t="s">
        <v>2551</v>
      </c>
      <c r="G235" s="41" t="s">
        <v>2552</v>
      </c>
      <c r="H235" s="41" t="s">
        <v>2553</v>
      </c>
      <c r="I235" s="41" t="s">
        <v>2554</v>
      </c>
      <c r="J235" s="41" t="s">
        <v>2555</v>
      </c>
      <c r="K235" s="41" t="s">
        <v>2556</v>
      </c>
      <c r="L235" s="41" t="s">
        <v>2557</v>
      </c>
      <c r="M235" s="41" t="s">
        <v>2558</v>
      </c>
      <c r="N235" s="41" t="s">
        <v>2559</v>
      </c>
      <c r="O235" s="41" t="s">
        <v>2560</v>
      </c>
      <c r="P235" s="41" t="s">
        <v>2561</v>
      </c>
      <c r="Q235" s="41" t="s">
        <v>2562</v>
      </c>
      <c r="R235" s="41" t="s">
        <v>2563</v>
      </c>
      <c r="S235" s="41" t="s">
        <v>2564</v>
      </c>
    </row>
    <row r="236" spans="1:19" x14ac:dyDescent="0.25">
      <c r="A236" s="41" t="s">
        <v>23</v>
      </c>
      <c r="B236" s="41" t="s">
        <v>2565</v>
      </c>
      <c r="D236" s="41" t="s">
        <v>2566</v>
      </c>
      <c r="F236" s="41" t="s">
        <v>2567</v>
      </c>
      <c r="G236" s="41" t="s">
        <v>2568</v>
      </c>
      <c r="H236" s="41" t="s">
        <v>2569</v>
      </c>
      <c r="I236" s="41" t="s">
        <v>2570</v>
      </c>
      <c r="J236" s="41" t="s">
        <v>2571</v>
      </c>
      <c r="K236" s="41" t="s">
        <v>2572</v>
      </c>
      <c r="L236" s="41" t="s">
        <v>891</v>
      </c>
    </row>
    <row r="237" spans="1:19" x14ac:dyDescent="0.25">
      <c r="A237" s="41" t="s">
        <v>23</v>
      </c>
      <c r="B237" s="41" t="s">
        <v>2573</v>
      </c>
      <c r="D237" s="41" t="s">
        <v>2574</v>
      </c>
      <c r="F237" s="41" t="s">
        <v>2575</v>
      </c>
      <c r="G237" s="41" t="s">
        <v>2576</v>
      </c>
      <c r="H237" s="41" t="s">
        <v>2577</v>
      </c>
      <c r="I237" s="41" t="s">
        <v>2578</v>
      </c>
      <c r="J237" s="41" t="s">
        <v>2579</v>
      </c>
      <c r="K237" s="41" t="s">
        <v>2580</v>
      </c>
      <c r="L237" s="41" t="s">
        <v>1076</v>
      </c>
    </row>
    <row r="238" spans="1:19" x14ac:dyDescent="0.25">
      <c r="A238" s="41" t="s">
        <v>23</v>
      </c>
      <c r="B238" s="41" t="s">
        <v>2581</v>
      </c>
      <c r="D238" s="41" t="s">
        <v>2582</v>
      </c>
      <c r="F238" s="41" t="s">
        <v>2583</v>
      </c>
      <c r="G238" s="41" t="s">
        <v>2584</v>
      </c>
      <c r="H238" s="41" t="s">
        <v>2585</v>
      </c>
      <c r="I238" s="41" t="s">
        <v>2586</v>
      </c>
      <c r="J238" s="41" t="s">
        <v>2587</v>
      </c>
      <c r="K238" s="41" t="s">
        <v>2588</v>
      </c>
      <c r="L238" s="41" t="s">
        <v>1085</v>
      </c>
    </row>
    <row r="239" spans="1:19" x14ac:dyDescent="0.25">
      <c r="A239" s="41" t="s">
        <v>23</v>
      </c>
      <c r="B239" s="41" t="s">
        <v>2589</v>
      </c>
      <c r="D239" s="41" t="s">
        <v>2590</v>
      </c>
      <c r="F239" s="41" t="s">
        <v>2591</v>
      </c>
      <c r="G239" s="41" t="s">
        <v>2592</v>
      </c>
      <c r="H239" s="41" t="s">
        <v>2593</v>
      </c>
      <c r="I239" s="41" t="s">
        <v>2594</v>
      </c>
      <c r="J239" s="41" t="s">
        <v>2595</v>
      </c>
      <c r="K239" s="41" t="s">
        <v>2596</v>
      </c>
      <c r="L239" s="41" t="s">
        <v>1094</v>
      </c>
    </row>
    <row r="240" spans="1:19" x14ac:dyDescent="0.25">
      <c r="A240" s="41" t="s">
        <v>908</v>
      </c>
      <c r="B240" s="41" t="s">
        <v>2597</v>
      </c>
    </row>
    <row r="241" spans="1:19" x14ac:dyDescent="0.25">
      <c r="A241" s="41" t="s">
        <v>23</v>
      </c>
      <c r="B241" s="41" t="s">
        <v>2598</v>
      </c>
      <c r="F241" s="41" t="s">
        <v>2599</v>
      </c>
      <c r="G241" s="41" t="s">
        <v>2600</v>
      </c>
      <c r="H241" s="41" t="s">
        <v>2601</v>
      </c>
      <c r="I241" s="41" t="s">
        <v>2602</v>
      </c>
      <c r="J241" s="41" t="s">
        <v>2603</v>
      </c>
      <c r="L241" s="41" t="s">
        <v>4</v>
      </c>
    </row>
    <row r="242" spans="1:19" x14ac:dyDescent="0.25">
      <c r="A242" s="41" t="s">
        <v>23</v>
      </c>
      <c r="B242" s="41" t="s">
        <v>2604</v>
      </c>
      <c r="D242" s="41" t="s">
        <v>2605</v>
      </c>
      <c r="E242" s="41" t="s">
        <v>2606</v>
      </c>
      <c r="F242" s="41" t="s">
        <v>2607</v>
      </c>
      <c r="G242" s="41" t="s">
        <v>2608</v>
      </c>
      <c r="H242" s="41" t="s">
        <v>2609</v>
      </c>
      <c r="I242" s="41" t="s">
        <v>2610</v>
      </c>
      <c r="J242" s="41" t="s">
        <v>2611</v>
      </c>
      <c r="K242" s="41" t="s">
        <v>2612</v>
      </c>
      <c r="L242" s="41" t="s">
        <v>2613</v>
      </c>
      <c r="M242" s="41" t="s">
        <v>2614</v>
      </c>
      <c r="N242" s="41" t="s">
        <v>2615</v>
      </c>
      <c r="O242" s="41" t="s">
        <v>2616</v>
      </c>
      <c r="P242" s="41" t="s">
        <v>2617</v>
      </c>
      <c r="Q242" s="41" t="s">
        <v>2618</v>
      </c>
      <c r="R242" s="41" t="s">
        <v>2619</v>
      </c>
      <c r="S242" s="41" t="s">
        <v>2620</v>
      </c>
    </row>
    <row r="243" spans="1:19" x14ac:dyDescent="0.25">
      <c r="A243" s="41" t="s">
        <v>23</v>
      </c>
      <c r="B243" s="41" t="s">
        <v>2621</v>
      </c>
      <c r="D243" s="41" t="s">
        <v>2622</v>
      </c>
      <c r="F243" s="41" t="s">
        <v>2623</v>
      </c>
      <c r="G243" s="41" t="s">
        <v>2624</v>
      </c>
      <c r="H243" s="41" t="s">
        <v>2625</v>
      </c>
      <c r="I243" s="41" t="s">
        <v>2626</v>
      </c>
      <c r="J243" s="41" t="s">
        <v>2627</v>
      </c>
      <c r="K243" s="41" t="s">
        <v>2628</v>
      </c>
      <c r="L243" s="41" t="s">
        <v>891</v>
      </c>
    </row>
    <row r="244" spans="1:19" x14ac:dyDescent="0.25">
      <c r="A244" s="41" t="s">
        <v>23</v>
      </c>
      <c r="B244" s="41" t="s">
        <v>2629</v>
      </c>
      <c r="D244" s="41" t="s">
        <v>2630</v>
      </c>
      <c r="F244" s="41" t="s">
        <v>2631</v>
      </c>
      <c r="G244" s="41" t="s">
        <v>2632</v>
      </c>
      <c r="H244" s="41" t="s">
        <v>2633</v>
      </c>
      <c r="I244" s="41" t="s">
        <v>2634</v>
      </c>
      <c r="J244" s="41" t="s">
        <v>2635</v>
      </c>
      <c r="K244" s="41" t="s">
        <v>2636</v>
      </c>
      <c r="L244" s="41" t="s">
        <v>1076</v>
      </c>
    </row>
    <row r="245" spans="1:19" x14ac:dyDescent="0.25">
      <c r="A245" s="41" t="s">
        <v>23</v>
      </c>
      <c r="B245" s="41" t="s">
        <v>2637</v>
      </c>
      <c r="D245" s="41" t="s">
        <v>2638</v>
      </c>
      <c r="F245" s="41" t="s">
        <v>2639</v>
      </c>
      <c r="G245" s="41" t="s">
        <v>2640</v>
      </c>
      <c r="H245" s="41" t="s">
        <v>2641</v>
      </c>
      <c r="I245" s="41" t="s">
        <v>2642</v>
      </c>
      <c r="J245" s="41" t="s">
        <v>2643</v>
      </c>
      <c r="K245" s="41" t="s">
        <v>2644</v>
      </c>
      <c r="L245" s="41" t="s">
        <v>1085</v>
      </c>
    </row>
    <row r="246" spans="1:19" x14ac:dyDescent="0.25">
      <c r="A246" s="41" t="s">
        <v>23</v>
      </c>
      <c r="B246" s="41" t="s">
        <v>2645</v>
      </c>
      <c r="D246" s="41" t="s">
        <v>2646</v>
      </c>
      <c r="F246" s="41" t="s">
        <v>2647</v>
      </c>
      <c r="G246" s="41" t="s">
        <v>2648</v>
      </c>
      <c r="H246" s="41" t="s">
        <v>2649</v>
      </c>
      <c r="I246" s="41" t="s">
        <v>2650</v>
      </c>
      <c r="J246" s="41" t="s">
        <v>2651</v>
      </c>
      <c r="K246" s="41" t="s">
        <v>2652</v>
      </c>
      <c r="L246" s="41" t="s">
        <v>1094</v>
      </c>
    </row>
    <row r="247" spans="1:19" x14ac:dyDescent="0.25">
      <c r="A247" s="41" t="s">
        <v>908</v>
      </c>
      <c r="B247" s="41" t="s">
        <v>2653</v>
      </c>
    </row>
    <row r="248" spans="1:19" x14ac:dyDescent="0.25">
      <c r="A248" s="41" t="s">
        <v>23</v>
      </c>
      <c r="B248" s="41" t="s">
        <v>2654</v>
      </c>
      <c r="F248" s="41" t="s">
        <v>2655</v>
      </c>
      <c r="G248" s="41" t="s">
        <v>2656</v>
      </c>
      <c r="H248" s="41" t="s">
        <v>2657</v>
      </c>
      <c r="I248" s="41" t="s">
        <v>2658</v>
      </c>
      <c r="J248" s="41" t="s">
        <v>2659</v>
      </c>
      <c r="L248" s="41" t="s">
        <v>4</v>
      </c>
    </row>
    <row r="249" spans="1:19" x14ac:dyDescent="0.25">
      <c r="A249" s="41" t="s">
        <v>23</v>
      </c>
      <c r="B249" s="41" t="s">
        <v>2660</v>
      </c>
      <c r="D249" s="41" t="s">
        <v>2661</v>
      </c>
      <c r="E249" s="41" t="s">
        <v>2662</v>
      </c>
      <c r="F249" s="41" t="s">
        <v>2663</v>
      </c>
      <c r="G249" s="41" t="s">
        <v>2664</v>
      </c>
      <c r="H249" s="41" t="s">
        <v>2665</v>
      </c>
      <c r="I249" s="41" t="s">
        <v>2666</v>
      </c>
      <c r="J249" s="41" t="s">
        <v>2667</v>
      </c>
      <c r="K249" s="41" t="s">
        <v>2668</v>
      </c>
      <c r="L249" s="41" t="s">
        <v>2669</v>
      </c>
      <c r="M249" s="41" t="s">
        <v>2670</v>
      </c>
      <c r="N249" s="41" t="s">
        <v>2671</v>
      </c>
      <c r="O249" s="41" t="s">
        <v>2672</v>
      </c>
      <c r="P249" s="41" t="s">
        <v>2673</v>
      </c>
      <c r="Q249" s="41" t="s">
        <v>2674</v>
      </c>
      <c r="R249" s="41" t="s">
        <v>2675</v>
      </c>
      <c r="S249" s="41" t="s">
        <v>2676</v>
      </c>
    </row>
    <row r="250" spans="1:19" x14ac:dyDescent="0.25">
      <c r="A250" s="41" t="s">
        <v>23</v>
      </c>
      <c r="B250" s="41" t="s">
        <v>2677</v>
      </c>
      <c r="D250" s="41" t="s">
        <v>2678</v>
      </c>
      <c r="F250" s="41" t="s">
        <v>2679</v>
      </c>
      <c r="G250" s="41" t="s">
        <v>2680</v>
      </c>
      <c r="H250" s="41" t="s">
        <v>2681</v>
      </c>
      <c r="I250" s="41" t="s">
        <v>2682</v>
      </c>
      <c r="J250" s="41" t="s">
        <v>2683</v>
      </c>
      <c r="K250" s="41" t="s">
        <v>2684</v>
      </c>
      <c r="L250" s="41" t="s">
        <v>891</v>
      </c>
    </row>
    <row r="251" spans="1:19" x14ac:dyDescent="0.25">
      <c r="A251" s="41" t="s">
        <v>23</v>
      </c>
      <c r="B251" s="41" t="s">
        <v>2685</v>
      </c>
      <c r="D251" s="41" t="s">
        <v>2686</v>
      </c>
      <c r="F251" s="41" t="s">
        <v>2687</v>
      </c>
      <c r="G251" s="41" t="s">
        <v>2688</v>
      </c>
      <c r="H251" s="41" t="s">
        <v>2689</v>
      </c>
      <c r="I251" s="41" t="s">
        <v>2690</v>
      </c>
      <c r="J251" s="41" t="s">
        <v>2691</v>
      </c>
      <c r="K251" s="41" t="s">
        <v>2692</v>
      </c>
      <c r="L251" s="41" t="s">
        <v>1076</v>
      </c>
    </row>
    <row r="252" spans="1:19" x14ac:dyDescent="0.25">
      <c r="A252" s="41" t="s">
        <v>23</v>
      </c>
      <c r="B252" s="41" t="s">
        <v>2693</v>
      </c>
      <c r="D252" s="41" t="s">
        <v>2694</v>
      </c>
      <c r="F252" s="41" t="s">
        <v>2695</v>
      </c>
      <c r="G252" s="41" t="s">
        <v>2696</v>
      </c>
      <c r="H252" s="41" t="s">
        <v>2697</v>
      </c>
      <c r="I252" s="41" t="s">
        <v>2698</v>
      </c>
      <c r="J252" s="41" t="s">
        <v>2699</v>
      </c>
      <c r="K252" s="41" t="s">
        <v>2700</v>
      </c>
      <c r="L252" s="41" t="s">
        <v>1085</v>
      </c>
    </row>
    <row r="253" spans="1:19" x14ac:dyDescent="0.25">
      <c r="A253" s="41" t="s">
        <v>23</v>
      </c>
      <c r="B253" s="41" t="s">
        <v>2701</v>
      </c>
      <c r="D253" s="41" t="s">
        <v>2702</v>
      </c>
      <c r="F253" s="41" t="s">
        <v>2703</v>
      </c>
      <c r="G253" s="41" t="s">
        <v>2704</v>
      </c>
      <c r="H253" s="41" t="s">
        <v>2705</v>
      </c>
      <c r="I253" s="41" t="s">
        <v>2706</v>
      </c>
      <c r="J253" s="41" t="s">
        <v>2707</v>
      </c>
      <c r="K253" s="41" t="s">
        <v>2708</v>
      </c>
      <c r="L253" s="41" t="s">
        <v>1094</v>
      </c>
    </row>
    <row r="254" spans="1:19" x14ac:dyDescent="0.25">
      <c r="A254" s="41" t="s">
        <v>908</v>
      </c>
      <c r="B254" s="41" t="s">
        <v>2709</v>
      </c>
    </row>
    <row r="255" spans="1:19" x14ac:dyDescent="0.25">
      <c r="A255" s="41" t="s">
        <v>23</v>
      </c>
      <c r="B255" s="41" t="s">
        <v>2710</v>
      </c>
      <c r="F255" s="41" t="s">
        <v>2711</v>
      </c>
      <c r="G255" s="41" t="s">
        <v>2712</v>
      </c>
      <c r="H255" s="41" t="s">
        <v>2713</v>
      </c>
      <c r="I255" s="41" t="s">
        <v>2714</v>
      </c>
      <c r="J255" s="41" t="s">
        <v>2715</v>
      </c>
      <c r="L255" s="41" t="s">
        <v>4</v>
      </c>
    </row>
    <row r="256" spans="1:19" x14ac:dyDescent="0.25">
      <c r="A256" s="41" t="s">
        <v>23</v>
      </c>
      <c r="B256" s="41" t="s">
        <v>2716</v>
      </c>
      <c r="D256" s="41" t="s">
        <v>2717</v>
      </c>
      <c r="E256" s="41" t="s">
        <v>2718</v>
      </c>
      <c r="F256" s="41" t="s">
        <v>2719</v>
      </c>
      <c r="G256" s="41" t="s">
        <v>2720</v>
      </c>
      <c r="H256" s="41" t="s">
        <v>2721</v>
      </c>
      <c r="I256" s="41" t="s">
        <v>2722</v>
      </c>
      <c r="J256" s="41" t="s">
        <v>2723</v>
      </c>
      <c r="K256" s="41" t="s">
        <v>2724</v>
      </c>
      <c r="L256" s="41" t="s">
        <v>2725</v>
      </c>
      <c r="M256" s="41" t="s">
        <v>2726</v>
      </c>
      <c r="N256" s="41" t="s">
        <v>2727</v>
      </c>
      <c r="O256" s="41" t="s">
        <v>2728</v>
      </c>
      <c r="P256" s="41" t="s">
        <v>2729</v>
      </c>
      <c r="Q256" s="41" t="s">
        <v>2730</v>
      </c>
      <c r="R256" s="41" t="s">
        <v>2731</v>
      </c>
      <c r="S256" s="41" t="s">
        <v>2732</v>
      </c>
    </row>
    <row r="257" spans="1:19" x14ac:dyDescent="0.25">
      <c r="A257" s="41" t="s">
        <v>23</v>
      </c>
      <c r="B257" s="41" t="s">
        <v>2733</v>
      </c>
      <c r="D257" s="41" t="s">
        <v>2734</v>
      </c>
      <c r="F257" s="41" t="s">
        <v>2735</v>
      </c>
      <c r="G257" s="41" t="s">
        <v>2736</v>
      </c>
      <c r="H257" s="41" t="s">
        <v>2737</v>
      </c>
      <c r="I257" s="41" t="s">
        <v>2738</v>
      </c>
      <c r="J257" s="41" t="s">
        <v>2739</v>
      </c>
      <c r="K257" s="41" t="s">
        <v>2740</v>
      </c>
      <c r="L257" s="41" t="s">
        <v>891</v>
      </c>
    </row>
    <row r="258" spans="1:19" x14ac:dyDescent="0.25">
      <c r="A258" s="41" t="s">
        <v>23</v>
      </c>
      <c r="B258" s="41" t="s">
        <v>2741</v>
      </c>
      <c r="D258" s="41" t="s">
        <v>2742</v>
      </c>
      <c r="F258" s="41" t="s">
        <v>2743</v>
      </c>
      <c r="G258" s="41" t="s">
        <v>2744</v>
      </c>
      <c r="H258" s="41" t="s">
        <v>2745</v>
      </c>
      <c r="I258" s="41" t="s">
        <v>2746</v>
      </c>
      <c r="J258" s="41" t="s">
        <v>2747</v>
      </c>
      <c r="K258" s="41" t="s">
        <v>2748</v>
      </c>
      <c r="L258" s="41" t="s">
        <v>1076</v>
      </c>
    </row>
    <row r="259" spans="1:19" x14ac:dyDescent="0.25">
      <c r="A259" s="41" t="s">
        <v>23</v>
      </c>
      <c r="B259" s="41" t="s">
        <v>2749</v>
      </c>
      <c r="D259" s="41" t="s">
        <v>2750</v>
      </c>
      <c r="F259" s="41" t="s">
        <v>2751</v>
      </c>
      <c r="G259" s="41" t="s">
        <v>2752</v>
      </c>
      <c r="H259" s="41" t="s">
        <v>2753</v>
      </c>
      <c r="I259" s="41" t="s">
        <v>2754</v>
      </c>
      <c r="J259" s="41" t="s">
        <v>2755</v>
      </c>
      <c r="K259" s="41" t="s">
        <v>2756</v>
      </c>
      <c r="L259" s="41" t="s">
        <v>1085</v>
      </c>
    </row>
    <row r="260" spans="1:19" x14ac:dyDescent="0.25">
      <c r="A260" s="41" t="s">
        <v>23</v>
      </c>
      <c r="B260" s="41" t="s">
        <v>2757</v>
      </c>
      <c r="D260" s="41" t="s">
        <v>2758</v>
      </c>
      <c r="F260" s="41" t="s">
        <v>2759</v>
      </c>
      <c r="G260" s="41" t="s">
        <v>2760</v>
      </c>
      <c r="H260" s="41" t="s">
        <v>2761</v>
      </c>
      <c r="I260" s="41" t="s">
        <v>2762</v>
      </c>
      <c r="J260" s="41" t="s">
        <v>2763</v>
      </c>
      <c r="K260" s="41" t="s">
        <v>2764</v>
      </c>
      <c r="L260" s="41" t="s">
        <v>1094</v>
      </c>
    </row>
    <row r="261" spans="1:19" x14ac:dyDescent="0.25">
      <c r="A261" s="41" t="s">
        <v>908</v>
      </c>
      <c r="B261" s="41" t="s">
        <v>2765</v>
      </c>
    </row>
    <row r="262" spans="1:19" x14ac:dyDescent="0.25">
      <c r="A262" s="41" t="s">
        <v>23</v>
      </c>
      <c r="B262" s="41" t="s">
        <v>2766</v>
      </c>
      <c r="F262" s="41" t="s">
        <v>2767</v>
      </c>
      <c r="G262" s="41" t="s">
        <v>2768</v>
      </c>
      <c r="H262" s="41" t="s">
        <v>2769</v>
      </c>
      <c r="I262" s="41" t="s">
        <v>2770</v>
      </c>
      <c r="J262" s="41" t="s">
        <v>2771</v>
      </c>
      <c r="L262" s="41" t="s">
        <v>4</v>
      </c>
    </row>
    <row r="263" spans="1:19" x14ac:dyDescent="0.25">
      <c r="A263" s="41" t="s">
        <v>23</v>
      </c>
      <c r="B263" s="41" t="s">
        <v>2772</v>
      </c>
      <c r="D263" s="41" t="s">
        <v>2773</v>
      </c>
      <c r="E263" s="41" t="s">
        <v>2774</v>
      </c>
      <c r="F263" s="41" t="s">
        <v>2775</v>
      </c>
      <c r="G263" s="41" t="s">
        <v>2776</v>
      </c>
      <c r="H263" s="41" t="s">
        <v>2777</v>
      </c>
      <c r="I263" s="41" t="s">
        <v>2778</v>
      </c>
      <c r="J263" s="41" t="s">
        <v>2779</v>
      </c>
      <c r="K263" s="41" t="s">
        <v>2780</v>
      </c>
      <c r="L263" s="41" t="s">
        <v>2781</v>
      </c>
      <c r="M263" s="41" t="s">
        <v>2782</v>
      </c>
      <c r="N263" s="41" t="s">
        <v>2783</v>
      </c>
      <c r="O263" s="41" t="s">
        <v>2784</v>
      </c>
      <c r="P263" s="41" t="s">
        <v>2785</v>
      </c>
      <c r="Q263" s="41" t="s">
        <v>2786</v>
      </c>
      <c r="R263" s="41" t="s">
        <v>2787</v>
      </c>
      <c r="S263" s="41" t="s">
        <v>2788</v>
      </c>
    </row>
    <row r="264" spans="1:19" x14ac:dyDescent="0.25">
      <c r="A264" s="41" t="s">
        <v>23</v>
      </c>
      <c r="B264" s="41" t="s">
        <v>2789</v>
      </c>
      <c r="D264" s="41" t="s">
        <v>2790</v>
      </c>
      <c r="F264" s="41" t="s">
        <v>2791</v>
      </c>
      <c r="G264" s="41" t="s">
        <v>2792</v>
      </c>
      <c r="H264" s="41" t="s">
        <v>2793</v>
      </c>
      <c r="I264" s="41" t="s">
        <v>2794</v>
      </c>
      <c r="J264" s="41" t="s">
        <v>2795</v>
      </c>
      <c r="K264" s="41" t="s">
        <v>2796</v>
      </c>
      <c r="L264" s="41" t="s">
        <v>891</v>
      </c>
    </row>
    <row r="265" spans="1:19" x14ac:dyDescent="0.25">
      <c r="A265" s="41" t="s">
        <v>23</v>
      </c>
      <c r="B265" s="41" t="s">
        <v>2797</v>
      </c>
      <c r="D265" s="41" t="s">
        <v>2798</v>
      </c>
      <c r="F265" s="41" t="s">
        <v>2799</v>
      </c>
      <c r="G265" s="41" t="s">
        <v>2800</v>
      </c>
      <c r="H265" s="41" t="s">
        <v>2801</v>
      </c>
      <c r="I265" s="41" t="s">
        <v>2802</v>
      </c>
      <c r="J265" s="41" t="s">
        <v>2803</v>
      </c>
      <c r="K265" s="41" t="s">
        <v>2804</v>
      </c>
      <c r="L265" s="41" t="s">
        <v>1076</v>
      </c>
    </row>
    <row r="266" spans="1:19" x14ac:dyDescent="0.25">
      <c r="A266" s="41" t="s">
        <v>23</v>
      </c>
      <c r="B266" s="41" t="s">
        <v>2805</v>
      </c>
      <c r="D266" s="41" t="s">
        <v>2806</v>
      </c>
      <c r="F266" s="41" t="s">
        <v>2807</v>
      </c>
      <c r="G266" s="41" t="s">
        <v>2808</v>
      </c>
      <c r="H266" s="41" t="s">
        <v>2809</v>
      </c>
      <c r="I266" s="41" t="s">
        <v>2810</v>
      </c>
      <c r="J266" s="41" t="s">
        <v>2811</v>
      </c>
      <c r="K266" s="41" t="s">
        <v>2812</v>
      </c>
      <c r="L266" s="41" t="s">
        <v>1085</v>
      </c>
    </row>
    <row r="267" spans="1:19" x14ac:dyDescent="0.25">
      <c r="A267" s="41" t="s">
        <v>23</v>
      </c>
      <c r="B267" s="41" t="s">
        <v>2813</v>
      </c>
      <c r="D267" s="41" t="s">
        <v>2814</v>
      </c>
      <c r="F267" s="41" t="s">
        <v>2815</v>
      </c>
      <c r="G267" s="41" t="s">
        <v>2816</v>
      </c>
      <c r="H267" s="41" t="s">
        <v>2817</v>
      </c>
      <c r="I267" s="41" t="s">
        <v>2818</v>
      </c>
      <c r="J267" s="41" t="s">
        <v>2819</v>
      </c>
      <c r="K267" s="41" t="s">
        <v>2820</v>
      </c>
      <c r="L267" s="41" t="s">
        <v>1094</v>
      </c>
    </row>
    <row r="268" spans="1:19" x14ac:dyDescent="0.25">
      <c r="A268" s="41" t="s">
        <v>908</v>
      </c>
      <c r="B268" s="41" t="s">
        <v>2821</v>
      </c>
    </row>
    <row r="269" spans="1:19" x14ac:dyDescent="0.25">
      <c r="A269" s="41" t="s">
        <v>23</v>
      </c>
      <c r="B269" s="41" t="s">
        <v>2822</v>
      </c>
      <c r="F269" s="41" t="s">
        <v>2823</v>
      </c>
      <c r="G269" s="41" t="s">
        <v>2824</v>
      </c>
      <c r="H269" s="41" t="s">
        <v>2825</v>
      </c>
      <c r="I269" s="41" t="s">
        <v>2826</v>
      </c>
      <c r="J269" s="41" t="s">
        <v>2827</v>
      </c>
      <c r="L269" s="41" t="s">
        <v>4</v>
      </c>
    </row>
    <row r="270" spans="1:19" x14ac:dyDescent="0.25">
      <c r="A270" s="41" t="s">
        <v>23</v>
      </c>
      <c r="B270" s="41" t="s">
        <v>2828</v>
      </c>
      <c r="D270" s="41" t="s">
        <v>2829</v>
      </c>
      <c r="E270" s="41" t="s">
        <v>2830</v>
      </c>
      <c r="F270" s="41" t="s">
        <v>2831</v>
      </c>
      <c r="G270" s="41" t="s">
        <v>2832</v>
      </c>
      <c r="H270" s="41" t="s">
        <v>2833</v>
      </c>
      <c r="I270" s="41" t="s">
        <v>2834</v>
      </c>
      <c r="J270" s="41" t="s">
        <v>2835</v>
      </c>
      <c r="K270" s="41" t="s">
        <v>2836</v>
      </c>
      <c r="L270" s="41" t="s">
        <v>2837</v>
      </c>
      <c r="M270" s="41" t="s">
        <v>2838</v>
      </c>
      <c r="N270" s="41" t="s">
        <v>2839</v>
      </c>
      <c r="O270" s="41" t="s">
        <v>2840</v>
      </c>
      <c r="P270" s="41" t="s">
        <v>2841</v>
      </c>
      <c r="Q270" s="41" t="s">
        <v>2842</v>
      </c>
      <c r="R270" s="41" t="s">
        <v>2843</v>
      </c>
      <c r="S270" s="41" t="s">
        <v>2844</v>
      </c>
    </row>
    <row r="271" spans="1:19" x14ac:dyDescent="0.25">
      <c r="A271" s="41" t="s">
        <v>23</v>
      </c>
      <c r="B271" s="41" t="s">
        <v>2845</v>
      </c>
      <c r="D271" s="41" t="s">
        <v>2846</v>
      </c>
      <c r="F271" s="41" t="s">
        <v>2847</v>
      </c>
      <c r="G271" s="41" t="s">
        <v>2848</v>
      </c>
      <c r="H271" s="41" t="s">
        <v>2849</v>
      </c>
      <c r="I271" s="41" t="s">
        <v>2850</v>
      </c>
      <c r="J271" s="41" t="s">
        <v>2851</v>
      </c>
      <c r="K271" s="41" t="s">
        <v>2852</v>
      </c>
      <c r="L271" s="41" t="s">
        <v>891</v>
      </c>
    </row>
    <row r="272" spans="1:19" x14ac:dyDescent="0.25">
      <c r="A272" s="41" t="s">
        <v>23</v>
      </c>
      <c r="B272" s="41" t="s">
        <v>2853</v>
      </c>
      <c r="D272" s="41" t="s">
        <v>2854</v>
      </c>
      <c r="F272" s="41" t="s">
        <v>2855</v>
      </c>
      <c r="G272" s="41" t="s">
        <v>2856</v>
      </c>
      <c r="H272" s="41" t="s">
        <v>2857</v>
      </c>
      <c r="I272" s="41" t="s">
        <v>2858</v>
      </c>
      <c r="J272" s="41" t="s">
        <v>2859</v>
      </c>
      <c r="K272" s="41" t="s">
        <v>2860</v>
      </c>
      <c r="L272" s="41" t="s">
        <v>1076</v>
      </c>
    </row>
    <row r="273" spans="1:19" x14ac:dyDescent="0.25">
      <c r="A273" s="41" t="s">
        <v>23</v>
      </c>
      <c r="B273" s="41" t="s">
        <v>2861</v>
      </c>
      <c r="D273" s="41" t="s">
        <v>2862</v>
      </c>
      <c r="F273" s="41" t="s">
        <v>2863</v>
      </c>
      <c r="G273" s="41" t="s">
        <v>2864</v>
      </c>
      <c r="H273" s="41" t="s">
        <v>2865</v>
      </c>
      <c r="I273" s="41" t="s">
        <v>2866</v>
      </c>
      <c r="J273" s="41" t="s">
        <v>2867</v>
      </c>
      <c r="K273" s="41" t="s">
        <v>2868</v>
      </c>
      <c r="L273" s="41" t="s">
        <v>1085</v>
      </c>
    </row>
    <row r="274" spans="1:19" x14ac:dyDescent="0.25">
      <c r="A274" s="41" t="s">
        <v>23</v>
      </c>
      <c r="B274" s="41" t="s">
        <v>2869</v>
      </c>
      <c r="D274" s="41" t="s">
        <v>2870</v>
      </c>
      <c r="F274" s="41" t="s">
        <v>2871</v>
      </c>
      <c r="G274" s="41" t="s">
        <v>2872</v>
      </c>
      <c r="H274" s="41" t="s">
        <v>2873</v>
      </c>
      <c r="I274" s="41" t="s">
        <v>2874</v>
      </c>
      <c r="J274" s="41" t="s">
        <v>2875</v>
      </c>
      <c r="K274" s="41" t="s">
        <v>2876</v>
      </c>
      <c r="L274" s="41" t="s">
        <v>1094</v>
      </c>
    </row>
    <row r="275" spans="1:19" x14ac:dyDescent="0.25">
      <c r="A275" s="41" t="s">
        <v>908</v>
      </c>
      <c r="B275" s="41" t="s">
        <v>2877</v>
      </c>
    </row>
    <row r="276" spans="1:19" x14ac:dyDescent="0.25">
      <c r="A276" s="41" t="s">
        <v>23</v>
      </c>
      <c r="B276" s="41" t="s">
        <v>2878</v>
      </c>
      <c r="F276" s="41" t="s">
        <v>2879</v>
      </c>
      <c r="G276" s="41" t="s">
        <v>2880</v>
      </c>
      <c r="H276" s="41" t="s">
        <v>2881</v>
      </c>
      <c r="I276" s="41" t="s">
        <v>2882</v>
      </c>
      <c r="J276" s="41" t="s">
        <v>2883</v>
      </c>
      <c r="L276" s="41" t="s">
        <v>4</v>
      </c>
    </row>
    <row r="277" spans="1:19" x14ac:dyDescent="0.25">
      <c r="A277" s="41" t="s">
        <v>23</v>
      </c>
      <c r="B277" s="41" t="s">
        <v>2884</v>
      </c>
      <c r="D277" s="41" t="s">
        <v>2885</v>
      </c>
      <c r="E277" s="41" t="s">
        <v>2886</v>
      </c>
      <c r="F277" s="41" t="s">
        <v>2887</v>
      </c>
      <c r="G277" s="41" t="s">
        <v>2888</v>
      </c>
      <c r="H277" s="41" t="s">
        <v>2889</v>
      </c>
      <c r="I277" s="41" t="s">
        <v>2890</v>
      </c>
      <c r="J277" s="41" t="s">
        <v>2891</v>
      </c>
      <c r="K277" s="41" t="s">
        <v>2892</v>
      </c>
      <c r="L277" s="41" t="s">
        <v>2893</v>
      </c>
      <c r="M277" s="41" t="s">
        <v>2894</v>
      </c>
      <c r="N277" s="41" t="s">
        <v>2895</v>
      </c>
      <c r="O277" s="41" t="s">
        <v>2896</v>
      </c>
      <c r="P277" s="41" t="s">
        <v>2897</v>
      </c>
      <c r="Q277" s="41" t="s">
        <v>2898</v>
      </c>
      <c r="R277" s="41" t="s">
        <v>2899</v>
      </c>
      <c r="S277" s="41" t="s">
        <v>2900</v>
      </c>
    </row>
    <row r="278" spans="1:19" x14ac:dyDescent="0.25">
      <c r="A278" s="41" t="s">
        <v>23</v>
      </c>
      <c r="B278" s="41" t="s">
        <v>2901</v>
      </c>
      <c r="D278" s="41" t="s">
        <v>2902</v>
      </c>
      <c r="F278" s="41" t="s">
        <v>2903</v>
      </c>
      <c r="G278" s="41" t="s">
        <v>2904</v>
      </c>
      <c r="H278" s="41" t="s">
        <v>2905</v>
      </c>
      <c r="I278" s="41" t="s">
        <v>2906</v>
      </c>
      <c r="J278" s="41" t="s">
        <v>2907</v>
      </c>
      <c r="K278" s="41" t="s">
        <v>2908</v>
      </c>
      <c r="L278" s="41" t="s">
        <v>891</v>
      </c>
    </row>
    <row r="279" spans="1:19" x14ac:dyDescent="0.25">
      <c r="A279" s="41" t="s">
        <v>23</v>
      </c>
      <c r="B279" s="41" t="s">
        <v>2909</v>
      </c>
      <c r="D279" s="41" t="s">
        <v>2910</v>
      </c>
      <c r="F279" s="41" t="s">
        <v>2911</v>
      </c>
      <c r="G279" s="41" t="s">
        <v>2912</v>
      </c>
      <c r="H279" s="41" t="s">
        <v>2913</v>
      </c>
      <c r="I279" s="41" t="s">
        <v>2914</v>
      </c>
      <c r="J279" s="41" t="s">
        <v>2915</v>
      </c>
      <c r="K279" s="41" t="s">
        <v>2916</v>
      </c>
      <c r="L279" s="41" t="s">
        <v>1076</v>
      </c>
    </row>
    <row r="280" spans="1:19" x14ac:dyDescent="0.25">
      <c r="A280" s="41" t="s">
        <v>23</v>
      </c>
      <c r="B280" s="41" t="s">
        <v>2917</v>
      </c>
      <c r="D280" s="41" t="s">
        <v>2918</v>
      </c>
      <c r="F280" s="41" t="s">
        <v>2919</v>
      </c>
      <c r="G280" s="41" t="s">
        <v>2920</v>
      </c>
      <c r="H280" s="41" t="s">
        <v>2921</v>
      </c>
      <c r="I280" s="41" t="s">
        <v>2922</v>
      </c>
      <c r="J280" s="41" t="s">
        <v>2923</v>
      </c>
      <c r="K280" s="41" t="s">
        <v>2924</v>
      </c>
      <c r="L280" s="41" t="s">
        <v>1085</v>
      </c>
    </row>
    <row r="281" spans="1:19" x14ac:dyDescent="0.25">
      <c r="A281" s="41" t="s">
        <v>23</v>
      </c>
      <c r="B281" s="41" t="s">
        <v>2925</v>
      </c>
      <c r="D281" s="41" t="s">
        <v>2926</v>
      </c>
      <c r="F281" s="41" t="s">
        <v>2927</v>
      </c>
      <c r="G281" s="41" t="s">
        <v>2928</v>
      </c>
      <c r="H281" s="41" t="s">
        <v>2929</v>
      </c>
      <c r="I281" s="41" t="s">
        <v>2930</v>
      </c>
      <c r="J281" s="41" t="s">
        <v>2931</v>
      </c>
      <c r="K281" s="41" t="s">
        <v>2932</v>
      </c>
      <c r="L281" s="41" t="s">
        <v>1094</v>
      </c>
    </row>
    <row r="282" spans="1:19" x14ac:dyDescent="0.25">
      <c r="A282" s="41" t="s">
        <v>908</v>
      </c>
      <c r="B282" s="41" t="s">
        <v>2933</v>
      </c>
    </row>
    <row r="283" spans="1:19" x14ac:dyDescent="0.25">
      <c r="A283" s="41" t="s">
        <v>23</v>
      </c>
      <c r="B283" s="41" t="s">
        <v>2934</v>
      </c>
      <c r="F283" s="41" t="s">
        <v>2935</v>
      </c>
      <c r="G283" s="41" t="s">
        <v>2936</v>
      </c>
      <c r="H283" s="41" t="s">
        <v>2937</v>
      </c>
      <c r="I283" s="41" t="s">
        <v>2938</v>
      </c>
      <c r="J283" s="41" t="s">
        <v>2939</v>
      </c>
      <c r="L283" s="41" t="s">
        <v>4</v>
      </c>
    </row>
    <row r="284" spans="1:19" x14ac:dyDescent="0.25">
      <c r="A284" s="41" t="s">
        <v>23</v>
      </c>
      <c r="B284" s="41" t="s">
        <v>2940</v>
      </c>
      <c r="D284" s="41" t="s">
        <v>71</v>
      </c>
      <c r="E284" s="41" t="s">
        <v>2941</v>
      </c>
      <c r="F284" s="41" t="s">
        <v>2942</v>
      </c>
      <c r="G284" s="41" t="s">
        <v>2943</v>
      </c>
      <c r="H284" s="41" t="s">
        <v>2944</v>
      </c>
      <c r="I284" s="41" t="s">
        <v>2945</v>
      </c>
      <c r="J284" s="41" t="s">
        <v>2946</v>
      </c>
      <c r="K284" s="41" t="s">
        <v>2947</v>
      </c>
      <c r="L284" s="41" t="s">
        <v>2948</v>
      </c>
      <c r="M284" s="41" t="s">
        <v>2949</v>
      </c>
      <c r="N284" s="41" t="s">
        <v>2950</v>
      </c>
      <c r="O284" s="41" t="s">
        <v>2951</v>
      </c>
      <c r="P284" s="41" t="s">
        <v>2952</v>
      </c>
      <c r="Q284" s="41" t="s">
        <v>2953</v>
      </c>
      <c r="R284" s="41" t="s">
        <v>2954</v>
      </c>
      <c r="S284" s="41" t="s">
        <v>2955</v>
      </c>
    </row>
    <row r="285" spans="1:19" x14ac:dyDescent="0.25">
      <c r="A285" s="41" t="s">
        <v>23</v>
      </c>
      <c r="B285" s="41" t="s">
        <v>2956</v>
      </c>
      <c r="D285" s="41" t="s">
        <v>2957</v>
      </c>
      <c r="F285" s="41" t="s">
        <v>2958</v>
      </c>
      <c r="G285" s="41" t="s">
        <v>2959</v>
      </c>
      <c r="H285" s="41" t="s">
        <v>2960</v>
      </c>
      <c r="I285" s="41" t="s">
        <v>2961</v>
      </c>
      <c r="J285" s="41" t="s">
        <v>2962</v>
      </c>
      <c r="K285" s="41" t="s">
        <v>2963</v>
      </c>
      <c r="L285" s="41" t="s">
        <v>891</v>
      </c>
    </row>
    <row r="286" spans="1:19" x14ac:dyDescent="0.25">
      <c r="A286" s="41" t="s">
        <v>23</v>
      </c>
      <c r="B286" s="41" t="s">
        <v>2964</v>
      </c>
      <c r="D286" s="41" t="s">
        <v>2965</v>
      </c>
      <c r="F286" s="41" t="s">
        <v>2966</v>
      </c>
      <c r="G286" s="41" t="s">
        <v>2967</v>
      </c>
      <c r="H286" s="41" t="s">
        <v>2968</v>
      </c>
      <c r="I286" s="41" t="s">
        <v>2969</v>
      </c>
      <c r="J286" s="41" t="s">
        <v>2970</v>
      </c>
      <c r="K286" s="41" t="s">
        <v>2971</v>
      </c>
      <c r="L286" s="41" t="s">
        <v>1076</v>
      </c>
    </row>
    <row r="287" spans="1:19" x14ac:dyDescent="0.25">
      <c r="A287" s="41" t="s">
        <v>23</v>
      </c>
      <c r="B287" s="41" t="s">
        <v>2972</v>
      </c>
      <c r="D287" s="41" t="s">
        <v>2973</v>
      </c>
      <c r="F287" s="41" t="s">
        <v>2974</v>
      </c>
      <c r="G287" s="41" t="s">
        <v>2975</v>
      </c>
      <c r="H287" s="41" t="s">
        <v>2976</v>
      </c>
      <c r="I287" s="41" t="s">
        <v>2977</v>
      </c>
      <c r="J287" s="41" t="s">
        <v>2978</v>
      </c>
      <c r="K287" s="41" t="s">
        <v>2979</v>
      </c>
      <c r="L287" s="41" t="s">
        <v>1085</v>
      </c>
    </row>
    <row r="288" spans="1:19" x14ac:dyDescent="0.25">
      <c r="A288" s="41" t="s">
        <v>23</v>
      </c>
      <c r="B288" s="41" t="s">
        <v>2980</v>
      </c>
      <c r="D288" s="41" t="s">
        <v>2981</v>
      </c>
      <c r="F288" s="41" t="s">
        <v>2982</v>
      </c>
      <c r="G288" s="41" t="s">
        <v>2983</v>
      </c>
      <c r="H288" s="41" t="s">
        <v>2984</v>
      </c>
      <c r="I288" s="41" t="s">
        <v>2985</v>
      </c>
      <c r="J288" s="41" t="s">
        <v>2986</v>
      </c>
      <c r="K288" s="41" t="s">
        <v>2987</v>
      </c>
      <c r="L288" s="41" t="s">
        <v>1094</v>
      </c>
    </row>
    <row r="289" spans="1:19" x14ac:dyDescent="0.25">
      <c r="A289" s="41" t="s">
        <v>908</v>
      </c>
      <c r="B289" s="41" t="s">
        <v>2988</v>
      </c>
    </row>
    <row r="290" spans="1:19" x14ac:dyDescent="0.25">
      <c r="A290" s="41" t="s">
        <v>23</v>
      </c>
      <c r="B290" s="41" t="s">
        <v>2989</v>
      </c>
      <c r="F290" s="41" t="s">
        <v>2990</v>
      </c>
      <c r="G290" s="41" t="s">
        <v>2991</v>
      </c>
      <c r="H290" s="41" t="s">
        <v>2992</v>
      </c>
      <c r="I290" s="41" t="s">
        <v>2993</v>
      </c>
      <c r="J290" s="41" t="s">
        <v>2994</v>
      </c>
      <c r="L290" s="41" t="s">
        <v>4</v>
      </c>
    </row>
    <row r="291" spans="1:19" x14ac:dyDescent="0.25">
      <c r="A291" s="41" t="s">
        <v>23</v>
      </c>
      <c r="B291" s="41" t="s">
        <v>2995</v>
      </c>
      <c r="D291" s="41" t="s">
        <v>2996</v>
      </c>
      <c r="E291" s="41" t="s">
        <v>2997</v>
      </c>
      <c r="F291" s="41" t="s">
        <v>2998</v>
      </c>
      <c r="G291" s="41" t="s">
        <v>2999</v>
      </c>
      <c r="H291" s="41" t="s">
        <v>3000</v>
      </c>
      <c r="I291" s="41" t="s">
        <v>3001</v>
      </c>
      <c r="J291" s="41" t="s">
        <v>3002</v>
      </c>
      <c r="K291" s="41" t="s">
        <v>3003</v>
      </c>
      <c r="L291" s="41" t="s">
        <v>3004</v>
      </c>
      <c r="M291" s="41" t="s">
        <v>3005</v>
      </c>
      <c r="N291" s="41" t="s">
        <v>3006</v>
      </c>
      <c r="O291" s="41" t="s">
        <v>3007</v>
      </c>
      <c r="P291" s="41" t="s">
        <v>3008</v>
      </c>
      <c r="Q291" s="41" t="s">
        <v>3009</v>
      </c>
      <c r="R291" s="41" t="s">
        <v>3010</v>
      </c>
      <c r="S291" s="41" t="s">
        <v>3011</v>
      </c>
    </row>
    <row r="292" spans="1:19" x14ac:dyDescent="0.25">
      <c r="A292" s="41" t="s">
        <v>23</v>
      </c>
      <c r="B292" s="41" t="s">
        <v>3012</v>
      </c>
      <c r="D292" s="41" t="s">
        <v>3013</v>
      </c>
      <c r="F292" s="41" t="s">
        <v>3014</v>
      </c>
      <c r="G292" s="41" t="s">
        <v>3015</v>
      </c>
      <c r="H292" s="41" t="s">
        <v>3016</v>
      </c>
      <c r="I292" s="41" t="s">
        <v>3017</v>
      </c>
      <c r="J292" s="41" t="s">
        <v>3018</v>
      </c>
      <c r="K292" s="41" t="s">
        <v>3019</v>
      </c>
      <c r="L292" s="41" t="s">
        <v>891</v>
      </c>
    </row>
    <row r="293" spans="1:19" x14ac:dyDescent="0.25">
      <c r="A293" s="41" t="s">
        <v>23</v>
      </c>
      <c r="B293" s="41" t="s">
        <v>3020</v>
      </c>
      <c r="D293" s="41" t="s">
        <v>3021</v>
      </c>
      <c r="F293" s="41" t="s">
        <v>3022</v>
      </c>
      <c r="G293" s="41" t="s">
        <v>3023</v>
      </c>
      <c r="H293" s="41" t="s">
        <v>3024</v>
      </c>
      <c r="I293" s="41" t="s">
        <v>3025</v>
      </c>
      <c r="J293" s="41" t="s">
        <v>3026</v>
      </c>
      <c r="K293" s="41" t="s">
        <v>3027</v>
      </c>
      <c r="L293" s="41" t="s">
        <v>1076</v>
      </c>
    </row>
    <row r="294" spans="1:19" x14ac:dyDescent="0.25">
      <c r="A294" s="41" t="s">
        <v>23</v>
      </c>
      <c r="B294" s="41" t="s">
        <v>3028</v>
      </c>
      <c r="D294" s="41" t="s">
        <v>3029</v>
      </c>
      <c r="F294" s="41" t="s">
        <v>3030</v>
      </c>
      <c r="G294" s="41" t="s">
        <v>3031</v>
      </c>
      <c r="H294" s="41" t="s">
        <v>3032</v>
      </c>
      <c r="I294" s="41" t="s">
        <v>3033</v>
      </c>
      <c r="J294" s="41" t="s">
        <v>3034</v>
      </c>
      <c r="K294" s="41" t="s">
        <v>3035</v>
      </c>
      <c r="L294" s="41" t="s">
        <v>1085</v>
      </c>
    </row>
    <row r="295" spans="1:19" x14ac:dyDescent="0.25">
      <c r="A295" s="41" t="s">
        <v>23</v>
      </c>
      <c r="B295" s="41" t="s">
        <v>3036</v>
      </c>
      <c r="D295" s="41" t="s">
        <v>3037</v>
      </c>
      <c r="F295" s="41" t="s">
        <v>3038</v>
      </c>
      <c r="G295" s="41" t="s">
        <v>3039</v>
      </c>
      <c r="H295" s="41" t="s">
        <v>3040</v>
      </c>
      <c r="I295" s="41" t="s">
        <v>3041</v>
      </c>
      <c r="J295" s="41" t="s">
        <v>3042</v>
      </c>
      <c r="K295" s="41" t="s">
        <v>3043</v>
      </c>
      <c r="L295" s="41" t="s">
        <v>1094</v>
      </c>
    </row>
    <row r="296" spans="1:19" x14ac:dyDescent="0.25">
      <c r="A296" s="41" t="s">
        <v>908</v>
      </c>
      <c r="B296" s="41" t="s">
        <v>3044</v>
      </c>
    </row>
    <row r="297" spans="1:19" x14ac:dyDescent="0.25">
      <c r="A297" s="41" t="s">
        <v>23</v>
      </c>
      <c r="B297" s="41" t="s">
        <v>3045</v>
      </c>
      <c r="F297" s="41" t="s">
        <v>3046</v>
      </c>
      <c r="G297" s="41" t="s">
        <v>3047</v>
      </c>
      <c r="H297" s="41" t="s">
        <v>3048</v>
      </c>
      <c r="I297" s="41" t="s">
        <v>3049</v>
      </c>
      <c r="J297" s="41" t="s">
        <v>3050</v>
      </c>
      <c r="L297" s="41" t="s">
        <v>4</v>
      </c>
    </row>
    <row r="298" spans="1:19" x14ac:dyDescent="0.25">
      <c r="A298" s="41" t="s">
        <v>23</v>
      </c>
      <c r="B298" s="41" t="s">
        <v>3051</v>
      </c>
      <c r="D298" s="41" t="s">
        <v>74</v>
      </c>
      <c r="E298" s="41" t="s">
        <v>3052</v>
      </c>
      <c r="F298" s="41" t="s">
        <v>3053</v>
      </c>
      <c r="G298" s="41" t="s">
        <v>3054</v>
      </c>
      <c r="H298" s="41" t="s">
        <v>3055</v>
      </c>
      <c r="I298" s="41" t="s">
        <v>3056</v>
      </c>
      <c r="J298" s="41" t="s">
        <v>3057</v>
      </c>
      <c r="K298" s="41" t="s">
        <v>3058</v>
      </c>
      <c r="L298" s="41" t="s">
        <v>3059</v>
      </c>
      <c r="M298" s="41" t="s">
        <v>3060</v>
      </c>
      <c r="N298" s="41" t="s">
        <v>3061</v>
      </c>
      <c r="O298" s="41" t="s">
        <v>3062</v>
      </c>
      <c r="P298" s="41" t="s">
        <v>3063</v>
      </c>
      <c r="Q298" s="41" t="s">
        <v>3064</v>
      </c>
      <c r="R298" s="41" t="s">
        <v>3065</v>
      </c>
      <c r="S298" s="41" t="s">
        <v>3066</v>
      </c>
    </row>
    <row r="299" spans="1:19" x14ac:dyDescent="0.25">
      <c r="A299" s="41" t="s">
        <v>23</v>
      </c>
      <c r="B299" s="41" t="s">
        <v>3067</v>
      </c>
      <c r="D299" s="41" t="s">
        <v>3068</v>
      </c>
      <c r="F299" s="41" t="s">
        <v>3069</v>
      </c>
      <c r="G299" s="41" t="s">
        <v>3070</v>
      </c>
      <c r="H299" s="41" t="s">
        <v>3071</v>
      </c>
      <c r="I299" s="41" t="s">
        <v>3072</v>
      </c>
      <c r="J299" s="41" t="s">
        <v>3073</v>
      </c>
      <c r="K299" s="41" t="s">
        <v>3074</v>
      </c>
      <c r="L299" s="41" t="s">
        <v>891</v>
      </c>
    </row>
    <row r="300" spans="1:19" x14ac:dyDescent="0.25">
      <c r="A300" s="41" t="s">
        <v>23</v>
      </c>
      <c r="B300" s="41" t="s">
        <v>3075</v>
      </c>
      <c r="D300" s="41" t="s">
        <v>3076</v>
      </c>
      <c r="F300" s="41" t="s">
        <v>3077</v>
      </c>
      <c r="G300" s="41" t="s">
        <v>3078</v>
      </c>
      <c r="H300" s="41" t="s">
        <v>3079</v>
      </c>
      <c r="I300" s="41" t="s">
        <v>3080</v>
      </c>
      <c r="J300" s="41" t="s">
        <v>3081</v>
      </c>
      <c r="K300" s="41" t="s">
        <v>3082</v>
      </c>
      <c r="L300" s="41" t="s">
        <v>1076</v>
      </c>
    </row>
    <row r="301" spans="1:19" x14ac:dyDescent="0.25">
      <c r="A301" s="41" t="s">
        <v>23</v>
      </c>
      <c r="B301" s="41" t="s">
        <v>3083</v>
      </c>
      <c r="D301" s="41" t="s">
        <v>3084</v>
      </c>
      <c r="F301" s="41" t="s">
        <v>3085</v>
      </c>
      <c r="G301" s="41" t="s">
        <v>3086</v>
      </c>
      <c r="H301" s="41" t="s">
        <v>3087</v>
      </c>
      <c r="I301" s="41" t="s">
        <v>3088</v>
      </c>
      <c r="J301" s="41" t="s">
        <v>3089</v>
      </c>
      <c r="K301" s="41" t="s">
        <v>3090</v>
      </c>
      <c r="L301" s="41" t="s">
        <v>1085</v>
      </c>
    </row>
    <row r="302" spans="1:19" x14ac:dyDescent="0.25">
      <c r="A302" s="41" t="s">
        <v>23</v>
      </c>
      <c r="B302" s="41" t="s">
        <v>3091</v>
      </c>
      <c r="D302" s="41" t="s">
        <v>3092</v>
      </c>
      <c r="F302" s="41" t="s">
        <v>3093</v>
      </c>
      <c r="G302" s="41" t="s">
        <v>3094</v>
      </c>
      <c r="H302" s="41" t="s">
        <v>3095</v>
      </c>
      <c r="I302" s="41" t="s">
        <v>3096</v>
      </c>
      <c r="J302" s="41" t="s">
        <v>3097</v>
      </c>
      <c r="K302" s="41" t="s">
        <v>3098</v>
      </c>
      <c r="L302" s="41" t="s">
        <v>1094</v>
      </c>
    </row>
    <row r="303" spans="1:19" x14ac:dyDescent="0.25">
      <c r="A303" s="41" t="s">
        <v>908</v>
      </c>
      <c r="B303" s="41" t="s">
        <v>3099</v>
      </c>
    </row>
    <row r="304" spans="1:19" x14ac:dyDescent="0.25">
      <c r="A304" s="41" t="s">
        <v>23</v>
      </c>
      <c r="B304" s="41" t="s">
        <v>3100</v>
      </c>
      <c r="F304" s="41" t="s">
        <v>3101</v>
      </c>
      <c r="G304" s="41" t="s">
        <v>3102</v>
      </c>
      <c r="H304" s="41" t="s">
        <v>3103</v>
      </c>
      <c r="I304" s="41" t="s">
        <v>3104</v>
      </c>
      <c r="J304" s="41" t="s">
        <v>3105</v>
      </c>
      <c r="L304" s="41" t="s">
        <v>4</v>
      </c>
    </row>
    <row r="305" spans="1:19" x14ac:dyDescent="0.25">
      <c r="A305" s="41" t="s">
        <v>23</v>
      </c>
      <c r="B305" s="41" t="s">
        <v>3106</v>
      </c>
      <c r="D305" s="41" t="s">
        <v>77</v>
      </c>
      <c r="E305" s="41" t="s">
        <v>3107</v>
      </c>
      <c r="F305" s="41" t="s">
        <v>3108</v>
      </c>
      <c r="G305" s="41" t="s">
        <v>3109</v>
      </c>
      <c r="H305" s="41" t="s">
        <v>3110</v>
      </c>
      <c r="I305" s="41" t="s">
        <v>3111</v>
      </c>
      <c r="J305" s="41" t="s">
        <v>3112</v>
      </c>
      <c r="K305" s="41" t="s">
        <v>3113</v>
      </c>
      <c r="L305" s="41" t="s">
        <v>3114</v>
      </c>
      <c r="M305" s="41" t="s">
        <v>3115</v>
      </c>
      <c r="N305" s="41" t="s">
        <v>3116</v>
      </c>
      <c r="O305" s="41" t="s">
        <v>3117</v>
      </c>
      <c r="P305" s="41" t="s">
        <v>3118</v>
      </c>
      <c r="Q305" s="41" t="s">
        <v>3119</v>
      </c>
      <c r="R305" s="41" t="s">
        <v>3120</v>
      </c>
      <c r="S305" s="41" t="s">
        <v>3121</v>
      </c>
    </row>
    <row r="306" spans="1:19" x14ac:dyDescent="0.25">
      <c r="A306" s="41" t="s">
        <v>23</v>
      </c>
      <c r="B306" s="41" t="s">
        <v>3122</v>
      </c>
      <c r="D306" s="41" t="s">
        <v>3123</v>
      </c>
      <c r="F306" s="41" t="s">
        <v>3124</v>
      </c>
      <c r="G306" s="41" t="s">
        <v>3125</v>
      </c>
      <c r="H306" s="41" t="s">
        <v>3126</v>
      </c>
      <c r="I306" s="41" t="s">
        <v>3127</v>
      </c>
      <c r="J306" s="41" t="s">
        <v>3128</v>
      </c>
      <c r="K306" s="41" t="s">
        <v>3129</v>
      </c>
      <c r="L306" s="41" t="s">
        <v>891</v>
      </c>
    </row>
    <row r="307" spans="1:19" x14ac:dyDescent="0.25">
      <c r="A307" s="41" t="s">
        <v>23</v>
      </c>
      <c r="B307" s="41" t="s">
        <v>3130</v>
      </c>
      <c r="D307" s="41" t="s">
        <v>3131</v>
      </c>
      <c r="F307" s="41" t="s">
        <v>3132</v>
      </c>
      <c r="G307" s="41" t="s">
        <v>3133</v>
      </c>
      <c r="H307" s="41" t="s">
        <v>3134</v>
      </c>
      <c r="I307" s="41" t="s">
        <v>3135</v>
      </c>
      <c r="J307" s="41" t="s">
        <v>3136</v>
      </c>
      <c r="K307" s="41" t="s">
        <v>3137</v>
      </c>
      <c r="L307" s="41" t="s">
        <v>1076</v>
      </c>
    </row>
    <row r="308" spans="1:19" x14ac:dyDescent="0.25">
      <c r="A308" s="41" t="s">
        <v>23</v>
      </c>
      <c r="B308" s="41" t="s">
        <v>3138</v>
      </c>
      <c r="D308" s="41" t="s">
        <v>3139</v>
      </c>
      <c r="F308" s="41" t="s">
        <v>3140</v>
      </c>
      <c r="G308" s="41" t="s">
        <v>3141</v>
      </c>
      <c r="H308" s="41" t="s">
        <v>3142</v>
      </c>
      <c r="I308" s="41" t="s">
        <v>3143</v>
      </c>
      <c r="J308" s="41" t="s">
        <v>3144</v>
      </c>
      <c r="K308" s="41" t="s">
        <v>3145</v>
      </c>
      <c r="L308" s="41" t="s">
        <v>1085</v>
      </c>
    </row>
    <row r="309" spans="1:19" x14ac:dyDescent="0.25">
      <c r="A309" s="41" t="s">
        <v>23</v>
      </c>
      <c r="B309" s="41" t="s">
        <v>3146</v>
      </c>
      <c r="D309" s="41" t="s">
        <v>3147</v>
      </c>
      <c r="F309" s="41" t="s">
        <v>3148</v>
      </c>
      <c r="G309" s="41" t="s">
        <v>3149</v>
      </c>
      <c r="H309" s="41" t="s">
        <v>3150</v>
      </c>
      <c r="I309" s="41" t="s">
        <v>3151</v>
      </c>
      <c r="J309" s="41" t="s">
        <v>3152</v>
      </c>
      <c r="K309" s="41" t="s">
        <v>3153</v>
      </c>
      <c r="L309" s="41" t="s">
        <v>1094</v>
      </c>
    </row>
    <row r="310" spans="1:19" x14ac:dyDescent="0.25">
      <c r="A310" s="41" t="s">
        <v>908</v>
      </c>
      <c r="B310" s="41" t="s">
        <v>3154</v>
      </c>
    </row>
    <row r="311" spans="1:19" x14ac:dyDescent="0.25">
      <c r="A311" s="41" t="s">
        <v>23</v>
      </c>
      <c r="B311" s="41" t="s">
        <v>3155</v>
      </c>
      <c r="F311" s="41" t="s">
        <v>3156</v>
      </c>
      <c r="G311" s="41" t="s">
        <v>3157</v>
      </c>
      <c r="H311" s="41" t="s">
        <v>3158</v>
      </c>
      <c r="I311" s="41" t="s">
        <v>3159</v>
      </c>
      <c r="J311" s="41" t="s">
        <v>3160</v>
      </c>
      <c r="L311" s="41" t="s">
        <v>4</v>
      </c>
    </row>
    <row r="312" spans="1:19" x14ac:dyDescent="0.25">
      <c r="A312" s="41" t="s">
        <v>23</v>
      </c>
      <c r="B312" s="41" t="s">
        <v>3161</v>
      </c>
      <c r="D312" s="41" t="s">
        <v>80</v>
      </c>
      <c r="E312" s="41" t="s">
        <v>3162</v>
      </c>
      <c r="F312" s="41" t="s">
        <v>3163</v>
      </c>
      <c r="G312" s="41" t="s">
        <v>3164</v>
      </c>
      <c r="H312" s="41" t="s">
        <v>3165</v>
      </c>
      <c r="I312" s="41" t="s">
        <v>3166</v>
      </c>
      <c r="J312" s="41" t="s">
        <v>3167</v>
      </c>
      <c r="K312" s="41" t="s">
        <v>3168</v>
      </c>
      <c r="L312" s="41" t="s">
        <v>3169</v>
      </c>
      <c r="M312" s="41" t="s">
        <v>3170</v>
      </c>
      <c r="N312" s="41" t="s">
        <v>3171</v>
      </c>
      <c r="O312" s="41" t="s">
        <v>3172</v>
      </c>
      <c r="P312" s="41" t="s">
        <v>3173</v>
      </c>
      <c r="Q312" s="41" t="s">
        <v>3174</v>
      </c>
      <c r="R312" s="41" t="s">
        <v>3175</v>
      </c>
      <c r="S312" s="41" t="s">
        <v>3176</v>
      </c>
    </row>
    <row r="313" spans="1:19" x14ac:dyDescent="0.25">
      <c r="A313" s="41" t="s">
        <v>23</v>
      </c>
      <c r="B313" s="41" t="s">
        <v>3177</v>
      </c>
      <c r="D313" s="41" t="s">
        <v>3178</v>
      </c>
      <c r="F313" s="41" t="s">
        <v>3179</v>
      </c>
      <c r="G313" s="41" t="s">
        <v>3180</v>
      </c>
      <c r="H313" s="41" t="s">
        <v>3181</v>
      </c>
      <c r="I313" s="41" t="s">
        <v>3182</v>
      </c>
      <c r="J313" s="41" t="s">
        <v>3183</v>
      </c>
      <c r="K313" s="41" t="s">
        <v>3184</v>
      </c>
      <c r="L313" s="41" t="s">
        <v>891</v>
      </c>
    </row>
    <row r="314" spans="1:19" x14ac:dyDescent="0.25">
      <c r="A314" s="41" t="s">
        <v>23</v>
      </c>
      <c r="B314" s="41" t="s">
        <v>3185</v>
      </c>
      <c r="D314" s="41" t="s">
        <v>3186</v>
      </c>
      <c r="F314" s="41" t="s">
        <v>3187</v>
      </c>
      <c r="G314" s="41" t="s">
        <v>3188</v>
      </c>
      <c r="H314" s="41" t="s">
        <v>3189</v>
      </c>
      <c r="I314" s="41" t="s">
        <v>3190</v>
      </c>
      <c r="J314" s="41" t="s">
        <v>3191</v>
      </c>
      <c r="K314" s="41" t="s">
        <v>3192</v>
      </c>
      <c r="L314" s="41" t="s">
        <v>1076</v>
      </c>
    </row>
    <row r="315" spans="1:19" x14ac:dyDescent="0.25">
      <c r="A315" s="41" t="s">
        <v>23</v>
      </c>
      <c r="B315" s="41" t="s">
        <v>3193</v>
      </c>
      <c r="D315" s="41" t="s">
        <v>3194</v>
      </c>
      <c r="F315" s="41" t="s">
        <v>3195</v>
      </c>
      <c r="G315" s="41" t="s">
        <v>3196</v>
      </c>
      <c r="H315" s="41" t="s">
        <v>3197</v>
      </c>
      <c r="I315" s="41" t="s">
        <v>3198</v>
      </c>
      <c r="J315" s="41" t="s">
        <v>3199</v>
      </c>
      <c r="K315" s="41" t="s">
        <v>3200</v>
      </c>
      <c r="L315" s="41" t="s">
        <v>1085</v>
      </c>
    </row>
    <row r="316" spans="1:19" x14ac:dyDescent="0.25">
      <c r="A316" s="41" t="s">
        <v>23</v>
      </c>
      <c r="B316" s="41" t="s">
        <v>3201</v>
      </c>
      <c r="D316" s="41" t="s">
        <v>3202</v>
      </c>
      <c r="F316" s="41" t="s">
        <v>3203</v>
      </c>
      <c r="G316" s="41" t="s">
        <v>3204</v>
      </c>
      <c r="H316" s="41" t="s">
        <v>3205</v>
      </c>
      <c r="I316" s="41" t="s">
        <v>3206</v>
      </c>
      <c r="J316" s="41" t="s">
        <v>3207</v>
      </c>
      <c r="K316" s="41" t="s">
        <v>3208</v>
      </c>
      <c r="L316" s="41" t="s">
        <v>1094</v>
      </c>
    </row>
    <row r="317" spans="1:19" x14ac:dyDescent="0.25">
      <c r="A317" s="41" t="s">
        <v>908</v>
      </c>
      <c r="B317" s="41" t="s">
        <v>3209</v>
      </c>
    </row>
    <row r="318" spans="1:19" x14ac:dyDescent="0.25">
      <c r="A318" s="41" t="s">
        <v>23</v>
      </c>
      <c r="B318" s="41" t="s">
        <v>3210</v>
      </c>
      <c r="F318" s="41" t="s">
        <v>3211</v>
      </c>
      <c r="G318" s="41" t="s">
        <v>3212</v>
      </c>
      <c r="H318" s="41" t="s">
        <v>3213</v>
      </c>
      <c r="I318" s="41" t="s">
        <v>3214</v>
      </c>
      <c r="J318" s="41" t="s">
        <v>3215</v>
      </c>
      <c r="L318" s="41" t="s">
        <v>4</v>
      </c>
    </row>
    <row r="319" spans="1:19" x14ac:dyDescent="0.25">
      <c r="A319" s="41" t="s">
        <v>23</v>
      </c>
      <c r="B319" s="41" t="s">
        <v>3216</v>
      </c>
      <c r="D319" s="41" t="s">
        <v>83</v>
      </c>
      <c r="E319" s="41" t="s">
        <v>3217</v>
      </c>
      <c r="F319" s="41" t="s">
        <v>3218</v>
      </c>
      <c r="G319" s="41" t="s">
        <v>3219</v>
      </c>
      <c r="H319" s="41" t="s">
        <v>3220</v>
      </c>
      <c r="I319" s="41" t="s">
        <v>3221</v>
      </c>
      <c r="J319" s="41" t="s">
        <v>3222</v>
      </c>
      <c r="K319" s="41" t="s">
        <v>3223</v>
      </c>
      <c r="L319" s="41" t="s">
        <v>3224</v>
      </c>
      <c r="M319" s="41" t="s">
        <v>3225</v>
      </c>
      <c r="N319" s="41" t="s">
        <v>3226</v>
      </c>
      <c r="O319" s="41" t="s">
        <v>3227</v>
      </c>
      <c r="P319" s="41" t="s">
        <v>3228</v>
      </c>
      <c r="Q319" s="41" t="s">
        <v>3229</v>
      </c>
      <c r="R319" s="41" t="s">
        <v>3230</v>
      </c>
      <c r="S319" s="41" t="s">
        <v>3231</v>
      </c>
    </row>
    <row r="320" spans="1:19" x14ac:dyDescent="0.25">
      <c r="A320" s="41" t="s">
        <v>23</v>
      </c>
      <c r="B320" s="41" t="s">
        <v>3232</v>
      </c>
      <c r="D320" s="41" t="s">
        <v>3233</v>
      </c>
      <c r="F320" s="41" t="s">
        <v>3234</v>
      </c>
      <c r="G320" s="41" t="s">
        <v>3235</v>
      </c>
      <c r="H320" s="41" t="s">
        <v>3236</v>
      </c>
      <c r="I320" s="41" t="s">
        <v>3237</v>
      </c>
      <c r="J320" s="41" t="s">
        <v>3238</v>
      </c>
      <c r="K320" s="41" t="s">
        <v>3239</v>
      </c>
      <c r="L320" s="41" t="s">
        <v>891</v>
      </c>
    </row>
    <row r="321" spans="1:19" x14ac:dyDescent="0.25">
      <c r="A321" s="41" t="s">
        <v>23</v>
      </c>
      <c r="B321" s="41" t="s">
        <v>3240</v>
      </c>
      <c r="D321" s="41" t="s">
        <v>3241</v>
      </c>
      <c r="F321" s="41" t="s">
        <v>3242</v>
      </c>
      <c r="G321" s="41" t="s">
        <v>3243</v>
      </c>
      <c r="H321" s="41" t="s">
        <v>3244</v>
      </c>
      <c r="I321" s="41" t="s">
        <v>3245</v>
      </c>
      <c r="J321" s="41" t="s">
        <v>3246</v>
      </c>
      <c r="K321" s="41" t="s">
        <v>3247</v>
      </c>
      <c r="L321" s="41" t="s">
        <v>1076</v>
      </c>
    </row>
    <row r="322" spans="1:19" x14ac:dyDescent="0.25">
      <c r="A322" s="41" t="s">
        <v>23</v>
      </c>
      <c r="B322" s="41" t="s">
        <v>3248</v>
      </c>
      <c r="D322" s="41" t="s">
        <v>3249</v>
      </c>
      <c r="F322" s="41" t="s">
        <v>3250</v>
      </c>
      <c r="G322" s="41" t="s">
        <v>3251</v>
      </c>
      <c r="H322" s="41" t="s">
        <v>3252</v>
      </c>
      <c r="I322" s="41" t="s">
        <v>3253</v>
      </c>
      <c r="J322" s="41" t="s">
        <v>3254</v>
      </c>
      <c r="K322" s="41" t="s">
        <v>3255</v>
      </c>
      <c r="L322" s="41" t="s">
        <v>1085</v>
      </c>
    </row>
    <row r="323" spans="1:19" x14ac:dyDescent="0.25">
      <c r="A323" s="41" t="s">
        <v>23</v>
      </c>
      <c r="B323" s="41" t="s">
        <v>3256</v>
      </c>
      <c r="D323" s="41" t="s">
        <v>3257</v>
      </c>
      <c r="F323" s="41" t="s">
        <v>3258</v>
      </c>
      <c r="G323" s="41" t="s">
        <v>3259</v>
      </c>
      <c r="H323" s="41" t="s">
        <v>3260</v>
      </c>
      <c r="I323" s="41" t="s">
        <v>3261</v>
      </c>
      <c r="J323" s="41" t="s">
        <v>3262</v>
      </c>
      <c r="K323" s="41" t="s">
        <v>3263</v>
      </c>
      <c r="L323" s="41" t="s">
        <v>1094</v>
      </c>
    </row>
    <row r="324" spans="1:19" x14ac:dyDescent="0.25">
      <c r="A324" s="41" t="s">
        <v>908</v>
      </c>
      <c r="B324" s="41" t="s">
        <v>3264</v>
      </c>
    </row>
    <row r="325" spans="1:19" x14ac:dyDescent="0.25">
      <c r="A325" s="41" t="s">
        <v>23</v>
      </c>
      <c r="B325" s="41" t="s">
        <v>3265</v>
      </c>
      <c r="F325" s="41" t="s">
        <v>3266</v>
      </c>
      <c r="G325" s="41" t="s">
        <v>3267</v>
      </c>
      <c r="H325" s="41" t="s">
        <v>3268</v>
      </c>
      <c r="I325" s="41" t="s">
        <v>3269</v>
      </c>
      <c r="J325" s="41" t="s">
        <v>3270</v>
      </c>
      <c r="L325" s="41" t="s">
        <v>4</v>
      </c>
    </row>
    <row r="326" spans="1:19" x14ac:dyDescent="0.25">
      <c r="A326" s="41" t="s">
        <v>23</v>
      </c>
      <c r="B326" s="41" t="s">
        <v>3271</v>
      </c>
      <c r="D326" s="41" t="s">
        <v>3272</v>
      </c>
      <c r="E326" s="41" t="s">
        <v>3273</v>
      </c>
      <c r="F326" s="41" t="s">
        <v>3274</v>
      </c>
      <c r="G326" s="41" t="s">
        <v>3275</v>
      </c>
      <c r="H326" s="41" t="s">
        <v>3276</v>
      </c>
      <c r="I326" s="41" t="s">
        <v>3277</v>
      </c>
      <c r="J326" s="41" t="s">
        <v>3278</v>
      </c>
      <c r="K326" s="41" t="s">
        <v>3279</v>
      </c>
      <c r="L326" s="41" t="s">
        <v>3280</v>
      </c>
      <c r="M326" s="41" t="s">
        <v>3281</v>
      </c>
      <c r="N326" s="41" t="s">
        <v>3282</v>
      </c>
      <c r="O326" s="41" t="s">
        <v>3283</v>
      </c>
      <c r="P326" s="41" t="s">
        <v>3284</v>
      </c>
      <c r="Q326" s="41" t="s">
        <v>3285</v>
      </c>
      <c r="R326" s="41" t="s">
        <v>3286</v>
      </c>
      <c r="S326" s="41" t="s">
        <v>3287</v>
      </c>
    </row>
    <row r="327" spans="1:19" x14ac:dyDescent="0.25">
      <c r="A327" s="41" t="s">
        <v>23</v>
      </c>
      <c r="B327" s="41" t="s">
        <v>3288</v>
      </c>
      <c r="D327" s="41" t="s">
        <v>3289</v>
      </c>
      <c r="F327" s="41" t="s">
        <v>3290</v>
      </c>
      <c r="G327" s="41" t="s">
        <v>3291</v>
      </c>
      <c r="H327" s="41" t="s">
        <v>3292</v>
      </c>
      <c r="I327" s="41" t="s">
        <v>3293</v>
      </c>
      <c r="J327" s="41" t="s">
        <v>3294</v>
      </c>
      <c r="K327" s="41" t="s">
        <v>3295</v>
      </c>
      <c r="L327" s="41" t="s">
        <v>891</v>
      </c>
    </row>
    <row r="328" spans="1:19" x14ac:dyDescent="0.25">
      <c r="A328" s="41" t="s">
        <v>23</v>
      </c>
      <c r="B328" s="41" t="s">
        <v>3296</v>
      </c>
      <c r="D328" s="41" t="s">
        <v>3297</v>
      </c>
      <c r="F328" s="41" t="s">
        <v>3298</v>
      </c>
      <c r="G328" s="41" t="s">
        <v>3299</v>
      </c>
      <c r="H328" s="41" t="s">
        <v>3300</v>
      </c>
      <c r="I328" s="41" t="s">
        <v>3301</v>
      </c>
      <c r="J328" s="41" t="s">
        <v>3302</v>
      </c>
      <c r="K328" s="41" t="s">
        <v>3303</v>
      </c>
      <c r="L328" s="41" t="s">
        <v>1076</v>
      </c>
    </row>
    <row r="329" spans="1:19" x14ac:dyDescent="0.25">
      <c r="A329" s="41" t="s">
        <v>23</v>
      </c>
      <c r="B329" s="41" t="s">
        <v>3304</v>
      </c>
      <c r="D329" s="41" t="s">
        <v>3305</v>
      </c>
      <c r="F329" s="41" t="s">
        <v>3306</v>
      </c>
      <c r="G329" s="41" t="s">
        <v>3307</v>
      </c>
      <c r="H329" s="41" t="s">
        <v>3308</v>
      </c>
      <c r="I329" s="41" t="s">
        <v>3309</v>
      </c>
      <c r="J329" s="41" t="s">
        <v>3310</v>
      </c>
      <c r="K329" s="41" t="s">
        <v>3311</v>
      </c>
      <c r="L329" s="41" t="s">
        <v>1085</v>
      </c>
    </row>
    <row r="330" spans="1:19" x14ac:dyDescent="0.25">
      <c r="A330" s="41" t="s">
        <v>23</v>
      </c>
      <c r="B330" s="41" t="s">
        <v>3312</v>
      </c>
      <c r="D330" s="41" t="s">
        <v>3313</v>
      </c>
      <c r="F330" s="41" t="s">
        <v>3314</v>
      </c>
      <c r="G330" s="41" t="s">
        <v>3315</v>
      </c>
      <c r="H330" s="41" t="s">
        <v>3316</v>
      </c>
      <c r="I330" s="41" t="s">
        <v>3317</v>
      </c>
      <c r="J330" s="41" t="s">
        <v>3318</v>
      </c>
      <c r="K330" s="41" t="s">
        <v>3319</v>
      </c>
      <c r="L330" s="41" t="s">
        <v>1094</v>
      </c>
    </row>
    <row r="331" spans="1:19" x14ac:dyDescent="0.25">
      <c r="A331" s="41" t="s">
        <v>908</v>
      </c>
      <c r="B331" s="41" t="s">
        <v>3320</v>
      </c>
    </row>
    <row r="332" spans="1:19" x14ac:dyDescent="0.25">
      <c r="A332" s="41" t="s">
        <v>23</v>
      </c>
      <c r="B332" s="41" t="s">
        <v>3321</v>
      </c>
      <c r="F332" s="41" t="s">
        <v>3322</v>
      </c>
      <c r="G332" s="41" t="s">
        <v>3323</v>
      </c>
      <c r="H332" s="41" t="s">
        <v>3324</v>
      </c>
      <c r="I332" s="41" t="s">
        <v>3325</v>
      </c>
      <c r="J332" s="41" t="s">
        <v>3326</v>
      </c>
      <c r="L332" s="41" t="s">
        <v>4</v>
      </c>
    </row>
    <row r="333" spans="1:19" x14ac:dyDescent="0.25">
      <c r="A333" s="41" t="s">
        <v>23</v>
      </c>
      <c r="B333" s="41" t="s">
        <v>3327</v>
      </c>
      <c r="D333" s="41" t="s">
        <v>88</v>
      </c>
      <c r="E333" s="41" t="s">
        <v>3328</v>
      </c>
      <c r="F333" s="41" t="s">
        <v>3329</v>
      </c>
      <c r="G333" s="41" t="s">
        <v>3330</v>
      </c>
      <c r="H333" s="41" t="s">
        <v>3331</v>
      </c>
      <c r="I333" s="41" t="s">
        <v>3332</v>
      </c>
      <c r="J333" s="41" t="s">
        <v>3333</v>
      </c>
      <c r="K333" s="41" t="s">
        <v>3334</v>
      </c>
      <c r="L333" s="41" t="s">
        <v>3335</v>
      </c>
      <c r="M333" s="41" t="s">
        <v>3336</v>
      </c>
      <c r="N333" s="41" t="s">
        <v>3337</v>
      </c>
      <c r="O333" s="41" t="s">
        <v>3338</v>
      </c>
      <c r="P333" s="41" t="s">
        <v>3339</v>
      </c>
      <c r="Q333" s="41" t="s">
        <v>3340</v>
      </c>
      <c r="R333" s="41" t="s">
        <v>3341</v>
      </c>
      <c r="S333" s="41" t="s">
        <v>3342</v>
      </c>
    </row>
    <row r="334" spans="1:19" x14ac:dyDescent="0.25">
      <c r="A334" s="41" t="s">
        <v>23</v>
      </c>
      <c r="B334" s="41" t="s">
        <v>3343</v>
      </c>
      <c r="D334" s="41" t="s">
        <v>3344</v>
      </c>
      <c r="F334" s="41" t="s">
        <v>3345</v>
      </c>
      <c r="G334" s="41" t="s">
        <v>3346</v>
      </c>
      <c r="H334" s="41" t="s">
        <v>3347</v>
      </c>
      <c r="I334" s="41" t="s">
        <v>3348</v>
      </c>
      <c r="J334" s="41" t="s">
        <v>3349</v>
      </c>
      <c r="K334" s="41" t="s">
        <v>3350</v>
      </c>
      <c r="L334" s="41" t="s">
        <v>891</v>
      </c>
    </row>
    <row r="335" spans="1:19" x14ac:dyDescent="0.25">
      <c r="A335" s="41" t="s">
        <v>23</v>
      </c>
      <c r="B335" s="41" t="s">
        <v>3351</v>
      </c>
      <c r="D335" s="41" t="s">
        <v>3352</v>
      </c>
      <c r="F335" s="41" t="s">
        <v>3353</v>
      </c>
      <c r="G335" s="41" t="s">
        <v>3354</v>
      </c>
      <c r="H335" s="41" t="s">
        <v>3355</v>
      </c>
      <c r="I335" s="41" t="s">
        <v>3356</v>
      </c>
      <c r="J335" s="41" t="s">
        <v>3357</v>
      </c>
      <c r="K335" s="41" t="s">
        <v>3358</v>
      </c>
      <c r="L335" s="41" t="s">
        <v>1076</v>
      </c>
    </row>
    <row r="336" spans="1:19" x14ac:dyDescent="0.25">
      <c r="A336" s="41" t="s">
        <v>23</v>
      </c>
      <c r="B336" s="41" t="s">
        <v>3359</v>
      </c>
      <c r="D336" s="41" t="s">
        <v>3360</v>
      </c>
      <c r="F336" s="41" t="s">
        <v>3361</v>
      </c>
      <c r="G336" s="41" t="s">
        <v>3362</v>
      </c>
      <c r="H336" s="41" t="s">
        <v>3363</v>
      </c>
      <c r="I336" s="41" t="s">
        <v>3364</v>
      </c>
      <c r="J336" s="41" t="s">
        <v>3365</v>
      </c>
      <c r="K336" s="41" t="s">
        <v>3366</v>
      </c>
      <c r="L336" s="41" t="s">
        <v>1085</v>
      </c>
    </row>
    <row r="337" spans="1:19" x14ac:dyDescent="0.25">
      <c r="A337" s="41" t="s">
        <v>23</v>
      </c>
      <c r="B337" s="41" t="s">
        <v>3367</v>
      </c>
      <c r="D337" s="41" t="s">
        <v>3368</v>
      </c>
      <c r="F337" s="41" t="s">
        <v>3369</v>
      </c>
      <c r="G337" s="41" t="s">
        <v>3370</v>
      </c>
      <c r="H337" s="41" t="s">
        <v>3371</v>
      </c>
      <c r="I337" s="41" t="s">
        <v>3372</v>
      </c>
      <c r="J337" s="41" t="s">
        <v>3373</v>
      </c>
      <c r="K337" s="41" t="s">
        <v>3374</v>
      </c>
      <c r="L337" s="41" t="s">
        <v>1094</v>
      </c>
    </row>
    <row r="338" spans="1:19" x14ac:dyDescent="0.25">
      <c r="A338" s="41" t="s">
        <v>908</v>
      </c>
      <c r="B338" s="41" t="s">
        <v>3375</v>
      </c>
    </row>
    <row r="339" spans="1:19" x14ac:dyDescent="0.25">
      <c r="A339" s="41" t="s">
        <v>23</v>
      </c>
      <c r="B339" s="41" t="s">
        <v>3376</v>
      </c>
      <c r="F339" s="41" t="s">
        <v>3377</v>
      </c>
      <c r="G339" s="41" t="s">
        <v>3378</v>
      </c>
      <c r="H339" s="41" t="s">
        <v>3379</v>
      </c>
      <c r="I339" s="41" t="s">
        <v>3380</v>
      </c>
      <c r="J339" s="41" t="s">
        <v>3381</v>
      </c>
      <c r="L339" s="41" t="s">
        <v>4</v>
      </c>
    </row>
    <row r="340" spans="1:19" x14ac:dyDescent="0.25">
      <c r="A340" s="41" t="s">
        <v>23</v>
      </c>
      <c r="B340" s="41" t="s">
        <v>3382</v>
      </c>
      <c r="D340" s="41" t="s">
        <v>91</v>
      </c>
      <c r="E340" s="41" t="s">
        <v>3383</v>
      </c>
      <c r="F340" s="41" t="s">
        <v>3384</v>
      </c>
      <c r="G340" s="41" t="s">
        <v>3385</v>
      </c>
      <c r="H340" s="41" t="s">
        <v>3386</v>
      </c>
      <c r="I340" s="41" t="s">
        <v>3387</v>
      </c>
      <c r="J340" s="41" t="s">
        <v>3388</v>
      </c>
      <c r="K340" s="41" t="s">
        <v>3389</v>
      </c>
      <c r="L340" s="41" t="s">
        <v>3390</v>
      </c>
      <c r="M340" s="41" t="s">
        <v>3391</v>
      </c>
      <c r="N340" s="41" t="s">
        <v>3392</v>
      </c>
      <c r="O340" s="41" t="s">
        <v>3393</v>
      </c>
      <c r="P340" s="41" t="s">
        <v>3394</v>
      </c>
      <c r="Q340" s="41" t="s">
        <v>3395</v>
      </c>
      <c r="R340" s="41" t="s">
        <v>3396</v>
      </c>
      <c r="S340" s="41" t="s">
        <v>3397</v>
      </c>
    </row>
    <row r="341" spans="1:19" x14ac:dyDescent="0.25">
      <c r="A341" s="41" t="s">
        <v>23</v>
      </c>
      <c r="B341" s="41" t="s">
        <v>3398</v>
      </c>
      <c r="D341" s="41" t="s">
        <v>3399</v>
      </c>
      <c r="F341" s="41" t="s">
        <v>3400</v>
      </c>
      <c r="G341" s="41" t="s">
        <v>3401</v>
      </c>
      <c r="H341" s="41" t="s">
        <v>3402</v>
      </c>
      <c r="I341" s="41" t="s">
        <v>3403</v>
      </c>
      <c r="J341" s="41" t="s">
        <v>3404</v>
      </c>
      <c r="K341" s="41" t="s">
        <v>3405</v>
      </c>
      <c r="L341" s="41" t="s">
        <v>891</v>
      </c>
    </row>
    <row r="342" spans="1:19" x14ac:dyDescent="0.25">
      <c r="A342" s="41" t="s">
        <v>23</v>
      </c>
      <c r="B342" s="41" t="s">
        <v>3406</v>
      </c>
      <c r="D342" s="41" t="s">
        <v>3407</v>
      </c>
      <c r="F342" s="41" t="s">
        <v>3408</v>
      </c>
      <c r="G342" s="41" t="s">
        <v>3409</v>
      </c>
      <c r="H342" s="41" t="s">
        <v>3410</v>
      </c>
      <c r="I342" s="41" t="s">
        <v>3411</v>
      </c>
      <c r="J342" s="41" t="s">
        <v>3412</v>
      </c>
      <c r="K342" s="41" t="s">
        <v>3413</v>
      </c>
      <c r="L342" s="41" t="s">
        <v>1076</v>
      </c>
    </row>
    <row r="343" spans="1:19" x14ac:dyDescent="0.25">
      <c r="A343" s="41" t="s">
        <v>23</v>
      </c>
      <c r="B343" s="41" t="s">
        <v>3414</v>
      </c>
      <c r="D343" s="41" t="s">
        <v>3415</v>
      </c>
      <c r="F343" s="41" t="s">
        <v>3416</v>
      </c>
      <c r="G343" s="41" t="s">
        <v>3417</v>
      </c>
      <c r="H343" s="41" t="s">
        <v>3418</v>
      </c>
      <c r="I343" s="41" t="s">
        <v>3419</v>
      </c>
      <c r="J343" s="41" t="s">
        <v>3420</v>
      </c>
      <c r="K343" s="41" t="s">
        <v>3421</v>
      </c>
      <c r="L343" s="41" t="s">
        <v>1085</v>
      </c>
    </row>
    <row r="344" spans="1:19" x14ac:dyDescent="0.25">
      <c r="A344" s="41" t="s">
        <v>23</v>
      </c>
      <c r="B344" s="41" t="s">
        <v>3422</v>
      </c>
      <c r="D344" s="41" t="s">
        <v>3423</v>
      </c>
      <c r="F344" s="41" t="s">
        <v>3424</v>
      </c>
      <c r="G344" s="41" t="s">
        <v>3425</v>
      </c>
      <c r="H344" s="41" t="s">
        <v>3426</v>
      </c>
      <c r="I344" s="41" t="s">
        <v>3427</v>
      </c>
      <c r="J344" s="41" t="s">
        <v>3428</v>
      </c>
      <c r="K344" s="41" t="s">
        <v>3429</v>
      </c>
      <c r="L344" s="41" t="s">
        <v>1094</v>
      </c>
    </row>
    <row r="345" spans="1:19" x14ac:dyDescent="0.25">
      <c r="A345" s="41" t="s">
        <v>908</v>
      </c>
      <c r="B345" s="41" t="s">
        <v>3430</v>
      </c>
    </row>
    <row r="346" spans="1:19" x14ac:dyDescent="0.25">
      <c r="A346" s="41" t="s">
        <v>23</v>
      </c>
      <c r="B346" s="41" t="s">
        <v>3431</v>
      </c>
      <c r="F346" s="41" t="s">
        <v>3432</v>
      </c>
      <c r="G346" s="41" t="s">
        <v>3433</v>
      </c>
      <c r="H346" s="41" t="s">
        <v>3434</v>
      </c>
      <c r="I346" s="41" t="s">
        <v>3435</v>
      </c>
      <c r="J346" s="41" t="s">
        <v>3436</v>
      </c>
      <c r="L346" s="41" t="s">
        <v>4</v>
      </c>
    </row>
    <row r="347" spans="1:19" x14ac:dyDescent="0.25">
      <c r="A347" s="41" t="s">
        <v>23</v>
      </c>
      <c r="B347" s="41" t="s">
        <v>3437</v>
      </c>
      <c r="D347" s="41" t="s">
        <v>94</v>
      </c>
      <c r="E347" s="41" t="s">
        <v>3438</v>
      </c>
      <c r="F347" s="41" t="s">
        <v>3439</v>
      </c>
      <c r="G347" s="41" t="s">
        <v>3440</v>
      </c>
      <c r="H347" s="41" t="s">
        <v>3441</v>
      </c>
      <c r="I347" s="41" t="s">
        <v>3442</v>
      </c>
      <c r="J347" s="41" t="s">
        <v>3443</v>
      </c>
      <c r="K347" s="41" t="s">
        <v>3444</v>
      </c>
      <c r="L347" s="41" t="s">
        <v>3445</v>
      </c>
      <c r="M347" s="41" t="s">
        <v>3446</v>
      </c>
      <c r="N347" s="41" t="s">
        <v>3447</v>
      </c>
      <c r="O347" s="41" t="s">
        <v>3448</v>
      </c>
      <c r="P347" s="41" t="s">
        <v>3449</v>
      </c>
      <c r="Q347" s="41" t="s">
        <v>3450</v>
      </c>
      <c r="R347" s="41" t="s">
        <v>3451</v>
      </c>
      <c r="S347" s="41" t="s">
        <v>3452</v>
      </c>
    </row>
    <row r="348" spans="1:19" x14ac:dyDescent="0.25">
      <c r="A348" s="41" t="s">
        <v>23</v>
      </c>
      <c r="B348" s="41" t="s">
        <v>3453</v>
      </c>
      <c r="D348" s="41" t="s">
        <v>3454</v>
      </c>
      <c r="F348" s="41" t="s">
        <v>3455</v>
      </c>
      <c r="G348" s="41" t="s">
        <v>3456</v>
      </c>
      <c r="H348" s="41" t="s">
        <v>3457</v>
      </c>
      <c r="I348" s="41" t="s">
        <v>3458</v>
      </c>
      <c r="J348" s="41" t="s">
        <v>3459</v>
      </c>
      <c r="K348" s="41" t="s">
        <v>3460</v>
      </c>
      <c r="L348" s="41" t="s">
        <v>891</v>
      </c>
    </row>
    <row r="349" spans="1:19" x14ac:dyDescent="0.25">
      <c r="A349" s="41" t="s">
        <v>23</v>
      </c>
      <c r="B349" s="41" t="s">
        <v>3461</v>
      </c>
      <c r="D349" s="41" t="s">
        <v>3462</v>
      </c>
      <c r="F349" s="41" t="s">
        <v>3463</v>
      </c>
      <c r="G349" s="41" t="s">
        <v>3464</v>
      </c>
      <c r="H349" s="41" t="s">
        <v>3465</v>
      </c>
      <c r="I349" s="41" t="s">
        <v>3466</v>
      </c>
      <c r="J349" s="41" t="s">
        <v>3467</v>
      </c>
      <c r="K349" s="41" t="s">
        <v>3468</v>
      </c>
      <c r="L349" s="41" t="s">
        <v>1076</v>
      </c>
    </row>
    <row r="350" spans="1:19" x14ac:dyDescent="0.25">
      <c r="A350" s="41" t="s">
        <v>23</v>
      </c>
      <c r="B350" s="41" t="s">
        <v>3469</v>
      </c>
      <c r="D350" s="41" t="s">
        <v>3470</v>
      </c>
      <c r="F350" s="41" t="s">
        <v>3471</v>
      </c>
      <c r="G350" s="41" t="s">
        <v>3472</v>
      </c>
      <c r="H350" s="41" t="s">
        <v>3473</v>
      </c>
      <c r="I350" s="41" t="s">
        <v>3474</v>
      </c>
      <c r="J350" s="41" t="s">
        <v>3475</v>
      </c>
      <c r="K350" s="41" t="s">
        <v>3476</v>
      </c>
      <c r="L350" s="41" t="s">
        <v>1085</v>
      </c>
    </row>
    <row r="351" spans="1:19" x14ac:dyDescent="0.25">
      <c r="A351" s="41" t="s">
        <v>23</v>
      </c>
      <c r="B351" s="41" t="s">
        <v>3477</v>
      </c>
      <c r="D351" s="41" t="s">
        <v>3478</v>
      </c>
      <c r="F351" s="41" t="s">
        <v>3479</v>
      </c>
      <c r="G351" s="41" t="s">
        <v>3480</v>
      </c>
      <c r="H351" s="41" t="s">
        <v>3481</v>
      </c>
      <c r="I351" s="41" t="s">
        <v>3482</v>
      </c>
      <c r="J351" s="41" t="s">
        <v>3483</v>
      </c>
      <c r="K351" s="41" t="s">
        <v>3484</v>
      </c>
      <c r="L351" s="41" t="s">
        <v>1094</v>
      </c>
    </row>
    <row r="352" spans="1:19" x14ac:dyDescent="0.25">
      <c r="A352" s="41" t="s">
        <v>908</v>
      </c>
      <c r="B352" s="41" t="s">
        <v>3485</v>
      </c>
    </row>
    <row r="353" spans="1:19" x14ac:dyDescent="0.25">
      <c r="A353" s="41" t="s">
        <v>23</v>
      </c>
      <c r="B353" s="41" t="s">
        <v>3486</v>
      </c>
      <c r="F353" s="41" t="s">
        <v>3487</v>
      </c>
      <c r="G353" s="41" t="s">
        <v>3488</v>
      </c>
      <c r="H353" s="41" t="s">
        <v>3489</v>
      </c>
      <c r="I353" s="41" t="s">
        <v>3490</v>
      </c>
      <c r="J353" s="41" t="s">
        <v>3491</v>
      </c>
      <c r="L353" s="41" t="s">
        <v>4</v>
      </c>
    </row>
    <row r="354" spans="1:19" x14ac:dyDescent="0.25">
      <c r="A354" s="41" t="s">
        <v>23</v>
      </c>
      <c r="B354" s="41" t="s">
        <v>3492</v>
      </c>
      <c r="D354" s="41" t="s">
        <v>3493</v>
      </c>
      <c r="E354" s="41" t="s">
        <v>3494</v>
      </c>
      <c r="F354" s="41" t="s">
        <v>3495</v>
      </c>
      <c r="G354" s="41" t="s">
        <v>3496</v>
      </c>
      <c r="H354" s="41" t="s">
        <v>3497</v>
      </c>
      <c r="I354" s="41" t="s">
        <v>3498</v>
      </c>
      <c r="J354" s="41" t="s">
        <v>3499</v>
      </c>
      <c r="K354" s="41" t="s">
        <v>3500</v>
      </c>
      <c r="L354" s="41" t="s">
        <v>3501</v>
      </c>
      <c r="M354" s="41" t="s">
        <v>3502</v>
      </c>
      <c r="N354" s="41" t="s">
        <v>3503</v>
      </c>
      <c r="O354" s="41" t="s">
        <v>3504</v>
      </c>
      <c r="P354" s="41" t="s">
        <v>3505</v>
      </c>
      <c r="Q354" s="41" t="s">
        <v>3506</v>
      </c>
      <c r="R354" s="41" t="s">
        <v>3507</v>
      </c>
      <c r="S354" s="41" t="s">
        <v>3508</v>
      </c>
    </row>
    <row r="355" spans="1:19" x14ac:dyDescent="0.25">
      <c r="A355" s="41" t="s">
        <v>23</v>
      </c>
      <c r="B355" s="41" t="s">
        <v>3509</v>
      </c>
      <c r="D355" s="41" t="s">
        <v>3510</v>
      </c>
      <c r="F355" s="41" t="s">
        <v>3511</v>
      </c>
      <c r="G355" s="41" t="s">
        <v>3512</v>
      </c>
      <c r="H355" s="41" t="s">
        <v>3513</v>
      </c>
      <c r="I355" s="41" t="s">
        <v>3514</v>
      </c>
      <c r="J355" s="41" t="s">
        <v>3515</v>
      </c>
      <c r="K355" s="41" t="s">
        <v>3516</v>
      </c>
      <c r="L355" s="41" t="s">
        <v>891</v>
      </c>
    </row>
    <row r="356" spans="1:19" x14ac:dyDescent="0.25">
      <c r="A356" s="41" t="s">
        <v>23</v>
      </c>
      <c r="B356" s="41" t="s">
        <v>3517</v>
      </c>
      <c r="D356" s="41" t="s">
        <v>3518</v>
      </c>
      <c r="F356" s="41" t="s">
        <v>3519</v>
      </c>
      <c r="G356" s="41" t="s">
        <v>3520</v>
      </c>
      <c r="H356" s="41" t="s">
        <v>3521</v>
      </c>
      <c r="I356" s="41" t="s">
        <v>3522</v>
      </c>
      <c r="J356" s="41" t="s">
        <v>3523</v>
      </c>
      <c r="K356" s="41" t="s">
        <v>3524</v>
      </c>
      <c r="L356" s="41" t="s">
        <v>1076</v>
      </c>
    </row>
    <row r="357" spans="1:19" x14ac:dyDescent="0.25">
      <c r="A357" s="41" t="s">
        <v>23</v>
      </c>
      <c r="B357" s="41" t="s">
        <v>3525</v>
      </c>
      <c r="D357" s="41" t="s">
        <v>3526</v>
      </c>
      <c r="F357" s="41" t="s">
        <v>3527</v>
      </c>
      <c r="G357" s="41" t="s">
        <v>3528</v>
      </c>
      <c r="H357" s="41" t="s">
        <v>3529</v>
      </c>
      <c r="I357" s="41" t="s">
        <v>3530</v>
      </c>
      <c r="J357" s="41" t="s">
        <v>3531</v>
      </c>
      <c r="K357" s="41" t="s">
        <v>3532</v>
      </c>
      <c r="L357" s="41" t="s">
        <v>1085</v>
      </c>
    </row>
    <row r="358" spans="1:19" x14ac:dyDescent="0.25">
      <c r="A358" s="41" t="s">
        <v>23</v>
      </c>
      <c r="B358" s="41" t="s">
        <v>3533</v>
      </c>
      <c r="D358" s="41" t="s">
        <v>3534</v>
      </c>
      <c r="F358" s="41" t="s">
        <v>3535</v>
      </c>
      <c r="G358" s="41" t="s">
        <v>3536</v>
      </c>
      <c r="H358" s="41" t="s">
        <v>3537</v>
      </c>
      <c r="I358" s="41" t="s">
        <v>3538</v>
      </c>
      <c r="J358" s="41" t="s">
        <v>3539</v>
      </c>
      <c r="K358" s="41" t="s">
        <v>3540</v>
      </c>
      <c r="L358" s="41" t="s">
        <v>1094</v>
      </c>
    </row>
    <row r="359" spans="1:19" x14ac:dyDescent="0.25">
      <c r="A359" s="41" t="s">
        <v>908</v>
      </c>
      <c r="B359" s="41" t="s">
        <v>3541</v>
      </c>
    </row>
    <row r="360" spans="1:19" x14ac:dyDescent="0.25">
      <c r="A360" s="41" t="s">
        <v>23</v>
      </c>
      <c r="B360" s="41" t="s">
        <v>3542</v>
      </c>
      <c r="F360" s="41" t="s">
        <v>3543</v>
      </c>
      <c r="G360" s="41" t="s">
        <v>3544</v>
      </c>
      <c r="H360" s="41" t="s">
        <v>3545</v>
      </c>
      <c r="I360" s="41" t="s">
        <v>3546</v>
      </c>
      <c r="J360" s="41" t="s">
        <v>3547</v>
      </c>
      <c r="L360" s="41" t="s">
        <v>4</v>
      </c>
    </row>
    <row r="361" spans="1:19" x14ac:dyDescent="0.25">
      <c r="A361" s="41" t="s">
        <v>23</v>
      </c>
      <c r="B361" s="41" t="s">
        <v>3548</v>
      </c>
      <c r="D361" s="41" t="s">
        <v>3549</v>
      </c>
      <c r="E361" s="41" t="s">
        <v>3550</v>
      </c>
      <c r="F361" s="41" t="s">
        <v>3551</v>
      </c>
      <c r="G361" s="41" t="s">
        <v>3552</v>
      </c>
      <c r="H361" s="41" t="s">
        <v>3553</v>
      </c>
      <c r="I361" s="41" t="s">
        <v>3554</v>
      </c>
      <c r="J361" s="41" t="s">
        <v>3555</v>
      </c>
      <c r="K361" s="41" t="s">
        <v>3556</v>
      </c>
      <c r="L361" s="41" t="s">
        <v>3557</v>
      </c>
      <c r="M361" s="41" t="s">
        <v>3558</v>
      </c>
      <c r="N361" s="41" t="s">
        <v>3559</v>
      </c>
      <c r="O361" s="41" t="s">
        <v>3560</v>
      </c>
      <c r="P361" s="41" t="s">
        <v>3561</v>
      </c>
      <c r="Q361" s="41" t="s">
        <v>3562</v>
      </c>
      <c r="R361" s="41" t="s">
        <v>3563</v>
      </c>
      <c r="S361" s="41" t="s">
        <v>3564</v>
      </c>
    </row>
    <row r="362" spans="1:19" x14ac:dyDescent="0.25">
      <c r="A362" s="41" t="s">
        <v>23</v>
      </c>
      <c r="B362" s="41" t="s">
        <v>3565</v>
      </c>
      <c r="D362" s="41" t="s">
        <v>3566</v>
      </c>
      <c r="F362" s="41" t="s">
        <v>3567</v>
      </c>
      <c r="G362" s="41" t="s">
        <v>3568</v>
      </c>
      <c r="H362" s="41" t="s">
        <v>3569</v>
      </c>
      <c r="I362" s="41" t="s">
        <v>3570</v>
      </c>
      <c r="J362" s="41" t="s">
        <v>3571</v>
      </c>
      <c r="K362" s="41" t="s">
        <v>3572</v>
      </c>
      <c r="L362" s="41" t="s">
        <v>891</v>
      </c>
    </row>
    <row r="363" spans="1:19" x14ac:dyDescent="0.25">
      <c r="A363" s="41" t="s">
        <v>23</v>
      </c>
      <c r="B363" s="41" t="s">
        <v>3573</v>
      </c>
      <c r="D363" s="41" t="s">
        <v>3574</v>
      </c>
      <c r="F363" s="41" t="s">
        <v>3575</v>
      </c>
      <c r="G363" s="41" t="s">
        <v>3576</v>
      </c>
      <c r="H363" s="41" t="s">
        <v>3577</v>
      </c>
      <c r="I363" s="41" t="s">
        <v>3578</v>
      </c>
      <c r="J363" s="41" t="s">
        <v>3579</v>
      </c>
      <c r="K363" s="41" t="s">
        <v>3580</v>
      </c>
      <c r="L363" s="41" t="s">
        <v>1076</v>
      </c>
    </row>
    <row r="364" spans="1:19" x14ac:dyDescent="0.25">
      <c r="A364" s="41" t="s">
        <v>23</v>
      </c>
      <c r="B364" s="41" t="s">
        <v>3581</v>
      </c>
      <c r="D364" s="41" t="s">
        <v>3582</v>
      </c>
      <c r="F364" s="41" t="s">
        <v>3583</v>
      </c>
      <c r="G364" s="41" t="s">
        <v>3584</v>
      </c>
      <c r="H364" s="41" t="s">
        <v>3585</v>
      </c>
      <c r="I364" s="41" t="s">
        <v>3586</v>
      </c>
      <c r="J364" s="41" t="s">
        <v>3587</v>
      </c>
      <c r="K364" s="41" t="s">
        <v>3588</v>
      </c>
      <c r="L364" s="41" t="s">
        <v>1085</v>
      </c>
    </row>
    <row r="365" spans="1:19" x14ac:dyDescent="0.25">
      <c r="A365" s="41" t="s">
        <v>23</v>
      </c>
      <c r="B365" s="41" t="s">
        <v>3589</v>
      </c>
      <c r="D365" s="41" t="s">
        <v>3590</v>
      </c>
      <c r="F365" s="41" t="s">
        <v>3591</v>
      </c>
      <c r="G365" s="41" t="s">
        <v>3592</v>
      </c>
      <c r="H365" s="41" t="s">
        <v>3593</v>
      </c>
      <c r="I365" s="41" t="s">
        <v>3594</v>
      </c>
      <c r="J365" s="41" t="s">
        <v>3595</v>
      </c>
      <c r="K365" s="41" t="s">
        <v>3596</v>
      </c>
      <c r="L365" s="41" t="s">
        <v>1094</v>
      </c>
    </row>
    <row r="366" spans="1:19" x14ac:dyDescent="0.25">
      <c r="A366" s="41" t="s">
        <v>908</v>
      </c>
      <c r="B366" s="41" t="s">
        <v>3597</v>
      </c>
    </row>
    <row r="367" spans="1:19" x14ac:dyDescent="0.25">
      <c r="A367" s="41" t="s">
        <v>23</v>
      </c>
      <c r="B367" s="41" t="s">
        <v>3598</v>
      </c>
      <c r="F367" s="41" t="s">
        <v>3599</v>
      </c>
      <c r="G367" s="41" t="s">
        <v>3600</v>
      </c>
      <c r="H367" s="41" t="s">
        <v>3601</v>
      </c>
      <c r="I367" s="41" t="s">
        <v>3602</v>
      </c>
      <c r="J367" s="41" t="s">
        <v>3603</v>
      </c>
      <c r="L367" s="41" t="s">
        <v>4</v>
      </c>
    </row>
    <row r="368" spans="1:19" x14ac:dyDescent="0.25">
      <c r="A368" s="41" t="s">
        <v>23</v>
      </c>
      <c r="B368" s="41" t="s">
        <v>3604</v>
      </c>
      <c r="D368" s="41" t="s">
        <v>3605</v>
      </c>
      <c r="E368" s="41" t="s">
        <v>3606</v>
      </c>
      <c r="F368" s="41" t="s">
        <v>3607</v>
      </c>
      <c r="G368" s="41" t="s">
        <v>3608</v>
      </c>
      <c r="H368" s="41" t="s">
        <v>3609</v>
      </c>
      <c r="I368" s="41" t="s">
        <v>3610</v>
      </c>
      <c r="J368" s="41" t="s">
        <v>3611</v>
      </c>
      <c r="K368" s="41" t="s">
        <v>3612</v>
      </c>
      <c r="L368" s="41" t="s">
        <v>3613</v>
      </c>
      <c r="M368" s="41" t="s">
        <v>3614</v>
      </c>
      <c r="N368" s="41" t="s">
        <v>3615</v>
      </c>
      <c r="O368" s="41" t="s">
        <v>3616</v>
      </c>
      <c r="P368" s="41" t="s">
        <v>3617</v>
      </c>
      <c r="Q368" s="41" t="s">
        <v>3618</v>
      </c>
      <c r="R368" s="41" t="s">
        <v>3619</v>
      </c>
      <c r="S368" s="41" t="s">
        <v>3620</v>
      </c>
    </row>
    <row r="369" spans="1:19" x14ac:dyDescent="0.25">
      <c r="A369" s="41" t="s">
        <v>23</v>
      </c>
      <c r="B369" s="41" t="s">
        <v>3621</v>
      </c>
      <c r="D369" s="41" t="s">
        <v>3622</v>
      </c>
      <c r="F369" s="41" t="s">
        <v>3623</v>
      </c>
      <c r="G369" s="41" t="s">
        <v>3624</v>
      </c>
      <c r="H369" s="41" t="s">
        <v>3625</v>
      </c>
      <c r="I369" s="41" t="s">
        <v>3626</v>
      </c>
      <c r="J369" s="41" t="s">
        <v>3627</v>
      </c>
      <c r="K369" s="41" t="s">
        <v>3628</v>
      </c>
      <c r="L369" s="41" t="s">
        <v>891</v>
      </c>
    </row>
    <row r="370" spans="1:19" x14ac:dyDescent="0.25">
      <c r="A370" s="41" t="s">
        <v>23</v>
      </c>
      <c r="B370" s="41" t="s">
        <v>3629</v>
      </c>
      <c r="D370" s="41" t="s">
        <v>3630</v>
      </c>
      <c r="F370" s="41" t="s">
        <v>3631</v>
      </c>
      <c r="G370" s="41" t="s">
        <v>3632</v>
      </c>
      <c r="H370" s="41" t="s">
        <v>3633</v>
      </c>
      <c r="I370" s="41" t="s">
        <v>3634</v>
      </c>
      <c r="J370" s="41" t="s">
        <v>3635</v>
      </c>
      <c r="K370" s="41" t="s">
        <v>3636</v>
      </c>
      <c r="L370" s="41" t="s">
        <v>1076</v>
      </c>
    </row>
    <row r="371" spans="1:19" x14ac:dyDescent="0.25">
      <c r="A371" s="41" t="s">
        <v>23</v>
      </c>
      <c r="B371" s="41" t="s">
        <v>3637</v>
      </c>
      <c r="D371" s="41" t="s">
        <v>3638</v>
      </c>
      <c r="F371" s="41" t="s">
        <v>3639</v>
      </c>
      <c r="G371" s="41" t="s">
        <v>3640</v>
      </c>
      <c r="H371" s="41" t="s">
        <v>3641</v>
      </c>
      <c r="I371" s="41" t="s">
        <v>3642</v>
      </c>
      <c r="J371" s="41" t="s">
        <v>3643</v>
      </c>
      <c r="K371" s="41" t="s">
        <v>3644</v>
      </c>
      <c r="L371" s="41" t="s">
        <v>1085</v>
      </c>
    </row>
    <row r="372" spans="1:19" x14ac:dyDescent="0.25">
      <c r="A372" s="41" t="s">
        <v>23</v>
      </c>
      <c r="B372" s="41" t="s">
        <v>3645</v>
      </c>
      <c r="D372" s="41" t="s">
        <v>3646</v>
      </c>
      <c r="F372" s="41" t="s">
        <v>3647</v>
      </c>
      <c r="G372" s="41" t="s">
        <v>3648</v>
      </c>
      <c r="H372" s="41" t="s">
        <v>3649</v>
      </c>
      <c r="I372" s="41" t="s">
        <v>3650</v>
      </c>
      <c r="J372" s="41" t="s">
        <v>3651</v>
      </c>
      <c r="K372" s="41" t="s">
        <v>3652</v>
      </c>
      <c r="L372" s="41" t="s">
        <v>1094</v>
      </c>
    </row>
    <row r="373" spans="1:19" x14ac:dyDescent="0.25">
      <c r="A373" s="41" t="s">
        <v>908</v>
      </c>
      <c r="B373" s="41" t="s">
        <v>3653</v>
      </c>
    </row>
    <row r="374" spans="1:19" x14ac:dyDescent="0.25">
      <c r="A374" s="41" t="s">
        <v>23</v>
      </c>
      <c r="B374" s="41" t="s">
        <v>3654</v>
      </c>
      <c r="F374" s="41" t="s">
        <v>3655</v>
      </c>
      <c r="G374" s="41" t="s">
        <v>3656</v>
      </c>
      <c r="H374" s="41" t="s">
        <v>3657</v>
      </c>
      <c r="I374" s="41" t="s">
        <v>3658</v>
      </c>
      <c r="J374" s="41" t="s">
        <v>3659</v>
      </c>
      <c r="L374" s="41" t="s">
        <v>4</v>
      </c>
    </row>
    <row r="375" spans="1:19" x14ac:dyDescent="0.25">
      <c r="A375" s="41" t="s">
        <v>23</v>
      </c>
      <c r="B375" s="41" t="s">
        <v>3660</v>
      </c>
      <c r="D375" s="41" t="s">
        <v>3661</v>
      </c>
      <c r="E375" s="41" t="s">
        <v>3662</v>
      </c>
      <c r="F375" s="41" t="s">
        <v>3663</v>
      </c>
      <c r="G375" s="41" t="s">
        <v>3664</v>
      </c>
      <c r="H375" s="41" t="s">
        <v>3665</v>
      </c>
      <c r="I375" s="41" t="s">
        <v>3666</v>
      </c>
      <c r="J375" s="41" t="s">
        <v>3667</v>
      </c>
      <c r="K375" s="41" t="s">
        <v>3668</v>
      </c>
      <c r="L375" s="41" t="s">
        <v>3669</v>
      </c>
      <c r="M375" s="41" t="s">
        <v>3670</v>
      </c>
      <c r="N375" s="41" t="s">
        <v>3671</v>
      </c>
      <c r="O375" s="41" t="s">
        <v>3672</v>
      </c>
      <c r="P375" s="41" t="s">
        <v>3673</v>
      </c>
      <c r="Q375" s="41" t="s">
        <v>3674</v>
      </c>
      <c r="R375" s="41" t="s">
        <v>3675</v>
      </c>
      <c r="S375" s="41" t="s">
        <v>3676</v>
      </c>
    </row>
    <row r="376" spans="1:19" x14ac:dyDescent="0.25">
      <c r="A376" s="41" t="s">
        <v>23</v>
      </c>
      <c r="B376" s="41" t="s">
        <v>3677</v>
      </c>
      <c r="D376" s="41" t="s">
        <v>3678</v>
      </c>
      <c r="F376" s="41" t="s">
        <v>3679</v>
      </c>
      <c r="G376" s="41" t="s">
        <v>3680</v>
      </c>
      <c r="H376" s="41" t="s">
        <v>3681</v>
      </c>
      <c r="I376" s="41" t="s">
        <v>3682</v>
      </c>
      <c r="J376" s="41" t="s">
        <v>3683</v>
      </c>
      <c r="K376" s="41" t="s">
        <v>3684</v>
      </c>
      <c r="L376" s="41" t="s">
        <v>891</v>
      </c>
    </row>
    <row r="377" spans="1:19" x14ac:dyDescent="0.25">
      <c r="A377" s="41" t="s">
        <v>23</v>
      </c>
      <c r="B377" s="41" t="s">
        <v>3685</v>
      </c>
      <c r="D377" s="41" t="s">
        <v>3686</v>
      </c>
      <c r="F377" s="41" t="s">
        <v>3687</v>
      </c>
      <c r="G377" s="41" t="s">
        <v>3688</v>
      </c>
      <c r="H377" s="41" t="s">
        <v>3689</v>
      </c>
      <c r="I377" s="41" t="s">
        <v>3690</v>
      </c>
      <c r="J377" s="41" t="s">
        <v>3691</v>
      </c>
      <c r="K377" s="41" t="s">
        <v>3692</v>
      </c>
      <c r="L377" s="41" t="s">
        <v>1076</v>
      </c>
    </row>
    <row r="378" spans="1:19" x14ac:dyDescent="0.25">
      <c r="A378" s="41" t="s">
        <v>23</v>
      </c>
      <c r="B378" s="41" t="s">
        <v>3693</v>
      </c>
      <c r="D378" s="41" t="s">
        <v>3694</v>
      </c>
      <c r="F378" s="41" t="s">
        <v>3695</v>
      </c>
      <c r="G378" s="41" t="s">
        <v>3696</v>
      </c>
      <c r="H378" s="41" t="s">
        <v>3697</v>
      </c>
      <c r="I378" s="41" t="s">
        <v>3698</v>
      </c>
      <c r="J378" s="41" t="s">
        <v>3699</v>
      </c>
      <c r="K378" s="41" t="s">
        <v>3700</v>
      </c>
      <c r="L378" s="41" t="s">
        <v>1085</v>
      </c>
    </row>
    <row r="379" spans="1:19" x14ac:dyDescent="0.25">
      <c r="A379" s="41" t="s">
        <v>23</v>
      </c>
      <c r="B379" s="41" t="s">
        <v>3701</v>
      </c>
      <c r="D379" s="41" t="s">
        <v>3702</v>
      </c>
      <c r="F379" s="41" t="s">
        <v>3703</v>
      </c>
      <c r="G379" s="41" t="s">
        <v>3704</v>
      </c>
      <c r="H379" s="41" t="s">
        <v>3705</v>
      </c>
      <c r="I379" s="41" t="s">
        <v>3706</v>
      </c>
      <c r="J379" s="41" t="s">
        <v>3707</v>
      </c>
      <c r="K379" s="41" t="s">
        <v>3708</v>
      </c>
      <c r="L379" s="41" t="s">
        <v>1094</v>
      </c>
    </row>
    <row r="380" spans="1:19" x14ac:dyDescent="0.25">
      <c r="A380" s="41" t="s">
        <v>908</v>
      </c>
      <c r="B380" s="41" t="s">
        <v>3709</v>
      </c>
    </row>
    <row r="381" spans="1:19" x14ac:dyDescent="0.25">
      <c r="A381" s="41" t="s">
        <v>23</v>
      </c>
      <c r="B381" s="41" t="s">
        <v>3710</v>
      </c>
      <c r="F381" s="41" t="s">
        <v>3711</v>
      </c>
      <c r="G381" s="41" t="s">
        <v>3712</v>
      </c>
      <c r="H381" s="41" t="s">
        <v>3713</v>
      </c>
      <c r="I381" s="41" t="s">
        <v>3714</v>
      </c>
      <c r="J381" s="41" t="s">
        <v>3715</v>
      </c>
      <c r="L381" s="41" t="s">
        <v>4</v>
      </c>
    </row>
    <row r="382" spans="1:19" x14ac:dyDescent="0.25">
      <c r="A382" s="41" t="s">
        <v>23</v>
      </c>
      <c r="B382" s="41" t="s">
        <v>3716</v>
      </c>
      <c r="D382" s="41" t="s">
        <v>3717</v>
      </c>
      <c r="E382" s="41" t="s">
        <v>3718</v>
      </c>
      <c r="F382" s="41" t="s">
        <v>3719</v>
      </c>
      <c r="G382" s="41" t="s">
        <v>3720</v>
      </c>
      <c r="H382" s="41" t="s">
        <v>3721</v>
      </c>
      <c r="I382" s="41" t="s">
        <v>3722</v>
      </c>
      <c r="J382" s="41" t="s">
        <v>3723</v>
      </c>
      <c r="K382" s="41" t="s">
        <v>3724</v>
      </c>
      <c r="L382" s="41" t="s">
        <v>3725</v>
      </c>
      <c r="M382" s="41" t="s">
        <v>3726</v>
      </c>
      <c r="N382" s="41" t="s">
        <v>3727</v>
      </c>
      <c r="O382" s="41" t="s">
        <v>3728</v>
      </c>
      <c r="P382" s="41" t="s">
        <v>3729</v>
      </c>
      <c r="Q382" s="41" t="s">
        <v>3730</v>
      </c>
      <c r="R382" s="41" t="s">
        <v>3731</v>
      </c>
      <c r="S382" s="41" t="s">
        <v>3732</v>
      </c>
    </row>
    <row r="383" spans="1:19" x14ac:dyDescent="0.25">
      <c r="A383" s="41" t="s">
        <v>23</v>
      </c>
      <c r="B383" s="41" t="s">
        <v>3733</v>
      </c>
      <c r="D383" s="41" t="s">
        <v>3734</v>
      </c>
      <c r="F383" s="41" t="s">
        <v>3735</v>
      </c>
      <c r="G383" s="41" t="s">
        <v>3736</v>
      </c>
      <c r="H383" s="41" t="s">
        <v>3737</v>
      </c>
      <c r="I383" s="41" t="s">
        <v>3738</v>
      </c>
      <c r="J383" s="41" t="s">
        <v>3739</v>
      </c>
      <c r="K383" s="41" t="s">
        <v>3740</v>
      </c>
      <c r="L383" s="41" t="s">
        <v>891</v>
      </c>
    </row>
    <row r="384" spans="1:19" x14ac:dyDescent="0.25">
      <c r="A384" s="41" t="s">
        <v>23</v>
      </c>
      <c r="B384" s="41" t="s">
        <v>3741</v>
      </c>
      <c r="D384" s="41" t="s">
        <v>3742</v>
      </c>
      <c r="F384" s="41" t="s">
        <v>3743</v>
      </c>
      <c r="G384" s="41" t="s">
        <v>3744</v>
      </c>
      <c r="H384" s="41" t="s">
        <v>3745</v>
      </c>
      <c r="I384" s="41" t="s">
        <v>3746</v>
      </c>
      <c r="J384" s="41" t="s">
        <v>3747</v>
      </c>
      <c r="K384" s="41" t="s">
        <v>3748</v>
      </c>
      <c r="L384" s="41" t="s">
        <v>1076</v>
      </c>
    </row>
    <row r="385" spans="1:19" x14ac:dyDescent="0.25">
      <c r="A385" s="41" t="s">
        <v>23</v>
      </c>
      <c r="B385" s="41" t="s">
        <v>3749</v>
      </c>
      <c r="D385" s="41" t="s">
        <v>3750</v>
      </c>
      <c r="F385" s="41" t="s">
        <v>3751</v>
      </c>
      <c r="G385" s="41" t="s">
        <v>3752</v>
      </c>
      <c r="H385" s="41" t="s">
        <v>3753</v>
      </c>
      <c r="I385" s="41" t="s">
        <v>3754</v>
      </c>
      <c r="J385" s="41" t="s">
        <v>3755</v>
      </c>
      <c r="K385" s="41" t="s">
        <v>3756</v>
      </c>
      <c r="L385" s="41" t="s">
        <v>1085</v>
      </c>
    </row>
    <row r="386" spans="1:19" x14ac:dyDescent="0.25">
      <c r="A386" s="41" t="s">
        <v>23</v>
      </c>
      <c r="B386" s="41" t="s">
        <v>3757</v>
      </c>
      <c r="D386" s="41" t="s">
        <v>3758</v>
      </c>
      <c r="F386" s="41" t="s">
        <v>3759</v>
      </c>
      <c r="G386" s="41" t="s">
        <v>3760</v>
      </c>
      <c r="H386" s="41" t="s">
        <v>3761</v>
      </c>
      <c r="I386" s="41" t="s">
        <v>3762</v>
      </c>
      <c r="J386" s="41" t="s">
        <v>3763</v>
      </c>
      <c r="K386" s="41" t="s">
        <v>3764</v>
      </c>
      <c r="L386" s="41" t="s">
        <v>1094</v>
      </c>
    </row>
    <row r="387" spans="1:19" x14ac:dyDescent="0.25">
      <c r="A387" s="41" t="s">
        <v>908</v>
      </c>
      <c r="B387" s="41" t="s">
        <v>3765</v>
      </c>
    </row>
    <row r="388" spans="1:19" x14ac:dyDescent="0.25">
      <c r="A388" s="41" t="s">
        <v>23</v>
      </c>
      <c r="B388" s="41" t="s">
        <v>3766</v>
      </c>
      <c r="F388" s="41" t="s">
        <v>3767</v>
      </c>
      <c r="G388" s="41" t="s">
        <v>3768</v>
      </c>
      <c r="H388" s="41" t="s">
        <v>3769</v>
      </c>
      <c r="I388" s="41" t="s">
        <v>3770</v>
      </c>
      <c r="J388" s="41" t="s">
        <v>3771</v>
      </c>
      <c r="L388" s="41" t="s">
        <v>4</v>
      </c>
    </row>
    <row r="389" spans="1:19" x14ac:dyDescent="0.25">
      <c r="A389" s="41" t="s">
        <v>23</v>
      </c>
      <c r="B389" s="41" t="s">
        <v>3772</v>
      </c>
      <c r="D389" s="41" t="s">
        <v>107</v>
      </c>
      <c r="E389" s="41" t="s">
        <v>3773</v>
      </c>
      <c r="F389" s="41" t="s">
        <v>3774</v>
      </c>
      <c r="G389" s="41" t="s">
        <v>3775</v>
      </c>
      <c r="H389" s="41" t="s">
        <v>3776</v>
      </c>
      <c r="I389" s="41" t="s">
        <v>3777</v>
      </c>
      <c r="J389" s="41" t="s">
        <v>3778</v>
      </c>
      <c r="K389" s="41" t="s">
        <v>3779</v>
      </c>
      <c r="L389" s="41" t="s">
        <v>3780</v>
      </c>
      <c r="M389" s="41" t="s">
        <v>3781</v>
      </c>
      <c r="N389" s="41" t="s">
        <v>3782</v>
      </c>
      <c r="O389" s="41" t="s">
        <v>3783</v>
      </c>
      <c r="P389" s="41" t="s">
        <v>3784</v>
      </c>
      <c r="Q389" s="41" t="s">
        <v>3785</v>
      </c>
      <c r="R389" s="41" t="s">
        <v>3786</v>
      </c>
      <c r="S389" s="41" t="s">
        <v>3787</v>
      </c>
    </row>
    <row r="390" spans="1:19" x14ac:dyDescent="0.25">
      <c r="A390" s="41" t="s">
        <v>23</v>
      </c>
      <c r="B390" s="41" t="s">
        <v>3788</v>
      </c>
      <c r="D390" s="41" t="s">
        <v>3789</v>
      </c>
      <c r="F390" s="41" t="s">
        <v>3790</v>
      </c>
      <c r="G390" s="41" t="s">
        <v>3791</v>
      </c>
      <c r="H390" s="41" t="s">
        <v>3792</v>
      </c>
      <c r="I390" s="41" t="s">
        <v>3793</v>
      </c>
      <c r="J390" s="41" t="s">
        <v>3794</v>
      </c>
      <c r="K390" s="41" t="s">
        <v>3795</v>
      </c>
      <c r="L390" s="41" t="s">
        <v>891</v>
      </c>
    </row>
    <row r="391" spans="1:19" x14ac:dyDescent="0.25">
      <c r="A391" s="41" t="s">
        <v>23</v>
      </c>
      <c r="B391" s="41" t="s">
        <v>3796</v>
      </c>
      <c r="D391" s="41" t="s">
        <v>3797</v>
      </c>
      <c r="F391" s="41" t="s">
        <v>3798</v>
      </c>
      <c r="G391" s="41" t="s">
        <v>3799</v>
      </c>
      <c r="H391" s="41" t="s">
        <v>3800</v>
      </c>
      <c r="I391" s="41" t="s">
        <v>3801</v>
      </c>
      <c r="J391" s="41" t="s">
        <v>3802</v>
      </c>
      <c r="K391" s="41" t="s">
        <v>3803</v>
      </c>
      <c r="L391" s="41" t="s">
        <v>1076</v>
      </c>
    </row>
    <row r="392" spans="1:19" x14ac:dyDescent="0.25">
      <c r="A392" s="41" t="s">
        <v>23</v>
      </c>
      <c r="B392" s="41" t="s">
        <v>3804</v>
      </c>
      <c r="D392" s="41" t="s">
        <v>3805</v>
      </c>
      <c r="F392" s="41" t="s">
        <v>3806</v>
      </c>
      <c r="G392" s="41" t="s">
        <v>3807</v>
      </c>
      <c r="H392" s="41" t="s">
        <v>3808</v>
      </c>
      <c r="I392" s="41" t="s">
        <v>3809</v>
      </c>
      <c r="J392" s="41" t="s">
        <v>3810</v>
      </c>
      <c r="K392" s="41" t="s">
        <v>3811</v>
      </c>
      <c r="L392" s="41" t="s">
        <v>1085</v>
      </c>
    </row>
    <row r="393" spans="1:19" x14ac:dyDescent="0.25">
      <c r="A393" s="41" t="s">
        <v>23</v>
      </c>
      <c r="B393" s="41" t="s">
        <v>3812</v>
      </c>
      <c r="D393" s="41" t="s">
        <v>3813</v>
      </c>
      <c r="F393" s="41" t="s">
        <v>3814</v>
      </c>
      <c r="G393" s="41" t="s">
        <v>3815</v>
      </c>
      <c r="H393" s="41" t="s">
        <v>3816</v>
      </c>
      <c r="I393" s="41" t="s">
        <v>3817</v>
      </c>
      <c r="J393" s="41" t="s">
        <v>3818</v>
      </c>
      <c r="K393" s="41" t="s">
        <v>3819</v>
      </c>
      <c r="L393" s="41" t="s">
        <v>1094</v>
      </c>
    </row>
    <row r="394" spans="1:19" x14ac:dyDescent="0.25">
      <c r="A394" s="41" t="s">
        <v>908</v>
      </c>
      <c r="B394" s="41" t="s">
        <v>3820</v>
      </c>
    </row>
    <row r="395" spans="1:19" x14ac:dyDescent="0.25">
      <c r="A395" s="41" t="s">
        <v>23</v>
      </c>
      <c r="B395" s="41" t="s">
        <v>3821</v>
      </c>
      <c r="F395" s="41" t="s">
        <v>3822</v>
      </c>
      <c r="G395" s="41" t="s">
        <v>3823</v>
      </c>
      <c r="H395" s="41" t="s">
        <v>3824</v>
      </c>
      <c r="I395" s="41" t="s">
        <v>3825</v>
      </c>
      <c r="J395" s="41" t="s">
        <v>3826</v>
      </c>
      <c r="L395" s="41" t="s">
        <v>4</v>
      </c>
    </row>
    <row r="396" spans="1:19" x14ac:dyDescent="0.25">
      <c r="A396" s="41" t="s">
        <v>23</v>
      </c>
      <c r="B396" s="41" t="s">
        <v>3827</v>
      </c>
      <c r="D396" s="41" t="s">
        <v>110</v>
      </c>
      <c r="E396" s="41" t="s">
        <v>3828</v>
      </c>
      <c r="F396" s="41" t="s">
        <v>3829</v>
      </c>
      <c r="G396" s="41" t="s">
        <v>3830</v>
      </c>
      <c r="H396" s="41" t="s">
        <v>3831</v>
      </c>
      <c r="I396" s="41" t="s">
        <v>3832</v>
      </c>
      <c r="J396" s="41" t="s">
        <v>3833</v>
      </c>
      <c r="K396" s="41" t="s">
        <v>3834</v>
      </c>
      <c r="L396" s="41" t="s">
        <v>3835</v>
      </c>
      <c r="M396" s="41" t="s">
        <v>3836</v>
      </c>
      <c r="N396" s="41" t="s">
        <v>3837</v>
      </c>
      <c r="O396" s="41" t="s">
        <v>3838</v>
      </c>
      <c r="P396" s="41" t="s">
        <v>3839</v>
      </c>
      <c r="Q396" s="41" t="s">
        <v>3840</v>
      </c>
      <c r="R396" s="41" t="s">
        <v>3841</v>
      </c>
      <c r="S396" s="41" t="s">
        <v>3842</v>
      </c>
    </row>
    <row r="397" spans="1:19" x14ac:dyDescent="0.25">
      <c r="A397" s="41" t="s">
        <v>23</v>
      </c>
      <c r="B397" s="41" t="s">
        <v>3843</v>
      </c>
      <c r="D397" s="41" t="s">
        <v>3844</v>
      </c>
      <c r="F397" s="41" t="s">
        <v>3845</v>
      </c>
      <c r="G397" s="41" t="s">
        <v>3846</v>
      </c>
      <c r="H397" s="41" t="s">
        <v>3847</v>
      </c>
      <c r="I397" s="41" t="s">
        <v>3848</v>
      </c>
      <c r="J397" s="41" t="s">
        <v>3849</v>
      </c>
      <c r="K397" s="41" t="s">
        <v>3850</v>
      </c>
      <c r="L397" s="41" t="s">
        <v>891</v>
      </c>
    </row>
    <row r="398" spans="1:19" x14ac:dyDescent="0.25">
      <c r="A398" s="41" t="s">
        <v>23</v>
      </c>
      <c r="B398" s="41" t="s">
        <v>3851</v>
      </c>
      <c r="D398" s="41" t="s">
        <v>3852</v>
      </c>
      <c r="F398" s="41" t="s">
        <v>3853</v>
      </c>
      <c r="G398" s="41" t="s">
        <v>3854</v>
      </c>
      <c r="H398" s="41" t="s">
        <v>3855</v>
      </c>
      <c r="I398" s="41" t="s">
        <v>3856</v>
      </c>
      <c r="J398" s="41" t="s">
        <v>3857</v>
      </c>
      <c r="K398" s="41" t="s">
        <v>3858</v>
      </c>
      <c r="L398" s="41" t="s">
        <v>1076</v>
      </c>
    </row>
    <row r="399" spans="1:19" x14ac:dyDescent="0.25">
      <c r="A399" s="41" t="s">
        <v>23</v>
      </c>
      <c r="B399" s="41" t="s">
        <v>3859</v>
      </c>
      <c r="D399" s="41" t="s">
        <v>3860</v>
      </c>
      <c r="F399" s="41" t="s">
        <v>3861</v>
      </c>
      <c r="G399" s="41" t="s">
        <v>3862</v>
      </c>
      <c r="H399" s="41" t="s">
        <v>3863</v>
      </c>
      <c r="I399" s="41" t="s">
        <v>3864</v>
      </c>
      <c r="J399" s="41" t="s">
        <v>3865</v>
      </c>
      <c r="K399" s="41" t="s">
        <v>3866</v>
      </c>
      <c r="L399" s="41" t="s">
        <v>1085</v>
      </c>
    </row>
    <row r="400" spans="1:19" x14ac:dyDescent="0.25">
      <c r="A400" s="41" t="s">
        <v>23</v>
      </c>
      <c r="B400" s="41" t="s">
        <v>3867</v>
      </c>
      <c r="D400" s="41" t="s">
        <v>3868</v>
      </c>
      <c r="F400" s="41" t="s">
        <v>3869</v>
      </c>
      <c r="G400" s="41" t="s">
        <v>3870</v>
      </c>
      <c r="H400" s="41" t="s">
        <v>3871</v>
      </c>
      <c r="I400" s="41" t="s">
        <v>3872</v>
      </c>
      <c r="J400" s="41" t="s">
        <v>3873</v>
      </c>
      <c r="K400" s="41" t="s">
        <v>3874</v>
      </c>
      <c r="L400" s="41" t="s">
        <v>1094</v>
      </c>
    </row>
    <row r="401" spans="1:19" x14ac:dyDescent="0.25">
      <c r="A401" s="41" t="s">
        <v>908</v>
      </c>
      <c r="B401" s="41" t="s">
        <v>3875</v>
      </c>
    </row>
    <row r="402" spans="1:19" x14ac:dyDescent="0.25">
      <c r="A402" s="41" t="s">
        <v>23</v>
      </c>
      <c r="B402" s="41" t="s">
        <v>3876</v>
      </c>
      <c r="F402" s="41" t="s">
        <v>3877</v>
      </c>
      <c r="G402" s="41" t="s">
        <v>3878</v>
      </c>
      <c r="H402" s="41" t="s">
        <v>3879</v>
      </c>
      <c r="I402" s="41" t="s">
        <v>3880</v>
      </c>
      <c r="J402" s="41" t="s">
        <v>3881</v>
      </c>
      <c r="L402" s="41" t="s">
        <v>4</v>
      </c>
    </row>
    <row r="403" spans="1:19" x14ac:dyDescent="0.25">
      <c r="A403" s="41" t="s">
        <v>23</v>
      </c>
      <c r="B403" s="41" t="s">
        <v>3882</v>
      </c>
      <c r="D403" s="41" t="s">
        <v>113</v>
      </c>
      <c r="E403" s="41" t="s">
        <v>3883</v>
      </c>
      <c r="F403" s="41" t="s">
        <v>3884</v>
      </c>
      <c r="G403" s="41" t="s">
        <v>3885</v>
      </c>
      <c r="H403" s="41" t="s">
        <v>3886</v>
      </c>
      <c r="I403" s="41" t="s">
        <v>3887</v>
      </c>
      <c r="J403" s="41" t="s">
        <v>3888</v>
      </c>
      <c r="K403" s="41" t="s">
        <v>3889</v>
      </c>
      <c r="L403" s="41" t="s">
        <v>3890</v>
      </c>
      <c r="M403" s="41" t="s">
        <v>3891</v>
      </c>
      <c r="N403" s="41" t="s">
        <v>3892</v>
      </c>
      <c r="O403" s="41" t="s">
        <v>3893</v>
      </c>
      <c r="P403" s="41" t="s">
        <v>3894</v>
      </c>
      <c r="Q403" s="41" t="s">
        <v>3895</v>
      </c>
      <c r="R403" s="41" t="s">
        <v>3896</v>
      </c>
      <c r="S403" s="41" t="s">
        <v>3897</v>
      </c>
    </row>
    <row r="404" spans="1:19" x14ac:dyDescent="0.25">
      <c r="A404" s="41" t="s">
        <v>23</v>
      </c>
      <c r="B404" s="41" t="s">
        <v>3898</v>
      </c>
      <c r="D404" s="41" t="s">
        <v>3899</v>
      </c>
      <c r="F404" s="41" t="s">
        <v>3900</v>
      </c>
      <c r="G404" s="41" t="s">
        <v>3901</v>
      </c>
      <c r="H404" s="41" t="s">
        <v>3902</v>
      </c>
      <c r="I404" s="41" t="s">
        <v>3903</v>
      </c>
      <c r="J404" s="41" t="s">
        <v>3904</v>
      </c>
      <c r="K404" s="41" t="s">
        <v>3905</v>
      </c>
      <c r="L404" s="41" t="s">
        <v>891</v>
      </c>
    </row>
    <row r="405" spans="1:19" x14ac:dyDescent="0.25">
      <c r="A405" s="41" t="s">
        <v>23</v>
      </c>
      <c r="B405" s="41" t="s">
        <v>3906</v>
      </c>
      <c r="D405" s="41" t="s">
        <v>3907</v>
      </c>
      <c r="F405" s="41" t="s">
        <v>3908</v>
      </c>
      <c r="G405" s="41" t="s">
        <v>3909</v>
      </c>
      <c r="H405" s="41" t="s">
        <v>3910</v>
      </c>
      <c r="I405" s="41" t="s">
        <v>3911</v>
      </c>
      <c r="J405" s="41" t="s">
        <v>3912</v>
      </c>
      <c r="K405" s="41" t="s">
        <v>3913</v>
      </c>
      <c r="L405" s="41" t="s">
        <v>1076</v>
      </c>
    </row>
    <row r="406" spans="1:19" x14ac:dyDescent="0.25">
      <c r="A406" s="41" t="s">
        <v>23</v>
      </c>
      <c r="B406" s="41" t="s">
        <v>3914</v>
      </c>
      <c r="D406" s="41" t="s">
        <v>3915</v>
      </c>
      <c r="F406" s="41" t="s">
        <v>3916</v>
      </c>
      <c r="G406" s="41" t="s">
        <v>3917</v>
      </c>
      <c r="H406" s="41" t="s">
        <v>3918</v>
      </c>
      <c r="I406" s="41" t="s">
        <v>3919</v>
      </c>
      <c r="J406" s="41" t="s">
        <v>3920</v>
      </c>
      <c r="K406" s="41" t="s">
        <v>3921</v>
      </c>
      <c r="L406" s="41" t="s">
        <v>1085</v>
      </c>
    </row>
    <row r="407" spans="1:19" x14ac:dyDescent="0.25">
      <c r="A407" s="41" t="s">
        <v>23</v>
      </c>
      <c r="B407" s="41" t="s">
        <v>3922</v>
      </c>
      <c r="D407" s="41" t="s">
        <v>3923</v>
      </c>
      <c r="F407" s="41" t="s">
        <v>3924</v>
      </c>
      <c r="G407" s="41" t="s">
        <v>3925</v>
      </c>
      <c r="H407" s="41" t="s">
        <v>3926</v>
      </c>
      <c r="I407" s="41" t="s">
        <v>3927</v>
      </c>
      <c r="J407" s="41" t="s">
        <v>3928</v>
      </c>
      <c r="K407" s="41" t="s">
        <v>3929</v>
      </c>
      <c r="L407" s="41" t="s">
        <v>1094</v>
      </c>
    </row>
    <row r="408" spans="1:19" x14ac:dyDescent="0.25">
      <c r="A408" s="41" t="s">
        <v>908</v>
      </c>
      <c r="B408" s="41" t="s">
        <v>3930</v>
      </c>
    </row>
    <row r="409" spans="1:19" x14ac:dyDescent="0.25">
      <c r="A409" s="41" t="s">
        <v>23</v>
      </c>
      <c r="B409" s="41" t="s">
        <v>3931</v>
      </c>
      <c r="F409" s="41" t="s">
        <v>3932</v>
      </c>
      <c r="G409" s="41" t="s">
        <v>3933</v>
      </c>
      <c r="H409" s="41" t="s">
        <v>3934</v>
      </c>
      <c r="I409" s="41" t="s">
        <v>3935</v>
      </c>
      <c r="J409" s="41" t="s">
        <v>3936</v>
      </c>
      <c r="L409" s="41" t="s">
        <v>4</v>
      </c>
    </row>
    <row r="410" spans="1:19" x14ac:dyDescent="0.25">
      <c r="A410" s="41" t="s">
        <v>23</v>
      </c>
      <c r="B410" s="41" t="s">
        <v>3937</v>
      </c>
      <c r="D410" s="41" t="s">
        <v>116</v>
      </c>
      <c r="E410" s="41" t="s">
        <v>3938</v>
      </c>
      <c r="F410" s="41" t="s">
        <v>3939</v>
      </c>
      <c r="G410" s="41" t="s">
        <v>3940</v>
      </c>
      <c r="H410" s="41" t="s">
        <v>3941</v>
      </c>
      <c r="I410" s="41" t="s">
        <v>3942</v>
      </c>
      <c r="J410" s="41" t="s">
        <v>3943</v>
      </c>
      <c r="K410" s="41" t="s">
        <v>3944</v>
      </c>
      <c r="L410" s="41" t="s">
        <v>3945</v>
      </c>
      <c r="M410" s="41" t="s">
        <v>3946</v>
      </c>
      <c r="N410" s="41" t="s">
        <v>3947</v>
      </c>
      <c r="O410" s="41" t="s">
        <v>3948</v>
      </c>
      <c r="P410" s="41" t="s">
        <v>3949</v>
      </c>
      <c r="Q410" s="41" t="s">
        <v>3950</v>
      </c>
      <c r="R410" s="41" t="s">
        <v>3951</v>
      </c>
      <c r="S410" s="41" t="s">
        <v>3952</v>
      </c>
    </row>
    <row r="411" spans="1:19" x14ac:dyDescent="0.25">
      <c r="A411" s="41" t="s">
        <v>23</v>
      </c>
      <c r="B411" s="41" t="s">
        <v>3953</v>
      </c>
      <c r="D411" s="41" t="s">
        <v>3954</v>
      </c>
      <c r="F411" s="41" t="s">
        <v>3955</v>
      </c>
      <c r="G411" s="41" t="s">
        <v>3956</v>
      </c>
      <c r="H411" s="41" t="s">
        <v>3957</v>
      </c>
      <c r="I411" s="41" t="s">
        <v>3958</v>
      </c>
      <c r="J411" s="41" t="s">
        <v>3959</v>
      </c>
      <c r="K411" s="41" t="s">
        <v>3960</v>
      </c>
      <c r="L411" s="41" t="s">
        <v>891</v>
      </c>
    </row>
    <row r="412" spans="1:19" x14ac:dyDescent="0.25">
      <c r="A412" s="41" t="s">
        <v>23</v>
      </c>
      <c r="B412" s="41" t="s">
        <v>3961</v>
      </c>
      <c r="D412" s="41" t="s">
        <v>3962</v>
      </c>
      <c r="F412" s="41" t="s">
        <v>3963</v>
      </c>
      <c r="G412" s="41" t="s">
        <v>3964</v>
      </c>
      <c r="H412" s="41" t="s">
        <v>3965</v>
      </c>
      <c r="I412" s="41" t="s">
        <v>3966</v>
      </c>
      <c r="J412" s="41" t="s">
        <v>3967</v>
      </c>
      <c r="K412" s="41" t="s">
        <v>3968</v>
      </c>
      <c r="L412" s="41" t="s">
        <v>1076</v>
      </c>
    </row>
    <row r="413" spans="1:19" x14ac:dyDescent="0.25">
      <c r="A413" s="41" t="s">
        <v>23</v>
      </c>
      <c r="B413" s="41" t="s">
        <v>3969</v>
      </c>
      <c r="D413" s="41" t="s">
        <v>3970</v>
      </c>
      <c r="F413" s="41" t="s">
        <v>3971</v>
      </c>
      <c r="G413" s="41" t="s">
        <v>3972</v>
      </c>
      <c r="H413" s="41" t="s">
        <v>3973</v>
      </c>
      <c r="I413" s="41" t="s">
        <v>3974</v>
      </c>
      <c r="J413" s="41" t="s">
        <v>3975</v>
      </c>
      <c r="K413" s="41" t="s">
        <v>3976</v>
      </c>
      <c r="L413" s="41" t="s">
        <v>1085</v>
      </c>
    </row>
    <row r="414" spans="1:19" x14ac:dyDescent="0.25">
      <c r="A414" s="41" t="s">
        <v>23</v>
      </c>
      <c r="B414" s="41" t="s">
        <v>3977</v>
      </c>
      <c r="D414" s="41" t="s">
        <v>3978</v>
      </c>
      <c r="F414" s="41" t="s">
        <v>3979</v>
      </c>
      <c r="G414" s="41" t="s">
        <v>3980</v>
      </c>
      <c r="H414" s="41" t="s">
        <v>3981</v>
      </c>
      <c r="I414" s="41" t="s">
        <v>3982</v>
      </c>
      <c r="J414" s="41" t="s">
        <v>3983</v>
      </c>
      <c r="K414" s="41" t="s">
        <v>3984</v>
      </c>
      <c r="L414" s="41" t="s">
        <v>1094</v>
      </c>
    </row>
    <row r="415" spans="1:19" x14ac:dyDescent="0.25">
      <c r="A415" s="41" t="s">
        <v>908</v>
      </c>
      <c r="B415" s="41" t="s">
        <v>3985</v>
      </c>
    </row>
    <row r="416" spans="1:19" x14ac:dyDescent="0.25">
      <c r="A416" s="41" t="s">
        <v>23</v>
      </c>
      <c r="B416" s="41" t="s">
        <v>3986</v>
      </c>
      <c r="F416" s="41" t="s">
        <v>3987</v>
      </c>
      <c r="G416" s="41" t="s">
        <v>3988</v>
      </c>
      <c r="H416" s="41" t="s">
        <v>3989</v>
      </c>
      <c r="I416" s="41" t="s">
        <v>3990</v>
      </c>
      <c r="J416" s="41" t="s">
        <v>3991</v>
      </c>
      <c r="L416" s="41" t="s">
        <v>4</v>
      </c>
    </row>
    <row r="417" spans="1:19" x14ac:dyDescent="0.25">
      <c r="A417" s="41" t="s">
        <v>23</v>
      </c>
      <c r="B417" s="41" t="s">
        <v>3992</v>
      </c>
      <c r="D417" s="41" t="s">
        <v>3993</v>
      </c>
      <c r="E417" s="41" t="s">
        <v>3994</v>
      </c>
      <c r="F417" s="41" t="s">
        <v>3995</v>
      </c>
      <c r="G417" s="41" t="s">
        <v>3996</v>
      </c>
      <c r="H417" s="41" t="s">
        <v>3997</v>
      </c>
      <c r="I417" s="41" t="s">
        <v>3998</v>
      </c>
      <c r="J417" s="41" t="s">
        <v>3999</v>
      </c>
      <c r="K417" s="41" t="s">
        <v>4000</v>
      </c>
      <c r="L417" s="41" t="s">
        <v>4001</v>
      </c>
      <c r="M417" s="41" t="s">
        <v>4002</v>
      </c>
      <c r="N417" s="41" t="s">
        <v>4003</v>
      </c>
      <c r="O417" s="41" t="s">
        <v>4004</v>
      </c>
      <c r="P417" s="41" t="s">
        <v>4005</v>
      </c>
      <c r="Q417" s="41" t="s">
        <v>4006</v>
      </c>
      <c r="R417" s="41" t="s">
        <v>4007</v>
      </c>
      <c r="S417" s="41" t="s">
        <v>4008</v>
      </c>
    </row>
    <row r="418" spans="1:19" x14ac:dyDescent="0.25">
      <c r="A418" s="41" t="s">
        <v>23</v>
      </c>
      <c r="B418" s="41" t="s">
        <v>4009</v>
      </c>
      <c r="D418" s="41" t="s">
        <v>4010</v>
      </c>
      <c r="F418" s="41" t="s">
        <v>4011</v>
      </c>
      <c r="G418" s="41" t="s">
        <v>4012</v>
      </c>
      <c r="H418" s="41" t="s">
        <v>4013</v>
      </c>
      <c r="I418" s="41" t="s">
        <v>4014</v>
      </c>
      <c r="J418" s="41" t="s">
        <v>4015</v>
      </c>
      <c r="K418" s="41" t="s">
        <v>4016</v>
      </c>
      <c r="L418" s="41" t="s">
        <v>891</v>
      </c>
    </row>
    <row r="419" spans="1:19" x14ac:dyDescent="0.25">
      <c r="A419" s="41" t="s">
        <v>23</v>
      </c>
      <c r="B419" s="41" t="s">
        <v>4017</v>
      </c>
      <c r="D419" s="41" t="s">
        <v>4018</v>
      </c>
      <c r="F419" s="41" t="s">
        <v>4019</v>
      </c>
      <c r="G419" s="41" t="s">
        <v>4020</v>
      </c>
      <c r="H419" s="41" t="s">
        <v>4021</v>
      </c>
      <c r="I419" s="41" t="s">
        <v>4022</v>
      </c>
      <c r="J419" s="41" t="s">
        <v>4023</v>
      </c>
      <c r="K419" s="41" t="s">
        <v>4024</v>
      </c>
      <c r="L419" s="41" t="s">
        <v>1076</v>
      </c>
    </row>
    <row r="420" spans="1:19" x14ac:dyDescent="0.25">
      <c r="A420" s="41" t="s">
        <v>23</v>
      </c>
      <c r="B420" s="41" t="s">
        <v>4025</v>
      </c>
      <c r="D420" s="41" t="s">
        <v>4026</v>
      </c>
      <c r="F420" s="41" t="s">
        <v>4027</v>
      </c>
      <c r="G420" s="41" t="s">
        <v>4028</v>
      </c>
      <c r="H420" s="41" t="s">
        <v>4029</v>
      </c>
      <c r="I420" s="41" t="s">
        <v>4030</v>
      </c>
      <c r="J420" s="41" t="s">
        <v>4031</v>
      </c>
      <c r="K420" s="41" t="s">
        <v>4032</v>
      </c>
      <c r="L420" s="41" t="s">
        <v>1085</v>
      </c>
    </row>
    <row r="421" spans="1:19" x14ac:dyDescent="0.25">
      <c r="A421" s="41" t="s">
        <v>23</v>
      </c>
      <c r="B421" s="41" t="s">
        <v>4033</v>
      </c>
      <c r="D421" s="41" t="s">
        <v>4034</v>
      </c>
      <c r="F421" s="41" t="s">
        <v>4035</v>
      </c>
      <c r="G421" s="41" t="s">
        <v>4036</v>
      </c>
      <c r="H421" s="41" t="s">
        <v>4037</v>
      </c>
      <c r="I421" s="41" t="s">
        <v>4038</v>
      </c>
      <c r="J421" s="41" t="s">
        <v>4039</v>
      </c>
      <c r="K421" s="41" t="s">
        <v>4040</v>
      </c>
      <c r="L421" s="41" t="s">
        <v>1094</v>
      </c>
    </row>
    <row r="422" spans="1:19" x14ac:dyDescent="0.25">
      <c r="A422" s="41" t="s">
        <v>908</v>
      </c>
      <c r="B422" s="41" t="s">
        <v>4041</v>
      </c>
    </row>
    <row r="423" spans="1:19" x14ac:dyDescent="0.25">
      <c r="A423" s="41" t="s">
        <v>23</v>
      </c>
      <c r="B423" s="41" t="s">
        <v>4042</v>
      </c>
      <c r="F423" s="41" t="s">
        <v>4043</v>
      </c>
      <c r="G423" s="41" t="s">
        <v>4044</v>
      </c>
      <c r="H423" s="41" t="s">
        <v>4045</v>
      </c>
      <c r="I423" s="41" t="s">
        <v>4046</v>
      </c>
      <c r="J423" s="41" t="s">
        <v>4047</v>
      </c>
      <c r="L423" s="41" t="s">
        <v>4</v>
      </c>
    </row>
    <row r="424" spans="1:19" x14ac:dyDescent="0.25">
      <c r="A424" s="41" t="s">
        <v>23</v>
      </c>
      <c r="B424" s="41" t="s">
        <v>4048</v>
      </c>
      <c r="D424" s="41" t="s">
        <v>121</v>
      </c>
      <c r="E424" s="41" t="s">
        <v>4049</v>
      </c>
      <c r="F424" s="41" t="s">
        <v>4050</v>
      </c>
      <c r="G424" s="41" t="s">
        <v>4051</v>
      </c>
      <c r="H424" s="41" t="s">
        <v>4052</v>
      </c>
      <c r="I424" s="41" t="s">
        <v>4053</v>
      </c>
      <c r="J424" s="41" t="s">
        <v>4054</v>
      </c>
      <c r="K424" s="41" t="s">
        <v>4055</v>
      </c>
      <c r="L424" s="41" t="s">
        <v>4056</v>
      </c>
      <c r="M424" s="41" t="s">
        <v>4057</v>
      </c>
      <c r="N424" s="41" t="s">
        <v>4058</v>
      </c>
      <c r="O424" s="41" t="s">
        <v>4059</v>
      </c>
      <c r="P424" s="41" t="s">
        <v>4060</v>
      </c>
      <c r="Q424" s="41" t="s">
        <v>4061</v>
      </c>
      <c r="R424" s="41" t="s">
        <v>4062</v>
      </c>
      <c r="S424" s="41" t="s">
        <v>4063</v>
      </c>
    </row>
    <row r="425" spans="1:19" x14ac:dyDescent="0.25">
      <c r="A425" s="41" t="s">
        <v>23</v>
      </c>
      <c r="B425" s="41" t="s">
        <v>4064</v>
      </c>
      <c r="D425" s="41" t="s">
        <v>4065</v>
      </c>
      <c r="F425" s="41" t="s">
        <v>4066</v>
      </c>
      <c r="G425" s="41" t="s">
        <v>4067</v>
      </c>
      <c r="H425" s="41" t="s">
        <v>4068</v>
      </c>
      <c r="I425" s="41" t="s">
        <v>4069</v>
      </c>
      <c r="J425" s="41" t="s">
        <v>4070</v>
      </c>
      <c r="K425" s="41" t="s">
        <v>4071</v>
      </c>
      <c r="L425" s="41" t="s">
        <v>891</v>
      </c>
    </row>
    <row r="426" spans="1:19" x14ac:dyDescent="0.25">
      <c r="A426" s="41" t="s">
        <v>23</v>
      </c>
      <c r="B426" s="41" t="s">
        <v>4072</v>
      </c>
      <c r="D426" s="41" t="s">
        <v>4073</v>
      </c>
      <c r="F426" s="41" t="s">
        <v>4074</v>
      </c>
      <c r="G426" s="41" t="s">
        <v>4075</v>
      </c>
      <c r="H426" s="41" t="s">
        <v>4076</v>
      </c>
      <c r="I426" s="41" t="s">
        <v>4077</v>
      </c>
      <c r="J426" s="41" t="s">
        <v>4078</v>
      </c>
      <c r="K426" s="41" t="s">
        <v>4079</v>
      </c>
      <c r="L426" s="41" t="s">
        <v>1076</v>
      </c>
    </row>
    <row r="427" spans="1:19" x14ac:dyDescent="0.25">
      <c r="A427" s="41" t="s">
        <v>23</v>
      </c>
      <c r="B427" s="41" t="s">
        <v>4080</v>
      </c>
      <c r="D427" s="41" t="s">
        <v>4081</v>
      </c>
      <c r="F427" s="41" t="s">
        <v>4082</v>
      </c>
      <c r="G427" s="41" t="s">
        <v>4083</v>
      </c>
      <c r="H427" s="41" t="s">
        <v>4084</v>
      </c>
      <c r="I427" s="41" t="s">
        <v>4085</v>
      </c>
      <c r="J427" s="41" t="s">
        <v>4086</v>
      </c>
      <c r="K427" s="41" t="s">
        <v>4087</v>
      </c>
      <c r="L427" s="41" t="s">
        <v>1085</v>
      </c>
    </row>
    <row r="428" spans="1:19" x14ac:dyDescent="0.25">
      <c r="A428" s="41" t="s">
        <v>23</v>
      </c>
      <c r="B428" s="41" t="s">
        <v>4088</v>
      </c>
      <c r="D428" s="41" t="s">
        <v>4089</v>
      </c>
      <c r="F428" s="41" t="s">
        <v>4090</v>
      </c>
      <c r="G428" s="41" t="s">
        <v>4091</v>
      </c>
      <c r="H428" s="41" t="s">
        <v>4092</v>
      </c>
      <c r="I428" s="41" t="s">
        <v>4093</v>
      </c>
      <c r="J428" s="41" t="s">
        <v>4094</v>
      </c>
      <c r="K428" s="41" t="s">
        <v>4095</v>
      </c>
      <c r="L428" s="41" t="s">
        <v>1094</v>
      </c>
    </row>
    <row r="429" spans="1:19" x14ac:dyDescent="0.25">
      <c r="A429" s="41" t="s">
        <v>908</v>
      </c>
      <c r="B429" s="41" t="s">
        <v>4096</v>
      </c>
    </row>
    <row r="430" spans="1:19" x14ac:dyDescent="0.25">
      <c r="A430" s="41" t="s">
        <v>23</v>
      </c>
      <c r="B430" s="41" t="s">
        <v>4097</v>
      </c>
      <c r="F430" s="41" t="s">
        <v>4098</v>
      </c>
      <c r="G430" s="41" t="s">
        <v>4099</v>
      </c>
      <c r="H430" s="41" t="s">
        <v>4100</v>
      </c>
      <c r="I430" s="41" t="s">
        <v>4101</v>
      </c>
      <c r="J430" s="41" t="s">
        <v>4102</v>
      </c>
      <c r="L430" s="41" t="s">
        <v>4</v>
      </c>
    </row>
    <row r="431" spans="1:19" x14ac:dyDescent="0.25">
      <c r="A431" s="41" t="s">
        <v>23</v>
      </c>
      <c r="B431" s="41" t="s">
        <v>4103</v>
      </c>
      <c r="D431" s="41" t="s">
        <v>124</v>
      </c>
      <c r="E431" s="41" t="s">
        <v>4104</v>
      </c>
      <c r="F431" s="41" t="s">
        <v>4105</v>
      </c>
      <c r="G431" s="41" t="s">
        <v>4106</v>
      </c>
      <c r="H431" s="41" t="s">
        <v>4107</v>
      </c>
      <c r="I431" s="41" t="s">
        <v>4108</v>
      </c>
      <c r="J431" s="41" t="s">
        <v>4109</v>
      </c>
      <c r="K431" s="41" t="s">
        <v>4110</v>
      </c>
      <c r="L431" s="41" t="s">
        <v>4111</v>
      </c>
      <c r="M431" s="41" t="s">
        <v>4112</v>
      </c>
      <c r="N431" s="41" t="s">
        <v>4113</v>
      </c>
      <c r="O431" s="41" t="s">
        <v>4114</v>
      </c>
      <c r="P431" s="41" t="s">
        <v>4115</v>
      </c>
      <c r="Q431" s="41" t="s">
        <v>4116</v>
      </c>
      <c r="R431" s="41" t="s">
        <v>4117</v>
      </c>
      <c r="S431" s="41" t="s">
        <v>4118</v>
      </c>
    </row>
    <row r="432" spans="1:19" x14ac:dyDescent="0.25">
      <c r="A432" s="41" t="s">
        <v>23</v>
      </c>
      <c r="B432" s="41" t="s">
        <v>4119</v>
      </c>
      <c r="D432" s="41" t="s">
        <v>4120</v>
      </c>
      <c r="F432" s="41" t="s">
        <v>4121</v>
      </c>
      <c r="G432" s="41" t="s">
        <v>4122</v>
      </c>
      <c r="H432" s="41" t="s">
        <v>4123</v>
      </c>
      <c r="I432" s="41" t="s">
        <v>4124</v>
      </c>
      <c r="J432" s="41" t="s">
        <v>4125</v>
      </c>
      <c r="K432" s="41" t="s">
        <v>4126</v>
      </c>
      <c r="L432" s="41" t="s">
        <v>891</v>
      </c>
    </row>
    <row r="433" spans="1:19" x14ac:dyDescent="0.25">
      <c r="A433" s="41" t="s">
        <v>23</v>
      </c>
      <c r="B433" s="41" t="s">
        <v>4127</v>
      </c>
      <c r="D433" s="41" t="s">
        <v>4128</v>
      </c>
      <c r="F433" s="41" t="s">
        <v>4129</v>
      </c>
      <c r="G433" s="41" t="s">
        <v>4130</v>
      </c>
      <c r="H433" s="41" t="s">
        <v>4131</v>
      </c>
      <c r="I433" s="41" t="s">
        <v>4132</v>
      </c>
      <c r="J433" s="41" t="s">
        <v>4133</v>
      </c>
      <c r="K433" s="41" t="s">
        <v>4134</v>
      </c>
      <c r="L433" s="41" t="s">
        <v>1076</v>
      </c>
    </row>
    <row r="434" spans="1:19" x14ac:dyDescent="0.25">
      <c r="A434" s="41" t="s">
        <v>23</v>
      </c>
      <c r="B434" s="41" t="s">
        <v>4135</v>
      </c>
      <c r="D434" s="41" t="s">
        <v>4136</v>
      </c>
      <c r="F434" s="41" t="s">
        <v>4137</v>
      </c>
      <c r="G434" s="41" t="s">
        <v>4138</v>
      </c>
      <c r="H434" s="41" t="s">
        <v>4139</v>
      </c>
      <c r="I434" s="41" t="s">
        <v>4140</v>
      </c>
      <c r="J434" s="41" t="s">
        <v>4141</v>
      </c>
      <c r="K434" s="41" t="s">
        <v>4142</v>
      </c>
      <c r="L434" s="41" t="s">
        <v>1085</v>
      </c>
    </row>
    <row r="435" spans="1:19" x14ac:dyDescent="0.25">
      <c r="A435" s="41" t="s">
        <v>23</v>
      </c>
      <c r="B435" s="41" t="s">
        <v>4143</v>
      </c>
      <c r="D435" s="41" t="s">
        <v>4144</v>
      </c>
      <c r="F435" s="41" t="s">
        <v>4145</v>
      </c>
      <c r="G435" s="41" t="s">
        <v>4146</v>
      </c>
      <c r="H435" s="41" t="s">
        <v>4147</v>
      </c>
      <c r="I435" s="41" t="s">
        <v>4148</v>
      </c>
      <c r="J435" s="41" t="s">
        <v>4149</v>
      </c>
      <c r="K435" s="41" t="s">
        <v>4150</v>
      </c>
      <c r="L435" s="41" t="s">
        <v>1094</v>
      </c>
    </row>
    <row r="436" spans="1:19" x14ac:dyDescent="0.25">
      <c r="A436" s="41" t="s">
        <v>908</v>
      </c>
      <c r="B436" s="41" t="s">
        <v>4151</v>
      </c>
    </row>
    <row r="437" spans="1:19" x14ac:dyDescent="0.25">
      <c r="A437" s="41" t="s">
        <v>23</v>
      </c>
      <c r="B437" s="41" t="s">
        <v>4152</v>
      </c>
      <c r="F437" s="41" t="s">
        <v>4153</v>
      </c>
      <c r="G437" s="41" t="s">
        <v>4154</v>
      </c>
      <c r="H437" s="41" t="s">
        <v>4155</v>
      </c>
      <c r="I437" s="41" t="s">
        <v>4156</v>
      </c>
      <c r="J437" s="41" t="s">
        <v>4157</v>
      </c>
      <c r="L437" s="41" t="s">
        <v>4</v>
      </c>
    </row>
    <row r="438" spans="1:19" x14ac:dyDescent="0.25">
      <c r="A438" s="41" t="s">
        <v>23</v>
      </c>
      <c r="B438" s="41" t="s">
        <v>4158</v>
      </c>
      <c r="D438" s="41" t="s">
        <v>127</v>
      </c>
      <c r="E438" s="41" t="s">
        <v>4159</v>
      </c>
      <c r="F438" s="41" t="s">
        <v>4160</v>
      </c>
      <c r="G438" s="41" t="s">
        <v>4161</v>
      </c>
      <c r="H438" s="41" t="s">
        <v>4162</v>
      </c>
      <c r="I438" s="41" t="s">
        <v>4163</v>
      </c>
      <c r="J438" s="41" t="s">
        <v>4164</v>
      </c>
      <c r="K438" s="41" t="s">
        <v>4165</v>
      </c>
      <c r="L438" s="41" t="s">
        <v>4166</v>
      </c>
      <c r="M438" s="41" t="s">
        <v>4167</v>
      </c>
      <c r="N438" s="41" t="s">
        <v>4168</v>
      </c>
      <c r="O438" s="41" t="s">
        <v>4169</v>
      </c>
      <c r="P438" s="41" t="s">
        <v>4170</v>
      </c>
      <c r="Q438" s="41" t="s">
        <v>4171</v>
      </c>
      <c r="R438" s="41" t="s">
        <v>4172</v>
      </c>
      <c r="S438" s="41" t="s">
        <v>4173</v>
      </c>
    </row>
    <row r="439" spans="1:19" x14ac:dyDescent="0.25">
      <c r="A439" s="41" t="s">
        <v>23</v>
      </c>
      <c r="B439" s="41" t="s">
        <v>4174</v>
      </c>
      <c r="D439" s="41" t="s">
        <v>4175</v>
      </c>
      <c r="F439" s="41" t="s">
        <v>4176</v>
      </c>
      <c r="G439" s="41" t="s">
        <v>4177</v>
      </c>
      <c r="H439" s="41" t="s">
        <v>4178</v>
      </c>
      <c r="I439" s="41" t="s">
        <v>4179</v>
      </c>
      <c r="J439" s="41" t="s">
        <v>4180</v>
      </c>
      <c r="K439" s="41" t="s">
        <v>4181</v>
      </c>
      <c r="L439" s="41" t="s">
        <v>891</v>
      </c>
    </row>
    <row r="440" spans="1:19" x14ac:dyDescent="0.25">
      <c r="A440" s="41" t="s">
        <v>23</v>
      </c>
      <c r="B440" s="41" t="s">
        <v>4182</v>
      </c>
      <c r="D440" s="41" t="s">
        <v>4183</v>
      </c>
      <c r="F440" s="41" t="s">
        <v>4184</v>
      </c>
      <c r="G440" s="41" t="s">
        <v>4185</v>
      </c>
      <c r="H440" s="41" t="s">
        <v>4186</v>
      </c>
      <c r="I440" s="41" t="s">
        <v>4187</v>
      </c>
      <c r="J440" s="41" t="s">
        <v>4188</v>
      </c>
      <c r="K440" s="41" t="s">
        <v>4189</v>
      </c>
      <c r="L440" s="41" t="s">
        <v>1076</v>
      </c>
    </row>
    <row r="441" spans="1:19" x14ac:dyDescent="0.25">
      <c r="A441" s="41" t="s">
        <v>23</v>
      </c>
      <c r="B441" s="41" t="s">
        <v>4190</v>
      </c>
      <c r="D441" s="41" t="s">
        <v>4191</v>
      </c>
      <c r="F441" s="41" t="s">
        <v>4192</v>
      </c>
      <c r="G441" s="41" t="s">
        <v>4193</v>
      </c>
      <c r="H441" s="41" t="s">
        <v>4194</v>
      </c>
      <c r="I441" s="41" t="s">
        <v>4195</v>
      </c>
      <c r="J441" s="41" t="s">
        <v>4196</v>
      </c>
      <c r="K441" s="41" t="s">
        <v>4197</v>
      </c>
      <c r="L441" s="41" t="s">
        <v>1085</v>
      </c>
    </row>
    <row r="442" spans="1:19" x14ac:dyDescent="0.25">
      <c r="A442" s="41" t="s">
        <v>23</v>
      </c>
      <c r="B442" s="41" t="s">
        <v>4198</v>
      </c>
      <c r="D442" s="41" t="s">
        <v>4199</v>
      </c>
      <c r="F442" s="41" t="s">
        <v>4200</v>
      </c>
      <c r="G442" s="41" t="s">
        <v>4201</v>
      </c>
      <c r="H442" s="41" t="s">
        <v>4202</v>
      </c>
      <c r="I442" s="41" t="s">
        <v>4203</v>
      </c>
      <c r="J442" s="41" t="s">
        <v>4204</v>
      </c>
      <c r="K442" s="41" t="s">
        <v>4205</v>
      </c>
      <c r="L442" s="41" t="s">
        <v>1094</v>
      </c>
    </row>
    <row r="443" spans="1:19" x14ac:dyDescent="0.25">
      <c r="A443" s="41" t="s">
        <v>908</v>
      </c>
      <c r="B443" s="41" t="s">
        <v>4206</v>
      </c>
    </row>
    <row r="444" spans="1:19" x14ac:dyDescent="0.25">
      <c r="A444" s="41" t="s">
        <v>23</v>
      </c>
      <c r="B444" s="41" t="s">
        <v>4207</v>
      </c>
      <c r="F444" s="41" t="s">
        <v>4208</v>
      </c>
      <c r="G444" s="41" t="s">
        <v>4209</v>
      </c>
      <c r="H444" s="41" t="s">
        <v>4210</v>
      </c>
      <c r="I444" s="41" t="s">
        <v>4211</v>
      </c>
      <c r="J444" s="41" t="s">
        <v>4212</v>
      </c>
      <c r="L444" s="41" t="s">
        <v>4</v>
      </c>
    </row>
    <row r="445" spans="1:19" x14ac:dyDescent="0.25">
      <c r="A445" s="41" t="s">
        <v>23</v>
      </c>
      <c r="B445" s="41" t="s">
        <v>4213</v>
      </c>
      <c r="D445" s="41" t="s">
        <v>130</v>
      </c>
      <c r="E445" s="41" t="s">
        <v>4214</v>
      </c>
      <c r="F445" s="41" t="s">
        <v>4215</v>
      </c>
      <c r="G445" s="41" t="s">
        <v>4216</v>
      </c>
      <c r="H445" s="41" t="s">
        <v>4217</v>
      </c>
      <c r="I445" s="41" t="s">
        <v>4218</v>
      </c>
      <c r="J445" s="41" t="s">
        <v>4219</v>
      </c>
      <c r="K445" s="41" t="s">
        <v>4220</v>
      </c>
      <c r="L445" s="41" t="s">
        <v>4221</v>
      </c>
      <c r="M445" s="41" t="s">
        <v>4222</v>
      </c>
      <c r="N445" s="41" t="s">
        <v>4223</v>
      </c>
      <c r="O445" s="41" t="s">
        <v>4224</v>
      </c>
      <c r="P445" s="41" t="s">
        <v>4225</v>
      </c>
      <c r="Q445" s="41" t="s">
        <v>4226</v>
      </c>
      <c r="R445" s="41" t="s">
        <v>4227</v>
      </c>
      <c r="S445" s="41" t="s">
        <v>4228</v>
      </c>
    </row>
    <row r="446" spans="1:19" x14ac:dyDescent="0.25">
      <c r="A446" s="41" t="s">
        <v>23</v>
      </c>
      <c r="B446" s="41" t="s">
        <v>4229</v>
      </c>
      <c r="D446" s="41" t="s">
        <v>4230</v>
      </c>
      <c r="F446" s="41" t="s">
        <v>4231</v>
      </c>
      <c r="G446" s="41" t="s">
        <v>4232</v>
      </c>
      <c r="H446" s="41" t="s">
        <v>4233</v>
      </c>
      <c r="I446" s="41" t="s">
        <v>4234</v>
      </c>
      <c r="J446" s="41" t="s">
        <v>4235</v>
      </c>
      <c r="K446" s="41" t="s">
        <v>4236</v>
      </c>
      <c r="L446" s="41" t="s">
        <v>891</v>
      </c>
    </row>
    <row r="447" spans="1:19" x14ac:dyDescent="0.25">
      <c r="A447" s="41" t="s">
        <v>23</v>
      </c>
      <c r="B447" s="41" t="s">
        <v>4237</v>
      </c>
      <c r="D447" s="41" t="s">
        <v>4238</v>
      </c>
      <c r="F447" s="41" t="s">
        <v>4239</v>
      </c>
      <c r="G447" s="41" t="s">
        <v>4240</v>
      </c>
      <c r="H447" s="41" t="s">
        <v>4241</v>
      </c>
      <c r="I447" s="41" t="s">
        <v>4242</v>
      </c>
      <c r="J447" s="41" t="s">
        <v>4243</v>
      </c>
      <c r="K447" s="41" t="s">
        <v>4244</v>
      </c>
      <c r="L447" s="41" t="s">
        <v>1076</v>
      </c>
    </row>
    <row r="448" spans="1:19" x14ac:dyDescent="0.25">
      <c r="A448" s="41" t="s">
        <v>23</v>
      </c>
      <c r="B448" s="41" t="s">
        <v>4245</v>
      </c>
      <c r="D448" s="41" t="s">
        <v>4246</v>
      </c>
      <c r="F448" s="41" t="s">
        <v>4247</v>
      </c>
      <c r="G448" s="41" t="s">
        <v>4248</v>
      </c>
      <c r="H448" s="41" t="s">
        <v>4249</v>
      </c>
      <c r="I448" s="41" t="s">
        <v>4250</v>
      </c>
      <c r="J448" s="41" t="s">
        <v>4251</v>
      </c>
      <c r="K448" s="41" t="s">
        <v>4252</v>
      </c>
      <c r="L448" s="41" t="s">
        <v>1085</v>
      </c>
    </row>
    <row r="449" spans="1:19" x14ac:dyDescent="0.25">
      <c r="A449" s="41" t="s">
        <v>23</v>
      </c>
      <c r="B449" s="41" t="s">
        <v>4253</v>
      </c>
      <c r="D449" s="41" t="s">
        <v>4254</v>
      </c>
      <c r="F449" s="41" t="s">
        <v>4255</v>
      </c>
      <c r="G449" s="41" t="s">
        <v>4256</v>
      </c>
      <c r="H449" s="41" t="s">
        <v>4257</v>
      </c>
      <c r="I449" s="41" t="s">
        <v>4258</v>
      </c>
      <c r="J449" s="41" t="s">
        <v>4259</v>
      </c>
      <c r="K449" s="41" t="s">
        <v>4260</v>
      </c>
      <c r="L449" s="41" t="s">
        <v>1094</v>
      </c>
    </row>
    <row r="450" spans="1:19" x14ac:dyDescent="0.25">
      <c r="A450" s="41" t="s">
        <v>908</v>
      </c>
      <c r="B450" s="41" t="s">
        <v>4261</v>
      </c>
    </row>
    <row r="451" spans="1:19" x14ac:dyDescent="0.25">
      <c r="A451" s="41" t="s">
        <v>23</v>
      </c>
      <c r="B451" s="41" t="s">
        <v>4262</v>
      </c>
      <c r="F451" s="41" t="s">
        <v>4263</v>
      </c>
      <c r="G451" s="41" t="s">
        <v>4264</v>
      </c>
      <c r="H451" s="41" t="s">
        <v>4265</v>
      </c>
      <c r="I451" s="41" t="s">
        <v>4266</v>
      </c>
      <c r="J451" s="41" t="s">
        <v>4267</v>
      </c>
      <c r="L451" s="41" t="s">
        <v>4</v>
      </c>
    </row>
    <row r="452" spans="1:19" x14ac:dyDescent="0.25">
      <c r="A452" s="41" t="s">
        <v>23</v>
      </c>
      <c r="B452" s="41" t="s">
        <v>4268</v>
      </c>
      <c r="D452" s="41" t="s">
        <v>133</v>
      </c>
      <c r="E452" s="41" t="s">
        <v>4269</v>
      </c>
      <c r="F452" s="41" t="s">
        <v>4270</v>
      </c>
      <c r="G452" s="41" t="s">
        <v>4271</v>
      </c>
      <c r="H452" s="41" t="s">
        <v>4272</v>
      </c>
      <c r="I452" s="41" t="s">
        <v>4273</v>
      </c>
      <c r="J452" s="41" t="s">
        <v>4274</v>
      </c>
      <c r="K452" s="41" t="s">
        <v>4275</v>
      </c>
      <c r="L452" s="41" t="s">
        <v>4276</v>
      </c>
      <c r="M452" s="41" t="s">
        <v>4277</v>
      </c>
      <c r="N452" s="41" t="s">
        <v>4278</v>
      </c>
      <c r="O452" s="41" t="s">
        <v>4279</v>
      </c>
      <c r="P452" s="41" t="s">
        <v>4280</v>
      </c>
      <c r="Q452" s="41" t="s">
        <v>4281</v>
      </c>
      <c r="R452" s="41" t="s">
        <v>4282</v>
      </c>
      <c r="S452" s="41" t="s">
        <v>4283</v>
      </c>
    </row>
    <row r="453" spans="1:19" x14ac:dyDescent="0.25">
      <c r="A453" s="41" t="s">
        <v>23</v>
      </c>
      <c r="B453" s="41" t="s">
        <v>4284</v>
      </c>
      <c r="D453" s="41" t="s">
        <v>4285</v>
      </c>
      <c r="F453" s="41" t="s">
        <v>4286</v>
      </c>
      <c r="G453" s="41" t="s">
        <v>4287</v>
      </c>
      <c r="H453" s="41" t="s">
        <v>4288</v>
      </c>
      <c r="I453" s="41" t="s">
        <v>4289</v>
      </c>
      <c r="J453" s="41" t="s">
        <v>4290</v>
      </c>
      <c r="K453" s="41" t="s">
        <v>4291</v>
      </c>
      <c r="L453" s="41" t="s">
        <v>891</v>
      </c>
    </row>
    <row r="454" spans="1:19" x14ac:dyDescent="0.25">
      <c r="A454" s="41" t="s">
        <v>23</v>
      </c>
      <c r="B454" s="41" t="s">
        <v>4292</v>
      </c>
      <c r="D454" s="41" t="s">
        <v>4293</v>
      </c>
      <c r="F454" s="41" t="s">
        <v>4294</v>
      </c>
      <c r="G454" s="41" t="s">
        <v>4295</v>
      </c>
      <c r="H454" s="41" t="s">
        <v>4296</v>
      </c>
      <c r="I454" s="41" t="s">
        <v>4297</v>
      </c>
      <c r="J454" s="41" t="s">
        <v>4298</v>
      </c>
      <c r="K454" s="41" t="s">
        <v>4299</v>
      </c>
      <c r="L454" s="41" t="s">
        <v>1076</v>
      </c>
    </row>
    <row r="455" spans="1:19" x14ac:dyDescent="0.25">
      <c r="A455" s="41" t="s">
        <v>23</v>
      </c>
      <c r="B455" s="41" t="s">
        <v>4300</v>
      </c>
      <c r="D455" s="41" t="s">
        <v>4301</v>
      </c>
      <c r="F455" s="41" t="s">
        <v>4302</v>
      </c>
      <c r="G455" s="41" t="s">
        <v>4303</v>
      </c>
      <c r="H455" s="41" t="s">
        <v>4304</v>
      </c>
      <c r="I455" s="41" t="s">
        <v>4305</v>
      </c>
      <c r="J455" s="41" t="s">
        <v>4306</v>
      </c>
      <c r="K455" s="41" t="s">
        <v>4307</v>
      </c>
      <c r="L455" s="41" t="s">
        <v>1085</v>
      </c>
    </row>
    <row r="456" spans="1:19" x14ac:dyDescent="0.25">
      <c r="A456" s="41" t="s">
        <v>23</v>
      </c>
      <c r="B456" s="41" t="s">
        <v>4308</v>
      </c>
      <c r="D456" s="41" t="s">
        <v>4309</v>
      </c>
      <c r="F456" s="41" t="s">
        <v>4310</v>
      </c>
      <c r="G456" s="41" t="s">
        <v>4311</v>
      </c>
      <c r="H456" s="41" t="s">
        <v>4312</v>
      </c>
      <c r="I456" s="41" t="s">
        <v>4313</v>
      </c>
      <c r="J456" s="41" t="s">
        <v>4314</v>
      </c>
      <c r="K456" s="41" t="s">
        <v>4315</v>
      </c>
      <c r="L456" s="41" t="s">
        <v>1094</v>
      </c>
    </row>
    <row r="457" spans="1:19" x14ac:dyDescent="0.25">
      <c r="A457" s="41" t="s">
        <v>908</v>
      </c>
      <c r="B457" s="41" t="s">
        <v>4316</v>
      </c>
    </row>
    <row r="458" spans="1:19" x14ac:dyDescent="0.25">
      <c r="A458" s="41" t="s">
        <v>23</v>
      </c>
      <c r="B458" s="41" t="s">
        <v>4317</v>
      </c>
      <c r="F458" s="41" t="s">
        <v>4318</v>
      </c>
      <c r="G458" s="41" t="s">
        <v>4319</v>
      </c>
      <c r="H458" s="41" t="s">
        <v>4320</v>
      </c>
      <c r="I458" s="41" t="s">
        <v>4321</v>
      </c>
      <c r="J458" s="41" t="s">
        <v>4322</v>
      </c>
      <c r="L458" s="41" t="s">
        <v>4</v>
      </c>
    </row>
    <row r="459" spans="1:19" x14ac:dyDescent="0.25">
      <c r="A459" s="41" t="s">
        <v>23</v>
      </c>
      <c r="B459" s="41" t="s">
        <v>4323</v>
      </c>
      <c r="D459" s="41" t="s">
        <v>136</v>
      </c>
      <c r="E459" s="41" t="s">
        <v>4324</v>
      </c>
      <c r="F459" s="41" t="s">
        <v>4325</v>
      </c>
      <c r="G459" s="41" t="s">
        <v>4326</v>
      </c>
      <c r="H459" s="41" t="s">
        <v>4327</v>
      </c>
      <c r="I459" s="41" t="s">
        <v>4328</v>
      </c>
      <c r="J459" s="41" t="s">
        <v>4329</v>
      </c>
      <c r="K459" s="41" t="s">
        <v>4330</v>
      </c>
      <c r="L459" s="41" t="s">
        <v>4331</v>
      </c>
      <c r="M459" s="41" t="s">
        <v>4332</v>
      </c>
      <c r="N459" s="41" t="s">
        <v>4333</v>
      </c>
      <c r="O459" s="41" t="s">
        <v>4334</v>
      </c>
      <c r="P459" s="41" t="s">
        <v>4335</v>
      </c>
      <c r="Q459" s="41" t="s">
        <v>4336</v>
      </c>
      <c r="R459" s="41" t="s">
        <v>4337</v>
      </c>
      <c r="S459" s="41" t="s">
        <v>4338</v>
      </c>
    </row>
    <row r="460" spans="1:19" x14ac:dyDescent="0.25">
      <c r="A460" s="41" t="s">
        <v>23</v>
      </c>
      <c r="B460" s="41" t="s">
        <v>4339</v>
      </c>
      <c r="D460" s="41" t="s">
        <v>4340</v>
      </c>
      <c r="F460" s="41" t="s">
        <v>4341</v>
      </c>
      <c r="G460" s="41" t="s">
        <v>4342</v>
      </c>
      <c r="H460" s="41" t="s">
        <v>4343</v>
      </c>
      <c r="I460" s="41" t="s">
        <v>4344</v>
      </c>
      <c r="J460" s="41" t="s">
        <v>4345</v>
      </c>
      <c r="K460" s="41" t="s">
        <v>4346</v>
      </c>
      <c r="L460" s="41" t="s">
        <v>891</v>
      </c>
    </row>
    <row r="461" spans="1:19" x14ac:dyDescent="0.25">
      <c r="A461" s="41" t="s">
        <v>23</v>
      </c>
      <c r="B461" s="41" t="s">
        <v>4347</v>
      </c>
      <c r="D461" s="41" t="s">
        <v>4348</v>
      </c>
      <c r="F461" s="41" t="s">
        <v>4349</v>
      </c>
      <c r="G461" s="41" t="s">
        <v>4350</v>
      </c>
      <c r="H461" s="41" t="s">
        <v>4351</v>
      </c>
      <c r="I461" s="41" t="s">
        <v>4352</v>
      </c>
      <c r="J461" s="41" t="s">
        <v>4353</v>
      </c>
      <c r="K461" s="41" t="s">
        <v>4354</v>
      </c>
      <c r="L461" s="41" t="s">
        <v>1076</v>
      </c>
    </row>
    <row r="462" spans="1:19" x14ac:dyDescent="0.25">
      <c r="A462" s="41" t="s">
        <v>23</v>
      </c>
      <c r="B462" s="41" t="s">
        <v>4355</v>
      </c>
      <c r="D462" s="41" t="s">
        <v>4356</v>
      </c>
      <c r="F462" s="41" t="s">
        <v>4357</v>
      </c>
      <c r="G462" s="41" t="s">
        <v>4358</v>
      </c>
      <c r="H462" s="41" t="s">
        <v>4359</v>
      </c>
      <c r="I462" s="41" t="s">
        <v>4360</v>
      </c>
      <c r="J462" s="41" t="s">
        <v>4361</v>
      </c>
      <c r="K462" s="41" t="s">
        <v>4362</v>
      </c>
      <c r="L462" s="41" t="s">
        <v>1085</v>
      </c>
    </row>
    <row r="463" spans="1:19" x14ac:dyDescent="0.25">
      <c r="A463" s="41" t="s">
        <v>23</v>
      </c>
      <c r="B463" s="41" t="s">
        <v>4363</v>
      </c>
      <c r="D463" s="41" t="s">
        <v>4364</v>
      </c>
      <c r="F463" s="41" t="s">
        <v>4365</v>
      </c>
      <c r="G463" s="41" t="s">
        <v>4366</v>
      </c>
      <c r="H463" s="41" t="s">
        <v>4367</v>
      </c>
      <c r="I463" s="41" t="s">
        <v>4368</v>
      </c>
      <c r="J463" s="41" t="s">
        <v>4369</v>
      </c>
      <c r="K463" s="41" t="s">
        <v>4370</v>
      </c>
      <c r="L463" s="41" t="s">
        <v>1094</v>
      </c>
    </row>
    <row r="464" spans="1:19" x14ac:dyDescent="0.25">
      <c r="A464" s="41" t="s">
        <v>908</v>
      </c>
      <c r="B464" s="41" t="s">
        <v>4371</v>
      </c>
    </row>
    <row r="465" spans="1:19" x14ac:dyDescent="0.25">
      <c r="A465" s="41" t="s">
        <v>23</v>
      </c>
      <c r="B465" s="41" t="s">
        <v>4372</v>
      </c>
      <c r="F465" s="41" t="s">
        <v>4373</v>
      </c>
      <c r="G465" s="41" t="s">
        <v>4374</v>
      </c>
      <c r="H465" s="41" t="s">
        <v>4375</v>
      </c>
      <c r="I465" s="41" t="s">
        <v>4376</v>
      </c>
      <c r="J465" s="41" t="s">
        <v>4377</v>
      </c>
      <c r="L465" s="41" t="s">
        <v>4</v>
      </c>
    </row>
    <row r="466" spans="1:19" x14ac:dyDescent="0.25">
      <c r="A466" s="41" t="s">
        <v>23</v>
      </c>
      <c r="B466" s="41" t="s">
        <v>4378</v>
      </c>
      <c r="D466" s="41" t="s">
        <v>4379</v>
      </c>
      <c r="E466" s="41" t="s">
        <v>4380</v>
      </c>
      <c r="F466" s="41" t="s">
        <v>4381</v>
      </c>
      <c r="G466" s="41" t="s">
        <v>4382</v>
      </c>
      <c r="H466" s="41" t="s">
        <v>4383</v>
      </c>
      <c r="I466" s="41" t="s">
        <v>4384</v>
      </c>
      <c r="J466" s="41" t="s">
        <v>4385</v>
      </c>
      <c r="K466" s="41" t="s">
        <v>4386</v>
      </c>
      <c r="L466" s="41" t="s">
        <v>4387</v>
      </c>
      <c r="M466" s="41" t="s">
        <v>4388</v>
      </c>
      <c r="N466" s="41" t="s">
        <v>4389</v>
      </c>
      <c r="O466" s="41" t="s">
        <v>4390</v>
      </c>
      <c r="P466" s="41" t="s">
        <v>4391</v>
      </c>
      <c r="Q466" s="41" t="s">
        <v>4392</v>
      </c>
      <c r="R466" s="41" t="s">
        <v>4393</v>
      </c>
      <c r="S466" s="41" t="s">
        <v>4394</v>
      </c>
    </row>
    <row r="467" spans="1:19" x14ac:dyDescent="0.25">
      <c r="A467" s="41" t="s">
        <v>23</v>
      </c>
      <c r="B467" s="41" t="s">
        <v>4395</v>
      </c>
      <c r="D467" s="41" t="s">
        <v>4396</v>
      </c>
      <c r="F467" s="41" t="s">
        <v>4397</v>
      </c>
      <c r="G467" s="41" t="s">
        <v>4398</v>
      </c>
      <c r="H467" s="41" t="s">
        <v>4399</v>
      </c>
      <c r="I467" s="41" t="s">
        <v>4400</v>
      </c>
      <c r="J467" s="41" t="s">
        <v>4401</v>
      </c>
      <c r="K467" s="41" t="s">
        <v>4402</v>
      </c>
      <c r="L467" s="41" t="s">
        <v>891</v>
      </c>
    </row>
    <row r="468" spans="1:19" x14ac:dyDescent="0.25">
      <c r="A468" s="41" t="s">
        <v>23</v>
      </c>
      <c r="B468" s="41" t="s">
        <v>4403</v>
      </c>
      <c r="D468" s="41" t="s">
        <v>4404</v>
      </c>
      <c r="F468" s="41" t="s">
        <v>4405</v>
      </c>
      <c r="G468" s="41" t="s">
        <v>4406</v>
      </c>
      <c r="H468" s="41" t="s">
        <v>4407</v>
      </c>
      <c r="I468" s="41" t="s">
        <v>4408</v>
      </c>
      <c r="J468" s="41" t="s">
        <v>4409</v>
      </c>
      <c r="K468" s="41" t="s">
        <v>4410</v>
      </c>
      <c r="L468" s="41" t="s">
        <v>1076</v>
      </c>
    </row>
    <row r="469" spans="1:19" x14ac:dyDescent="0.25">
      <c r="A469" s="41" t="s">
        <v>23</v>
      </c>
      <c r="B469" s="41" t="s">
        <v>4411</v>
      </c>
      <c r="D469" s="41" t="s">
        <v>4412</v>
      </c>
      <c r="F469" s="41" t="s">
        <v>4413</v>
      </c>
      <c r="G469" s="41" t="s">
        <v>4414</v>
      </c>
      <c r="H469" s="41" t="s">
        <v>4415</v>
      </c>
      <c r="I469" s="41" t="s">
        <v>4416</v>
      </c>
      <c r="J469" s="41" t="s">
        <v>4417</v>
      </c>
      <c r="K469" s="41" t="s">
        <v>4418</v>
      </c>
      <c r="L469" s="41" t="s">
        <v>1085</v>
      </c>
    </row>
    <row r="470" spans="1:19" x14ac:dyDescent="0.25">
      <c r="A470" s="41" t="s">
        <v>23</v>
      </c>
      <c r="B470" s="41" t="s">
        <v>4419</v>
      </c>
      <c r="D470" s="41" t="s">
        <v>4420</v>
      </c>
      <c r="F470" s="41" t="s">
        <v>4421</v>
      </c>
      <c r="G470" s="41" t="s">
        <v>4422</v>
      </c>
      <c r="H470" s="41" t="s">
        <v>4423</v>
      </c>
      <c r="I470" s="41" t="s">
        <v>4424</v>
      </c>
      <c r="J470" s="41" t="s">
        <v>4425</v>
      </c>
      <c r="K470" s="41" t="s">
        <v>4426</v>
      </c>
      <c r="L470" s="41" t="s">
        <v>1094</v>
      </c>
    </row>
    <row r="471" spans="1:19" x14ac:dyDescent="0.25">
      <c r="A471" s="41" t="s">
        <v>908</v>
      </c>
      <c r="B471" s="41" t="s">
        <v>4427</v>
      </c>
    </row>
    <row r="472" spans="1:19" x14ac:dyDescent="0.25">
      <c r="A472" s="41" t="s">
        <v>23</v>
      </c>
      <c r="B472" s="41" t="s">
        <v>4428</v>
      </c>
      <c r="F472" s="41" t="s">
        <v>4429</v>
      </c>
      <c r="G472" s="41" t="s">
        <v>4430</v>
      </c>
      <c r="H472" s="41" t="s">
        <v>4431</v>
      </c>
      <c r="I472" s="41" t="s">
        <v>4432</v>
      </c>
      <c r="J472" s="41" t="s">
        <v>4433</v>
      </c>
      <c r="L472" s="41" t="s">
        <v>4</v>
      </c>
    </row>
    <row r="473" spans="1:19" x14ac:dyDescent="0.25">
      <c r="A473" s="41" t="s">
        <v>23</v>
      </c>
      <c r="B473" s="41" t="s">
        <v>4434</v>
      </c>
      <c r="D473" s="41" t="s">
        <v>4435</v>
      </c>
      <c r="E473" s="41" t="s">
        <v>4436</v>
      </c>
      <c r="F473" s="41" t="s">
        <v>4437</v>
      </c>
      <c r="G473" s="41" t="s">
        <v>4438</v>
      </c>
      <c r="H473" s="41" t="s">
        <v>4439</v>
      </c>
      <c r="I473" s="41" t="s">
        <v>4440</v>
      </c>
      <c r="J473" s="41" t="s">
        <v>4441</v>
      </c>
      <c r="K473" s="41" t="s">
        <v>4442</v>
      </c>
      <c r="L473" s="41" t="s">
        <v>4443</v>
      </c>
      <c r="M473" s="41" t="s">
        <v>4444</v>
      </c>
      <c r="N473" s="41" t="s">
        <v>4445</v>
      </c>
      <c r="O473" s="41" t="s">
        <v>4446</v>
      </c>
      <c r="P473" s="41" t="s">
        <v>4447</v>
      </c>
      <c r="Q473" s="41" t="s">
        <v>4448</v>
      </c>
      <c r="R473" s="41" t="s">
        <v>4449</v>
      </c>
      <c r="S473" s="41" t="s">
        <v>4450</v>
      </c>
    </row>
    <row r="474" spans="1:19" x14ac:dyDescent="0.25">
      <c r="A474" s="41" t="s">
        <v>23</v>
      </c>
      <c r="B474" s="41" t="s">
        <v>4451</v>
      </c>
      <c r="D474" s="41" t="s">
        <v>4452</v>
      </c>
      <c r="F474" s="41" t="s">
        <v>4453</v>
      </c>
      <c r="G474" s="41" t="s">
        <v>4454</v>
      </c>
      <c r="H474" s="41" t="s">
        <v>4455</v>
      </c>
      <c r="I474" s="41" t="s">
        <v>4456</v>
      </c>
      <c r="J474" s="41" t="s">
        <v>4457</v>
      </c>
      <c r="K474" s="41" t="s">
        <v>4458</v>
      </c>
      <c r="L474" s="41" t="s">
        <v>891</v>
      </c>
    </row>
    <row r="475" spans="1:19" x14ac:dyDescent="0.25">
      <c r="A475" s="41" t="s">
        <v>23</v>
      </c>
      <c r="B475" s="41" t="s">
        <v>4459</v>
      </c>
      <c r="D475" s="41" t="s">
        <v>4460</v>
      </c>
      <c r="F475" s="41" t="s">
        <v>4461</v>
      </c>
      <c r="G475" s="41" t="s">
        <v>4462</v>
      </c>
      <c r="H475" s="41" t="s">
        <v>4463</v>
      </c>
      <c r="I475" s="41" t="s">
        <v>4464</v>
      </c>
      <c r="J475" s="41" t="s">
        <v>4465</v>
      </c>
      <c r="K475" s="41" t="s">
        <v>4466</v>
      </c>
      <c r="L475" s="41" t="s">
        <v>1076</v>
      </c>
    </row>
    <row r="476" spans="1:19" x14ac:dyDescent="0.25">
      <c r="A476" s="41" t="s">
        <v>23</v>
      </c>
      <c r="B476" s="41" t="s">
        <v>4467</v>
      </c>
      <c r="D476" s="41" t="s">
        <v>4468</v>
      </c>
      <c r="F476" s="41" t="s">
        <v>4469</v>
      </c>
      <c r="G476" s="41" t="s">
        <v>4470</v>
      </c>
      <c r="H476" s="41" t="s">
        <v>4471</v>
      </c>
      <c r="I476" s="41" t="s">
        <v>4472</v>
      </c>
      <c r="J476" s="41" t="s">
        <v>4473</v>
      </c>
      <c r="K476" s="41" t="s">
        <v>4474</v>
      </c>
      <c r="L476" s="41" t="s">
        <v>1085</v>
      </c>
    </row>
    <row r="477" spans="1:19" x14ac:dyDescent="0.25">
      <c r="A477" s="41" t="s">
        <v>23</v>
      </c>
      <c r="B477" s="41" t="s">
        <v>4475</v>
      </c>
      <c r="D477" s="41" t="s">
        <v>4476</v>
      </c>
      <c r="F477" s="41" t="s">
        <v>4477</v>
      </c>
      <c r="G477" s="41" t="s">
        <v>4478</v>
      </c>
      <c r="H477" s="41" t="s">
        <v>4479</v>
      </c>
      <c r="I477" s="41" t="s">
        <v>4480</v>
      </c>
      <c r="J477" s="41" t="s">
        <v>4481</v>
      </c>
      <c r="K477" s="41" t="s">
        <v>4482</v>
      </c>
      <c r="L477" s="41" t="s">
        <v>1094</v>
      </c>
    </row>
    <row r="478" spans="1:19" x14ac:dyDescent="0.25">
      <c r="A478" s="41" t="s">
        <v>908</v>
      </c>
      <c r="B478" s="41" t="s">
        <v>4483</v>
      </c>
    </row>
    <row r="479" spans="1:19" x14ac:dyDescent="0.25">
      <c r="A479" s="41" t="s">
        <v>23</v>
      </c>
      <c r="B479" s="41" t="s">
        <v>4484</v>
      </c>
      <c r="F479" s="41" t="s">
        <v>4485</v>
      </c>
      <c r="G479" s="41" t="s">
        <v>4486</v>
      </c>
      <c r="H479" s="41" t="s">
        <v>4487</v>
      </c>
      <c r="I479" s="41" t="s">
        <v>4488</v>
      </c>
      <c r="J479" s="41" t="s">
        <v>4489</v>
      </c>
      <c r="L479" s="41" t="s">
        <v>4</v>
      </c>
    </row>
    <row r="480" spans="1:19" x14ac:dyDescent="0.25">
      <c r="A480" s="41" t="s">
        <v>23</v>
      </c>
      <c r="B480" s="41" t="s">
        <v>4490</v>
      </c>
      <c r="D480" s="41" t="s">
        <v>4491</v>
      </c>
      <c r="E480" s="41" t="s">
        <v>4492</v>
      </c>
      <c r="F480" s="41" t="s">
        <v>4493</v>
      </c>
      <c r="G480" s="41" t="s">
        <v>4494</v>
      </c>
      <c r="H480" s="41" t="s">
        <v>4495</v>
      </c>
      <c r="I480" s="41" t="s">
        <v>4496</v>
      </c>
      <c r="J480" s="41" t="s">
        <v>4497</v>
      </c>
      <c r="K480" s="41" t="s">
        <v>4498</v>
      </c>
      <c r="L480" s="41" t="s">
        <v>4499</v>
      </c>
      <c r="M480" s="41" t="s">
        <v>4500</v>
      </c>
      <c r="N480" s="41" t="s">
        <v>4501</v>
      </c>
      <c r="O480" s="41" t="s">
        <v>4502</v>
      </c>
      <c r="P480" s="41" t="s">
        <v>4503</v>
      </c>
      <c r="Q480" s="41" t="s">
        <v>4504</v>
      </c>
      <c r="R480" s="41" t="s">
        <v>4505</v>
      </c>
      <c r="S480" s="41" t="s">
        <v>4506</v>
      </c>
    </row>
    <row r="481" spans="1:19" x14ac:dyDescent="0.25">
      <c r="A481" s="41" t="s">
        <v>23</v>
      </c>
      <c r="B481" s="41" t="s">
        <v>4507</v>
      </c>
      <c r="D481" s="41" t="s">
        <v>4508</v>
      </c>
      <c r="F481" s="41" t="s">
        <v>4509</v>
      </c>
      <c r="G481" s="41" t="s">
        <v>4510</v>
      </c>
      <c r="H481" s="41" t="s">
        <v>4511</v>
      </c>
      <c r="I481" s="41" t="s">
        <v>4512</v>
      </c>
      <c r="J481" s="41" t="s">
        <v>4513</v>
      </c>
      <c r="K481" s="41" t="s">
        <v>4514</v>
      </c>
      <c r="L481" s="41" t="s">
        <v>891</v>
      </c>
    </row>
    <row r="482" spans="1:19" x14ac:dyDescent="0.25">
      <c r="A482" s="41" t="s">
        <v>23</v>
      </c>
      <c r="B482" s="41" t="s">
        <v>4515</v>
      </c>
      <c r="D482" s="41" t="s">
        <v>4516</v>
      </c>
      <c r="F482" s="41" t="s">
        <v>4517</v>
      </c>
      <c r="G482" s="41" t="s">
        <v>4518</v>
      </c>
      <c r="H482" s="41" t="s">
        <v>4519</v>
      </c>
      <c r="I482" s="41" t="s">
        <v>4520</v>
      </c>
      <c r="J482" s="41" t="s">
        <v>4521</v>
      </c>
      <c r="K482" s="41" t="s">
        <v>4522</v>
      </c>
      <c r="L482" s="41" t="s">
        <v>1076</v>
      </c>
    </row>
    <row r="483" spans="1:19" x14ac:dyDescent="0.25">
      <c r="A483" s="41" t="s">
        <v>23</v>
      </c>
      <c r="B483" s="41" t="s">
        <v>4523</v>
      </c>
      <c r="D483" s="41" t="s">
        <v>4524</v>
      </c>
      <c r="F483" s="41" t="s">
        <v>4525</v>
      </c>
      <c r="G483" s="41" t="s">
        <v>4526</v>
      </c>
      <c r="H483" s="41" t="s">
        <v>4527</v>
      </c>
      <c r="I483" s="41" t="s">
        <v>4528</v>
      </c>
      <c r="J483" s="41" t="s">
        <v>4529</v>
      </c>
      <c r="K483" s="41" t="s">
        <v>4530</v>
      </c>
      <c r="L483" s="41" t="s">
        <v>1085</v>
      </c>
    </row>
    <row r="484" spans="1:19" x14ac:dyDescent="0.25">
      <c r="A484" s="41" t="s">
        <v>23</v>
      </c>
      <c r="B484" s="41" t="s">
        <v>4531</v>
      </c>
      <c r="D484" s="41" t="s">
        <v>4532</v>
      </c>
      <c r="F484" s="41" t="s">
        <v>4533</v>
      </c>
      <c r="G484" s="41" t="s">
        <v>4534</v>
      </c>
      <c r="H484" s="41" t="s">
        <v>4535</v>
      </c>
      <c r="I484" s="41" t="s">
        <v>4536</v>
      </c>
      <c r="J484" s="41" t="s">
        <v>4537</v>
      </c>
      <c r="K484" s="41" t="s">
        <v>4538</v>
      </c>
      <c r="L484" s="41" t="s">
        <v>1094</v>
      </c>
    </row>
    <row r="485" spans="1:19" x14ac:dyDescent="0.25">
      <c r="A485" s="41" t="s">
        <v>908</v>
      </c>
      <c r="B485" s="41" t="s">
        <v>4539</v>
      </c>
    </row>
    <row r="486" spans="1:19" x14ac:dyDescent="0.25">
      <c r="A486" s="41" t="s">
        <v>23</v>
      </c>
      <c r="B486" s="41" t="s">
        <v>4540</v>
      </c>
      <c r="F486" s="41" t="s">
        <v>4541</v>
      </c>
      <c r="G486" s="41" t="s">
        <v>4542</v>
      </c>
      <c r="H486" s="41" t="s">
        <v>4543</v>
      </c>
      <c r="I486" s="41" t="s">
        <v>4544</v>
      </c>
      <c r="J486" s="41" t="s">
        <v>4545</v>
      </c>
      <c r="L486" s="41" t="s">
        <v>4</v>
      </c>
    </row>
    <row r="487" spans="1:19" x14ac:dyDescent="0.25">
      <c r="A487" s="41" t="s">
        <v>23</v>
      </c>
      <c r="B487" s="41" t="s">
        <v>4546</v>
      </c>
      <c r="D487" s="41" t="s">
        <v>4547</v>
      </c>
      <c r="E487" s="41" t="s">
        <v>4548</v>
      </c>
      <c r="F487" s="41" t="s">
        <v>4549</v>
      </c>
      <c r="G487" s="41" t="s">
        <v>4550</v>
      </c>
      <c r="H487" s="41" t="s">
        <v>4551</v>
      </c>
      <c r="I487" s="41" t="s">
        <v>4552</v>
      </c>
      <c r="J487" s="41" t="s">
        <v>4553</v>
      </c>
      <c r="K487" s="41" t="s">
        <v>4554</v>
      </c>
      <c r="L487" s="41" t="s">
        <v>4555</v>
      </c>
      <c r="M487" s="41" t="s">
        <v>4556</v>
      </c>
      <c r="N487" s="41" t="s">
        <v>4557</v>
      </c>
      <c r="O487" s="41" t="s">
        <v>4558</v>
      </c>
      <c r="P487" s="41" t="s">
        <v>4559</v>
      </c>
      <c r="Q487" s="41" t="s">
        <v>4560</v>
      </c>
      <c r="R487" s="41" t="s">
        <v>4561</v>
      </c>
      <c r="S487" s="41" t="s">
        <v>4562</v>
      </c>
    </row>
    <row r="488" spans="1:19" x14ac:dyDescent="0.25">
      <c r="A488" s="41" t="s">
        <v>23</v>
      </c>
      <c r="B488" s="41" t="s">
        <v>4563</v>
      </c>
      <c r="D488" s="41" t="s">
        <v>4564</v>
      </c>
      <c r="F488" s="41" t="s">
        <v>4565</v>
      </c>
      <c r="G488" s="41" t="s">
        <v>4566</v>
      </c>
      <c r="H488" s="41" t="s">
        <v>4567</v>
      </c>
      <c r="I488" s="41" t="s">
        <v>4568</v>
      </c>
      <c r="J488" s="41" t="s">
        <v>4569</v>
      </c>
      <c r="K488" s="41" t="s">
        <v>4570</v>
      </c>
      <c r="L488" s="41" t="s">
        <v>891</v>
      </c>
    </row>
    <row r="489" spans="1:19" x14ac:dyDescent="0.25">
      <c r="A489" s="41" t="s">
        <v>23</v>
      </c>
      <c r="B489" s="41" t="s">
        <v>4571</v>
      </c>
      <c r="D489" s="41" t="s">
        <v>4572</v>
      </c>
      <c r="F489" s="41" t="s">
        <v>4573</v>
      </c>
      <c r="G489" s="41" t="s">
        <v>4574</v>
      </c>
      <c r="H489" s="41" t="s">
        <v>4575</v>
      </c>
      <c r="I489" s="41" t="s">
        <v>4576</v>
      </c>
      <c r="J489" s="41" t="s">
        <v>4577</v>
      </c>
      <c r="K489" s="41" t="s">
        <v>4578</v>
      </c>
      <c r="L489" s="41" t="s">
        <v>1076</v>
      </c>
    </row>
    <row r="490" spans="1:19" x14ac:dyDescent="0.25">
      <c r="A490" s="41" t="s">
        <v>23</v>
      </c>
      <c r="B490" s="41" t="s">
        <v>4579</v>
      </c>
      <c r="D490" s="41" t="s">
        <v>4580</v>
      </c>
      <c r="F490" s="41" t="s">
        <v>4581</v>
      </c>
      <c r="G490" s="41" t="s">
        <v>4582</v>
      </c>
      <c r="H490" s="41" t="s">
        <v>4583</v>
      </c>
      <c r="I490" s="41" t="s">
        <v>4584</v>
      </c>
      <c r="J490" s="41" t="s">
        <v>4585</v>
      </c>
      <c r="K490" s="41" t="s">
        <v>4586</v>
      </c>
      <c r="L490" s="41" t="s">
        <v>1085</v>
      </c>
    </row>
    <row r="491" spans="1:19" x14ac:dyDescent="0.25">
      <c r="A491" s="41" t="s">
        <v>23</v>
      </c>
      <c r="B491" s="41" t="s">
        <v>4587</v>
      </c>
      <c r="D491" s="41" t="s">
        <v>4588</v>
      </c>
      <c r="F491" s="41" t="s">
        <v>4589</v>
      </c>
      <c r="G491" s="41" t="s">
        <v>4590</v>
      </c>
      <c r="H491" s="41" t="s">
        <v>4591</v>
      </c>
      <c r="I491" s="41" t="s">
        <v>4592</v>
      </c>
      <c r="J491" s="41" t="s">
        <v>4593</v>
      </c>
      <c r="K491" s="41" t="s">
        <v>4594</v>
      </c>
      <c r="L491" s="41" t="s">
        <v>1094</v>
      </c>
    </row>
    <row r="492" spans="1:19" x14ac:dyDescent="0.25">
      <c r="A492" s="41" t="s">
        <v>908</v>
      </c>
      <c r="B492" s="41" t="s">
        <v>4595</v>
      </c>
    </row>
    <row r="493" spans="1:19" x14ac:dyDescent="0.25">
      <c r="A493" s="41" t="s">
        <v>23</v>
      </c>
      <c r="B493" s="41" t="s">
        <v>4596</v>
      </c>
      <c r="F493" s="41" t="s">
        <v>4597</v>
      </c>
      <c r="G493" s="41" t="s">
        <v>4598</v>
      </c>
      <c r="H493" s="41" t="s">
        <v>4599</v>
      </c>
      <c r="I493" s="41" t="s">
        <v>4600</v>
      </c>
      <c r="J493" s="41" t="s">
        <v>4601</v>
      </c>
      <c r="L493" s="41" t="s">
        <v>4</v>
      </c>
    </row>
    <row r="494" spans="1:19" x14ac:dyDescent="0.25">
      <c r="A494" s="41" t="s">
        <v>23</v>
      </c>
      <c r="B494" s="41" t="s">
        <v>4602</v>
      </c>
      <c r="D494" s="41" t="s">
        <v>145</v>
      </c>
      <c r="E494" s="41" t="s">
        <v>4603</v>
      </c>
      <c r="F494" s="41" t="s">
        <v>4604</v>
      </c>
      <c r="G494" s="41" t="s">
        <v>4605</v>
      </c>
      <c r="H494" s="41" t="s">
        <v>4606</v>
      </c>
      <c r="I494" s="41" t="s">
        <v>4607</v>
      </c>
      <c r="J494" s="41" t="s">
        <v>4608</v>
      </c>
      <c r="K494" s="41" t="s">
        <v>4609</v>
      </c>
      <c r="L494" s="41" t="s">
        <v>4610</v>
      </c>
      <c r="M494" s="41" t="s">
        <v>4611</v>
      </c>
      <c r="N494" s="41" t="s">
        <v>4612</v>
      </c>
      <c r="O494" s="41" t="s">
        <v>4613</v>
      </c>
      <c r="P494" s="41" t="s">
        <v>4614</v>
      </c>
      <c r="Q494" s="41" t="s">
        <v>4615</v>
      </c>
      <c r="R494" s="41" t="s">
        <v>4616</v>
      </c>
      <c r="S494" s="41" t="s">
        <v>4617</v>
      </c>
    </row>
    <row r="495" spans="1:19" x14ac:dyDescent="0.25">
      <c r="A495" s="41" t="s">
        <v>23</v>
      </c>
      <c r="B495" s="41" t="s">
        <v>4618</v>
      </c>
      <c r="D495" s="41" t="s">
        <v>4619</v>
      </c>
      <c r="F495" s="41" t="s">
        <v>4620</v>
      </c>
      <c r="G495" s="41" t="s">
        <v>4621</v>
      </c>
      <c r="H495" s="41" t="s">
        <v>4622</v>
      </c>
      <c r="I495" s="41" t="s">
        <v>4623</v>
      </c>
      <c r="J495" s="41" t="s">
        <v>4624</v>
      </c>
      <c r="K495" s="41" t="s">
        <v>4625</v>
      </c>
      <c r="L495" s="41" t="s">
        <v>891</v>
      </c>
    </row>
    <row r="496" spans="1:19" x14ac:dyDescent="0.25">
      <c r="A496" s="41" t="s">
        <v>23</v>
      </c>
      <c r="B496" s="41" t="s">
        <v>4626</v>
      </c>
      <c r="D496" s="41" t="s">
        <v>4627</v>
      </c>
      <c r="F496" s="41" t="s">
        <v>4628</v>
      </c>
      <c r="G496" s="41" t="s">
        <v>4629</v>
      </c>
      <c r="H496" s="41" t="s">
        <v>4630</v>
      </c>
      <c r="I496" s="41" t="s">
        <v>4631</v>
      </c>
      <c r="J496" s="41" t="s">
        <v>4632</v>
      </c>
      <c r="K496" s="41" t="s">
        <v>4633</v>
      </c>
      <c r="L496" s="41" t="s">
        <v>1076</v>
      </c>
    </row>
    <row r="497" spans="1:19" x14ac:dyDescent="0.25">
      <c r="A497" s="41" t="s">
        <v>23</v>
      </c>
      <c r="B497" s="41" t="s">
        <v>4634</v>
      </c>
      <c r="D497" s="41" t="s">
        <v>4635</v>
      </c>
      <c r="F497" s="41" t="s">
        <v>4636</v>
      </c>
      <c r="G497" s="41" t="s">
        <v>4637</v>
      </c>
      <c r="H497" s="41" t="s">
        <v>4638</v>
      </c>
      <c r="I497" s="41" t="s">
        <v>4639</v>
      </c>
      <c r="J497" s="41" t="s">
        <v>4640</v>
      </c>
      <c r="K497" s="41" t="s">
        <v>4641</v>
      </c>
      <c r="L497" s="41" t="s">
        <v>1085</v>
      </c>
    </row>
    <row r="498" spans="1:19" x14ac:dyDescent="0.25">
      <c r="A498" s="41" t="s">
        <v>23</v>
      </c>
      <c r="B498" s="41" t="s">
        <v>4642</v>
      </c>
      <c r="D498" s="41" t="s">
        <v>4643</v>
      </c>
      <c r="F498" s="41" t="s">
        <v>4644</v>
      </c>
      <c r="G498" s="41" t="s">
        <v>4645</v>
      </c>
      <c r="H498" s="41" t="s">
        <v>4646</v>
      </c>
      <c r="I498" s="41" t="s">
        <v>4647</v>
      </c>
      <c r="J498" s="41" t="s">
        <v>4648</v>
      </c>
      <c r="K498" s="41" t="s">
        <v>4649</v>
      </c>
      <c r="L498" s="41" t="s">
        <v>1094</v>
      </c>
    </row>
    <row r="499" spans="1:19" x14ac:dyDescent="0.25">
      <c r="A499" s="41" t="s">
        <v>908</v>
      </c>
      <c r="B499" s="41" t="s">
        <v>4650</v>
      </c>
    </row>
    <row r="500" spans="1:19" x14ac:dyDescent="0.25">
      <c r="A500" s="41" t="s">
        <v>23</v>
      </c>
      <c r="B500" s="41" t="s">
        <v>4651</v>
      </c>
      <c r="F500" s="41" t="s">
        <v>4652</v>
      </c>
      <c r="G500" s="41" t="s">
        <v>4653</v>
      </c>
      <c r="H500" s="41" t="s">
        <v>4654</v>
      </c>
      <c r="I500" s="41" t="s">
        <v>4655</v>
      </c>
      <c r="J500" s="41" t="s">
        <v>4656</v>
      </c>
      <c r="L500" s="41" t="s">
        <v>4</v>
      </c>
    </row>
    <row r="501" spans="1:19" x14ac:dyDescent="0.25">
      <c r="A501" s="41" t="s">
        <v>23</v>
      </c>
      <c r="B501" s="41" t="s">
        <v>4657</v>
      </c>
      <c r="D501" s="41" t="s">
        <v>148</v>
      </c>
      <c r="E501" s="41" t="s">
        <v>4658</v>
      </c>
      <c r="F501" s="41" t="s">
        <v>4659</v>
      </c>
      <c r="G501" s="41" t="s">
        <v>4660</v>
      </c>
      <c r="H501" s="41" t="s">
        <v>4661</v>
      </c>
      <c r="I501" s="41" t="s">
        <v>4662</v>
      </c>
      <c r="J501" s="41" t="s">
        <v>4663</v>
      </c>
      <c r="K501" s="41" t="s">
        <v>4664</v>
      </c>
      <c r="L501" s="41" t="s">
        <v>4665</v>
      </c>
      <c r="M501" s="41" t="s">
        <v>4666</v>
      </c>
      <c r="N501" s="41" t="s">
        <v>4667</v>
      </c>
      <c r="O501" s="41" t="s">
        <v>4668</v>
      </c>
      <c r="P501" s="41" t="s">
        <v>4669</v>
      </c>
      <c r="Q501" s="41" t="s">
        <v>4670</v>
      </c>
      <c r="R501" s="41" t="s">
        <v>4671</v>
      </c>
      <c r="S501" s="41" t="s">
        <v>4672</v>
      </c>
    </row>
    <row r="502" spans="1:19" x14ac:dyDescent="0.25">
      <c r="A502" s="41" t="s">
        <v>23</v>
      </c>
      <c r="B502" s="41" t="s">
        <v>4673</v>
      </c>
      <c r="D502" s="41" t="s">
        <v>4674</v>
      </c>
      <c r="F502" s="41" t="s">
        <v>4675</v>
      </c>
      <c r="G502" s="41" t="s">
        <v>4676</v>
      </c>
      <c r="H502" s="41" t="s">
        <v>4677</v>
      </c>
      <c r="I502" s="41" t="s">
        <v>4678</v>
      </c>
      <c r="J502" s="41" t="s">
        <v>4679</v>
      </c>
      <c r="K502" s="41" t="s">
        <v>4680</v>
      </c>
      <c r="L502" s="41" t="s">
        <v>891</v>
      </c>
    </row>
    <row r="503" spans="1:19" x14ac:dyDescent="0.25">
      <c r="A503" s="41" t="s">
        <v>23</v>
      </c>
      <c r="B503" s="41" t="s">
        <v>4681</v>
      </c>
      <c r="D503" s="41" t="s">
        <v>4682</v>
      </c>
      <c r="F503" s="41" t="s">
        <v>4683</v>
      </c>
      <c r="G503" s="41" t="s">
        <v>4684</v>
      </c>
      <c r="H503" s="41" t="s">
        <v>4685</v>
      </c>
      <c r="I503" s="41" t="s">
        <v>4686</v>
      </c>
      <c r="J503" s="41" t="s">
        <v>4687</v>
      </c>
      <c r="K503" s="41" t="s">
        <v>4688</v>
      </c>
      <c r="L503" s="41" t="s">
        <v>1076</v>
      </c>
    </row>
    <row r="504" spans="1:19" x14ac:dyDescent="0.25">
      <c r="A504" s="41" t="s">
        <v>23</v>
      </c>
      <c r="B504" s="41" t="s">
        <v>4689</v>
      </c>
      <c r="D504" s="41" t="s">
        <v>4690</v>
      </c>
      <c r="F504" s="41" t="s">
        <v>4691</v>
      </c>
      <c r="G504" s="41" t="s">
        <v>4692</v>
      </c>
      <c r="H504" s="41" t="s">
        <v>4693</v>
      </c>
      <c r="I504" s="41" t="s">
        <v>4694</v>
      </c>
      <c r="J504" s="41" t="s">
        <v>4695</v>
      </c>
      <c r="K504" s="41" t="s">
        <v>4696</v>
      </c>
      <c r="L504" s="41" t="s">
        <v>1085</v>
      </c>
    </row>
    <row r="505" spans="1:19" x14ac:dyDescent="0.25">
      <c r="A505" s="41" t="s">
        <v>23</v>
      </c>
      <c r="B505" s="41" t="s">
        <v>4697</v>
      </c>
      <c r="D505" s="41" t="s">
        <v>4698</v>
      </c>
      <c r="F505" s="41" t="s">
        <v>4699</v>
      </c>
      <c r="G505" s="41" t="s">
        <v>4700</v>
      </c>
      <c r="H505" s="41" t="s">
        <v>4701</v>
      </c>
      <c r="I505" s="41" t="s">
        <v>4702</v>
      </c>
      <c r="J505" s="41" t="s">
        <v>4703</v>
      </c>
      <c r="K505" s="41" t="s">
        <v>4704</v>
      </c>
      <c r="L505" s="41" t="s">
        <v>1094</v>
      </c>
    </row>
    <row r="506" spans="1:19" x14ac:dyDescent="0.25">
      <c r="A506" s="41" t="s">
        <v>908</v>
      </c>
      <c r="B506" s="41" t="s">
        <v>4705</v>
      </c>
    </row>
    <row r="507" spans="1:19" x14ac:dyDescent="0.25">
      <c r="A507" s="41" t="s">
        <v>23</v>
      </c>
      <c r="B507" s="41" t="s">
        <v>4706</v>
      </c>
      <c r="F507" s="41" t="s">
        <v>4707</v>
      </c>
      <c r="G507" s="41" t="s">
        <v>4708</v>
      </c>
      <c r="H507" s="41" t="s">
        <v>4709</v>
      </c>
      <c r="I507" s="41" t="s">
        <v>4710</v>
      </c>
      <c r="J507" s="41" t="s">
        <v>4711</v>
      </c>
      <c r="L507" s="41" t="s">
        <v>4</v>
      </c>
    </row>
    <row r="508" spans="1:19" x14ac:dyDescent="0.25">
      <c r="A508" s="41" t="s">
        <v>23</v>
      </c>
      <c r="B508" s="41" t="s">
        <v>4712</v>
      </c>
      <c r="D508" s="41" t="s">
        <v>151</v>
      </c>
      <c r="E508" s="41" t="s">
        <v>4713</v>
      </c>
      <c r="F508" s="41" t="s">
        <v>4714</v>
      </c>
      <c r="G508" s="41" t="s">
        <v>4715</v>
      </c>
      <c r="H508" s="41" t="s">
        <v>4716</v>
      </c>
      <c r="I508" s="41" t="s">
        <v>4717</v>
      </c>
      <c r="J508" s="41" t="s">
        <v>4718</v>
      </c>
      <c r="K508" s="41" t="s">
        <v>4719</v>
      </c>
      <c r="L508" s="41" t="s">
        <v>4720</v>
      </c>
      <c r="M508" s="41" t="s">
        <v>4721</v>
      </c>
      <c r="N508" s="41" t="s">
        <v>4722</v>
      </c>
      <c r="O508" s="41" t="s">
        <v>4723</v>
      </c>
      <c r="P508" s="41" t="s">
        <v>4724</v>
      </c>
      <c r="Q508" s="41" t="s">
        <v>4725</v>
      </c>
      <c r="R508" s="41" t="s">
        <v>4726</v>
      </c>
      <c r="S508" s="41" t="s">
        <v>4727</v>
      </c>
    </row>
    <row r="509" spans="1:19" x14ac:dyDescent="0.25">
      <c r="A509" s="41" t="s">
        <v>23</v>
      </c>
      <c r="B509" s="41" t="s">
        <v>4728</v>
      </c>
      <c r="D509" s="41" t="s">
        <v>4729</v>
      </c>
      <c r="F509" s="41" t="s">
        <v>4730</v>
      </c>
      <c r="G509" s="41" t="s">
        <v>4731</v>
      </c>
      <c r="H509" s="41" t="s">
        <v>4732</v>
      </c>
      <c r="I509" s="41" t="s">
        <v>4733</v>
      </c>
      <c r="J509" s="41" t="s">
        <v>4734</v>
      </c>
      <c r="K509" s="41" t="s">
        <v>4735</v>
      </c>
      <c r="L509" s="41" t="s">
        <v>891</v>
      </c>
    </row>
    <row r="510" spans="1:19" x14ac:dyDescent="0.25">
      <c r="A510" s="41" t="s">
        <v>23</v>
      </c>
      <c r="B510" s="41" t="s">
        <v>4736</v>
      </c>
      <c r="D510" s="41" t="s">
        <v>4737</v>
      </c>
      <c r="F510" s="41" t="s">
        <v>4738</v>
      </c>
      <c r="G510" s="41" t="s">
        <v>4739</v>
      </c>
      <c r="H510" s="41" t="s">
        <v>4740</v>
      </c>
      <c r="I510" s="41" t="s">
        <v>4741</v>
      </c>
      <c r="J510" s="41" t="s">
        <v>4742</v>
      </c>
      <c r="K510" s="41" t="s">
        <v>4743</v>
      </c>
      <c r="L510" s="41" t="s">
        <v>1076</v>
      </c>
    </row>
    <row r="511" spans="1:19" x14ac:dyDescent="0.25">
      <c r="A511" s="41" t="s">
        <v>23</v>
      </c>
      <c r="B511" s="41" t="s">
        <v>4744</v>
      </c>
      <c r="D511" s="41" t="s">
        <v>4745</v>
      </c>
      <c r="F511" s="41" t="s">
        <v>4746</v>
      </c>
      <c r="G511" s="41" t="s">
        <v>4747</v>
      </c>
      <c r="H511" s="41" t="s">
        <v>4748</v>
      </c>
      <c r="I511" s="41" t="s">
        <v>4749</v>
      </c>
      <c r="J511" s="41" t="s">
        <v>4750</v>
      </c>
      <c r="K511" s="41" t="s">
        <v>4751</v>
      </c>
      <c r="L511" s="41" t="s">
        <v>1085</v>
      </c>
    </row>
    <row r="512" spans="1:19" x14ac:dyDescent="0.25">
      <c r="A512" s="41" t="s">
        <v>23</v>
      </c>
      <c r="B512" s="41" t="s">
        <v>4752</v>
      </c>
      <c r="D512" s="41" t="s">
        <v>4753</v>
      </c>
      <c r="F512" s="41" t="s">
        <v>4754</v>
      </c>
      <c r="G512" s="41" t="s">
        <v>4755</v>
      </c>
      <c r="H512" s="41" t="s">
        <v>4756</v>
      </c>
      <c r="I512" s="41" t="s">
        <v>4757</v>
      </c>
      <c r="J512" s="41" t="s">
        <v>4758</v>
      </c>
      <c r="K512" s="41" t="s">
        <v>4759</v>
      </c>
      <c r="L512" s="41" t="s">
        <v>1094</v>
      </c>
    </row>
    <row r="513" spans="1:19" x14ac:dyDescent="0.25">
      <c r="A513" s="41" t="s">
        <v>908</v>
      </c>
      <c r="B513" s="41" t="s">
        <v>4760</v>
      </c>
    </row>
    <row r="514" spans="1:19" x14ac:dyDescent="0.25">
      <c r="A514" s="41" t="s">
        <v>23</v>
      </c>
      <c r="B514" s="41" t="s">
        <v>4761</v>
      </c>
      <c r="F514" s="41" t="s">
        <v>4762</v>
      </c>
      <c r="G514" s="41" t="s">
        <v>4763</v>
      </c>
      <c r="H514" s="41" t="s">
        <v>4764</v>
      </c>
      <c r="I514" s="41" t="s">
        <v>4765</v>
      </c>
      <c r="J514" s="41" t="s">
        <v>4766</v>
      </c>
      <c r="L514" s="41" t="s">
        <v>4</v>
      </c>
    </row>
    <row r="515" spans="1:19" x14ac:dyDescent="0.25">
      <c r="A515" s="41" t="s">
        <v>23</v>
      </c>
      <c r="B515" s="41" t="s">
        <v>4767</v>
      </c>
      <c r="D515" s="41" t="s">
        <v>154</v>
      </c>
      <c r="E515" s="41" t="s">
        <v>4768</v>
      </c>
      <c r="F515" s="41" t="s">
        <v>4769</v>
      </c>
      <c r="G515" s="41" t="s">
        <v>4770</v>
      </c>
      <c r="H515" s="41" t="s">
        <v>4771</v>
      </c>
      <c r="I515" s="41" t="s">
        <v>4772</v>
      </c>
      <c r="J515" s="41" t="s">
        <v>4773</v>
      </c>
      <c r="K515" s="41" t="s">
        <v>4774</v>
      </c>
      <c r="L515" s="41" t="s">
        <v>4775</v>
      </c>
      <c r="M515" s="41" t="s">
        <v>4776</v>
      </c>
      <c r="N515" s="41" t="s">
        <v>4777</v>
      </c>
      <c r="O515" s="41" t="s">
        <v>4778</v>
      </c>
      <c r="P515" s="41" t="s">
        <v>4779</v>
      </c>
      <c r="Q515" s="41" t="s">
        <v>4780</v>
      </c>
      <c r="R515" s="41" t="s">
        <v>4781</v>
      </c>
      <c r="S515" s="41" t="s">
        <v>4782</v>
      </c>
    </row>
    <row r="516" spans="1:19" x14ac:dyDescent="0.25">
      <c r="A516" s="41" t="s">
        <v>23</v>
      </c>
      <c r="B516" s="41" t="s">
        <v>4783</v>
      </c>
      <c r="D516" s="41" t="s">
        <v>4784</v>
      </c>
      <c r="F516" s="41" t="s">
        <v>4785</v>
      </c>
      <c r="G516" s="41" t="s">
        <v>4786</v>
      </c>
      <c r="H516" s="41" t="s">
        <v>4787</v>
      </c>
      <c r="I516" s="41" t="s">
        <v>4788</v>
      </c>
      <c r="J516" s="41" t="s">
        <v>4789</v>
      </c>
      <c r="K516" s="41" t="s">
        <v>4790</v>
      </c>
      <c r="L516" s="41" t="s">
        <v>891</v>
      </c>
    </row>
    <row r="517" spans="1:19" x14ac:dyDescent="0.25">
      <c r="A517" s="41" t="s">
        <v>23</v>
      </c>
      <c r="B517" s="41" t="s">
        <v>4791</v>
      </c>
      <c r="D517" s="41" t="s">
        <v>4792</v>
      </c>
      <c r="F517" s="41" t="s">
        <v>4793</v>
      </c>
      <c r="G517" s="41" t="s">
        <v>4794</v>
      </c>
      <c r="H517" s="41" t="s">
        <v>4795</v>
      </c>
      <c r="I517" s="41" t="s">
        <v>4796</v>
      </c>
      <c r="J517" s="41" t="s">
        <v>4797</v>
      </c>
      <c r="K517" s="41" t="s">
        <v>4798</v>
      </c>
      <c r="L517" s="41" t="s">
        <v>1076</v>
      </c>
    </row>
    <row r="518" spans="1:19" x14ac:dyDescent="0.25">
      <c r="A518" s="41" t="s">
        <v>23</v>
      </c>
      <c r="B518" s="41" t="s">
        <v>4799</v>
      </c>
      <c r="D518" s="41" t="s">
        <v>4800</v>
      </c>
      <c r="F518" s="41" t="s">
        <v>4801</v>
      </c>
      <c r="G518" s="41" t="s">
        <v>4802</v>
      </c>
      <c r="H518" s="41" t="s">
        <v>4803</v>
      </c>
      <c r="I518" s="41" t="s">
        <v>4804</v>
      </c>
      <c r="J518" s="41" t="s">
        <v>4805</v>
      </c>
      <c r="K518" s="41" t="s">
        <v>4806</v>
      </c>
      <c r="L518" s="41" t="s">
        <v>1085</v>
      </c>
    </row>
    <row r="519" spans="1:19" x14ac:dyDescent="0.25">
      <c r="A519" s="41" t="s">
        <v>23</v>
      </c>
      <c r="B519" s="41" t="s">
        <v>4807</v>
      </c>
      <c r="D519" s="41" t="s">
        <v>4808</v>
      </c>
      <c r="F519" s="41" t="s">
        <v>4809</v>
      </c>
      <c r="G519" s="41" t="s">
        <v>4810</v>
      </c>
      <c r="H519" s="41" t="s">
        <v>4811</v>
      </c>
      <c r="I519" s="41" t="s">
        <v>4812</v>
      </c>
      <c r="J519" s="41" t="s">
        <v>4813</v>
      </c>
      <c r="K519" s="41" t="s">
        <v>4814</v>
      </c>
      <c r="L519" s="41" t="s">
        <v>1094</v>
      </c>
    </row>
    <row r="520" spans="1:19" x14ac:dyDescent="0.25">
      <c r="A520" s="41" t="s">
        <v>908</v>
      </c>
      <c r="B520" s="41" t="s">
        <v>4815</v>
      </c>
    </row>
    <row r="521" spans="1:19" x14ac:dyDescent="0.25">
      <c r="A521" s="41" t="s">
        <v>23</v>
      </c>
      <c r="B521" s="41" t="s">
        <v>4816</v>
      </c>
      <c r="F521" s="41" t="s">
        <v>4817</v>
      </c>
      <c r="G521" s="41" t="s">
        <v>4818</v>
      </c>
      <c r="H521" s="41" t="s">
        <v>4819</v>
      </c>
      <c r="I521" s="41" t="s">
        <v>4820</v>
      </c>
      <c r="J521" s="41" t="s">
        <v>4821</v>
      </c>
      <c r="L521" s="41" t="s">
        <v>4</v>
      </c>
    </row>
    <row r="522" spans="1:19" x14ac:dyDescent="0.25">
      <c r="A522" s="41" t="s">
        <v>23</v>
      </c>
      <c r="B522" s="41" t="s">
        <v>4822</v>
      </c>
      <c r="D522" s="41" t="s">
        <v>4823</v>
      </c>
      <c r="E522" s="41" t="s">
        <v>4824</v>
      </c>
      <c r="F522" s="41" t="s">
        <v>4825</v>
      </c>
      <c r="G522" s="41" t="s">
        <v>4826</v>
      </c>
      <c r="H522" s="41" t="s">
        <v>4827</v>
      </c>
      <c r="I522" s="41" t="s">
        <v>4828</v>
      </c>
      <c r="J522" s="41" t="s">
        <v>4829</v>
      </c>
      <c r="K522" s="41" t="s">
        <v>4830</v>
      </c>
      <c r="L522" s="41" t="s">
        <v>4831</v>
      </c>
      <c r="M522" s="41" t="s">
        <v>4832</v>
      </c>
      <c r="N522" s="41" t="s">
        <v>4833</v>
      </c>
      <c r="O522" s="41" t="s">
        <v>4834</v>
      </c>
      <c r="P522" s="41" t="s">
        <v>4835</v>
      </c>
      <c r="Q522" s="41" t="s">
        <v>4836</v>
      </c>
      <c r="R522" s="41" t="s">
        <v>4837</v>
      </c>
      <c r="S522" s="41" t="s">
        <v>4838</v>
      </c>
    </row>
    <row r="523" spans="1:19" x14ac:dyDescent="0.25">
      <c r="A523" s="41" t="s">
        <v>23</v>
      </c>
      <c r="B523" s="41" t="s">
        <v>4839</v>
      </c>
      <c r="D523" s="41" t="s">
        <v>4840</v>
      </c>
      <c r="F523" s="41" t="s">
        <v>4841</v>
      </c>
      <c r="G523" s="41" t="s">
        <v>4842</v>
      </c>
      <c r="H523" s="41" t="s">
        <v>4843</v>
      </c>
      <c r="I523" s="41" t="s">
        <v>4844</v>
      </c>
      <c r="J523" s="41" t="s">
        <v>4845</v>
      </c>
      <c r="K523" s="41" t="s">
        <v>4846</v>
      </c>
      <c r="L523" s="41" t="s">
        <v>891</v>
      </c>
    </row>
    <row r="524" spans="1:19" x14ac:dyDescent="0.25">
      <c r="A524" s="41" t="s">
        <v>23</v>
      </c>
      <c r="B524" s="41" t="s">
        <v>4847</v>
      </c>
      <c r="D524" s="41" t="s">
        <v>4848</v>
      </c>
      <c r="F524" s="41" t="s">
        <v>4849</v>
      </c>
      <c r="G524" s="41" t="s">
        <v>4850</v>
      </c>
      <c r="H524" s="41" t="s">
        <v>4851</v>
      </c>
      <c r="I524" s="41" t="s">
        <v>4852</v>
      </c>
      <c r="J524" s="41" t="s">
        <v>4853</v>
      </c>
      <c r="K524" s="41" t="s">
        <v>4854</v>
      </c>
      <c r="L524" s="41" t="s">
        <v>1076</v>
      </c>
    </row>
    <row r="525" spans="1:19" x14ac:dyDescent="0.25">
      <c r="A525" s="41" t="s">
        <v>23</v>
      </c>
      <c r="B525" s="41" t="s">
        <v>4855</v>
      </c>
      <c r="D525" s="41" t="s">
        <v>4856</v>
      </c>
      <c r="F525" s="41" t="s">
        <v>4857</v>
      </c>
      <c r="G525" s="41" t="s">
        <v>4858</v>
      </c>
      <c r="H525" s="41" t="s">
        <v>4859</v>
      </c>
      <c r="I525" s="41" t="s">
        <v>4860</v>
      </c>
      <c r="J525" s="41" t="s">
        <v>4861</v>
      </c>
      <c r="K525" s="41" t="s">
        <v>4862</v>
      </c>
      <c r="L525" s="41" t="s">
        <v>1085</v>
      </c>
    </row>
    <row r="526" spans="1:19" x14ac:dyDescent="0.25">
      <c r="A526" s="41" t="s">
        <v>23</v>
      </c>
      <c r="B526" s="41" t="s">
        <v>4863</v>
      </c>
      <c r="D526" s="41" t="s">
        <v>4864</v>
      </c>
      <c r="F526" s="41" t="s">
        <v>4865</v>
      </c>
      <c r="G526" s="41" t="s">
        <v>4866</v>
      </c>
      <c r="H526" s="41" t="s">
        <v>4867</v>
      </c>
      <c r="I526" s="41" t="s">
        <v>4868</v>
      </c>
      <c r="J526" s="41" t="s">
        <v>4869</v>
      </c>
      <c r="K526" s="41" t="s">
        <v>4870</v>
      </c>
      <c r="L526" s="41" t="s">
        <v>1094</v>
      </c>
    </row>
    <row r="527" spans="1:19" x14ac:dyDescent="0.25">
      <c r="A527" s="41" t="s">
        <v>908</v>
      </c>
      <c r="B527" s="41" t="s">
        <v>4871</v>
      </c>
    </row>
    <row r="528" spans="1:19" x14ac:dyDescent="0.25">
      <c r="A528" s="41" t="s">
        <v>23</v>
      </c>
      <c r="B528" s="41" t="s">
        <v>4872</v>
      </c>
      <c r="F528" s="41" t="s">
        <v>4873</v>
      </c>
      <c r="G528" s="41" t="s">
        <v>4874</v>
      </c>
      <c r="H528" s="41" t="s">
        <v>4875</v>
      </c>
      <c r="I528" s="41" t="s">
        <v>4876</v>
      </c>
      <c r="J528" s="41" t="s">
        <v>4877</v>
      </c>
      <c r="L528" s="41" t="s">
        <v>4</v>
      </c>
    </row>
    <row r="529" spans="1:19" x14ac:dyDescent="0.25">
      <c r="A529" s="41" t="s">
        <v>23</v>
      </c>
      <c r="B529" s="41" t="s">
        <v>4878</v>
      </c>
      <c r="D529" s="41" t="s">
        <v>157</v>
      </c>
      <c r="E529" s="41" t="s">
        <v>4879</v>
      </c>
      <c r="F529" s="41" t="s">
        <v>4880</v>
      </c>
      <c r="G529" s="41" t="s">
        <v>4881</v>
      </c>
      <c r="H529" s="41" t="s">
        <v>4882</v>
      </c>
      <c r="I529" s="41" t="s">
        <v>4883</v>
      </c>
      <c r="J529" s="41" t="s">
        <v>4884</v>
      </c>
      <c r="K529" s="41" t="s">
        <v>4885</v>
      </c>
      <c r="L529" s="41" t="s">
        <v>4886</v>
      </c>
      <c r="M529" s="41" t="s">
        <v>4887</v>
      </c>
      <c r="N529" s="41" t="s">
        <v>4888</v>
      </c>
      <c r="O529" s="41" t="s">
        <v>4889</v>
      </c>
      <c r="P529" s="41" t="s">
        <v>4890</v>
      </c>
      <c r="Q529" s="41" t="s">
        <v>4891</v>
      </c>
      <c r="R529" s="41" t="s">
        <v>4892</v>
      </c>
      <c r="S529" s="41" t="s">
        <v>4893</v>
      </c>
    </row>
    <row r="530" spans="1:19" x14ac:dyDescent="0.25">
      <c r="A530" s="41" t="s">
        <v>23</v>
      </c>
      <c r="B530" s="41" t="s">
        <v>4894</v>
      </c>
      <c r="D530" s="41" t="s">
        <v>4895</v>
      </c>
      <c r="F530" s="41" t="s">
        <v>4896</v>
      </c>
      <c r="G530" s="41" t="s">
        <v>4897</v>
      </c>
      <c r="H530" s="41" t="s">
        <v>4898</v>
      </c>
      <c r="I530" s="41" t="s">
        <v>4899</v>
      </c>
      <c r="J530" s="41" t="s">
        <v>4900</v>
      </c>
      <c r="K530" s="41" t="s">
        <v>4901</v>
      </c>
      <c r="L530" s="41" t="s">
        <v>891</v>
      </c>
    </row>
    <row r="531" spans="1:19" x14ac:dyDescent="0.25">
      <c r="A531" s="41" t="s">
        <v>23</v>
      </c>
      <c r="B531" s="41" t="s">
        <v>4902</v>
      </c>
      <c r="D531" s="41" t="s">
        <v>4903</v>
      </c>
      <c r="F531" s="41" t="s">
        <v>4904</v>
      </c>
      <c r="G531" s="41" t="s">
        <v>4905</v>
      </c>
      <c r="H531" s="41" t="s">
        <v>4906</v>
      </c>
      <c r="I531" s="41" t="s">
        <v>4907</v>
      </c>
      <c r="J531" s="41" t="s">
        <v>4908</v>
      </c>
      <c r="K531" s="41" t="s">
        <v>4909</v>
      </c>
      <c r="L531" s="41" t="s">
        <v>1076</v>
      </c>
    </row>
    <row r="532" spans="1:19" x14ac:dyDescent="0.25">
      <c r="A532" s="41" t="s">
        <v>23</v>
      </c>
      <c r="B532" s="41" t="s">
        <v>4910</v>
      </c>
      <c r="D532" s="41" t="s">
        <v>4911</v>
      </c>
      <c r="F532" s="41" t="s">
        <v>4912</v>
      </c>
      <c r="G532" s="41" t="s">
        <v>4913</v>
      </c>
      <c r="H532" s="41" t="s">
        <v>4914</v>
      </c>
      <c r="I532" s="41" t="s">
        <v>4915</v>
      </c>
      <c r="J532" s="41" t="s">
        <v>4916</v>
      </c>
      <c r="K532" s="41" t="s">
        <v>4917</v>
      </c>
      <c r="L532" s="41" t="s">
        <v>1085</v>
      </c>
    </row>
    <row r="533" spans="1:19" x14ac:dyDescent="0.25">
      <c r="A533" s="41" t="s">
        <v>23</v>
      </c>
      <c r="B533" s="41" t="s">
        <v>4918</v>
      </c>
      <c r="D533" s="41" t="s">
        <v>4919</v>
      </c>
      <c r="F533" s="41" t="s">
        <v>4920</v>
      </c>
      <c r="G533" s="41" t="s">
        <v>4921</v>
      </c>
      <c r="H533" s="41" t="s">
        <v>4922</v>
      </c>
      <c r="I533" s="41" t="s">
        <v>4923</v>
      </c>
      <c r="J533" s="41" t="s">
        <v>4924</v>
      </c>
      <c r="K533" s="41" t="s">
        <v>4925</v>
      </c>
      <c r="L533" s="41" t="s">
        <v>1094</v>
      </c>
    </row>
    <row r="534" spans="1:19" x14ac:dyDescent="0.25">
      <c r="A534" s="41" t="s">
        <v>908</v>
      </c>
      <c r="B534" s="41" t="s">
        <v>4926</v>
      </c>
    </row>
    <row r="535" spans="1:19" x14ac:dyDescent="0.25">
      <c r="A535" s="41" t="s">
        <v>23</v>
      </c>
      <c r="B535" s="41" t="s">
        <v>4927</v>
      </c>
      <c r="F535" s="41" t="s">
        <v>4928</v>
      </c>
      <c r="G535" s="41" t="s">
        <v>4929</v>
      </c>
      <c r="H535" s="41" t="s">
        <v>4930</v>
      </c>
      <c r="I535" s="41" t="s">
        <v>4931</v>
      </c>
      <c r="J535" s="41" t="s">
        <v>4932</v>
      </c>
      <c r="L535" s="41" t="s">
        <v>4</v>
      </c>
    </row>
    <row r="536" spans="1:19" x14ac:dyDescent="0.25">
      <c r="A536" s="41" t="s">
        <v>23</v>
      </c>
      <c r="B536" s="41" t="s">
        <v>4933</v>
      </c>
      <c r="D536" s="41" t="s">
        <v>4934</v>
      </c>
      <c r="E536" s="41" t="s">
        <v>4935</v>
      </c>
      <c r="F536" s="41" t="s">
        <v>4936</v>
      </c>
      <c r="G536" s="41" t="s">
        <v>4937</v>
      </c>
      <c r="H536" s="41" t="s">
        <v>4938</v>
      </c>
      <c r="I536" s="41" t="s">
        <v>4939</v>
      </c>
      <c r="J536" s="41" t="s">
        <v>4940</v>
      </c>
      <c r="K536" s="41" t="s">
        <v>4941</v>
      </c>
      <c r="L536" s="41" t="s">
        <v>4942</v>
      </c>
      <c r="M536" s="41" t="s">
        <v>4943</v>
      </c>
      <c r="N536" s="41" t="s">
        <v>4944</v>
      </c>
      <c r="O536" s="41" t="s">
        <v>4945</v>
      </c>
      <c r="P536" s="41" t="s">
        <v>4946</v>
      </c>
      <c r="Q536" s="41" t="s">
        <v>4947</v>
      </c>
      <c r="R536" s="41" t="s">
        <v>4948</v>
      </c>
      <c r="S536" s="41" t="s">
        <v>4949</v>
      </c>
    </row>
    <row r="537" spans="1:19" x14ac:dyDescent="0.25">
      <c r="A537" s="41" t="s">
        <v>23</v>
      </c>
      <c r="B537" s="41" t="s">
        <v>4950</v>
      </c>
      <c r="D537" s="41" t="s">
        <v>4951</v>
      </c>
      <c r="F537" s="41" t="s">
        <v>4952</v>
      </c>
      <c r="G537" s="41" t="s">
        <v>4953</v>
      </c>
      <c r="H537" s="41" t="s">
        <v>4954</v>
      </c>
      <c r="I537" s="41" t="s">
        <v>4955</v>
      </c>
      <c r="J537" s="41" t="s">
        <v>4956</v>
      </c>
      <c r="K537" s="41" t="s">
        <v>4957</v>
      </c>
      <c r="L537" s="41" t="s">
        <v>891</v>
      </c>
    </row>
    <row r="538" spans="1:19" x14ac:dyDescent="0.25">
      <c r="A538" s="41" t="s">
        <v>23</v>
      </c>
      <c r="B538" s="41" t="s">
        <v>4958</v>
      </c>
      <c r="D538" s="41" t="s">
        <v>4959</v>
      </c>
      <c r="F538" s="41" t="s">
        <v>4960</v>
      </c>
      <c r="G538" s="41" t="s">
        <v>4961</v>
      </c>
      <c r="H538" s="41" t="s">
        <v>4962</v>
      </c>
      <c r="I538" s="41" t="s">
        <v>4963</v>
      </c>
      <c r="J538" s="41" t="s">
        <v>4964</v>
      </c>
      <c r="K538" s="41" t="s">
        <v>4965</v>
      </c>
      <c r="L538" s="41" t="s">
        <v>1076</v>
      </c>
    </row>
    <row r="539" spans="1:19" x14ac:dyDescent="0.25">
      <c r="A539" s="41" t="s">
        <v>23</v>
      </c>
      <c r="B539" s="41" t="s">
        <v>4966</v>
      </c>
      <c r="D539" s="41" t="s">
        <v>4967</v>
      </c>
      <c r="F539" s="41" t="s">
        <v>4968</v>
      </c>
      <c r="G539" s="41" t="s">
        <v>4969</v>
      </c>
      <c r="H539" s="41" t="s">
        <v>4970</v>
      </c>
      <c r="I539" s="41" t="s">
        <v>4971</v>
      </c>
      <c r="J539" s="41" t="s">
        <v>4972</v>
      </c>
      <c r="K539" s="41" t="s">
        <v>4973</v>
      </c>
      <c r="L539" s="41" t="s">
        <v>1085</v>
      </c>
    </row>
    <row r="540" spans="1:19" x14ac:dyDescent="0.25">
      <c r="A540" s="41" t="s">
        <v>23</v>
      </c>
      <c r="B540" s="41" t="s">
        <v>4974</v>
      </c>
      <c r="D540" s="41" t="s">
        <v>4975</v>
      </c>
      <c r="F540" s="41" t="s">
        <v>4976</v>
      </c>
      <c r="G540" s="41" t="s">
        <v>4977</v>
      </c>
      <c r="H540" s="41" t="s">
        <v>4978</v>
      </c>
      <c r="I540" s="41" t="s">
        <v>4979</v>
      </c>
      <c r="J540" s="41" t="s">
        <v>4980</v>
      </c>
      <c r="K540" s="41" t="s">
        <v>4981</v>
      </c>
      <c r="L540" s="41" t="s">
        <v>1094</v>
      </c>
    </row>
    <row r="541" spans="1:19" x14ac:dyDescent="0.25">
      <c r="A541" s="41" t="s">
        <v>908</v>
      </c>
      <c r="B541" s="41" t="s">
        <v>4982</v>
      </c>
    </row>
    <row r="542" spans="1:19" x14ac:dyDescent="0.25">
      <c r="A542" s="41" t="s">
        <v>23</v>
      </c>
      <c r="B542" s="41" t="s">
        <v>4983</v>
      </c>
      <c r="F542" s="41" t="s">
        <v>4984</v>
      </c>
      <c r="G542" s="41" t="s">
        <v>4985</v>
      </c>
      <c r="H542" s="41" t="s">
        <v>4986</v>
      </c>
      <c r="I542" s="41" t="s">
        <v>4987</v>
      </c>
      <c r="J542" s="41" t="s">
        <v>4988</v>
      </c>
      <c r="L542" s="41" t="s">
        <v>4</v>
      </c>
    </row>
    <row r="543" spans="1:19" x14ac:dyDescent="0.25">
      <c r="A543" s="41" t="s">
        <v>23</v>
      </c>
      <c r="B543" s="41" t="s">
        <v>4989</v>
      </c>
      <c r="D543" s="41" t="s">
        <v>4990</v>
      </c>
      <c r="E543" s="41" t="s">
        <v>4991</v>
      </c>
      <c r="F543" s="41" t="s">
        <v>4992</v>
      </c>
      <c r="G543" s="41" t="s">
        <v>4993</v>
      </c>
      <c r="H543" s="41" t="s">
        <v>4994</v>
      </c>
      <c r="I543" s="41" t="s">
        <v>4995</v>
      </c>
      <c r="J543" s="41" t="s">
        <v>4996</v>
      </c>
      <c r="K543" s="41" t="s">
        <v>4997</v>
      </c>
      <c r="L543" s="41" t="s">
        <v>4998</v>
      </c>
      <c r="M543" s="41" t="s">
        <v>4999</v>
      </c>
      <c r="N543" s="41" t="s">
        <v>5000</v>
      </c>
      <c r="O543" s="41" t="s">
        <v>5001</v>
      </c>
      <c r="P543" s="41" t="s">
        <v>5002</v>
      </c>
      <c r="Q543" s="41" t="s">
        <v>5003</v>
      </c>
      <c r="R543" s="41" t="s">
        <v>5004</v>
      </c>
      <c r="S543" s="41" t="s">
        <v>5005</v>
      </c>
    </row>
    <row r="544" spans="1:19" x14ac:dyDescent="0.25">
      <c r="A544" s="41" t="s">
        <v>23</v>
      </c>
      <c r="B544" s="41" t="s">
        <v>5006</v>
      </c>
      <c r="D544" s="41" t="s">
        <v>5007</v>
      </c>
      <c r="F544" s="41" t="s">
        <v>5008</v>
      </c>
      <c r="G544" s="41" t="s">
        <v>5009</v>
      </c>
      <c r="H544" s="41" t="s">
        <v>5010</v>
      </c>
      <c r="I544" s="41" t="s">
        <v>5011</v>
      </c>
      <c r="J544" s="41" t="s">
        <v>5012</v>
      </c>
      <c r="K544" s="41" t="s">
        <v>5013</v>
      </c>
      <c r="L544" s="41" t="s">
        <v>891</v>
      </c>
    </row>
    <row r="545" spans="1:19" x14ac:dyDescent="0.25">
      <c r="A545" s="41" t="s">
        <v>23</v>
      </c>
      <c r="B545" s="41" t="s">
        <v>5014</v>
      </c>
      <c r="D545" s="41" t="s">
        <v>5015</v>
      </c>
      <c r="F545" s="41" t="s">
        <v>5016</v>
      </c>
      <c r="G545" s="41" t="s">
        <v>5017</v>
      </c>
      <c r="H545" s="41" t="s">
        <v>5018</v>
      </c>
      <c r="I545" s="41" t="s">
        <v>5019</v>
      </c>
      <c r="J545" s="41" t="s">
        <v>5020</v>
      </c>
      <c r="K545" s="41" t="s">
        <v>5021</v>
      </c>
      <c r="L545" s="41" t="s">
        <v>1076</v>
      </c>
    </row>
    <row r="546" spans="1:19" x14ac:dyDescent="0.25">
      <c r="A546" s="41" t="s">
        <v>23</v>
      </c>
      <c r="B546" s="41" t="s">
        <v>5022</v>
      </c>
      <c r="D546" s="41" t="s">
        <v>5023</v>
      </c>
      <c r="F546" s="41" t="s">
        <v>5024</v>
      </c>
      <c r="G546" s="41" t="s">
        <v>5025</v>
      </c>
      <c r="H546" s="41" t="s">
        <v>5026</v>
      </c>
      <c r="I546" s="41" t="s">
        <v>5027</v>
      </c>
      <c r="J546" s="41" t="s">
        <v>5028</v>
      </c>
      <c r="K546" s="41" t="s">
        <v>5029</v>
      </c>
      <c r="L546" s="41" t="s">
        <v>1085</v>
      </c>
    </row>
    <row r="547" spans="1:19" x14ac:dyDescent="0.25">
      <c r="A547" s="41" t="s">
        <v>23</v>
      </c>
      <c r="B547" s="41" t="s">
        <v>5030</v>
      </c>
      <c r="D547" s="41" t="s">
        <v>5031</v>
      </c>
      <c r="F547" s="41" t="s">
        <v>5032</v>
      </c>
      <c r="G547" s="41" t="s">
        <v>5033</v>
      </c>
      <c r="H547" s="41" t="s">
        <v>5034</v>
      </c>
      <c r="I547" s="41" t="s">
        <v>5035</v>
      </c>
      <c r="J547" s="41" t="s">
        <v>5036</v>
      </c>
      <c r="K547" s="41" t="s">
        <v>5037</v>
      </c>
      <c r="L547" s="41" t="s">
        <v>1094</v>
      </c>
    </row>
    <row r="548" spans="1:19" x14ac:dyDescent="0.25">
      <c r="A548" s="41" t="s">
        <v>908</v>
      </c>
      <c r="B548" s="41" t="s">
        <v>5038</v>
      </c>
    </row>
    <row r="549" spans="1:19" x14ac:dyDescent="0.25">
      <c r="A549" s="41" t="s">
        <v>23</v>
      </c>
      <c r="B549" s="41" t="s">
        <v>5039</v>
      </c>
      <c r="F549" s="41" t="s">
        <v>5040</v>
      </c>
      <c r="G549" s="41" t="s">
        <v>5041</v>
      </c>
      <c r="H549" s="41" t="s">
        <v>5042</v>
      </c>
      <c r="I549" s="41" t="s">
        <v>5043</v>
      </c>
      <c r="J549" s="41" t="s">
        <v>5044</v>
      </c>
      <c r="L549" s="41" t="s">
        <v>4</v>
      </c>
    </row>
    <row r="550" spans="1:19" x14ac:dyDescent="0.25">
      <c r="A550" s="41" t="s">
        <v>23</v>
      </c>
      <c r="B550" s="41" t="s">
        <v>5045</v>
      </c>
      <c r="D550" s="41" t="s">
        <v>5046</v>
      </c>
      <c r="E550" s="41" t="s">
        <v>5047</v>
      </c>
      <c r="F550" s="41" t="s">
        <v>5048</v>
      </c>
      <c r="G550" s="41" t="s">
        <v>5049</v>
      </c>
      <c r="H550" s="41" t="s">
        <v>5050</v>
      </c>
      <c r="I550" s="41" t="s">
        <v>5051</v>
      </c>
      <c r="J550" s="41" t="s">
        <v>5052</v>
      </c>
      <c r="K550" s="41" t="s">
        <v>5053</v>
      </c>
      <c r="L550" s="41" t="s">
        <v>5054</v>
      </c>
      <c r="M550" s="41" t="s">
        <v>5055</v>
      </c>
      <c r="N550" s="41" t="s">
        <v>5056</v>
      </c>
      <c r="O550" s="41" t="s">
        <v>5057</v>
      </c>
      <c r="P550" s="41" t="s">
        <v>5058</v>
      </c>
      <c r="Q550" s="41" t="s">
        <v>5059</v>
      </c>
      <c r="R550" s="41" t="s">
        <v>5060</v>
      </c>
      <c r="S550" s="41" t="s">
        <v>5061</v>
      </c>
    </row>
    <row r="551" spans="1:19" x14ac:dyDescent="0.25">
      <c r="A551" s="41" t="s">
        <v>23</v>
      </c>
      <c r="B551" s="41" t="s">
        <v>5062</v>
      </c>
      <c r="D551" s="41" t="s">
        <v>5063</v>
      </c>
      <c r="F551" s="41" t="s">
        <v>5064</v>
      </c>
      <c r="G551" s="41" t="s">
        <v>5065</v>
      </c>
      <c r="H551" s="41" t="s">
        <v>5066</v>
      </c>
      <c r="I551" s="41" t="s">
        <v>5067</v>
      </c>
      <c r="J551" s="41" t="s">
        <v>5068</v>
      </c>
      <c r="K551" s="41" t="s">
        <v>5069</v>
      </c>
      <c r="L551" s="41" t="s">
        <v>891</v>
      </c>
    </row>
    <row r="552" spans="1:19" x14ac:dyDescent="0.25">
      <c r="A552" s="41" t="s">
        <v>23</v>
      </c>
      <c r="B552" s="41" t="s">
        <v>5070</v>
      </c>
      <c r="D552" s="41" t="s">
        <v>5071</v>
      </c>
      <c r="F552" s="41" t="s">
        <v>5072</v>
      </c>
      <c r="G552" s="41" t="s">
        <v>5073</v>
      </c>
      <c r="H552" s="41" t="s">
        <v>5074</v>
      </c>
      <c r="I552" s="41" t="s">
        <v>5075</v>
      </c>
      <c r="J552" s="41" t="s">
        <v>5076</v>
      </c>
      <c r="K552" s="41" t="s">
        <v>5077</v>
      </c>
      <c r="L552" s="41" t="s">
        <v>1076</v>
      </c>
    </row>
    <row r="553" spans="1:19" x14ac:dyDescent="0.25">
      <c r="A553" s="41" t="s">
        <v>23</v>
      </c>
      <c r="B553" s="41" t="s">
        <v>5078</v>
      </c>
      <c r="D553" s="41" t="s">
        <v>5079</v>
      </c>
      <c r="F553" s="41" t="s">
        <v>5080</v>
      </c>
      <c r="G553" s="41" t="s">
        <v>5081</v>
      </c>
      <c r="H553" s="41" t="s">
        <v>5082</v>
      </c>
      <c r="I553" s="41" t="s">
        <v>5083</v>
      </c>
      <c r="J553" s="41" t="s">
        <v>5084</v>
      </c>
      <c r="K553" s="41" t="s">
        <v>5085</v>
      </c>
      <c r="L553" s="41" t="s">
        <v>1085</v>
      </c>
    </row>
    <row r="554" spans="1:19" x14ac:dyDescent="0.25">
      <c r="A554" s="41" t="s">
        <v>23</v>
      </c>
      <c r="B554" s="41" t="s">
        <v>5086</v>
      </c>
      <c r="D554" s="41" t="s">
        <v>5087</v>
      </c>
      <c r="F554" s="41" t="s">
        <v>5088</v>
      </c>
      <c r="G554" s="41" t="s">
        <v>5089</v>
      </c>
      <c r="H554" s="41" t="s">
        <v>5090</v>
      </c>
      <c r="I554" s="41" t="s">
        <v>5091</v>
      </c>
      <c r="J554" s="41" t="s">
        <v>5092</v>
      </c>
      <c r="K554" s="41" t="s">
        <v>5093</v>
      </c>
      <c r="L554" s="41" t="s">
        <v>1094</v>
      </c>
    </row>
    <row r="555" spans="1:19" x14ac:dyDescent="0.25">
      <c r="A555" s="41" t="s">
        <v>908</v>
      </c>
      <c r="B555" s="41" t="s">
        <v>5094</v>
      </c>
    </row>
    <row r="556" spans="1:19" x14ac:dyDescent="0.25">
      <c r="A556" s="41" t="s">
        <v>23</v>
      </c>
      <c r="B556" s="41" t="s">
        <v>5095</v>
      </c>
      <c r="F556" s="41" t="s">
        <v>5096</v>
      </c>
      <c r="G556" s="41" t="s">
        <v>5097</v>
      </c>
      <c r="H556" s="41" t="s">
        <v>5098</v>
      </c>
      <c r="I556" s="41" t="s">
        <v>5099</v>
      </c>
      <c r="J556" s="41" t="s">
        <v>5100</v>
      </c>
      <c r="L556" s="41" t="s">
        <v>4</v>
      </c>
    </row>
    <row r="557" spans="1:19" x14ac:dyDescent="0.25">
      <c r="A557" s="41" t="s">
        <v>23</v>
      </c>
      <c r="B557" s="41" t="s">
        <v>5101</v>
      </c>
      <c r="D557" s="41" t="s">
        <v>5102</v>
      </c>
      <c r="E557" s="41" t="s">
        <v>5103</v>
      </c>
      <c r="F557" s="41" t="s">
        <v>5104</v>
      </c>
      <c r="G557" s="41" t="s">
        <v>5105</v>
      </c>
      <c r="H557" s="41" t="s">
        <v>5106</v>
      </c>
      <c r="I557" s="41" t="s">
        <v>5107</v>
      </c>
      <c r="J557" s="41" t="s">
        <v>5108</v>
      </c>
      <c r="K557" s="41" t="s">
        <v>5109</v>
      </c>
      <c r="L557" s="41" t="s">
        <v>5110</v>
      </c>
      <c r="M557" s="41" t="s">
        <v>5111</v>
      </c>
      <c r="N557" s="41" t="s">
        <v>5112</v>
      </c>
      <c r="O557" s="41" t="s">
        <v>5113</v>
      </c>
      <c r="P557" s="41" t="s">
        <v>5114</v>
      </c>
      <c r="Q557" s="41" t="s">
        <v>5115</v>
      </c>
      <c r="R557" s="41" t="s">
        <v>5116</v>
      </c>
      <c r="S557" s="41" t="s">
        <v>5117</v>
      </c>
    </row>
    <row r="558" spans="1:19" x14ac:dyDescent="0.25">
      <c r="A558" s="41" t="s">
        <v>23</v>
      </c>
      <c r="B558" s="41" t="s">
        <v>5118</v>
      </c>
      <c r="D558" s="41" t="s">
        <v>5119</v>
      </c>
      <c r="F558" s="41" t="s">
        <v>5120</v>
      </c>
      <c r="G558" s="41" t="s">
        <v>5121</v>
      </c>
      <c r="H558" s="41" t="s">
        <v>5122</v>
      </c>
      <c r="I558" s="41" t="s">
        <v>5123</v>
      </c>
      <c r="J558" s="41" t="s">
        <v>5124</v>
      </c>
      <c r="K558" s="41" t="s">
        <v>5125</v>
      </c>
      <c r="L558" s="41" t="s">
        <v>891</v>
      </c>
    </row>
    <row r="559" spans="1:19" x14ac:dyDescent="0.25">
      <c r="A559" s="41" t="s">
        <v>23</v>
      </c>
      <c r="B559" s="41" t="s">
        <v>5126</v>
      </c>
      <c r="D559" s="41" t="s">
        <v>5127</v>
      </c>
      <c r="F559" s="41" t="s">
        <v>5128</v>
      </c>
      <c r="G559" s="41" t="s">
        <v>5129</v>
      </c>
      <c r="H559" s="41" t="s">
        <v>5130</v>
      </c>
      <c r="I559" s="41" t="s">
        <v>5131</v>
      </c>
      <c r="J559" s="41" t="s">
        <v>5132</v>
      </c>
      <c r="K559" s="41" t="s">
        <v>5133</v>
      </c>
      <c r="L559" s="41" t="s">
        <v>1076</v>
      </c>
    </row>
    <row r="560" spans="1:19" x14ac:dyDescent="0.25">
      <c r="A560" s="41" t="s">
        <v>23</v>
      </c>
      <c r="B560" s="41" t="s">
        <v>5134</v>
      </c>
      <c r="D560" s="41" t="s">
        <v>5135</v>
      </c>
      <c r="F560" s="41" t="s">
        <v>5136</v>
      </c>
      <c r="G560" s="41" t="s">
        <v>5137</v>
      </c>
      <c r="H560" s="41" t="s">
        <v>5138</v>
      </c>
      <c r="I560" s="41" t="s">
        <v>5139</v>
      </c>
      <c r="J560" s="41" t="s">
        <v>5140</v>
      </c>
      <c r="K560" s="41" t="s">
        <v>5141</v>
      </c>
      <c r="L560" s="41" t="s">
        <v>1085</v>
      </c>
    </row>
    <row r="561" spans="1:19" x14ac:dyDescent="0.25">
      <c r="A561" s="41" t="s">
        <v>23</v>
      </c>
      <c r="B561" s="41" t="s">
        <v>5142</v>
      </c>
      <c r="D561" s="41" t="s">
        <v>5143</v>
      </c>
      <c r="F561" s="41" t="s">
        <v>5144</v>
      </c>
      <c r="G561" s="41" t="s">
        <v>5145</v>
      </c>
      <c r="H561" s="41" t="s">
        <v>5146</v>
      </c>
      <c r="I561" s="41" t="s">
        <v>5147</v>
      </c>
      <c r="J561" s="41" t="s">
        <v>5148</v>
      </c>
      <c r="K561" s="41" t="s">
        <v>5149</v>
      </c>
      <c r="L561" s="41" t="s">
        <v>1094</v>
      </c>
    </row>
    <row r="562" spans="1:19" x14ac:dyDescent="0.25">
      <c r="A562" s="41" t="s">
        <v>908</v>
      </c>
      <c r="B562" s="41" t="s">
        <v>5150</v>
      </c>
    </row>
    <row r="563" spans="1:19" x14ac:dyDescent="0.25">
      <c r="A563" s="41" t="s">
        <v>23</v>
      </c>
      <c r="B563" s="41" t="s">
        <v>5151</v>
      </c>
      <c r="F563" s="41" t="s">
        <v>5152</v>
      </c>
      <c r="G563" s="41" t="s">
        <v>5153</v>
      </c>
      <c r="H563" s="41" t="s">
        <v>5154</v>
      </c>
      <c r="I563" s="41" t="s">
        <v>5155</v>
      </c>
      <c r="J563" s="41" t="s">
        <v>5156</v>
      </c>
      <c r="L563" s="41" t="s">
        <v>4</v>
      </c>
    </row>
    <row r="564" spans="1:19" x14ac:dyDescent="0.25">
      <c r="A564" s="41" t="s">
        <v>23</v>
      </c>
      <c r="B564" s="41" t="s">
        <v>5157</v>
      </c>
      <c r="D564" s="41" t="s">
        <v>5158</v>
      </c>
      <c r="E564" s="41" t="s">
        <v>5159</v>
      </c>
      <c r="F564" s="41" t="s">
        <v>5160</v>
      </c>
      <c r="G564" s="41" t="s">
        <v>5161</v>
      </c>
      <c r="H564" s="41" t="s">
        <v>5162</v>
      </c>
      <c r="I564" s="41" t="s">
        <v>5163</v>
      </c>
      <c r="J564" s="41" t="s">
        <v>5164</v>
      </c>
      <c r="K564" s="41" t="s">
        <v>5165</v>
      </c>
      <c r="L564" s="41" t="s">
        <v>5166</v>
      </c>
      <c r="M564" s="41" t="s">
        <v>5167</v>
      </c>
      <c r="N564" s="41" t="s">
        <v>5168</v>
      </c>
      <c r="O564" s="41" t="s">
        <v>5169</v>
      </c>
      <c r="P564" s="41" t="s">
        <v>5170</v>
      </c>
      <c r="Q564" s="41" t="s">
        <v>5171</v>
      </c>
      <c r="R564" s="41" t="s">
        <v>5172</v>
      </c>
      <c r="S564" s="41" t="s">
        <v>5173</v>
      </c>
    </row>
    <row r="565" spans="1:19" x14ac:dyDescent="0.25">
      <c r="A565" s="41" t="s">
        <v>23</v>
      </c>
      <c r="B565" s="41" t="s">
        <v>5174</v>
      </c>
      <c r="D565" s="41" t="s">
        <v>5175</v>
      </c>
      <c r="F565" s="41" t="s">
        <v>5176</v>
      </c>
      <c r="G565" s="41" t="s">
        <v>5177</v>
      </c>
      <c r="H565" s="41" t="s">
        <v>5178</v>
      </c>
      <c r="I565" s="41" t="s">
        <v>5179</v>
      </c>
      <c r="J565" s="41" t="s">
        <v>5180</v>
      </c>
      <c r="K565" s="41" t="s">
        <v>5181</v>
      </c>
      <c r="L565" s="41" t="s">
        <v>891</v>
      </c>
    </row>
    <row r="566" spans="1:19" x14ac:dyDescent="0.25">
      <c r="A566" s="41" t="s">
        <v>23</v>
      </c>
      <c r="B566" s="41" t="s">
        <v>5182</v>
      </c>
      <c r="D566" s="41" t="s">
        <v>5183</v>
      </c>
      <c r="F566" s="41" t="s">
        <v>5184</v>
      </c>
      <c r="G566" s="41" t="s">
        <v>5185</v>
      </c>
      <c r="H566" s="41" t="s">
        <v>5186</v>
      </c>
      <c r="I566" s="41" t="s">
        <v>5187</v>
      </c>
      <c r="J566" s="41" t="s">
        <v>5188</v>
      </c>
      <c r="K566" s="41" t="s">
        <v>5189</v>
      </c>
      <c r="L566" s="41" t="s">
        <v>1076</v>
      </c>
    </row>
    <row r="567" spans="1:19" x14ac:dyDescent="0.25">
      <c r="A567" s="41" t="s">
        <v>23</v>
      </c>
      <c r="B567" s="41" t="s">
        <v>5190</v>
      </c>
      <c r="D567" s="41" t="s">
        <v>5191</v>
      </c>
      <c r="F567" s="41" t="s">
        <v>5192</v>
      </c>
      <c r="G567" s="41" t="s">
        <v>5193</v>
      </c>
      <c r="H567" s="41" t="s">
        <v>5194</v>
      </c>
      <c r="I567" s="41" t="s">
        <v>5195</v>
      </c>
      <c r="J567" s="41" t="s">
        <v>5196</v>
      </c>
      <c r="K567" s="41" t="s">
        <v>5197</v>
      </c>
      <c r="L567" s="41" t="s">
        <v>1085</v>
      </c>
    </row>
    <row r="568" spans="1:19" x14ac:dyDescent="0.25">
      <c r="A568" s="41" t="s">
        <v>23</v>
      </c>
      <c r="B568" s="41" t="s">
        <v>5198</v>
      </c>
      <c r="D568" s="41" t="s">
        <v>5199</v>
      </c>
      <c r="F568" s="41" t="s">
        <v>5200</v>
      </c>
      <c r="G568" s="41" t="s">
        <v>5201</v>
      </c>
      <c r="H568" s="41" t="s">
        <v>5202</v>
      </c>
      <c r="I568" s="41" t="s">
        <v>5203</v>
      </c>
      <c r="J568" s="41" t="s">
        <v>5204</v>
      </c>
      <c r="K568" s="41" t="s">
        <v>5205</v>
      </c>
      <c r="L568" s="41" t="s">
        <v>1094</v>
      </c>
    </row>
    <row r="569" spans="1:19" x14ac:dyDescent="0.25">
      <c r="A569" s="41" t="s">
        <v>908</v>
      </c>
      <c r="B569" s="41" t="s">
        <v>5206</v>
      </c>
    </row>
    <row r="570" spans="1:19" x14ac:dyDescent="0.25">
      <c r="A570" s="41" t="s">
        <v>23</v>
      </c>
      <c r="B570" s="41" t="s">
        <v>5207</v>
      </c>
      <c r="F570" s="41" t="s">
        <v>5208</v>
      </c>
      <c r="G570" s="41" t="s">
        <v>5209</v>
      </c>
      <c r="H570" s="41" t="s">
        <v>5210</v>
      </c>
      <c r="I570" s="41" t="s">
        <v>5211</v>
      </c>
      <c r="J570" s="41" t="s">
        <v>5212</v>
      </c>
      <c r="L570" s="41" t="s">
        <v>4</v>
      </c>
    </row>
    <row r="571" spans="1:19" x14ac:dyDescent="0.25">
      <c r="A571" s="41" t="s">
        <v>23</v>
      </c>
      <c r="B571" s="41" t="s">
        <v>5213</v>
      </c>
      <c r="D571" s="41" t="s">
        <v>5214</v>
      </c>
      <c r="E571" s="41" t="s">
        <v>5215</v>
      </c>
      <c r="F571" s="41" t="s">
        <v>5216</v>
      </c>
      <c r="G571" s="41" t="s">
        <v>5217</v>
      </c>
      <c r="H571" s="41" t="s">
        <v>5218</v>
      </c>
      <c r="I571" s="41" t="s">
        <v>5219</v>
      </c>
      <c r="J571" s="41" t="s">
        <v>5220</v>
      </c>
      <c r="K571" s="41" t="s">
        <v>5221</v>
      </c>
      <c r="L571" s="41" t="s">
        <v>5222</v>
      </c>
      <c r="M571" s="41" t="s">
        <v>5223</v>
      </c>
      <c r="N571" s="41" t="s">
        <v>5224</v>
      </c>
      <c r="O571" s="41" t="s">
        <v>5225</v>
      </c>
      <c r="P571" s="41" t="s">
        <v>5226</v>
      </c>
      <c r="Q571" s="41" t="s">
        <v>5227</v>
      </c>
      <c r="R571" s="41" t="s">
        <v>5228</v>
      </c>
      <c r="S571" s="41" t="s">
        <v>5229</v>
      </c>
    </row>
    <row r="572" spans="1:19" x14ac:dyDescent="0.25">
      <c r="A572" s="41" t="s">
        <v>23</v>
      </c>
      <c r="B572" s="41" t="s">
        <v>5230</v>
      </c>
      <c r="D572" s="41" t="s">
        <v>5231</v>
      </c>
      <c r="F572" s="41" t="s">
        <v>5232</v>
      </c>
      <c r="G572" s="41" t="s">
        <v>5233</v>
      </c>
      <c r="H572" s="41" t="s">
        <v>5234</v>
      </c>
      <c r="I572" s="41" t="s">
        <v>5235</v>
      </c>
      <c r="J572" s="41" t="s">
        <v>5236</v>
      </c>
      <c r="K572" s="41" t="s">
        <v>5237</v>
      </c>
      <c r="L572" s="41" t="s">
        <v>891</v>
      </c>
    </row>
    <row r="573" spans="1:19" x14ac:dyDescent="0.25">
      <c r="A573" s="41" t="s">
        <v>23</v>
      </c>
      <c r="B573" s="41" t="s">
        <v>5238</v>
      </c>
      <c r="D573" s="41" t="s">
        <v>5239</v>
      </c>
      <c r="F573" s="41" t="s">
        <v>5240</v>
      </c>
      <c r="G573" s="41" t="s">
        <v>5241</v>
      </c>
      <c r="H573" s="41" t="s">
        <v>5242</v>
      </c>
      <c r="I573" s="41" t="s">
        <v>5243</v>
      </c>
      <c r="J573" s="41" t="s">
        <v>5244</v>
      </c>
      <c r="K573" s="41" t="s">
        <v>5245</v>
      </c>
      <c r="L573" s="41" t="s">
        <v>1076</v>
      </c>
    </row>
    <row r="574" spans="1:19" x14ac:dyDescent="0.25">
      <c r="A574" s="41" t="s">
        <v>23</v>
      </c>
      <c r="B574" s="41" t="s">
        <v>5246</v>
      </c>
      <c r="D574" s="41" t="s">
        <v>5247</v>
      </c>
      <c r="F574" s="41" t="s">
        <v>5248</v>
      </c>
      <c r="G574" s="41" t="s">
        <v>5249</v>
      </c>
      <c r="H574" s="41" t="s">
        <v>5250</v>
      </c>
      <c r="I574" s="41" t="s">
        <v>5251</v>
      </c>
      <c r="J574" s="41" t="s">
        <v>5252</v>
      </c>
      <c r="K574" s="41" t="s">
        <v>5253</v>
      </c>
      <c r="L574" s="41" t="s">
        <v>1085</v>
      </c>
    </row>
    <row r="575" spans="1:19" x14ac:dyDescent="0.25">
      <c r="A575" s="41" t="s">
        <v>23</v>
      </c>
      <c r="B575" s="41" t="s">
        <v>5254</v>
      </c>
      <c r="D575" s="41" t="s">
        <v>5255</v>
      </c>
      <c r="F575" s="41" t="s">
        <v>5256</v>
      </c>
      <c r="G575" s="41" t="s">
        <v>5257</v>
      </c>
      <c r="H575" s="41" t="s">
        <v>5258</v>
      </c>
      <c r="I575" s="41" t="s">
        <v>5259</v>
      </c>
      <c r="J575" s="41" t="s">
        <v>5260</v>
      </c>
      <c r="K575" s="41" t="s">
        <v>5261</v>
      </c>
      <c r="L575" s="41" t="s">
        <v>1094</v>
      </c>
    </row>
    <row r="576" spans="1:19" x14ac:dyDescent="0.25">
      <c r="A576" s="41" t="s">
        <v>908</v>
      </c>
      <c r="B576" s="41" t="s">
        <v>5262</v>
      </c>
    </row>
    <row r="577" spans="1:19" x14ac:dyDescent="0.25">
      <c r="A577" s="41" t="s">
        <v>23</v>
      </c>
      <c r="B577" s="41" t="s">
        <v>5263</v>
      </c>
      <c r="F577" s="41" t="s">
        <v>5264</v>
      </c>
      <c r="G577" s="41" t="s">
        <v>5265</v>
      </c>
      <c r="H577" s="41" t="s">
        <v>5266</v>
      </c>
      <c r="I577" s="41" t="s">
        <v>5267</v>
      </c>
      <c r="J577" s="41" t="s">
        <v>5268</v>
      </c>
      <c r="L577" s="41" t="s">
        <v>4</v>
      </c>
    </row>
    <row r="578" spans="1:19" x14ac:dyDescent="0.25">
      <c r="A578" s="41" t="s">
        <v>23</v>
      </c>
      <c r="B578" s="41" t="s">
        <v>5269</v>
      </c>
      <c r="D578" s="41" t="s">
        <v>5270</v>
      </c>
      <c r="E578" s="41" t="s">
        <v>5271</v>
      </c>
      <c r="F578" s="41" t="s">
        <v>5272</v>
      </c>
      <c r="G578" s="41" t="s">
        <v>5273</v>
      </c>
      <c r="H578" s="41" t="s">
        <v>5274</v>
      </c>
      <c r="I578" s="41" t="s">
        <v>5275</v>
      </c>
      <c r="J578" s="41" t="s">
        <v>5276</v>
      </c>
      <c r="K578" s="41" t="s">
        <v>5277</v>
      </c>
      <c r="L578" s="41" t="s">
        <v>5278</v>
      </c>
      <c r="M578" s="41" t="s">
        <v>5279</v>
      </c>
      <c r="N578" s="41" t="s">
        <v>5280</v>
      </c>
      <c r="O578" s="41" t="s">
        <v>5281</v>
      </c>
      <c r="P578" s="41" t="s">
        <v>5282</v>
      </c>
      <c r="Q578" s="41" t="s">
        <v>5283</v>
      </c>
      <c r="R578" s="41" t="s">
        <v>5284</v>
      </c>
      <c r="S578" s="41" t="s">
        <v>5285</v>
      </c>
    </row>
    <row r="579" spans="1:19" x14ac:dyDescent="0.25">
      <c r="A579" s="41" t="s">
        <v>23</v>
      </c>
      <c r="B579" s="41" t="s">
        <v>5286</v>
      </c>
      <c r="D579" s="41" t="s">
        <v>5287</v>
      </c>
      <c r="F579" s="41" t="s">
        <v>5288</v>
      </c>
      <c r="G579" s="41" t="s">
        <v>5289</v>
      </c>
      <c r="H579" s="41" t="s">
        <v>5290</v>
      </c>
      <c r="I579" s="41" t="s">
        <v>5291</v>
      </c>
      <c r="J579" s="41" t="s">
        <v>5292</v>
      </c>
      <c r="K579" s="41" t="s">
        <v>5293</v>
      </c>
      <c r="L579" s="41" t="s">
        <v>891</v>
      </c>
    </row>
    <row r="580" spans="1:19" x14ac:dyDescent="0.25">
      <c r="A580" s="41" t="s">
        <v>23</v>
      </c>
      <c r="B580" s="41" t="s">
        <v>5294</v>
      </c>
      <c r="D580" s="41" t="s">
        <v>5295</v>
      </c>
      <c r="F580" s="41" t="s">
        <v>5296</v>
      </c>
      <c r="G580" s="41" t="s">
        <v>5297</v>
      </c>
      <c r="H580" s="41" t="s">
        <v>5298</v>
      </c>
      <c r="I580" s="41" t="s">
        <v>5299</v>
      </c>
      <c r="J580" s="41" t="s">
        <v>5300</v>
      </c>
      <c r="K580" s="41" t="s">
        <v>5301</v>
      </c>
      <c r="L580" s="41" t="s">
        <v>1076</v>
      </c>
    </row>
    <row r="581" spans="1:19" x14ac:dyDescent="0.25">
      <c r="A581" s="41" t="s">
        <v>23</v>
      </c>
      <c r="B581" s="41" t="s">
        <v>5302</v>
      </c>
      <c r="D581" s="41" t="s">
        <v>5303</v>
      </c>
      <c r="F581" s="41" t="s">
        <v>5304</v>
      </c>
      <c r="G581" s="41" t="s">
        <v>5305</v>
      </c>
      <c r="H581" s="41" t="s">
        <v>5306</v>
      </c>
      <c r="I581" s="41" t="s">
        <v>5307</v>
      </c>
      <c r="J581" s="41" t="s">
        <v>5308</v>
      </c>
      <c r="K581" s="41" t="s">
        <v>5309</v>
      </c>
      <c r="L581" s="41" t="s">
        <v>1085</v>
      </c>
    </row>
    <row r="582" spans="1:19" x14ac:dyDescent="0.25">
      <c r="A582" s="41" t="s">
        <v>23</v>
      </c>
      <c r="B582" s="41" t="s">
        <v>5310</v>
      </c>
      <c r="D582" s="41" t="s">
        <v>5311</v>
      </c>
      <c r="F582" s="41" t="s">
        <v>5312</v>
      </c>
      <c r="G582" s="41" t="s">
        <v>5313</v>
      </c>
      <c r="H582" s="41" t="s">
        <v>5314</v>
      </c>
      <c r="I582" s="41" t="s">
        <v>5315</v>
      </c>
      <c r="J582" s="41" t="s">
        <v>5316</v>
      </c>
      <c r="K582" s="41" t="s">
        <v>5317</v>
      </c>
      <c r="L582" s="41" t="s">
        <v>1094</v>
      </c>
    </row>
    <row r="583" spans="1:19" x14ac:dyDescent="0.25">
      <c r="A583" s="41" t="s">
        <v>908</v>
      </c>
      <c r="B583" s="41" t="s">
        <v>5318</v>
      </c>
    </row>
    <row r="584" spans="1:19" x14ac:dyDescent="0.25">
      <c r="A584" s="41" t="s">
        <v>23</v>
      </c>
      <c r="B584" s="41" t="s">
        <v>5319</v>
      </c>
      <c r="F584" s="41" t="s">
        <v>5320</v>
      </c>
      <c r="G584" s="41" t="s">
        <v>5321</v>
      </c>
      <c r="H584" s="41" t="s">
        <v>5322</v>
      </c>
      <c r="I584" s="41" t="s">
        <v>5323</v>
      </c>
      <c r="J584" s="41" t="s">
        <v>5324</v>
      </c>
      <c r="L584" s="41" t="s">
        <v>4</v>
      </c>
    </row>
    <row r="585" spans="1:19" x14ac:dyDescent="0.25">
      <c r="A585" s="41" t="s">
        <v>23</v>
      </c>
      <c r="B585" s="41" t="s">
        <v>5325</v>
      </c>
      <c r="D585" s="41" t="s">
        <v>5326</v>
      </c>
      <c r="E585" s="41" t="s">
        <v>5327</v>
      </c>
      <c r="F585" s="41" t="s">
        <v>5328</v>
      </c>
      <c r="G585" s="41" t="s">
        <v>5329</v>
      </c>
      <c r="H585" s="41" t="s">
        <v>5330</v>
      </c>
      <c r="I585" s="41" t="s">
        <v>5331</v>
      </c>
      <c r="J585" s="41" t="s">
        <v>5332</v>
      </c>
      <c r="K585" s="41" t="s">
        <v>5333</v>
      </c>
      <c r="L585" s="41" t="s">
        <v>5334</v>
      </c>
      <c r="M585" s="41" t="s">
        <v>5335</v>
      </c>
      <c r="N585" s="41" t="s">
        <v>5336</v>
      </c>
      <c r="O585" s="41" t="s">
        <v>5337</v>
      </c>
      <c r="P585" s="41" t="s">
        <v>5338</v>
      </c>
      <c r="Q585" s="41" t="s">
        <v>5339</v>
      </c>
      <c r="R585" s="41" t="s">
        <v>5340</v>
      </c>
      <c r="S585" s="41" t="s">
        <v>5341</v>
      </c>
    </row>
    <row r="586" spans="1:19" x14ac:dyDescent="0.25">
      <c r="A586" s="41" t="s">
        <v>23</v>
      </c>
      <c r="B586" s="41" t="s">
        <v>5342</v>
      </c>
      <c r="D586" s="41" t="s">
        <v>5343</v>
      </c>
      <c r="F586" s="41" t="s">
        <v>5344</v>
      </c>
      <c r="G586" s="41" t="s">
        <v>5345</v>
      </c>
      <c r="H586" s="41" t="s">
        <v>5346</v>
      </c>
      <c r="I586" s="41" t="s">
        <v>5347</v>
      </c>
      <c r="J586" s="41" t="s">
        <v>5348</v>
      </c>
      <c r="K586" s="41" t="s">
        <v>5349</v>
      </c>
      <c r="L586" s="41" t="s">
        <v>891</v>
      </c>
    </row>
    <row r="587" spans="1:19" x14ac:dyDescent="0.25">
      <c r="A587" s="41" t="s">
        <v>23</v>
      </c>
      <c r="B587" s="41" t="s">
        <v>5350</v>
      </c>
      <c r="D587" s="41" t="s">
        <v>5351</v>
      </c>
      <c r="F587" s="41" t="s">
        <v>5352</v>
      </c>
      <c r="G587" s="41" t="s">
        <v>5353</v>
      </c>
      <c r="H587" s="41" t="s">
        <v>5354</v>
      </c>
      <c r="I587" s="41" t="s">
        <v>5355</v>
      </c>
      <c r="J587" s="41" t="s">
        <v>5356</v>
      </c>
      <c r="K587" s="41" t="s">
        <v>5357</v>
      </c>
      <c r="L587" s="41" t="s">
        <v>1076</v>
      </c>
    </row>
    <row r="588" spans="1:19" x14ac:dyDescent="0.25">
      <c r="A588" s="41" t="s">
        <v>23</v>
      </c>
      <c r="B588" s="41" t="s">
        <v>5358</v>
      </c>
      <c r="D588" s="41" t="s">
        <v>5359</v>
      </c>
      <c r="F588" s="41" t="s">
        <v>5360</v>
      </c>
      <c r="G588" s="41" t="s">
        <v>5361</v>
      </c>
      <c r="H588" s="41" t="s">
        <v>5362</v>
      </c>
      <c r="I588" s="41" t="s">
        <v>5363</v>
      </c>
      <c r="J588" s="41" t="s">
        <v>5364</v>
      </c>
      <c r="K588" s="41" t="s">
        <v>5365</v>
      </c>
      <c r="L588" s="41" t="s">
        <v>1085</v>
      </c>
    </row>
    <row r="589" spans="1:19" x14ac:dyDescent="0.25">
      <c r="A589" s="41" t="s">
        <v>23</v>
      </c>
      <c r="B589" s="41" t="s">
        <v>5366</v>
      </c>
      <c r="D589" s="41" t="s">
        <v>5367</v>
      </c>
      <c r="F589" s="41" t="s">
        <v>5368</v>
      </c>
      <c r="G589" s="41" t="s">
        <v>5369</v>
      </c>
      <c r="H589" s="41" t="s">
        <v>5370</v>
      </c>
      <c r="I589" s="41" t="s">
        <v>5371</v>
      </c>
      <c r="J589" s="41" t="s">
        <v>5372</v>
      </c>
      <c r="K589" s="41" t="s">
        <v>5373</v>
      </c>
      <c r="L589" s="41" t="s">
        <v>1094</v>
      </c>
    </row>
    <row r="590" spans="1:19" x14ac:dyDescent="0.25">
      <c r="A590" s="41" t="s">
        <v>908</v>
      </c>
      <c r="B590" s="41" t="s">
        <v>5374</v>
      </c>
    </row>
    <row r="591" spans="1:19" x14ac:dyDescent="0.25">
      <c r="A591" s="41" t="s">
        <v>23</v>
      </c>
      <c r="B591" s="41" t="s">
        <v>5375</v>
      </c>
      <c r="F591" s="41" t="s">
        <v>5376</v>
      </c>
      <c r="G591" s="41" t="s">
        <v>5377</v>
      </c>
      <c r="H591" s="41" t="s">
        <v>5378</v>
      </c>
      <c r="I591" s="41" t="s">
        <v>5379</v>
      </c>
      <c r="J591" s="41" t="s">
        <v>5380</v>
      </c>
      <c r="L591" s="41" t="s">
        <v>4</v>
      </c>
    </row>
    <row r="592" spans="1:19" x14ac:dyDescent="0.25">
      <c r="A592" s="41" t="s">
        <v>23</v>
      </c>
      <c r="B592" s="41" t="s">
        <v>5381</v>
      </c>
      <c r="D592" s="41" t="s">
        <v>5382</v>
      </c>
      <c r="E592" s="41" t="s">
        <v>5383</v>
      </c>
      <c r="F592" s="41" t="s">
        <v>5384</v>
      </c>
      <c r="G592" s="41" t="s">
        <v>5385</v>
      </c>
      <c r="H592" s="41" t="s">
        <v>5386</v>
      </c>
      <c r="I592" s="41" t="s">
        <v>5387</v>
      </c>
      <c r="J592" s="41" t="s">
        <v>5388</v>
      </c>
      <c r="K592" s="41" t="s">
        <v>5389</v>
      </c>
      <c r="L592" s="41" t="s">
        <v>5390</v>
      </c>
      <c r="M592" s="41" t="s">
        <v>5391</v>
      </c>
      <c r="N592" s="41" t="s">
        <v>5392</v>
      </c>
      <c r="O592" s="41" t="s">
        <v>5393</v>
      </c>
      <c r="P592" s="41" t="s">
        <v>5394</v>
      </c>
      <c r="Q592" s="41" t="s">
        <v>5395</v>
      </c>
      <c r="R592" s="41" t="s">
        <v>5396</v>
      </c>
      <c r="S592" s="41" t="s">
        <v>5397</v>
      </c>
    </row>
    <row r="593" spans="1:19" x14ac:dyDescent="0.25">
      <c r="A593" s="41" t="s">
        <v>23</v>
      </c>
      <c r="B593" s="41" t="s">
        <v>5398</v>
      </c>
      <c r="D593" s="41" t="s">
        <v>5399</v>
      </c>
      <c r="F593" s="41" t="s">
        <v>5400</v>
      </c>
      <c r="G593" s="41" t="s">
        <v>5401</v>
      </c>
      <c r="H593" s="41" t="s">
        <v>5402</v>
      </c>
      <c r="I593" s="41" t="s">
        <v>5403</v>
      </c>
      <c r="J593" s="41" t="s">
        <v>5404</v>
      </c>
      <c r="K593" s="41" t="s">
        <v>5405</v>
      </c>
      <c r="L593" s="41" t="s">
        <v>891</v>
      </c>
    </row>
    <row r="594" spans="1:19" x14ac:dyDescent="0.25">
      <c r="A594" s="41" t="s">
        <v>23</v>
      </c>
      <c r="B594" s="41" t="s">
        <v>5406</v>
      </c>
      <c r="D594" s="41" t="s">
        <v>5407</v>
      </c>
      <c r="F594" s="41" t="s">
        <v>5408</v>
      </c>
      <c r="G594" s="41" t="s">
        <v>5409</v>
      </c>
      <c r="H594" s="41" t="s">
        <v>5410</v>
      </c>
      <c r="I594" s="41" t="s">
        <v>5411</v>
      </c>
      <c r="J594" s="41" t="s">
        <v>5412</v>
      </c>
      <c r="K594" s="41" t="s">
        <v>5413</v>
      </c>
      <c r="L594" s="41" t="s">
        <v>1076</v>
      </c>
    </row>
    <row r="595" spans="1:19" x14ac:dyDescent="0.25">
      <c r="A595" s="41" t="s">
        <v>23</v>
      </c>
      <c r="B595" s="41" t="s">
        <v>5414</v>
      </c>
      <c r="D595" s="41" t="s">
        <v>5415</v>
      </c>
      <c r="F595" s="41" t="s">
        <v>5416</v>
      </c>
      <c r="G595" s="41" t="s">
        <v>5417</v>
      </c>
      <c r="H595" s="41" t="s">
        <v>5418</v>
      </c>
      <c r="I595" s="41" t="s">
        <v>5419</v>
      </c>
      <c r="J595" s="41" t="s">
        <v>5420</v>
      </c>
      <c r="K595" s="41" t="s">
        <v>5421</v>
      </c>
      <c r="L595" s="41" t="s">
        <v>1085</v>
      </c>
    </row>
    <row r="596" spans="1:19" x14ac:dyDescent="0.25">
      <c r="A596" s="41" t="s">
        <v>23</v>
      </c>
      <c r="B596" s="41" t="s">
        <v>5422</v>
      </c>
      <c r="D596" s="41" t="s">
        <v>5423</v>
      </c>
      <c r="F596" s="41" t="s">
        <v>5424</v>
      </c>
      <c r="G596" s="41" t="s">
        <v>5425</v>
      </c>
      <c r="H596" s="41" t="s">
        <v>5426</v>
      </c>
      <c r="I596" s="41" t="s">
        <v>5427</v>
      </c>
      <c r="J596" s="41" t="s">
        <v>5428</v>
      </c>
      <c r="K596" s="41" t="s">
        <v>5429</v>
      </c>
      <c r="L596" s="41" t="s">
        <v>1094</v>
      </c>
    </row>
    <row r="597" spans="1:19" x14ac:dyDescent="0.25">
      <c r="A597" s="41" t="s">
        <v>908</v>
      </c>
      <c r="B597" s="41" t="s">
        <v>5430</v>
      </c>
    </row>
    <row r="598" spans="1:19" x14ac:dyDescent="0.25">
      <c r="A598" s="41" t="s">
        <v>23</v>
      </c>
      <c r="B598" s="41" t="s">
        <v>5431</v>
      </c>
      <c r="F598" s="41" t="s">
        <v>5432</v>
      </c>
      <c r="G598" s="41" t="s">
        <v>5433</v>
      </c>
      <c r="H598" s="41" t="s">
        <v>5434</v>
      </c>
      <c r="I598" s="41" t="s">
        <v>5435</v>
      </c>
      <c r="J598" s="41" t="s">
        <v>5436</v>
      </c>
      <c r="L598" s="41" t="s">
        <v>4</v>
      </c>
    </row>
    <row r="599" spans="1:19" x14ac:dyDescent="0.25">
      <c r="A599" s="41" t="s">
        <v>23</v>
      </c>
      <c r="B599" s="41" t="s">
        <v>5437</v>
      </c>
      <c r="D599" s="41" t="s">
        <v>5438</v>
      </c>
      <c r="E599" s="41" t="s">
        <v>5439</v>
      </c>
      <c r="F599" s="41" t="s">
        <v>5440</v>
      </c>
      <c r="G599" s="41" t="s">
        <v>5441</v>
      </c>
      <c r="H599" s="41" t="s">
        <v>5442</v>
      </c>
      <c r="I599" s="41" t="s">
        <v>5443</v>
      </c>
      <c r="J599" s="41" t="s">
        <v>5444</v>
      </c>
      <c r="K599" s="41" t="s">
        <v>5445</v>
      </c>
      <c r="L599" s="41" t="s">
        <v>5446</v>
      </c>
      <c r="M599" s="41" t="s">
        <v>5447</v>
      </c>
      <c r="N599" s="41" t="s">
        <v>5448</v>
      </c>
      <c r="O599" s="41" t="s">
        <v>5449</v>
      </c>
      <c r="P599" s="41" t="s">
        <v>5450</v>
      </c>
      <c r="Q599" s="41" t="s">
        <v>5451</v>
      </c>
      <c r="R599" s="41" t="s">
        <v>5452</v>
      </c>
      <c r="S599" s="41" t="s">
        <v>5453</v>
      </c>
    </row>
    <row r="600" spans="1:19" x14ac:dyDescent="0.25">
      <c r="A600" s="41" t="s">
        <v>23</v>
      </c>
      <c r="B600" s="41" t="s">
        <v>5454</v>
      </c>
      <c r="D600" s="41" t="s">
        <v>5455</v>
      </c>
      <c r="F600" s="41" t="s">
        <v>5456</v>
      </c>
      <c r="G600" s="41" t="s">
        <v>5457</v>
      </c>
      <c r="H600" s="41" t="s">
        <v>5458</v>
      </c>
      <c r="I600" s="41" t="s">
        <v>5459</v>
      </c>
      <c r="J600" s="41" t="s">
        <v>5460</v>
      </c>
      <c r="K600" s="41" t="s">
        <v>5461</v>
      </c>
      <c r="L600" s="41" t="s">
        <v>891</v>
      </c>
    </row>
    <row r="601" spans="1:19" x14ac:dyDescent="0.25">
      <c r="A601" s="41" t="s">
        <v>23</v>
      </c>
      <c r="B601" s="41" t="s">
        <v>5462</v>
      </c>
      <c r="D601" s="41" t="s">
        <v>5463</v>
      </c>
      <c r="F601" s="41" t="s">
        <v>5464</v>
      </c>
      <c r="G601" s="41" t="s">
        <v>5465</v>
      </c>
      <c r="H601" s="41" t="s">
        <v>5466</v>
      </c>
      <c r="I601" s="41" t="s">
        <v>5467</v>
      </c>
      <c r="J601" s="41" t="s">
        <v>5468</v>
      </c>
      <c r="K601" s="41" t="s">
        <v>5469</v>
      </c>
      <c r="L601" s="41" t="s">
        <v>1076</v>
      </c>
    </row>
    <row r="602" spans="1:19" x14ac:dyDescent="0.25">
      <c r="A602" s="41" t="s">
        <v>23</v>
      </c>
      <c r="B602" s="41" t="s">
        <v>5470</v>
      </c>
      <c r="D602" s="41" t="s">
        <v>5471</v>
      </c>
      <c r="F602" s="41" t="s">
        <v>5472</v>
      </c>
      <c r="G602" s="41" t="s">
        <v>5473</v>
      </c>
      <c r="H602" s="41" t="s">
        <v>5474</v>
      </c>
      <c r="I602" s="41" t="s">
        <v>5475</v>
      </c>
      <c r="J602" s="41" t="s">
        <v>5476</v>
      </c>
      <c r="K602" s="41" t="s">
        <v>5477</v>
      </c>
      <c r="L602" s="41" t="s">
        <v>1085</v>
      </c>
    </row>
    <row r="603" spans="1:19" x14ac:dyDescent="0.25">
      <c r="A603" s="41" t="s">
        <v>23</v>
      </c>
      <c r="B603" s="41" t="s">
        <v>5478</v>
      </c>
      <c r="D603" s="41" t="s">
        <v>5479</v>
      </c>
      <c r="F603" s="41" t="s">
        <v>5480</v>
      </c>
      <c r="G603" s="41" t="s">
        <v>5481</v>
      </c>
      <c r="H603" s="41" t="s">
        <v>5482</v>
      </c>
      <c r="I603" s="41" t="s">
        <v>5483</v>
      </c>
      <c r="J603" s="41" t="s">
        <v>5484</v>
      </c>
      <c r="K603" s="41" t="s">
        <v>5485</v>
      </c>
      <c r="L603" s="41" t="s">
        <v>1094</v>
      </c>
    </row>
    <row r="604" spans="1:19" x14ac:dyDescent="0.25">
      <c r="A604" s="41" t="s">
        <v>908</v>
      </c>
      <c r="B604" s="41" t="s">
        <v>5486</v>
      </c>
    </row>
    <row r="605" spans="1:19" x14ac:dyDescent="0.25">
      <c r="A605" s="41" t="s">
        <v>23</v>
      </c>
      <c r="B605" s="41" t="s">
        <v>5487</v>
      </c>
      <c r="F605" s="41" t="s">
        <v>5488</v>
      </c>
      <c r="G605" s="41" t="s">
        <v>5489</v>
      </c>
      <c r="H605" s="41" t="s">
        <v>5490</v>
      </c>
      <c r="I605" s="41" t="s">
        <v>5491</v>
      </c>
      <c r="J605" s="41" t="s">
        <v>5492</v>
      </c>
      <c r="L605" s="41" t="s">
        <v>4</v>
      </c>
    </row>
    <row r="606" spans="1:19" x14ac:dyDescent="0.25">
      <c r="A606" s="41" t="s">
        <v>23</v>
      </c>
      <c r="B606" s="41" t="s">
        <v>5493</v>
      </c>
      <c r="D606" s="41" t="s">
        <v>5494</v>
      </c>
      <c r="E606" s="41" t="s">
        <v>5495</v>
      </c>
      <c r="F606" s="41" t="s">
        <v>5496</v>
      </c>
      <c r="G606" s="41" t="s">
        <v>5497</v>
      </c>
      <c r="H606" s="41" t="s">
        <v>5498</v>
      </c>
      <c r="I606" s="41" t="s">
        <v>5499</v>
      </c>
      <c r="J606" s="41" t="s">
        <v>5500</v>
      </c>
      <c r="K606" s="41" t="s">
        <v>5501</v>
      </c>
      <c r="L606" s="41" t="s">
        <v>5502</v>
      </c>
      <c r="M606" s="41" t="s">
        <v>5503</v>
      </c>
      <c r="N606" s="41" t="s">
        <v>5504</v>
      </c>
      <c r="O606" s="41" t="s">
        <v>5505</v>
      </c>
      <c r="P606" s="41" t="s">
        <v>5506</v>
      </c>
      <c r="Q606" s="41" t="s">
        <v>5507</v>
      </c>
      <c r="R606" s="41" t="s">
        <v>5508</v>
      </c>
      <c r="S606" s="41" t="s">
        <v>5509</v>
      </c>
    </row>
    <row r="607" spans="1:19" x14ac:dyDescent="0.25">
      <c r="A607" s="41" t="s">
        <v>23</v>
      </c>
      <c r="B607" s="41" t="s">
        <v>5510</v>
      </c>
      <c r="D607" s="41" t="s">
        <v>5511</v>
      </c>
      <c r="F607" s="41" t="s">
        <v>5512</v>
      </c>
      <c r="G607" s="41" t="s">
        <v>5513</v>
      </c>
      <c r="H607" s="41" t="s">
        <v>5514</v>
      </c>
      <c r="I607" s="41" t="s">
        <v>5515</v>
      </c>
      <c r="J607" s="41" t="s">
        <v>5516</v>
      </c>
      <c r="K607" s="41" t="s">
        <v>5517</v>
      </c>
      <c r="L607" s="41" t="s">
        <v>891</v>
      </c>
    </row>
    <row r="608" spans="1:19" x14ac:dyDescent="0.25">
      <c r="A608" s="41" t="s">
        <v>23</v>
      </c>
      <c r="B608" s="41" t="s">
        <v>5518</v>
      </c>
      <c r="D608" s="41" t="s">
        <v>5519</v>
      </c>
      <c r="F608" s="41" t="s">
        <v>5520</v>
      </c>
      <c r="G608" s="41" t="s">
        <v>5521</v>
      </c>
      <c r="H608" s="41" t="s">
        <v>5522</v>
      </c>
      <c r="I608" s="41" t="s">
        <v>5523</v>
      </c>
      <c r="J608" s="41" t="s">
        <v>5524</v>
      </c>
      <c r="K608" s="41" t="s">
        <v>5525</v>
      </c>
      <c r="L608" s="41" t="s">
        <v>1076</v>
      </c>
    </row>
    <row r="609" spans="1:19" x14ac:dyDescent="0.25">
      <c r="A609" s="41" t="s">
        <v>23</v>
      </c>
      <c r="B609" s="41" t="s">
        <v>5526</v>
      </c>
      <c r="D609" s="41" t="s">
        <v>5527</v>
      </c>
      <c r="F609" s="41" t="s">
        <v>5528</v>
      </c>
      <c r="G609" s="41" t="s">
        <v>5529</v>
      </c>
      <c r="H609" s="41" t="s">
        <v>5530</v>
      </c>
      <c r="I609" s="41" t="s">
        <v>5531</v>
      </c>
      <c r="J609" s="41" t="s">
        <v>5532</v>
      </c>
      <c r="K609" s="41" t="s">
        <v>5533</v>
      </c>
      <c r="L609" s="41" t="s">
        <v>1085</v>
      </c>
    </row>
    <row r="610" spans="1:19" x14ac:dyDescent="0.25">
      <c r="A610" s="41" t="s">
        <v>23</v>
      </c>
      <c r="B610" s="41" t="s">
        <v>5534</v>
      </c>
      <c r="D610" s="41" t="s">
        <v>5535</v>
      </c>
      <c r="F610" s="41" t="s">
        <v>5536</v>
      </c>
      <c r="G610" s="41" t="s">
        <v>5537</v>
      </c>
      <c r="H610" s="41" t="s">
        <v>5538</v>
      </c>
      <c r="I610" s="41" t="s">
        <v>5539</v>
      </c>
      <c r="J610" s="41" t="s">
        <v>5540</v>
      </c>
      <c r="K610" s="41" t="s">
        <v>5541</v>
      </c>
      <c r="L610" s="41" t="s">
        <v>1094</v>
      </c>
    </row>
    <row r="611" spans="1:19" x14ac:dyDescent="0.25">
      <c r="A611" s="41" t="s">
        <v>908</v>
      </c>
      <c r="B611" s="41" t="s">
        <v>5542</v>
      </c>
    </row>
    <row r="612" spans="1:19" x14ac:dyDescent="0.25">
      <c r="A612" s="41" t="s">
        <v>23</v>
      </c>
      <c r="B612" s="41" t="s">
        <v>5543</v>
      </c>
      <c r="F612" s="41" t="s">
        <v>5544</v>
      </c>
      <c r="G612" s="41" t="s">
        <v>5545</v>
      </c>
      <c r="H612" s="41" t="s">
        <v>5546</v>
      </c>
      <c r="I612" s="41" t="s">
        <v>5547</v>
      </c>
      <c r="J612" s="41" t="s">
        <v>5548</v>
      </c>
      <c r="L612" s="41" t="s">
        <v>4</v>
      </c>
    </row>
    <row r="613" spans="1:19" x14ac:dyDescent="0.25">
      <c r="A613" s="41" t="s">
        <v>23</v>
      </c>
      <c r="B613" s="41" t="s">
        <v>5549</v>
      </c>
      <c r="D613" s="41" t="s">
        <v>5550</v>
      </c>
      <c r="E613" s="41" t="s">
        <v>5551</v>
      </c>
      <c r="F613" s="41" t="s">
        <v>5552</v>
      </c>
      <c r="G613" s="41" t="s">
        <v>5553</v>
      </c>
      <c r="H613" s="41" t="s">
        <v>5554</v>
      </c>
      <c r="I613" s="41" t="s">
        <v>5555</v>
      </c>
      <c r="J613" s="41" t="s">
        <v>5556</v>
      </c>
      <c r="K613" s="41" t="s">
        <v>5557</v>
      </c>
      <c r="L613" s="41" t="s">
        <v>5558</v>
      </c>
      <c r="M613" s="41" t="s">
        <v>5559</v>
      </c>
      <c r="N613" s="41" t="s">
        <v>5560</v>
      </c>
      <c r="O613" s="41" t="s">
        <v>5561</v>
      </c>
      <c r="P613" s="41" t="s">
        <v>5562</v>
      </c>
      <c r="Q613" s="41" t="s">
        <v>5563</v>
      </c>
      <c r="R613" s="41" t="s">
        <v>5564</v>
      </c>
      <c r="S613" s="41" t="s">
        <v>5565</v>
      </c>
    </row>
    <row r="614" spans="1:19" x14ac:dyDescent="0.25">
      <c r="A614" s="41" t="s">
        <v>23</v>
      </c>
      <c r="B614" s="41" t="s">
        <v>5566</v>
      </c>
      <c r="D614" s="41" t="s">
        <v>5567</v>
      </c>
      <c r="F614" s="41" t="s">
        <v>5568</v>
      </c>
      <c r="G614" s="41" t="s">
        <v>5569</v>
      </c>
      <c r="H614" s="41" t="s">
        <v>5570</v>
      </c>
      <c r="I614" s="41" t="s">
        <v>5571</v>
      </c>
      <c r="J614" s="41" t="s">
        <v>5572</v>
      </c>
      <c r="K614" s="41" t="s">
        <v>5573</v>
      </c>
      <c r="L614" s="41" t="s">
        <v>891</v>
      </c>
    </row>
    <row r="615" spans="1:19" x14ac:dyDescent="0.25">
      <c r="A615" s="41" t="s">
        <v>23</v>
      </c>
      <c r="B615" s="41" t="s">
        <v>5574</v>
      </c>
      <c r="D615" s="41" t="s">
        <v>5575</v>
      </c>
      <c r="F615" s="41" t="s">
        <v>5576</v>
      </c>
      <c r="G615" s="41" t="s">
        <v>5577</v>
      </c>
      <c r="H615" s="41" t="s">
        <v>5578</v>
      </c>
      <c r="I615" s="41" t="s">
        <v>5579</v>
      </c>
      <c r="J615" s="41" t="s">
        <v>5580</v>
      </c>
      <c r="K615" s="41" t="s">
        <v>5581</v>
      </c>
      <c r="L615" s="41" t="s">
        <v>1076</v>
      </c>
    </row>
    <row r="616" spans="1:19" x14ac:dyDescent="0.25">
      <c r="A616" s="41" t="s">
        <v>23</v>
      </c>
      <c r="B616" s="41" t="s">
        <v>5582</v>
      </c>
      <c r="D616" s="41" t="s">
        <v>5583</v>
      </c>
      <c r="F616" s="41" t="s">
        <v>5584</v>
      </c>
      <c r="G616" s="41" t="s">
        <v>5585</v>
      </c>
      <c r="H616" s="41" t="s">
        <v>5586</v>
      </c>
      <c r="I616" s="41" t="s">
        <v>5587</v>
      </c>
      <c r="J616" s="41" t="s">
        <v>5588</v>
      </c>
      <c r="K616" s="41" t="s">
        <v>5589</v>
      </c>
      <c r="L616" s="41" t="s">
        <v>1085</v>
      </c>
    </row>
    <row r="617" spans="1:19" x14ac:dyDescent="0.25">
      <c r="A617" s="41" t="s">
        <v>23</v>
      </c>
      <c r="B617" s="41" t="s">
        <v>5590</v>
      </c>
      <c r="D617" s="41" t="s">
        <v>5591</v>
      </c>
      <c r="F617" s="41" t="s">
        <v>5592</v>
      </c>
      <c r="G617" s="41" t="s">
        <v>5593</v>
      </c>
      <c r="H617" s="41" t="s">
        <v>5594</v>
      </c>
      <c r="I617" s="41" t="s">
        <v>5595</v>
      </c>
      <c r="J617" s="41" t="s">
        <v>5596</v>
      </c>
      <c r="K617" s="41" t="s">
        <v>5597</v>
      </c>
      <c r="L617" s="41" t="s">
        <v>1094</v>
      </c>
    </row>
    <row r="618" spans="1:19" x14ac:dyDescent="0.25">
      <c r="A618" s="41" t="s">
        <v>908</v>
      </c>
      <c r="B618" s="41" t="s">
        <v>5598</v>
      </c>
    </row>
    <row r="619" spans="1:19" x14ac:dyDescent="0.25">
      <c r="A619" s="41" t="s">
        <v>23</v>
      </c>
      <c r="B619" s="41" t="s">
        <v>5599</v>
      </c>
      <c r="F619" s="41" t="s">
        <v>5600</v>
      </c>
      <c r="G619" s="41" t="s">
        <v>5601</v>
      </c>
      <c r="H619" s="41" t="s">
        <v>5602</v>
      </c>
      <c r="I619" s="41" t="s">
        <v>5603</v>
      </c>
      <c r="J619" s="41" t="s">
        <v>5604</v>
      </c>
      <c r="L619" s="41" t="s">
        <v>4</v>
      </c>
    </row>
    <row r="620" spans="1:19" x14ac:dyDescent="0.25">
      <c r="A620" s="41" t="s">
        <v>23</v>
      </c>
      <c r="B620" s="41" t="s">
        <v>5605</v>
      </c>
      <c r="D620" s="41" t="s">
        <v>5606</v>
      </c>
      <c r="E620" s="41" t="s">
        <v>5607</v>
      </c>
      <c r="F620" s="41" t="s">
        <v>5608</v>
      </c>
      <c r="G620" s="41" t="s">
        <v>5609</v>
      </c>
      <c r="H620" s="41" t="s">
        <v>5610</v>
      </c>
      <c r="I620" s="41" t="s">
        <v>5611</v>
      </c>
      <c r="J620" s="41" t="s">
        <v>5612</v>
      </c>
      <c r="K620" s="41" t="s">
        <v>5613</v>
      </c>
      <c r="L620" s="41" t="s">
        <v>5614</v>
      </c>
      <c r="M620" s="41" t="s">
        <v>5615</v>
      </c>
      <c r="N620" s="41" t="s">
        <v>5616</v>
      </c>
      <c r="O620" s="41" t="s">
        <v>5617</v>
      </c>
      <c r="P620" s="41" t="s">
        <v>5618</v>
      </c>
      <c r="Q620" s="41" t="s">
        <v>5619</v>
      </c>
      <c r="R620" s="41" t="s">
        <v>5620</v>
      </c>
      <c r="S620" s="41" t="s">
        <v>5621</v>
      </c>
    </row>
    <row r="621" spans="1:19" x14ac:dyDescent="0.25">
      <c r="A621" s="41" t="s">
        <v>23</v>
      </c>
      <c r="B621" s="41" t="s">
        <v>5622</v>
      </c>
      <c r="D621" s="41" t="s">
        <v>5606</v>
      </c>
      <c r="E621" s="41" t="s">
        <v>177</v>
      </c>
      <c r="F621" s="41" t="s">
        <v>5623</v>
      </c>
      <c r="G621" s="41" t="s">
        <v>5624</v>
      </c>
      <c r="H621" s="41" t="s">
        <v>5625</v>
      </c>
      <c r="I621" s="41" t="s">
        <v>5626</v>
      </c>
      <c r="J621" s="41" t="s">
        <v>5627</v>
      </c>
      <c r="K621" s="41" t="s">
        <v>5628</v>
      </c>
      <c r="L621" s="41" t="s">
        <v>5629</v>
      </c>
      <c r="M621" s="41" t="s">
        <v>5630</v>
      </c>
      <c r="N621" s="41" t="s">
        <v>5631</v>
      </c>
      <c r="O621" s="41" t="s">
        <v>5632</v>
      </c>
      <c r="P621" s="41" t="s">
        <v>5633</v>
      </c>
      <c r="Q621" s="41" t="s">
        <v>5634</v>
      </c>
      <c r="R621" s="41" t="s">
        <v>5635</v>
      </c>
      <c r="S621" s="41" t="s">
        <v>5636</v>
      </c>
    </row>
    <row r="622" spans="1:19" x14ac:dyDescent="0.25">
      <c r="A622" s="41" t="s">
        <v>23</v>
      </c>
      <c r="B622" s="41" t="s">
        <v>5637</v>
      </c>
      <c r="D622" s="41" t="s">
        <v>5638</v>
      </c>
      <c r="F622" s="41" t="s">
        <v>5639</v>
      </c>
      <c r="G622" s="41" t="s">
        <v>5640</v>
      </c>
      <c r="H622" s="41" t="s">
        <v>5641</v>
      </c>
      <c r="I622" s="41" t="s">
        <v>5642</v>
      </c>
      <c r="J622" s="41" t="s">
        <v>5643</v>
      </c>
      <c r="K622" s="41" t="s">
        <v>5644</v>
      </c>
      <c r="L622" s="41" t="s">
        <v>891</v>
      </c>
    </row>
    <row r="623" spans="1:19" x14ac:dyDescent="0.25">
      <c r="A623" s="41" t="s">
        <v>23</v>
      </c>
      <c r="B623" s="41" t="s">
        <v>5645</v>
      </c>
      <c r="D623" s="41" t="s">
        <v>5646</v>
      </c>
      <c r="F623" s="41" t="s">
        <v>5647</v>
      </c>
      <c r="G623" s="41" t="s">
        <v>5648</v>
      </c>
      <c r="H623" s="41" t="s">
        <v>5649</v>
      </c>
      <c r="I623" s="41" t="s">
        <v>5650</v>
      </c>
      <c r="J623" s="41" t="s">
        <v>5651</v>
      </c>
      <c r="K623" s="41" t="s">
        <v>5652</v>
      </c>
      <c r="L623" s="41" t="s">
        <v>1076</v>
      </c>
    </row>
    <row r="624" spans="1:19" x14ac:dyDescent="0.25">
      <c r="A624" s="41" t="s">
        <v>23</v>
      </c>
      <c r="B624" s="41" t="s">
        <v>5653</v>
      </c>
      <c r="D624" s="41" t="s">
        <v>5654</v>
      </c>
      <c r="F624" s="41" t="s">
        <v>5655</v>
      </c>
      <c r="G624" s="41" t="s">
        <v>5656</v>
      </c>
      <c r="H624" s="41" t="s">
        <v>5657</v>
      </c>
      <c r="I624" s="41" t="s">
        <v>5658</v>
      </c>
      <c r="J624" s="41" t="s">
        <v>5659</v>
      </c>
      <c r="K624" s="41" t="s">
        <v>5660</v>
      </c>
      <c r="L624" s="41" t="s">
        <v>1085</v>
      </c>
    </row>
    <row r="625" spans="1:19" x14ac:dyDescent="0.25">
      <c r="A625" s="41" t="s">
        <v>23</v>
      </c>
      <c r="B625" s="41" t="s">
        <v>5661</v>
      </c>
      <c r="D625" s="41" t="s">
        <v>5662</v>
      </c>
      <c r="F625" s="41" t="s">
        <v>5663</v>
      </c>
      <c r="G625" s="41" t="s">
        <v>5664</v>
      </c>
      <c r="H625" s="41" t="s">
        <v>5665</v>
      </c>
      <c r="I625" s="41" t="s">
        <v>5666</v>
      </c>
      <c r="J625" s="41" t="s">
        <v>5667</v>
      </c>
      <c r="K625" s="41" t="s">
        <v>5668</v>
      </c>
      <c r="L625" s="41" t="s">
        <v>1094</v>
      </c>
    </row>
    <row r="626" spans="1:19" x14ac:dyDescent="0.25">
      <c r="A626" s="41" t="s">
        <v>908</v>
      </c>
      <c r="B626" s="41" t="s">
        <v>5669</v>
      </c>
    </row>
    <row r="627" spans="1:19" x14ac:dyDescent="0.25">
      <c r="A627" s="41" t="s">
        <v>23</v>
      </c>
      <c r="B627" s="41" t="s">
        <v>5670</v>
      </c>
      <c r="F627" s="41" t="s">
        <v>5671</v>
      </c>
      <c r="G627" s="41" t="s">
        <v>5672</v>
      </c>
      <c r="H627" s="41" t="s">
        <v>5673</v>
      </c>
      <c r="I627" s="41" t="s">
        <v>5674</v>
      </c>
      <c r="J627" s="41" t="s">
        <v>5675</v>
      </c>
      <c r="L627" s="41" t="s">
        <v>4</v>
      </c>
    </row>
    <row r="628" spans="1:19" x14ac:dyDescent="0.25">
      <c r="A628" s="41" t="s">
        <v>23</v>
      </c>
      <c r="B628" s="41" t="s">
        <v>5676</v>
      </c>
      <c r="D628" s="41" t="s">
        <v>5677</v>
      </c>
      <c r="E628" s="41" t="s">
        <v>5678</v>
      </c>
      <c r="F628" s="41" t="s">
        <v>5679</v>
      </c>
      <c r="G628" s="41" t="s">
        <v>5680</v>
      </c>
      <c r="H628" s="41" t="s">
        <v>5681</v>
      </c>
      <c r="I628" s="41" t="s">
        <v>5682</v>
      </c>
      <c r="J628" s="41" t="s">
        <v>5683</v>
      </c>
      <c r="K628" s="41" t="s">
        <v>5684</v>
      </c>
      <c r="L628" s="41" t="s">
        <v>5685</v>
      </c>
      <c r="M628" s="41" t="s">
        <v>5686</v>
      </c>
      <c r="N628" s="41" t="s">
        <v>5687</v>
      </c>
      <c r="O628" s="41" t="s">
        <v>5688</v>
      </c>
      <c r="P628" s="41" t="s">
        <v>5689</v>
      </c>
      <c r="Q628" s="41" t="s">
        <v>5690</v>
      </c>
      <c r="R628" s="41" t="s">
        <v>5691</v>
      </c>
      <c r="S628" s="41" t="s">
        <v>5692</v>
      </c>
    </row>
    <row r="629" spans="1:19" x14ac:dyDescent="0.25">
      <c r="A629" s="41" t="s">
        <v>23</v>
      </c>
      <c r="B629" s="41" t="s">
        <v>5693</v>
      </c>
      <c r="D629" s="41" t="s">
        <v>5694</v>
      </c>
      <c r="F629" s="41" t="s">
        <v>5695</v>
      </c>
      <c r="G629" s="41" t="s">
        <v>5696</v>
      </c>
      <c r="H629" s="41" t="s">
        <v>5697</v>
      </c>
      <c r="I629" s="41" t="s">
        <v>5698</v>
      </c>
      <c r="J629" s="41" t="s">
        <v>5699</v>
      </c>
      <c r="K629" s="41" t="s">
        <v>5700</v>
      </c>
      <c r="L629" s="41" t="s">
        <v>891</v>
      </c>
    </row>
    <row r="630" spans="1:19" x14ac:dyDescent="0.25">
      <c r="A630" s="41" t="s">
        <v>23</v>
      </c>
      <c r="B630" s="41" t="s">
        <v>5701</v>
      </c>
      <c r="D630" s="41" t="s">
        <v>5702</v>
      </c>
      <c r="F630" s="41" t="s">
        <v>5703</v>
      </c>
      <c r="G630" s="41" t="s">
        <v>5704</v>
      </c>
      <c r="H630" s="41" t="s">
        <v>5705</v>
      </c>
      <c r="I630" s="41" t="s">
        <v>5706</v>
      </c>
      <c r="J630" s="41" t="s">
        <v>5707</v>
      </c>
      <c r="K630" s="41" t="s">
        <v>5708</v>
      </c>
      <c r="L630" s="41" t="s">
        <v>1076</v>
      </c>
    </row>
    <row r="631" spans="1:19" x14ac:dyDescent="0.25">
      <c r="A631" s="41" t="s">
        <v>23</v>
      </c>
      <c r="B631" s="41" t="s">
        <v>5709</v>
      </c>
      <c r="D631" s="41" t="s">
        <v>5710</v>
      </c>
      <c r="F631" s="41" t="s">
        <v>5711</v>
      </c>
      <c r="G631" s="41" t="s">
        <v>5712</v>
      </c>
      <c r="H631" s="41" t="s">
        <v>5713</v>
      </c>
      <c r="I631" s="41" t="s">
        <v>5714</v>
      </c>
      <c r="J631" s="41" t="s">
        <v>5715</v>
      </c>
      <c r="K631" s="41" t="s">
        <v>5716</v>
      </c>
      <c r="L631" s="41" t="s">
        <v>1085</v>
      </c>
    </row>
    <row r="632" spans="1:19" x14ac:dyDescent="0.25">
      <c r="A632" s="41" t="s">
        <v>23</v>
      </c>
      <c r="B632" s="41" t="s">
        <v>5717</v>
      </c>
      <c r="D632" s="41" t="s">
        <v>5718</v>
      </c>
      <c r="F632" s="41" t="s">
        <v>5719</v>
      </c>
      <c r="G632" s="41" t="s">
        <v>5720</v>
      </c>
      <c r="H632" s="41" t="s">
        <v>5721</v>
      </c>
      <c r="I632" s="41" t="s">
        <v>5722</v>
      </c>
      <c r="J632" s="41" t="s">
        <v>5723</v>
      </c>
      <c r="K632" s="41" t="s">
        <v>5724</v>
      </c>
      <c r="L632" s="41" t="s">
        <v>1094</v>
      </c>
    </row>
    <row r="633" spans="1:19" x14ac:dyDescent="0.25">
      <c r="A633" s="41" t="s">
        <v>908</v>
      </c>
      <c r="B633" s="41" t="s">
        <v>5725</v>
      </c>
    </row>
    <row r="634" spans="1:19" x14ac:dyDescent="0.25">
      <c r="A634" s="41" t="s">
        <v>23</v>
      </c>
      <c r="B634" s="41" t="s">
        <v>5726</v>
      </c>
      <c r="F634" s="41" t="s">
        <v>5727</v>
      </c>
      <c r="G634" s="41" t="s">
        <v>5728</v>
      </c>
      <c r="H634" s="41" t="s">
        <v>5729</v>
      </c>
      <c r="I634" s="41" t="s">
        <v>5730</v>
      </c>
      <c r="J634" s="41" t="s">
        <v>5731</v>
      </c>
      <c r="L634" s="41" t="s">
        <v>4</v>
      </c>
    </row>
    <row r="635" spans="1:19" x14ac:dyDescent="0.25">
      <c r="A635" s="41" t="s">
        <v>23</v>
      </c>
      <c r="B635" s="41" t="s">
        <v>5732</v>
      </c>
      <c r="D635" s="41" t="s">
        <v>5733</v>
      </c>
      <c r="E635" s="41" t="s">
        <v>5734</v>
      </c>
      <c r="F635" s="41" t="s">
        <v>5735</v>
      </c>
      <c r="G635" s="41" t="s">
        <v>5736</v>
      </c>
      <c r="H635" s="41" t="s">
        <v>5737</v>
      </c>
      <c r="I635" s="41" t="s">
        <v>5738</v>
      </c>
      <c r="J635" s="41" t="s">
        <v>5739</v>
      </c>
      <c r="K635" s="41" t="s">
        <v>5740</v>
      </c>
      <c r="L635" s="41" t="s">
        <v>5741</v>
      </c>
      <c r="M635" s="41" t="s">
        <v>5742</v>
      </c>
      <c r="N635" s="41" t="s">
        <v>5743</v>
      </c>
      <c r="O635" s="41" t="s">
        <v>5744</v>
      </c>
      <c r="P635" s="41" t="s">
        <v>5745</v>
      </c>
      <c r="Q635" s="41" t="s">
        <v>5746</v>
      </c>
      <c r="R635" s="41" t="s">
        <v>5747</v>
      </c>
      <c r="S635" s="41" t="s">
        <v>5748</v>
      </c>
    </row>
    <row r="636" spans="1:19" x14ac:dyDescent="0.25">
      <c r="A636" s="41" t="s">
        <v>23</v>
      </c>
      <c r="B636" s="41" t="s">
        <v>5749</v>
      </c>
      <c r="D636" s="41" t="s">
        <v>5750</v>
      </c>
      <c r="F636" s="41" t="s">
        <v>5751</v>
      </c>
      <c r="G636" s="41" t="s">
        <v>5752</v>
      </c>
      <c r="H636" s="41" t="s">
        <v>5753</v>
      </c>
      <c r="I636" s="41" t="s">
        <v>5754</v>
      </c>
      <c r="J636" s="41" t="s">
        <v>5755</v>
      </c>
      <c r="K636" s="41" t="s">
        <v>5756</v>
      </c>
      <c r="L636" s="41" t="s">
        <v>891</v>
      </c>
    </row>
    <row r="637" spans="1:19" x14ac:dyDescent="0.25">
      <c r="A637" s="41" t="s">
        <v>23</v>
      </c>
      <c r="B637" s="41" t="s">
        <v>5757</v>
      </c>
      <c r="D637" s="41" t="s">
        <v>5758</v>
      </c>
      <c r="F637" s="41" t="s">
        <v>5759</v>
      </c>
      <c r="G637" s="41" t="s">
        <v>5760</v>
      </c>
      <c r="H637" s="41" t="s">
        <v>5761</v>
      </c>
      <c r="I637" s="41" t="s">
        <v>5762</v>
      </c>
      <c r="J637" s="41" t="s">
        <v>5763</v>
      </c>
      <c r="K637" s="41" t="s">
        <v>5764</v>
      </c>
      <c r="L637" s="41" t="s">
        <v>1076</v>
      </c>
    </row>
    <row r="638" spans="1:19" x14ac:dyDescent="0.25">
      <c r="A638" s="41" t="s">
        <v>23</v>
      </c>
      <c r="B638" s="41" t="s">
        <v>5765</v>
      </c>
      <c r="D638" s="41" t="s">
        <v>5766</v>
      </c>
      <c r="F638" s="41" t="s">
        <v>5767</v>
      </c>
      <c r="G638" s="41" t="s">
        <v>5768</v>
      </c>
      <c r="H638" s="41" t="s">
        <v>5769</v>
      </c>
      <c r="I638" s="41" t="s">
        <v>5770</v>
      </c>
      <c r="J638" s="41" t="s">
        <v>5771</v>
      </c>
      <c r="K638" s="41" t="s">
        <v>5772</v>
      </c>
      <c r="L638" s="41" t="s">
        <v>1085</v>
      </c>
    </row>
    <row r="639" spans="1:19" x14ac:dyDescent="0.25">
      <c r="A639" s="41" t="s">
        <v>23</v>
      </c>
      <c r="B639" s="41" t="s">
        <v>5773</v>
      </c>
      <c r="D639" s="41" t="s">
        <v>5774</v>
      </c>
      <c r="F639" s="41" t="s">
        <v>5775</v>
      </c>
      <c r="G639" s="41" t="s">
        <v>5776</v>
      </c>
      <c r="H639" s="41" t="s">
        <v>5777</v>
      </c>
      <c r="I639" s="41" t="s">
        <v>5778</v>
      </c>
      <c r="J639" s="41" t="s">
        <v>5779</v>
      </c>
      <c r="K639" s="41" t="s">
        <v>5780</v>
      </c>
      <c r="L639" s="41" t="s">
        <v>1094</v>
      </c>
    </row>
    <row r="640" spans="1:19" x14ac:dyDescent="0.25">
      <c r="A640" s="41" t="s">
        <v>908</v>
      </c>
      <c r="B640" s="41" t="s">
        <v>5781</v>
      </c>
    </row>
    <row r="641" spans="1:19" x14ac:dyDescent="0.25">
      <c r="A641" s="41" t="s">
        <v>23</v>
      </c>
      <c r="B641" s="41" t="s">
        <v>5782</v>
      </c>
      <c r="F641" s="41" t="s">
        <v>5783</v>
      </c>
      <c r="G641" s="41" t="s">
        <v>5784</v>
      </c>
      <c r="H641" s="41" t="s">
        <v>5785</v>
      </c>
      <c r="I641" s="41" t="s">
        <v>5786</v>
      </c>
      <c r="J641" s="41" t="s">
        <v>5787</v>
      </c>
      <c r="L641" s="41" t="s">
        <v>4</v>
      </c>
    </row>
    <row r="642" spans="1:19" x14ac:dyDescent="0.25">
      <c r="A642" s="41" t="s">
        <v>23</v>
      </c>
      <c r="B642" s="41" t="s">
        <v>5788</v>
      </c>
      <c r="D642" s="41" t="s">
        <v>689</v>
      </c>
      <c r="E642" s="41" t="s">
        <v>5789</v>
      </c>
      <c r="F642" s="41" t="s">
        <v>5790</v>
      </c>
      <c r="G642" s="41" t="s">
        <v>5791</v>
      </c>
      <c r="H642" s="41" t="s">
        <v>5792</v>
      </c>
      <c r="I642" s="41" t="s">
        <v>5793</v>
      </c>
      <c r="J642" s="41" t="s">
        <v>5794</v>
      </c>
      <c r="K642" s="41" t="s">
        <v>5795</v>
      </c>
      <c r="L642" s="41" t="s">
        <v>5796</v>
      </c>
      <c r="M642" s="41" t="s">
        <v>5797</v>
      </c>
      <c r="N642" s="41" t="s">
        <v>5798</v>
      </c>
      <c r="O642" s="41" t="s">
        <v>5799</v>
      </c>
      <c r="P642" s="41" t="s">
        <v>5800</v>
      </c>
      <c r="Q642" s="41" t="s">
        <v>5801</v>
      </c>
      <c r="R642" s="41" t="s">
        <v>5802</v>
      </c>
      <c r="S642" s="41" t="s">
        <v>5803</v>
      </c>
    </row>
    <row r="643" spans="1:19" x14ac:dyDescent="0.25">
      <c r="A643" s="41" t="s">
        <v>23</v>
      </c>
      <c r="B643" s="41" t="s">
        <v>5804</v>
      </c>
      <c r="D643" s="41" t="s">
        <v>5805</v>
      </c>
      <c r="F643" s="41" t="s">
        <v>5806</v>
      </c>
      <c r="G643" s="41" t="s">
        <v>5807</v>
      </c>
      <c r="H643" s="41" t="s">
        <v>5808</v>
      </c>
      <c r="I643" s="41" t="s">
        <v>5809</v>
      </c>
      <c r="J643" s="41" t="s">
        <v>5810</v>
      </c>
      <c r="K643" s="41" t="s">
        <v>5811</v>
      </c>
      <c r="L643" s="41" t="s">
        <v>891</v>
      </c>
    </row>
    <row r="644" spans="1:19" x14ac:dyDescent="0.25">
      <c r="A644" s="41" t="s">
        <v>23</v>
      </c>
      <c r="B644" s="41" t="s">
        <v>5812</v>
      </c>
      <c r="D644" s="41" t="s">
        <v>5813</v>
      </c>
      <c r="F644" s="41" t="s">
        <v>5814</v>
      </c>
      <c r="G644" s="41" t="s">
        <v>5815</v>
      </c>
      <c r="H644" s="41" t="s">
        <v>5816</v>
      </c>
      <c r="I644" s="41" t="s">
        <v>5817</v>
      </c>
      <c r="J644" s="41" t="s">
        <v>5818</v>
      </c>
      <c r="K644" s="41" t="s">
        <v>5819</v>
      </c>
      <c r="L644" s="41" t="s">
        <v>1076</v>
      </c>
    </row>
    <row r="645" spans="1:19" x14ac:dyDescent="0.25">
      <c r="A645" s="41" t="s">
        <v>23</v>
      </c>
      <c r="B645" s="41" t="s">
        <v>5820</v>
      </c>
      <c r="D645" s="41" t="s">
        <v>5821</v>
      </c>
      <c r="F645" s="41" t="s">
        <v>5822</v>
      </c>
      <c r="G645" s="41" t="s">
        <v>5823</v>
      </c>
      <c r="H645" s="41" t="s">
        <v>5824</v>
      </c>
      <c r="I645" s="41" t="s">
        <v>5825</v>
      </c>
      <c r="J645" s="41" t="s">
        <v>5826</v>
      </c>
      <c r="K645" s="41" t="s">
        <v>5827</v>
      </c>
      <c r="L645" s="41" t="s">
        <v>1085</v>
      </c>
    </row>
    <row r="646" spans="1:19" x14ac:dyDescent="0.25">
      <c r="A646" s="41" t="s">
        <v>23</v>
      </c>
      <c r="B646" s="41" t="s">
        <v>5828</v>
      </c>
      <c r="D646" s="41" t="s">
        <v>5829</v>
      </c>
      <c r="F646" s="41" t="s">
        <v>5830</v>
      </c>
      <c r="G646" s="41" t="s">
        <v>5831</v>
      </c>
      <c r="H646" s="41" t="s">
        <v>5832</v>
      </c>
      <c r="I646" s="41" t="s">
        <v>5833</v>
      </c>
      <c r="J646" s="41" t="s">
        <v>5834</v>
      </c>
      <c r="K646" s="41" t="s">
        <v>5835</v>
      </c>
      <c r="L646" s="41" t="s">
        <v>1094</v>
      </c>
    </row>
    <row r="647" spans="1:19" x14ac:dyDescent="0.25">
      <c r="A647" s="41" t="s">
        <v>908</v>
      </c>
      <c r="B647" s="41" t="s">
        <v>5836</v>
      </c>
    </row>
    <row r="648" spans="1:19" x14ac:dyDescent="0.25">
      <c r="A648" s="41" t="s">
        <v>23</v>
      </c>
      <c r="B648" s="41" t="s">
        <v>5837</v>
      </c>
      <c r="F648" s="41" t="s">
        <v>5838</v>
      </c>
      <c r="G648" s="41" t="s">
        <v>5839</v>
      </c>
      <c r="H648" s="41" t="s">
        <v>5840</v>
      </c>
      <c r="I648" s="41" t="s">
        <v>5841</v>
      </c>
      <c r="J648" s="41" t="s">
        <v>5842</v>
      </c>
      <c r="L648" s="41" t="s">
        <v>4</v>
      </c>
    </row>
    <row r="649" spans="1:19" x14ac:dyDescent="0.25">
      <c r="A649" s="41" t="s">
        <v>23</v>
      </c>
      <c r="B649" s="41" t="s">
        <v>5843</v>
      </c>
      <c r="D649" s="41" t="s">
        <v>5844</v>
      </c>
      <c r="E649" s="41" t="s">
        <v>5845</v>
      </c>
      <c r="F649" s="41" t="s">
        <v>5846</v>
      </c>
      <c r="G649" s="41" t="s">
        <v>5847</v>
      </c>
      <c r="H649" s="41" t="s">
        <v>5848</v>
      </c>
      <c r="I649" s="41" t="s">
        <v>5849</v>
      </c>
      <c r="J649" s="41" t="s">
        <v>5850</v>
      </c>
      <c r="K649" s="41" t="s">
        <v>5851</v>
      </c>
      <c r="L649" s="41" t="s">
        <v>5852</v>
      </c>
      <c r="M649" s="41" t="s">
        <v>5853</v>
      </c>
      <c r="N649" s="41" t="s">
        <v>5854</v>
      </c>
      <c r="O649" s="41" t="s">
        <v>5855</v>
      </c>
      <c r="P649" s="41" t="s">
        <v>5856</v>
      </c>
      <c r="Q649" s="41" t="s">
        <v>5857</v>
      </c>
      <c r="R649" s="41" t="s">
        <v>5858</v>
      </c>
      <c r="S649" s="41" t="s">
        <v>5859</v>
      </c>
    </row>
    <row r="650" spans="1:19" x14ac:dyDescent="0.25">
      <c r="A650" s="41" t="s">
        <v>23</v>
      </c>
      <c r="B650" s="41" t="s">
        <v>5860</v>
      </c>
      <c r="D650" s="41" t="s">
        <v>5861</v>
      </c>
      <c r="F650" s="41" t="s">
        <v>5862</v>
      </c>
      <c r="G650" s="41" t="s">
        <v>5863</v>
      </c>
      <c r="H650" s="41" t="s">
        <v>5864</v>
      </c>
      <c r="I650" s="41" t="s">
        <v>5865</v>
      </c>
      <c r="J650" s="41" t="s">
        <v>5866</v>
      </c>
      <c r="K650" s="41" t="s">
        <v>5867</v>
      </c>
      <c r="L650" s="41" t="s">
        <v>891</v>
      </c>
    </row>
    <row r="651" spans="1:19" x14ac:dyDescent="0.25">
      <c r="A651" s="41" t="s">
        <v>23</v>
      </c>
      <c r="B651" s="41" t="s">
        <v>5868</v>
      </c>
      <c r="D651" s="41" t="s">
        <v>5869</v>
      </c>
      <c r="F651" s="41" t="s">
        <v>5870</v>
      </c>
      <c r="G651" s="41" t="s">
        <v>5871</v>
      </c>
      <c r="H651" s="41" t="s">
        <v>5872</v>
      </c>
      <c r="I651" s="41" t="s">
        <v>5873</v>
      </c>
      <c r="J651" s="41" t="s">
        <v>5874</v>
      </c>
      <c r="K651" s="41" t="s">
        <v>5875</v>
      </c>
      <c r="L651" s="41" t="s">
        <v>1076</v>
      </c>
    </row>
    <row r="652" spans="1:19" x14ac:dyDescent="0.25">
      <c r="A652" s="41" t="s">
        <v>23</v>
      </c>
      <c r="B652" s="41" t="s">
        <v>5876</v>
      </c>
      <c r="D652" s="41" t="s">
        <v>5877</v>
      </c>
      <c r="F652" s="41" t="s">
        <v>5878</v>
      </c>
      <c r="G652" s="41" t="s">
        <v>5879</v>
      </c>
      <c r="H652" s="41" t="s">
        <v>5880</v>
      </c>
      <c r="I652" s="41" t="s">
        <v>5881</v>
      </c>
      <c r="J652" s="41" t="s">
        <v>5882</v>
      </c>
      <c r="K652" s="41" t="s">
        <v>5883</v>
      </c>
      <c r="L652" s="41" t="s">
        <v>1085</v>
      </c>
    </row>
    <row r="653" spans="1:19" x14ac:dyDescent="0.25">
      <c r="A653" s="41" t="s">
        <v>23</v>
      </c>
      <c r="B653" s="41" t="s">
        <v>5884</v>
      </c>
      <c r="D653" s="41" t="s">
        <v>5885</v>
      </c>
      <c r="F653" s="41" t="s">
        <v>5886</v>
      </c>
      <c r="G653" s="41" t="s">
        <v>5887</v>
      </c>
      <c r="H653" s="41" t="s">
        <v>5888</v>
      </c>
      <c r="I653" s="41" t="s">
        <v>5889</v>
      </c>
      <c r="J653" s="41" t="s">
        <v>5890</v>
      </c>
      <c r="K653" s="41" t="s">
        <v>5891</v>
      </c>
      <c r="L653" s="41" t="s">
        <v>1094</v>
      </c>
    </row>
    <row r="654" spans="1:19" x14ac:dyDescent="0.25">
      <c r="A654" s="41" t="s">
        <v>908</v>
      </c>
      <c r="B654" s="41" t="s">
        <v>5892</v>
      </c>
    </row>
    <row r="655" spans="1:19" x14ac:dyDescent="0.25">
      <c r="A655" s="41" t="s">
        <v>23</v>
      </c>
      <c r="B655" s="41" t="s">
        <v>5893</v>
      </c>
      <c r="F655" s="41" t="s">
        <v>5894</v>
      </c>
      <c r="G655" s="41" t="s">
        <v>5895</v>
      </c>
      <c r="H655" s="41" t="s">
        <v>5896</v>
      </c>
      <c r="I655" s="41" t="s">
        <v>5897</v>
      </c>
      <c r="J655" s="41" t="s">
        <v>5898</v>
      </c>
      <c r="L655" s="41" t="s">
        <v>4</v>
      </c>
    </row>
    <row r="656" spans="1:19" x14ac:dyDescent="0.25">
      <c r="A656" s="41" t="s">
        <v>23</v>
      </c>
      <c r="B656" s="41" t="s">
        <v>5899</v>
      </c>
      <c r="D656" s="41" t="s">
        <v>5900</v>
      </c>
      <c r="E656" s="41" t="s">
        <v>5901</v>
      </c>
      <c r="F656" s="41" t="s">
        <v>5902</v>
      </c>
      <c r="G656" s="41" t="s">
        <v>5903</v>
      </c>
      <c r="H656" s="41" t="s">
        <v>5904</v>
      </c>
      <c r="I656" s="41" t="s">
        <v>5905</v>
      </c>
      <c r="J656" s="41" t="s">
        <v>5906</v>
      </c>
      <c r="K656" s="41" t="s">
        <v>5907</v>
      </c>
      <c r="L656" s="41" t="s">
        <v>5908</v>
      </c>
      <c r="M656" s="41" t="s">
        <v>5909</v>
      </c>
      <c r="N656" s="41" t="s">
        <v>5910</v>
      </c>
      <c r="O656" s="41" t="s">
        <v>5911</v>
      </c>
      <c r="P656" s="41" t="s">
        <v>5912</v>
      </c>
      <c r="Q656" s="41" t="s">
        <v>5913</v>
      </c>
      <c r="R656" s="41" t="s">
        <v>5914</v>
      </c>
      <c r="S656" s="41" t="s">
        <v>5915</v>
      </c>
    </row>
    <row r="657" spans="1:19" x14ac:dyDescent="0.25">
      <c r="A657" s="41" t="s">
        <v>23</v>
      </c>
      <c r="B657" s="41" t="s">
        <v>5916</v>
      </c>
      <c r="D657" s="41" t="s">
        <v>5917</v>
      </c>
      <c r="F657" s="41" t="s">
        <v>5918</v>
      </c>
      <c r="G657" s="41" t="s">
        <v>5919</v>
      </c>
      <c r="H657" s="41" t="s">
        <v>5920</v>
      </c>
      <c r="I657" s="41" t="s">
        <v>5921</v>
      </c>
      <c r="J657" s="41" t="s">
        <v>5922</v>
      </c>
      <c r="K657" s="41" t="s">
        <v>5923</v>
      </c>
      <c r="L657" s="41" t="s">
        <v>891</v>
      </c>
    </row>
    <row r="658" spans="1:19" x14ac:dyDescent="0.25">
      <c r="A658" s="41" t="s">
        <v>23</v>
      </c>
      <c r="B658" s="41" t="s">
        <v>5924</v>
      </c>
      <c r="D658" s="41" t="s">
        <v>5925</v>
      </c>
      <c r="F658" s="41" t="s">
        <v>5926</v>
      </c>
      <c r="G658" s="41" t="s">
        <v>5927</v>
      </c>
      <c r="H658" s="41" t="s">
        <v>5928</v>
      </c>
      <c r="I658" s="41" t="s">
        <v>5929</v>
      </c>
      <c r="J658" s="41" t="s">
        <v>5930</v>
      </c>
      <c r="K658" s="41" t="s">
        <v>5931</v>
      </c>
      <c r="L658" s="41" t="s">
        <v>1076</v>
      </c>
    </row>
    <row r="659" spans="1:19" x14ac:dyDescent="0.25">
      <c r="A659" s="41" t="s">
        <v>23</v>
      </c>
      <c r="B659" s="41" t="s">
        <v>5932</v>
      </c>
      <c r="D659" s="41" t="s">
        <v>5933</v>
      </c>
      <c r="F659" s="41" t="s">
        <v>5934</v>
      </c>
      <c r="G659" s="41" t="s">
        <v>5935</v>
      </c>
      <c r="H659" s="41" t="s">
        <v>5936</v>
      </c>
      <c r="I659" s="41" t="s">
        <v>5937</v>
      </c>
      <c r="J659" s="41" t="s">
        <v>5938</v>
      </c>
      <c r="K659" s="41" t="s">
        <v>5939</v>
      </c>
      <c r="L659" s="41" t="s">
        <v>1085</v>
      </c>
    </row>
    <row r="660" spans="1:19" x14ac:dyDescent="0.25">
      <c r="A660" s="41" t="s">
        <v>23</v>
      </c>
      <c r="B660" s="41" t="s">
        <v>5940</v>
      </c>
      <c r="D660" s="41" t="s">
        <v>5941</v>
      </c>
      <c r="F660" s="41" t="s">
        <v>5942</v>
      </c>
      <c r="G660" s="41" t="s">
        <v>5943</v>
      </c>
      <c r="H660" s="41" t="s">
        <v>5944</v>
      </c>
      <c r="I660" s="41" t="s">
        <v>5945</v>
      </c>
      <c r="J660" s="41" t="s">
        <v>5946</v>
      </c>
      <c r="K660" s="41" t="s">
        <v>5947</v>
      </c>
      <c r="L660" s="41" t="s">
        <v>1094</v>
      </c>
    </row>
    <row r="661" spans="1:19" x14ac:dyDescent="0.25">
      <c r="A661" s="41" t="s">
        <v>908</v>
      </c>
      <c r="B661" s="41" t="s">
        <v>5948</v>
      </c>
    </row>
    <row r="662" spans="1:19" x14ac:dyDescent="0.25">
      <c r="A662" s="41" t="s">
        <v>23</v>
      </c>
      <c r="B662" s="41" t="s">
        <v>5949</v>
      </c>
      <c r="F662" s="41" t="s">
        <v>5950</v>
      </c>
      <c r="G662" s="41" t="s">
        <v>5951</v>
      </c>
      <c r="H662" s="41" t="s">
        <v>5952</v>
      </c>
      <c r="I662" s="41" t="s">
        <v>5953</v>
      </c>
      <c r="J662" s="41" t="s">
        <v>5954</v>
      </c>
      <c r="L662" s="41" t="s">
        <v>4</v>
      </c>
    </row>
    <row r="663" spans="1:19" x14ac:dyDescent="0.25">
      <c r="A663" s="41" t="s">
        <v>23</v>
      </c>
      <c r="B663" s="41" t="s">
        <v>5955</v>
      </c>
      <c r="D663" s="41" t="s">
        <v>5956</v>
      </c>
      <c r="E663" s="41" t="s">
        <v>5957</v>
      </c>
      <c r="F663" s="41" t="s">
        <v>5958</v>
      </c>
      <c r="G663" s="41" t="s">
        <v>5959</v>
      </c>
      <c r="H663" s="41" t="s">
        <v>5960</v>
      </c>
      <c r="I663" s="41" t="s">
        <v>5961</v>
      </c>
      <c r="J663" s="41" t="s">
        <v>5962</v>
      </c>
      <c r="K663" s="41" t="s">
        <v>5963</v>
      </c>
      <c r="L663" s="41" t="s">
        <v>5964</v>
      </c>
      <c r="M663" s="41" t="s">
        <v>5965</v>
      </c>
      <c r="N663" s="41" t="s">
        <v>5966</v>
      </c>
      <c r="O663" s="41" t="s">
        <v>5967</v>
      </c>
      <c r="P663" s="41" t="s">
        <v>5968</v>
      </c>
      <c r="Q663" s="41" t="s">
        <v>5969</v>
      </c>
      <c r="R663" s="41" t="s">
        <v>5970</v>
      </c>
      <c r="S663" s="41" t="s">
        <v>5971</v>
      </c>
    </row>
    <row r="664" spans="1:19" x14ac:dyDescent="0.25">
      <c r="A664" s="41" t="s">
        <v>23</v>
      </c>
      <c r="B664" s="41" t="s">
        <v>5972</v>
      </c>
      <c r="D664" s="41" t="s">
        <v>5973</v>
      </c>
      <c r="F664" s="41" t="s">
        <v>5974</v>
      </c>
      <c r="G664" s="41" t="s">
        <v>5975</v>
      </c>
      <c r="H664" s="41" t="s">
        <v>5976</v>
      </c>
      <c r="I664" s="41" t="s">
        <v>5977</v>
      </c>
      <c r="J664" s="41" t="s">
        <v>5978</v>
      </c>
      <c r="K664" s="41" t="s">
        <v>5979</v>
      </c>
      <c r="L664" s="41" t="s">
        <v>891</v>
      </c>
    </row>
    <row r="665" spans="1:19" x14ac:dyDescent="0.25">
      <c r="A665" s="41" t="s">
        <v>23</v>
      </c>
      <c r="B665" s="41" t="s">
        <v>5980</v>
      </c>
      <c r="D665" s="41" t="s">
        <v>5981</v>
      </c>
      <c r="F665" s="41" t="s">
        <v>5982</v>
      </c>
      <c r="G665" s="41" t="s">
        <v>5983</v>
      </c>
      <c r="H665" s="41" t="s">
        <v>5984</v>
      </c>
      <c r="I665" s="41" t="s">
        <v>5985</v>
      </c>
      <c r="J665" s="41" t="s">
        <v>5986</v>
      </c>
      <c r="K665" s="41" t="s">
        <v>5987</v>
      </c>
      <c r="L665" s="41" t="s">
        <v>1076</v>
      </c>
    </row>
    <row r="666" spans="1:19" x14ac:dyDescent="0.25">
      <c r="A666" s="41" t="s">
        <v>23</v>
      </c>
      <c r="B666" s="41" t="s">
        <v>5988</v>
      </c>
      <c r="D666" s="41" t="s">
        <v>5989</v>
      </c>
      <c r="F666" s="41" t="s">
        <v>5990</v>
      </c>
      <c r="G666" s="41" t="s">
        <v>5991</v>
      </c>
      <c r="H666" s="41" t="s">
        <v>5992</v>
      </c>
      <c r="I666" s="41" t="s">
        <v>5993</v>
      </c>
      <c r="J666" s="41" t="s">
        <v>5994</v>
      </c>
      <c r="K666" s="41" t="s">
        <v>5995</v>
      </c>
      <c r="L666" s="41" t="s">
        <v>1085</v>
      </c>
    </row>
    <row r="667" spans="1:19" x14ac:dyDescent="0.25">
      <c r="A667" s="41" t="s">
        <v>23</v>
      </c>
      <c r="B667" s="41" t="s">
        <v>5996</v>
      </c>
      <c r="D667" s="41" t="s">
        <v>5997</v>
      </c>
      <c r="F667" s="41" t="s">
        <v>5998</v>
      </c>
      <c r="G667" s="41" t="s">
        <v>5999</v>
      </c>
      <c r="H667" s="41" t="s">
        <v>6000</v>
      </c>
      <c r="I667" s="41" t="s">
        <v>6001</v>
      </c>
      <c r="J667" s="41" t="s">
        <v>6002</v>
      </c>
      <c r="K667" s="41" t="s">
        <v>6003</v>
      </c>
      <c r="L667" s="41" t="s">
        <v>1094</v>
      </c>
    </row>
    <row r="668" spans="1:19" x14ac:dyDescent="0.25">
      <c r="A668" s="41" t="s">
        <v>908</v>
      </c>
      <c r="B668" s="41" t="s">
        <v>6004</v>
      </c>
    </row>
    <row r="669" spans="1:19" x14ac:dyDescent="0.25">
      <c r="A669" s="41" t="s">
        <v>23</v>
      </c>
      <c r="B669" s="41" t="s">
        <v>6005</v>
      </c>
      <c r="F669" s="41" t="s">
        <v>6006</v>
      </c>
      <c r="G669" s="41" t="s">
        <v>6007</v>
      </c>
      <c r="H669" s="41" t="s">
        <v>6008</v>
      </c>
      <c r="I669" s="41" t="s">
        <v>6009</v>
      </c>
      <c r="J669" s="41" t="s">
        <v>6010</v>
      </c>
      <c r="L669" s="41" t="s">
        <v>4</v>
      </c>
    </row>
    <row r="670" spans="1:19" x14ac:dyDescent="0.25">
      <c r="A670" s="41" t="s">
        <v>23</v>
      </c>
      <c r="B670" s="41" t="s">
        <v>6011</v>
      </c>
      <c r="D670" s="41" t="s">
        <v>6012</v>
      </c>
      <c r="E670" s="41" t="s">
        <v>6013</v>
      </c>
      <c r="F670" s="41" t="s">
        <v>6014</v>
      </c>
      <c r="G670" s="41" t="s">
        <v>6015</v>
      </c>
      <c r="H670" s="41" t="s">
        <v>6016</v>
      </c>
      <c r="I670" s="41" t="s">
        <v>6017</v>
      </c>
      <c r="J670" s="41" t="s">
        <v>6018</v>
      </c>
      <c r="K670" s="41" t="s">
        <v>6019</v>
      </c>
      <c r="L670" s="41" t="s">
        <v>6020</v>
      </c>
      <c r="M670" s="41" t="s">
        <v>6021</v>
      </c>
      <c r="N670" s="41" t="s">
        <v>6022</v>
      </c>
      <c r="O670" s="41" t="s">
        <v>6023</v>
      </c>
      <c r="P670" s="41" t="s">
        <v>6024</v>
      </c>
      <c r="Q670" s="41" t="s">
        <v>6025</v>
      </c>
      <c r="R670" s="41" t="s">
        <v>6026</v>
      </c>
      <c r="S670" s="41" t="s">
        <v>6027</v>
      </c>
    </row>
    <row r="671" spans="1:19" x14ac:dyDescent="0.25">
      <c r="A671" s="41" t="s">
        <v>23</v>
      </c>
      <c r="B671" s="41" t="s">
        <v>6028</v>
      </c>
      <c r="D671" s="41" t="s">
        <v>6029</v>
      </c>
      <c r="F671" s="41" t="s">
        <v>6030</v>
      </c>
      <c r="G671" s="41" t="s">
        <v>6031</v>
      </c>
      <c r="H671" s="41" t="s">
        <v>6032</v>
      </c>
      <c r="I671" s="41" t="s">
        <v>6033</v>
      </c>
      <c r="J671" s="41" t="s">
        <v>6034</v>
      </c>
      <c r="K671" s="41" t="s">
        <v>6035</v>
      </c>
      <c r="L671" s="41" t="s">
        <v>891</v>
      </c>
    </row>
    <row r="672" spans="1:19" x14ac:dyDescent="0.25">
      <c r="A672" s="41" t="s">
        <v>23</v>
      </c>
      <c r="B672" s="41" t="s">
        <v>6036</v>
      </c>
      <c r="D672" s="41" t="s">
        <v>6037</v>
      </c>
      <c r="F672" s="41" t="s">
        <v>6038</v>
      </c>
      <c r="G672" s="41" t="s">
        <v>6039</v>
      </c>
      <c r="H672" s="41" t="s">
        <v>6040</v>
      </c>
      <c r="I672" s="41" t="s">
        <v>6041</v>
      </c>
      <c r="J672" s="41" t="s">
        <v>6042</v>
      </c>
      <c r="K672" s="41" t="s">
        <v>6043</v>
      </c>
      <c r="L672" s="41" t="s">
        <v>1076</v>
      </c>
    </row>
    <row r="673" spans="1:19" x14ac:dyDescent="0.25">
      <c r="A673" s="41" t="s">
        <v>23</v>
      </c>
      <c r="B673" s="41" t="s">
        <v>6044</v>
      </c>
      <c r="D673" s="41" t="s">
        <v>6045</v>
      </c>
      <c r="F673" s="41" t="s">
        <v>6046</v>
      </c>
      <c r="G673" s="41" t="s">
        <v>6047</v>
      </c>
      <c r="H673" s="41" t="s">
        <v>6048</v>
      </c>
      <c r="I673" s="41" t="s">
        <v>6049</v>
      </c>
      <c r="J673" s="41" t="s">
        <v>6050</v>
      </c>
      <c r="K673" s="41" t="s">
        <v>6051</v>
      </c>
      <c r="L673" s="41" t="s">
        <v>1085</v>
      </c>
    </row>
    <row r="674" spans="1:19" x14ac:dyDescent="0.25">
      <c r="A674" s="41" t="s">
        <v>23</v>
      </c>
      <c r="B674" s="41" t="s">
        <v>6052</v>
      </c>
      <c r="D674" s="41" t="s">
        <v>6053</v>
      </c>
      <c r="F674" s="41" t="s">
        <v>6054</v>
      </c>
      <c r="G674" s="41" t="s">
        <v>6055</v>
      </c>
      <c r="H674" s="41" t="s">
        <v>6056</v>
      </c>
      <c r="I674" s="41" t="s">
        <v>6057</v>
      </c>
      <c r="J674" s="41" t="s">
        <v>6058</v>
      </c>
      <c r="K674" s="41" t="s">
        <v>6059</v>
      </c>
      <c r="L674" s="41" t="s">
        <v>1094</v>
      </c>
    </row>
    <row r="675" spans="1:19" x14ac:dyDescent="0.25">
      <c r="A675" s="41" t="s">
        <v>908</v>
      </c>
      <c r="B675" s="41" t="s">
        <v>6060</v>
      </c>
    </row>
    <row r="676" spans="1:19" x14ac:dyDescent="0.25">
      <c r="A676" s="41" t="s">
        <v>23</v>
      </c>
      <c r="B676" s="41" t="s">
        <v>6061</v>
      </c>
      <c r="F676" s="41" t="s">
        <v>6062</v>
      </c>
      <c r="G676" s="41" t="s">
        <v>6063</v>
      </c>
      <c r="H676" s="41" t="s">
        <v>6064</v>
      </c>
      <c r="I676" s="41" t="s">
        <v>6065</v>
      </c>
      <c r="J676" s="41" t="s">
        <v>6066</v>
      </c>
      <c r="L676" s="41" t="s">
        <v>4</v>
      </c>
    </row>
    <row r="677" spans="1:19" x14ac:dyDescent="0.25">
      <c r="A677" s="41" t="s">
        <v>23</v>
      </c>
      <c r="B677" s="41" t="s">
        <v>6067</v>
      </c>
      <c r="D677" s="41" t="s">
        <v>6068</v>
      </c>
      <c r="E677" s="41" t="s">
        <v>6069</v>
      </c>
      <c r="F677" s="41" t="s">
        <v>6070</v>
      </c>
      <c r="G677" s="41" t="s">
        <v>6071</v>
      </c>
      <c r="H677" s="41" t="s">
        <v>6072</v>
      </c>
      <c r="I677" s="41" t="s">
        <v>6073</v>
      </c>
      <c r="J677" s="41" t="s">
        <v>6074</v>
      </c>
      <c r="K677" s="41" t="s">
        <v>6075</v>
      </c>
      <c r="L677" s="41" t="s">
        <v>6076</v>
      </c>
      <c r="M677" s="41" t="s">
        <v>6077</v>
      </c>
      <c r="N677" s="41" t="s">
        <v>6078</v>
      </c>
      <c r="O677" s="41" t="s">
        <v>6079</v>
      </c>
      <c r="P677" s="41" t="s">
        <v>6080</v>
      </c>
      <c r="Q677" s="41" t="s">
        <v>6081</v>
      </c>
      <c r="R677" s="41" t="s">
        <v>6082</v>
      </c>
      <c r="S677" s="41" t="s">
        <v>6083</v>
      </c>
    </row>
    <row r="678" spans="1:19" x14ac:dyDescent="0.25">
      <c r="A678" s="41" t="s">
        <v>23</v>
      </c>
      <c r="B678" s="41" t="s">
        <v>6084</v>
      </c>
      <c r="D678" s="41" t="s">
        <v>6085</v>
      </c>
      <c r="F678" s="41" t="s">
        <v>6086</v>
      </c>
      <c r="G678" s="41" t="s">
        <v>6087</v>
      </c>
      <c r="H678" s="41" t="s">
        <v>6088</v>
      </c>
      <c r="I678" s="41" t="s">
        <v>6089</v>
      </c>
      <c r="J678" s="41" t="s">
        <v>6090</v>
      </c>
      <c r="K678" s="41" t="s">
        <v>6091</v>
      </c>
      <c r="L678" s="41" t="s">
        <v>891</v>
      </c>
    </row>
    <row r="679" spans="1:19" x14ac:dyDescent="0.25">
      <c r="A679" s="41" t="s">
        <v>23</v>
      </c>
      <c r="B679" s="41" t="s">
        <v>6092</v>
      </c>
      <c r="D679" s="41" t="s">
        <v>6093</v>
      </c>
      <c r="F679" s="41" t="s">
        <v>6094</v>
      </c>
      <c r="G679" s="41" t="s">
        <v>6095</v>
      </c>
      <c r="H679" s="41" t="s">
        <v>6096</v>
      </c>
      <c r="I679" s="41" t="s">
        <v>6097</v>
      </c>
      <c r="J679" s="41" t="s">
        <v>6098</v>
      </c>
      <c r="K679" s="41" t="s">
        <v>6099</v>
      </c>
      <c r="L679" s="41" t="s">
        <v>1076</v>
      </c>
    </row>
    <row r="680" spans="1:19" x14ac:dyDescent="0.25">
      <c r="A680" s="41" t="s">
        <v>23</v>
      </c>
      <c r="B680" s="41" t="s">
        <v>6100</v>
      </c>
      <c r="D680" s="41" t="s">
        <v>6101</v>
      </c>
      <c r="F680" s="41" t="s">
        <v>6102</v>
      </c>
      <c r="G680" s="41" t="s">
        <v>6103</v>
      </c>
      <c r="H680" s="41" t="s">
        <v>6104</v>
      </c>
      <c r="I680" s="41" t="s">
        <v>6105</v>
      </c>
      <c r="J680" s="41" t="s">
        <v>6106</v>
      </c>
      <c r="K680" s="41" t="s">
        <v>6107</v>
      </c>
      <c r="L680" s="41" t="s">
        <v>1085</v>
      </c>
    </row>
    <row r="681" spans="1:19" x14ac:dyDescent="0.25">
      <c r="A681" s="41" t="s">
        <v>23</v>
      </c>
      <c r="B681" s="41" t="s">
        <v>6108</v>
      </c>
      <c r="D681" s="41" t="s">
        <v>6109</v>
      </c>
      <c r="F681" s="41" t="s">
        <v>6110</v>
      </c>
      <c r="G681" s="41" t="s">
        <v>6111</v>
      </c>
      <c r="H681" s="41" t="s">
        <v>6112</v>
      </c>
      <c r="I681" s="41" t="s">
        <v>6113</v>
      </c>
      <c r="J681" s="41" t="s">
        <v>6114</v>
      </c>
      <c r="K681" s="41" t="s">
        <v>6115</v>
      </c>
      <c r="L681" s="41" t="s">
        <v>1094</v>
      </c>
    </row>
    <row r="682" spans="1:19" x14ac:dyDescent="0.25">
      <c r="A682" s="41" t="s">
        <v>908</v>
      </c>
      <c r="B682" s="41" t="s">
        <v>6116</v>
      </c>
    </row>
    <row r="683" spans="1:19" x14ac:dyDescent="0.25">
      <c r="A683" s="41" t="s">
        <v>23</v>
      </c>
      <c r="B683" s="41" t="s">
        <v>6117</v>
      </c>
      <c r="F683" s="41" t="s">
        <v>6118</v>
      </c>
      <c r="G683" s="41" t="s">
        <v>6119</v>
      </c>
      <c r="H683" s="41" t="s">
        <v>6120</v>
      </c>
      <c r="I683" s="41" t="s">
        <v>6121</v>
      </c>
      <c r="J683" s="41" t="s">
        <v>6122</v>
      </c>
      <c r="L683" s="41" t="s">
        <v>4</v>
      </c>
    </row>
    <row r="684" spans="1:19" x14ac:dyDescent="0.25">
      <c r="A684" s="41" t="s">
        <v>23</v>
      </c>
      <c r="B684" s="41" t="s">
        <v>6123</v>
      </c>
      <c r="D684" s="41" t="s">
        <v>6124</v>
      </c>
      <c r="E684" s="41" t="s">
        <v>6125</v>
      </c>
      <c r="F684" s="41" t="s">
        <v>6126</v>
      </c>
      <c r="G684" s="41" t="s">
        <v>6127</v>
      </c>
      <c r="H684" s="41" t="s">
        <v>6128</v>
      </c>
      <c r="I684" s="41" t="s">
        <v>6129</v>
      </c>
      <c r="J684" s="41" t="s">
        <v>6130</v>
      </c>
      <c r="K684" s="41" t="s">
        <v>6131</v>
      </c>
      <c r="L684" s="41" t="s">
        <v>6132</v>
      </c>
      <c r="M684" s="41" t="s">
        <v>6133</v>
      </c>
      <c r="N684" s="41" t="s">
        <v>6134</v>
      </c>
      <c r="O684" s="41" t="s">
        <v>6135</v>
      </c>
      <c r="P684" s="41" t="s">
        <v>6136</v>
      </c>
      <c r="Q684" s="41" t="s">
        <v>6137</v>
      </c>
      <c r="R684" s="41" t="s">
        <v>6138</v>
      </c>
      <c r="S684" s="41" t="s">
        <v>6139</v>
      </c>
    </row>
    <row r="685" spans="1:19" x14ac:dyDescent="0.25">
      <c r="A685" s="41" t="s">
        <v>23</v>
      </c>
      <c r="B685" s="41" t="s">
        <v>6140</v>
      </c>
      <c r="D685" s="41" t="s">
        <v>6141</v>
      </c>
      <c r="F685" s="41" t="s">
        <v>6142</v>
      </c>
      <c r="G685" s="41" t="s">
        <v>6143</v>
      </c>
      <c r="H685" s="41" t="s">
        <v>6144</v>
      </c>
      <c r="I685" s="41" t="s">
        <v>6145</v>
      </c>
      <c r="J685" s="41" t="s">
        <v>6146</v>
      </c>
      <c r="K685" s="41" t="s">
        <v>6147</v>
      </c>
      <c r="L685" s="41" t="s">
        <v>891</v>
      </c>
    </row>
    <row r="686" spans="1:19" x14ac:dyDescent="0.25">
      <c r="A686" s="41" t="s">
        <v>23</v>
      </c>
      <c r="B686" s="41" t="s">
        <v>6148</v>
      </c>
      <c r="D686" s="41" t="s">
        <v>6149</v>
      </c>
      <c r="F686" s="41" t="s">
        <v>6150</v>
      </c>
      <c r="G686" s="41" t="s">
        <v>6151</v>
      </c>
      <c r="H686" s="41" t="s">
        <v>6152</v>
      </c>
      <c r="I686" s="41" t="s">
        <v>6153</v>
      </c>
      <c r="J686" s="41" t="s">
        <v>6154</v>
      </c>
      <c r="K686" s="41" t="s">
        <v>6155</v>
      </c>
      <c r="L686" s="41" t="s">
        <v>1076</v>
      </c>
    </row>
    <row r="687" spans="1:19" x14ac:dyDescent="0.25">
      <c r="A687" s="41" t="s">
        <v>23</v>
      </c>
      <c r="B687" s="41" t="s">
        <v>6156</v>
      </c>
      <c r="D687" s="41" t="s">
        <v>6157</v>
      </c>
      <c r="F687" s="41" t="s">
        <v>6158</v>
      </c>
      <c r="G687" s="41" t="s">
        <v>6159</v>
      </c>
      <c r="H687" s="41" t="s">
        <v>6160</v>
      </c>
      <c r="I687" s="41" t="s">
        <v>6161</v>
      </c>
      <c r="J687" s="41" t="s">
        <v>6162</v>
      </c>
      <c r="K687" s="41" t="s">
        <v>6163</v>
      </c>
      <c r="L687" s="41" t="s">
        <v>1085</v>
      </c>
    </row>
    <row r="688" spans="1:19" x14ac:dyDescent="0.25">
      <c r="A688" s="41" t="s">
        <v>23</v>
      </c>
      <c r="B688" s="41" t="s">
        <v>6164</v>
      </c>
      <c r="D688" s="41" t="s">
        <v>6165</v>
      </c>
      <c r="F688" s="41" t="s">
        <v>6166</v>
      </c>
      <c r="G688" s="41" t="s">
        <v>6167</v>
      </c>
      <c r="H688" s="41" t="s">
        <v>6168</v>
      </c>
      <c r="I688" s="41" t="s">
        <v>6169</v>
      </c>
      <c r="J688" s="41" t="s">
        <v>6170</v>
      </c>
      <c r="K688" s="41" t="s">
        <v>6171</v>
      </c>
      <c r="L688" s="41" t="s">
        <v>1094</v>
      </c>
    </row>
    <row r="689" spans="1:19" x14ac:dyDescent="0.25">
      <c r="A689" s="41" t="s">
        <v>908</v>
      </c>
      <c r="B689" s="41" t="s">
        <v>6172</v>
      </c>
    </row>
    <row r="690" spans="1:19" x14ac:dyDescent="0.25">
      <c r="A690" s="41" t="s">
        <v>23</v>
      </c>
      <c r="B690" s="41" t="s">
        <v>6173</v>
      </c>
      <c r="F690" s="41" t="s">
        <v>6174</v>
      </c>
      <c r="G690" s="41" t="s">
        <v>6175</v>
      </c>
      <c r="H690" s="41" t="s">
        <v>6176</v>
      </c>
      <c r="I690" s="41" t="s">
        <v>6177</v>
      </c>
      <c r="J690" s="41" t="s">
        <v>6178</v>
      </c>
      <c r="L690" s="41" t="s">
        <v>4</v>
      </c>
    </row>
    <row r="691" spans="1:19" x14ac:dyDescent="0.25">
      <c r="A691" s="41" t="s">
        <v>23</v>
      </c>
      <c r="B691" s="41" t="s">
        <v>6179</v>
      </c>
      <c r="D691" s="41" t="s">
        <v>517</v>
      </c>
      <c r="E691" s="41" t="s">
        <v>6180</v>
      </c>
      <c r="F691" s="41" t="s">
        <v>6181</v>
      </c>
      <c r="G691" s="41" t="s">
        <v>6182</v>
      </c>
      <c r="H691" s="41" t="s">
        <v>6183</v>
      </c>
      <c r="I691" s="41" t="s">
        <v>6184</v>
      </c>
      <c r="J691" s="41" t="s">
        <v>6185</v>
      </c>
      <c r="K691" s="41" t="s">
        <v>6186</v>
      </c>
      <c r="L691" s="41" t="s">
        <v>6187</v>
      </c>
      <c r="M691" s="41" t="s">
        <v>6188</v>
      </c>
      <c r="N691" s="41" t="s">
        <v>6189</v>
      </c>
      <c r="O691" s="41" t="s">
        <v>6190</v>
      </c>
      <c r="P691" s="41" t="s">
        <v>6191</v>
      </c>
      <c r="Q691" s="41" t="s">
        <v>6192</v>
      </c>
      <c r="R691" s="41" t="s">
        <v>6193</v>
      </c>
      <c r="S691" s="41" t="s">
        <v>6194</v>
      </c>
    </row>
    <row r="692" spans="1:19" x14ac:dyDescent="0.25">
      <c r="A692" s="41" t="s">
        <v>23</v>
      </c>
      <c r="B692" s="41" t="s">
        <v>6195</v>
      </c>
      <c r="D692" s="41" t="s">
        <v>6196</v>
      </c>
      <c r="F692" s="41" t="s">
        <v>6197</v>
      </c>
      <c r="G692" s="41" t="s">
        <v>6198</v>
      </c>
      <c r="H692" s="41" t="s">
        <v>6199</v>
      </c>
      <c r="I692" s="41" t="s">
        <v>6200</v>
      </c>
      <c r="J692" s="41" t="s">
        <v>6201</v>
      </c>
      <c r="K692" s="41" t="s">
        <v>6202</v>
      </c>
      <c r="L692" s="41" t="s">
        <v>891</v>
      </c>
    </row>
    <row r="693" spans="1:19" x14ac:dyDescent="0.25">
      <c r="A693" s="41" t="s">
        <v>23</v>
      </c>
      <c r="B693" s="41" t="s">
        <v>6203</v>
      </c>
      <c r="D693" s="41" t="s">
        <v>6204</v>
      </c>
      <c r="F693" s="41" t="s">
        <v>6205</v>
      </c>
      <c r="G693" s="41" t="s">
        <v>6206</v>
      </c>
      <c r="H693" s="41" t="s">
        <v>6207</v>
      </c>
      <c r="I693" s="41" t="s">
        <v>6208</v>
      </c>
      <c r="J693" s="41" t="s">
        <v>6209</v>
      </c>
      <c r="K693" s="41" t="s">
        <v>6210</v>
      </c>
      <c r="L693" s="41" t="s">
        <v>1076</v>
      </c>
    </row>
    <row r="694" spans="1:19" x14ac:dyDescent="0.25">
      <c r="A694" s="41" t="s">
        <v>23</v>
      </c>
      <c r="B694" s="41" t="s">
        <v>6211</v>
      </c>
      <c r="D694" s="41" t="s">
        <v>6212</v>
      </c>
      <c r="F694" s="41" t="s">
        <v>6213</v>
      </c>
      <c r="G694" s="41" t="s">
        <v>6214</v>
      </c>
      <c r="H694" s="41" t="s">
        <v>6215</v>
      </c>
      <c r="I694" s="41" t="s">
        <v>6216</v>
      </c>
      <c r="J694" s="41" t="s">
        <v>6217</v>
      </c>
      <c r="K694" s="41" t="s">
        <v>6218</v>
      </c>
      <c r="L694" s="41" t="s">
        <v>1085</v>
      </c>
    </row>
    <row r="695" spans="1:19" x14ac:dyDescent="0.25">
      <c r="A695" s="41" t="s">
        <v>23</v>
      </c>
      <c r="B695" s="41" t="s">
        <v>6219</v>
      </c>
      <c r="D695" s="41" t="s">
        <v>6220</v>
      </c>
      <c r="F695" s="41" t="s">
        <v>6221</v>
      </c>
      <c r="G695" s="41" t="s">
        <v>6222</v>
      </c>
      <c r="H695" s="41" t="s">
        <v>6223</v>
      </c>
      <c r="I695" s="41" t="s">
        <v>6224</v>
      </c>
      <c r="J695" s="41" t="s">
        <v>6225</v>
      </c>
      <c r="K695" s="41" t="s">
        <v>6226</v>
      </c>
      <c r="L695" s="41" t="s">
        <v>1094</v>
      </c>
    </row>
    <row r="696" spans="1:19" x14ac:dyDescent="0.25">
      <c r="A696" s="41" t="s">
        <v>908</v>
      </c>
      <c r="B696" s="41" t="s">
        <v>6227</v>
      </c>
    </row>
    <row r="697" spans="1:19" x14ac:dyDescent="0.25">
      <c r="A697" s="41" t="s">
        <v>23</v>
      </c>
      <c r="B697" s="41" t="s">
        <v>6228</v>
      </c>
      <c r="F697" s="41" t="s">
        <v>6229</v>
      </c>
      <c r="G697" s="41" t="s">
        <v>6230</v>
      </c>
      <c r="H697" s="41" t="s">
        <v>6231</v>
      </c>
      <c r="I697" s="41" t="s">
        <v>6232</v>
      </c>
      <c r="J697" s="41" t="s">
        <v>6233</v>
      </c>
      <c r="L697" s="41" t="s">
        <v>4</v>
      </c>
    </row>
    <row r="698" spans="1:19" x14ac:dyDescent="0.25">
      <c r="A698" s="41" t="s">
        <v>23</v>
      </c>
      <c r="B698" s="41" t="s">
        <v>6234</v>
      </c>
      <c r="D698" s="41" t="s">
        <v>189</v>
      </c>
      <c r="E698" s="41" t="s">
        <v>6235</v>
      </c>
      <c r="F698" s="41" t="s">
        <v>6236</v>
      </c>
      <c r="G698" s="41" t="s">
        <v>6237</v>
      </c>
      <c r="H698" s="41" t="s">
        <v>6238</v>
      </c>
      <c r="I698" s="41" t="s">
        <v>6239</v>
      </c>
      <c r="J698" s="41" t="s">
        <v>6240</v>
      </c>
      <c r="K698" s="41" t="s">
        <v>6241</v>
      </c>
      <c r="L698" s="41" t="s">
        <v>6242</v>
      </c>
      <c r="M698" s="41" t="s">
        <v>6243</v>
      </c>
      <c r="N698" s="41" t="s">
        <v>6244</v>
      </c>
      <c r="O698" s="41" t="s">
        <v>6245</v>
      </c>
      <c r="P698" s="41" t="s">
        <v>6246</v>
      </c>
      <c r="Q698" s="41" t="s">
        <v>6247</v>
      </c>
      <c r="R698" s="41" t="s">
        <v>6248</v>
      </c>
      <c r="S698" s="41" t="s">
        <v>6249</v>
      </c>
    </row>
    <row r="699" spans="1:19" x14ac:dyDescent="0.25">
      <c r="A699" s="41" t="s">
        <v>23</v>
      </c>
      <c r="B699" s="41" t="s">
        <v>6250</v>
      </c>
      <c r="D699" s="41" t="s">
        <v>6251</v>
      </c>
      <c r="F699" s="41" t="s">
        <v>6252</v>
      </c>
      <c r="G699" s="41" t="s">
        <v>6253</v>
      </c>
      <c r="H699" s="41" t="s">
        <v>6254</v>
      </c>
      <c r="I699" s="41" t="s">
        <v>6255</v>
      </c>
      <c r="J699" s="41" t="s">
        <v>6256</v>
      </c>
      <c r="K699" s="41" t="s">
        <v>6257</v>
      </c>
      <c r="L699" s="41" t="s">
        <v>891</v>
      </c>
    </row>
    <row r="700" spans="1:19" x14ac:dyDescent="0.25">
      <c r="A700" s="41" t="s">
        <v>23</v>
      </c>
      <c r="B700" s="41" t="s">
        <v>6258</v>
      </c>
      <c r="D700" s="41" t="s">
        <v>6259</v>
      </c>
      <c r="F700" s="41" t="s">
        <v>6260</v>
      </c>
      <c r="G700" s="41" t="s">
        <v>6261</v>
      </c>
      <c r="H700" s="41" t="s">
        <v>6262</v>
      </c>
      <c r="I700" s="41" t="s">
        <v>6263</v>
      </c>
      <c r="J700" s="41" t="s">
        <v>6264</v>
      </c>
      <c r="K700" s="41" t="s">
        <v>6265</v>
      </c>
      <c r="L700" s="41" t="s">
        <v>1076</v>
      </c>
    </row>
    <row r="701" spans="1:19" x14ac:dyDescent="0.25">
      <c r="A701" s="41" t="s">
        <v>23</v>
      </c>
      <c r="B701" s="41" t="s">
        <v>6266</v>
      </c>
      <c r="D701" s="41" t="s">
        <v>6267</v>
      </c>
      <c r="F701" s="41" t="s">
        <v>6268</v>
      </c>
      <c r="G701" s="41" t="s">
        <v>6269</v>
      </c>
      <c r="H701" s="41" t="s">
        <v>6270</v>
      </c>
      <c r="I701" s="41" t="s">
        <v>6271</v>
      </c>
      <c r="J701" s="41" t="s">
        <v>6272</v>
      </c>
      <c r="K701" s="41" t="s">
        <v>6273</v>
      </c>
      <c r="L701" s="41" t="s">
        <v>1085</v>
      </c>
    </row>
    <row r="702" spans="1:19" x14ac:dyDescent="0.25">
      <c r="A702" s="41" t="s">
        <v>23</v>
      </c>
      <c r="B702" s="41" t="s">
        <v>6274</v>
      </c>
      <c r="D702" s="41" t="s">
        <v>6275</v>
      </c>
      <c r="F702" s="41" t="s">
        <v>6276</v>
      </c>
      <c r="G702" s="41" t="s">
        <v>6277</v>
      </c>
      <c r="H702" s="41" t="s">
        <v>6278</v>
      </c>
      <c r="I702" s="41" t="s">
        <v>6279</v>
      </c>
      <c r="J702" s="41" t="s">
        <v>6280</v>
      </c>
      <c r="K702" s="41" t="s">
        <v>6281</v>
      </c>
      <c r="L702" s="41" t="s">
        <v>1094</v>
      </c>
    </row>
    <row r="703" spans="1:19" x14ac:dyDescent="0.25">
      <c r="A703" s="41" t="s">
        <v>908</v>
      </c>
      <c r="B703" s="41" t="s">
        <v>6282</v>
      </c>
    </row>
    <row r="704" spans="1:19" x14ac:dyDescent="0.25">
      <c r="A704" s="41" t="s">
        <v>23</v>
      </c>
      <c r="B704" s="41" t="s">
        <v>6283</v>
      </c>
      <c r="F704" s="41" t="s">
        <v>6284</v>
      </c>
      <c r="G704" s="41" t="s">
        <v>6285</v>
      </c>
      <c r="H704" s="41" t="s">
        <v>6286</v>
      </c>
      <c r="I704" s="41" t="s">
        <v>6287</v>
      </c>
      <c r="J704" s="41" t="s">
        <v>6288</v>
      </c>
      <c r="L704" s="41" t="s">
        <v>4</v>
      </c>
    </row>
    <row r="705" spans="1:19" x14ac:dyDescent="0.25">
      <c r="A705" s="41" t="s">
        <v>23</v>
      </c>
      <c r="B705" s="41" t="s">
        <v>6289</v>
      </c>
      <c r="D705" s="41" t="s">
        <v>6290</v>
      </c>
      <c r="E705" s="41" t="s">
        <v>6291</v>
      </c>
      <c r="F705" s="41" t="s">
        <v>6292</v>
      </c>
      <c r="G705" s="41" t="s">
        <v>6293</v>
      </c>
      <c r="H705" s="41" t="s">
        <v>6294</v>
      </c>
      <c r="I705" s="41" t="s">
        <v>6295</v>
      </c>
      <c r="J705" s="41" t="s">
        <v>6296</v>
      </c>
      <c r="K705" s="41" t="s">
        <v>6297</v>
      </c>
      <c r="L705" s="41" t="s">
        <v>6298</v>
      </c>
      <c r="M705" s="41" t="s">
        <v>6299</v>
      </c>
      <c r="N705" s="41" t="s">
        <v>6300</v>
      </c>
      <c r="O705" s="41" t="s">
        <v>6301</v>
      </c>
      <c r="P705" s="41" t="s">
        <v>6302</v>
      </c>
      <c r="Q705" s="41" t="s">
        <v>6303</v>
      </c>
      <c r="R705" s="41" t="s">
        <v>6304</v>
      </c>
      <c r="S705" s="41" t="s">
        <v>6305</v>
      </c>
    </row>
    <row r="706" spans="1:19" x14ac:dyDescent="0.25">
      <c r="A706" s="41" t="s">
        <v>23</v>
      </c>
      <c r="B706" s="41" t="s">
        <v>6306</v>
      </c>
      <c r="D706" s="41" t="s">
        <v>6307</v>
      </c>
      <c r="F706" s="41" t="s">
        <v>6308</v>
      </c>
      <c r="G706" s="41" t="s">
        <v>6309</v>
      </c>
      <c r="H706" s="41" t="s">
        <v>6310</v>
      </c>
      <c r="I706" s="41" t="s">
        <v>6311</v>
      </c>
      <c r="J706" s="41" t="s">
        <v>6312</v>
      </c>
      <c r="K706" s="41" t="s">
        <v>6313</v>
      </c>
      <c r="L706" s="41" t="s">
        <v>891</v>
      </c>
    </row>
    <row r="707" spans="1:19" x14ac:dyDescent="0.25">
      <c r="A707" s="41" t="s">
        <v>23</v>
      </c>
      <c r="B707" s="41" t="s">
        <v>6314</v>
      </c>
      <c r="D707" s="41" t="s">
        <v>6315</v>
      </c>
      <c r="F707" s="41" t="s">
        <v>6316</v>
      </c>
      <c r="G707" s="41" t="s">
        <v>6317</v>
      </c>
      <c r="H707" s="41" t="s">
        <v>6318</v>
      </c>
      <c r="I707" s="41" t="s">
        <v>6319</v>
      </c>
      <c r="J707" s="41" t="s">
        <v>6320</v>
      </c>
      <c r="K707" s="41" t="s">
        <v>6321</v>
      </c>
      <c r="L707" s="41" t="s">
        <v>1076</v>
      </c>
    </row>
    <row r="708" spans="1:19" x14ac:dyDescent="0.25">
      <c r="A708" s="41" t="s">
        <v>23</v>
      </c>
      <c r="B708" s="41" t="s">
        <v>6322</v>
      </c>
      <c r="D708" s="41" t="s">
        <v>6323</v>
      </c>
      <c r="F708" s="41" t="s">
        <v>6324</v>
      </c>
      <c r="G708" s="41" t="s">
        <v>6325</v>
      </c>
      <c r="H708" s="41" t="s">
        <v>6326</v>
      </c>
      <c r="I708" s="41" t="s">
        <v>6327</v>
      </c>
      <c r="J708" s="41" t="s">
        <v>6328</v>
      </c>
      <c r="K708" s="41" t="s">
        <v>6329</v>
      </c>
      <c r="L708" s="41" t="s">
        <v>1085</v>
      </c>
    </row>
    <row r="709" spans="1:19" x14ac:dyDescent="0.25">
      <c r="A709" s="41" t="s">
        <v>23</v>
      </c>
      <c r="B709" s="41" t="s">
        <v>6330</v>
      </c>
      <c r="D709" s="41" t="s">
        <v>6331</v>
      </c>
      <c r="F709" s="41" t="s">
        <v>6332</v>
      </c>
      <c r="G709" s="41" t="s">
        <v>6333</v>
      </c>
      <c r="H709" s="41" t="s">
        <v>6334</v>
      </c>
      <c r="I709" s="41" t="s">
        <v>6335</v>
      </c>
      <c r="J709" s="41" t="s">
        <v>6336</v>
      </c>
      <c r="K709" s="41" t="s">
        <v>6337</v>
      </c>
      <c r="L709" s="41" t="s">
        <v>1094</v>
      </c>
    </row>
    <row r="710" spans="1:19" x14ac:dyDescent="0.25">
      <c r="A710" s="41" t="s">
        <v>908</v>
      </c>
      <c r="B710" s="41" t="s">
        <v>6338</v>
      </c>
    </row>
    <row r="711" spans="1:19" x14ac:dyDescent="0.25">
      <c r="A711" s="41" t="s">
        <v>23</v>
      </c>
      <c r="B711" s="41" t="s">
        <v>6339</v>
      </c>
      <c r="F711" s="41" t="s">
        <v>6340</v>
      </c>
      <c r="G711" s="41" t="s">
        <v>6341</v>
      </c>
      <c r="H711" s="41" t="s">
        <v>6342</v>
      </c>
      <c r="I711" s="41" t="s">
        <v>6343</v>
      </c>
      <c r="J711" s="41" t="s">
        <v>6344</v>
      </c>
      <c r="L711" s="41" t="s">
        <v>4</v>
      </c>
    </row>
    <row r="712" spans="1:19" x14ac:dyDescent="0.25">
      <c r="A712" s="41" t="s">
        <v>23</v>
      </c>
      <c r="B712" s="41" t="s">
        <v>6345</v>
      </c>
      <c r="D712" s="41" t="s">
        <v>6346</v>
      </c>
      <c r="E712" s="41" t="s">
        <v>6347</v>
      </c>
      <c r="F712" s="41" t="s">
        <v>6348</v>
      </c>
      <c r="G712" s="41" t="s">
        <v>6349</v>
      </c>
      <c r="H712" s="41" t="s">
        <v>6350</v>
      </c>
      <c r="I712" s="41" t="s">
        <v>6351</v>
      </c>
      <c r="J712" s="41" t="s">
        <v>6352</v>
      </c>
      <c r="K712" s="41" t="s">
        <v>6353</v>
      </c>
      <c r="L712" s="41" t="s">
        <v>6354</v>
      </c>
      <c r="M712" s="41" t="s">
        <v>6355</v>
      </c>
      <c r="N712" s="41" t="s">
        <v>6356</v>
      </c>
      <c r="O712" s="41" t="s">
        <v>6357</v>
      </c>
      <c r="P712" s="41" t="s">
        <v>6358</v>
      </c>
      <c r="Q712" s="41" t="s">
        <v>6359</v>
      </c>
      <c r="R712" s="41" t="s">
        <v>6360</v>
      </c>
      <c r="S712" s="41" t="s">
        <v>6361</v>
      </c>
    </row>
    <row r="713" spans="1:19" x14ac:dyDescent="0.25">
      <c r="A713" s="41" t="s">
        <v>23</v>
      </c>
      <c r="B713" s="41" t="s">
        <v>6362</v>
      </c>
      <c r="D713" s="41" t="s">
        <v>6363</v>
      </c>
      <c r="F713" s="41" t="s">
        <v>6364</v>
      </c>
      <c r="G713" s="41" t="s">
        <v>6365</v>
      </c>
      <c r="H713" s="41" t="s">
        <v>6366</v>
      </c>
      <c r="I713" s="41" t="s">
        <v>6367</v>
      </c>
      <c r="J713" s="41" t="s">
        <v>6368</v>
      </c>
      <c r="K713" s="41" t="s">
        <v>6369</v>
      </c>
      <c r="L713" s="41" t="s">
        <v>891</v>
      </c>
    </row>
    <row r="714" spans="1:19" x14ac:dyDescent="0.25">
      <c r="A714" s="41" t="s">
        <v>23</v>
      </c>
      <c r="B714" s="41" t="s">
        <v>6370</v>
      </c>
      <c r="D714" s="41" t="s">
        <v>6371</v>
      </c>
      <c r="F714" s="41" t="s">
        <v>6372</v>
      </c>
      <c r="G714" s="41" t="s">
        <v>6373</v>
      </c>
      <c r="H714" s="41" t="s">
        <v>6374</v>
      </c>
      <c r="I714" s="41" t="s">
        <v>6375</v>
      </c>
      <c r="J714" s="41" t="s">
        <v>6376</v>
      </c>
      <c r="K714" s="41" t="s">
        <v>6377</v>
      </c>
      <c r="L714" s="41" t="s">
        <v>1076</v>
      </c>
    </row>
    <row r="715" spans="1:19" x14ac:dyDescent="0.25">
      <c r="A715" s="41" t="s">
        <v>23</v>
      </c>
      <c r="B715" s="41" t="s">
        <v>6378</v>
      </c>
      <c r="D715" s="41" t="s">
        <v>6379</v>
      </c>
      <c r="F715" s="41" t="s">
        <v>6380</v>
      </c>
      <c r="G715" s="41" t="s">
        <v>6381</v>
      </c>
      <c r="H715" s="41" t="s">
        <v>6382</v>
      </c>
      <c r="I715" s="41" t="s">
        <v>6383</v>
      </c>
      <c r="J715" s="41" t="s">
        <v>6384</v>
      </c>
      <c r="K715" s="41" t="s">
        <v>6385</v>
      </c>
      <c r="L715" s="41" t="s">
        <v>1085</v>
      </c>
    </row>
    <row r="716" spans="1:19" x14ac:dyDescent="0.25">
      <c r="A716" s="41" t="s">
        <v>23</v>
      </c>
      <c r="B716" s="41" t="s">
        <v>6386</v>
      </c>
      <c r="D716" s="41" t="s">
        <v>6387</v>
      </c>
      <c r="F716" s="41" t="s">
        <v>6388</v>
      </c>
      <c r="G716" s="41" t="s">
        <v>6389</v>
      </c>
      <c r="H716" s="41" t="s">
        <v>6390</v>
      </c>
      <c r="I716" s="41" t="s">
        <v>6391</v>
      </c>
      <c r="J716" s="41" t="s">
        <v>6392</v>
      </c>
      <c r="K716" s="41" t="s">
        <v>6393</v>
      </c>
      <c r="L716" s="41" t="s">
        <v>1094</v>
      </c>
    </row>
    <row r="717" spans="1:19" x14ac:dyDescent="0.25">
      <c r="A717" s="41" t="s">
        <v>908</v>
      </c>
      <c r="B717" s="41" t="s">
        <v>6394</v>
      </c>
    </row>
    <row r="718" spans="1:19" x14ac:dyDescent="0.25">
      <c r="A718" s="41" t="s">
        <v>23</v>
      </c>
      <c r="B718" s="41" t="s">
        <v>6395</v>
      </c>
      <c r="F718" s="41" t="s">
        <v>6396</v>
      </c>
      <c r="G718" s="41" t="s">
        <v>6397</v>
      </c>
      <c r="H718" s="41" t="s">
        <v>6398</v>
      </c>
      <c r="I718" s="41" t="s">
        <v>6399</v>
      </c>
      <c r="J718" s="41" t="s">
        <v>6400</v>
      </c>
      <c r="L718" s="41" t="s">
        <v>4</v>
      </c>
    </row>
    <row r="719" spans="1:19" x14ac:dyDescent="0.25">
      <c r="A719" s="41" t="s">
        <v>23</v>
      </c>
      <c r="B719" s="41" t="s">
        <v>6401</v>
      </c>
      <c r="D719" s="41" t="s">
        <v>6402</v>
      </c>
      <c r="E719" s="41" t="s">
        <v>6403</v>
      </c>
      <c r="F719" s="41" t="s">
        <v>6404</v>
      </c>
      <c r="G719" s="41" t="s">
        <v>6405</v>
      </c>
      <c r="H719" s="41" t="s">
        <v>6406</v>
      </c>
      <c r="I719" s="41" t="s">
        <v>6407</v>
      </c>
      <c r="J719" s="41" t="s">
        <v>6408</v>
      </c>
      <c r="K719" s="41" t="s">
        <v>6409</v>
      </c>
      <c r="L719" s="41" t="s">
        <v>6410</v>
      </c>
      <c r="M719" s="41" t="s">
        <v>6411</v>
      </c>
      <c r="N719" s="41" t="s">
        <v>6412</v>
      </c>
      <c r="O719" s="41" t="s">
        <v>6413</v>
      </c>
      <c r="P719" s="41" t="s">
        <v>6414</v>
      </c>
      <c r="Q719" s="41" t="s">
        <v>6415</v>
      </c>
      <c r="R719" s="41" t="s">
        <v>6416</v>
      </c>
      <c r="S719" s="41" t="s">
        <v>6417</v>
      </c>
    </row>
    <row r="720" spans="1:19" x14ac:dyDescent="0.25">
      <c r="A720" s="41" t="s">
        <v>23</v>
      </c>
      <c r="B720" s="41" t="s">
        <v>6418</v>
      </c>
      <c r="D720" s="41" t="s">
        <v>6419</v>
      </c>
      <c r="F720" s="41" t="s">
        <v>6420</v>
      </c>
      <c r="G720" s="41" t="s">
        <v>6421</v>
      </c>
      <c r="H720" s="41" t="s">
        <v>6422</v>
      </c>
      <c r="I720" s="41" t="s">
        <v>6423</v>
      </c>
      <c r="J720" s="41" t="s">
        <v>6424</v>
      </c>
      <c r="K720" s="41" t="s">
        <v>6425</v>
      </c>
      <c r="L720" s="41" t="s">
        <v>891</v>
      </c>
    </row>
    <row r="721" spans="1:19" x14ac:dyDescent="0.25">
      <c r="A721" s="41" t="s">
        <v>23</v>
      </c>
      <c r="B721" s="41" t="s">
        <v>6426</v>
      </c>
      <c r="D721" s="41" t="s">
        <v>6427</v>
      </c>
      <c r="F721" s="41" t="s">
        <v>6428</v>
      </c>
      <c r="G721" s="41" t="s">
        <v>6429</v>
      </c>
      <c r="H721" s="41" t="s">
        <v>6430</v>
      </c>
      <c r="I721" s="41" t="s">
        <v>6431</v>
      </c>
      <c r="J721" s="41" t="s">
        <v>6432</v>
      </c>
      <c r="K721" s="41" t="s">
        <v>6433</v>
      </c>
      <c r="L721" s="41" t="s">
        <v>1076</v>
      </c>
    </row>
    <row r="722" spans="1:19" x14ac:dyDescent="0.25">
      <c r="A722" s="41" t="s">
        <v>23</v>
      </c>
      <c r="B722" s="41" t="s">
        <v>6434</v>
      </c>
      <c r="D722" s="41" t="s">
        <v>6435</v>
      </c>
      <c r="F722" s="41" t="s">
        <v>6436</v>
      </c>
      <c r="G722" s="41" t="s">
        <v>6437</v>
      </c>
      <c r="H722" s="41" t="s">
        <v>6438</v>
      </c>
      <c r="I722" s="41" t="s">
        <v>6439</v>
      </c>
      <c r="J722" s="41" t="s">
        <v>6440</v>
      </c>
      <c r="K722" s="41" t="s">
        <v>6441</v>
      </c>
      <c r="L722" s="41" t="s">
        <v>1085</v>
      </c>
    </row>
    <row r="723" spans="1:19" x14ac:dyDescent="0.25">
      <c r="A723" s="41" t="s">
        <v>23</v>
      </c>
      <c r="B723" s="41" t="s">
        <v>6442</v>
      </c>
      <c r="D723" s="41" t="s">
        <v>6443</v>
      </c>
      <c r="F723" s="41" t="s">
        <v>6444</v>
      </c>
      <c r="G723" s="41" t="s">
        <v>6445</v>
      </c>
      <c r="H723" s="41" t="s">
        <v>6446</v>
      </c>
      <c r="I723" s="41" t="s">
        <v>6447</v>
      </c>
      <c r="J723" s="41" t="s">
        <v>6448</v>
      </c>
      <c r="K723" s="41" t="s">
        <v>6449</v>
      </c>
      <c r="L723" s="41" t="s">
        <v>1094</v>
      </c>
    </row>
    <row r="724" spans="1:19" x14ac:dyDescent="0.25">
      <c r="A724" s="41" t="s">
        <v>908</v>
      </c>
      <c r="B724" s="41" t="s">
        <v>6450</v>
      </c>
    </row>
    <row r="725" spans="1:19" x14ac:dyDescent="0.25">
      <c r="A725" s="41" t="s">
        <v>23</v>
      </c>
      <c r="B725" s="41" t="s">
        <v>6451</v>
      </c>
      <c r="F725" s="41" t="s">
        <v>6452</v>
      </c>
      <c r="G725" s="41" t="s">
        <v>6453</v>
      </c>
      <c r="H725" s="41" t="s">
        <v>6454</v>
      </c>
      <c r="I725" s="41" t="s">
        <v>6455</v>
      </c>
      <c r="J725" s="41" t="s">
        <v>6456</v>
      </c>
      <c r="L725" s="41" t="s">
        <v>4</v>
      </c>
    </row>
    <row r="726" spans="1:19" x14ac:dyDescent="0.25">
      <c r="A726" s="41" t="s">
        <v>23</v>
      </c>
      <c r="B726" s="41" t="s">
        <v>6457</v>
      </c>
      <c r="D726" s="41" t="s">
        <v>6458</v>
      </c>
      <c r="E726" s="41" t="s">
        <v>6459</v>
      </c>
      <c r="F726" s="41" t="s">
        <v>6460</v>
      </c>
      <c r="G726" s="41" t="s">
        <v>6461</v>
      </c>
      <c r="H726" s="41" t="s">
        <v>6462</v>
      </c>
      <c r="I726" s="41" t="s">
        <v>6463</v>
      </c>
      <c r="J726" s="41" t="s">
        <v>6464</v>
      </c>
      <c r="K726" s="41" t="s">
        <v>6465</v>
      </c>
      <c r="L726" s="41" t="s">
        <v>6466</v>
      </c>
      <c r="M726" s="41" t="s">
        <v>6467</v>
      </c>
      <c r="N726" s="41" t="s">
        <v>6468</v>
      </c>
      <c r="O726" s="41" t="s">
        <v>6469</v>
      </c>
      <c r="P726" s="41" t="s">
        <v>6470</v>
      </c>
      <c r="Q726" s="41" t="s">
        <v>6471</v>
      </c>
      <c r="R726" s="41" t="s">
        <v>6472</v>
      </c>
      <c r="S726" s="41" t="s">
        <v>6473</v>
      </c>
    </row>
    <row r="727" spans="1:19" x14ac:dyDescent="0.25">
      <c r="A727" s="41" t="s">
        <v>23</v>
      </c>
      <c r="B727" s="41" t="s">
        <v>6474</v>
      </c>
      <c r="D727" s="41" t="s">
        <v>6475</v>
      </c>
      <c r="F727" s="41" t="s">
        <v>6476</v>
      </c>
      <c r="G727" s="41" t="s">
        <v>6477</v>
      </c>
      <c r="H727" s="41" t="s">
        <v>6478</v>
      </c>
      <c r="I727" s="41" t="s">
        <v>6479</v>
      </c>
      <c r="J727" s="41" t="s">
        <v>6480</v>
      </c>
      <c r="K727" s="41" t="s">
        <v>6481</v>
      </c>
      <c r="L727" s="41" t="s">
        <v>891</v>
      </c>
    </row>
    <row r="728" spans="1:19" x14ac:dyDescent="0.25">
      <c r="A728" s="41" t="s">
        <v>23</v>
      </c>
      <c r="B728" s="41" t="s">
        <v>6482</v>
      </c>
      <c r="D728" s="41" t="s">
        <v>6483</v>
      </c>
      <c r="F728" s="41" t="s">
        <v>6484</v>
      </c>
      <c r="G728" s="41" t="s">
        <v>6485</v>
      </c>
      <c r="H728" s="41" t="s">
        <v>6486</v>
      </c>
      <c r="I728" s="41" t="s">
        <v>6487</v>
      </c>
      <c r="J728" s="41" t="s">
        <v>6488</v>
      </c>
      <c r="K728" s="41" t="s">
        <v>6489</v>
      </c>
      <c r="L728" s="41" t="s">
        <v>1076</v>
      </c>
    </row>
    <row r="729" spans="1:19" x14ac:dyDescent="0.25">
      <c r="A729" s="41" t="s">
        <v>23</v>
      </c>
      <c r="B729" s="41" t="s">
        <v>6490</v>
      </c>
      <c r="D729" s="41" t="s">
        <v>6491</v>
      </c>
      <c r="F729" s="41" t="s">
        <v>6492</v>
      </c>
      <c r="G729" s="41" t="s">
        <v>6493</v>
      </c>
      <c r="H729" s="41" t="s">
        <v>6494</v>
      </c>
      <c r="I729" s="41" t="s">
        <v>6495</v>
      </c>
      <c r="J729" s="41" t="s">
        <v>6496</v>
      </c>
      <c r="K729" s="41" t="s">
        <v>6497</v>
      </c>
      <c r="L729" s="41" t="s">
        <v>1085</v>
      </c>
    </row>
    <row r="730" spans="1:19" x14ac:dyDescent="0.25">
      <c r="A730" s="41" t="s">
        <v>23</v>
      </c>
      <c r="B730" s="41" t="s">
        <v>6498</v>
      </c>
      <c r="D730" s="41" t="s">
        <v>6499</v>
      </c>
      <c r="F730" s="41" t="s">
        <v>6500</v>
      </c>
      <c r="G730" s="41" t="s">
        <v>6501</v>
      </c>
      <c r="H730" s="41" t="s">
        <v>6502</v>
      </c>
      <c r="I730" s="41" t="s">
        <v>6503</v>
      </c>
      <c r="J730" s="41" t="s">
        <v>6504</v>
      </c>
      <c r="K730" s="41" t="s">
        <v>6505</v>
      </c>
      <c r="L730" s="41" t="s">
        <v>1094</v>
      </c>
    </row>
    <row r="731" spans="1:19" x14ac:dyDescent="0.25">
      <c r="A731" s="41" t="s">
        <v>908</v>
      </c>
      <c r="B731" s="41" t="s">
        <v>6506</v>
      </c>
    </row>
    <row r="732" spans="1:19" x14ac:dyDescent="0.25">
      <c r="A732" s="41" t="s">
        <v>23</v>
      </c>
      <c r="B732" s="41" t="s">
        <v>6507</v>
      </c>
      <c r="F732" s="41" t="s">
        <v>6508</v>
      </c>
      <c r="G732" s="41" t="s">
        <v>6509</v>
      </c>
      <c r="H732" s="41" t="s">
        <v>6510</v>
      </c>
      <c r="I732" s="41" t="s">
        <v>6511</v>
      </c>
      <c r="J732" s="41" t="s">
        <v>6512</v>
      </c>
      <c r="L732" s="41" t="s">
        <v>4</v>
      </c>
    </row>
    <row r="733" spans="1:19" x14ac:dyDescent="0.25">
      <c r="A733" s="41" t="s">
        <v>23</v>
      </c>
      <c r="B733" s="41" t="s">
        <v>6513</v>
      </c>
      <c r="D733" s="41" t="s">
        <v>6514</v>
      </c>
      <c r="E733" s="41" t="s">
        <v>6515</v>
      </c>
      <c r="F733" s="41" t="s">
        <v>6516</v>
      </c>
      <c r="G733" s="41" t="s">
        <v>6517</v>
      </c>
      <c r="H733" s="41" t="s">
        <v>6518</v>
      </c>
      <c r="I733" s="41" t="s">
        <v>6519</v>
      </c>
      <c r="J733" s="41" t="s">
        <v>6520</v>
      </c>
      <c r="K733" s="41" t="s">
        <v>6521</v>
      </c>
      <c r="L733" s="41" t="s">
        <v>6522</v>
      </c>
      <c r="M733" s="41" t="s">
        <v>6523</v>
      </c>
      <c r="N733" s="41" t="s">
        <v>6524</v>
      </c>
      <c r="O733" s="41" t="s">
        <v>6525</v>
      </c>
      <c r="P733" s="41" t="s">
        <v>6526</v>
      </c>
      <c r="Q733" s="41" t="s">
        <v>6527</v>
      </c>
      <c r="R733" s="41" t="s">
        <v>6528</v>
      </c>
      <c r="S733" s="41" t="s">
        <v>6529</v>
      </c>
    </row>
    <row r="734" spans="1:19" x14ac:dyDescent="0.25">
      <c r="A734" s="41" t="s">
        <v>23</v>
      </c>
      <c r="B734" s="41" t="s">
        <v>6530</v>
      </c>
      <c r="D734" s="41" t="s">
        <v>6514</v>
      </c>
      <c r="E734" s="41" t="s">
        <v>6531</v>
      </c>
      <c r="F734" s="41" t="s">
        <v>6532</v>
      </c>
      <c r="G734" s="41" t="s">
        <v>6533</v>
      </c>
      <c r="H734" s="41" t="s">
        <v>6534</v>
      </c>
      <c r="I734" s="41" t="s">
        <v>6535</v>
      </c>
      <c r="J734" s="41" t="s">
        <v>6536</v>
      </c>
      <c r="K734" s="41" t="s">
        <v>6537</v>
      </c>
      <c r="L734" s="41" t="s">
        <v>6538</v>
      </c>
      <c r="M734" s="41" t="s">
        <v>6539</v>
      </c>
      <c r="N734" s="41" t="s">
        <v>6540</v>
      </c>
      <c r="O734" s="41" t="s">
        <v>6541</v>
      </c>
      <c r="P734" s="41" t="s">
        <v>6542</v>
      </c>
      <c r="Q734" s="41" t="s">
        <v>6543</v>
      </c>
      <c r="R734" s="41" t="s">
        <v>6544</v>
      </c>
      <c r="S734" s="41" t="s">
        <v>6545</v>
      </c>
    </row>
    <row r="735" spans="1:19" x14ac:dyDescent="0.25">
      <c r="A735" s="41" t="s">
        <v>23</v>
      </c>
      <c r="B735" s="41" t="s">
        <v>6546</v>
      </c>
      <c r="D735" s="41" t="s">
        <v>6547</v>
      </c>
      <c r="F735" s="41" t="s">
        <v>6548</v>
      </c>
      <c r="G735" s="41" t="s">
        <v>6549</v>
      </c>
      <c r="H735" s="41" t="s">
        <v>6550</v>
      </c>
      <c r="I735" s="41" t="s">
        <v>6551</v>
      </c>
      <c r="J735" s="41" t="s">
        <v>6552</v>
      </c>
      <c r="K735" s="41" t="s">
        <v>6553</v>
      </c>
      <c r="L735" s="41" t="s">
        <v>891</v>
      </c>
    </row>
    <row r="736" spans="1:19" x14ac:dyDescent="0.25">
      <c r="A736" s="41" t="s">
        <v>23</v>
      </c>
      <c r="B736" s="41" t="s">
        <v>6554</v>
      </c>
      <c r="D736" s="41" t="s">
        <v>6555</v>
      </c>
      <c r="F736" s="41" t="s">
        <v>6556</v>
      </c>
      <c r="G736" s="41" t="s">
        <v>6557</v>
      </c>
      <c r="H736" s="41" t="s">
        <v>6558</v>
      </c>
      <c r="I736" s="41" t="s">
        <v>6559</v>
      </c>
      <c r="J736" s="41" t="s">
        <v>6560</v>
      </c>
      <c r="K736" s="41" t="s">
        <v>6561</v>
      </c>
      <c r="L736" s="41" t="s">
        <v>1076</v>
      </c>
    </row>
    <row r="737" spans="1:19" x14ac:dyDescent="0.25">
      <c r="A737" s="41" t="s">
        <v>23</v>
      </c>
      <c r="B737" s="41" t="s">
        <v>6562</v>
      </c>
      <c r="D737" s="41" t="s">
        <v>6563</v>
      </c>
      <c r="F737" s="41" t="s">
        <v>6564</v>
      </c>
      <c r="G737" s="41" t="s">
        <v>6565</v>
      </c>
      <c r="H737" s="41" t="s">
        <v>6566</v>
      </c>
      <c r="I737" s="41" t="s">
        <v>6567</v>
      </c>
      <c r="J737" s="41" t="s">
        <v>6568</v>
      </c>
      <c r="K737" s="41" t="s">
        <v>6569</v>
      </c>
      <c r="L737" s="41" t="s">
        <v>1085</v>
      </c>
    </row>
    <row r="738" spans="1:19" x14ac:dyDescent="0.25">
      <c r="A738" s="41" t="s">
        <v>23</v>
      </c>
      <c r="B738" s="41" t="s">
        <v>6570</v>
      </c>
      <c r="D738" s="41" t="s">
        <v>6571</v>
      </c>
      <c r="F738" s="41" t="s">
        <v>6572</v>
      </c>
      <c r="G738" s="41" t="s">
        <v>6573</v>
      </c>
      <c r="H738" s="41" t="s">
        <v>6574</v>
      </c>
      <c r="I738" s="41" t="s">
        <v>6575</v>
      </c>
      <c r="J738" s="41" t="s">
        <v>6576</v>
      </c>
      <c r="K738" s="41" t="s">
        <v>6577</v>
      </c>
      <c r="L738" s="41" t="s">
        <v>1094</v>
      </c>
    </row>
    <row r="739" spans="1:19" x14ac:dyDescent="0.25">
      <c r="A739" s="41" t="s">
        <v>908</v>
      </c>
      <c r="B739" s="41" t="s">
        <v>6578</v>
      </c>
    </row>
    <row r="740" spans="1:19" x14ac:dyDescent="0.25">
      <c r="A740" s="41" t="s">
        <v>23</v>
      </c>
      <c r="B740" s="41" t="s">
        <v>6579</v>
      </c>
      <c r="F740" s="41" t="s">
        <v>6580</v>
      </c>
      <c r="G740" s="41" t="s">
        <v>6581</v>
      </c>
      <c r="H740" s="41" t="s">
        <v>6582</v>
      </c>
      <c r="I740" s="41" t="s">
        <v>6583</v>
      </c>
      <c r="J740" s="41" t="s">
        <v>6584</v>
      </c>
      <c r="L740" s="41" t="s">
        <v>4</v>
      </c>
    </row>
    <row r="741" spans="1:19" x14ac:dyDescent="0.25">
      <c r="A741" s="41" t="s">
        <v>23</v>
      </c>
      <c r="B741" s="41" t="s">
        <v>6585</v>
      </c>
      <c r="D741" s="41" t="s">
        <v>6586</v>
      </c>
      <c r="E741" s="41" t="s">
        <v>6587</v>
      </c>
      <c r="F741" s="41" t="s">
        <v>6588</v>
      </c>
      <c r="G741" s="41" t="s">
        <v>6589</v>
      </c>
      <c r="H741" s="41" t="s">
        <v>6590</v>
      </c>
      <c r="I741" s="41" t="s">
        <v>6591</v>
      </c>
      <c r="J741" s="41" t="s">
        <v>6592</v>
      </c>
      <c r="K741" s="41" t="s">
        <v>6593</v>
      </c>
      <c r="L741" s="41" t="s">
        <v>6594</v>
      </c>
      <c r="M741" s="41" t="s">
        <v>6595</v>
      </c>
      <c r="N741" s="41" t="s">
        <v>6596</v>
      </c>
      <c r="O741" s="41" t="s">
        <v>6597</v>
      </c>
      <c r="P741" s="41" t="s">
        <v>6598</v>
      </c>
      <c r="Q741" s="41" t="s">
        <v>6599</v>
      </c>
      <c r="R741" s="41" t="s">
        <v>6600</v>
      </c>
      <c r="S741" s="41" t="s">
        <v>6601</v>
      </c>
    </row>
    <row r="742" spans="1:19" x14ac:dyDescent="0.25">
      <c r="A742" s="41" t="s">
        <v>23</v>
      </c>
      <c r="B742" s="41" t="s">
        <v>6602</v>
      </c>
      <c r="D742" s="41" t="s">
        <v>6603</v>
      </c>
      <c r="F742" s="41" t="s">
        <v>6604</v>
      </c>
      <c r="G742" s="41" t="s">
        <v>6605</v>
      </c>
      <c r="H742" s="41" t="s">
        <v>6606</v>
      </c>
      <c r="I742" s="41" t="s">
        <v>6607</v>
      </c>
      <c r="J742" s="41" t="s">
        <v>6608</v>
      </c>
      <c r="K742" s="41" t="s">
        <v>6609</v>
      </c>
      <c r="L742" s="41" t="s">
        <v>891</v>
      </c>
    </row>
    <row r="743" spans="1:19" x14ac:dyDescent="0.25">
      <c r="A743" s="41" t="s">
        <v>23</v>
      </c>
      <c r="B743" s="41" t="s">
        <v>6610</v>
      </c>
      <c r="D743" s="41" t="s">
        <v>6611</v>
      </c>
      <c r="F743" s="41" t="s">
        <v>6612</v>
      </c>
      <c r="G743" s="41" t="s">
        <v>6613</v>
      </c>
      <c r="H743" s="41" t="s">
        <v>6614</v>
      </c>
      <c r="I743" s="41" t="s">
        <v>6615</v>
      </c>
      <c r="J743" s="41" t="s">
        <v>6616</v>
      </c>
      <c r="K743" s="41" t="s">
        <v>6617</v>
      </c>
      <c r="L743" s="41" t="s">
        <v>1076</v>
      </c>
    </row>
    <row r="744" spans="1:19" x14ac:dyDescent="0.25">
      <c r="A744" s="41" t="s">
        <v>23</v>
      </c>
      <c r="B744" s="41" t="s">
        <v>6618</v>
      </c>
      <c r="D744" s="41" t="s">
        <v>6619</v>
      </c>
      <c r="F744" s="41" t="s">
        <v>6620</v>
      </c>
      <c r="G744" s="41" t="s">
        <v>6621</v>
      </c>
      <c r="H744" s="41" t="s">
        <v>6622</v>
      </c>
      <c r="I744" s="41" t="s">
        <v>6623</v>
      </c>
      <c r="J744" s="41" t="s">
        <v>6624</v>
      </c>
      <c r="K744" s="41" t="s">
        <v>6625</v>
      </c>
      <c r="L744" s="41" t="s">
        <v>1085</v>
      </c>
    </row>
    <row r="745" spans="1:19" x14ac:dyDescent="0.25">
      <c r="A745" s="41" t="s">
        <v>23</v>
      </c>
      <c r="B745" s="41" t="s">
        <v>6626</v>
      </c>
      <c r="D745" s="41" t="s">
        <v>6627</v>
      </c>
      <c r="F745" s="41" t="s">
        <v>6628</v>
      </c>
      <c r="G745" s="41" t="s">
        <v>6629</v>
      </c>
      <c r="H745" s="41" t="s">
        <v>6630</v>
      </c>
      <c r="I745" s="41" t="s">
        <v>6631</v>
      </c>
      <c r="J745" s="41" t="s">
        <v>6632</v>
      </c>
      <c r="K745" s="41" t="s">
        <v>6633</v>
      </c>
      <c r="L745" s="41" t="s">
        <v>1094</v>
      </c>
    </row>
    <row r="746" spans="1:19" x14ac:dyDescent="0.25">
      <c r="A746" s="41" t="s">
        <v>908</v>
      </c>
      <c r="B746" s="41" t="s">
        <v>6634</v>
      </c>
    </row>
    <row r="747" spans="1:19" x14ac:dyDescent="0.25">
      <c r="A747" s="41" t="s">
        <v>23</v>
      </c>
      <c r="B747" s="41" t="s">
        <v>6635</v>
      </c>
      <c r="F747" s="41" t="s">
        <v>6636</v>
      </c>
      <c r="G747" s="41" t="s">
        <v>6637</v>
      </c>
      <c r="H747" s="41" t="s">
        <v>6638</v>
      </c>
      <c r="I747" s="41" t="s">
        <v>6639</v>
      </c>
      <c r="J747" s="41" t="s">
        <v>6640</v>
      </c>
      <c r="L747" s="41" t="s">
        <v>4</v>
      </c>
    </row>
    <row r="748" spans="1:19" x14ac:dyDescent="0.25">
      <c r="A748" s="41" t="s">
        <v>23</v>
      </c>
      <c r="B748" s="41" t="s">
        <v>6641</v>
      </c>
      <c r="D748" s="41" t="s">
        <v>6642</v>
      </c>
      <c r="E748" s="41" t="s">
        <v>6643</v>
      </c>
      <c r="F748" s="41" t="s">
        <v>6644</v>
      </c>
      <c r="G748" s="41" t="s">
        <v>6645</v>
      </c>
      <c r="H748" s="41" t="s">
        <v>6646</v>
      </c>
      <c r="I748" s="41" t="s">
        <v>6647</v>
      </c>
      <c r="J748" s="41" t="s">
        <v>6648</v>
      </c>
      <c r="K748" s="41" t="s">
        <v>6649</v>
      </c>
      <c r="L748" s="41" t="s">
        <v>6650</v>
      </c>
      <c r="M748" s="41" t="s">
        <v>6651</v>
      </c>
      <c r="N748" s="41" t="s">
        <v>6652</v>
      </c>
      <c r="O748" s="41" t="s">
        <v>6653</v>
      </c>
      <c r="P748" s="41" t="s">
        <v>6654</v>
      </c>
      <c r="Q748" s="41" t="s">
        <v>6655</v>
      </c>
      <c r="R748" s="41" t="s">
        <v>6656</v>
      </c>
      <c r="S748" s="41" t="s">
        <v>6657</v>
      </c>
    </row>
    <row r="749" spans="1:19" x14ac:dyDescent="0.25">
      <c r="A749" s="41" t="s">
        <v>23</v>
      </c>
      <c r="B749" s="41" t="s">
        <v>6658</v>
      </c>
      <c r="D749" s="41" t="s">
        <v>6659</v>
      </c>
      <c r="F749" s="41" t="s">
        <v>6660</v>
      </c>
      <c r="G749" s="41" t="s">
        <v>6661</v>
      </c>
      <c r="H749" s="41" t="s">
        <v>6662</v>
      </c>
      <c r="I749" s="41" t="s">
        <v>6663</v>
      </c>
      <c r="J749" s="41" t="s">
        <v>6664</v>
      </c>
      <c r="K749" s="41" t="s">
        <v>6665</v>
      </c>
      <c r="L749" s="41" t="s">
        <v>891</v>
      </c>
    </row>
    <row r="750" spans="1:19" x14ac:dyDescent="0.25">
      <c r="A750" s="41" t="s">
        <v>23</v>
      </c>
      <c r="B750" s="41" t="s">
        <v>6666</v>
      </c>
      <c r="D750" s="41" t="s">
        <v>6667</v>
      </c>
      <c r="F750" s="41" t="s">
        <v>6668</v>
      </c>
      <c r="G750" s="41" t="s">
        <v>6669</v>
      </c>
      <c r="H750" s="41" t="s">
        <v>6670</v>
      </c>
      <c r="I750" s="41" t="s">
        <v>6671</v>
      </c>
      <c r="J750" s="41" t="s">
        <v>6672</v>
      </c>
      <c r="K750" s="41" t="s">
        <v>6673</v>
      </c>
      <c r="L750" s="41" t="s">
        <v>1076</v>
      </c>
    </row>
    <row r="751" spans="1:19" x14ac:dyDescent="0.25">
      <c r="A751" s="41" t="s">
        <v>23</v>
      </c>
      <c r="B751" s="41" t="s">
        <v>6674</v>
      </c>
      <c r="D751" s="41" t="s">
        <v>6675</v>
      </c>
      <c r="F751" s="41" t="s">
        <v>6676</v>
      </c>
      <c r="G751" s="41" t="s">
        <v>6677</v>
      </c>
      <c r="H751" s="41" t="s">
        <v>6678</v>
      </c>
      <c r="I751" s="41" t="s">
        <v>6679</v>
      </c>
      <c r="J751" s="41" t="s">
        <v>6680</v>
      </c>
      <c r="K751" s="41" t="s">
        <v>6681</v>
      </c>
      <c r="L751" s="41" t="s">
        <v>1085</v>
      </c>
    </row>
    <row r="752" spans="1:19" x14ac:dyDescent="0.25">
      <c r="A752" s="41" t="s">
        <v>23</v>
      </c>
      <c r="B752" s="41" t="s">
        <v>6682</v>
      </c>
      <c r="D752" s="41" t="s">
        <v>6683</v>
      </c>
      <c r="F752" s="41" t="s">
        <v>6684</v>
      </c>
      <c r="G752" s="41" t="s">
        <v>6685</v>
      </c>
      <c r="H752" s="41" t="s">
        <v>6686</v>
      </c>
      <c r="I752" s="41" t="s">
        <v>6687</v>
      </c>
      <c r="J752" s="41" t="s">
        <v>6688</v>
      </c>
      <c r="K752" s="41" t="s">
        <v>6689</v>
      </c>
      <c r="L752" s="41" t="s">
        <v>1094</v>
      </c>
    </row>
    <row r="753" spans="1:19" x14ac:dyDescent="0.25">
      <c r="A753" s="41" t="s">
        <v>908</v>
      </c>
      <c r="B753" s="41" t="s">
        <v>6690</v>
      </c>
    </row>
    <row r="754" spans="1:19" x14ac:dyDescent="0.25">
      <c r="A754" s="41" t="s">
        <v>23</v>
      </c>
      <c r="B754" s="41" t="s">
        <v>6691</v>
      </c>
      <c r="F754" s="41" t="s">
        <v>6692</v>
      </c>
      <c r="G754" s="41" t="s">
        <v>6693</v>
      </c>
      <c r="H754" s="41" t="s">
        <v>6694</v>
      </c>
      <c r="I754" s="41" t="s">
        <v>6695</v>
      </c>
      <c r="J754" s="41" t="s">
        <v>6696</v>
      </c>
      <c r="L754" s="41" t="s">
        <v>4</v>
      </c>
    </row>
    <row r="755" spans="1:19" x14ac:dyDescent="0.25">
      <c r="A755" s="41" t="s">
        <v>23</v>
      </c>
      <c r="B755" s="41" t="s">
        <v>6697</v>
      </c>
      <c r="D755" s="41" t="s">
        <v>6698</v>
      </c>
      <c r="E755" s="41" t="s">
        <v>6699</v>
      </c>
      <c r="F755" s="41" t="s">
        <v>6700</v>
      </c>
      <c r="G755" s="41" t="s">
        <v>6701</v>
      </c>
      <c r="H755" s="41" t="s">
        <v>6702</v>
      </c>
      <c r="I755" s="41" t="s">
        <v>6703</v>
      </c>
      <c r="J755" s="41" t="s">
        <v>6704</v>
      </c>
      <c r="K755" s="41" t="s">
        <v>6705</v>
      </c>
      <c r="L755" s="41" t="s">
        <v>6706</v>
      </c>
      <c r="M755" s="41" t="s">
        <v>6707</v>
      </c>
      <c r="N755" s="41" t="s">
        <v>6708</v>
      </c>
      <c r="O755" s="41" t="s">
        <v>6709</v>
      </c>
      <c r="P755" s="41" t="s">
        <v>6710</v>
      </c>
      <c r="Q755" s="41" t="s">
        <v>6711</v>
      </c>
      <c r="R755" s="41" t="s">
        <v>6712</v>
      </c>
      <c r="S755" s="41" t="s">
        <v>6713</v>
      </c>
    </row>
    <row r="756" spans="1:19" x14ac:dyDescent="0.25">
      <c r="A756" s="41" t="s">
        <v>23</v>
      </c>
      <c r="B756" s="41" t="s">
        <v>6714</v>
      </c>
      <c r="D756" s="41" t="s">
        <v>6715</v>
      </c>
      <c r="F756" s="41" t="s">
        <v>6716</v>
      </c>
      <c r="G756" s="41" t="s">
        <v>6717</v>
      </c>
      <c r="H756" s="41" t="s">
        <v>6718</v>
      </c>
      <c r="I756" s="41" t="s">
        <v>6719</v>
      </c>
      <c r="J756" s="41" t="s">
        <v>6720</v>
      </c>
      <c r="K756" s="41" t="s">
        <v>6721</v>
      </c>
      <c r="L756" s="41" t="s">
        <v>891</v>
      </c>
    </row>
    <row r="757" spans="1:19" x14ac:dyDescent="0.25">
      <c r="A757" s="41" t="s">
        <v>23</v>
      </c>
      <c r="B757" s="41" t="s">
        <v>6722</v>
      </c>
      <c r="D757" s="41" t="s">
        <v>6723</v>
      </c>
      <c r="F757" s="41" t="s">
        <v>6724</v>
      </c>
      <c r="G757" s="41" t="s">
        <v>6725</v>
      </c>
      <c r="H757" s="41" t="s">
        <v>6726</v>
      </c>
      <c r="I757" s="41" t="s">
        <v>6727</v>
      </c>
      <c r="J757" s="41" t="s">
        <v>6728</v>
      </c>
      <c r="K757" s="41" t="s">
        <v>6729</v>
      </c>
      <c r="L757" s="41" t="s">
        <v>1076</v>
      </c>
    </row>
    <row r="758" spans="1:19" x14ac:dyDescent="0.25">
      <c r="A758" s="41" t="s">
        <v>23</v>
      </c>
      <c r="B758" s="41" t="s">
        <v>6730</v>
      </c>
      <c r="D758" s="41" t="s">
        <v>6731</v>
      </c>
      <c r="F758" s="41" t="s">
        <v>6732</v>
      </c>
      <c r="G758" s="41" t="s">
        <v>6733</v>
      </c>
      <c r="H758" s="41" t="s">
        <v>6734</v>
      </c>
      <c r="I758" s="41" t="s">
        <v>6735</v>
      </c>
      <c r="J758" s="41" t="s">
        <v>6736</v>
      </c>
      <c r="K758" s="41" t="s">
        <v>6737</v>
      </c>
      <c r="L758" s="41" t="s">
        <v>1085</v>
      </c>
    </row>
    <row r="759" spans="1:19" x14ac:dyDescent="0.25">
      <c r="A759" s="41" t="s">
        <v>23</v>
      </c>
      <c r="B759" s="41" t="s">
        <v>6738</v>
      </c>
      <c r="D759" s="41" t="s">
        <v>6739</v>
      </c>
      <c r="F759" s="41" t="s">
        <v>6740</v>
      </c>
      <c r="G759" s="41" t="s">
        <v>6741</v>
      </c>
      <c r="H759" s="41" t="s">
        <v>6742</v>
      </c>
      <c r="I759" s="41" t="s">
        <v>6743</v>
      </c>
      <c r="J759" s="41" t="s">
        <v>6744</v>
      </c>
      <c r="K759" s="41" t="s">
        <v>6745</v>
      </c>
      <c r="L759" s="41" t="s">
        <v>1094</v>
      </c>
    </row>
    <row r="760" spans="1:19" x14ac:dyDescent="0.25">
      <c r="A760" s="41" t="s">
        <v>908</v>
      </c>
      <c r="B760" s="41" t="s">
        <v>6746</v>
      </c>
    </row>
    <row r="761" spans="1:19" x14ac:dyDescent="0.25">
      <c r="A761" s="41" t="s">
        <v>23</v>
      </c>
      <c r="B761" s="41" t="s">
        <v>6747</v>
      </c>
      <c r="F761" s="41" t="s">
        <v>6748</v>
      </c>
      <c r="G761" s="41" t="s">
        <v>6749</v>
      </c>
      <c r="H761" s="41" t="s">
        <v>6750</v>
      </c>
      <c r="I761" s="41" t="s">
        <v>6751</v>
      </c>
      <c r="J761" s="41" t="s">
        <v>6752</v>
      </c>
      <c r="L761" s="41" t="s">
        <v>4</v>
      </c>
    </row>
    <row r="762" spans="1:19" x14ac:dyDescent="0.25">
      <c r="A762" s="41" t="s">
        <v>23</v>
      </c>
      <c r="B762" s="41" t="s">
        <v>6753</v>
      </c>
      <c r="D762" s="41" t="s">
        <v>6754</v>
      </c>
      <c r="E762" s="41" t="s">
        <v>6755</v>
      </c>
      <c r="F762" s="41" t="s">
        <v>6756</v>
      </c>
      <c r="G762" s="41" t="s">
        <v>6757</v>
      </c>
      <c r="H762" s="41" t="s">
        <v>6758</v>
      </c>
      <c r="I762" s="41" t="s">
        <v>6759</v>
      </c>
      <c r="J762" s="41" t="s">
        <v>6760</v>
      </c>
      <c r="K762" s="41" t="s">
        <v>6761</v>
      </c>
      <c r="L762" s="41" t="s">
        <v>6762</v>
      </c>
      <c r="M762" s="41" t="s">
        <v>6763</v>
      </c>
      <c r="N762" s="41" t="s">
        <v>6764</v>
      </c>
      <c r="O762" s="41" t="s">
        <v>6765</v>
      </c>
      <c r="P762" s="41" t="s">
        <v>6766</v>
      </c>
      <c r="Q762" s="41" t="s">
        <v>6767</v>
      </c>
      <c r="R762" s="41" t="s">
        <v>6768</v>
      </c>
      <c r="S762" s="41" t="s">
        <v>6769</v>
      </c>
    </row>
    <row r="763" spans="1:19" x14ac:dyDescent="0.25">
      <c r="A763" s="41" t="s">
        <v>23</v>
      </c>
      <c r="B763" s="41" t="s">
        <v>6770</v>
      </c>
      <c r="D763" s="41" t="s">
        <v>6771</v>
      </c>
      <c r="F763" s="41" t="s">
        <v>6772</v>
      </c>
      <c r="G763" s="41" t="s">
        <v>6773</v>
      </c>
      <c r="H763" s="41" t="s">
        <v>6774</v>
      </c>
      <c r="I763" s="41" t="s">
        <v>6775</v>
      </c>
      <c r="J763" s="41" t="s">
        <v>6776</v>
      </c>
      <c r="K763" s="41" t="s">
        <v>6777</v>
      </c>
      <c r="L763" s="41" t="s">
        <v>891</v>
      </c>
    </row>
    <row r="764" spans="1:19" x14ac:dyDescent="0.25">
      <c r="A764" s="41" t="s">
        <v>23</v>
      </c>
      <c r="B764" s="41" t="s">
        <v>6778</v>
      </c>
      <c r="D764" s="41" t="s">
        <v>6779</v>
      </c>
      <c r="F764" s="41" t="s">
        <v>6780</v>
      </c>
      <c r="G764" s="41" t="s">
        <v>6781</v>
      </c>
      <c r="H764" s="41" t="s">
        <v>6782</v>
      </c>
      <c r="I764" s="41" t="s">
        <v>6783</v>
      </c>
      <c r="J764" s="41" t="s">
        <v>6784</v>
      </c>
      <c r="K764" s="41" t="s">
        <v>6785</v>
      </c>
      <c r="L764" s="41" t="s">
        <v>1076</v>
      </c>
    </row>
    <row r="765" spans="1:19" x14ac:dyDescent="0.25">
      <c r="A765" s="41" t="s">
        <v>23</v>
      </c>
      <c r="B765" s="41" t="s">
        <v>6786</v>
      </c>
      <c r="D765" s="41" t="s">
        <v>6787</v>
      </c>
      <c r="F765" s="41" t="s">
        <v>6788</v>
      </c>
      <c r="G765" s="41" t="s">
        <v>6789</v>
      </c>
      <c r="H765" s="41" t="s">
        <v>6790</v>
      </c>
      <c r="I765" s="41" t="s">
        <v>6791</v>
      </c>
      <c r="J765" s="41" t="s">
        <v>6792</v>
      </c>
      <c r="K765" s="41" t="s">
        <v>6793</v>
      </c>
      <c r="L765" s="41" t="s">
        <v>1085</v>
      </c>
    </row>
    <row r="766" spans="1:19" x14ac:dyDescent="0.25">
      <c r="A766" s="41" t="s">
        <v>23</v>
      </c>
      <c r="B766" s="41" t="s">
        <v>6794</v>
      </c>
      <c r="D766" s="41" t="s">
        <v>6795</v>
      </c>
      <c r="F766" s="41" t="s">
        <v>6796</v>
      </c>
      <c r="G766" s="41" t="s">
        <v>6797</v>
      </c>
      <c r="H766" s="41" t="s">
        <v>6798</v>
      </c>
      <c r="I766" s="41" t="s">
        <v>6799</v>
      </c>
      <c r="J766" s="41" t="s">
        <v>6800</v>
      </c>
      <c r="K766" s="41" t="s">
        <v>6801</v>
      </c>
      <c r="L766" s="41" t="s">
        <v>1094</v>
      </c>
    </row>
    <row r="767" spans="1:19" x14ac:dyDescent="0.25">
      <c r="A767" s="41" t="s">
        <v>908</v>
      </c>
      <c r="B767" s="41" t="s">
        <v>6802</v>
      </c>
    </row>
    <row r="768" spans="1:19" x14ac:dyDescent="0.25">
      <c r="A768" s="41" t="s">
        <v>23</v>
      </c>
      <c r="B768" s="41" t="s">
        <v>6803</v>
      </c>
      <c r="F768" s="41" t="s">
        <v>6804</v>
      </c>
      <c r="G768" s="41" t="s">
        <v>6805</v>
      </c>
      <c r="H768" s="41" t="s">
        <v>6806</v>
      </c>
      <c r="I768" s="41" t="s">
        <v>6807</v>
      </c>
      <c r="J768" s="41" t="s">
        <v>6808</v>
      </c>
      <c r="L768" s="41" t="s">
        <v>4</v>
      </c>
    </row>
    <row r="769" spans="1:19" x14ac:dyDescent="0.25">
      <c r="A769" s="41" t="s">
        <v>23</v>
      </c>
      <c r="B769" s="41" t="s">
        <v>6809</v>
      </c>
      <c r="D769" s="41" t="s">
        <v>6810</v>
      </c>
      <c r="E769" s="41" t="s">
        <v>6811</v>
      </c>
      <c r="F769" s="41" t="s">
        <v>6812</v>
      </c>
      <c r="G769" s="41" t="s">
        <v>6813</v>
      </c>
      <c r="H769" s="41" t="s">
        <v>6814</v>
      </c>
      <c r="I769" s="41" t="s">
        <v>6815</v>
      </c>
      <c r="J769" s="41" t="s">
        <v>6816</v>
      </c>
      <c r="K769" s="41" t="s">
        <v>6817</v>
      </c>
      <c r="L769" s="41" t="s">
        <v>6818</v>
      </c>
      <c r="M769" s="41" t="s">
        <v>6819</v>
      </c>
      <c r="N769" s="41" t="s">
        <v>6820</v>
      </c>
      <c r="O769" s="41" t="s">
        <v>6821</v>
      </c>
      <c r="P769" s="41" t="s">
        <v>6822</v>
      </c>
      <c r="Q769" s="41" t="s">
        <v>6823</v>
      </c>
      <c r="R769" s="41" t="s">
        <v>6824</v>
      </c>
      <c r="S769" s="41" t="s">
        <v>6825</v>
      </c>
    </row>
    <row r="770" spans="1:19" x14ac:dyDescent="0.25">
      <c r="A770" s="41" t="s">
        <v>23</v>
      </c>
      <c r="B770" s="41" t="s">
        <v>6826</v>
      </c>
      <c r="D770" s="41" t="s">
        <v>6827</v>
      </c>
      <c r="F770" s="41" t="s">
        <v>6828</v>
      </c>
      <c r="G770" s="41" t="s">
        <v>6829</v>
      </c>
      <c r="H770" s="41" t="s">
        <v>6830</v>
      </c>
      <c r="I770" s="41" t="s">
        <v>6831</v>
      </c>
      <c r="J770" s="41" t="s">
        <v>6832</v>
      </c>
      <c r="K770" s="41" t="s">
        <v>6833</v>
      </c>
      <c r="L770" s="41" t="s">
        <v>891</v>
      </c>
    </row>
    <row r="771" spans="1:19" x14ac:dyDescent="0.25">
      <c r="A771" s="41" t="s">
        <v>23</v>
      </c>
      <c r="B771" s="41" t="s">
        <v>6834</v>
      </c>
      <c r="D771" s="41" t="s">
        <v>6835</v>
      </c>
      <c r="F771" s="41" t="s">
        <v>6836</v>
      </c>
      <c r="G771" s="41" t="s">
        <v>6837</v>
      </c>
      <c r="H771" s="41" t="s">
        <v>6838</v>
      </c>
      <c r="I771" s="41" t="s">
        <v>6839</v>
      </c>
      <c r="J771" s="41" t="s">
        <v>6840</v>
      </c>
      <c r="K771" s="41" t="s">
        <v>6841</v>
      </c>
      <c r="L771" s="41" t="s">
        <v>1076</v>
      </c>
    </row>
    <row r="772" spans="1:19" x14ac:dyDescent="0.25">
      <c r="A772" s="41" t="s">
        <v>23</v>
      </c>
      <c r="B772" s="41" t="s">
        <v>6842</v>
      </c>
      <c r="D772" s="41" t="s">
        <v>6843</v>
      </c>
      <c r="F772" s="41" t="s">
        <v>6844</v>
      </c>
      <c r="G772" s="41" t="s">
        <v>6845</v>
      </c>
      <c r="H772" s="41" t="s">
        <v>6846</v>
      </c>
      <c r="I772" s="41" t="s">
        <v>6847</v>
      </c>
      <c r="J772" s="41" t="s">
        <v>6848</v>
      </c>
      <c r="K772" s="41" t="s">
        <v>6849</v>
      </c>
      <c r="L772" s="41" t="s">
        <v>1085</v>
      </c>
    </row>
    <row r="773" spans="1:19" x14ac:dyDescent="0.25">
      <c r="A773" s="41" t="s">
        <v>23</v>
      </c>
      <c r="B773" s="41" t="s">
        <v>6850</v>
      </c>
      <c r="D773" s="41" t="s">
        <v>6851</v>
      </c>
      <c r="F773" s="41" t="s">
        <v>6852</v>
      </c>
      <c r="G773" s="41" t="s">
        <v>6853</v>
      </c>
      <c r="H773" s="41" t="s">
        <v>6854</v>
      </c>
      <c r="I773" s="41" t="s">
        <v>6855</v>
      </c>
      <c r="J773" s="41" t="s">
        <v>6856</v>
      </c>
      <c r="K773" s="41" t="s">
        <v>6857</v>
      </c>
      <c r="L773" s="41" t="s">
        <v>1094</v>
      </c>
    </row>
    <row r="774" spans="1:19" x14ac:dyDescent="0.25">
      <c r="A774" s="41" t="s">
        <v>908</v>
      </c>
      <c r="B774" s="41" t="s">
        <v>6858</v>
      </c>
    </row>
    <row r="775" spans="1:19" x14ac:dyDescent="0.25">
      <c r="A775" s="41" t="s">
        <v>23</v>
      </c>
      <c r="B775" s="41" t="s">
        <v>6859</v>
      </c>
      <c r="F775" s="41" t="s">
        <v>6860</v>
      </c>
      <c r="G775" s="41" t="s">
        <v>6861</v>
      </c>
      <c r="H775" s="41" t="s">
        <v>6862</v>
      </c>
      <c r="I775" s="41" t="s">
        <v>6863</v>
      </c>
      <c r="J775" s="41" t="s">
        <v>6864</v>
      </c>
      <c r="L775" s="41" t="s">
        <v>4</v>
      </c>
    </row>
    <row r="776" spans="1:19" x14ac:dyDescent="0.25">
      <c r="A776" s="41" t="s">
        <v>23</v>
      </c>
      <c r="B776" s="41" t="s">
        <v>6865</v>
      </c>
      <c r="D776" s="41" t="s">
        <v>214</v>
      </c>
      <c r="E776" s="41" t="s">
        <v>6866</v>
      </c>
      <c r="F776" s="41" t="s">
        <v>6867</v>
      </c>
      <c r="G776" s="41" t="s">
        <v>6868</v>
      </c>
      <c r="H776" s="41" t="s">
        <v>6869</v>
      </c>
      <c r="I776" s="41" t="s">
        <v>6870</v>
      </c>
      <c r="J776" s="41" t="s">
        <v>6871</v>
      </c>
      <c r="K776" s="41" t="s">
        <v>6872</v>
      </c>
      <c r="L776" s="41" t="s">
        <v>6873</v>
      </c>
      <c r="M776" s="41" t="s">
        <v>6874</v>
      </c>
      <c r="N776" s="41" t="s">
        <v>6875</v>
      </c>
      <c r="O776" s="41" t="s">
        <v>6876</v>
      </c>
      <c r="P776" s="41" t="s">
        <v>6877</v>
      </c>
      <c r="Q776" s="41" t="s">
        <v>6878</v>
      </c>
      <c r="R776" s="41" t="s">
        <v>6879</v>
      </c>
      <c r="S776" s="41" t="s">
        <v>6880</v>
      </c>
    </row>
    <row r="777" spans="1:19" x14ac:dyDescent="0.25">
      <c r="A777" s="41" t="s">
        <v>23</v>
      </c>
      <c r="B777" s="41" t="s">
        <v>6881</v>
      </c>
      <c r="D777" s="41" t="s">
        <v>6882</v>
      </c>
      <c r="F777" s="41" t="s">
        <v>6883</v>
      </c>
      <c r="G777" s="41" t="s">
        <v>6884</v>
      </c>
      <c r="H777" s="41" t="s">
        <v>6885</v>
      </c>
      <c r="I777" s="41" t="s">
        <v>6886</v>
      </c>
      <c r="J777" s="41" t="s">
        <v>6887</v>
      </c>
      <c r="K777" s="41" t="s">
        <v>6888</v>
      </c>
      <c r="L777" s="41" t="s">
        <v>891</v>
      </c>
    </row>
    <row r="778" spans="1:19" x14ac:dyDescent="0.25">
      <c r="A778" s="41" t="s">
        <v>23</v>
      </c>
      <c r="B778" s="41" t="s">
        <v>6889</v>
      </c>
      <c r="D778" s="41" t="s">
        <v>6890</v>
      </c>
      <c r="F778" s="41" t="s">
        <v>6891</v>
      </c>
      <c r="G778" s="41" t="s">
        <v>6892</v>
      </c>
      <c r="H778" s="41" t="s">
        <v>6893</v>
      </c>
      <c r="I778" s="41" t="s">
        <v>6894</v>
      </c>
      <c r="J778" s="41" t="s">
        <v>6895</v>
      </c>
      <c r="K778" s="41" t="s">
        <v>6896</v>
      </c>
      <c r="L778" s="41" t="s">
        <v>1076</v>
      </c>
    </row>
    <row r="779" spans="1:19" x14ac:dyDescent="0.25">
      <c r="A779" s="41" t="s">
        <v>23</v>
      </c>
      <c r="B779" s="41" t="s">
        <v>6897</v>
      </c>
      <c r="D779" s="41" t="s">
        <v>6898</v>
      </c>
      <c r="F779" s="41" t="s">
        <v>6899</v>
      </c>
      <c r="G779" s="41" t="s">
        <v>6900</v>
      </c>
      <c r="H779" s="41" t="s">
        <v>6901</v>
      </c>
      <c r="I779" s="41" t="s">
        <v>6902</v>
      </c>
      <c r="J779" s="41" t="s">
        <v>6903</v>
      </c>
      <c r="K779" s="41" t="s">
        <v>6904</v>
      </c>
      <c r="L779" s="41" t="s">
        <v>1085</v>
      </c>
    </row>
    <row r="780" spans="1:19" x14ac:dyDescent="0.25">
      <c r="A780" s="41" t="s">
        <v>23</v>
      </c>
      <c r="B780" s="41" t="s">
        <v>6905</v>
      </c>
      <c r="D780" s="41" t="s">
        <v>6906</v>
      </c>
      <c r="F780" s="41" t="s">
        <v>6907</v>
      </c>
      <c r="G780" s="41" t="s">
        <v>6908</v>
      </c>
      <c r="H780" s="41" t="s">
        <v>6909</v>
      </c>
      <c r="I780" s="41" t="s">
        <v>6910</v>
      </c>
      <c r="J780" s="41" t="s">
        <v>6911</v>
      </c>
      <c r="K780" s="41" t="s">
        <v>6912</v>
      </c>
      <c r="L780" s="41" t="s">
        <v>1094</v>
      </c>
    </row>
    <row r="781" spans="1:19" x14ac:dyDescent="0.25">
      <c r="A781" s="41" t="s">
        <v>908</v>
      </c>
      <c r="B781" s="41" t="s">
        <v>6913</v>
      </c>
    </row>
    <row r="782" spans="1:19" x14ac:dyDescent="0.25">
      <c r="A782" s="41" t="s">
        <v>23</v>
      </c>
      <c r="B782" s="41" t="s">
        <v>6914</v>
      </c>
      <c r="F782" s="41" t="s">
        <v>6915</v>
      </c>
      <c r="G782" s="41" t="s">
        <v>6916</v>
      </c>
      <c r="H782" s="41" t="s">
        <v>6917</v>
      </c>
      <c r="I782" s="41" t="s">
        <v>6918</v>
      </c>
      <c r="J782" s="41" t="s">
        <v>6919</v>
      </c>
      <c r="L782" s="41" t="s">
        <v>4</v>
      </c>
    </row>
    <row r="783" spans="1:19" x14ac:dyDescent="0.25">
      <c r="A783" s="41" t="s">
        <v>23</v>
      </c>
      <c r="B783" s="41" t="s">
        <v>6920</v>
      </c>
      <c r="D783" s="41" t="s">
        <v>217</v>
      </c>
      <c r="E783" s="41" t="s">
        <v>6921</v>
      </c>
      <c r="F783" s="41" t="s">
        <v>6922</v>
      </c>
      <c r="G783" s="41" t="s">
        <v>6923</v>
      </c>
      <c r="H783" s="41" t="s">
        <v>6924</v>
      </c>
      <c r="I783" s="41" t="s">
        <v>6925</v>
      </c>
      <c r="J783" s="41" t="s">
        <v>6926</v>
      </c>
      <c r="K783" s="41" t="s">
        <v>6927</v>
      </c>
      <c r="L783" s="41" t="s">
        <v>6928</v>
      </c>
      <c r="M783" s="41" t="s">
        <v>6929</v>
      </c>
      <c r="N783" s="41" t="s">
        <v>6930</v>
      </c>
      <c r="O783" s="41" t="s">
        <v>6931</v>
      </c>
      <c r="P783" s="41" t="s">
        <v>6932</v>
      </c>
      <c r="Q783" s="41" t="s">
        <v>6933</v>
      </c>
      <c r="R783" s="41" t="s">
        <v>6934</v>
      </c>
      <c r="S783" s="41" t="s">
        <v>6935</v>
      </c>
    </row>
    <row r="784" spans="1:19" x14ac:dyDescent="0.25">
      <c r="A784" s="41" t="s">
        <v>23</v>
      </c>
      <c r="B784" s="41" t="s">
        <v>6936</v>
      </c>
      <c r="D784" s="41" t="s">
        <v>6937</v>
      </c>
      <c r="F784" s="41" t="s">
        <v>6938</v>
      </c>
      <c r="G784" s="41" t="s">
        <v>6939</v>
      </c>
      <c r="H784" s="41" t="s">
        <v>6940</v>
      </c>
      <c r="I784" s="41" t="s">
        <v>6941</v>
      </c>
      <c r="J784" s="41" t="s">
        <v>6942</v>
      </c>
      <c r="K784" s="41" t="s">
        <v>6943</v>
      </c>
      <c r="L784" s="41" t="s">
        <v>891</v>
      </c>
    </row>
    <row r="785" spans="1:19" x14ac:dyDescent="0.25">
      <c r="A785" s="41" t="s">
        <v>23</v>
      </c>
      <c r="B785" s="41" t="s">
        <v>6944</v>
      </c>
      <c r="D785" s="41" t="s">
        <v>6945</v>
      </c>
      <c r="F785" s="41" t="s">
        <v>6946</v>
      </c>
      <c r="G785" s="41" t="s">
        <v>6947</v>
      </c>
      <c r="H785" s="41" t="s">
        <v>6948</v>
      </c>
      <c r="I785" s="41" t="s">
        <v>6949</v>
      </c>
      <c r="J785" s="41" t="s">
        <v>6950</v>
      </c>
      <c r="K785" s="41" t="s">
        <v>6951</v>
      </c>
      <c r="L785" s="41" t="s">
        <v>1076</v>
      </c>
    </row>
    <row r="786" spans="1:19" x14ac:dyDescent="0.25">
      <c r="A786" s="41" t="s">
        <v>23</v>
      </c>
      <c r="B786" s="41" t="s">
        <v>6952</v>
      </c>
      <c r="D786" s="41" t="s">
        <v>6953</v>
      </c>
      <c r="F786" s="41" t="s">
        <v>6954</v>
      </c>
      <c r="G786" s="41" t="s">
        <v>6955</v>
      </c>
      <c r="H786" s="41" t="s">
        <v>6956</v>
      </c>
      <c r="I786" s="41" t="s">
        <v>6957</v>
      </c>
      <c r="J786" s="41" t="s">
        <v>6958</v>
      </c>
      <c r="K786" s="41" t="s">
        <v>6959</v>
      </c>
      <c r="L786" s="41" t="s">
        <v>1085</v>
      </c>
    </row>
    <row r="787" spans="1:19" x14ac:dyDescent="0.25">
      <c r="A787" s="41" t="s">
        <v>23</v>
      </c>
      <c r="B787" s="41" t="s">
        <v>6960</v>
      </c>
      <c r="D787" s="41" t="s">
        <v>6961</v>
      </c>
      <c r="F787" s="41" t="s">
        <v>6962</v>
      </c>
      <c r="G787" s="41" t="s">
        <v>6963</v>
      </c>
      <c r="H787" s="41" t="s">
        <v>6964</v>
      </c>
      <c r="I787" s="41" t="s">
        <v>6965</v>
      </c>
      <c r="J787" s="41" t="s">
        <v>6966</v>
      </c>
      <c r="K787" s="41" t="s">
        <v>6967</v>
      </c>
      <c r="L787" s="41" t="s">
        <v>1094</v>
      </c>
    </row>
    <row r="788" spans="1:19" x14ac:dyDescent="0.25">
      <c r="A788" s="41" t="s">
        <v>908</v>
      </c>
      <c r="B788" s="41" t="s">
        <v>6968</v>
      </c>
    </row>
    <row r="789" spans="1:19" x14ac:dyDescent="0.25">
      <c r="A789" s="41" t="s">
        <v>23</v>
      </c>
      <c r="B789" s="41" t="s">
        <v>6969</v>
      </c>
      <c r="F789" s="41" t="s">
        <v>6970</v>
      </c>
      <c r="G789" s="41" t="s">
        <v>6971</v>
      </c>
      <c r="H789" s="41" t="s">
        <v>6972</v>
      </c>
      <c r="I789" s="41" t="s">
        <v>6973</v>
      </c>
      <c r="J789" s="41" t="s">
        <v>6974</v>
      </c>
      <c r="L789" s="41" t="s">
        <v>4</v>
      </c>
    </row>
    <row r="790" spans="1:19" x14ac:dyDescent="0.25">
      <c r="A790" s="41" t="s">
        <v>23</v>
      </c>
      <c r="B790" s="41" t="s">
        <v>6975</v>
      </c>
      <c r="D790" s="41" t="s">
        <v>220</v>
      </c>
      <c r="E790" s="41" t="s">
        <v>6976</v>
      </c>
      <c r="F790" s="41" t="s">
        <v>6977</v>
      </c>
      <c r="G790" s="41" t="s">
        <v>6978</v>
      </c>
      <c r="H790" s="41" t="s">
        <v>6979</v>
      </c>
      <c r="I790" s="41" t="s">
        <v>6980</v>
      </c>
      <c r="J790" s="41" t="s">
        <v>6981</v>
      </c>
      <c r="K790" s="41" t="s">
        <v>6982</v>
      </c>
      <c r="L790" s="41" t="s">
        <v>6983</v>
      </c>
      <c r="M790" s="41" t="s">
        <v>6984</v>
      </c>
      <c r="N790" s="41" t="s">
        <v>6985</v>
      </c>
      <c r="O790" s="41" t="s">
        <v>6986</v>
      </c>
      <c r="P790" s="41" t="s">
        <v>6987</v>
      </c>
      <c r="Q790" s="41" t="s">
        <v>6988</v>
      </c>
      <c r="R790" s="41" t="s">
        <v>6989</v>
      </c>
      <c r="S790" s="41" t="s">
        <v>6990</v>
      </c>
    </row>
    <row r="791" spans="1:19" x14ac:dyDescent="0.25">
      <c r="A791" s="41" t="s">
        <v>23</v>
      </c>
      <c r="B791" s="41" t="s">
        <v>6991</v>
      </c>
      <c r="D791" s="41" t="s">
        <v>6992</v>
      </c>
      <c r="F791" s="41" t="s">
        <v>6993</v>
      </c>
      <c r="G791" s="41" t="s">
        <v>6994</v>
      </c>
      <c r="H791" s="41" t="s">
        <v>6995</v>
      </c>
      <c r="I791" s="41" t="s">
        <v>6996</v>
      </c>
      <c r="J791" s="41" t="s">
        <v>6997</v>
      </c>
      <c r="K791" s="41" t="s">
        <v>6998</v>
      </c>
      <c r="L791" s="41" t="s">
        <v>891</v>
      </c>
    </row>
    <row r="792" spans="1:19" x14ac:dyDescent="0.25">
      <c r="A792" s="41" t="s">
        <v>23</v>
      </c>
      <c r="B792" s="41" t="s">
        <v>6999</v>
      </c>
      <c r="D792" s="41" t="s">
        <v>7000</v>
      </c>
      <c r="F792" s="41" t="s">
        <v>7001</v>
      </c>
      <c r="G792" s="41" t="s">
        <v>7002</v>
      </c>
      <c r="H792" s="41" t="s">
        <v>7003</v>
      </c>
      <c r="I792" s="41" t="s">
        <v>7004</v>
      </c>
      <c r="J792" s="41" t="s">
        <v>7005</v>
      </c>
      <c r="K792" s="41" t="s">
        <v>7006</v>
      </c>
      <c r="L792" s="41" t="s">
        <v>1076</v>
      </c>
    </row>
    <row r="793" spans="1:19" x14ac:dyDescent="0.25">
      <c r="A793" s="41" t="s">
        <v>23</v>
      </c>
      <c r="B793" s="41" t="s">
        <v>7007</v>
      </c>
      <c r="D793" s="41" t="s">
        <v>7008</v>
      </c>
      <c r="F793" s="41" t="s">
        <v>7009</v>
      </c>
      <c r="G793" s="41" t="s">
        <v>7010</v>
      </c>
      <c r="H793" s="41" t="s">
        <v>7011</v>
      </c>
      <c r="I793" s="41" t="s">
        <v>7012</v>
      </c>
      <c r="J793" s="41" t="s">
        <v>7013</v>
      </c>
      <c r="K793" s="41" t="s">
        <v>7014</v>
      </c>
      <c r="L793" s="41" t="s">
        <v>1085</v>
      </c>
    </row>
    <row r="794" spans="1:19" x14ac:dyDescent="0.25">
      <c r="A794" s="41" t="s">
        <v>23</v>
      </c>
      <c r="B794" s="41" t="s">
        <v>7015</v>
      </c>
      <c r="D794" s="41" t="s">
        <v>7016</v>
      </c>
      <c r="F794" s="41" t="s">
        <v>7017</v>
      </c>
      <c r="G794" s="41" t="s">
        <v>7018</v>
      </c>
      <c r="H794" s="41" t="s">
        <v>7019</v>
      </c>
      <c r="I794" s="41" t="s">
        <v>7020</v>
      </c>
      <c r="J794" s="41" t="s">
        <v>7021</v>
      </c>
      <c r="K794" s="41" t="s">
        <v>7022</v>
      </c>
      <c r="L794" s="41" t="s">
        <v>1094</v>
      </c>
    </row>
    <row r="795" spans="1:19" x14ac:dyDescent="0.25">
      <c r="A795" s="41" t="s">
        <v>908</v>
      </c>
      <c r="B795" s="41" t="s">
        <v>7023</v>
      </c>
    </row>
    <row r="796" spans="1:19" x14ac:dyDescent="0.25">
      <c r="A796" s="41" t="s">
        <v>23</v>
      </c>
      <c r="B796" s="41" t="s">
        <v>7024</v>
      </c>
      <c r="F796" s="41" t="s">
        <v>7025</v>
      </c>
      <c r="G796" s="41" t="s">
        <v>7026</v>
      </c>
      <c r="H796" s="41" t="s">
        <v>7027</v>
      </c>
      <c r="I796" s="41" t="s">
        <v>7028</v>
      </c>
      <c r="J796" s="41" t="s">
        <v>7029</v>
      </c>
      <c r="L796" s="41" t="s">
        <v>4</v>
      </c>
    </row>
    <row r="797" spans="1:19" x14ac:dyDescent="0.25">
      <c r="A797" s="41" t="s">
        <v>23</v>
      </c>
      <c r="B797" s="41" t="s">
        <v>7030</v>
      </c>
      <c r="D797" s="41" t="s">
        <v>223</v>
      </c>
      <c r="E797" s="41" t="s">
        <v>7031</v>
      </c>
      <c r="F797" s="41" t="s">
        <v>7032</v>
      </c>
      <c r="G797" s="41" t="s">
        <v>7033</v>
      </c>
      <c r="H797" s="41" t="s">
        <v>7034</v>
      </c>
      <c r="I797" s="41" t="s">
        <v>7035</v>
      </c>
      <c r="J797" s="41" t="s">
        <v>7036</v>
      </c>
      <c r="K797" s="41" t="s">
        <v>7037</v>
      </c>
      <c r="L797" s="41" t="s">
        <v>7038</v>
      </c>
      <c r="M797" s="41" t="s">
        <v>7039</v>
      </c>
      <c r="N797" s="41" t="s">
        <v>7040</v>
      </c>
      <c r="O797" s="41" t="s">
        <v>7041</v>
      </c>
      <c r="P797" s="41" t="s">
        <v>7042</v>
      </c>
      <c r="Q797" s="41" t="s">
        <v>7043</v>
      </c>
      <c r="R797" s="41" t="s">
        <v>7044</v>
      </c>
      <c r="S797" s="41" t="s">
        <v>7045</v>
      </c>
    </row>
    <row r="798" spans="1:19" x14ac:dyDescent="0.25">
      <c r="A798" s="41" t="s">
        <v>23</v>
      </c>
      <c r="B798" s="41" t="s">
        <v>7046</v>
      </c>
      <c r="D798" s="41" t="s">
        <v>7047</v>
      </c>
      <c r="F798" s="41" t="s">
        <v>7048</v>
      </c>
      <c r="G798" s="41" t="s">
        <v>7049</v>
      </c>
      <c r="H798" s="41" t="s">
        <v>7050</v>
      </c>
      <c r="I798" s="41" t="s">
        <v>7051</v>
      </c>
      <c r="J798" s="41" t="s">
        <v>7052</v>
      </c>
      <c r="K798" s="41" t="s">
        <v>7053</v>
      </c>
      <c r="L798" s="41" t="s">
        <v>891</v>
      </c>
    </row>
    <row r="799" spans="1:19" x14ac:dyDescent="0.25">
      <c r="A799" s="41" t="s">
        <v>23</v>
      </c>
      <c r="B799" s="41" t="s">
        <v>7054</v>
      </c>
      <c r="D799" s="41" t="s">
        <v>7055</v>
      </c>
      <c r="F799" s="41" t="s">
        <v>7056</v>
      </c>
      <c r="G799" s="41" t="s">
        <v>7057</v>
      </c>
      <c r="H799" s="41" t="s">
        <v>7058</v>
      </c>
      <c r="I799" s="41" t="s">
        <v>7059</v>
      </c>
      <c r="J799" s="41" t="s">
        <v>7060</v>
      </c>
      <c r="K799" s="41" t="s">
        <v>7061</v>
      </c>
      <c r="L799" s="41" t="s">
        <v>1076</v>
      </c>
    </row>
    <row r="800" spans="1:19" x14ac:dyDescent="0.25">
      <c r="A800" s="41" t="s">
        <v>23</v>
      </c>
      <c r="B800" s="41" t="s">
        <v>7062</v>
      </c>
      <c r="D800" s="41" t="s">
        <v>7063</v>
      </c>
      <c r="F800" s="41" t="s">
        <v>7064</v>
      </c>
      <c r="G800" s="41" t="s">
        <v>7065</v>
      </c>
      <c r="H800" s="41" t="s">
        <v>7066</v>
      </c>
      <c r="I800" s="41" t="s">
        <v>7067</v>
      </c>
      <c r="J800" s="41" t="s">
        <v>7068</v>
      </c>
      <c r="K800" s="41" t="s">
        <v>7069</v>
      </c>
      <c r="L800" s="41" t="s">
        <v>1085</v>
      </c>
    </row>
    <row r="801" spans="1:19" x14ac:dyDescent="0.25">
      <c r="A801" s="41" t="s">
        <v>23</v>
      </c>
      <c r="B801" s="41" t="s">
        <v>7070</v>
      </c>
      <c r="D801" s="41" t="s">
        <v>7071</v>
      </c>
      <c r="F801" s="41" t="s">
        <v>7072</v>
      </c>
      <c r="G801" s="41" t="s">
        <v>7073</v>
      </c>
      <c r="H801" s="41" t="s">
        <v>7074</v>
      </c>
      <c r="I801" s="41" t="s">
        <v>7075</v>
      </c>
      <c r="J801" s="41" t="s">
        <v>7076</v>
      </c>
      <c r="K801" s="41" t="s">
        <v>7077</v>
      </c>
      <c r="L801" s="41" t="s">
        <v>1094</v>
      </c>
    </row>
    <row r="802" spans="1:19" x14ac:dyDescent="0.25">
      <c r="A802" s="41" t="s">
        <v>908</v>
      </c>
      <c r="B802" s="41" t="s">
        <v>7078</v>
      </c>
    </row>
    <row r="803" spans="1:19" x14ac:dyDescent="0.25">
      <c r="A803" s="41" t="s">
        <v>23</v>
      </c>
      <c r="B803" s="41" t="s">
        <v>7079</v>
      </c>
      <c r="F803" s="41" t="s">
        <v>7080</v>
      </c>
      <c r="G803" s="41" t="s">
        <v>7081</v>
      </c>
      <c r="H803" s="41" t="s">
        <v>7082</v>
      </c>
      <c r="I803" s="41" t="s">
        <v>7083</v>
      </c>
      <c r="J803" s="41" t="s">
        <v>7084</v>
      </c>
      <c r="L803" s="41" t="s">
        <v>4</v>
      </c>
    </row>
    <row r="804" spans="1:19" x14ac:dyDescent="0.25">
      <c r="A804" s="41" t="s">
        <v>23</v>
      </c>
      <c r="B804" s="41" t="s">
        <v>7085</v>
      </c>
      <c r="D804" s="41" t="s">
        <v>226</v>
      </c>
      <c r="E804" s="41" t="s">
        <v>7086</v>
      </c>
      <c r="F804" s="41" t="s">
        <v>7087</v>
      </c>
      <c r="G804" s="41" t="s">
        <v>7088</v>
      </c>
      <c r="H804" s="41" t="s">
        <v>7089</v>
      </c>
      <c r="I804" s="41" t="s">
        <v>7090</v>
      </c>
      <c r="J804" s="41" t="s">
        <v>7091</v>
      </c>
      <c r="K804" s="41" t="s">
        <v>7092</v>
      </c>
      <c r="L804" s="41" t="s">
        <v>7093</v>
      </c>
      <c r="M804" s="41" t="s">
        <v>7094</v>
      </c>
      <c r="N804" s="41" t="s">
        <v>7095</v>
      </c>
      <c r="O804" s="41" t="s">
        <v>7096</v>
      </c>
      <c r="P804" s="41" t="s">
        <v>7097</v>
      </c>
      <c r="Q804" s="41" t="s">
        <v>7098</v>
      </c>
      <c r="R804" s="41" t="s">
        <v>7099</v>
      </c>
      <c r="S804" s="41" t="s">
        <v>7100</v>
      </c>
    </row>
    <row r="805" spans="1:19" x14ac:dyDescent="0.25">
      <c r="A805" s="41" t="s">
        <v>23</v>
      </c>
      <c r="B805" s="41" t="s">
        <v>7101</v>
      </c>
      <c r="D805" s="41" t="s">
        <v>7102</v>
      </c>
      <c r="F805" s="41" t="s">
        <v>7103</v>
      </c>
      <c r="G805" s="41" t="s">
        <v>7104</v>
      </c>
      <c r="H805" s="41" t="s">
        <v>7105</v>
      </c>
      <c r="I805" s="41" t="s">
        <v>7106</v>
      </c>
      <c r="J805" s="41" t="s">
        <v>7107</v>
      </c>
      <c r="K805" s="41" t="s">
        <v>7108</v>
      </c>
      <c r="L805" s="41" t="s">
        <v>891</v>
      </c>
    </row>
    <row r="806" spans="1:19" x14ac:dyDescent="0.25">
      <c r="A806" s="41" t="s">
        <v>23</v>
      </c>
      <c r="B806" s="41" t="s">
        <v>7109</v>
      </c>
      <c r="D806" s="41" t="s">
        <v>7110</v>
      </c>
      <c r="F806" s="41" t="s">
        <v>7111</v>
      </c>
      <c r="G806" s="41" t="s">
        <v>7112</v>
      </c>
      <c r="H806" s="41" t="s">
        <v>7113</v>
      </c>
      <c r="I806" s="41" t="s">
        <v>7114</v>
      </c>
      <c r="J806" s="41" t="s">
        <v>7115</v>
      </c>
      <c r="K806" s="41" t="s">
        <v>7116</v>
      </c>
      <c r="L806" s="41" t="s">
        <v>1076</v>
      </c>
    </row>
    <row r="807" spans="1:19" x14ac:dyDescent="0.25">
      <c r="A807" s="41" t="s">
        <v>23</v>
      </c>
      <c r="B807" s="41" t="s">
        <v>7117</v>
      </c>
      <c r="D807" s="41" t="s">
        <v>7118</v>
      </c>
      <c r="F807" s="41" t="s">
        <v>7119</v>
      </c>
      <c r="G807" s="41" t="s">
        <v>7120</v>
      </c>
      <c r="H807" s="41" t="s">
        <v>7121</v>
      </c>
      <c r="I807" s="41" t="s">
        <v>7122</v>
      </c>
      <c r="J807" s="41" t="s">
        <v>7123</v>
      </c>
      <c r="K807" s="41" t="s">
        <v>7124</v>
      </c>
      <c r="L807" s="41" t="s">
        <v>1085</v>
      </c>
    </row>
    <row r="808" spans="1:19" x14ac:dyDescent="0.25">
      <c r="A808" s="41" t="s">
        <v>23</v>
      </c>
      <c r="B808" s="41" t="s">
        <v>7125</v>
      </c>
      <c r="D808" s="41" t="s">
        <v>7126</v>
      </c>
      <c r="F808" s="41" t="s">
        <v>7127</v>
      </c>
      <c r="G808" s="41" t="s">
        <v>7128</v>
      </c>
      <c r="H808" s="41" t="s">
        <v>7129</v>
      </c>
      <c r="I808" s="41" t="s">
        <v>7130</v>
      </c>
      <c r="J808" s="41" t="s">
        <v>7131</v>
      </c>
      <c r="K808" s="41" t="s">
        <v>7132</v>
      </c>
      <c r="L808" s="41" t="s">
        <v>1094</v>
      </c>
    </row>
    <row r="809" spans="1:19" x14ac:dyDescent="0.25">
      <c r="A809" s="41" t="s">
        <v>908</v>
      </c>
      <c r="B809" s="41" t="s">
        <v>7133</v>
      </c>
    </row>
    <row r="810" spans="1:19" x14ac:dyDescent="0.25">
      <c r="A810" s="41" t="s">
        <v>23</v>
      </c>
      <c r="B810" s="41" t="s">
        <v>7134</v>
      </c>
      <c r="F810" s="41" t="s">
        <v>7135</v>
      </c>
      <c r="G810" s="41" t="s">
        <v>7136</v>
      </c>
      <c r="H810" s="41" t="s">
        <v>7137</v>
      </c>
      <c r="I810" s="41" t="s">
        <v>7138</v>
      </c>
      <c r="J810" s="41" t="s">
        <v>7139</v>
      </c>
      <c r="L810" s="41" t="s">
        <v>4</v>
      </c>
    </row>
    <row r="811" spans="1:19" x14ac:dyDescent="0.25">
      <c r="A811" s="41" t="s">
        <v>23</v>
      </c>
      <c r="B811" s="41" t="s">
        <v>7140</v>
      </c>
      <c r="D811" s="41" t="s">
        <v>229</v>
      </c>
      <c r="E811" s="41" t="s">
        <v>7141</v>
      </c>
      <c r="F811" s="41" t="s">
        <v>7142</v>
      </c>
      <c r="G811" s="41" t="s">
        <v>7143</v>
      </c>
      <c r="H811" s="41" t="s">
        <v>7144</v>
      </c>
      <c r="I811" s="41" t="s">
        <v>7145</v>
      </c>
      <c r="J811" s="41" t="s">
        <v>7146</v>
      </c>
      <c r="K811" s="41" t="s">
        <v>7147</v>
      </c>
      <c r="L811" s="41" t="s">
        <v>7148</v>
      </c>
      <c r="M811" s="41" t="s">
        <v>7149</v>
      </c>
      <c r="N811" s="41" t="s">
        <v>7150</v>
      </c>
      <c r="O811" s="41" t="s">
        <v>7151</v>
      </c>
      <c r="P811" s="41" t="s">
        <v>7152</v>
      </c>
      <c r="Q811" s="41" t="s">
        <v>7153</v>
      </c>
      <c r="R811" s="41" t="s">
        <v>7154</v>
      </c>
      <c r="S811" s="41" t="s">
        <v>7155</v>
      </c>
    </row>
    <row r="812" spans="1:19" x14ac:dyDescent="0.25">
      <c r="A812" s="41" t="s">
        <v>23</v>
      </c>
      <c r="B812" s="41" t="s">
        <v>7156</v>
      </c>
      <c r="D812" s="41" t="s">
        <v>7157</v>
      </c>
      <c r="F812" s="41" t="s">
        <v>7158</v>
      </c>
      <c r="G812" s="41" t="s">
        <v>7159</v>
      </c>
      <c r="H812" s="41" t="s">
        <v>7160</v>
      </c>
      <c r="I812" s="41" t="s">
        <v>7161</v>
      </c>
      <c r="J812" s="41" t="s">
        <v>7162</v>
      </c>
      <c r="K812" s="41" t="s">
        <v>7163</v>
      </c>
      <c r="L812" s="41" t="s">
        <v>891</v>
      </c>
    </row>
    <row r="813" spans="1:19" x14ac:dyDescent="0.25">
      <c r="A813" s="41" t="s">
        <v>23</v>
      </c>
      <c r="B813" s="41" t="s">
        <v>7164</v>
      </c>
      <c r="D813" s="41" t="s">
        <v>7165</v>
      </c>
      <c r="F813" s="41" t="s">
        <v>7166</v>
      </c>
      <c r="G813" s="41" t="s">
        <v>7167</v>
      </c>
      <c r="H813" s="41" t="s">
        <v>7168</v>
      </c>
      <c r="I813" s="41" t="s">
        <v>7169</v>
      </c>
      <c r="J813" s="41" t="s">
        <v>7170</v>
      </c>
      <c r="K813" s="41" t="s">
        <v>7171</v>
      </c>
      <c r="L813" s="41" t="s">
        <v>1076</v>
      </c>
    </row>
    <row r="814" spans="1:19" x14ac:dyDescent="0.25">
      <c r="A814" s="41" t="s">
        <v>23</v>
      </c>
      <c r="B814" s="41" t="s">
        <v>7172</v>
      </c>
      <c r="D814" s="41" t="s">
        <v>7173</v>
      </c>
      <c r="F814" s="41" t="s">
        <v>7174</v>
      </c>
      <c r="G814" s="41" t="s">
        <v>7175</v>
      </c>
      <c r="H814" s="41" t="s">
        <v>7176</v>
      </c>
      <c r="I814" s="41" t="s">
        <v>7177</v>
      </c>
      <c r="J814" s="41" t="s">
        <v>7178</v>
      </c>
      <c r="K814" s="41" t="s">
        <v>7179</v>
      </c>
      <c r="L814" s="41" t="s">
        <v>1085</v>
      </c>
    </row>
    <row r="815" spans="1:19" x14ac:dyDescent="0.25">
      <c r="A815" s="41" t="s">
        <v>23</v>
      </c>
      <c r="B815" s="41" t="s">
        <v>7180</v>
      </c>
      <c r="D815" s="41" t="s">
        <v>7181</v>
      </c>
      <c r="F815" s="41" t="s">
        <v>7182</v>
      </c>
      <c r="G815" s="41" t="s">
        <v>7183</v>
      </c>
      <c r="H815" s="41" t="s">
        <v>7184</v>
      </c>
      <c r="I815" s="41" t="s">
        <v>7185</v>
      </c>
      <c r="J815" s="41" t="s">
        <v>7186</v>
      </c>
      <c r="K815" s="41" t="s">
        <v>7187</v>
      </c>
      <c r="L815" s="41" t="s">
        <v>1094</v>
      </c>
    </row>
    <row r="816" spans="1:19" x14ac:dyDescent="0.25">
      <c r="A816" s="41" t="s">
        <v>908</v>
      </c>
      <c r="B816" s="41" t="s">
        <v>7188</v>
      </c>
    </row>
    <row r="817" spans="1:19" x14ac:dyDescent="0.25">
      <c r="A817" s="41" t="s">
        <v>23</v>
      </c>
      <c r="B817" s="41" t="s">
        <v>7189</v>
      </c>
      <c r="F817" s="41" t="s">
        <v>7190</v>
      </c>
      <c r="G817" s="41" t="s">
        <v>7191</v>
      </c>
      <c r="H817" s="41" t="s">
        <v>7192</v>
      </c>
      <c r="I817" s="41" t="s">
        <v>7193</v>
      </c>
      <c r="J817" s="41" t="s">
        <v>7194</v>
      </c>
      <c r="L817" s="41" t="s">
        <v>4</v>
      </c>
    </row>
    <row r="818" spans="1:19" x14ac:dyDescent="0.25">
      <c r="A818" s="41" t="s">
        <v>23</v>
      </c>
      <c r="B818" s="41" t="s">
        <v>7195</v>
      </c>
      <c r="D818" s="41" t="s">
        <v>7196</v>
      </c>
      <c r="E818" s="41" t="s">
        <v>7197</v>
      </c>
      <c r="F818" s="41" t="s">
        <v>7198</v>
      </c>
      <c r="G818" s="41" t="s">
        <v>7199</v>
      </c>
      <c r="H818" s="41" t="s">
        <v>7200</v>
      </c>
      <c r="I818" s="41" t="s">
        <v>7201</v>
      </c>
      <c r="J818" s="41" t="s">
        <v>7202</v>
      </c>
      <c r="K818" s="41" t="s">
        <v>7203</v>
      </c>
      <c r="L818" s="41" t="s">
        <v>7204</v>
      </c>
      <c r="M818" s="41" t="s">
        <v>7205</v>
      </c>
      <c r="N818" s="41" t="s">
        <v>7206</v>
      </c>
      <c r="O818" s="41" t="s">
        <v>7207</v>
      </c>
      <c r="P818" s="41" t="s">
        <v>7208</v>
      </c>
      <c r="Q818" s="41" t="s">
        <v>7209</v>
      </c>
      <c r="R818" s="41" t="s">
        <v>7210</v>
      </c>
      <c r="S818" s="41" t="s">
        <v>7211</v>
      </c>
    </row>
    <row r="819" spans="1:19" x14ac:dyDescent="0.25">
      <c r="A819" s="41" t="s">
        <v>23</v>
      </c>
      <c r="B819" s="41" t="s">
        <v>7212</v>
      </c>
      <c r="D819" s="41" t="s">
        <v>7213</v>
      </c>
      <c r="F819" s="41" t="s">
        <v>7214</v>
      </c>
      <c r="G819" s="41" t="s">
        <v>7215</v>
      </c>
      <c r="H819" s="41" t="s">
        <v>7216</v>
      </c>
      <c r="I819" s="41" t="s">
        <v>7217</v>
      </c>
      <c r="J819" s="41" t="s">
        <v>7218</v>
      </c>
      <c r="K819" s="41" t="s">
        <v>7219</v>
      </c>
      <c r="L819" s="41" t="s">
        <v>891</v>
      </c>
    </row>
    <row r="820" spans="1:19" x14ac:dyDescent="0.25">
      <c r="A820" s="41" t="s">
        <v>23</v>
      </c>
      <c r="B820" s="41" t="s">
        <v>7220</v>
      </c>
      <c r="D820" s="41" t="s">
        <v>7221</v>
      </c>
      <c r="F820" s="41" t="s">
        <v>7222</v>
      </c>
      <c r="G820" s="41" t="s">
        <v>7223</v>
      </c>
      <c r="H820" s="41" t="s">
        <v>7224</v>
      </c>
      <c r="I820" s="41" t="s">
        <v>7225</v>
      </c>
      <c r="J820" s="41" t="s">
        <v>7226</v>
      </c>
      <c r="K820" s="41" t="s">
        <v>7227</v>
      </c>
      <c r="L820" s="41" t="s">
        <v>1076</v>
      </c>
    </row>
    <row r="821" spans="1:19" x14ac:dyDescent="0.25">
      <c r="A821" s="41" t="s">
        <v>23</v>
      </c>
      <c r="B821" s="41" t="s">
        <v>7228</v>
      </c>
      <c r="D821" s="41" t="s">
        <v>7229</v>
      </c>
      <c r="F821" s="41" t="s">
        <v>7230</v>
      </c>
      <c r="G821" s="41" t="s">
        <v>7231</v>
      </c>
      <c r="H821" s="41" t="s">
        <v>7232</v>
      </c>
      <c r="I821" s="41" t="s">
        <v>7233</v>
      </c>
      <c r="J821" s="41" t="s">
        <v>7234</v>
      </c>
      <c r="K821" s="41" t="s">
        <v>7235</v>
      </c>
      <c r="L821" s="41" t="s">
        <v>1085</v>
      </c>
    </row>
    <row r="822" spans="1:19" x14ac:dyDescent="0.25">
      <c r="A822" s="41" t="s">
        <v>23</v>
      </c>
      <c r="B822" s="41" t="s">
        <v>7236</v>
      </c>
      <c r="D822" s="41" t="s">
        <v>7237</v>
      </c>
      <c r="F822" s="41" t="s">
        <v>7238</v>
      </c>
      <c r="G822" s="41" t="s">
        <v>7239</v>
      </c>
      <c r="H822" s="41" t="s">
        <v>7240</v>
      </c>
      <c r="I822" s="41" t="s">
        <v>7241</v>
      </c>
      <c r="J822" s="41" t="s">
        <v>7242</v>
      </c>
      <c r="K822" s="41" t="s">
        <v>7243</v>
      </c>
      <c r="L822" s="41" t="s">
        <v>1094</v>
      </c>
    </row>
    <row r="823" spans="1:19" x14ac:dyDescent="0.25">
      <c r="A823" s="41" t="s">
        <v>908</v>
      </c>
      <c r="B823" s="41" t="s">
        <v>7244</v>
      </c>
    </row>
    <row r="824" spans="1:19" x14ac:dyDescent="0.25">
      <c r="A824" s="41" t="s">
        <v>23</v>
      </c>
      <c r="B824" s="41" t="s">
        <v>7245</v>
      </c>
      <c r="F824" s="41" t="s">
        <v>7246</v>
      </c>
      <c r="G824" s="41" t="s">
        <v>7247</v>
      </c>
      <c r="H824" s="41" t="s">
        <v>7248</v>
      </c>
      <c r="I824" s="41" t="s">
        <v>7249</v>
      </c>
      <c r="J824" s="41" t="s">
        <v>7250</v>
      </c>
      <c r="L824" s="41" t="s">
        <v>4</v>
      </c>
    </row>
    <row r="825" spans="1:19" x14ac:dyDescent="0.25">
      <c r="A825" s="41" t="s">
        <v>23</v>
      </c>
      <c r="B825" s="41" t="s">
        <v>7251</v>
      </c>
      <c r="D825" s="41" t="s">
        <v>533</v>
      </c>
      <c r="E825" s="41" t="s">
        <v>7252</v>
      </c>
      <c r="F825" s="41" t="s">
        <v>7253</v>
      </c>
      <c r="G825" s="41" t="s">
        <v>7254</v>
      </c>
      <c r="H825" s="41" t="s">
        <v>7255</v>
      </c>
      <c r="I825" s="41" t="s">
        <v>7256</v>
      </c>
      <c r="J825" s="41" t="s">
        <v>7257</v>
      </c>
      <c r="K825" s="41" t="s">
        <v>7258</v>
      </c>
      <c r="L825" s="41" t="s">
        <v>7259</v>
      </c>
      <c r="M825" s="41" t="s">
        <v>7260</v>
      </c>
      <c r="N825" s="41" t="s">
        <v>7261</v>
      </c>
      <c r="O825" s="41" t="s">
        <v>7262</v>
      </c>
      <c r="P825" s="41" t="s">
        <v>7263</v>
      </c>
      <c r="Q825" s="41" t="s">
        <v>7264</v>
      </c>
      <c r="R825" s="41" t="s">
        <v>7265</v>
      </c>
      <c r="S825" s="41" t="s">
        <v>7266</v>
      </c>
    </row>
    <row r="826" spans="1:19" x14ac:dyDescent="0.25">
      <c r="A826" s="41" t="s">
        <v>23</v>
      </c>
      <c r="B826" s="41" t="s">
        <v>7267</v>
      </c>
      <c r="D826" s="41" t="s">
        <v>7268</v>
      </c>
      <c r="F826" s="41" t="s">
        <v>7269</v>
      </c>
      <c r="G826" s="41" t="s">
        <v>7270</v>
      </c>
      <c r="H826" s="41" t="s">
        <v>7271</v>
      </c>
      <c r="I826" s="41" t="s">
        <v>7272</v>
      </c>
      <c r="J826" s="41" t="s">
        <v>7273</v>
      </c>
      <c r="K826" s="41" t="s">
        <v>7274</v>
      </c>
      <c r="L826" s="41" t="s">
        <v>891</v>
      </c>
    </row>
    <row r="827" spans="1:19" x14ac:dyDescent="0.25">
      <c r="A827" s="41" t="s">
        <v>23</v>
      </c>
      <c r="B827" s="41" t="s">
        <v>7275</v>
      </c>
      <c r="D827" s="41" t="s">
        <v>7276</v>
      </c>
      <c r="F827" s="41" t="s">
        <v>7277</v>
      </c>
      <c r="G827" s="41" t="s">
        <v>7278</v>
      </c>
      <c r="H827" s="41" t="s">
        <v>7279</v>
      </c>
      <c r="I827" s="41" t="s">
        <v>7280</v>
      </c>
      <c r="J827" s="41" t="s">
        <v>7281</v>
      </c>
      <c r="K827" s="41" t="s">
        <v>7282</v>
      </c>
      <c r="L827" s="41" t="s">
        <v>1076</v>
      </c>
    </row>
    <row r="828" spans="1:19" x14ac:dyDescent="0.25">
      <c r="A828" s="41" t="s">
        <v>23</v>
      </c>
      <c r="B828" s="41" t="s">
        <v>7283</v>
      </c>
      <c r="D828" s="41" t="s">
        <v>7284</v>
      </c>
      <c r="F828" s="41" t="s">
        <v>7285</v>
      </c>
      <c r="G828" s="41" t="s">
        <v>7286</v>
      </c>
      <c r="H828" s="41" t="s">
        <v>7287</v>
      </c>
      <c r="I828" s="41" t="s">
        <v>7288</v>
      </c>
      <c r="J828" s="41" t="s">
        <v>7289</v>
      </c>
      <c r="K828" s="41" t="s">
        <v>7290</v>
      </c>
      <c r="L828" s="41" t="s">
        <v>1085</v>
      </c>
    </row>
    <row r="829" spans="1:19" x14ac:dyDescent="0.25">
      <c r="A829" s="41" t="s">
        <v>23</v>
      </c>
      <c r="B829" s="41" t="s">
        <v>7291</v>
      </c>
      <c r="D829" s="41" t="s">
        <v>7292</v>
      </c>
      <c r="F829" s="41" t="s">
        <v>7293</v>
      </c>
      <c r="G829" s="41" t="s">
        <v>7294</v>
      </c>
      <c r="H829" s="41" t="s">
        <v>7295</v>
      </c>
      <c r="I829" s="41" t="s">
        <v>7296</v>
      </c>
      <c r="J829" s="41" t="s">
        <v>7297</v>
      </c>
      <c r="K829" s="41" t="s">
        <v>7298</v>
      </c>
      <c r="L829" s="41" t="s">
        <v>1094</v>
      </c>
    </row>
    <row r="830" spans="1:19" x14ac:dyDescent="0.25">
      <c r="A830" s="41" t="s">
        <v>908</v>
      </c>
      <c r="B830" s="41" t="s">
        <v>7299</v>
      </c>
    </row>
    <row r="831" spans="1:19" x14ac:dyDescent="0.25">
      <c r="A831" s="41" t="s">
        <v>23</v>
      </c>
      <c r="B831" s="41" t="s">
        <v>7300</v>
      </c>
      <c r="F831" s="41" t="s">
        <v>7301</v>
      </c>
      <c r="G831" s="41" t="s">
        <v>7302</v>
      </c>
      <c r="H831" s="41" t="s">
        <v>7303</v>
      </c>
      <c r="I831" s="41" t="s">
        <v>7304</v>
      </c>
      <c r="J831" s="41" t="s">
        <v>7305</v>
      </c>
      <c r="L831" s="41" t="s">
        <v>4</v>
      </c>
    </row>
    <row r="832" spans="1:19" x14ac:dyDescent="0.25">
      <c r="A832" s="41" t="s">
        <v>23</v>
      </c>
      <c r="B832" s="41" t="s">
        <v>7306</v>
      </c>
      <c r="D832" s="41" t="s">
        <v>7307</v>
      </c>
      <c r="E832" s="41" t="s">
        <v>7308</v>
      </c>
      <c r="F832" s="41" t="s">
        <v>7309</v>
      </c>
      <c r="G832" s="41" t="s">
        <v>7310</v>
      </c>
      <c r="H832" s="41" t="s">
        <v>7311</v>
      </c>
      <c r="I832" s="41" t="s">
        <v>7312</v>
      </c>
      <c r="J832" s="41" t="s">
        <v>7313</v>
      </c>
      <c r="K832" s="41" t="s">
        <v>7314</v>
      </c>
      <c r="L832" s="41" t="s">
        <v>7315</v>
      </c>
      <c r="M832" s="41" t="s">
        <v>7316</v>
      </c>
      <c r="N832" s="41" t="s">
        <v>7317</v>
      </c>
      <c r="O832" s="41" t="s">
        <v>7318</v>
      </c>
      <c r="P832" s="41" t="s">
        <v>7319</v>
      </c>
      <c r="Q832" s="41" t="s">
        <v>7320</v>
      </c>
      <c r="R832" s="41" t="s">
        <v>7321</v>
      </c>
      <c r="S832" s="41" t="s">
        <v>7322</v>
      </c>
    </row>
    <row r="833" spans="1:19" x14ac:dyDescent="0.25">
      <c r="A833" s="41" t="s">
        <v>23</v>
      </c>
      <c r="B833" s="41" t="s">
        <v>7323</v>
      </c>
      <c r="D833" s="41" t="s">
        <v>7324</v>
      </c>
      <c r="F833" s="41" t="s">
        <v>7325</v>
      </c>
      <c r="G833" s="41" t="s">
        <v>7326</v>
      </c>
      <c r="H833" s="41" t="s">
        <v>7327</v>
      </c>
      <c r="I833" s="41" t="s">
        <v>7328</v>
      </c>
      <c r="J833" s="41" t="s">
        <v>7329</v>
      </c>
      <c r="K833" s="41" t="s">
        <v>7330</v>
      </c>
      <c r="L833" s="41" t="s">
        <v>891</v>
      </c>
    </row>
    <row r="834" spans="1:19" x14ac:dyDescent="0.25">
      <c r="A834" s="41" t="s">
        <v>23</v>
      </c>
      <c r="B834" s="41" t="s">
        <v>7331</v>
      </c>
      <c r="D834" s="41" t="s">
        <v>7332</v>
      </c>
      <c r="F834" s="41" t="s">
        <v>7333</v>
      </c>
      <c r="G834" s="41" t="s">
        <v>7334</v>
      </c>
      <c r="H834" s="41" t="s">
        <v>7335</v>
      </c>
      <c r="I834" s="41" t="s">
        <v>7336</v>
      </c>
      <c r="J834" s="41" t="s">
        <v>7337</v>
      </c>
      <c r="K834" s="41" t="s">
        <v>7338</v>
      </c>
      <c r="L834" s="41" t="s">
        <v>1076</v>
      </c>
    </row>
    <row r="835" spans="1:19" x14ac:dyDescent="0.25">
      <c r="A835" s="41" t="s">
        <v>23</v>
      </c>
      <c r="B835" s="41" t="s">
        <v>7339</v>
      </c>
      <c r="D835" s="41" t="s">
        <v>7340</v>
      </c>
      <c r="F835" s="41" t="s">
        <v>7341</v>
      </c>
      <c r="G835" s="41" t="s">
        <v>7342</v>
      </c>
      <c r="H835" s="41" t="s">
        <v>7343</v>
      </c>
      <c r="I835" s="41" t="s">
        <v>7344</v>
      </c>
      <c r="J835" s="41" t="s">
        <v>7345</v>
      </c>
      <c r="K835" s="41" t="s">
        <v>7346</v>
      </c>
      <c r="L835" s="41" t="s">
        <v>1085</v>
      </c>
    </row>
    <row r="836" spans="1:19" x14ac:dyDescent="0.25">
      <c r="A836" s="41" t="s">
        <v>23</v>
      </c>
      <c r="B836" s="41" t="s">
        <v>7347</v>
      </c>
      <c r="D836" s="41" t="s">
        <v>7348</v>
      </c>
      <c r="F836" s="41" t="s">
        <v>7349</v>
      </c>
      <c r="G836" s="41" t="s">
        <v>7350</v>
      </c>
      <c r="H836" s="41" t="s">
        <v>7351</v>
      </c>
      <c r="I836" s="41" t="s">
        <v>7352</v>
      </c>
      <c r="J836" s="41" t="s">
        <v>7353</v>
      </c>
      <c r="K836" s="41" t="s">
        <v>7354</v>
      </c>
      <c r="L836" s="41" t="s">
        <v>1094</v>
      </c>
    </row>
    <row r="837" spans="1:19" x14ac:dyDescent="0.25">
      <c r="A837" s="41" t="s">
        <v>908</v>
      </c>
      <c r="B837" s="41" t="s">
        <v>7355</v>
      </c>
    </row>
    <row r="838" spans="1:19" x14ac:dyDescent="0.25">
      <c r="A838" s="41" t="s">
        <v>23</v>
      </c>
      <c r="B838" s="41" t="s">
        <v>7356</v>
      </c>
      <c r="F838" s="41" t="s">
        <v>7357</v>
      </c>
      <c r="G838" s="41" t="s">
        <v>7358</v>
      </c>
      <c r="H838" s="41" t="s">
        <v>7359</v>
      </c>
      <c r="I838" s="41" t="s">
        <v>7360</v>
      </c>
      <c r="J838" s="41" t="s">
        <v>7361</v>
      </c>
      <c r="L838" s="41" t="s">
        <v>4</v>
      </c>
    </row>
    <row r="839" spans="1:19" x14ac:dyDescent="0.25">
      <c r="A839" s="41" t="s">
        <v>23</v>
      </c>
      <c r="B839" s="41" t="s">
        <v>7362</v>
      </c>
      <c r="D839" s="41" t="s">
        <v>232</v>
      </c>
      <c r="E839" s="41" t="s">
        <v>7363</v>
      </c>
      <c r="F839" s="41" t="s">
        <v>7364</v>
      </c>
      <c r="G839" s="41" t="s">
        <v>7365</v>
      </c>
      <c r="H839" s="41" t="s">
        <v>7366</v>
      </c>
      <c r="I839" s="41" t="s">
        <v>7367</v>
      </c>
      <c r="J839" s="41" t="s">
        <v>7368</v>
      </c>
      <c r="K839" s="41" t="s">
        <v>7369</v>
      </c>
      <c r="L839" s="41" t="s">
        <v>7370</v>
      </c>
      <c r="M839" s="41" t="s">
        <v>7371</v>
      </c>
      <c r="N839" s="41" t="s">
        <v>7372</v>
      </c>
      <c r="O839" s="41" t="s">
        <v>7373</v>
      </c>
      <c r="P839" s="41" t="s">
        <v>7374</v>
      </c>
      <c r="Q839" s="41" t="s">
        <v>7375</v>
      </c>
      <c r="R839" s="41" t="s">
        <v>7376</v>
      </c>
      <c r="S839" s="41" t="s">
        <v>7377</v>
      </c>
    </row>
    <row r="840" spans="1:19" x14ac:dyDescent="0.25">
      <c r="A840" s="41" t="s">
        <v>23</v>
      </c>
      <c r="B840" s="41" t="s">
        <v>7378</v>
      </c>
      <c r="D840" s="41" t="s">
        <v>7379</v>
      </c>
      <c r="F840" s="41" t="s">
        <v>7380</v>
      </c>
      <c r="G840" s="41" t="s">
        <v>7381</v>
      </c>
      <c r="H840" s="41" t="s">
        <v>7382</v>
      </c>
      <c r="I840" s="41" t="s">
        <v>7383</v>
      </c>
      <c r="J840" s="41" t="s">
        <v>7384</v>
      </c>
      <c r="K840" s="41" t="s">
        <v>7385</v>
      </c>
      <c r="L840" s="41" t="s">
        <v>891</v>
      </c>
    </row>
    <row r="841" spans="1:19" x14ac:dyDescent="0.25">
      <c r="A841" s="41" t="s">
        <v>23</v>
      </c>
      <c r="B841" s="41" t="s">
        <v>7386</v>
      </c>
      <c r="D841" s="41" t="s">
        <v>7387</v>
      </c>
      <c r="F841" s="41" t="s">
        <v>7388</v>
      </c>
      <c r="G841" s="41" t="s">
        <v>7389</v>
      </c>
      <c r="H841" s="41" t="s">
        <v>7390</v>
      </c>
      <c r="I841" s="41" t="s">
        <v>7391</v>
      </c>
      <c r="J841" s="41" t="s">
        <v>7392</v>
      </c>
      <c r="K841" s="41" t="s">
        <v>7393</v>
      </c>
      <c r="L841" s="41" t="s">
        <v>1076</v>
      </c>
    </row>
    <row r="842" spans="1:19" x14ac:dyDescent="0.25">
      <c r="A842" s="41" t="s">
        <v>23</v>
      </c>
      <c r="B842" s="41" t="s">
        <v>7394</v>
      </c>
      <c r="D842" s="41" t="s">
        <v>7395</v>
      </c>
      <c r="F842" s="41" t="s">
        <v>7396</v>
      </c>
      <c r="G842" s="41" t="s">
        <v>7397</v>
      </c>
      <c r="H842" s="41" t="s">
        <v>7398</v>
      </c>
      <c r="I842" s="41" t="s">
        <v>7399</v>
      </c>
      <c r="J842" s="41" t="s">
        <v>7400</v>
      </c>
      <c r="K842" s="41" t="s">
        <v>7401</v>
      </c>
      <c r="L842" s="41" t="s">
        <v>1085</v>
      </c>
    </row>
    <row r="843" spans="1:19" x14ac:dyDescent="0.25">
      <c r="A843" s="41" t="s">
        <v>23</v>
      </c>
      <c r="B843" s="41" t="s">
        <v>7402</v>
      </c>
      <c r="D843" s="41" t="s">
        <v>7403</v>
      </c>
      <c r="F843" s="41" t="s">
        <v>7404</v>
      </c>
      <c r="G843" s="41" t="s">
        <v>7405</v>
      </c>
      <c r="H843" s="41" t="s">
        <v>7406</v>
      </c>
      <c r="I843" s="41" t="s">
        <v>7407</v>
      </c>
      <c r="J843" s="41" t="s">
        <v>7408</v>
      </c>
      <c r="K843" s="41" t="s">
        <v>7409</v>
      </c>
      <c r="L843" s="41" t="s">
        <v>1094</v>
      </c>
    </row>
    <row r="844" spans="1:19" x14ac:dyDescent="0.25">
      <c r="A844" s="41" t="s">
        <v>908</v>
      </c>
      <c r="B844" s="41" t="s">
        <v>7410</v>
      </c>
    </row>
    <row r="845" spans="1:19" x14ac:dyDescent="0.25">
      <c r="A845" s="41" t="s">
        <v>23</v>
      </c>
      <c r="B845" s="41" t="s">
        <v>7411</v>
      </c>
      <c r="F845" s="41" t="s">
        <v>7412</v>
      </c>
      <c r="G845" s="41" t="s">
        <v>7413</v>
      </c>
      <c r="H845" s="41" t="s">
        <v>7414</v>
      </c>
      <c r="I845" s="41" t="s">
        <v>7415</v>
      </c>
      <c r="J845" s="41" t="s">
        <v>7416</v>
      </c>
      <c r="L845" s="41" t="s">
        <v>4</v>
      </c>
    </row>
    <row r="846" spans="1:19" x14ac:dyDescent="0.25">
      <c r="A846" s="41" t="s">
        <v>23</v>
      </c>
      <c r="B846" s="41" t="s">
        <v>7417</v>
      </c>
      <c r="D846" s="41" t="s">
        <v>7418</v>
      </c>
      <c r="E846" s="41" t="s">
        <v>7419</v>
      </c>
      <c r="F846" s="41" t="s">
        <v>7420</v>
      </c>
      <c r="G846" s="41" t="s">
        <v>7421</v>
      </c>
      <c r="H846" s="41" t="s">
        <v>7422</v>
      </c>
      <c r="I846" s="41" t="s">
        <v>7423</v>
      </c>
      <c r="J846" s="41" t="s">
        <v>7424</v>
      </c>
      <c r="K846" s="41" t="s">
        <v>7425</v>
      </c>
      <c r="L846" s="41" t="s">
        <v>7426</v>
      </c>
      <c r="M846" s="41" t="s">
        <v>7427</v>
      </c>
      <c r="N846" s="41" t="s">
        <v>7428</v>
      </c>
      <c r="O846" s="41" t="s">
        <v>7429</v>
      </c>
      <c r="P846" s="41" t="s">
        <v>7430</v>
      </c>
      <c r="Q846" s="41" t="s">
        <v>7431</v>
      </c>
      <c r="R846" s="41" t="s">
        <v>7432</v>
      </c>
      <c r="S846" s="41" t="s">
        <v>7433</v>
      </c>
    </row>
    <row r="847" spans="1:19" x14ac:dyDescent="0.25">
      <c r="A847" s="41" t="s">
        <v>23</v>
      </c>
      <c r="B847" s="41" t="s">
        <v>7434</v>
      </c>
      <c r="D847" s="41" t="s">
        <v>7435</v>
      </c>
      <c r="F847" s="41" t="s">
        <v>7436</v>
      </c>
      <c r="G847" s="41" t="s">
        <v>7437</v>
      </c>
      <c r="H847" s="41" t="s">
        <v>7438</v>
      </c>
      <c r="I847" s="41" t="s">
        <v>7439</v>
      </c>
      <c r="J847" s="41" t="s">
        <v>7440</v>
      </c>
      <c r="K847" s="41" t="s">
        <v>7441</v>
      </c>
      <c r="L847" s="41" t="s">
        <v>891</v>
      </c>
    </row>
    <row r="848" spans="1:19" x14ac:dyDescent="0.25">
      <c r="A848" s="41" t="s">
        <v>23</v>
      </c>
      <c r="B848" s="41" t="s">
        <v>7442</v>
      </c>
      <c r="D848" s="41" t="s">
        <v>7443</v>
      </c>
      <c r="F848" s="41" t="s">
        <v>7444</v>
      </c>
      <c r="G848" s="41" t="s">
        <v>7445</v>
      </c>
      <c r="H848" s="41" t="s">
        <v>7446</v>
      </c>
      <c r="I848" s="41" t="s">
        <v>7447</v>
      </c>
      <c r="J848" s="41" t="s">
        <v>7448</v>
      </c>
      <c r="K848" s="41" t="s">
        <v>7449</v>
      </c>
      <c r="L848" s="41" t="s">
        <v>1076</v>
      </c>
    </row>
    <row r="849" spans="1:19" x14ac:dyDescent="0.25">
      <c r="A849" s="41" t="s">
        <v>23</v>
      </c>
      <c r="B849" s="41" t="s">
        <v>7450</v>
      </c>
      <c r="D849" s="41" t="s">
        <v>7451</v>
      </c>
      <c r="F849" s="41" t="s">
        <v>7452</v>
      </c>
      <c r="G849" s="41" t="s">
        <v>7453</v>
      </c>
      <c r="H849" s="41" t="s">
        <v>7454</v>
      </c>
      <c r="I849" s="41" t="s">
        <v>7455</v>
      </c>
      <c r="J849" s="41" t="s">
        <v>7456</v>
      </c>
      <c r="K849" s="41" t="s">
        <v>7457</v>
      </c>
      <c r="L849" s="41" t="s">
        <v>1085</v>
      </c>
    </row>
    <row r="850" spans="1:19" x14ac:dyDescent="0.25">
      <c r="A850" s="41" t="s">
        <v>23</v>
      </c>
      <c r="B850" s="41" t="s">
        <v>7458</v>
      </c>
      <c r="D850" s="41" t="s">
        <v>7459</v>
      </c>
      <c r="F850" s="41" t="s">
        <v>7460</v>
      </c>
      <c r="G850" s="41" t="s">
        <v>7461</v>
      </c>
      <c r="H850" s="41" t="s">
        <v>7462</v>
      </c>
      <c r="I850" s="41" t="s">
        <v>7463</v>
      </c>
      <c r="J850" s="41" t="s">
        <v>7464</v>
      </c>
      <c r="K850" s="41" t="s">
        <v>7465</v>
      </c>
      <c r="L850" s="41" t="s">
        <v>1094</v>
      </c>
    </row>
    <row r="851" spans="1:19" x14ac:dyDescent="0.25">
      <c r="A851" s="41" t="s">
        <v>908</v>
      </c>
      <c r="B851" s="41" t="s">
        <v>7466</v>
      </c>
    </row>
    <row r="852" spans="1:19" x14ac:dyDescent="0.25">
      <c r="A852" s="41" t="s">
        <v>23</v>
      </c>
      <c r="B852" s="41" t="s">
        <v>7467</v>
      </c>
      <c r="F852" s="41" t="s">
        <v>7468</v>
      </c>
      <c r="G852" s="41" t="s">
        <v>7469</v>
      </c>
      <c r="H852" s="41" t="s">
        <v>7470</v>
      </c>
      <c r="I852" s="41" t="s">
        <v>7471</v>
      </c>
      <c r="J852" s="41" t="s">
        <v>7472</v>
      </c>
      <c r="L852" s="41" t="s">
        <v>4</v>
      </c>
    </row>
    <row r="853" spans="1:19" x14ac:dyDescent="0.25">
      <c r="A853" s="41" t="s">
        <v>23</v>
      </c>
      <c r="B853" s="41" t="s">
        <v>7473</v>
      </c>
      <c r="D853" s="41" t="s">
        <v>7474</v>
      </c>
      <c r="E853" s="41" t="s">
        <v>7475</v>
      </c>
      <c r="F853" s="41" t="s">
        <v>7476</v>
      </c>
      <c r="G853" s="41" t="s">
        <v>7477</v>
      </c>
      <c r="H853" s="41" t="s">
        <v>7478</v>
      </c>
      <c r="I853" s="41" t="s">
        <v>7479</v>
      </c>
      <c r="J853" s="41" t="s">
        <v>7480</v>
      </c>
      <c r="K853" s="41" t="s">
        <v>7481</v>
      </c>
      <c r="L853" s="41" t="s">
        <v>7482</v>
      </c>
      <c r="M853" s="41" t="s">
        <v>7483</v>
      </c>
      <c r="N853" s="41" t="s">
        <v>7484</v>
      </c>
      <c r="O853" s="41" t="s">
        <v>7485</v>
      </c>
      <c r="P853" s="41" t="s">
        <v>7486</v>
      </c>
      <c r="Q853" s="41" t="s">
        <v>7487</v>
      </c>
      <c r="R853" s="41" t="s">
        <v>7488</v>
      </c>
      <c r="S853" s="41" t="s">
        <v>7489</v>
      </c>
    </row>
    <row r="854" spans="1:19" x14ac:dyDescent="0.25">
      <c r="A854" s="41" t="s">
        <v>23</v>
      </c>
      <c r="B854" s="41" t="s">
        <v>7490</v>
      </c>
      <c r="D854" s="41" t="s">
        <v>7491</v>
      </c>
      <c r="F854" s="41" t="s">
        <v>7492</v>
      </c>
      <c r="G854" s="41" t="s">
        <v>7493</v>
      </c>
      <c r="H854" s="41" t="s">
        <v>7494</v>
      </c>
      <c r="I854" s="41" t="s">
        <v>7495</v>
      </c>
      <c r="J854" s="41" t="s">
        <v>7496</v>
      </c>
      <c r="K854" s="41" t="s">
        <v>7497</v>
      </c>
      <c r="L854" s="41" t="s">
        <v>891</v>
      </c>
    </row>
    <row r="855" spans="1:19" x14ac:dyDescent="0.25">
      <c r="A855" s="41" t="s">
        <v>23</v>
      </c>
      <c r="B855" s="41" t="s">
        <v>7498</v>
      </c>
      <c r="D855" s="41" t="s">
        <v>7499</v>
      </c>
      <c r="F855" s="41" t="s">
        <v>7500</v>
      </c>
      <c r="G855" s="41" t="s">
        <v>7501</v>
      </c>
      <c r="H855" s="41" t="s">
        <v>7502</v>
      </c>
      <c r="I855" s="41" t="s">
        <v>7503</v>
      </c>
      <c r="J855" s="41" t="s">
        <v>7504</v>
      </c>
      <c r="K855" s="41" t="s">
        <v>7505</v>
      </c>
      <c r="L855" s="41" t="s">
        <v>1076</v>
      </c>
    </row>
    <row r="856" spans="1:19" x14ac:dyDescent="0.25">
      <c r="A856" s="41" t="s">
        <v>23</v>
      </c>
      <c r="B856" s="41" t="s">
        <v>7506</v>
      </c>
      <c r="D856" s="41" t="s">
        <v>7507</v>
      </c>
      <c r="F856" s="41" t="s">
        <v>7508</v>
      </c>
      <c r="G856" s="41" t="s">
        <v>7509</v>
      </c>
      <c r="H856" s="41" t="s">
        <v>7510</v>
      </c>
      <c r="I856" s="41" t="s">
        <v>7511</v>
      </c>
      <c r="J856" s="41" t="s">
        <v>7512</v>
      </c>
      <c r="K856" s="41" t="s">
        <v>7513</v>
      </c>
      <c r="L856" s="41" t="s">
        <v>1085</v>
      </c>
    </row>
    <row r="857" spans="1:19" x14ac:dyDescent="0.25">
      <c r="A857" s="41" t="s">
        <v>23</v>
      </c>
      <c r="B857" s="41" t="s">
        <v>7514</v>
      </c>
      <c r="D857" s="41" t="s">
        <v>7515</v>
      </c>
      <c r="F857" s="41" t="s">
        <v>7516</v>
      </c>
      <c r="G857" s="41" t="s">
        <v>7517</v>
      </c>
      <c r="H857" s="41" t="s">
        <v>7518</v>
      </c>
      <c r="I857" s="41" t="s">
        <v>7519</v>
      </c>
      <c r="J857" s="41" t="s">
        <v>7520</v>
      </c>
      <c r="K857" s="41" t="s">
        <v>7521</v>
      </c>
      <c r="L857" s="41" t="s">
        <v>1094</v>
      </c>
    </row>
    <row r="858" spans="1:19" x14ac:dyDescent="0.25">
      <c r="A858" s="41" t="s">
        <v>908</v>
      </c>
      <c r="B858" s="41" t="s">
        <v>7522</v>
      </c>
    </row>
    <row r="859" spans="1:19" x14ac:dyDescent="0.25">
      <c r="A859" s="41" t="s">
        <v>23</v>
      </c>
      <c r="B859" s="41" t="s">
        <v>7523</v>
      </c>
      <c r="F859" s="41" t="s">
        <v>7524</v>
      </c>
      <c r="G859" s="41" t="s">
        <v>7525</v>
      </c>
      <c r="H859" s="41" t="s">
        <v>7526</v>
      </c>
      <c r="I859" s="41" t="s">
        <v>7527</v>
      </c>
      <c r="J859" s="41" t="s">
        <v>7528</v>
      </c>
      <c r="L859" s="41" t="s">
        <v>4</v>
      </c>
    </row>
    <row r="860" spans="1:19" x14ac:dyDescent="0.25">
      <c r="A860" s="41" t="s">
        <v>23</v>
      </c>
      <c r="B860" s="41" t="s">
        <v>7529</v>
      </c>
      <c r="D860" s="41" t="s">
        <v>7530</v>
      </c>
      <c r="E860" s="41" t="s">
        <v>7531</v>
      </c>
      <c r="F860" s="41" t="s">
        <v>7532</v>
      </c>
      <c r="G860" s="41" t="s">
        <v>7533</v>
      </c>
      <c r="H860" s="41" t="s">
        <v>7534</v>
      </c>
      <c r="I860" s="41" t="s">
        <v>7535</v>
      </c>
      <c r="J860" s="41" t="s">
        <v>7536</v>
      </c>
      <c r="K860" s="41" t="s">
        <v>7537</v>
      </c>
      <c r="L860" s="41" t="s">
        <v>7538</v>
      </c>
      <c r="M860" s="41" t="s">
        <v>7539</v>
      </c>
      <c r="N860" s="41" t="s">
        <v>7540</v>
      </c>
      <c r="O860" s="41" t="s">
        <v>7541</v>
      </c>
      <c r="P860" s="41" t="s">
        <v>7542</v>
      </c>
      <c r="Q860" s="41" t="s">
        <v>7543</v>
      </c>
      <c r="R860" s="41" t="s">
        <v>7544</v>
      </c>
      <c r="S860" s="41" t="s">
        <v>7545</v>
      </c>
    </row>
    <row r="861" spans="1:19" x14ac:dyDescent="0.25">
      <c r="A861" s="41" t="s">
        <v>23</v>
      </c>
      <c r="B861" s="41" t="s">
        <v>7546</v>
      </c>
      <c r="D861" s="41" t="s">
        <v>7547</v>
      </c>
      <c r="F861" s="41" t="s">
        <v>7548</v>
      </c>
      <c r="G861" s="41" t="s">
        <v>7549</v>
      </c>
      <c r="H861" s="41" t="s">
        <v>7550</v>
      </c>
      <c r="I861" s="41" t="s">
        <v>7551</v>
      </c>
      <c r="J861" s="41" t="s">
        <v>7552</v>
      </c>
      <c r="K861" s="41" t="s">
        <v>7553</v>
      </c>
      <c r="L861" s="41" t="s">
        <v>891</v>
      </c>
    </row>
    <row r="862" spans="1:19" x14ac:dyDescent="0.25">
      <c r="A862" s="41" t="s">
        <v>23</v>
      </c>
      <c r="B862" s="41" t="s">
        <v>7554</v>
      </c>
      <c r="D862" s="41" t="s">
        <v>7555</v>
      </c>
      <c r="F862" s="41" t="s">
        <v>7556</v>
      </c>
      <c r="G862" s="41" t="s">
        <v>7557</v>
      </c>
      <c r="H862" s="41" t="s">
        <v>7558</v>
      </c>
      <c r="I862" s="41" t="s">
        <v>7559</v>
      </c>
      <c r="J862" s="41" t="s">
        <v>7560</v>
      </c>
      <c r="K862" s="41" t="s">
        <v>7561</v>
      </c>
      <c r="L862" s="41" t="s">
        <v>1076</v>
      </c>
    </row>
    <row r="863" spans="1:19" x14ac:dyDescent="0.25">
      <c r="A863" s="41" t="s">
        <v>23</v>
      </c>
      <c r="B863" s="41" t="s">
        <v>7562</v>
      </c>
      <c r="D863" s="41" t="s">
        <v>7563</v>
      </c>
      <c r="F863" s="41" t="s">
        <v>7564</v>
      </c>
      <c r="G863" s="41" t="s">
        <v>7565</v>
      </c>
      <c r="H863" s="41" t="s">
        <v>7566</v>
      </c>
      <c r="I863" s="41" t="s">
        <v>7567</v>
      </c>
      <c r="J863" s="41" t="s">
        <v>7568</v>
      </c>
      <c r="K863" s="41" t="s">
        <v>7569</v>
      </c>
      <c r="L863" s="41" t="s">
        <v>1085</v>
      </c>
    </row>
    <row r="864" spans="1:19" x14ac:dyDescent="0.25">
      <c r="A864" s="41" t="s">
        <v>23</v>
      </c>
      <c r="B864" s="41" t="s">
        <v>7570</v>
      </c>
      <c r="D864" s="41" t="s">
        <v>7571</v>
      </c>
      <c r="F864" s="41" t="s">
        <v>7572</v>
      </c>
      <c r="G864" s="41" t="s">
        <v>7573</v>
      </c>
      <c r="H864" s="41" t="s">
        <v>7574</v>
      </c>
      <c r="I864" s="41" t="s">
        <v>7575</v>
      </c>
      <c r="J864" s="41" t="s">
        <v>7576</v>
      </c>
      <c r="K864" s="41" t="s">
        <v>7577</v>
      </c>
      <c r="L864" s="41" t="s">
        <v>1094</v>
      </c>
    </row>
    <row r="865" spans="1:19" x14ac:dyDescent="0.25">
      <c r="A865" s="41" t="s">
        <v>908</v>
      </c>
      <c r="B865" s="41" t="s">
        <v>7578</v>
      </c>
    </row>
    <row r="866" spans="1:19" x14ac:dyDescent="0.25">
      <c r="A866" s="41" t="s">
        <v>23</v>
      </c>
      <c r="B866" s="41" t="s">
        <v>7579</v>
      </c>
      <c r="F866" s="41" t="s">
        <v>7580</v>
      </c>
      <c r="G866" s="41" t="s">
        <v>7581</v>
      </c>
      <c r="H866" s="41" t="s">
        <v>7582</v>
      </c>
      <c r="I866" s="41" t="s">
        <v>7583</v>
      </c>
      <c r="J866" s="41" t="s">
        <v>7584</v>
      </c>
      <c r="L866" s="41" t="s">
        <v>4</v>
      </c>
    </row>
    <row r="867" spans="1:19" x14ac:dyDescent="0.25">
      <c r="A867" s="41" t="s">
        <v>23</v>
      </c>
      <c r="B867" s="41" t="s">
        <v>7585</v>
      </c>
      <c r="D867" s="41" t="s">
        <v>241</v>
      </c>
      <c r="E867" s="41" t="s">
        <v>7586</v>
      </c>
      <c r="F867" s="41" t="s">
        <v>7587</v>
      </c>
      <c r="G867" s="41" t="s">
        <v>7588</v>
      </c>
      <c r="H867" s="41" t="s">
        <v>7589</v>
      </c>
      <c r="I867" s="41" t="s">
        <v>7590</v>
      </c>
      <c r="J867" s="41" t="s">
        <v>7591</v>
      </c>
      <c r="K867" s="41" t="s">
        <v>7592</v>
      </c>
      <c r="L867" s="41" t="s">
        <v>7593</v>
      </c>
      <c r="M867" s="41" t="s">
        <v>7594</v>
      </c>
      <c r="N867" s="41" t="s">
        <v>7595</v>
      </c>
      <c r="O867" s="41" t="s">
        <v>7596</v>
      </c>
      <c r="P867" s="41" t="s">
        <v>7597</v>
      </c>
      <c r="Q867" s="41" t="s">
        <v>7598</v>
      </c>
      <c r="R867" s="41" t="s">
        <v>7599</v>
      </c>
      <c r="S867" s="41" t="s">
        <v>7600</v>
      </c>
    </row>
    <row r="868" spans="1:19" x14ac:dyDescent="0.25">
      <c r="A868" s="41" t="s">
        <v>23</v>
      </c>
      <c r="B868" s="41" t="s">
        <v>7601</v>
      </c>
      <c r="D868" s="41" t="s">
        <v>7602</v>
      </c>
      <c r="F868" s="41" t="s">
        <v>7603</v>
      </c>
      <c r="G868" s="41" t="s">
        <v>7604</v>
      </c>
      <c r="H868" s="41" t="s">
        <v>7605</v>
      </c>
      <c r="I868" s="41" t="s">
        <v>7606</v>
      </c>
      <c r="J868" s="41" t="s">
        <v>7607</v>
      </c>
      <c r="K868" s="41" t="s">
        <v>7608</v>
      </c>
      <c r="L868" s="41" t="s">
        <v>891</v>
      </c>
    </row>
    <row r="869" spans="1:19" x14ac:dyDescent="0.25">
      <c r="A869" s="41" t="s">
        <v>23</v>
      </c>
      <c r="B869" s="41" t="s">
        <v>7609</v>
      </c>
      <c r="D869" s="41" t="s">
        <v>7610</v>
      </c>
      <c r="F869" s="41" t="s">
        <v>7611</v>
      </c>
      <c r="G869" s="41" t="s">
        <v>7612</v>
      </c>
      <c r="H869" s="41" t="s">
        <v>7613</v>
      </c>
      <c r="I869" s="41" t="s">
        <v>7614</v>
      </c>
      <c r="J869" s="41" t="s">
        <v>7615</v>
      </c>
      <c r="K869" s="41" t="s">
        <v>7616</v>
      </c>
      <c r="L869" s="41" t="s">
        <v>1076</v>
      </c>
    </row>
    <row r="870" spans="1:19" x14ac:dyDescent="0.25">
      <c r="A870" s="41" t="s">
        <v>23</v>
      </c>
      <c r="B870" s="41" t="s">
        <v>7617</v>
      </c>
      <c r="D870" s="41" t="s">
        <v>7618</v>
      </c>
      <c r="F870" s="41" t="s">
        <v>7619</v>
      </c>
      <c r="G870" s="41" t="s">
        <v>7620</v>
      </c>
      <c r="H870" s="41" t="s">
        <v>7621</v>
      </c>
      <c r="I870" s="41" t="s">
        <v>7622</v>
      </c>
      <c r="J870" s="41" t="s">
        <v>7623</v>
      </c>
      <c r="K870" s="41" t="s">
        <v>7624</v>
      </c>
      <c r="L870" s="41" t="s">
        <v>1085</v>
      </c>
    </row>
    <row r="871" spans="1:19" x14ac:dyDescent="0.25">
      <c r="A871" s="41" t="s">
        <v>23</v>
      </c>
      <c r="B871" s="41" t="s">
        <v>7625</v>
      </c>
      <c r="D871" s="41" t="s">
        <v>7626</v>
      </c>
      <c r="F871" s="41" t="s">
        <v>7627</v>
      </c>
      <c r="G871" s="41" t="s">
        <v>7628</v>
      </c>
      <c r="H871" s="41" t="s">
        <v>7629</v>
      </c>
      <c r="I871" s="41" t="s">
        <v>7630</v>
      </c>
      <c r="J871" s="41" t="s">
        <v>7631</v>
      </c>
      <c r="K871" s="41" t="s">
        <v>7632</v>
      </c>
      <c r="L871" s="41" t="s">
        <v>1094</v>
      </c>
    </row>
    <row r="872" spans="1:19" x14ac:dyDescent="0.25">
      <c r="A872" s="41" t="s">
        <v>908</v>
      </c>
      <c r="B872" s="41" t="s">
        <v>7633</v>
      </c>
    </row>
    <row r="873" spans="1:19" x14ac:dyDescent="0.25">
      <c r="A873" s="41" t="s">
        <v>23</v>
      </c>
      <c r="B873" s="41" t="s">
        <v>7634</v>
      </c>
      <c r="F873" s="41" t="s">
        <v>7635</v>
      </c>
      <c r="G873" s="41" t="s">
        <v>7636</v>
      </c>
      <c r="H873" s="41" t="s">
        <v>7637</v>
      </c>
      <c r="I873" s="41" t="s">
        <v>7638</v>
      </c>
      <c r="J873" s="41" t="s">
        <v>7639</v>
      </c>
      <c r="L873" s="41" t="s">
        <v>4</v>
      </c>
    </row>
    <row r="874" spans="1:19" x14ac:dyDescent="0.25">
      <c r="A874" s="41" t="s">
        <v>23</v>
      </c>
      <c r="B874" s="41" t="s">
        <v>7640</v>
      </c>
      <c r="D874" s="41" t="s">
        <v>7641</v>
      </c>
      <c r="E874" s="41" t="s">
        <v>7642</v>
      </c>
      <c r="F874" s="41" t="s">
        <v>7643</v>
      </c>
      <c r="G874" s="41" t="s">
        <v>7644</v>
      </c>
      <c r="H874" s="41" t="s">
        <v>7645</v>
      </c>
      <c r="I874" s="41" t="s">
        <v>7646</v>
      </c>
      <c r="J874" s="41" t="s">
        <v>7647</v>
      </c>
      <c r="K874" s="41" t="s">
        <v>7648</v>
      </c>
      <c r="L874" s="41" t="s">
        <v>7649</v>
      </c>
      <c r="M874" s="41" t="s">
        <v>7650</v>
      </c>
      <c r="N874" s="41" t="s">
        <v>7651</v>
      </c>
      <c r="O874" s="41" t="s">
        <v>7652</v>
      </c>
      <c r="P874" s="41" t="s">
        <v>7653</v>
      </c>
      <c r="Q874" s="41" t="s">
        <v>7654</v>
      </c>
      <c r="R874" s="41" t="s">
        <v>7655</v>
      </c>
      <c r="S874" s="41" t="s">
        <v>7656</v>
      </c>
    </row>
    <row r="875" spans="1:19" x14ac:dyDescent="0.25">
      <c r="A875" s="41" t="s">
        <v>23</v>
      </c>
      <c r="B875" s="41" t="s">
        <v>7657</v>
      </c>
      <c r="D875" s="41" t="s">
        <v>7658</v>
      </c>
      <c r="F875" s="41" t="s">
        <v>7659</v>
      </c>
      <c r="G875" s="41" t="s">
        <v>7660</v>
      </c>
      <c r="H875" s="41" t="s">
        <v>7661</v>
      </c>
      <c r="I875" s="41" t="s">
        <v>7662</v>
      </c>
      <c r="J875" s="41" t="s">
        <v>7663</v>
      </c>
      <c r="K875" s="41" t="s">
        <v>7664</v>
      </c>
      <c r="L875" s="41" t="s">
        <v>891</v>
      </c>
    </row>
    <row r="876" spans="1:19" x14ac:dyDescent="0.25">
      <c r="A876" s="41" t="s">
        <v>23</v>
      </c>
      <c r="B876" s="41" t="s">
        <v>7665</v>
      </c>
      <c r="D876" s="41" t="s">
        <v>7666</v>
      </c>
      <c r="F876" s="41" t="s">
        <v>7667</v>
      </c>
      <c r="G876" s="41" t="s">
        <v>7668</v>
      </c>
      <c r="H876" s="41" t="s">
        <v>7669</v>
      </c>
      <c r="I876" s="41" t="s">
        <v>7670</v>
      </c>
      <c r="J876" s="41" t="s">
        <v>7671</v>
      </c>
      <c r="K876" s="41" t="s">
        <v>7672</v>
      </c>
      <c r="L876" s="41" t="s">
        <v>1076</v>
      </c>
    </row>
    <row r="877" spans="1:19" x14ac:dyDescent="0.25">
      <c r="A877" s="41" t="s">
        <v>23</v>
      </c>
      <c r="B877" s="41" t="s">
        <v>7673</v>
      </c>
      <c r="D877" s="41" t="s">
        <v>7674</v>
      </c>
      <c r="F877" s="41" t="s">
        <v>7675</v>
      </c>
      <c r="G877" s="41" t="s">
        <v>7676</v>
      </c>
      <c r="H877" s="41" t="s">
        <v>7677</v>
      </c>
      <c r="I877" s="41" t="s">
        <v>7678</v>
      </c>
      <c r="J877" s="41" t="s">
        <v>7679</v>
      </c>
      <c r="K877" s="41" t="s">
        <v>7680</v>
      </c>
      <c r="L877" s="41" t="s">
        <v>1085</v>
      </c>
    </row>
    <row r="878" spans="1:19" x14ac:dyDescent="0.25">
      <c r="A878" s="41" t="s">
        <v>23</v>
      </c>
      <c r="B878" s="41" t="s">
        <v>7681</v>
      </c>
      <c r="D878" s="41" t="s">
        <v>7682</v>
      </c>
      <c r="F878" s="41" t="s">
        <v>7683</v>
      </c>
      <c r="G878" s="41" t="s">
        <v>7684</v>
      </c>
      <c r="H878" s="41" t="s">
        <v>7685</v>
      </c>
      <c r="I878" s="41" t="s">
        <v>7686</v>
      </c>
      <c r="J878" s="41" t="s">
        <v>7687</v>
      </c>
      <c r="K878" s="41" t="s">
        <v>7688</v>
      </c>
      <c r="L878" s="41" t="s">
        <v>1094</v>
      </c>
    </row>
    <row r="879" spans="1:19" x14ac:dyDescent="0.25">
      <c r="A879" s="41" t="s">
        <v>908</v>
      </c>
      <c r="B879" s="41" t="s">
        <v>7689</v>
      </c>
    </row>
    <row r="880" spans="1:19" x14ac:dyDescent="0.25">
      <c r="A880" s="41" t="s">
        <v>23</v>
      </c>
      <c r="B880" s="41" t="s">
        <v>7690</v>
      </c>
      <c r="F880" s="41" t="s">
        <v>7691</v>
      </c>
      <c r="G880" s="41" t="s">
        <v>7692</v>
      </c>
      <c r="H880" s="41" t="s">
        <v>7693</v>
      </c>
      <c r="I880" s="41" t="s">
        <v>7694</v>
      </c>
      <c r="J880" s="41" t="s">
        <v>7695</v>
      </c>
      <c r="L880" s="41" t="s">
        <v>4</v>
      </c>
    </row>
    <row r="881" spans="1:19" x14ac:dyDescent="0.25">
      <c r="A881" s="41" t="s">
        <v>23</v>
      </c>
      <c r="B881" s="41" t="s">
        <v>7696</v>
      </c>
      <c r="D881" s="41" t="s">
        <v>7697</v>
      </c>
      <c r="E881" s="41" t="s">
        <v>7698</v>
      </c>
      <c r="F881" s="41" t="s">
        <v>7699</v>
      </c>
      <c r="G881" s="41" t="s">
        <v>7700</v>
      </c>
      <c r="H881" s="41" t="s">
        <v>7701</v>
      </c>
      <c r="I881" s="41" t="s">
        <v>7702</v>
      </c>
      <c r="J881" s="41" t="s">
        <v>7703</v>
      </c>
      <c r="K881" s="41" t="s">
        <v>7704</v>
      </c>
      <c r="L881" s="41" t="s">
        <v>7705</v>
      </c>
      <c r="M881" s="41" t="s">
        <v>7706</v>
      </c>
      <c r="N881" s="41" t="s">
        <v>7707</v>
      </c>
      <c r="O881" s="41" t="s">
        <v>7708</v>
      </c>
      <c r="P881" s="41" t="s">
        <v>7709</v>
      </c>
      <c r="Q881" s="41" t="s">
        <v>7710</v>
      </c>
      <c r="R881" s="41" t="s">
        <v>7711</v>
      </c>
      <c r="S881" s="41" t="s">
        <v>7712</v>
      </c>
    </row>
    <row r="882" spans="1:19" x14ac:dyDescent="0.25">
      <c r="A882" s="41" t="s">
        <v>23</v>
      </c>
      <c r="B882" s="41" t="s">
        <v>7713</v>
      </c>
      <c r="D882" s="41" t="s">
        <v>7714</v>
      </c>
      <c r="F882" s="41" t="s">
        <v>7715</v>
      </c>
      <c r="G882" s="41" t="s">
        <v>7716</v>
      </c>
      <c r="H882" s="41" t="s">
        <v>7717</v>
      </c>
      <c r="I882" s="41" t="s">
        <v>7718</v>
      </c>
      <c r="J882" s="41" t="s">
        <v>7719</v>
      </c>
      <c r="K882" s="41" t="s">
        <v>7720</v>
      </c>
      <c r="L882" s="41" t="s">
        <v>891</v>
      </c>
    </row>
    <row r="883" spans="1:19" x14ac:dyDescent="0.25">
      <c r="A883" s="41" t="s">
        <v>23</v>
      </c>
      <c r="B883" s="41" t="s">
        <v>7721</v>
      </c>
      <c r="D883" s="41" t="s">
        <v>7722</v>
      </c>
      <c r="F883" s="41" t="s">
        <v>7723</v>
      </c>
      <c r="G883" s="41" t="s">
        <v>7724</v>
      </c>
      <c r="H883" s="41" t="s">
        <v>7725</v>
      </c>
      <c r="I883" s="41" t="s">
        <v>7726</v>
      </c>
      <c r="J883" s="41" t="s">
        <v>7727</v>
      </c>
      <c r="K883" s="41" t="s">
        <v>7728</v>
      </c>
      <c r="L883" s="41" t="s">
        <v>1076</v>
      </c>
    </row>
    <row r="884" spans="1:19" x14ac:dyDescent="0.25">
      <c r="A884" s="41" t="s">
        <v>23</v>
      </c>
      <c r="B884" s="41" t="s">
        <v>7729</v>
      </c>
      <c r="D884" s="41" t="s">
        <v>7730</v>
      </c>
      <c r="F884" s="41" t="s">
        <v>7731</v>
      </c>
      <c r="G884" s="41" t="s">
        <v>7732</v>
      </c>
      <c r="H884" s="41" t="s">
        <v>7733</v>
      </c>
      <c r="I884" s="41" t="s">
        <v>7734</v>
      </c>
      <c r="J884" s="41" t="s">
        <v>7735</v>
      </c>
      <c r="K884" s="41" t="s">
        <v>7736</v>
      </c>
      <c r="L884" s="41" t="s">
        <v>1085</v>
      </c>
    </row>
    <row r="885" spans="1:19" x14ac:dyDescent="0.25">
      <c r="A885" s="41" t="s">
        <v>23</v>
      </c>
      <c r="B885" s="41" t="s">
        <v>7737</v>
      </c>
      <c r="D885" s="41" t="s">
        <v>7738</v>
      </c>
      <c r="F885" s="41" t="s">
        <v>7739</v>
      </c>
      <c r="G885" s="41" t="s">
        <v>7740</v>
      </c>
      <c r="H885" s="41" t="s">
        <v>7741</v>
      </c>
      <c r="I885" s="41" t="s">
        <v>7742</v>
      </c>
      <c r="J885" s="41" t="s">
        <v>7743</v>
      </c>
      <c r="K885" s="41" t="s">
        <v>7744</v>
      </c>
      <c r="L885" s="41" t="s">
        <v>1094</v>
      </c>
    </row>
    <row r="886" spans="1:19" x14ac:dyDescent="0.25">
      <c r="A886" s="41" t="s">
        <v>908</v>
      </c>
      <c r="B886" s="41" t="s">
        <v>7745</v>
      </c>
    </row>
    <row r="887" spans="1:19" x14ac:dyDescent="0.25">
      <c r="A887" s="41" t="s">
        <v>23</v>
      </c>
      <c r="B887" s="41" t="s">
        <v>7746</v>
      </c>
      <c r="F887" s="41" t="s">
        <v>7747</v>
      </c>
      <c r="G887" s="41" t="s">
        <v>7748</v>
      </c>
      <c r="H887" s="41" t="s">
        <v>7749</v>
      </c>
      <c r="I887" s="41" t="s">
        <v>7750</v>
      </c>
      <c r="J887" s="41" t="s">
        <v>7751</v>
      </c>
      <c r="L887" s="41" t="s">
        <v>4</v>
      </c>
    </row>
    <row r="888" spans="1:19" x14ac:dyDescent="0.25">
      <c r="A888" s="41" t="s">
        <v>23</v>
      </c>
      <c r="B888" s="41" t="s">
        <v>7752</v>
      </c>
      <c r="D888" s="41" t="s">
        <v>7753</v>
      </c>
      <c r="E888" s="41" t="s">
        <v>7754</v>
      </c>
      <c r="F888" s="41" t="s">
        <v>7755</v>
      </c>
      <c r="G888" s="41" t="s">
        <v>7756</v>
      </c>
      <c r="H888" s="41" t="s">
        <v>7757</v>
      </c>
      <c r="I888" s="41" t="s">
        <v>7758</v>
      </c>
      <c r="J888" s="41" t="s">
        <v>7759</v>
      </c>
      <c r="K888" s="41" t="s">
        <v>7760</v>
      </c>
      <c r="L888" s="41" t="s">
        <v>7761</v>
      </c>
      <c r="M888" s="41" t="s">
        <v>7762</v>
      </c>
      <c r="N888" s="41" t="s">
        <v>7763</v>
      </c>
      <c r="O888" s="41" t="s">
        <v>7764</v>
      </c>
      <c r="P888" s="41" t="s">
        <v>7765</v>
      </c>
      <c r="Q888" s="41" t="s">
        <v>7766</v>
      </c>
      <c r="R888" s="41" t="s">
        <v>7767</v>
      </c>
      <c r="S888" s="41" t="s">
        <v>7768</v>
      </c>
    </row>
    <row r="889" spans="1:19" x14ac:dyDescent="0.25">
      <c r="A889" s="41" t="s">
        <v>23</v>
      </c>
      <c r="B889" s="41" t="s">
        <v>7769</v>
      </c>
      <c r="D889" s="41" t="s">
        <v>7770</v>
      </c>
      <c r="F889" s="41" t="s">
        <v>7771</v>
      </c>
      <c r="G889" s="41" t="s">
        <v>7772</v>
      </c>
      <c r="H889" s="41" t="s">
        <v>7773</v>
      </c>
      <c r="I889" s="41" t="s">
        <v>7774</v>
      </c>
      <c r="J889" s="41" t="s">
        <v>7775</v>
      </c>
      <c r="K889" s="41" t="s">
        <v>7776</v>
      </c>
      <c r="L889" s="41" t="s">
        <v>891</v>
      </c>
    </row>
    <row r="890" spans="1:19" x14ac:dyDescent="0.25">
      <c r="A890" s="41" t="s">
        <v>23</v>
      </c>
      <c r="B890" s="41" t="s">
        <v>7777</v>
      </c>
      <c r="D890" s="41" t="s">
        <v>7778</v>
      </c>
      <c r="F890" s="41" t="s">
        <v>7779</v>
      </c>
      <c r="G890" s="41" t="s">
        <v>7780</v>
      </c>
      <c r="H890" s="41" t="s">
        <v>7781</v>
      </c>
      <c r="I890" s="41" t="s">
        <v>7782</v>
      </c>
      <c r="J890" s="41" t="s">
        <v>7783</v>
      </c>
      <c r="K890" s="41" t="s">
        <v>7784</v>
      </c>
      <c r="L890" s="41" t="s">
        <v>1076</v>
      </c>
    </row>
    <row r="891" spans="1:19" x14ac:dyDescent="0.25">
      <c r="A891" s="41" t="s">
        <v>23</v>
      </c>
      <c r="B891" s="41" t="s">
        <v>7785</v>
      </c>
      <c r="D891" s="41" t="s">
        <v>7786</v>
      </c>
      <c r="F891" s="41" t="s">
        <v>7787</v>
      </c>
      <c r="G891" s="41" t="s">
        <v>7788</v>
      </c>
      <c r="H891" s="41" t="s">
        <v>7789</v>
      </c>
      <c r="I891" s="41" t="s">
        <v>7790</v>
      </c>
      <c r="J891" s="41" t="s">
        <v>7791</v>
      </c>
      <c r="K891" s="41" t="s">
        <v>7792</v>
      </c>
      <c r="L891" s="41" t="s">
        <v>1085</v>
      </c>
    </row>
    <row r="892" spans="1:19" x14ac:dyDescent="0.25">
      <c r="A892" s="41" t="s">
        <v>23</v>
      </c>
      <c r="B892" s="41" t="s">
        <v>7793</v>
      </c>
      <c r="D892" s="41" t="s">
        <v>7794</v>
      </c>
      <c r="F892" s="41" t="s">
        <v>7795</v>
      </c>
      <c r="G892" s="41" t="s">
        <v>7796</v>
      </c>
      <c r="H892" s="41" t="s">
        <v>7797</v>
      </c>
      <c r="I892" s="41" t="s">
        <v>7798</v>
      </c>
      <c r="J892" s="41" t="s">
        <v>7799</v>
      </c>
      <c r="K892" s="41" t="s">
        <v>7800</v>
      </c>
      <c r="L892" s="41" t="s">
        <v>1094</v>
      </c>
    </row>
    <row r="893" spans="1:19" x14ac:dyDescent="0.25">
      <c r="A893" s="41" t="s">
        <v>908</v>
      </c>
      <c r="B893" s="41" t="s">
        <v>7801</v>
      </c>
    </row>
    <row r="894" spans="1:19" x14ac:dyDescent="0.25">
      <c r="A894" s="41" t="s">
        <v>23</v>
      </c>
      <c r="B894" s="41" t="s">
        <v>7802</v>
      </c>
      <c r="F894" s="41" t="s">
        <v>7803</v>
      </c>
      <c r="G894" s="41" t="s">
        <v>7804</v>
      </c>
      <c r="H894" s="41" t="s">
        <v>7805</v>
      </c>
      <c r="I894" s="41" t="s">
        <v>7806</v>
      </c>
      <c r="J894" s="41" t="s">
        <v>7807</v>
      </c>
      <c r="L894" s="41" t="s">
        <v>4</v>
      </c>
    </row>
    <row r="895" spans="1:19" x14ac:dyDescent="0.25">
      <c r="A895" s="41" t="s">
        <v>23</v>
      </c>
      <c r="B895" s="41" t="s">
        <v>7808</v>
      </c>
      <c r="D895" s="41" t="s">
        <v>7809</v>
      </c>
      <c r="E895" s="41" t="s">
        <v>7810</v>
      </c>
      <c r="F895" s="41" t="s">
        <v>7811</v>
      </c>
      <c r="G895" s="41" t="s">
        <v>7812</v>
      </c>
      <c r="H895" s="41" t="s">
        <v>7813</v>
      </c>
      <c r="I895" s="41" t="s">
        <v>7814</v>
      </c>
      <c r="J895" s="41" t="s">
        <v>7815</v>
      </c>
      <c r="K895" s="41" t="s">
        <v>7816</v>
      </c>
      <c r="L895" s="41" t="s">
        <v>7817</v>
      </c>
      <c r="M895" s="41" t="s">
        <v>7818</v>
      </c>
      <c r="N895" s="41" t="s">
        <v>7819</v>
      </c>
      <c r="O895" s="41" t="s">
        <v>7820</v>
      </c>
      <c r="P895" s="41" t="s">
        <v>7821</v>
      </c>
      <c r="Q895" s="41" t="s">
        <v>7822</v>
      </c>
      <c r="R895" s="41" t="s">
        <v>7823</v>
      </c>
      <c r="S895" s="41" t="s">
        <v>7824</v>
      </c>
    </row>
    <row r="896" spans="1:19" x14ac:dyDescent="0.25">
      <c r="A896" s="41" t="s">
        <v>23</v>
      </c>
      <c r="B896" s="41" t="s">
        <v>7825</v>
      </c>
      <c r="D896" s="41" t="s">
        <v>7826</v>
      </c>
      <c r="F896" s="41" t="s">
        <v>7827</v>
      </c>
      <c r="G896" s="41" t="s">
        <v>7828</v>
      </c>
      <c r="H896" s="41" t="s">
        <v>7829</v>
      </c>
      <c r="I896" s="41" t="s">
        <v>7830</v>
      </c>
      <c r="J896" s="41" t="s">
        <v>7831</v>
      </c>
      <c r="K896" s="41" t="s">
        <v>7832</v>
      </c>
      <c r="L896" s="41" t="s">
        <v>891</v>
      </c>
    </row>
    <row r="897" spans="1:19" x14ac:dyDescent="0.25">
      <c r="A897" s="41" t="s">
        <v>23</v>
      </c>
      <c r="B897" s="41" t="s">
        <v>7833</v>
      </c>
      <c r="D897" s="41" t="s">
        <v>7834</v>
      </c>
      <c r="F897" s="41" t="s">
        <v>7835</v>
      </c>
      <c r="G897" s="41" t="s">
        <v>7836</v>
      </c>
      <c r="H897" s="41" t="s">
        <v>7837</v>
      </c>
      <c r="I897" s="41" t="s">
        <v>7838</v>
      </c>
      <c r="J897" s="41" t="s">
        <v>7839</v>
      </c>
      <c r="K897" s="41" t="s">
        <v>7840</v>
      </c>
      <c r="L897" s="41" t="s">
        <v>1076</v>
      </c>
    </row>
    <row r="898" spans="1:19" x14ac:dyDescent="0.25">
      <c r="A898" s="41" t="s">
        <v>23</v>
      </c>
      <c r="B898" s="41" t="s">
        <v>7841</v>
      </c>
      <c r="D898" s="41" t="s">
        <v>7842</v>
      </c>
      <c r="F898" s="41" t="s">
        <v>7843</v>
      </c>
      <c r="G898" s="41" t="s">
        <v>7844</v>
      </c>
      <c r="H898" s="41" t="s">
        <v>7845</v>
      </c>
      <c r="I898" s="41" t="s">
        <v>7846</v>
      </c>
      <c r="J898" s="41" t="s">
        <v>7847</v>
      </c>
      <c r="K898" s="41" t="s">
        <v>7848</v>
      </c>
      <c r="L898" s="41" t="s">
        <v>1085</v>
      </c>
    </row>
    <row r="899" spans="1:19" x14ac:dyDescent="0.25">
      <c r="A899" s="41" t="s">
        <v>23</v>
      </c>
      <c r="B899" s="41" t="s">
        <v>7849</v>
      </c>
      <c r="D899" s="41" t="s">
        <v>7850</v>
      </c>
      <c r="F899" s="41" t="s">
        <v>7851</v>
      </c>
      <c r="G899" s="41" t="s">
        <v>7852</v>
      </c>
      <c r="H899" s="41" t="s">
        <v>7853</v>
      </c>
      <c r="I899" s="41" t="s">
        <v>7854</v>
      </c>
      <c r="J899" s="41" t="s">
        <v>7855</v>
      </c>
      <c r="K899" s="41" t="s">
        <v>7856</v>
      </c>
      <c r="L899" s="41" t="s">
        <v>1094</v>
      </c>
    </row>
    <row r="900" spans="1:19" x14ac:dyDescent="0.25">
      <c r="A900" s="41" t="s">
        <v>908</v>
      </c>
      <c r="B900" s="41" t="s">
        <v>7857</v>
      </c>
    </row>
    <row r="901" spans="1:19" x14ac:dyDescent="0.25">
      <c r="A901" s="41" t="s">
        <v>23</v>
      </c>
      <c r="B901" s="41" t="s">
        <v>7858</v>
      </c>
      <c r="F901" s="41" t="s">
        <v>7859</v>
      </c>
      <c r="G901" s="41" t="s">
        <v>7860</v>
      </c>
      <c r="H901" s="41" t="s">
        <v>7861</v>
      </c>
      <c r="I901" s="41" t="s">
        <v>7862</v>
      </c>
      <c r="J901" s="41" t="s">
        <v>7863</v>
      </c>
      <c r="L901" s="41" t="s">
        <v>4</v>
      </c>
    </row>
    <row r="902" spans="1:19" x14ac:dyDescent="0.25">
      <c r="A902" s="41" t="s">
        <v>23</v>
      </c>
      <c r="B902" s="41" t="s">
        <v>7864</v>
      </c>
      <c r="D902" s="41" t="s">
        <v>250</v>
      </c>
      <c r="E902" s="41" t="s">
        <v>7865</v>
      </c>
      <c r="F902" s="41" t="s">
        <v>7866</v>
      </c>
      <c r="G902" s="41" t="s">
        <v>7867</v>
      </c>
      <c r="H902" s="41" t="s">
        <v>7868</v>
      </c>
      <c r="I902" s="41" t="s">
        <v>7869</v>
      </c>
      <c r="J902" s="41" t="s">
        <v>7870</v>
      </c>
      <c r="K902" s="41" t="s">
        <v>7871</v>
      </c>
      <c r="L902" s="41" t="s">
        <v>7872</v>
      </c>
      <c r="M902" s="41" t="s">
        <v>7873</v>
      </c>
      <c r="N902" s="41" t="s">
        <v>7874</v>
      </c>
      <c r="O902" s="41" t="s">
        <v>7875</v>
      </c>
      <c r="P902" s="41" t="s">
        <v>7876</v>
      </c>
      <c r="Q902" s="41" t="s">
        <v>7877</v>
      </c>
      <c r="R902" s="41" t="s">
        <v>7878</v>
      </c>
      <c r="S902" s="41" t="s">
        <v>7879</v>
      </c>
    </row>
    <row r="903" spans="1:19" x14ac:dyDescent="0.25">
      <c r="A903" s="41" t="s">
        <v>23</v>
      </c>
      <c r="B903" s="41" t="s">
        <v>7880</v>
      </c>
      <c r="D903" s="41" t="s">
        <v>7881</v>
      </c>
      <c r="F903" s="41" t="s">
        <v>7882</v>
      </c>
      <c r="G903" s="41" t="s">
        <v>7883</v>
      </c>
      <c r="H903" s="41" t="s">
        <v>7884</v>
      </c>
      <c r="I903" s="41" t="s">
        <v>7885</v>
      </c>
      <c r="J903" s="41" t="s">
        <v>7886</v>
      </c>
      <c r="K903" s="41" t="s">
        <v>7887</v>
      </c>
      <c r="L903" s="41" t="s">
        <v>891</v>
      </c>
    </row>
    <row r="904" spans="1:19" x14ac:dyDescent="0.25">
      <c r="A904" s="41" t="s">
        <v>23</v>
      </c>
      <c r="B904" s="41" t="s">
        <v>7888</v>
      </c>
      <c r="D904" s="41" t="s">
        <v>7889</v>
      </c>
      <c r="F904" s="41" t="s">
        <v>7890</v>
      </c>
      <c r="G904" s="41" t="s">
        <v>7891</v>
      </c>
      <c r="H904" s="41" t="s">
        <v>7892</v>
      </c>
      <c r="I904" s="41" t="s">
        <v>7893</v>
      </c>
      <c r="J904" s="41" t="s">
        <v>7894</v>
      </c>
      <c r="K904" s="41" t="s">
        <v>7895</v>
      </c>
      <c r="L904" s="41" t="s">
        <v>1076</v>
      </c>
    </row>
    <row r="905" spans="1:19" x14ac:dyDescent="0.25">
      <c r="A905" s="41" t="s">
        <v>23</v>
      </c>
      <c r="B905" s="41" t="s">
        <v>7896</v>
      </c>
      <c r="D905" s="41" t="s">
        <v>7897</v>
      </c>
      <c r="F905" s="41" t="s">
        <v>7898</v>
      </c>
      <c r="G905" s="41" t="s">
        <v>7899</v>
      </c>
      <c r="H905" s="41" t="s">
        <v>7900</v>
      </c>
      <c r="I905" s="41" t="s">
        <v>7901</v>
      </c>
      <c r="J905" s="41" t="s">
        <v>7902</v>
      </c>
      <c r="K905" s="41" t="s">
        <v>7903</v>
      </c>
      <c r="L905" s="41" t="s">
        <v>1085</v>
      </c>
    </row>
    <row r="906" spans="1:19" x14ac:dyDescent="0.25">
      <c r="A906" s="41" t="s">
        <v>23</v>
      </c>
      <c r="B906" s="41" t="s">
        <v>7904</v>
      </c>
      <c r="D906" s="41" t="s">
        <v>7905</v>
      </c>
      <c r="F906" s="41" t="s">
        <v>7906</v>
      </c>
      <c r="G906" s="41" t="s">
        <v>7907</v>
      </c>
      <c r="H906" s="41" t="s">
        <v>7908</v>
      </c>
      <c r="I906" s="41" t="s">
        <v>7909</v>
      </c>
      <c r="J906" s="41" t="s">
        <v>7910</v>
      </c>
      <c r="K906" s="41" t="s">
        <v>7911</v>
      </c>
      <c r="L906" s="41" t="s">
        <v>1094</v>
      </c>
    </row>
    <row r="907" spans="1:19" x14ac:dyDescent="0.25">
      <c r="A907" s="41" t="s">
        <v>908</v>
      </c>
      <c r="B907" s="41" t="s">
        <v>7912</v>
      </c>
    </row>
    <row r="908" spans="1:19" x14ac:dyDescent="0.25">
      <c r="A908" s="41" t="s">
        <v>23</v>
      </c>
      <c r="B908" s="41" t="s">
        <v>7913</v>
      </c>
      <c r="F908" s="41" t="s">
        <v>7914</v>
      </c>
      <c r="G908" s="41" t="s">
        <v>7915</v>
      </c>
      <c r="H908" s="41" t="s">
        <v>7916</v>
      </c>
      <c r="I908" s="41" t="s">
        <v>7917</v>
      </c>
      <c r="J908" s="41" t="s">
        <v>7918</v>
      </c>
      <c r="L908" s="41" t="s">
        <v>4</v>
      </c>
    </row>
    <row r="909" spans="1:19" x14ac:dyDescent="0.25">
      <c r="A909" s="41" t="s">
        <v>23</v>
      </c>
      <c r="B909" s="41" t="s">
        <v>7919</v>
      </c>
      <c r="D909" s="41" t="s">
        <v>253</v>
      </c>
      <c r="E909" s="41" t="s">
        <v>7920</v>
      </c>
      <c r="F909" s="41" t="s">
        <v>7921</v>
      </c>
      <c r="G909" s="41" t="s">
        <v>7922</v>
      </c>
      <c r="H909" s="41" t="s">
        <v>7923</v>
      </c>
      <c r="I909" s="41" t="s">
        <v>7924</v>
      </c>
      <c r="J909" s="41" t="s">
        <v>7925</v>
      </c>
      <c r="K909" s="41" t="s">
        <v>7926</v>
      </c>
      <c r="L909" s="41" t="s">
        <v>7927</v>
      </c>
      <c r="M909" s="41" t="s">
        <v>7928</v>
      </c>
      <c r="N909" s="41" t="s">
        <v>7929</v>
      </c>
      <c r="O909" s="41" t="s">
        <v>7930</v>
      </c>
      <c r="P909" s="41" t="s">
        <v>7931</v>
      </c>
      <c r="Q909" s="41" t="s">
        <v>7932</v>
      </c>
      <c r="R909" s="41" t="s">
        <v>7933</v>
      </c>
      <c r="S909" s="41" t="s">
        <v>7934</v>
      </c>
    </row>
    <row r="910" spans="1:19" x14ac:dyDescent="0.25">
      <c r="A910" s="41" t="s">
        <v>23</v>
      </c>
      <c r="B910" s="41" t="s">
        <v>7935</v>
      </c>
      <c r="D910" s="41" t="s">
        <v>7936</v>
      </c>
      <c r="F910" s="41" t="s">
        <v>7937</v>
      </c>
      <c r="G910" s="41" t="s">
        <v>7938</v>
      </c>
      <c r="H910" s="41" t="s">
        <v>7939</v>
      </c>
      <c r="I910" s="41" t="s">
        <v>7940</v>
      </c>
      <c r="J910" s="41" t="s">
        <v>7941</v>
      </c>
      <c r="K910" s="41" t="s">
        <v>7942</v>
      </c>
      <c r="L910" s="41" t="s">
        <v>891</v>
      </c>
    </row>
    <row r="911" spans="1:19" x14ac:dyDescent="0.25">
      <c r="A911" s="41" t="s">
        <v>23</v>
      </c>
      <c r="B911" s="41" t="s">
        <v>7943</v>
      </c>
      <c r="D911" s="41" t="s">
        <v>7944</v>
      </c>
      <c r="F911" s="41" t="s">
        <v>7945</v>
      </c>
      <c r="G911" s="41" t="s">
        <v>7946</v>
      </c>
      <c r="H911" s="41" t="s">
        <v>7947</v>
      </c>
      <c r="I911" s="41" t="s">
        <v>7948</v>
      </c>
      <c r="J911" s="41" t="s">
        <v>7949</v>
      </c>
      <c r="K911" s="41" t="s">
        <v>7950</v>
      </c>
      <c r="L911" s="41" t="s">
        <v>1076</v>
      </c>
    </row>
    <row r="912" spans="1:19" x14ac:dyDescent="0.25">
      <c r="A912" s="41" t="s">
        <v>23</v>
      </c>
      <c r="B912" s="41" t="s">
        <v>7951</v>
      </c>
      <c r="D912" s="41" t="s">
        <v>7952</v>
      </c>
      <c r="F912" s="41" t="s">
        <v>7953</v>
      </c>
      <c r="G912" s="41" t="s">
        <v>7954</v>
      </c>
      <c r="H912" s="41" t="s">
        <v>7955</v>
      </c>
      <c r="I912" s="41" t="s">
        <v>7956</v>
      </c>
      <c r="J912" s="41" t="s">
        <v>7957</v>
      </c>
      <c r="K912" s="41" t="s">
        <v>7958</v>
      </c>
      <c r="L912" s="41" t="s">
        <v>1085</v>
      </c>
    </row>
    <row r="913" spans="1:19" x14ac:dyDescent="0.25">
      <c r="A913" s="41" t="s">
        <v>23</v>
      </c>
      <c r="B913" s="41" t="s">
        <v>7959</v>
      </c>
      <c r="D913" s="41" t="s">
        <v>7960</v>
      </c>
      <c r="F913" s="41" t="s">
        <v>7961</v>
      </c>
      <c r="G913" s="41" t="s">
        <v>7962</v>
      </c>
      <c r="H913" s="41" t="s">
        <v>7963</v>
      </c>
      <c r="I913" s="41" t="s">
        <v>7964</v>
      </c>
      <c r="J913" s="41" t="s">
        <v>7965</v>
      </c>
      <c r="K913" s="41" t="s">
        <v>7966</v>
      </c>
      <c r="L913" s="41" t="s">
        <v>1094</v>
      </c>
    </row>
    <row r="914" spans="1:19" x14ac:dyDescent="0.25">
      <c r="A914" s="41" t="s">
        <v>908</v>
      </c>
      <c r="B914" s="41" t="s">
        <v>7967</v>
      </c>
    </row>
    <row r="915" spans="1:19" x14ac:dyDescent="0.25">
      <c r="A915" s="41" t="s">
        <v>23</v>
      </c>
      <c r="B915" s="41" t="s">
        <v>7968</v>
      </c>
      <c r="F915" s="41" t="s">
        <v>7969</v>
      </c>
      <c r="G915" s="41" t="s">
        <v>7970</v>
      </c>
      <c r="H915" s="41" t="s">
        <v>7971</v>
      </c>
      <c r="I915" s="41" t="s">
        <v>7972</v>
      </c>
      <c r="J915" s="41" t="s">
        <v>7973</v>
      </c>
      <c r="L915" s="41" t="s">
        <v>4</v>
      </c>
    </row>
    <row r="916" spans="1:19" x14ac:dyDescent="0.25">
      <c r="A916" s="41" t="s">
        <v>23</v>
      </c>
      <c r="B916" s="41" t="s">
        <v>7974</v>
      </c>
      <c r="D916" s="41" t="s">
        <v>256</v>
      </c>
      <c r="E916" s="41" t="s">
        <v>7975</v>
      </c>
      <c r="F916" s="41" t="s">
        <v>7976</v>
      </c>
      <c r="G916" s="41" t="s">
        <v>7977</v>
      </c>
      <c r="H916" s="41" t="s">
        <v>7978</v>
      </c>
      <c r="I916" s="41" t="s">
        <v>7979</v>
      </c>
      <c r="J916" s="41" t="s">
        <v>7980</v>
      </c>
      <c r="K916" s="41" t="s">
        <v>7981</v>
      </c>
      <c r="L916" s="41" t="s">
        <v>7982</v>
      </c>
      <c r="M916" s="41" t="s">
        <v>7983</v>
      </c>
      <c r="N916" s="41" t="s">
        <v>7984</v>
      </c>
      <c r="O916" s="41" t="s">
        <v>7985</v>
      </c>
      <c r="P916" s="41" t="s">
        <v>7986</v>
      </c>
      <c r="Q916" s="41" t="s">
        <v>7987</v>
      </c>
      <c r="R916" s="41" t="s">
        <v>7988</v>
      </c>
      <c r="S916" s="41" t="s">
        <v>7989</v>
      </c>
    </row>
    <row r="917" spans="1:19" x14ac:dyDescent="0.25">
      <c r="A917" s="41" t="s">
        <v>23</v>
      </c>
      <c r="B917" s="41" t="s">
        <v>7990</v>
      </c>
      <c r="D917" s="41" t="s">
        <v>256</v>
      </c>
      <c r="E917" s="41" t="s">
        <v>202</v>
      </c>
      <c r="F917" s="41" t="s">
        <v>7991</v>
      </c>
      <c r="G917" s="41" t="s">
        <v>7992</v>
      </c>
      <c r="H917" s="41" t="s">
        <v>7993</v>
      </c>
      <c r="I917" s="41" t="s">
        <v>7994</v>
      </c>
      <c r="J917" s="41" t="s">
        <v>7995</v>
      </c>
      <c r="K917" s="41" t="s">
        <v>7996</v>
      </c>
      <c r="L917" s="41" t="s">
        <v>7997</v>
      </c>
      <c r="M917" s="41" t="s">
        <v>7998</v>
      </c>
      <c r="N917" s="41" t="s">
        <v>7999</v>
      </c>
      <c r="O917" s="41" t="s">
        <v>8000</v>
      </c>
      <c r="P917" s="41" t="s">
        <v>8001</v>
      </c>
      <c r="Q917" s="41" t="s">
        <v>8002</v>
      </c>
      <c r="R917" s="41" t="s">
        <v>8003</v>
      </c>
      <c r="S917" s="41" t="s">
        <v>8004</v>
      </c>
    </row>
    <row r="918" spans="1:19" x14ac:dyDescent="0.25">
      <c r="A918" s="41" t="s">
        <v>23</v>
      </c>
      <c r="B918" s="41" t="s">
        <v>8005</v>
      </c>
      <c r="D918" s="41" t="s">
        <v>8006</v>
      </c>
      <c r="F918" s="41" t="s">
        <v>8007</v>
      </c>
      <c r="G918" s="41" t="s">
        <v>8008</v>
      </c>
      <c r="H918" s="41" t="s">
        <v>8009</v>
      </c>
      <c r="I918" s="41" t="s">
        <v>8010</v>
      </c>
      <c r="J918" s="41" t="s">
        <v>8011</v>
      </c>
      <c r="K918" s="41" t="s">
        <v>8012</v>
      </c>
      <c r="L918" s="41" t="s">
        <v>891</v>
      </c>
    </row>
    <row r="919" spans="1:19" x14ac:dyDescent="0.25">
      <c r="A919" s="41" t="s">
        <v>23</v>
      </c>
      <c r="B919" s="41" t="s">
        <v>8013</v>
      </c>
      <c r="D919" s="41" t="s">
        <v>8014</v>
      </c>
      <c r="F919" s="41" t="s">
        <v>8015</v>
      </c>
      <c r="G919" s="41" t="s">
        <v>8016</v>
      </c>
      <c r="H919" s="41" t="s">
        <v>8017</v>
      </c>
      <c r="I919" s="41" t="s">
        <v>8018</v>
      </c>
      <c r="J919" s="41" t="s">
        <v>8019</v>
      </c>
      <c r="K919" s="41" t="s">
        <v>8020</v>
      </c>
      <c r="L919" s="41" t="s">
        <v>1076</v>
      </c>
    </row>
    <row r="920" spans="1:19" x14ac:dyDescent="0.25">
      <c r="A920" s="41" t="s">
        <v>23</v>
      </c>
      <c r="B920" s="41" t="s">
        <v>8021</v>
      </c>
      <c r="D920" s="41" t="s">
        <v>8022</v>
      </c>
      <c r="F920" s="41" t="s">
        <v>8023</v>
      </c>
      <c r="G920" s="41" t="s">
        <v>8024</v>
      </c>
      <c r="H920" s="41" t="s">
        <v>8025</v>
      </c>
      <c r="I920" s="41" t="s">
        <v>8026</v>
      </c>
      <c r="J920" s="41" t="s">
        <v>8027</v>
      </c>
      <c r="K920" s="41" t="s">
        <v>8028</v>
      </c>
      <c r="L920" s="41" t="s">
        <v>1085</v>
      </c>
    </row>
    <row r="921" spans="1:19" x14ac:dyDescent="0.25">
      <c r="A921" s="41" t="s">
        <v>23</v>
      </c>
      <c r="B921" s="41" t="s">
        <v>8029</v>
      </c>
      <c r="D921" s="41" t="s">
        <v>8030</v>
      </c>
      <c r="F921" s="41" t="s">
        <v>8031</v>
      </c>
      <c r="G921" s="41" t="s">
        <v>8032</v>
      </c>
      <c r="H921" s="41" t="s">
        <v>8033</v>
      </c>
      <c r="I921" s="41" t="s">
        <v>8034</v>
      </c>
      <c r="J921" s="41" t="s">
        <v>8035</v>
      </c>
      <c r="K921" s="41" t="s">
        <v>8036</v>
      </c>
      <c r="L921" s="41" t="s">
        <v>1094</v>
      </c>
    </row>
    <row r="922" spans="1:19" x14ac:dyDescent="0.25">
      <c r="A922" s="41" t="s">
        <v>908</v>
      </c>
      <c r="B922" s="41" t="s">
        <v>8037</v>
      </c>
    </row>
    <row r="923" spans="1:19" x14ac:dyDescent="0.25">
      <c r="A923" s="41" t="s">
        <v>23</v>
      </c>
      <c r="B923" s="41" t="s">
        <v>8038</v>
      </c>
      <c r="F923" s="41" t="s">
        <v>8039</v>
      </c>
      <c r="G923" s="41" t="s">
        <v>8040</v>
      </c>
      <c r="H923" s="41" t="s">
        <v>8041</v>
      </c>
      <c r="I923" s="41" t="s">
        <v>8042</v>
      </c>
      <c r="J923" s="41" t="s">
        <v>8043</v>
      </c>
      <c r="L923" s="41" t="s">
        <v>4</v>
      </c>
    </row>
    <row r="924" spans="1:19" x14ac:dyDescent="0.25">
      <c r="A924" s="41" t="s">
        <v>23</v>
      </c>
      <c r="B924" s="41" t="s">
        <v>8044</v>
      </c>
      <c r="D924" s="41" t="s">
        <v>259</v>
      </c>
      <c r="E924" s="41" t="s">
        <v>8045</v>
      </c>
      <c r="F924" s="41" t="s">
        <v>8046</v>
      </c>
      <c r="G924" s="41" t="s">
        <v>8047</v>
      </c>
      <c r="H924" s="41" t="s">
        <v>8048</v>
      </c>
      <c r="I924" s="41" t="s">
        <v>8049</v>
      </c>
      <c r="J924" s="41" t="s">
        <v>8050</v>
      </c>
      <c r="K924" s="41" t="s">
        <v>8051</v>
      </c>
      <c r="L924" s="41" t="s">
        <v>8052</v>
      </c>
      <c r="M924" s="41" t="s">
        <v>8053</v>
      </c>
      <c r="N924" s="41" t="s">
        <v>8054</v>
      </c>
      <c r="O924" s="41" t="s">
        <v>8055</v>
      </c>
      <c r="P924" s="41" t="s">
        <v>8056</v>
      </c>
      <c r="Q924" s="41" t="s">
        <v>8057</v>
      </c>
      <c r="R924" s="41" t="s">
        <v>8058</v>
      </c>
      <c r="S924" s="41" t="s">
        <v>8059</v>
      </c>
    </row>
    <row r="925" spans="1:19" x14ac:dyDescent="0.25">
      <c r="A925" s="41" t="s">
        <v>23</v>
      </c>
      <c r="B925" s="41" t="s">
        <v>8060</v>
      </c>
      <c r="D925" s="41" t="s">
        <v>8061</v>
      </c>
      <c r="F925" s="41" t="s">
        <v>8062</v>
      </c>
      <c r="G925" s="41" t="s">
        <v>8063</v>
      </c>
      <c r="H925" s="41" t="s">
        <v>8064</v>
      </c>
      <c r="I925" s="41" t="s">
        <v>8065</v>
      </c>
      <c r="J925" s="41" t="s">
        <v>8066</v>
      </c>
      <c r="K925" s="41" t="s">
        <v>8067</v>
      </c>
      <c r="L925" s="41" t="s">
        <v>891</v>
      </c>
    </row>
    <row r="926" spans="1:19" x14ac:dyDescent="0.25">
      <c r="A926" s="41" t="s">
        <v>23</v>
      </c>
      <c r="B926" s="41" t="s">
        <v>8068</v>
      </c>
      <c r="D926" s="41" t="s">
        <v>8069</v>
      </c>
      <c r="F926" s="41" t="s">
        <v>8070</v>
      </c>
      <c r="G926" s="41" t="s">
        <v>8071</v>
      </c>
      <c r="H926" s="41" t="s">
        <v>8072</v>
      </c>
      <c r="I926" s="41" t="s">
        <v>8073</v>
      </c>
      <c r="J926" s="41" t="s">
        <v>8074</v>
      </c>
      <c r="K926" s="41" t="s">
        <v>8075</v>
      </c>
      <c r="L926" s="41" t="s">
        <v>1076</v>
      </c>
    </row>
    <row r="927" spans="1:19" x14ac:dyDescent="0.25">
      <c r="A927" s="41" t="s">
        <v>23</v>
      </c>
      <c r="B927" s="41" t="s">
        <v>8076</v>
      </c>
      <c r="D927" s="41" t="s">
        <v>8077</v>
      </c>
      <c r="F927" s="41" t="s">
        <v>8078</v>
      </c>
      <c r="G927" s="41" t="s">
        <v>8079</v>
      </c>
      <c r="H927" s="41" t="s">
        <v>8080</v>
      </c>
      <c r="I927" s="41" t="s">
        <v>8081</v>
      </c>
      <c r="J927" s="41" t="s">
        <v>8082</v>
      </c>
      <c r="K927" s="41" t="s">
        <v>8083</v>
      </c>
      <c r="L927" s="41" t="s">
        <v>1085</v>
      </c>
    </row>
    <row r="928" spans="1:19" x14ac:dyDescent="0.25">
      <c r="A928" s="41" t="s">
        <v>23</v>
      </c>
      <c r="B928" s="41" t="s">
        <v>8084</v>
      </c>
      <c r="D928" s="41" t="s">
        <v>8085</v>
      </c>
      <c r="F928" s="41" t="s">
        <v>8086</v>
      </c>
      <c r="G928" s="41" t="s">
        <v>8087</v>
      </c>
      <c r="H928" s="41" t="s">
        <v>8088</v>
      </c>
      <c r="I928" s="41" t="s">
        <v>8089</v>
      </c>
      <c r="J928" s="41" t="s">
        <v>8090</v>
      </c>
      <c r="K928" s="41" t="s">
        <v>8091</v>
      </c>
      <c r="L928" s="41" t="s">
        <v>1094</v>
      </c>
    </row>
    <row r="929" spans="1:19" x14ac:dyDescent="0.25">
      <c r="A929" s="41" t="s">
        <v>908</v>
      </c>
      <c r="B929" s="41" t="s">
        <v>8092</v>
      </c>
    </row>
    <row r="930" spans="1:19" x14ac:dyDescent="0.25">
      <c r="A930" s="41" t="s">
        <v>23</v>
      </c>
      <c r="B930" s="41" t="s">
        <v>8093</v>
      </c>
      <c r="F930" s="41" t="s">
        <v>8094</v>
      </c>
      <c r="G930" s="41" t="s">
        <v>8095</v>
      </c>
      <c r="H930" s="41" t="s">
        <v>8096</v>
      </c>
      <c r="I930" s="41" t="s">
        <v>8097</v>
      </c>
      <c r="J930" s="41" t="s">
        <v>8098</v>
      </c>
      <c r="L930" s="41" t="s">
        <v>4</v>
      </c>
    </row>
    <row r="931" spans="1:19" x14ac:dyDescent="0.25">
      <c r="A931" s="41" t="s">
        <v>23</v>
      </c>
      <c r="B931" s="41" t="s">
        <v>8099</v>
      </c>
      <c r="D931" s="41" t="s">
        <v>8100</v>
      </c>
      <c r="E931" s="41" t="s">
        <v>8101</v>
      </c>
      <c r="F931" s="41" t="s">
        <v>8102</v>
      </c>
      <c r="G931" s="41" t="s">
        <v>8103</v>
      </c>
      <c r="H931" s="41" t="s">
        <v>8104</v>
      </c>
      <c r="I931" s="41" t="s">
        <v>8105</v>
      </c>
      <c r="J931" s="41" t="s">
        <v>8106</v>
      </c>
      <c r="K931" s="41" t="s">
        <v>8107</v>
      </c>
      <c r="L931" s="41" t="s">
        <v>8108</v>
      </c>
      <c r="M931" s="41" t="s">
        <v>8109</v>
      </c>
      <c r="N931" s="41" t="s">
        <v>8110</v>
      </c>
      <c r="O931" s="41" t="s">
        <v>8111</v>
      </c>
      <c r="P931" s="41" t="s">
        <v>8112</v>
      </c>
      <c r="Q931" s="41" t="s">
        <v>8113</v>
      </c>
      <c r="R931" s="41" t="s">
        <v>8114</v>
      </c>
      <c r="S931" s="41" t="s">
        <v>8115</v>
      </c>
    </row>
    <row r="932" spans="1:19" x14ac:dyDescent="0.25">
      <c r="A932" s="41" t="s">
        <v>23</v>
      </c>
      <c r="B932" s="41" t="s">
        <v>8116</v>
      </c>
      <c r="D932" s="41" t="s">
        <v>8117</v>
      </c>
      <c r="F932" s="41" t="s">
        <v>8118</v>
      </c>
      <c r="G932" s="41" t="s">
        <v>8119</v>
      </c>
      <c r="H932" s="41" t="s">
        <v>8120</v>
      </c>
      <c r="I932" s="41" t="s">
        <v>8121</v>
      </c>
      <c r="J932" s="41" t="s">
        <v>8122</v>
      </c>
      <c r="K932" s="41" t="s">
        <v>8123</v>
      </c>
      <c r="L932" s="41" t="s">
        <v>891</v>
      </c>
    </row>
    <row r="933" spans="1:19" x14ac:dyDescent="0.25">
      <c r="A933" s="41" t="s">
        <v>23</v>
      </c>
      <c r="B933" s="41" t="s">
        <v>8124</v>
      </c>
      <c r="D933" s="41" t="s">
        <v>8125</v>
      </c>
      <c r="F933" s="41" t="s">
        <v>8126</v>
      </c>
      <c r="G933" s="41" t="s">
        <v>8127</v>
      </c>
      <c r="H933" s="41" t="s">
        <v>8128</v>
      </c>
      <c r="I933" s="41" t="s">
        <v>8129</v>
      </c>
      <c r="J933" s="41" t="s">
        <v>8130</v>
      </c>
      <c r="K933" s="41" t="s">
        <v>8131</v>
      </c>
      <c r="L933" s="41" t="s">
        <v>1076</v>
      </c>
    </row>
    <row r="934" spans="1:19" x14ac:dyDescent="0.25">
      <c r="A934" s="41" t="s">
        <v>23</v>
      </c>
      <c r="B934" s="41" t="s">
        <v>8132</v>
      </c>
      <c r="D934" s="41" t="s">
        <v>8133</v>
      </c>
      <c r="F934" s="41" t="s">
        <v>8134</v>
      </c>
      <c r="G934" s="41" t="s">
        <v>8135</v>
      </c>
      <c r="H934" s="41" t="s">
        <v>8136</v>
      </c>
      <c r="I934" s="41" t="s">
        <v>8137</v>
      </c>
      <c r="J934" s="41" t="s">
        <v>8138</v>
      </c>
      <c r="K934" s="41" t="s">
        <v>8139</v>
      </c>
      <c r="L934" s="41" t="s">
        <v>1085</v>
      </c>
    </row>
    <row r="935" spans="1:19" x14ac:dyDescent="0.25">
      <c r="A935" s="41" t="s">
        <v>23</v>
      </c>
      <c r="B935" s="41" t="s">
        <v>8140</v>
      </c>
      <c r="D935" s="41" t="s">
        <v>8141</v>
      </c>
      <c r="F935" s="41" t="s">
        <v>8142</v>
      </c>
      <c r="G935" s="41" t="s">
        <v>8143</v>
      </c>
      <c r="H935" s="41" t="s">
        <v>8144</v>
      </c>
      <c r="I935" s="41" t="s">
        <v>8145</v>
      </c>
      <c r="J935" s="41" t="s">
        <v>8146</v>
      </c>
      <c r="K935" s="41" t="s">
        <v>8147</v>
      </c>
      <c r="L935" s="41" t="s">
        <v>1094</v>
      </c>
    </row>
    <row r="936" spans="1:19" x14ac:dyDescent="0.25">
      <c r="A936" s="41" t="s">
        <v>908</v>
      </c>
      <c r="B936" s="41" t="s">
        <v>8148</v>
      </c>
    </row>
    <row r="937" spans="1:19" x14ac:dyDescent="0.25">
      <c r="A937" s="41" t="s">
        <v>23</v>
      </c>
      <c r="B937" s="41" t="s">
        <v>8149</v>
      </c>
      <c r="F937" s="41" t="s">
        <v>8150</v>
      </c>
      <c r="G937" s="41" t="s">
        <v>8151</v>
      </c>
      <c r="H937" s="41" t="s">
        <v>8152</v>
      </c>
      <c r="I937" s="41" t="s">
        <v>8153</v>
      </c>
      <c r="J937" s="41" t="s">
        <v>8154</v>
      </c>
      <c r="L937" s="41" t="s">
        <v>4</v>
      </c>
    </row>
    <row r="938" spans="1:19" x14ac:dyDescent="0.25">
      <c r="A938" s="41" t="s">
        <v>23</v>
      </c>
      <c r="B938" s="41" t="s">
        <v>8155</v>
      </c>
      <c r="D938" s="41" t="s">
        <v>550</v>
      </c>
      <c r="E938" s="41" t="s">
        <v>8156</v>
      </c>
      <c r="F938" s="41" t="s">
        <v>8157</v>
      </c>
      <c r="G938" s="41" t="s">
        <v>8158</v>
      </c>
      <c r="H938" s="41" t="s">
        <v>8159</v>
      </c>
      <c r="I938" s="41" t="s">
        <v>8160</v>
      </c>
      <c r="J938" s="41" t="s">
        <v>8161</v>
      </c>
      <c r="K938" s="41" t="s">
        <v>8162</v>
      </c>
      <c r="L938" s="41" t="s">
        <v>8163</v>
      </c>
      <c r="M938" s="41" t="s">
        <v>8164</v>
      </c>
      <c r="N938" s="41" t="s">
        <v>8165</v>
      </c>
      <c r="O938" s="41" t="s">
        <v>8166</v>
      </c>
      <c r="P938" s="41" t="s">
        <v>8167</v>
      </c>
      <c r="Q938" s="41" t="s">
        <v>8168</v>
      </c>
      <c r="R938" s="41" t="s">
        <v>8169</v>
      </c>
      <c r="S938" s="41" t="s">
        <v>8170</v>
      </c>
    </row>
    <row r="939" spans="1:19" x14ac:dyDescent="0.25">
      <c r="A939" s="41" t="s">
        <v>23</v>
      </c>
      <c r="B939" s="41" t="s">
        <v>8171</v>
      </c>
      <c r="D939" s="41" t="s">
        <v>8172</v>
      </c>
      <c r="F939" s="41" t="s">
        <v>8173</v>
      </c>
      <c r="G939" s="41" t="s">
        <v>8174</v>
      </c>
      <c r="H939" s="41" t="s">
        <v>8175</v>
      </c>
      <c r="I939" s="41" t="s">
        <v>8176</v>
      </c>
      <c r="J939" s="41" t="s">
        <v>8177</v>
      </c>
      <c r="K939" s="41" t="s">
        <v>8178</v>
      </c>
      <c r="L939" s="41" t="s">
        <v>891</v>
      </c>
    </row>
    <row r="940" spans="1:19" x14ac:dyDescent="0.25">
      <c r="A940" s="41" t="s">
        <v>23</v>
      </c>
      <c r="B940" s="41" t="s">
        <v>8179</v>
      </c>
      <c r="D940" s="41" t="s">
        <v>8180</v>
      </c>
      <c r="F940" s="41" t="s">
        <v>8181</v>
      </c>
      <c r="G940" s="41" t="s">
        <v>8182</v>
      </c>
      <c r="H940" s="41" t="s">
        <v>8183</v>
      </c>
      <c r="I940" s="41" t="s">
        <v>8184</v>
      </c>
      <c r="J940" s="41" t="s">
        <v>8185</v>
      </c>
      <c r="K940" s="41" t="s">
        <v>8186</v>
      </c>
      <c r="L940" s="41" t="s">
        <v>1076</v>
      </c>
    </row>
    <row r="941" spans="1:19" x14ac:dyDescent="0.25">
      <c r="A941" s="41" t="s">
        <v>23</v>
      </c>
      <c r="B941" s="41" t="s">
        <v>8187</v>
      </c>
      <c r="D941" s="41" t="s">
        <v>8188</v>
      </c>
      <c r="F941" s="41" t="s">
        <v>8189</v>
      </c>
      <c r="G941" s="41" t="s">
        <v>8190</v>
      </c>
      <c r="H941" s="41" t="s">
        <v>8191</v>
      </c>
      <c r="I941" s="41" t="s">
        <v>8192</v>
      </c>
      <c r="J941" s="41" t="s">
        <v>8193</v>
      </c>
      <c r="K941" s="41" t="s">
        <v>8194</v>
      </c>
      <c r="L941" s="41" t="s">
        <v>1085</v>
      </c>
    </row>
    <row r="942" spans="1:19" x14ac:dyDescent="0.25">
      <c r="A942" s="41" t="s">
        <v>23</v>
      </c>
      <c r="B942" s="41" t="s">
        <v>8195</v>
      </c>
      <c r="D942" s="41" t="s">
        <v>8196</v>
      </c>
      <c r="F942" s="41" t="s">
        <v>8197</v>
      </c>
      <c r="G942" s="41" t="s">
        <v>8198</v>
      </c>
      <c r="H942" s="41" t="s">
        <v>8199</v>
      </c>
      <c r="I942" s="41" t="s">
        <v>8200</v>
      </c>
      <c r="J942" s="41" t="s">
        <v>8201</v>
      </c>
      <c r="K942" s="41" t="s">
        <v>8202</v>
      </c>
      <c r="L942" s="41" t="s">
        <v>1094</v>
      </c>
    </row>
    <row r="943" spans="1:19" x14ac:dyDescent="0.25">
      <c r="A943" s="41" t="s">
        <v>908</v>
      </c>
      <c r="B943" s="41" t="s">
        <v>8203</v>
      </c>
    </row>
    <row r="944" spans="1:19" x14ac:dyDescent="0.25">
      <c r="A944" s="41" t="s">
        <v>23</v>
      </c>
      <c r="B944" s="41" t="s">
        <v>8204</v>
      </c>
      <c r="F944" s="41" t="s">
        <v>8205</v>
      </c>
      <c r="G944" s="41" t="s">
        <v>8206</v>
      </c>
      <c r="H944" s="41" t="s">
        <v>8207</v>
      </c>
      <c r="I944" s="41" t="s">
        <v>8208</v>
      </c>
      <c r="J944" s="41" t="s">
        <v>8209</v>
      </c>
      <c r="L944" s="41" t="s">
        <v>4</v>
      </c>
    </row>
    <row r="945" spans="1:19" x14ac:dyDescent="0.25">
      <c r="A945" s="41" t="s">
        <v>23</v>
      </c>
      <c r="B945" s="41" t="s">
        <v>8210</v>
      </c>
      <c r="D945" s="41" t="s">
        <v>261</v>
      </c>
      <c r="E945" s="41" t="s">
        <v>8211</v>
      </c>
      <c r="F945" s="41" t="s">
        <v>8212</v>
      </c>
      <c r="G945" s="41" t="s">
        <v>8213</v>
      </c>
      <c r="H945" s="41" t="s">
        <v>8214</v>
      </c>
      <c r="I945" s="41" t="s">
        <v>8215</v>
      </c>
      <c r="J945" s="41" t="s">
        <v>8216</v>
      </c>
      <c r="K945" s="41" t="s">
        <v>8217</v>
      </c>
      <c r="L945" s="41" t="s">
        <v>8218</v>
      </c>
      <c r="M945" s="41" t="s">
        <v>8219</v>
      </c>
      <c r="N945" s="41" t="s">
        <v>8220</v>
      </c>
      <c r="O945" s="41" t="s">
        <v>8221</v>
      </c>
      <c r="P945" s="41" t="s">
        <v>8222</v>
      </c>
      <c r="Q945" s="41" t="s">
        <v>8223</v>
      </c>
      <c r="R945" s="41" t="s">
        <v>8224</v>
      </c>
      <c r="S945" s="41" t="s">
        <v>8225</v>
      </c>
    </row>
    <row r="946" spans="1:19" x14ac:dyDescent="0.25">
      <c r="A946" s="41" t="s">
        <v>23</v>
      </c>
      <c r="B946" s="41" t="s">
        <v>8226</v>
      </c>
      <c r="D946" s="41" t="s">
        <v>8227</v>
      </c>
      <c r="F946" s="41" t="s">
        <v>8228</v>
      </c>
      <c r="G946" s="41" t="s">
        <v>8229</v>
      </c>
      <c r="H946" s="41" t="s">
        <v>8230</v>
      </c>
      <c r="I946" s="41" t="s">
        <v>8231</v>
      </c>
      <c r="J946" s="41" t="s">
        <v>8232</v>
      </c>
      <c r="K946" s="41" t="s">
        <v>8233</v>
      </c>
      <c r="L946" s="41" t="s">
        <v>891</v>
      </c>
    </row>
    <row r="947" spans="1:19" x14ac:dyDescent="0.25">
      <c r="A947" s="41" t="s">
        <v>23</v>
      </c>
      <c r="B947" s="41" t="s">
        <v>8234</v>
      </c>
      <c r="D947" s="41" t="s">
        <v>8235</v>
      </c>
      <c r="F947" s="41" t="s">
        <v>8236</v>
      </c>
      <c r="G947" s="41" t="s">
        <v>8237</v>
      </c>
      <c r="H947" s="41" t="s">
        <v>8238</v>
      </c>
      <c r="I947" s="41" t="s">
        <v>8239</v>
      </c>
      <c r="J947" s="41" t="s">
        <v>8240</v>
      </c>
      <c r="K947" s="41" t="s">
        <v>8241</v>
      </c>
      <c r="L947" s="41" t="s">
        <v>1076</v>
      </c>
    </row>
    <row r="948" spans="1:19" x14ac:dyDescent="0.25">
      <c r="A948" s="41" t="s">
        <v>23</v>
      </c>
      <c r="B948" s="41" t="s">
        <v>8242</v>
      </c>
      <c r="D948" s="41" t="s">
        <v>8243</v>
      </c>
      <c r="F948" s="41" t="s">
        <v>8244</v>
      </c>
      <c r="G948" s="41" t="s">
        <v>8245</v>
      </c>
      <c r="H948" s="41" t="s">
        <v>8246</v>
      </c>
      <c r="I948" s="41" t="s">
        <v>8247</v>
      </c>
      <c r="J948" s="41" t="s">
        <v>8248</v>
      </c>
      <c r="K948" s="41" t="s">
        <v>8249</v>
      </c>
      <c r="L948" s="41" t="s">
        <v>1085</v>
      </c>
    </row>
    <row r="949" spans="1:19" x14ac:dyDescent="0.25">
      <c r="A949" s="41" t="s">
        <v>23</v>
      </c>
      <c r="B949" s="41" t="s">
        <v>8250</v>
      </c>
      <c r="D949" s="41" t="s">
        <v>8251</v>
      </c>
      <c r="F949" s="41" t="s">
        <v>8252</v>
      </c>
      <c r="G949" s="41" t="s">
        <v>8253</v>
      </c>
      <c r="H949" s="41" t="s">
        <v>8254</v>
      </c>
      <c r="I949" s="41" t="s">
        <v>8255</v>
      </c>
      <c r="J949" s="41" t="s">
        <v>8256</v>
      </c>
      <c r="K949" s="41" t="s">
        <v>8257</v>
      </c>
      <c r="L949" s="41" t="s">
        <v>1094</v>
      </c>
    </row>
    <row r="950" spans="1:19" x14ac:dyDescent="0.25">
      <c r="A950" s="41" t="s">
        <v>908</v>
      </c>
      <c r="B950" s="41" t="s">
        <v>8258</v>
      </c>
    </row>
    <row r="951" spans="1:19" x14ac:dyDescent="0.25">
      <c r="A951" s="41" t="s">
        <v>23</v>
      </c>
      <c r="B951" s="41" t="s">
        <v>8259</v>
      </c>
      <c r="F951" s="41" t="s">
        <v>8260</v>
      </c>
      <c r="G951" s="41" t="s">
        <v>8261</v>
      </c>
      <c r="H951" s="41" t="s">
        <v>8262</v>
      </c>
      <c r="I951" s="41" t="s">
        <v>8263</v>
      </c>
      <c r="J951" s="41" t="s">
        <v>8264</v>
      </c>
      <c r="L951" s="41" t="s">
        <v>4</v>
      </c>
    </row>
    <row r="952" spans="1:19" x14ac:dyDescent="0.25">
      <c r="A952" s="41" t="s">
        <v>23</v>
      </c>
      <c r="B952" s="41" t="s">
        <v>8265</v>
      </c>
      <c r="D952" s="41" t="s">
        <v>264</v>
      </c>
      <c r="E952" s="41" t="s">
        <v>8266</v>
      </c>
      <c r="F952" s="41" t="s">
        <v>8267</v>
      </c>
      <c r="G952" s="41" t="s">
        <v>8268</v>
      </c>
      <c r="H952" s="41" t="s">
        <v>8269</v>
      </c>
      <c r="I952" s="41" t="s">
        <v>8270</v>
      </c>
      <c r="J952" s="41" t="s">
        <v>8271</v>
      </c>
      <c r="K952" s="41" t="s">
        <v>8272</v>
      </c>
      <c r="L952" s="41" t="s">
        <v>8273</v>
      </c>
      <c r="M952" s="41" t="s">
        <v>8274</v>
      </c>
      <c r="N952" s="41" t="s">
        <v>8275</v>
      </c>
      <c r="O952" s="41" t="s">
        <v>8276</v>
      </c>
      <c r="P952" s="41" t="s">
        <v>8277</v>
      </c>
      <c r="Q952" s="41" t="s">
        <v>8278</v>
      </c>
      <c r="R952" s="41" t="s">
        <v>8279</v>
      </c>
      <c r="S952" s="41" t="s">
        <v>8280</v>
      </c>
    </row>
    <row r="953" spans="1:19" x14ac:dyDescent="0.25">
      <c r="A953" s="41" t="s">
        <v>23</v>
      </c>
      <c r="B953" s="41" t="s">
        <v>8281</v>
      </c>
      <c r="D953" s="41" t="s">
        <v>8282</v>
      </c>
      <c r="F953" s="41" t="s">
        <v>8283</v>
      </c>
      <c r="G953" s="41" t="s">
        <v>8284</v>
      </c>
      <c r="H953" s="41" t="s">
        <v>8285</v>
      </c>
      <c r="I953" s="41" t="s">
        <v>8286</v>
      </c>
      <c r="J953" s="41" t="s">
        <v>8287</v>
      </c>
      <c r="K953" s="41" t="s">
        <v>8288</v>
      </c>
      <c r="L953" s="41" t="s">
        <v>891</v>
      </c>
    </row>
    <row r="954" spans="1:19" x14ac:dyDescent="0.25">
      <c r="A954" s="41" t="s">
        <v>23</v>
      </c>
      <c r="B954" s="41" t="s">
        <v>8289</v>
      </c>
      <c r="D954" s="41" t="s">
        <v>8290</v>
      </c>
      <c r="F954" s="41" t="s">
        <v>8291</v>
      </c>
      <c r="G954" s="41" t="s">
        <v>8292</v>
      </c>
      <c r="H954" s="41" t="s">
        <v>8293</v>
      </c>
      <c r="I954" s="41" t="s">
        <v>8294</v>
      </c>
      <c r="J954" s="41" t="s">
        <v>8295</v>
      </c>
      <c r="K954" s="41" t="s">
        <v>8296</v>
      </c>
      <c r="L954" s="41" t="s">
        <v>1076</v>
      </c>
    </row>
    <row r="955" spans="1:19" x14ac:dyDescent="0.25">
      <c r="A955" s="41" t="s">
        <v>23</v>
      </c>
      <c r="B955" s="41" t="s">
        <v>8297</v>
      </c>
      <c r="D955" s="41" t="s">
        <v>8298</v>
      </c>
      <c r="F955" s="41" t="s">
        <v>8299</v>
      </c>
      <c r="G955" s="41" t="s">
        <v>8300</v>
      </c>
      <c r="H955" s="41" t="s">
        <v>8301</v>
      </c>
      <c r="I955" s="41" t="s">
        <v>8302</v>
      </c>
      <c r="J955" s="41" t="s">
        <v>8303</v>
      </c>
      <c r="K955" s="41" t="s">
        <v>8304</v>
      </c>
      <c r="L955" s="41" t="s">
        <v>1085</v>
      </c>
    </row>
    <row r="956" spans="1:19" x14ac:dyDescent="0.25">
      <c r="A956" s="41" t="s">
        <v>23</v>
      </c>
      <c r="B956" s="41" t="s">
        <v>8305</v>
      </c>
      <c r="D956" s="41" t="s">
        <v>8306</v>
      </c>
      <c r="F956" s="41" t="s">
        <v>8307</v>
      </c>
      <c r="G956" s="41" t="s">
        <v>8308</v>
      </c>
      <c r="H956" s="41" t="s">
        <v>8309</v>
      </c>
      <c r="I956" s="41" t="s">
        <v>8310</v>
      </c>
      <c r="J956" s="41" t="s">
        <v>8311</v>
      </c>
      <c r="K956" s="41" t="s">
        <v>8312</v>
      </c>
      <c r="L956" s="41" t="s">
        <v>1094</v>
      </c>
    </row>
    <row r="957" spans="1:19" x14ac:dyDescent="0.25">
      <c r="A957" s="41" t="s">
        <v>908</v>
      </c>
      <c r="B957" s="41" t="s">
        <v>8313</v>
      </c>
    </row>
    <row r="958" spans="1:19" x14ac:dyDescent="0.25">
      <c r="A958" s="41" t="s">
        <v>23</v>
      </c>
      <c r="B958" s="41" t="s">
        <v>8314</v>
      </c>
      <c r="F958" s="41" t="s">
        <v>8315</v>
      </c>
      <c r="G958" s="41" t="s">
        <v>8316</v>
      </c>
      <c r="H958" s="41" t="s">
        <v>8317</v>
      </c>
      <c r="I958" s="41" t="s">
        <v>8318</v>
      </c>
      <c r="J958" s="41" t="s">
        <v>8319</v>
      </c>
      <c r="L958" s="41" t="s">
        <v>4</v>
      </c>
    </row>
    <row r="959" spans="1:19" x14ac:dyDescent="0.25">
      <c r="A959" s="41" t="s">
        <v>23</v>
      </c>
      <c r="B959" s="41" t="s">
        <v>8320</v>
      </c>
      <c r="D959" s="41" t="s">
        <v>267</v>
      </c>
      <c r="E959" s="41" t="s">
        <v>8321</v>
      </c>
      <c r="F959" s="41" t="s">
        <v>8322</v>
      </c>
      <c r="G959" s="41" t="s">
        <v>8323</v>
      </c>
      <c r="H959" s="41" t="s">
        <v>8324</v>
      </c>
      <c r="I959" s="41" t="s">
        <v>8325</v>
      </c>
      <c r="J959" s="41" t="s">
        <v>8326</v>
      </c>
      <c r="K959" s="41" t="s">
        <v>8327</v>
      </c>
      <c r="L959" s="41" t="s">
        <v>8328</v>
      </c>
      <c r="M959" s="41" t="s">
        <v>8329</v>
      </c>
      <c r="N959" s="41" t="s">
        <v>8330</v>
      </c>
      <c r="O959" s="41" t="s">
        <v>8331</v>
      </c>
      <c r="P959" s="41" t="s">
        <v>8332</v>
      </c>
      <c r="Q959" s="41" t="s">
        <v>8333</v>
      </c>
      <c r="R959" s="41" t="s">
        <v>8334</v>
      </c>
      <c r="S959" s="41" t="s">
        <v>8335</v>
      </c>
    </row>
    <row r="960" spans="1:19" x14ac:dyDescent="0.25">
      <c r="A960" s="41" t="s">
        <v>23</v>
      </c>
      <c r="B960" s="41" t="s">
        <v>8336</v>
      </c>
      <c r="D960" s="41" t="s">
        <v>8337</v>
      </c>
      <c r="F960" s="41" t="s">
        <v>8338</v>
      </c>
      <c r="G960" s="41" t="s">
        <v>8339</v>
      </c>
      <c r="H960" s="41" t="s">
        <v>8340</v>
      </c>
      <c r="I960" s="41" t="s">
        <v>8341</v>
      </c>
      <c r="J960" s="41" t="s">
        <v>8342</v>
      </c>
      <c r="K960" s="41" t="s">
        <v>8343</v>
      </c>
      <c r="L960" s="41" t="s">
        <v>891</v>
      </c>
    </row>
    <row r="961" spans="1:19" x14ac:dyDescent="0.25">
      <c r="A961" s="41" t="s">
        <v>23</v>
      </c>
      <c r="B961" s="41" t="s">
        <v>8344</v>
      </c>
      <c r="D961" s="41" t="s">
        <v>8345</v>
      </c>
      <c r="F961" s="41" t="s">
        <v>8346</v>
      </c>
      <c r="G961" s="41" t="s">
        <v>8347</v>
      </c>
      <c r="H961" s="41" t="s">
        <v>8348</v>
      </c>
      <c r="I961" s="41" t="s">
        <v>8349</v>
      </c>
      <c r="J961" s="41" t="s">
        <v>8350</v>
      </c>
      <c r="K961" s="41" t="s">
        <v>8351</v>
      </c>
      <c r="L961" s="41" t="s">
        <v>1076</v>
      </c>
    </row>
    <row r="962" spans="1:19" x14ac:dyDescent="0.25">
      <c r="A962" s="41" t="s">
        <v>23</v>
      </c>
      <c r="B962" s="41" t="s">
        <v>8352</v>
      </c>
      <c r="D962" s="41" t="s">
        <v>8353</v>
      </c>
      <c r="F962" s="41" t="s">
        <v>8354</v>
      </c>
      <c r="G962" s="41" t="s">
        <v>8355</v>
      </c>
      <c r="H962" s="41" t="s">
        <v>8356</v>
      </c>
      <c r="I962" s="41" t="s">
        <v>8357</v>
      </c>
      <c r="J962" s="41" t="s">
        <v>8358</v>
      </c>
      <c r="K962" s="41" t="s">
        <v>8359</v>
      </c>
      <c r="L962" s="41" t="s">
        <v>1085</v>
      </c>
    </row>
    <row r="963" spans="1:19" x14ac:dyDescent="0.25">
      <c r="A963" s="41" t="s">
        <v>23</v>
      </c>
      <c r="B963" s="41" t="s">
        <v>8360</v>
      </c>
      <c r="D963" s="41" t="s">
        <v>8361</v>
      </c>
      <c r="F963" s="41" t="s">
        <v>8362</v>
      </c>
      <c r="G963" s="41" t="s">
        <v>8363</v>
      </c>
      <c r="H963" s="41" t="s">
        <v>8364</v>
      </c>
      <c r="I963" s="41" t="s">
        <v>8365</v>
      </c>
      <c r="J963" s="41" t="s">
        <v>8366</v>
      </c>
      <c r="K963" s="41" t="s">
        <v>8367</v>
      </c>
      <c r="L963" s="41" t="s">
        <v>1094</v>
      </c>
    </row>
    <row r="964" spans="1:19" x14ac:dyDescent="0.25">
      <c r="A964" s="41" t="s">
        <v>908</v>
      </c>
      <c r="B964" s="41" t="s">
        <v>8368</v>
      </c>
    </row>
    <row r="965" spans="1:19" x14ac:dyDescent="0.25">
      <c r="A965" s="41" t="s">
        <v>23</v>
      </c>
      <c r="B965" s="41" t="s">
        <v>8369</v>
      </c>
      <c r="F965" s="41" t="s">
        <v>8370</v>
      </c>
      <c r="G965" s="41" t="s">
        <v>8371</v>
      </c>
      <c r="H965" s="41" t="s">
        <v>8372</v>
      </c>
      <c r="I965" s="41" t="s">
        <v>8373</v>
      </c>
      <c r="J965" s="41" t="s">
        <v>8374</v>
      </c>
      <c r="L965" s="41" t="s">
        <v>4</v>
      </c>
    </row>
    <row r="966" spans="1:19" x14ac:dyDescent="0.25">
      <c r="A966" s="41" t="s">
        <v>23</v>
      </c>
      <c r="B966" s="41" t="s">
        <v>8375</v>
      </c>
      <c r="D966" s="41" t="s">
        <v>270</v>
      </c>
      <c r="E966" s="41" t="s">
        <v>8376</v>
      </c>
      <c r="F966" s="41" t="s">
        <v>8377</v>
      </c>
      <c r="G966" s="41" t="s">
        <v>8378</v>
      </c>
      <c r="H966" s="41" t="s">
        <v>8379</v>
      </c>
      <c r="I966" s="41" t="s">
        <v>8380</v>
      </c>
      <c r="J966" s="41" t="s">
        <v>8381</v>
      </c>
      <c r="K966" s="41" t="s">
        <v>8382</v>
      </c>
      <c r="L966" s="41" t="s">
        <v>8383</v>
      </c>
      <c r="M966" s="41" t="s">
        <v>8384</v>
      </c>
      <c r="N966" s="41" t="s">
        <v>8385</v>
      </c>
      <c r="O966" s="41" t="s">
        <v>8386</v>
      </c>
      <c r="P966" s="41" t="s">
        <v>8387</v>
      </c>
      <c r="Q966" s="41" t="s">
        <v>8388</v>
      </c>
      <c r="R966" s="41" t="s">
        <v>8389</v>
      </c>
      <c r="S966" s="41" t="s">
        <v>8390</v>
      </c>
    </row>
    <row r="967" spans="1:19" x14ac:dyDescent="0.25">
      <c r="A967" s="41" t="s">
        <v>23</v>
      </c>
      <c r="B967" s="41" t="s">
        <v>8391</v>
      </c>
      <c r="D967" s="41" t="s">
        <v>8392</v>
      </c>
      <c r="F967" s="41" t="s">
        <v>8393</v>
      </c>
      <c r="G967" s="41" t="s">
        <v>8394</v>
      </c>
      <c r="H967" s="41" t="s">
        <v>8395</v>
      </c>
      <c r="I967" s="41" t="s">
        <v>8396</v>
      </c>
      <c r="J967" s="41" t="s">
        <v>8397</v>
      </c>
      <c r="K967" s="41" t="s">
        <v>8398</v>
      </c>
      <c r="L967" s="41" t="s">
        <v>891</v>
      </c>
    </row>
    <row r="968" spans="1:19" x14ac:dyDescent="0.25">
      <c r="A968" s="41" t="s">
        <v>23</v>
      </c>
      <c r="B968" s="41" t="s">
        <v>8399</v>
      </c>
      <c r="D968" s="41" t="s">
        <v>8400</v>
      </c>
      <c r="F968" s="41" t="s">
        <v>8401</v>
      </c>
      <c r="G968" s="41" t="s">
        <v>8402</v>
      </c>
      <c r="H968" s="41" t="s">
        <v>8403</v>
      </c>
      <c r="I968" s="41" t="s">
        <v>8404</v>
      </c>
      <c r="J968" s="41" t="s">
        <v>8405</v>
      </c>
      <c r="K968" s="41" t="s">
        <v>8406</v>
      </c>
      <c r="L968" s="41" t="s">
        <v>1076</v>
      </c>
    </row>
    <row r="969" spans="1:19" x14ac:dyDescent="0.25">
      <c r="A969" s="41" t="s">
        <v>23</v>
      </c>
      <c r="B969" s="41" t="s">
        <v>8407</v>
      </c>
      <c r="D969" s="41" t="s">
        <v>8408</v>
      </c>
      <c r="F969" s="41" t="s">
        <v>8409</v>
      </c>
      <c r="G969" s="41" t="s">
        <v>8410</v>
      </c>
      <c r="H969" s="41" t="s">
        <v>8411</v>
      </c>
      <c r="I969" s="41" t="s">
        <v>8412</v>
      </c>
      <c r="J969" s="41" t="s">
        <v>8413</v>
      </c>
      <c r="K969" s="41" t="s">
        <v>8414</v>
      </c>
      <c r="L969" s="41" t="s">
        <v>1085</v>
      </c>
    </row>
    <row r="970" spans="1:19" x14ac:dyDescent="0.25">
      <c r="A970" s="41" t="s">
        <v>23</v>
      </c>
      <c r="B970" s="41" t="s">
        <v>8415</v>
      </c>
      <c r="D970" s="41" t="s">
        <v>8416</v>
      </c>
      <c r="F970" s="41" t="s">
        <v>8417</v>
      </c>
      <c r="G970" s="41" t="s">
        <v>8418</v>
      </c>
      <c r="H970" s="41" t="s">
        <v>8419</v>
      </c>
      <c r="I970" s="41" t="s">
        <v>8420</v>
      </c>
      <c r="J970" s="41" t="s">
        <v>8421</v>
      </c>
      <c r="K970" s="41" t="s">
        <v>8422</v>
      </c>
      <c r="L970" s="41" t="s">
        <v>1094</v>
      </c>
    </row>
    <row r="971" spans="1:19" x14ac:dyDescent="0.25">
      <c r="A971" s="41" t="s">
        <v>908</v>
      </c>
      <c r="B971" s="41" t="s">
        <v>8423</v>
      </c>
    </row>
    <row r="972" spans="1:19" x14ac:dyDescent="0.25">
      <c r="A972" s="41" t="s">
        <v>23</v>
      </c>
      <c r="B972" s="41" t="s">
        <v>8424</v>
      </c>
      <c r="F972" s="41" t="s">
        <v>8425</v>
      </c>
      <c r="G972" s="41" t="s">
        <v>8426</v>
      </c>
      <c r="H972" s="41" t="s">
        <v>8427</v>
      </c>
      <c r="I972" s="41" t="s">
        <v>8428</v>
      </c>
      <c r="J972" s="41" t="s">
        <v>8429</v>
      </c>
      <c r="L972" s="41" t="s">
        <v>4</v>
      </c>
    </row>
    <row r="973" spans="1:19" x14ac:dyDescent="0.25">
      <c r="A973" s="41" t="s">
        <v>23</v>
      </c>
      <c r="B973" s="41" t="s">
        <v>8430</v>
      </c>
      <c r="D973" s="41" t="s">
        <v>273</v>
      </c>
      <c r="E973" s="41" t="s">
        <v>8431</v>
      </c>
      <c r="F973" s="41" t="s">
        <v>8432</v>
      </c>
      <c r="G973" s="41" t="s">
        <v>8433</v>
      </c>
      <c r="H973" s="41" t="s">
        <v>8434</v>
      </c>
      <c r="I973" s="41" t="s">
        <v>8435</v>
      </c>
      <c r="J973" s="41" t="s">
        <v>8436</v>
      </c>
      <c r="K973" s="41" t="s">
        <v>8437</v>
      </c>
      <c r="L973" s="41" t="s">
        <v>8438</v>
      </c>
      <c r="M973" s="41" t="s">
        <v>8439</v>
      </c>
      <c r="N973" s="41" t="s">
        <v>8440</v>
      </c>
      <c r="O973" s="41" t="s">
        <v>8441</v>
      </c>
      <c r="P973" s="41" t="s">
        <v>8442</v>
      </c>
      <c r="Q973" s="41" t="s">
        <v>8443</v>
      </c>
      <c r="R973" s="41" t="s">
        <v>8444</v>
      </c>
      <c r="S973" s="41" t="s">
        <v>8445</v>
      </c>
    </row>
    <row r="974" spans="1:19" x14ac:dyDescent="0.25">
      <c r="A974" s="41" t="s">
        <v>23</v>
      </c>
      <c r="B974" s="41" t="s">
        <v>8446</v>
      </c>
      <c r="D974" s="41" t="s">
        <v>8447</v>
      </c>
      <c r="F974" s="41" t="s">
        <v>8448</v>
      </c>
      <c r="G974" s="41" t="s">
        <v>8449</v>
      </c>
      <c r="H974" s="41" t="s">
        <v>8450</v>
      </c>
      <c r="I974" s="41" t="s">
        <v>8451</v>
      </c>
      <c r="J974" s="41" t="s">
        <v>8452</v>
      </c>
      <c r="K974" s="41" t="s">
        <v>8453</v>
      </c>
      <c r="L974" s="41" t="s">
        <v>891</v>
      </c>
    </row>
    <row r="975" spans="1:19" x14ac:dyDescent="0.25">
      <c r="A975" s="41" t="s">
        <v>23</v>
      </c>
      <c r="B975" s="41" t="s">
        <v>8454</v>
      </c>
      <c r="D975" s="41" t="s">
        <v>8455</v>
      </c>
      <c r="F975" s="41" t="s">
        <v>8456</v>
      </c>
      <c r="G975" s="41" t="s">
        <v>8457</v>
      </c>
      <c r="H975" s="41" t="s">
        <v>8458</v>
      </c>
      <c r="I975" s="41" t="s">
        <v>8459</v>
      </c>
      <c r="J975" s="41" t="s">
        <v>8460</v>
      </c>
      <c r="K975" s="41" t="s">
        <v>8461</v>
      </c>
      <c r="L975" s="41" t="s">
        <v>1076</v>
      </c>
    </row>
    <row r="976" spans="1:19" x14ac:dyDescent="0.25">
      <c r="A976" s="41" t="s">
        <v>23</v>
      </c>
      <c r="B976" s="41" t="s">
        <v>8462</v>
      </c>
      <c r="D976" s="41" t="s">
        <v>8463</v>
      </c>
      <c r="F976" s="41" t="s">
        <v>8464</v>
      </c>
      <c r="G976" s="41" t="s">
        <v>8465</v>
      </c>
      <c r="H976" s="41" t="s">
        <v>8466</v>
      </c>
      <c r="I976" s="41" t="s">
        <v>8467</v>
      </c>
      <c r="J976" s="41" t="s">
        <v>8468</v>
      </c>
      <c r="K976" s="41" t="s">
        <v>8469</v>
      </c>
      <c r="L976" s="41" t="s">
        <v>1085</v>
      </c>
    </row>
    <row r="977" spans="1:19" x14ac:dyDescent="0.25">
      <c r="A977" s="41" t="s">
        <v>23</v>
      </c>
      <c r="B977" s="41" t="s">
        <v>8470</v>
      </c>
      <c r="D977" s="41" t="s">
        <v>8471</v>
      </c>
      <c r="F977" s="41" t="s">
        <v>8472</v>
      </c>
      <c r="G977" s="41" t="s">
        <v>8473</v>
      </c>
      <c r="H977" s="41" t="s">
        <v>8474</v>
      </c>
      <c r="I977" s="41" t="s">
        <v>8475</v>
      </c>
      <c r="J977" s="41" t="s">
        <v>8476</v>
      </c>
      <c r="K977" s="41" t="s">
        <v>8477</v>
      </c>
      <c r="L977" s="41" t="s">
        <v>1094</v>
      </c>
    </row>
    <row r="978" spans="1:19" x14ac:dyDescent="0.25">
      <c r="A978" s="41" t="s">
        <v>908</v>
      </c>
      <c r="B978" s="41" t="s">
        <v>8478</v>
      </c>
    </row>
    <row r="979" spans="1:19" x14ac:dyDescent="0.25">
      <c r="A979" s="41" t="s">
        <v>23</v>
      </c>
      <c r="B979" s="41" t="s">
        <v>8479</v>
      </c>
      <c r="F979" s="41" t="s">
        <v>8480</v>
      </c>
      <c r="G979" s="41" t="s">
        <v>8481</v>
      </c>
      <c r="H979" s="41" t="s">
        <v>8482</v>
      </c>
      <c r="I979" s="41" t="s">
        <v>8483</v>
      </c>
      <c r="J979" s="41" t="s">
        <v>8484</v>
      </c>
      <c r="L979" s="41" t="s">
        <v>4</v>
      </c>
    </row>
    <row r="980" spans="1:19" x14ac:dyDescent="0.25">
      <c r="A980" s="41" t="s">
        <v>23</v>
      </c>
      <c r="B980" s="41" t="s">
        <v>8485</v>
      </c>
      <c r="D980" s="41" t="s">
        <v>276</v>
      </c>
      <c r="E980" s="41" t="s">
        <v>8486</v>
      </c>
      <c r="F980" s="41" t="s">
        <v>8487</v>
      </c>
      <c r="G980" s="41" t="s">
        <v>8488</v>
      </c>
      <c r="H980" s="41" t="s">
        <v>8489</v>
      </c>
      <c r="I980" s="41" t="s">
        <v>8490</v>
      </c>
      <c r="J980" s="41" t="s">
        <v>8491</v>
      </c>
      <c r="K980" s="41" t="s">
        <v>8492</v>
      </c>
      <c r="L980" s="41" t="s">
        <v>8493</v>
      </c>
      <c r="M980" s="41" t="s">
        <v>8494</v>
      </c>
      <c r="N980" s="41" t="s">
        <v>8495</v>
      </c>
      <c r="O980" s="41" t="s">
        <v>8496</v>
      </c>
      <c r="P980" s="41" t="s">
        <v>8497</v>
      </c>
      <c r="Q980" s="41" t="s">
        <v>8498</v>
      </c>
      <c r="R980" s="41" t="s">
        <v>8499</v>
      </c>
      <c r="S980" s="41" t="s">
        <v>8500</v>
      </c>
    </row>
    <row r="981" spans="1:19" x14ac:dyDescent="0.25">
      <c r="A981" s="41" t="s">
        <v>23</v>
      </c>
      <c r="B981" s="41" t="s">
        <v>8501</v>
      </c>
      <c r="D981" s="41" t="s">
        <v>8502</v>
      </c>
      <c r="F981" s="41" t="s">
        <v>8503</v>
      </c>
      <c r="G981" s="41" t="s">
        <v>8504</v>
      </c>
      <c r="H981" s="41" t="s">
        <v>8505</v>
      </c>
      <c r="I981" s="41" t="s">
        <v>8506</v>
      </c>
      <c r="J981" s="41" t="s">
        <v>8507</v>
      </c>
      <c r="K981" s="41" t="s">
        <v>8508</v>
      </c>
      <c r="L981" s="41" t="s">
        <v>891</v>
      </c>
    </row>
    <row r="982" spans="1:19" x14ac:dyDescent="0.25">
      <c r="A982" s="41" t="s">
        <v>23</v>
      </c>
      <c r="B982" s="41" t="s">
        <v>8509</v>
      </c>
      <c r="D982" s="41" t="s">
        <v>8510</v>
      </c>
      <c r="F982" s="41" t="s">
        <v>8511</v>
      </c>
      <c r="G982" s="41" t="s">
        <v>8512</v>
      </c>
      <c r="H982" s="41" t="s">
        <v>8513</v>
      </c>
      <c r="I982" s="41" t="s">
        <v>8514</v>
      </c>
      <c r="J982" s="41" t="s">
        <v>8515</v>
      </c>
      <c r="K982" s="41" t="s">
        <v>8516</v>
      </c>
      <c r="L982" s="41" t="s">
        <v>1076</v>
      </c>
    </row>
    <row r="983" spans="1:19" x14ac:dyDescent="0.25">
      <c r="A983" s="41" t="s">
        <v>23</v>
      </c>
      <c r="B983" s="41" t="s">
        <v>8517</v>
      </c>
      <c r="D983" s="41" t="s">
        <v>8518</v>
      </c>
      <c r="F983" s="41" t="s">
        <v>8519</v>
      </c>
      <c r="G983" s="41" t="s">
        <v>8520</v>
      </c>
      <c r="H983" s="41" t="s">
        <v>8521</v>
      </c>
      <c r="I983" s="41" t="s">
        <v>8522</v>
      </c>
      <c r="J983" s="41" t="s">
        <v>8523</v>
      </c>
      <c r="K983" s="41" t="s">
        <v>8524</v>
      </c>
      <c r="L983" s="41" t="s">
        <v>1085</v>
      </c>
    </row>
    <row r="984" spans="1:19" x14ac:dyDescent="0.25">
      <c r="A984" s="41" t="s">
        <v>23</v>
      </c>
      <c r="B984" s="41" t="s">
        <v>8525</v>
      </c>
      <c r="D984" s="41" t="s">
        <v>8526</v>
      </c>
      <c r="F984" s="41" t="s">
        <v>8527</v>
      </c>
      <c r="G984" s="41" t="s">
        <v>8528</v>
      </c>
      <c r="H984" s="41" t="s">
        <v>8529</v>
      </c>
      <c r="I984" s="41" t="s">
        <v>8530</v>
      </c>
      <c r="J984" s="41" t="s">
        <v>8531</v>
      </c>
      <c r="K984" s="41" t="s">
        <v>8532</v>
      </c>
      <c r="L984" s="41" t="s">
        <v>1094</v>
      </c>
    </row>
    <row r="985" spans="1:19" x14ac:dyDescent="0.25">
      <c r="A985" s="41" t="s">
        <v>908</v>
      </c>
      <c r="B985" s="41" t="s">
        <v>8533</v>
      </c>
    </row>
    <row r="986" spans="1:19" x14ac:dyDescent="0.25">
      <c r="A986" s="41" t="s">
        <v>23</v>
      </c>
      <c r="B986" s="41" t="s">
        <v>8534</v>
      </c>
      <c r="F986" s="41" t="s">
        <v>8535</v>
      </c>
      <c r="G986" s="41" t="s">
        <v>8536</v>
      </c>
      <c r="H986" s="41" t="s">
        <v>8537</v>
      </c>
      <c r="I986" s="41" t="s">
        <v>8538</v>
      </c>
      <c r="J986" s="41" t="s">
        <v>8539</v>
      </c>
      <c r="L986" s="41" t="s">
        <v>4</v>
      </c>
    </row>
    <row r="987" spans="1:19" x14ac:dyDescent="0.25">
      <c r="A987" s="41" t="s">
        <v>23</v>
      </c>
      <c r="B987" s="41" t="s">
        <v>8540</v>
      </c>
      <c r="D987" s="41" t="s">
        <v>518</v>
      </c>
      <c r="E987" s="41" t="s">
        <v>8541</v>
      </c>
      <c r="F987" s="41" t="s">
        <v>8542</v>
      </c>
      <c r="G987" s="41" t="s">
        <v>8543</v>
      </c>
      <c r="H987" s="41" t="s">
        <v>8544</v>
      </c>
      <c r="I987" s="41" t="s">
        <v>8545</v>
      </c>
      <c r="J987" s="41" t="s">
        <v>8546</v>
      </c>
      <c r="K987" s="41" t="s">
        <v>8547</v>
      </c>
      <c r="L987" s="41" t="s">
        <v>8548</v>
      </c>
      <c r="M987" s="41" t="s">
        <v>8549</v>
      </c>
      <c r="N987" s="41" t="s">
        <v>8550</v>
      </c>
      <c r="O987" s="41" t="s">
        <v>8551</v>
      </c>
      <c r="P987" s="41" t="s">
        <v>8552</v>
      </c>
      <c r="Q987" s="41" t="s">
        <v>8553</v>
      </c>
      <c r="R987" s="41" t="s">
        <v>8554</v>
      </c>
      <c r="S987" s="41" t="s">
        <v>8555</v>
      </c>
    </row>
    <row r="988" spans="1:19" x14ac:dyDescent="0.25">
      <c r="A988" s="41" t="s">
        <v>23</v>
      </c>
      <c r="B988" s="41" t="s">
        <v>8556</v>
      </c>
      <c r="D988" s="41" t="s">
        <v>8557</v>
      </c>
      <c r="F988" s="41" t="s">
        <v>8558</v>
      </c>
      <c r="G988" s="41" t="s">
        <v>8559</v>
      </c>
      <c r="H988" s="41" t="s">
        <v>8560</v>
      </c>
      <c r="I988" s="41" t="s">
        <v>8561</v>
      </c>
      <c r="J988" s="41" t="s">
        <v>8562</v>
      </c>
      <c r="K988" s="41" t="s">
        <v>8563</v>
      </c>
      <c r="L988" s="41" t="s">
        <v>891</v>
      </c>
    </row>
    <row r="989" spans="1:19" x14ac:dyDescent="0.25">
      <c r="A989" s="41" t="s">
        <v>23</v>
      </c>
      <c r="B989" s="41" t="s">
        <v>8564</v>
      </c>
      <c r="D989" s="41" t="s">
        <v>8565</v>
      </c>
      <c r="F989" s="41" t="s">
        <v>8566</v>
      </c>
      <c r="G989" s="41" t="s">
        <v>8567</v>
      </c>
      <c r="H989" s="41" t="s">
        <v>8568</v>
      </c>
      <c r="I989" s="41" t="s">
        <v>8569</v>
      </c>
      <c r="J989" s="41" t="s">
        <v>8570</v>
      </c>
      <c r="K989" s="41" t="s">
        <v>8571</v>
      </c>
      <c r="L989" s="41" t="s">
        <v>1076</v>
      </c>
    </row>
    <row r="990" spans="1:19" x14ac:dyDescent="0.25">
      <c r="A990" s="41" t="s">
        <v>23</v>
      </c>
      <c r="B990" s="41" t="s">
        <v>8572</v>
      </c>
      <c r="D990" s="41" t="s">
        <v>8573</v>
      </c>
      <c r="F990" s="41" t="s">
        <v>8574</v>
      </c>
      <c r="G990" s="41" t="s">
        <v>8575</v>
      </c>
      <c r="H990" s="41" t="s">
        <v>8576</v>
      </c>
      <c r="I990" s="41" t="s">
        <v>8577</v>
      </c>
      <c r="J990" s="41" t="s">
        <v>8578</v>
      </c>
      <c r="K990" s="41" t="s">
        <v>8579</v>
      </c>
      <c r="L990" s="41" t="s">
        <v>1085</v>
      </c>
    </row>
    <row r="991" spans="1:19" x14ac:dyDescent="0.25">
      <c r="A991" s="41" t="s">
        <v>23</v>
      </c>
      <c r="B991" s="41" t="s">
        <v>8580</v>
      </c>
      <c r="D991" s="41" t="s">
        <v>8581</v>
      </c>
      <c r="F991" s="41" t="s">
        <v>8582</v>
      </c>
      <c r="G991" s="41" t="s">
        <v>8583</v>
      </c>
      <c r="H991" s="41" t="s">
        <v>8584</v>
      </c>
      <c r="I991" s="41" t="s">
        <v>8585</v>
      </c>
      <c r="J991" s="41" t="s">
        <v>8586</v>
      </c>
      <c r="K991" s="41" t="s">
        <v>8587</v>
      </c>
      <c r="L991" s="41" t="s">
        <v>1094</v>
      </c>
    </row>
    <row r="992" spans="1:19" x14ac:dyDescent="0.25">
      <c r="A992" s="41" t="s">
        <v>908</v>
      </c>
      <c r="B992" s="41" t="s">
        <v>8588</v>
      </c>
    </row>
    <row r="993" spans="1:19" x14ac:dyDescent="0.25">
      <c r="A993" s="41" t="s">
        <v>23</v>
      </c>
      <c r="B993" s="41" t="s">
        <v>8589</v>
      </c>
      <c r="F993" s="41" t="s">
        <v>8590</v>
      </c>
      <c r="G993" s="41" t="s">
        <v>8591</v>
      </c>
      <c r="H993" s="41" t="s">
        <v>8592</v>
      </c>
      <c r="I993" s="41" t="s">
        <v>8593</v>
      </c>
      <c r="J993" s="41" t="s">
        <v>8594</v>
      </c>
      <c r="L993" s="41" t="s">
        <v>4</v>
      </c>
    </row>
    <row r="994" spans="1:19" x14ac:dyDescent="0.25">
      <c r="A994" s="41" t="s">
        <v>23</v>
      </c>
      <c r="B994" s="41" t="s">
        <v>8595</v>
      </c>
      <c r="D994" s="41" t="s">
        <v>8596</v>
      </c>
      <c r="E994" s="41" t="s">
        <v>8597</v>
      </c>
      <c r="F994" s="41" t="s">
        <v>8598</v>
      </c>
      <c r="G994" s="41" t="s">
        <v>8599</v>
      </c>
      <c r="H994" s="41" t="s">
        <v>8600</v>
      </c>
      <c r="I994" s="41" t="s">
        <v>8601</v>
      </c>
      <c r="J994" s="41" t="s">
        <v>8602</v>
      </c>
      <c r="K994" s="41" t="s">
        <v>8603</v>
      </c>
      <c r="L994" s="41" t="s">
        <v>8604</v>
      </c>
      <c r="M994" s="41" t="s">
        <v>8605</v>
      </c>
      <c r="N994" s="41" t="s">
        <v>8606</v>
      </c>
      <c r="O994" s="41" t="s">
        <v>8607</v>
      </c>
      <c r="P994" s="41" t="s">
        <v>8608</v>
      </c>
      <c r="Q994" s="41" t="s">
        <v>8609</v>
      </c>
      <c r="R994" s="41" t="s">
        <v>8610</v>
      </c>
      <c r="S994" s="41" t="s">
        <v>8611</v>
      </c>
    </row>
    <row r="995" spans="1:19" x14ac:dyDescent="0.25">
      <c r="A995" s="41" t="s">
        <v>23</v>
      </c>
      <c r="B995" s="41" t="s">
        <v>8612</v>
      </c>
      <c r="D995" s="41" t="s">
        <v>8613</v>
      </c>
      <c r="F995" s="41" t="s">
        <v>8614</v>
      </c>
      <c r="G995" s="41" t="s">
        <v>8615</v>
      </c>
      <c r="H995" s="41" t="s">
        <v>8616</v>
      </c>
      <c r="I995" s="41" t="s">
        <v>8617</v>
      </c>
      <c r="J995" s="41" t="s">
        <v>8618</v>
      </c>
      <c r="K995" s="41" t="s">
        <v>8619</v>
      </c>
      <c r="L995" s="41" t="s">
        <v>891</v>
      </c>
    </row>
    <row r="996" spans="1:19" x14ac:dyDescent="0.25">
      <c r="A996" s="41" t="s">
        <v>23</v>
      </c>
      <c r="B996" s="41" t="s">
        <v>8620</v>
      </c>
      <c r="D996" s="41" t="s">
        <v>8621</v>
      </c>
      <c r="F996" s="41" t="s">
        <v>8622</v>
      </c>
      <c r="G996" s="41" t="s">
        <v>8623</v>
      </c>
      <c r="H996" s="41" t="s">
        <v>8624</v>
      </c>
      <c r="I996" s="41" t="s">
        <v>8625</v>
      </c>
      <c r="J996" s="41" t="s">
        <v>8626</v>
      </c>
      <c r="K996" s="41" t="s">
        <v>8627</v>
      </c>
      <c r="L996" s="41" t="s">
        <v>1076</v>
      </c>
    </row>
    <row r="997" spans="1:19" x14ac:dyDescent="0.25">
      <c r="A997" s="41" t="s">
        <v>23</v>
      </c>
      <c r="B997" s="41" t="s">
        <v>8628</v>
      </c>
      <c r="D997" s="41" t="s">
        <v>8629</v>
      </c>
      <c r="F997" s="41" t="s">
        <v>8630</v>
      </c>
      <c r="G997" s="41" t="s">
        <v>8631</v>
      </c>
      <c r="H997" s="41" t="s">
        <v>8632</v>
      </c>
      <c r="I997" s="41" t="s">
        <v>8633</v>
      </c>
      <c r="J997" s="41" t="s">
        <v>8634</v>
      </c>
      <c r="K997" s="41" t="s">
        <v>8635</v>
      </c>
      <c r="L997" s="41" t="s">
        <v>1085</v>
      </c>
    </row>
    <row r="998" spans="1:19" x14ac:dyDescent="0.25">
      <c r="A998" s="41" t="s">
        <v>23</v>
      </c>
      <c r="B998" s="41" t="s">
        <v>8636</v>
      </c>
      <c r="D998" s="41" t="s">
        <v>8637</v>
      </c>
      <c r="F998" s="41" t="s">
        <v>8638</v>
      </c>
      <c r="G998" s="41" t="s">
        <v>8639</v>
      </c>
      <c r="H998" s="41" t="s">
        <v>8640</v>
      </c>
      <c r="I998" s="41" t="s">
        <v>8641</v>
      </c>
      <c r="J998" s="41" t="s">
        <v>8642</v>
      </c>
      <c r="K998" s="41" t="s">
        <v>8643</v>
      </c>
      <c r="L998" s="41" t="s">
        <v>1094</v>
      </c>
    </row>
    <row r="999" spans="1:19" x14ac:dyDescent="0.25">
      <c r="A999" s="41" t="s">
        <v>908</v>
      </c>
      <c r="B999" s="41" t="s">
        <v>8644</v>
      </c>
    </row>
    <row r="1000" spans="1:19" x14ac:dyDescent="0.25">
      <c r="A1000" s="41" t="s">
        <v>23</v>
      </c>
      <c r="B1000" s="41" t="s">
        <v>8645</v>
      </c>
      <c r="F1000" s="41" t="s">
        <v>8646</v>
      </c>
      <c r="G1000" s="41" t="s">
        <v>8647</v>
      </c>
      <c r="H1000" s="41" t="s">
        <v>8648</v>
      </c>
      <c r="I1000" s="41" t="s">
        <v>8649</v>
      </c>
      <c r="J1000" s="41" t="s">
        <v>8650</v>
      </c>
      <c r="L1000" s="41" t="s">
        <v>4</v>
      </c>
    </row>
    <row r="1001" spans="1:19" x14ac:dyDescent="0.25">
      <c r="A1001" s="41" t="s">
        <v>23</v>
      </c>
      <c r="B1001" s="41" t="s">
        <v>8651</v>
      </c>
      <c r="D1001" s="41" t="s">
        <v>8652</v>
      </c>
      <c r="E1001" s="41" t="s">
        <v>8653</v>
      </c>
      <c r="F1001" s="41" t="s">
        <v>8654</v>
      </c>
      <c r="G1001" s="41" t="s">
        <v>8655</v>
      </c>
      <c r="H1001" s="41" t="s">
        <v>8656</v>
      </c>
      <c r="I1001" s="41" t="s">
        <v>8657</v>
      </c>
      <c r="J1001" s="41" t="s">
        <v>8658</v>
      </c>
      <c r="K1001" s="41" t="s">
        <v>8659</v>
      </c>
      <c r="L1001" s="41" t="s">
        <v>8660</v>
      </c>
      <c r="M1001" s="41" t="s">
        <v>8661</v>
      </c>
      <c r="N1001" s="41" t="s">
        <v>8662</v>
      </c>
      <c r="O1001" s="41" t="s">
        <v>8663</v>
      </c>
      <c r="P1001" s="41" t="s">
        <v>8664</v>
      </c>
      <c r="Q1001" s="41" t="s">
        <v>8665</v>
      </c>
      <c r="R1001" s="41" t="s">
        <v>8666</v>
      </c>
      <c r="S1001" s="41" t="s">
        <v>8667</v>
      </c>
    </row>
    <row r="1002" spans="1:19" x14ac:dyDescent="0.25">
      <c r="A1002" s="41" t="s">
        <v>23</v>
      </c>
      <c r="B1002" s="41" t="s">
        <v>8668</v>
      </c>
      <c r="D1002" s="41" t="s">
        <v>8669</v>
      </c>
      <c r="F1002" s="41" t="s">
        <v>8670</v>
      </c>
      <c r="G1002" s="41" t="s">
        <v>8671</v>
      </c>
      <c r="H1002" s="41" t="s">
        <v>8672</v>
      </c>
      <c r="I1002" s="41" t="s">
        <v>8673</v>
      </c>
      <c r="J1002" s="41" t="s">
        <v>8674</v>
      </c>
      <c r="K1002" s="41" t="s">
        <v>8675</v>
      </c>
      <c r="L1002" s="41" t="s">
        <v>891</v>
      </c>
    </row>
    <row r="1003" spans="1:19" x14ac:dyDescent="0.25">
      <c r="A1003" s="41" t="s">
        <v>23</v>
      </c>
      <c r="B1003" s="41" t="s">
        <v>8676</v>
      </c>
      <c r="D1003" s="41" t="s">
        <v>8677</v>
      </c>
      <c r="F1003" s="41" t="s">
        <v>8678</v>
      </c>
      <c r="G1003" s="41" t="s">
        <v>8679</v>
      </c>
      <c r="H1003" s="41" t="s">
        <v>8680</v>
      </c>
      <c r="I1003" s="41" t="s">
        <v>8681</v>
      </c>
      <c r="J1003" s="41" t="s">
        <v>8682</v>
      </c>
      <c r="K1003" s="41" t="s">
        <v>8683</v>
      </c>
      <c r="L1003" s="41" t="s">
        <v>1076</v>
      </c>
    </row>
    <row r="1004" spans="1:19" x14ac:dyDescent="0.25">
      <c r="A1004" s="41" t="s">
        <v>23</v>
      </c>
      <c r="B1004" s="41" t="s">
        <v>8684</v>
      </c>
      <c r="D1004" s="41" t="s">
        <v>8685</v>
      </c>
      <c r="F1004" s="41" t="s">
        <v>8686</v>
      </c>
      <c r="G1004" s="41" t="s">
        <v>8687</v>
      </c>
      <c r="H1004" s="41" t="s">
        <v>8688</v>
      </c>
      <c r="I1004" s="41" t="s">
        <v>8689</v>
      </c>
      <c r="J1004" s="41" t="s">
        <v>8690</v>
      </c>
      <c r="K1004" s="41" t="s">
        <v>8691</v>
      </c>
      <c r="L1004" s="41" t="s">
        <v>1085</v>
      </c>
    </row>
    <row r="1005" spans="1:19" x14ac:dyDescent="0.25">
      <c r="A1005" s="41" t="s">
        <v>23</v>
      </c>
      <c r="B1005" s="41" t="s">
        <v>8692</v>
      </c>
      <c r="D1005" s="41" t="s">
        <v>8693</v>
      </c>
      <c r="F1005" s="41" t="s">
        <v>8694</v>
      </c>
      <c r="G1005" s="41" t="s">
        <v>8695</v>
      </c>
      <c r="H1005" s="41" t="s">
        <v>8696</v>
      </c>
      <c r="I1005" s="41" t="s">
        <v>8697</v>
      </c>
      <c r="J1005" s="41" t="s">
        <v>8698</v>
      </c>
      <c r="K1005" s="41" t="s">
        <v>8699</v>
      </c>
      <c r="L1005" s="41" t="s">
        <v>1094</v>
      </c>
    </row>
    <row r="1006" spans="1:19" x14ac:dyDescent="0.25">
      <c r="A1006" s="41" t="s">
        <v>908</v>
      </c>
      <c r="B1006" s="41" t="s">
        <v>8700</v>
      </c>
    </row>
    <row r="1007" spans="1:19" x14ac:dyDescent="0.25">
      <c r="A1007" s="41" t="s">
        <v>23</v>
      </c>
      <c r="B1007" s="41" t="s">
        <v>8701</v>
      </c>
      <c r="F1007" s="41" t="s">
        <v>8702</v>
      </c>
      <c r="G1007" s="41" t="s">
        <v>8703</v>
      </c>
      <c r="H1007" s="41" t="s">
        <v>8704</v>
      </c>
      <c r="I1007" s="41" t="s">
        <v>8705</v>
      </c>
      <c r="J1007" s="41" t="s">
        <v>8706</v>
      </c>
      <c r="L1007" s="41" t="s">
        <v>4</v>
      </c>
    </row>
    <row r="1008" spans="1:19" x14ac:dyDescent="0.25">
      <c r="A1008" s="41" t="s">
        <v>23</v>
      </c>
      <c r="B1008" s="41" t="s">
        <v>8707</v>
      </c>
      <c r="D1008" s="41" t="s">
        <v>8708</v>
      </c>
      <c r="E1008" s="41" t="s">
        <v>8709</v>
      </c>
      <c r="F1008" s="41" t="s">
        <v>8710</v>
      </c>
      <c r="G1008" s="41" t="s">
        <v>8711</v>
      </c>
      <c r="H1008" s="41" t="s">
        <v>8712</v>
      </c>
      <c r="I1008" s="41" t="s">
        <v>8713</v>
      </c>
      <c r="J1008" s="41" t="s">
        <v>8714</v>
      </c>
      <c r="K1008" s="41" t="s">
        <v>8715</v>
      </c>
      <c r="L1008" s="41" t="s">
        <v>8716</v>
      </c>
      <c r="M1008" s="41" t="s">
        <v>8717</v>
      </c>
      <c r="N1008" s="41" t="s">
        <v>8718</v>
      </c>
      <c r="O1008" s="41" t="s">
        <v>8719</v>
      </c>
      <c r="P1008" s="41" t="s">
        <v>8720</v>
      </c>
      <c r="Q1008" s="41" t="s">
        <v>8721</v>
      </c>
      <c r="R1008" s="41" t="s">
        <v>8722</v>
      </c>
      <c r="S1008" s="41" t="s">
        <v>8723</v>
      </c>
    </row>
    <row r="1009" spans="1:19" x14ac:dyDescent="0.25">
      <c r="A1009" s="41" t="s">
        <v>23</v>
      </c>
      <c r="B1009" s="41" t="s">
        <v>8724</v>
      </c>
      <c r="D1009" s="41" t="s">
        <v>8725</v>
      </c>
      <c r="F1009" s="41" t="s">
        <v>8726</v>
      </c>
      <c r="G1009" s="41" t="s">
        <v>8727</v>
      </c>
      <c r="H1009" s="41" t="s">
        <v>8728</v>
      </c>
      <c r="I1009" s="41" t="s">
        <v>8729</v>
      </c>
      <c r="J1009" s="41" t="s">
        <v>8730</v>
      </c>
      <c r="K1009" s="41" t="s">
        <v>8731</v>
      </c>
      <c r="L1009" s="41" t="s">
        <v>891</v>
      </c>
    </row>
    <row r="1010" spans="1:19" x14ac:dyDescent="0.25">
      <c r="A1010" s="41" t="s">
        <v>23</v>
      </c>
      <c r="B1010" s="41" t="s">
        <v>8732</v>
      </c>
      <c r="D1010" s="41" t="s">
        <v>8733</v>
      </c>
      <c r="F1010" s="41" t="s">
        <v>8734</v>
      </c>
      <c r="G1010" s="41" t="s">
        <v>8735</v>
      </c>
      <c r="H1010" s="41" t="s">
        <v>8736</v>
      </c>
      <c r="I1010" s="41" t="s">
        <v>8737</v>
      </c>
      <c r="J1010" s="41" t="s">
        <v>8738</v>
      </c>
      <c r="K1010" s="41" t="s">
        <v>8739</v>
      </c>
      <c r="L1010" s="41" t="s">
        <v>1076</v>
      </c>
    </row>
    <row r="1011" spans="1:19" x14ac:dyDescent="0.25">
      <c r="A1011" s="41" t="s">
        <v>23</v>
      </c>
      <c r="B1011" s="41" t="s">
        <v>8740</v>
      </c>
      <c r="D1011" s="41" t="s">
        <v>8741</v>
      </c>
      <c r="F1011" s="41" t="s">
        <v>8742</v>
      </c>
      <c r="G1011" s="41" t="s">
        <v>8743</v>
      </c>
      <c r="H1011" s="41" t="s">
        <v>8744</v>
      </c>
      <c r="I1011" s="41" t="s">
        <v>8745</v>
      </c>
      <c r="J1011" s="41" t="s">
        <v>8746</v>
      </c>
      <c r="K1011" s="41" t="s">
        <v>8747</v>
      </c>
      <c r="L1011" s="41" t="s">
        <v>1085</v>
      </c>
    </row>
    <row r="1012" spans="1:19" x14ac:dyDescent="0.25">
      <c r="A1012" s="41" t="s">
        <v>23</v>
      </c>
      <c r="B1012" s="41" t="s">
        <v>8748</v>
      </c>
      <c r="D1012" s="41" t="s">
        <v>8749</v>
      </c>
      <c r="F1012" s="41" t="s">
        <v>8750</v>
      </c>
      <c r="G1012" s="41" t="s">
        <v>8751</v>
      </c>
      <c r="H1012" s="41" t="s">
        <v>8752</v>
      </c>
      <c r="I1012" s="41" t="s">
        <v>8753</v>
      </c>
      <c r="J1012" s="41" t="s">
        <v>8754</v>
      </c>
      <c r="K1012" s="41" t="s">
        <v>8755</v>
      </c>
      <c r="L1012" s="41" t="s">
        <v>1094</v>
      </c>
    </row>
    <row r="1013" spans="1:19" x14ac:dyDescent="0.25">
      <c r="A1013" s="41" t="s">
        <v>908</v>
      </c>
      <c r="B1013" s="41" t="s">
        <v>8756</v>
      </c>
    </row>
    <row r="1014" spans="1:19" x14ac:dyDescent="0.25">
      <c r="A1014" s="41" t="s">
        <v>23</v>
      </c>
      <c r="B1014" s="41" t="s">
        <v>8757</v>
      </c>
      <c r="F1014" s="41" t="s">
        <v>8758</v>
      </c>
      <c r="G1014" s="41" t="s">
        <v>8759</v>
      </c>
      <c r="H1014" s="41" t="s">
        <v>8760</v>
      </c>
      <c r="I1014" s="41" t="s">
        <v>8761</v>
      </c>
      <c r="J1014" s="41" t="s">
        <v>8762</v>
      </c>
      <c r="L1014" s="41" t="s">
        <v>4</v>
      </c>
    </row>
    <row r="1015" spans="1:19" x14ac:dyDescent="0.25">
      <c r="A1015" s="41" t="s">
        <v>23</v>
      </c>
      <c r="B1015" s="41" t="s">
        <v>8763</v>
      </c>
      <c r="D1015" s="41" t="s">
        <v>8764</v>
      </c>
      <c r="E1015" s="41" t="s">
        <v>8765</v>
      </c>
      <c r="F1015" s="41" t="s">
        <v>8766</v>
      </c>
      <c r="G1015" s="41" t="s">
        <v>8767</v>
      </c>
      <c r="H1015" s="41" t="s">
        <v>8768</v>
      </c>
      <c r="I1015" s="41" t="s">
        <v>8769</v>
      </c>
      <c r="J1015" s="41" t="s">
        <v>8770</v>
      </c>
      <c r="K1015" s="41" t="s">
        <v>8771</v>
      </c>
      <c r="L1015" s="41" t="s">
        <v>8772</v>
      </c>
      <c r="M1015" s="41" t="s">
        <v>8773</v>
      </c>
      <c r="N1015" s="41" t="s">
        <v>8774</v>
      </c>
      <c r="O1015" s="41" t="s">
        <v>8775</v>
      </c>
      <c r="P1015" s="41" t="s">
        <v>8776</v>
      </c>
      <c r="Q1015" s="41" t="s">
        <v>8777</v>
      </c>
      <c r="R1015" s="41" t="s">
        <v>8778</v>
      </c>
      <c r="S1015" s="41" t="s">
        <v>8779</v>
      </c>
    </row>
    <row r="1016" spans="1:19" x14ac:dyDescent="0.25">
      <c r="A1016" s="41" t="s">
        <v>23</v>
      </c>
      <c r="B1016" s="41" t="s">
        <v>8780</v>
      </c>
      <c r="D1016" s="41" t="s">
        <v>8781</v>
      </c>
      <c r="F1016" s="41" t="s">
        <v>8782</v>
      </c>
      <c r="G1016" s="41" t="s">
        <v>8783</v>
      </c>
      <c r="H1016" s="41" t="s">
        <v>8784</v>
      </c>
      <c r="I1016" s="41" t="s">
        <v>8785</v>
      </c>
      <c r="J1016" s="41" t="s">
        <v>8786</v>
      </c>
      <c r="K1016" s="41" t="s">
        <v>8787</v>
      </c>
      <c r="L1016" s="41" t="s">
        <v>891</v>
      </c>
    </row>
    <row r="1017" spans="1:19" x14ac:dyDescent="0.25">
      <c r="A1017" s="41" t="s">
        <v>23</v>
      </c>
      <c r="B1017" s="41" t="s">
        <v>8788</v>
      </c>
      <c r="D1017" s="41" t="s">
        <v>8789</v>
      </c>
      <c r="F1017" s="41" t="s">
        <v>8790</v>
      </c>
      <c r="G1017" s="41" t="s">
        <v>8791</v>
      </c>
      <c r="H1017" s="41" t="s">
        <v>8792</v>
      </c>
      <c r="I1017" s="41" t="s">
        <v>8793</v>
      </c>
      <c r="J1017" s="41" t="s">
        <v>8794</v>
      </c>
      <c r="K1017" s="41" t="s">
        <v>8795</v>
      </c>
      <c r="L1017" s="41" t="s">
        <v>1076</v>
      </c>
    </row>
    <row r="1018" spans="1:19" x14ac:dyDescent="0.25">
      <c r="A1018" s="41" t="s">
        <v>23</v>
      </c>
      <c r="B1018" s="41" t="s">
        <v>8796</v>
      </c>
      <c r="D1018" s="41" t="s">
        <v>8797</v>
      </c>
      <c r="F1018" s="41" t="s">
        <v>8798</v>
      </c>
      <c r="G1018" s="41" t="s">
        <v>8799</v>
      </c>
      <c r="H1018" s="41" t="s">
        <v>8800</v>
      </c>
      <c r="I1018" s="41" t="s">
        <v>8801</v>
      </c>
      <c r="J1018" s="41" t="s">
        <v>8802</v>
      </c>
      <c r="K1018" s="41" t="s">
        <v>8803</v>
      </c>
      <c r="L1018" s="41" t="s">
        <v>1085</v>
      </c>
    </row>
    <row r="1019" spans="1:19" x14ac:dyDescent="0.25">
      <c r="A1019" s="41" t="s">
        <v>23</v>
      </c>
      <c r="B1019" s="41" t="s">
        <v>8804</v>
      </c>
      <c r="D1019" s="41" t="s">
        <v>8805</v>
      </c>
      <c r="F1019" s="41" t="s">
        <v>8806</v>
      </c>
      <c r="G1019" s="41" t="s">
        <v>8807</v>
      </c>
      <c r="H1019" s="41" t="s">
        <v>8808</v>
      </c>
      <c r="I1019" s="41" t="s">
        <v>8809</v>
      </c>
      <c r="J1019" s="41" t="s">
        <v>8810</v>
      </c>
      <c r="K1019" s="41" t="s">
        <v>8811</v>
      </c>
      <c r="L1019" s="41" t="s">
        <v>1094</v>
      </c>
    </row>
    <row r="1020" spans="1:19" x14ac:dyDescent="0.25">
      <c r="A1020" s="41" t="s">
        <v>908</v>
      </c>
      <c r="B1020" s="41" t="s">
        <v>8812</v>
      </c>
    </row>
    <row r="1021" spans="1:19" x14ac:dyDescent="0.25">
      <c r="A1021" s="41" t="s">
        <v>23</v>
      </c>
      <c r="B1021" s="41" t="s">
        <v>8813</v>
      </c>
      <c r="F1021" s="41" t="s">
        <v>8814</v>
      </c>
      <c r="G1021" s="41" t="s">
        <v>8815</v>
      </c>
      <c r="H1021" s="41" t="s">
        <v>8816</v>
      </c>
      <c r="I1021" s="41" t="s">
        <v>8817</v>
      </c>
      <c r="J1021" s="41" t="s">
        <v>8818</v>
      </c>
      <c r="L1021" s="41" t="s">
        <v>4</v>
      </c>
    </row>
    <row r="1022" spans="1:19" x14ac:dyDescent="0.25">
      <c r="A1022" s="41" t="s">
        <v>23</v>
      </c>
      <c r="B1022" s="41" t="s">
        <v>8819</v>
      </c>
      <c r="D1022" s="41" t="s">
        <v>8820</v>
      </c>
      <c r="E1022" s="41" t="s">
        <v>8821</v>
      </c>
      <c r="F1022" s="41" t="s">
        <v>8822</v>
      </c>
      <c r="G1022" s="41" t="s">
        <v>8823</v>
      </c>
      <c r="H1022" s="41" t="s">
        <v>8824</v>
      </c>
      <c r="I1022" s="41" t="s">
        <v>8825</v>
      </c>
      <c r="J1022" s="41" t="s">
        <v>8826</v>
      </c>
      <c r="K1022" s="41" t="s">
        <v>8827</v>
      </c>
      <c r="L1022" s="41" t="s">
        <v>8828</v>
      </c>
      <c r="M1022" s="41" t="s">
        <v>8829</v>
      </c>
      <c r="N1022" s="41" t="s">
        <v>8830</v>
      </c>
      <c r="O1022" s="41" t="s">
        <v>8831</v>
      </c>
      <c r="P1022" s="41" t="s">
        <v>8832</v>
      </c>
      <c r="Q1022" s="41" t="s">
        <v>8833</v>
      </c>
      <c r="R1022" s="41" t="s">
        <v>8834</v>
      </c>
      <c r="S1022" s="41" t="s">
        <v>8835</v>
      </c>
    </row>
    <row r="1023" spans="1:19" x14ac:dyDescent="0.25">
      <c r="A1023" s="41" t="s">
        <v>23</v>
      </c>
      <c r="B1023" s="41" t="s">
        <v>8836</v>
      </c>
      <c r="D1023" s="41" t="s">
        <v>8837</v>
      </c>
      <c r="F1023" s="41" t="s">
        <v>8838</v>
      </c>
      <c r="G1023" s="41" t="s">
        <v>8839</v>
      </c>
      <c r="H1023" s="41" t="s">
        <v>8840</v>
      </c>
      <c r="I1023" s="41" t="s">
        <v>8841</v>
      </c>
      <c r="J1023" s="41" t="s">
        <v>8842</v>
      </c>
      <c r="K1023" s="41" t="s">
        <v>8843</v>
      </c>
      <c r="L1023" s="41" t="s">
        <v>891</v>
      </c>
    </row>
    <row r="1024" spans="1:19" x14ac:dyDescent="0.25">
      <c r="A1024" s="41" t="s">
        <v>23</v>
      </c>
      <c r="B1024" s="41" t="s">
        <v>8844</v>
      </c>
      <c r="D1024" s="41" t="s">
        <v>8845</v>
      </c>
      <c r="F1024" s="41" t="s">
        <v>8846</v>
      </c>
      <c r="G1024" s="41" t="s">
        <v>8847</v>
      </c>
      <c r="H1024" s="41" t="s">
        <v>8848</v>
      </c>
      <c r="I1024" s="41" t="s">
        <v>8849</v>
      </c>
      <c r="J1024" s="41" t="s">
        <v>8850</v>
      </c>
      <c r="K1024" s="41" t="s">
        <v>8851</v>
      </c>
      <c r="L1024" s="41" t="s">
        <v>1076</v>
      </c>
    </row>
    <row r="1025" spans="1:19" x14ac:dyDescent="0.25">
      <c r="A1025" s="41" t="s">
        <v>23</v>
      </c>
      <c r="B1025" s="41" t="s">
        <v>8852</v>
      </c>
      <c r="D1025" s="41" t="s">
        <v>8853</v>
      </c>
      <c r="F1025" s="41" t="s">
        <v>8854</v>
      </c>
      <c r="G1025" s="41" t="s">
        <v>8855</v>
      </c>
      <c r="H1025" s="41" t="s">
        <v>8856</v>
      </c>
      <c r="I1025" s="41" t="s">
        <v>8857</v>
      </c>
      <c r="J1025" s="41" t="s">
        <v>8858</v>
      </c>
      <c r="K1025" s="41" t="s">
        <v>8859</v>
      </c>
      <c r="L1025" s="41" t="s">
        <v>1085</v>
      </c>
    </row>
    <row r="1026" spans="1:19" x14ac:dyDescent="0.25">
      <c r="A1026" s="41" t="s">
        <v>23</v>
      </c>
      <c r="B1026" s="41" t="s">
        <v>8860</v>
      </c>
      <c r="D1026" s="41" t="s">
        <v>8861</v>
      </c>
      <c r="F1026" s="41" t="s">
        <v>8862</v>
      </c>
      <c r="G1026" s="41" t="s">
        <v>8863</v>
      </c>
      <c r="H1026" s="41" t="s">
        <v>8864</v>
      </c>
      <c r="I1026" s="41" t="s">
        <v>8865</v>
      </c>
      <c r="J1026" s="41" t="s">
        <v>8866</v>
      </c>
      <c r="K1026" s="41" t="s">
        <v>8867</v>
      </c>
      <c r="L1026" s="41" t="s">
        <v>1094</v>
      </c>
    </row>
    <row r="1027" spans="1:19" x14ac:dyDescent="0.25">
      <c r="A1027" s="41" t="s">
        <v>908</v>
      </c>
      <c r="B1027" s="41" t="s">
        <v>8868</v>
      </c>
    </row>
    <row r="1028" spans="1:19" x14ac:dyDescent="0.25">
      <c r="A1028" s="41" t="s">
        <v>23</v>
      </c>
      <c r="B1028" s="41" t="s">
        <v>8869</v>
      </c>
      <c r="F1028" s="41" t="s">
        <v>8870</v>
      </c>
      <c r="G1028" s="41" t="s">
        <v>8871</v>
      </c>
      <c r="H1028" s="41" t="s">
        <v>8872</v>
      </c>
      <c r="I1028" s="41" t="s">
        <v>8873</v>
      </c>
      <c r="J1028" s="41" t="s">
        <v>8874</v>
      </c>
      <c r="L1028" s="41" t="s">
        <v>4</v>
      </c>
    </row>
    <row r="1029" spans="1:19" x14ac:dyDescent="0.25">
      <c r="A1029" s="41" t="s">
        <v>23</v>
      </c>
      <c r="B1029" s="41" t="s">
        <v>8875</v>
      </c>
      <c r="D1029" s="41" t="s">
        <v>8876</v>
      </c>
      <c r="E1029" s="41" t="s">
        <v>8877</v>
      </c>
      <c r="F1029" s="41" t="s">
        <v>8878</v>
      </c>
      <c r="G1029" s="41" t="s">
        <v>8879</v>
      </c>
      <c r="H1029" s="41" t="s">
        <v>8880</v>
      </c>
      <c r="I1029" s="41" t="s">
        <v>8881</v>
      </c>
      <c r="J1029" s="41" t="s">
        <v>8882</v>
      </c>
      <c r="K1029" s="41" t="s">
        <v>8883</v>
      </c>
      <c r="L1029" s="41" t="s">
        <v>8884</v>
      </c>
      <c r="M1029" s="41" t="s">
        <v>8885</v>
      </c>
      <c r="N1029" s="41" t="s">
        <v>8886</v>
      </c>
      <c r="O1029" s="41" t="s">
        <v>8887</v>
      </c>
      <c r="P1029" s="41" t="s">
        <v>8888</v>
      </c>
      <c r="Q1029" s="41" t="s">
        <v>8889</v>
      </c>
      <c r="R1029" s="41" t="s">
        <v>8890</v>
      </c>
      <c r="S1029" s="41" t="s">
        <v>8891</v>
      </c>
    </row>
    <row r="1030" spans="1:19" x14ac:dyDescent="0.25">
      <c r="A1030" s="41" t="s">
        <v>23</v>
      </c>
      <c r="B1030" s="41" t="s">
        <v>8892</v>
      </c>
      <c r="D1030" s="41" t="s">
        <v>8893</v>
      </c>
      <c r="F1030" s="41" t="s">
        <v>8894</v>
      </c>
      <c r="G1030" s="41" t="s">
        <v>8895</v>
      </c>
      <c r="H1030" s="41" t="s">
        <v>8896</v>
      </c>
      <c r="I1030" s="41" t="s">
        <v>8897</v>
      </c>
      <c r="J1030" s="41" t="s">
        <v>8898</v>
      </c>
      <c r="K1030" s="41" t="s">
        <v>8899</v>
      </c>
      <c r="L1030" s="41" t="s">
        <v>891</v>
      </c>
    </row>
    <row r="1031" spans="1:19" x14ac:dyDescent="0.25">
      <c r="A1031" s="41" t="s">
        <v>23</v>
      </c>
      <c r="B1031" s="41" t="s">
        <v>8900</v>
      </c>
      <c r="D1031" s="41" t="s">
        <v>8901</v>
      </c>
      <c r="F1031" s="41" t="s">
        <v>8902</v>
      </c>
      <c r="G1031" s="41" t="s">
        <v>8903</v>
      </c>
      <c r="H1031" s="41" t="s">
        <v>8904</v>
      </c>
      <c r="I1031" s="41" t="s">
        <v>8905</v>
      </c>
      <c r="J1031" s="41" t="s">
        <v>8906</v>
      </c>
      <c r="K1031" s="41" t="s">
        <v>8907</v>
      </c>
      <c r="L1031" s="41" t="s">
        <v>1076</v>
      </c>
    </row>
    <row r="1032" spans="1:19" x14ac:dyDescent="0.25">
      <c r="A1032" s="41" t="s">
        <v>23</v>
      </c>
      <c r="B1032" s="41" t="s">
        <v>8908</v>
      </c>
      <c r="D1032" s="41" t="s">
        <v>8909</v>
      </c>
      <c r="F1032" s="41" t="s">
        <v>8910</v>
      </c>
      <c r="G1032" s="41" t="s">
        <v>8911</v>
      </c>
      <c r="H1032" s="41" t="s">
        <v>8912</v>
      </c>
      <c r="I1032" s="41" t="s">
        <v>8913</v>
      </c>
      <c r="J1032" s="41" t="s">
        <v>8914</v>
      </c>
      <c r="K1032" s="41" t="s">
        <v>8915</v>
      </c>
      <c r="L1032" s="41" t="s">
        <v>1085</v>
      </c>
    </row>
    <row r="1033" spans="1:19" x14ac:dyDescent="0.25">
      <c r="A1033" s="41" t="s">
        <v>23</v>
      </c>
      <c r="B1033" s="41" t="s">
        <v>8916</v>
      </c>
      <c r="D1033" s="41" t="s">
        <v>8917</v>
      </c>
      <c r="F1033" s="41" t="s">
        <v>8918</v>
      </c>
      <c r="G1033" s="41" t="s">
        <v>8919</v>
      </c>
      <c r="H1033" s="41" t="s">
        <v>8920</v>
      </c>
      <c r="I1033" s="41" t="s">
        <v>8921</v>
      </c>
      <c r="J1033" s="41" t="s">
        <v>8922</v>
      </c>
      <c r="K1033" s="41" t="s">
        <v>8923</v>
      </c>
      <c r="L1033" s="41" t="s">
        <v>1094</v>
      </c>
    </row>
    <row r="1034" spans="1:19" x14ac:dyDescent="0.25">
      <c r="A1034" s="41" t="s">
        <v>908</v>
      </c>
      <c r="B1034" s="41" t="s">
        <v>8924</v>
      </c>
    </row>
    <row r="1035" spans="1:19" x14ac:dyDescent="0.25">
      <c r="A1035" s="41" t="s">
        <v>23</v>
      </c>
      <c r="B1035" s="41" t="s">
        <v>8925</v>
      </c>
      <c r="F1035" s="41" t="s">
        <v>8926</v>
      </c>
      <c r="G1035" s="41" t="s">
        <v>8927</v>
      </c>
      <c r="H1035" s="41" t="s">
        <v>8928</v>
      </c>
      <c r="I1035" s="41" t="s">
        <v>8929</v>
      </c>
      <c r="J1035" s="41" t="s">
        <v>8930</v>
      </c>
      <c r="L1035" s="41" t="s">
        <v>4</v>
      </c>
    </row>
    <row r="1036" spans="1:19" x14ac:dyDescent="0.25">
      <c r="A1036" s="41" t="s">
        <v>23</v>
      </c>
      <c r="B1036" s="41" t="s">
        <v>8931</v>
      </c>
      <c r="D1036" s="41" t="s">
        <v>8932</v>
      </c>
      <c r="E1036" s="41" t="s">
        <v>8933</v>
      </c>
      <c r="F1036" s="41" t="s">
        <v>8934</v>
      </c>
      <c r="G1036" s="41" t="s">
        <v>8935</v>
      </c>
      <c r="H1036" s="41" t="s">
        <v>8936</v>
      </c>
      <c r="I1036" s="41" t="s">
        <v>8937</v>
      </c>
      <c r="J1036" s="41" t="s">
        <v>8938</v>
      </c>
      <c r="K1036" s="41" t="s">
        <v>8939</v>
      </c>
      <c r="L1036" s="41" t="s">
        <v>8940</v>
      </c>
      <c r="M1036" s="41" t="s">
        <v>8941</v>
      </c>
      <c r="N1036" s="41" t="s">
        <v>8942</v>
      </c>
      <c r="O1036" s="41" t="s">
        <v>8943</v>
      </c>
      <c r="P1036" s="41" t="s">
        <v>8944</v>
      </c>
      <c r="Q1036" s="41" t="s">
        <v>8945</v>
      </c>
      <c r="R1036" s="41" t="s">
        <v>8946</v>
      </c>
      <c r="S1036" s="41" t="s">
        <v>8947</v>
      </c>
    </row>
    <row r="1037" spans="1:19" x14ac:dyDescent="0.25">
      <c r="A1037" s="41" t="s">
        <v>23</v>
      </c>
      <c r="B1037" s="41" t="s">
        <v>8948</v>
      </c>
      <c r="D1037" s="41" t="s">
        <v>8949</v>
      </c>
      <c r="F1037" s="41" t="s">
        <v>8950</v>
      </c>
      <c r="G1037" s="41" t="s">
        <v>8951</v>
      </c>
      <c r="H1037" s="41" t="s">
        <v>8952</v>
      </c>
      <c r="I1037" s="41" t="s">
        <v>8953</v>
      </c>
      <c r="J1037" s="41" t="s">
        <v>8954</v>
      </c>
      <c r="K1037" s="41" t="s">
        <v>8955</v>
      </c>
      <c r="L1037" s="41" t="s">
        <v>891</v>
      </c>
    </row>
    <row r="1038" spans="1:19" x14ac:dyDescent="0.25">
      <c r="A1038" s="41" t="s">
        <v>23</v>
      </c>
      <c r="B1038" s="41" t="s">
        <v>8956</v>
      </c>
      <c r="D1038" s="41" t="s">
        <v>8957</v>
      </c>
      <c r="F1038" s="41" t="s">
        <v>8958</v>
      </c>
      <c r="G1038" s="41" t="s">
        <v>8959</v>
      </c>
      <c r="H1038" s="41" t="s">
        <v>8960</v>
      </c>
      <c r="I1038" s="41" t="s">
        <v>8961</v>
      </c>
      <c r="J1038" s="41" t="s">
        <v>8962</v>
      </c>
      <c r="K1038" s="41" t="s">
        <v>8963</v>
      </c>
      <c r="L1038" s="41" t="s">
        <v>1076</v>
      </c>
    </row>
    <row r="1039" spans="1:19" x14ac:dyDescent="0.25">
      <c r="A1039" s="41" t="s">
        <v>23</v>
      </c>
      <c r="B1039" s="41" t="s">
        <v>8964</v>
      </c>
      <c r="D1039" s="41" t="s">
        <v>8965</v>
      </c>
      <c r="F1039" s="41" t="s">
        <v>8966</v>
      </c>
      <c r="G1039" s="41" t="s">
        <v>8967</v>
      </c>
      <c r="H1039" s="41" t="s">
        <v>8968</v>
      </c>
      <c r="I1039" s="41" t="s">
        <v>8969</v>
      </c>
      <c r="J1039" s="41" t="s">
        <v>8970</v>
      </c>
      <c r="K1039" s="41" t="s">
        <v>8971</v>
      </c>
      <c r="L1039" s="41" t="s">
        <v>1085</v>
      </c>
    </row>
    <row r="1040" spans="1:19" x14ac:dyDescent="0.25">
      <c r="A1040" s="41" t="s">
        <v>23</v>
      </c>
      <c r="B1040" s="41" t="s">
        <v>8972</v>
      </c>
      <c r="D1040" s="41" t="s">
        <v>8973</v>
      </c>
      <c r="F1040" s="41" t="s">
        <v>8974</v>
      </c>
      <c r="G1040" s="41" t="s">
        <v>8975</v>
      </c>
      <c r="H1040" s="41" t="s">
        <v>8976</v>
      </c>
      <c r="I1040" s="41" t="s">
        <v>8977</v>
      </c>
      <c r="J1040" s="41" t="s">
        <v>8978</v>
      </c>
      <c r="K1040" s="41" t="s">
        <v>8979</v>
      </c>
      <c r="L1040" s="41" t="s">
        <v>1094</v>
      </c>
    </row>
    <row r="1041" spans="1:19" x14ac:dyDescent="0.25">
      <c r="A1041" s="41" t="s">
        <v>908</v>
      </c>
      <c r="B1041" s="41" t="s">
        <v>8980</v>
      </c>
    </row>
    <row r="1042" spans="1:19" x14ac:dyDescent="0.25">
      <c r="A1042" s="41" t="s">
        <v>23</v>
      </c>
      <c r="B1042" s="41" t="s">
        <v>8981</v>
      </c>
      <c r="F1042" s="41" t="s">
        <v>8982</v>
      </c>
      <c r="G1042" s="41" t="s">
        <v>8983</v>
      </c>
      <c r="H1042" s="41" t="s">
        <v>8984</v>
      </c>
      <c r="I1042" s="41" t="s">
        <v>8985</v>
      </c>
      <c r="J1042" s="41" t="s">
        <v>8986</v>
      </c>
      <c r="L1042" s="41" t="s">
        <v>4</v>
      </c>
    </row>
    <row r="1043" spans="1:19" x14ac:dyDescent="0.25">
      <c r="A1043" s="41" t="s">
        <v>23</v>
      </c>
      <c r="B1043" s="41" t="s">
        <v>8987</v>
      </c>
      <c r="D1043" s="41" t="s">
        <v>8988</v>
      </c>
      <c r="E1043" s="41" t="s">
        <v>8989</v>
      </c>
      <c r="F1043" s="41" t="s">
        <v>8990</v>
      </c>
      <c r="G1043" s="41" t="s">
        <v>8991</v>
      </c>
      <c r="H1043" s="41" t="s">
        <v>8992</v>
      </c>
      <c r="I1043" s="41" t="s">
        <v>8993</v>
      </c>
      <c r="J1043" s="41" t="s">
        <v>8994</v>
      </c>
      <c r="K1043" s="41" t="s">
        <v>8995</v>
      </c>
      <c r="L1043" s="41" t="s">
        <v>8996</v>
      </c>
      <c r="M1043" s="41" t="s">
        <v>8997</v>
      </c>
      <c r="N1043" s="41" t="s">
        <v>8998</v>
      </c>
      <c r="O1043" s="41" t="s">
        <v>8999</v>
      </c>
      <c r="P1043" s="41" t="s">
        <v>9000</v>
      </c>
      <c r="Q1043" s="41" t="s">
        <v>9001</v>
      </c>
      <c r="R1043" s="41" t="s">
        <v>9002</v>
      </c>
      <c r="S1043" s="41" t="s">
        <v>9003</v>
      </c>
    </row>
    <row r="1044" spans="1:19" x14ac:dyDescent="0.25">
      <c r="A1044" s="41" t="s">
        <v>23</v>
      </c>
      <c r="B1044" s="41" t="s">
        <v>9004</v>
      </c>
      <c r="D1044" s="41" t="s">
        <v>9005</v>
      </c>
      <c r="F1044" s="41" t="s">
        <v>9006</v>
      </c>
      <c r="G1044" s="41" t="s">
        <v>9007</v>
      </c>
      <c r="H1044" s="41" t="s">
        <v>9008</v>
      </c>
      <c r="I1044" s="41" t="s">
        <v>9009</v>
      </c>
      <c r="J1044" s="41" t="s">
        <v>9010</v>
      </c>
      <c r="K1044" s="41" t="s">
        <v>9011</v>
      </c>
      <c r="L1044" s="41" t="s">
        <v>891</v>
      </c>
    </row>
    <row r="1045" spans="1:19" x14ac:dyDescent="0.25">
      <c r="A1045" s="41" t="s">
        <v>23</v>
      </c>
      <c r="B1045" s="41" t="s">
        <v>9012</v>
      </c>
      <c r="D1045" s="41" t="s">
        <v>9013</v>
      </c>
      <c r="F1045" s="41" t="s">
        <v>9014</v>
      </c>
      <c r="G1045" s="41" t="s">
        <v>9015</v>
      </c>
      <c r="H1045" s="41" t="s">
        <v>9016</v>
      </c>
      <c r="I1045" s="41" t="s">
        <v>9017</v>
      </c>
      <c r="J1045" s="41" t="s">
        <v>9018</v>
      </c>
      <c r="K1045" s="41" t="s">
        <v>9019</v>
      </c>
      <c r="L1045" s="41" t="s">
        <v>1076</v>
      </c>
    </row>
    <row r="1046" spans="1:19" x14ac:dyDescent="0.25">
      <c r="A1046" s="41" t="s">
        <v>23</v>
      </c>
      <c r="B1046" s="41" t="s">
        <v>9020</v>
      </c>
      <c r="D1046" s="41" t="s">
        <v>9021</v>
      </c>
      <c r="F1046" s="41" t="s">
        <v>9022</v>
      </c>
      <c r="G1046" s="41" t="s">
        <v>9023</v>
      </c>
      <c r="H1046" s="41" t="s">
        <v>9024</v>
      </c>
      <c r="I1046" s="41" t="s">
        <v>9025</v>
      </c>
      <c r="J1046" s="41" t="s">
        <v>9026</v>
      </c>
      <c r="K1046" s="41" t="s">
        <v>9027</v>
      </c>
      <c r="L1046" s="41" t="s">
        <v>1085</v>
      </c>
    </row>
    <row r="1047" spans="1:19" x14ac:dyDescent="0.25">
      <c r="A1047" s="41" t="s">
        <v>23</v>
      </c>
      <c r="B1047" s="41" t="s">
        <v>9028</v>
      </c>
      <c r="D1047" s="41" t="s">
        <v>9029</v>
      </c>
      <c r="F1047" s="41" t="s">
        <v>9030</v>
      </c>
      <c r="G1047" s="41" t="s">
        <v>9031</v>
      </c>
      <c r="H1047" s="41" t="s">
        <v>9032</v>
      </c>
      <c r="I1047" s="41" t="s">
        <v>9033</v>
      </c>
      <c r="J1047" s="41" t="s">
        <v>9034</v>
      </c>
      <c r="K1047" s="41" t="s">
        <v>9035</v>
      </c>
      <c r="L1047" s="41" t="s">
        <v>1094</v>
      </c>
    </row>
    <row r="1048" spans="1:19" x14ac:dyDescent="0.25">
      <c r="A1048" s="41" t="s">
        <v>908</v>
      </c>
      <c r="B1048" s="41" t="s">
        <v>9036</v>
      </c>
    </row>
    <row r="1049" spans="1:19" x14ac:dyDescent="0.25">
      <c r="A1049" s="41" t="s">
        <v>23</v>
      </c>
      <c r="B1049" s="41" t="s">
        <v>9037</v>
      </c>
      <c r="F1049" s="41" t="s">
        <v>9038</v>
      </c>
      <c r="G1049" s="41" t="s">
        <v>9039</v>
      </c>
      <c r="H1049" s="41" t="s">
        <v>9040</v>
      </c>
      <c r="I1049" s="41" t="s">
        <v>9041</v>
      </c>
      <c r="J1049" s="41" t="s">
        <v>9042</v>
      </c>
      <c r="L1049" s="41" t="s">
        <v>4</v>
      </c>
    </row>
    <row r="1050" spans="1:19" x14ac:dyDescent="0.25">
      <c r="A1050" s="41" t="s">
        <v>23</v>
      </c>
      <c r="B1050" s="41" t="s">
        <v>9043</v>
      </c>
      <c r="D1050" s="41" t="s">
        <v>9044</v>
      </c>
      <c r="E1050" s="41" t="s">
        <v>9045</v>
      </c>
      <c r="F1050" s="41" t="s">
        <v>9046</v>
      </c>
      <c r="G1050" s="41" t="s">
        <v>9047</v>
      </c>
      <c r="H1050" s="41" t="s">
        <v>9048</v>
      </c>
      <c r="I1050" s="41" t="s">
        <v>9049</v>
      </c>
      <c r="J1050" s="41" t="s">
        <v>9050</v>
      </c>
      <c r="K1050" s="41" t="s">
        <v>9051</v>
      </c>
      <c r="L1050" s="41" t="s">
        <v>9052</v>
      </c>
      <c r="M1050" s="41" t="s">
        <v>9053</v>
      </c>
      <c r="N1050" s="41" t="s">
        <v>9054</v>
      </c>
      <c r="O1050" s="41" t="s">
        <v>9055</v>
      </c>
      <c r="P1050" s="41" t="s">
        <v>9056</v>
      </c>
      <c r="Q1050" s="41" t="s">
        <v>9057</v>
      </c>
      <c r="R1050" s="41" t="s">
        <v>9058</v>
      </c>
      <c r="S1050" s="41" t="s">
        <v>9059</v>
      </c>
    </row>
    <row r="1051" spans="1:19" x14ac:dyDescent="0.25">
      <c r="A1051" s="41" t="s">
        <v>23</v>
      </c>
      <c r="B1051" s="41" t="s">
        <v>9060</v>
      </c>
      <c r="D1051" s="41" t="s">
        <v>9061</v>
      </c>
      <c r="F1051" s="41" t="s">
        <v>9062</v>
      </c>
      <c r="G1051" s="41" t="s">
        <v>9063</v>
      </c>
      <c r="H1051" s="41" t="s">
        <v>9064</v>
      </c>
      <c r="I1051" s="41" t="s">
        <v>9065</v>
      </c>
      <c r="J1051" s="41" t="s">
        <v>9066</v>
      </c>
      <c r="K1051" s="41" t="s">
        <v>9067</v>
      </c>
      <c r="L1051" s="41" t="s">
        <v>891</v>
      </c>
    </row>
    <row r="1052" spans="1:19" x14ac:dyDescent="0.25">
      <c r="A1052" s="41" t="s">
        <v>23</v>
      </c>
      <c r="B1052" s="41" t="s">
        <v>9068</v>
      </c>
      <c r="D1052" s="41" t="s">
        <v>9069</v>
      </c>
      <c r="F1052" s="41" t="s">
        <v>9070</v>
      </c>
      <c r="G1052" s="41" t="s">
        <v>9071</v>
      </c>
      <c r="H1052" s="41" t="s">
        <v>9072</v>
      </c>
      <c r="I1052" s="41" t="s">
        <v>9073</v>
      </c>
      <c r="J1052" s="41" t="s">
        <v>9074</v>
      </c>
      <c r="K1052" s="41" t="s">
        <v>9075</v>
      </c>
      <c r="L1052" s="41" t="s">
        <v>1076</v>
      </c>
    </row>
    <row r="1053" spans="1:19" x14ac:dyDescent="0.25">
      <c r="A1053" s="41" t="s">
        <v>23</v>
      </c>
      <c r="B1053" s="41" t="s">
        <v>9076</v>
      </c>
      <c r="D1053" s="41" t="s">
        <v>9077</v>
      </c>
      <c r="F1053" s="41" t="s">
        <v>9078</v>
      </c>
      <c r="G1053" s="41" t="s">
        <v>9079</v>
      </c>
      <c r="H1053" s="41" t="s">
        <v>9080</v>
      </c>
      <c r="I1053" s="41" t="s">
        <v>9081</v>
      </c>
      <c r="J1053" s="41" t="s">
        <v>9082</v>
      </c>
      <c r="K1053" s="41" t="s">
        <v>9083</v>
      </c>
      <c r="L1053" s="41" t="s">
        <v>1085</v>
      </c>
    </row>
    <row r="1054" spans="1:19" x14ac:dyDescent="0.25">
      <c r="A1054" s="41" t="s">
        <v>23</v>
      </c>
      <c r="B1054" s="41" t="s">
        <v>9084</v>
      </c>
      <c r="D1054" s="41" t="s">
        <v>9085</v>
      </c>
      <c r="F1054" s="41" t="s">
        <v>9086</v>
      </c>
      <c r="G1054" s="41" t="s">
        <v>9087</v>
      </c>
      <c r="H1054" s="41" t="s">
        <v>9088</v>
      </c>
      <c r="I1054" s="41" t="s">
        <v>9089</v>
      </c>
      <c r="J1054" s="41" t="s">
        <v>9090</v>
      </c>
      <c r="K1054" s="41" t="s">
        <v>9091</v>
      </c>
      <c r="L1054" s="41" t="s">
        <v>1094</v>
      </c>
    </row>
    <row r="1055" spans="1:19" x14ac:dyDescent="0.25">
      <c r="A1055" s="41" t="s">
        <v>908</v>
      </c>
      <c r="B1055" s="41" t="s">
        <v>9092</v>
      </c>
    </row>
    <row r="1056" spans="1:19" x14ac:dyDescent="0.25">
      <c r="A1056" s="41" t="s">
        <v>23</v>
      </c>
      <c r="B1056" s="41" t="s">
        <v>9093</v>
      </c>
      <c r="F1056" s="41" t="s">
        <v>9094</v>
      </c>
      <c r="G1056" s="41" t="s">
        <v>9095</v>
      </c>
      <c r="H1056" s="41" t="s">
        <v>9096</v>
      </c>
      <c r="I1056" s="41" t="s">
        <v>9097</v>
      </c>
      <c r="J1056" s="41" t="s">
        <v>9098</v>
      </c>
      <c r="L1056" s="41" t="s">
        <v>4</v>
      </c>
    </row>
    <row r="1057" spans="1:19" x14ac:dyDescent="0.25">
      <c r="A1057" s="41" t="s">
        <v>23</v>
      </c>
      <c r="B1057" s="41" t="s">
        <v>9099</v>
      </c>
      <c r="D1057" s="41" t="s">
        <v>9100</v>
      </c>
      <c r="E1057" s="41" t="s">
        <v>9101</v>
      </c>
      <c r="F1057" s="41" t="s">
        <v>9102</v>
      </c>
      <c r="G1057" s="41" t="s">
        <v>9103</v>
      </c>
      <c r="H1057" s="41" t="s">
        <v>9104</v>
      </c>
      <c r="I1057" s="41" t="s">
        <v>9105</v>
      </c>
      <c r="J1057" s="41" t="s">
        <v>9106</v>
      </c>
      <c r="K1057" s="41" t="s">
        <v>9107</v>
      </c>
      <c r="L1057" s="41" t="s">
        <v>9108</v>
      </c>
      <c r="M1057" s="41" t="s">
        <v>9109</v>
      </c>
      <c r="N1057" s="41" t="s">
        <v>9110</v>
      </c>
      <c r="O1057" s="41" t="s">
        <v>9111</v>
      </c>
      <c r="P1057" s="41" t="s">
        <v>9112</v>
      </c>
      <c r="Q1057" s="41" t="s">
        <v>9113</v>
      </c>
      <c r="R1057" s="41" t="s">
        <v>9114</v>
      </c>
      <c r="S1057" s="41" t="s">
        <v>9115</v>
      </c>
    </row>
    <row r="1058" spans="1:19" x14ac:dyDescent="0.25">
      <c r="A1058" s="41" t="s">
        <v>23</v>
      </c>
      <c r="B1058" s="41" t="s">
        <v>9116</v>
      </c>
      <c r="D1058" s="41" t="s">
        <v>9117</v>
      </c>
      <c r="F1058" s="41" t="s">
        <v>9118</v>
      </c>
      <c r="G1058" s="41" t="s">
        <v>9119</v>
      </c>
      <c r="H1058" s="41" t="s">
        <v>9120</v>
      </c>
      <c r="I1058" s="41" t="s">
        <v>9121</v>
      </c>
      <c r="J1058" s="41" t="s">
        <v>9122</v>
      </c>
      <c r="K1058" s="41" t="s">
        <v>9123</v>
      </c>
      <c r="L1058" s="41" t="s">
        <v>891</v>
      </c>
    </row>
    <row r="1059" spans="1:19" x14ac:dyDescent="0.25">
      <c r="A1059" s="41" t="s">
        <v>23</v>
      </c>
      <c r="B1059" s="41" t="s">
        <v>9124</v>
      </c>
      <c r="D1059" s="41" t="s">
        <v>9125</v>
      </c>
      <c r="F1059" s="41" t="s">
        <v>9126</v>
      </c>
      <c r="G1059" s="41" t="s">
        <v>9127</v>
      </c>
      <c r="H1059" s="41" t="s">
        <v>9128</v>
      </c>
      <c r="I1059" s="41" t="s">
        <v>9129</v>
      </c>
      <c r="J1059" s="41" t="s">
        <v>9130</v>
      </c>
      <c r="K1059" s="41" t="s">
        <v>9131</v>
      </c>
      <c r="L1059" s="41" t="s">
        <v>1076</v>
      </c>
    </row>
    <row r="1060" spans="1:19" x14ac:dyDescent="0.25">
      <c r="A1060" s="41" t="s">
        <v>23</v>
      </c>
      <c r="B1060" s="41" t="s">
        <v>9132</v>
      </c>
      <c r="D1060" s="41" t="s">
        <v>9133</v>
      </c>
      <c r="F1060" s="41" t="s">
        <v>9134</v>
      </c>
      <c r="G1060" s="41" t="s">
        <v>9135</v>
      </c>
      <c r="H1060" s="41" t="s">
        <v>9136</v>
      </c>
      <c r="I1060" s="41" t="s">
        <v>9137</v>
      </c>
      <c r="J1060" s="41" t="s">
        <v>9138</v>
      </c>
      <c r="K1060" s="41" t="s">
        <v>9139</v>
      </c>
      <c r="L1060" s="41" t="s">
        <v>1085</v>
      </c>
    </row>
    <row r="1061" spans="1:19" x14ac:dyDescent="0.25">
      <c r="A1061" s="41" t="s">
        <v>23</v>
      </c>
      <c r="B1061" s="41" t="s">
        <v>9140</v>
      </c>
      <c r="D1061" s="41" t="s">
        <v>9141</v>
      </c>
      <c r="F1061" s="41" t="s">
        <v>9142</v>
      </c>
      <c r="G1061" s="41" t="s">
        <v>9143</v>
      </c>
      <c r="H1061" s="41" t="s">
        <v>9144</v>
      </c>
      <c r="I1061" s="41" t="s">
        <v>9145</v>
      </c>
      <c r="J1061" s="41" t="s">
        <v>9146</v>
      </c>
      <c r="K1061" s="41" t="s">
        <v>9147</v>
      </c>
      <c r="L1061" s="41" t="s">
        <v>1094</v>
      </c>
    </row>
    <row r="1062" spans="1:19" x14ac:dyDescent="0.25">
      <c r="A1062" s="41" t="s">
        <v>908</v>
      </c>
      <c r="B1062" s="41" t="s">
        <v>9148</v>
      </c>
    </row>
    <row r="1063" spans="1:19" x14ac:dyDescent="0.25">
      <c r="A1063" s="41" t="s">
        <v>23</v>
      </c>
      <c r="B1063" s="41" t="s">
        <v>9149</v>
      </c>
      <c r="F1063" s="41" t="s">
        <v>9150</v>
      </c>
      <c r="G1063" s="41" t="s">
        <v>9151</v>
      </c>
      <c r="H1063" s="41" t="s">
        <v>9152</v>
      </c>
      <c r="I1063" s="41" t="s">
        <v>9153</v>
      </c>
      <c r="J1063" s="41" t="s">
        <v>9154</v>
      </c>
      <c r="L1063" s="41" t="s">
        <v>4</v>
      </c>
    </row>
    <row r="1064" spans="1:19" x14ac:dyDescent="0.25">
      <c r="A1064" s="41" t="s">
        <v>23</v>
      </c>
      <c r="B1064" s="41" t="s">
        <v>9155</v>
      </c>
      <c r="D1064" s="41" t="s">
        <v>9156</v>
      </c>
      <c r="E1064" s="41" t="s">
        <v>9157</v>
      </c>
      <c r="F1064" s="41" t="s">
        <v>9158</v>
      </c>
      <c r="G1064" s="41" t="s">
        <v>9159</v>
      </c>
      <c r="H1064" s="41" t="s">
        <v>9160</v>
      </c>
      <c r="I1064" s="41" t="s">
        <v>9161</v>
      </c>
      <c r="J1064" s="41" t="s">
        <v>9162</v>
      </c>
      <c r="K1064" s="41" t="s">
        <v>9163</v>
      </c>
      <c r="L1064" s="41" t="s">
        <v>9164</v>
      </c>
      <c r="M1064" s="41" t="s">
        <v>9165</v>
      </c>
      <c r="N1064" s="41" t="s">
        <v>9166</v>
      </c>
      <c r="O1064" s="41" t="s">
        <v>9167</v>
      </c>
      <c r="P1064" s="41" t="s">
        <v>9168</v>
      </c>
      <c r="Q1064" s="41" t="s">
        <v>9169</v>
      </c>
      <c r="R1064" s="41" t="s">
        <v>9170</v>
      </c>
      <c r="S1064" s="41" t="s">
        <v>9171</v>
      </c>
    </row>
    <row r="1065" spans="1:19" x14ac:dyDescent="0.25">
      <c r="A1065" s="41" t="s">
        <v>23</v>
      </c>
      <c r="B1065" s="41" t="s">
        <v>9172</v>
      </c>
      <c r="D1065" s="41" t="s">
        <v>9173</v>
      </c>
      <c r="F1065" s="41" t="s">
        <v>9174</v>
      </c>
      <c r="G1065" s="41" t="s">
        <v>9175</v>
      </c>
      <c r="H1065" s="41" t="s">
        <v>9176</v>
      </c>
      <c r="I1065" s="41" t="s">
        <v>9177</v>
      </c>
      <c r="J1065" s="41" t="s">
        <v>9178</v>
      </c>
      <c r="K1065" s="41" t="s">
        <v>9179</v>
      </c>
      <c r="L1065" s="41" t="s">
        <v>891</v>
      </c>
    </row>
    <row r="1066" spans="1:19" x14ac:dyDescent="0.25">
      <c r="A1066" s="41" t="s">
        <v>23</v>
      </c>
      <c r="B1066" s="41" t="s">
        <v>9180</v>
      </c>
      <c r="D1066" s="41" t="s">
        <v>9181</v>
      </c>
      <c r="F1066" s="41" t="s">
        <v>9182</v>
      </c>
      <c r="G1066" s="41" t="s">
        <v>9183</v>
      </c>
      <c r="H1066" s="41" t="s">
        <v>9184</v>
      </c>
      <c r="I1066" s="41" t="s">
        <v>9185</v>
      </c>
      <c r="J1066" s="41" t="s">
        <v>9186</v>
      </c>
      <c r="K1066" s="41" t="s">
        <v>9187</v>
      </c>
      <c r="L1066" s="41" t="s">
        <v>1076</v>
      </c>
    </row>
    <row r="1067" spans="1:19" x14ac:dyDescent="0.25">
      <c r="A1067" s="41" t="s">
        <v>23</v>
      </c>
      <c r="B1067" s="41" t="s">
        <v>9188</v>
      </c>
      <c r="D1067" s="41" t="s">
        <v>9189</v>
      </c>
      <c r="F1067" s="41" t="s">
        <v>9190</v>
      </c>
      <c r="G1067" s="41" t="s">
        <v>9191</v>
      </c>
      <c r="H1067" s="41" t="s">
        <v>9192</v>
      </c>
      <c r="I1067" s="41" t="s">
        <v>9193</v>
      </c>
      <c r="J1067" s="41" t="s">
        <v>9194</v>
      </c>
      <c r="K1067" s="41" t="s">
        <v>9195</v>
      </c>
      <c r="L1067" s="41" t="s">
        <v>1085</v>
      </c>
    </row>
    <row r="1068" spans="1:19" x14ac:dyDescent="0.25">
      <c r="A1068" s="41" t="s">
        <v>23</v>
      </c>
      <c r="B1068" s="41" t="s">
        <v>9196</v>
      </c>
      <c r="D1068" s="41" t="s">
        <v>9197</v>
      </c>
      <c r="F1068" s="41" t="s">
        <v>9198</v>
      </c>
      <c r="G1068" s="41" t="s">
        <v>9199</v>
      </c>
      <c r="H1068" s="41" t="s">
        <v>9200</v>
      </c>
      <c r="I1068" s="41" t="s">
        <v>9201</v>
      </c>
      <c r="J1068" s="41" t="s">
        <v>9202</v>
      </c>
      <c r="K1068" s="41" t="s">
        <v>9203</v>
      </c>
      <c r="L1068" s="41" t="s">
        <v>1094</v>
      </c>
    </row>
    <row r="1069" spans="1:19" x14ac:dyDescent="0.25">
      <c r="A1069" s="41" t="s">
        <v>908</v>
      </c>
      <c r="B1069" s="41" t="s">
        <v>9204</v>
      </c>
    </row>
    <row r="1070" spans="1:19" x14ac:dyDescent="0.25">
      <c r="A1070" s="41" t="s">
        <v>23</v>
      </c>
      <c r="B1070" s="41" t="s">
        <v>9205</v>
      </c>
      <c r="F1070" s="41" t="s">
        <v>9206</v>
      </c>
      <c r="G1070" s="41" t="s">
        <v>9207</v>
      </c>
      <c r="H1070" s="41" t="s">
        <v>9208</v>
      </c>
      <c r="I1070" s="41" t="s">
        <v>9209</v>
      </c>
      <c r="J1070" s="41" t="s">
        <v>9210</v>
      </c>
      <c r="L1070" s="41" t="s">
        <v>4</v>
      </c>
    </row>
    <row r="1071" spans="1:19" x14ac:dyDescent="0.25">
      <c r="A1071" s="41" t="s">
        <v>23</v>
      </c>
      <c r="B1071" s="41" t="s">
        <v>9211</v>
      </c>
      <c r="D1071" s="41" t="s">
        <v>9212</v>
      </c>
      <c r="E1071" s="41" t="s">
        <v>9213</v>
      </c>
      <c r="F1071" s="41" t="s">
        <v>9214</v>
      </c>
      <c r="G1071" s="41" t="s">
        <v>9215</v>
      </c>
      <c r="H1071" s="41" t="s">
        <v>9216</v>
      </c>
      <c r="I1071" s="41" t="s">
        <v>9217</v>
      </c>
      <c r="J1071" s="41" t="s">
        <v>9218</v>
      </c>
      <c r="K1071" s="41" t="s">
        <v>9219</v>
      </c>
      <c r="L1071" s="41" t="s">
        <v>9220</v>
      </c>
      <c r="M1071" s="41" t="s">
        <v>9221</v>
      </c>
      <c r="N1071" s="41" t="s">
        <v>9222</v>
      </c>
      <c r="O1071" s="41" t="s">
        <v>9223</v>
      </c>
      <c r="P1071" s="41" t="s">
        <v>9224</v>
      </c>
      <c r="Q1071" s="41" t="s">
        <v>9225</v>
      </c>
      <c r="R1071" s="41" t="s">
        <v>9226</v>
      </c>
      <c r="S1071" s="41" t="s">
        <v>9227</v>
      </c>
    </row>
    <row r="1072" spans="1:19" x14ac:dyDescent="0.25">
      <c r="A1072" s="41" t="s">
        <v>23</v>
      </c>
      <c r="B1072" s="41" t="s">
        <v>9228</v>
      </c>
      <c r="D1072" s="41" t="s">
        <v>9229</v>
      </c>
      <c r="F1072" s="41" t="s">
        <v>9230</v>
      </c>
      <c r="G1072" s="41" t="s">
        <v>9231</v>
      </c>
      <c r="H1072" s="41" t="s">
        <v>9232</v>
      </c>
      <c r="I1072" s="41" t="s">
        <v>9233</v>
      </c>
      <c r="J1072" s="41" t="s">
        <v>9234</v>
      </c>
      <c r="K1072" s="41" t="s">
        <v>9235</v>
      </c>
      <c r="L1072" s="41" t="s">
        <v>891</v>
      </c>
    </row>
    <row r="1073" spans="1:19" x14ac:dyDescent="0.25">
      <c r="A1073" s="41" t="s">
        <v>23</v>
      </c>
      <c r="B1073" s="41" t="s">
        <v>9236</v>
      </c>
      <c r="D1073" s="41" t="s">
        <v>9237</v>
      </c>
      <c r="F1073" s="41" t="s">
        <v>9238</v>
      </c>
      <c r="G1073" s="41" t="s">
        <v>9239</v>
      </c>
      <c r="H1073" s="41" t="s">
        <v>9240</v>
      </c>
      <c r="I1073" s="41" t="s">
        <v>9241</v>
      </c>
      <c r="J1073" s="41" t="s">
        <v>9242</v>
      </c>
      <c r="K1073" s="41" t="s">
        <v>9243</v>
      </c>
      <c r="L1073" s="41" t="s">
        <v>1076</v>
      </c>
    </row>
    <row r="1074" spans="1:19" x14ac:dyDescent="0.25">
      <c r="A1074" s="41" t="s">
        <v>23</v>
      </c>
      <c r="B1074" s="41" t="s">
        <v>9244</v>
      </c>
      <c r="D1074" s="41" t="s">
        <v>9245</v>
      </c>
      <c r="F1074" s="41" t="s">
        <v>9246</v>
      </c>
      <c r="G1074" s="41" t="s">
        <v>9247</v>
      </c>
      <c r="H1074" s="41" t="s">
        <v>9248</v>
      </c>
      <c r="I1074" s="41" t="s">
        <v>9249</v>
      </c>
      <c r="J1074" s="41" t="s">
        <v>9250</v>
      </c>
      <c r="K1074" s="41" t="s">
        <v>9251</v>
      </c>
      <c r="L1074" s="41" t="s">
        <v>1085</v>
      </c>
    </row>
    <row r="1075" spans="1:19" x14ac:dyDescent="0.25">
      <c r="A1075" s="41" t="s">
        <v>23</v>
      </c>
      <c r="B1075" s="41" t="s">
        <v>9252</v>
      </c>
      <c r="D1075" s="41" t="s">
        <v>9253</v>
      </c>
      <c r="F1075" s="41" t="s">
        <v>9254</v>
      </c>
      <c r="G1075" s="41" t="s">
        <v>9255</v>
      </c>
      <c r="H1075" s="41" t="s">
        <v>9256</v>
      </c>
      <c r="I1075" s="41" t="s">
        <v>9257</v>
      </c>
      <c r="J1075" s="41" t="s">
        <v>9258</v>
      </c>
      <c r="K1075" s="41" t="s">
        <v>9259</v>
      </c>
      <c r="L1075" s="41" t="s">
        <v>1094</v>
      </c>
    </row>
    <row r="1076" spans="1:19" x14ac:dyDescent="0.25">
      <c r="A1076" s="41" t="s">
        <v>908</v>
      </c>
      <c r="B1076" s="41" t="s">
        <v>9260</v>
      </c>
    </row>
    <row r="1077" spans="1:19" x14ac:dyDescent="0.25">
      <c r="A1077" s="41" t="s">
        <v>23</v>
      </c>
      <c r="B1077" s="41" t="s">
        <v>9261</v>
      </c>
      <c r="F1077" s="41" t="s">
        <v>9262</v>
      </c>
      <c r="G1077" s="41" t="s">
        <v>9263</v>
      </c>
      <c r="H1077" s="41" t="s">
        <v>9264</v>
      </c>
      <c r="I1077" s="41" t="s">
        <v>9265</v>
      </c>
      <c r="J1077" s="41" t="s">
        <v>9266</v>
      </c>
      <c r="L1077" s="41" t="s">
        <v>4</v>
      </c>
    </row>
    <row r="1078" spans="1:19" x14ac:dyDescent="0.25">
      <c r="A1078" s="41" t="s">
        <v>23</v>
      </c>
      <c r="B1078" s="41" t="s">
        <v>9267</v>
      </c>
      <c r="D1078" s="41" t="s">
        <v>9268</v>
      </c>
      <c r="E1078" s="41" t="s">
        <v>9269</v>
      </c>
      <c r="F1078" s="41" t="s">
        <v>9270</v>
      </c>
      <c r="G1078" s="41" t="s">
        <v>9271</v>
      </c>
      <c r="H1078" s="41" t="s">
        <v>9272</v>
      </c>
      <c r="I1078" s="41" t="s">
        <v>9273</v>
      </c>
      <c r="J1078" s="41" t="s">
        <v>9274</v>
      </c>
      <c r="K1078" s="41" t="s">
        <v>9275</v>
      </c>
      <c r="L1078" s="41" t="s">
        <v>9276</v>
      </c>
      <c r="M1078" s="41" t="s">
        <v>9277</v>
      </c>
      <c r="N1078" s="41" t="s">
        <v>9278</v>
      </c>
      <c r="O1078" s="41" t="s">
        <v>9279</v>
      </c>
      <c r="P1078" s="41" t="s">
        <v>9280</v>
      </c>
      <c r="Q1078" s="41" t="s">
        <v>9281</v>
      </c>
      <c r="R1078" s="41" t="s">
        <v>9282</v>
      </c>
      <c r="S1078" s="41" t="s">
        <v>9283</v>
      </c>
    </row>
    <row r="1079" spans="1:19" x14ac:dyDescent="0.25">
      <c r="A1079" s="41" t="s">
        <v>23</v>
      </c>
      <c r="B1079" s="41" t="s">
        <v>9284</v>
      </c>
      <c r="D1079" s="41" t="s">
        <v>9285</v>
      </c>
      <c r="F1079" s="41" t="s">
        <v>9286</v>
      </c>
      <c r="G1079" s="41" t="s">
        <v>9287</v>
      </c>
      <c r="H1079" s="41" t="s">
        <v>9288</v>
      </c>
      <c r="I1079" s="41" t="s">
        <v>9289</v>
      </c>
      <c r="J1079" s="41" t="s">
        <v>9290</v>
      </c>
      <c r="K1079" s="41" t="s">
        <v>9291</v>
      </c>
      <c r="L1079" s="41" t="s">
        <v>891</v>
      </c>
    </row>
    <row r="1080" spans="1:19" x14ac:dyDescent="0.25">
      <c r="A1080" s="41" t="s">
        <v>23</v>
      </c>
      <c r="B1080" s="41" t="s">
        <v>9292</v>
      </c>
      <c r="D1080" s="41" t="s">
        <v>9293</v>
      </c>
      <c r="F1080" s="41" t="s">
        <v>9294</v>
      </c>
      <c r="G1080" s="41" t="s">
        <v>9295</v>
      </c>
      <c r="H1080" s="41" t="s">
        <v>9296</v>
      </c>
      <c r="I1080" s="41" t="s">
        <v>9297</v>
      </c>
      <c r="J1080" s="41" t="s">
        <v>9298</v>
      </c>
      <c r="K1080" s="41" t="s">
        <v>9299</v>
      </c>
      <c r="L1080" s="41" t="s">
        <v>1076</v>
      </c>
    </row>
    <row r="1081" spans="1:19" x14ac:dyDescent="0.25">
      <c r="A1081" s="41" t="s">
        <v>23</v>
      </c>
      <c r="B1081" s="41" t="s">
        <v>9300</v>
      </c>
      <c r="D1081" s="41" t="s">
        <v>9301</v>
      </c>
      <c r="F1081" s="41" t="s">
        <v>9302</v>
      </c>
      <c r="G1081" s="41" t="s">
        <v>9303</v>
      </c>
      <c r="H1081" s="41" t="s">
        <v>9304</v>
      </c>
      <c r="I1081" s="41" t="s">
        <v>9305</v>
      </c>
      <c r="J1081" s="41" t="s">
        <v>9306</v>
      </c>
      <c r="K1081" s="41" t="s">
        <v>9307</v>
      </c>
      <c r="L1081" s="41" t="s">
        <v>1085</v>
      </c>
    </row>
    <row r="1082" spans="1:19" x14ac:dyDescent="0.25">
      <c r="A1082" s="41" t="s">
        <v>23</v>
      </c>
      <c r="B1082" s="41" t="s">
        <v>9308</v>
      </c>
      <c r="D1082" s="41" t="s">
        <v>9309</v>
      </c>
      <c r="F1082" s="41" t="s">
        <v>9310</v>
      </c>
      <c r="G1082" s="41" t="s">
        <v>9311</v>
      </c>
      <c r="H1082" s="41" t="s">
        <v>9312</v>
      </c>
      <c r="I1082" s="41" t="s">
        <v>9313</v>
      </c>
      <c r="J1082" s="41" t="s">
        <v>9314</v>
      </c>
      <c r="K1082" s="41" t="s">
        <v>9315</v>
      </c>
      <c r="L1082" s="41" t="s">
        <v>1094</v>
      </c>
    </row>
    <row r="1083" spans="1:19" x14ac:dyDescent="0.25">
      <c r="A1083" s="41" t="s">
        <v>908</v>
      </c>
      <c r="B1083" s="41" t="s">
        <v>9316</v>
      </c>
    </row>
    <row r="1084" spans="1:19" x14ac:dyDescent="0.25">
      <c r="A1084" s="41" t="s">
        <v>23</v>
      </c>
      <c r="B1084" s="41" t="s">
        <v>9317</v>
      </c>
      <c r="F1084" s="41" t="s">
        <v>9318</v>
      </c>
      <c r="G1084" s="41" t="s">
        <v>9319</v>
      </c>
      <c r="H1084" s="41" t="s">
        <v>9320</v>
      </c>
      <c r="I1084" s="41" t="s">
        <v>9321</v>
      </c>
      <c r="J1084" s="41" t="s">
        <v>9322</v>
      </c>
      <c r="L1084" s="41" t="s">
        <v>4</v>
      </c>
    </row>
    <row r="1085" spans="1:19" x14ac:dyDescent="0.25">
      <c r="A1085" s="41" t="s">
        <v>23</v>
      </c>
      <c r="B1085" s="41" t="s">
        <v>9323</v>
      </c>
      <c r="D1085" s="41" t="s">
        <v>9324</v>
      </c>
      <c r="E1085" s="41" t="s">
        <v>9325</v>
      </c>
      <c r="F1085" s="41" t="s">
        <v>9326</v>
      </c>
      <c r="G1085" s="41" t="s">
        <v>9327</v>
      </c>
      <c r="H1085" s="41" t="s">
        <v>9328</v>
      </c>
      <c r="I1085" s="41" t="s">
        <v>9329</v>
      </c>
      <c r="J1085" s="41" t="s">
        <v>9330</v>
      </c>
      <c r="K1085" s="41" t="s">
        <v>9331</v>
      </c>
      <c r="L1085" s="41" t="s">
        <v>9332</v>
      </c>
      <c r="M1085" s="41" t="s">
        <v>9333</v>
      </c>
      <c r="N1085" s="41" t="s">
        <v>9334</v>
      </c>
      <c r="O1085" s="41" t="s">
        <v>9335</v>
      </c>
      <c r="P1085" s="41" t="s">
        <v>9336</v>
      </c>
      <c r="Q1085" s="41" t="s">
        <v>9337</v>
      </c>
      <c r="R1085" s="41" t="s">
        <v>9338</v>
      </c>
      <c r="S1085" s="41" t="s">
        <v>9339</v>
      </c>
    </row>
    <row r="1086" spans="1:19" x14ac:dyDescent="0.25">
      <c r="A1086" s="41" t="s">
        <v>23</v>
      </c>
      <c r="B1086" s="41" t="s">
        <v>9340</v>
      </c>
      <c r="D1086" s="41" t="s">
        <v>9341</v>
      </c>
      <c r="F1086" s="41" t="s">
        <v>9342</v>
      </c>
      <c r="G1086" s="41" t="s">
        <v>9343</v>
      </c>
      <c r="H1086" s="41" t="s">
        <v>9344</v>
      </c>
      <c r="I1086" s="41" t="s">
        <v>9345</v>
      </c>
      <c r="J1086" s="41" t="s">
        <v>9346</v>
      </c>
      <c r="K1086" s="41" t="s">
        <v>9347</v>
      </c>
      <c r="L1086" s="41" t="s">
        <v>891</v>
      </c>
    </row>
    <row r="1087" spans="1:19" x14ac:dyDescent="0.25">
      <c r="A1087" s="41" t="s">
        <v>23</v>
      </c>
      <c r="B1087" s="41" t="s">
        <v>9348</v>
      </c>
      <c r="D1087" s="41" t="s">
        <v>9349</v>
      </c>
      <c r="F1087" s="41" t="s">
        <v>9350</v>
      </c>
      <c r="G1087" s="41" t="s">
        <v>9351</v>
      </c>
      <c r="H1087" s="41" t="s">
        <v>9352</v>
      </c>
      <c r="I1087" s="41" t="s">
        <v>9353</v>
      </c>
      <c r="J1087" s="41" t="s">
        <v>9354</v>
      </c>
      <c r="K1087" s="41" t="s">
        <v>9355</v>
      </c>
      <c r="L1087" s="41" t="s">
        <v>1076</v>
      </c>
    </row>
    <row r="1088" spans="1:19" x14ac:dyDescent="0.25">
      <c r="A1088" s="41" t="s">
        <v>23</v>
      </c>
      <c r="B1088" s="41" t="s">
        <v>9356</v>
      </c>
      <c r="D1088" s="41" t="s">
        <v>9357</v>
      </c>
      <c r="F1088" s="41" t="s">
        <v>9358</v>
      </c>
      <c r="G1088" s="41" t="s">
        <v>9359</v>
      </c>
      <c r="H1088" s="41" t="s">
        <v>9360</v>
      </c>
      <c r="I1088" s="41" t="s">
        <v>9361</v>
      </c>
      <c r="J1088" s="41" t="s">
        <v>9362</v>
      </c>
      <c r="K1088" s="41" t="s">
        <v>9363</v>
      </c>
      <c r="L1088" s="41" t="s">
        <v>1085</v>
      </c>
    </row>
    <row r="1089" spans="1:19" x14ac:dyDescent="0.25">
      <c r="A1089" s="41" t="s">
        <v>23</v>
      </c>
      <c r="B1089" s="41" t="s">
        <v>9364</v>
      </c>
      <c r="D1089" s="41" t="s">
        <v>9365</v>
      </c>
      <c r="F1089" s="41" t="s">
        <v>9366</v>
      </c>
      <c r="G1089" s="41" t="s">
        <v>9367</v>
      </c>
      <c r="H1089" s="41" t="s">
        <v>9368</v>
      </c>
      <c r="I1089" s="41" t="s">
        <v>9369</v>
      </c>
      <c r="J1089" s="41" t="s">
        <v>9370</v>
      </c>
      <c r="K1089" s="41" t="s">
        <v>9371</v>
      </c>
      <c r="L1089" s="41" t="s">
        <v>1094</v>
      </c>
    </row>
    <row r="1090" spans="1:19" x14ac:dyDescent="0.25">
      <c r="A1090" s="41" t="s">
        <v>908</v>
      </c>
      <c r="B1090" s="41" t="s">
        <v>9372</v>
      </c>
    </row>
    <row r="1091" spans="1:19" x14ac:dyDescent="0.25">
      <c r="A1091" s="41" t="s">
        <v>23</v>
      </c>
      <c r="B1091" s="41" t="s">
        <v>9373</v>
      </c>
      <c r="F1091" s="41" t="s">
        <v>9374</v>
      </c>
      <c r="G1091" s="41" t="s">
        <v>9375</v>
      </c>
      <c r="H1091" s="41" t="s">
        <v>9376</v>
      </c>
      <c r="I1091" s="41" t="s">
        <v>9377</v>
      </c>
      <c r="J1091" s="41" t="s">
        <v>9378</v>
      </c>
      <c r="L1091" s="41" t="s">
        <v>4</v>
      </c>
    </row>
    <row r="1092" spans="1:19" x14ac:dyDescent="0.25">
      <c r="A1092" s="41" t="s">
        <v>23</v>
      </c>
      <c r="B1092" s="41" t="s">
        <v>9379</v>
      </c>
      <c r="D1092" s="41" t="s">
        <v>9380</v>
      </c>
      <c r="E1092" s="41" t="s">
        <v>9381</v>
      </c>
      <c r="F1092" s="41" t="s">
        <v>9382</v>
      </c>
      <c r="G1092" s="41" t="s">
        <v>9383</v>
      </c>
      <c r="H1092" s="41" t="s">
        <v>9384</v>
      </c>
      <c r="I1092" s="41" t="s">
        <v>9385</v>
      </c>
      <c r="J1092" s="41" t="s">
        <v>9386</v>
      </c>
      <c r="K1092" s="41" t="s">
        <v>9387</v>
      </c>
      <c r="L1092" s="41" t="s">
        <v>9388</v>
      </c>
      <c r="M1092" s="41" t="s">
        <v>9389</v>
      </c>
      <c r="N1092" s="41" t="s">
        <v>9390</v>
      </c>
      <c r="O1092" s="41" t="s">
        <v>9391</v>
      </c>
      <c r="P1092" s="41" t="s">
        <v>9392</v>
      </c>
      <c r="Q1092" s="41" t="s">
        <v>9393</v>
      </c>
      <c r="R1092" s="41" t="s">
        <v>9394</v>
      </c>
      <c r="S1092" s="41" t="s">
        <v>9395</v>
      </c>
    </row>
    <row r="1093" spans="1:19" x14ac:dyDescent="0.25">
      <c r="A1093" s="41" t="s">
        <v>23</v>
      </c>
      <c r="B1093" s="41" t="s">
        <v>9396</v>
      </c>
      <c r="D1093" s="41" t="s">
        <v>9397</v>
      </c>
      <c r="F1093" s="41" t="s">
        <v>9398</v>
      </c>
      <c r="G1093" s="41" t="s">
        <v>9399</v>
      </c>
      <c r="H1093" s="41" t="s">
        <v>9400</v>
      </c>
      <c r="I1093" s="41" t="s">
        <v>9401</v>
      </c>
      <c r="J1093" s="41" t="s">
        <v>9402</v>
      </c>
      <c r="K1093" s="41" t="s">
        <v>9403</v>
      </c>
      <c r="L1093" s="41" t="s">
        <v>891</v>
      </c>
    </row>
    <row r="1094" spans="1:19" x14ac:dyDescent="0.25">
      <c r="A1094" s="41" t="s">
        <v>23</v>
      </c>
      <c r="B1094" s="41" t="s">
        <v>9404</v>
      </c>
      <c r="D1094" s="41" t="s">
        <v>9405</v>
      </c>
      <c r="F1094" s="41" t="s">
        <v>9406</v>
      </c>
      <c r="G1094" s="41" t="s">
        <v>9407</v>
      </c>
      <c r="H1094" s="41" t="s">
        <v>9408</v>
      </c>
      <c r="I1094" s="41" t="s">
        <v>9409</v>
      </c>
      <c r="J1094" s="41" t="s">
        <v>9410</v>
      </c>
      <c r="K1094" s="41" t="s">
        <v>9411</v>
      </c>
      <c r="L1094" s="41" t="s">
        <v>1076</v>
      </c>
    </row>
    <row r="1095" spans="1:19" x14ac:dyDescent="0.25">
      <c r="A1095" s="41" t="s">
        <v>23</v>
      </c>
      <c r="B1095" s="41" t="s">
        <v>9412</v>
      </c>
      <c r="D1095" s="41" t="s">
        <v>9413</v>
      </c>
      <c r="F1095" s="41" t="s">
        <v>9414</v>
      </c>
      <c r="G1095" s="41" t="s">
        <v>9415</v>
      </c>
      <c r="H1095" s="41" t="s">
        <v>9416</v>
      </c>
      <c r="I1095" s="41" t="s">
        <v>9417</v>
      </c>
      <c r="J1095" s="41" t="s">
        <v>9418</v>
      </c>
      <c r="K1095" s="41" t="s">
        <v>9419</v>
      </c>
      <c r="L1095" s="41" t="s">
        <v>1085</v>
      </c>
    </row>
    <row r="1096" spans="1:19" x14ac:dyDescent="0.25">
      <c r="A1096" s="41" t="s">
        <v>23</v>
      </c>
      <c r="B1096" s="41" t="s">
        <v>9420</v>
      </c>
      <c r="D1096" s="41" t="s">
        <v>9421</v>
      </c>
      <c r="F1096" s="41" t="s">
        <v>9422</v>
      </c>
      <c r="G1096" s="41" t="s">
        <v>9423</v>
      </c>
      <c r="H1096" s="41" t="s">
        <v>9424</v>
      </c>
      <c r="I1096" s="41" t="s">
        <v>9425</v>
      </c>
      <c r="J1096" s="41" t="s">
        <v>9426</v>
      </c>
      <c r="K1096" s="41" t="s">
        <v>9427</v>
      </c>
      <c r="L1096" s="41" t="s">
        <v>1094</v>
      </c>
    </row>
    <row r="1097" spans="1:19" x14ac:dyDescent="0.25">
      <c r="A1097" s="41" t="s">
        <v>908</v>
      </c>
      <c r="B1097" s="41" t="s">
        <v>9428</v>
      </c>
    </row>
    <row r="1098" spans="1:19" x14ac:dyDescent="0.25">
      <c r="A1098" s="41" t="s">
        <v>23</v>
      </c>
      <c r="B1098" s="41" t="s">
        <v>9429</v>
      </c>
      <c r="F1098" s="41" t="s">
        <v>9430</v>
      </c>
      <c r="G1098" s="41" t="s">
        <v>9431</v>
      </c>
      <c r="H1098" s="41" t="s">
        <v>9432</v>
      </c>
      <c r="I1098" s="41" t="s">
        <v>9433</v>
      </c>
      <c r="J1098" s="41" t="s">
        <v>9434</v>
      </c>
      <c r="L1098" s="41" t="s">
        <v>4</v>
      </c>
    </row>
    <row r="1099" spans="1:19" x14ac:dyDescent="0.25">
      <c r="A1099" s="41" t="s">
        <v>23</v>
      </c>
      <c r="B1099" s="41" t="s">
        <v>9435</v>
      </c>
      <c r="D1099" s="41" t="s">
        <v>9436</v>
      </c>
      <c r="E1099" s="41" t="s">
        <v>9437</v>
      </c>
      <c r="F1099" s="41" t="s">
        <v>9438</v>
      </c>
      <c r="G1099" s="41" t="s">
        <v>9439</v>
      </c>
      <c r="H1099" s="41" t="s">
        <v>9440</v>
      </c>
      <c r="I1099" s="41" t="s">
        <v>9441</v>
      </c>
      <c r="J1099" s="41" t="s">
        <v>9442</v>
      </c>
      <c r="K1099" s="41" t="s">
        <v>9443</v>
      </c>
      <c r="L1099" s="41" t="s">
        <v>9444</v>
      </c>
      <c r="M1099" s="41" t="s">
        <v>9445</v>
      </c>
      <c r="N1099" s="41" t="s">
        <v>9446</v>
      </c>
      <c r="O1099" s="41" t="s">
        <v>9447</v>
      </c>
      <c r="P1099" s="41" t="s">
        <v>9448</v>
      </c>
      <c r="Q1099" s="41" t="s">
        <v>9449</v>
      </c>
      <c r="R1099" s="41" t="s">
        <v>9450</v>
      </c>
      <c r="S1099" s="41" t="s">
        <v>9451</v>
      </c>
    </row>
    <row r="1100" spans="1:19" x14ac:dyDescent="0.25">
      <c r="A1100" s="41" t="s">
        <v>23</v>
      </c>
      <c r="B1100" s="41" t="s">
        <v>9452</v>
      </c>
      <c r="D1100" s="41" t="s">
        <v>9453</v>
      </c>
      <c r="F1100" s="41" t="s">
        <v>9454</v>
      </c>
      <c r="G1100" s="41" t="s">
        <v>9455</v>
      </c>
      <c r="H1100" s="41" t="s">
        <v>9456</v>
      </c>
      <c r="I1100" s="41" t="s">
        <v>9457</v>
      </c>
      <c r="J1100" s="41" t="s">
        <v>9458</v>
      </c>
      <c r="K1100" s="41" t="s">
        <v>9459</v>
      </c>
      <c r="L1100" s="41" t="s">
        <v>891</v>
      </c>
    </row>
    <row r="1101" spans="1:19" x14ac:dyDescent="0.25">
      <c r="A1101" s="41" t="s">
        <v>23</v>
      </c>
      <c r="B1101" s="41" t="s">
        <v>9460</v>
      </c>
      <c r="D1101" s="41" t="s">
        <v>9461</v>
      </c>
      <c r="F1101" s="41" t="s">
        <v>9462</v>
      </c>
      <c r="G1101" s="41" t="s">
        <v>9463</v>
      </c>
      <c r="H1101" s="41" t="s">
        <v>9464</v>
      </c>
      <c r="I1101" s="41" t="s">
        <v>9465</v>
      </c>
      <c r="J1101" s="41" t="s">
        <v>9466</v>
      </c>
      <c r="K1101" s="41" t="s">
        <v>9467</v>
      </c>
      <c r="L1101" s="41" t="s">
        <v>1076</v>
      </c>
    </row>
    <row r="1102" spans="1:19" x14ac:dyDescent="0.25">
      <c r="A1102" s="41" t="s">
        <v>23</v>
      </c>
      <c r="B1102" s="41" t="s">
        <v>9468</v>
      </c>
      <c r="D1102" s="41" t="s">
        <v>9469</v>
      </c>
      <c r="F1102" s="41" t="s">
        <v>9470</v>
      </c>
      <c r="G1102" s="41" t="s">
        <v>9471</v>
      </c>
      <c r="H1102" s="41" t="s">
        <v>9472</v>
      </c>
      <c r="I1102" s="41" t="s">
        <v>9473</v>
      </c>
      <c r="J1102" s="41" t="s">
        <v>9474</v>
      </c>
      <c r="K1102" s="41" t="s">
        <v>9475</v>
      </c>
      <c r="L1102" s="41" t="s">
        <v>1085</v>
      </c>
    </row>
    <row r="1103" spans="1:19" x14ac:dyDescent="0.25">
      <c r="A1103" s="41" t="s">
        <v>23</v>
      </c>
      <c r="B1103" s="41" t="s">
        <v>9476</v>
      </c>
      <c r="D1103" s="41" t="s">
        <v>9477</v>
      </c>
      <c r="F1103" s="41" t="s">
        <v>9478</v>
      </c>
      <c r="G1103" s="41" t="s">
        <v>9479</v>
      </c>
      <c r="H1103" s="41" t="s">
        <v>9480</v>
      </c>
      <c r="I1103" s="41" t="s">
        <v>9481</v>
      </c>
      <c r="J1103" s="41" t="s">
        <v>9482</v>
      </c>
      <c r="K1103" s="41" t="s">
        <v>9483</v>
      </c>
      <c r="L1103" s="41" t="s">
        <v>1094</v>
      </c>
    </row>
    <row r="1104" spans="1:19" x14ac:dyDescent="0.25">
      <c r="A1104" s="41" t="s">
        <v>908</v>
      </c>
      <c r="B1104" s="41" t="s">
        <v>9484</v>
      </c>
    </row>
    <row r="1105" spans="1:19" x14ac:dyDescent="0.25">
      <c r="A1105" s="41" t="s">
        <v>23</v>
      </c>
      <c r="B1105" s="41" t="s">
        <v>9485</v>
      </c>
      <c r="F1105" s="41" t="s">
        <v>9486</v>
      </c>
      <c r="G1105" s="41" t="s">
        <v>9487</v>
      </c>
      <c r="H1105" s="41" t="s">
        <v>9488</v>
      </c>
      <c r="I1105" s="41" t="s">
        <v>9489</v>
      </c>
      <c r="J1105" s="41" t="s">
        <v>9490</v>
      </c>
      <c r="L1105" s="41" t="s">
        <v>4</v>
      </c>
    </row>
    <row r="1106" spans="1:19" x14ac:dyDescent="0.25">
      <c r="A1106" s="41" t="s">
        <v>23</v>
      </c>
      <c r="B1106" s="41" t="s">
        <v>9491</v>
      </c>
      <c r="D1106" s="41" t="s">
        <v>9492</v>
      </c>
      <c r="E1106" s="41" t="s">
        <v>9493</v>
      </c>
      <c r="F1106" s="41" t="s">
        <v>9494</v>
      </c>
      <c r="G1106" s="41" t="s">
        <v>9495</v>
      </c>
      <c r="H1106" s="41" t="s">
        <v>9496</v>
      </c>
      <c r="I1106" s="41" t="s">
        <v>9497</v>
      </c>
      <c r="J1106" s="41" t="s">
        <v>9498</v>
      </c>
      <c r="K1106" s="41" t="s">
        <v>9499</v>
      </c>
      <c r="L1106" s="41" t="s">
        <v>9500</v>
      </c>
      <c r="M1106" s="41" t="s">
        <v>9501</v>
      </c>
      <c r="N1106" s="41" t="s">
        <v>9502</v>
      </c>
      <c r="O1106" s="41" t="s">
        <v>9503</v>
      </c>
      <c r="P1106" s="41" t="s">
        <v>9504</v>
      </c>
      <c r="Q1106" s="41" t="s">
        <v>9505</v>
      </c>
      <c r="R1106" s="41" t="s">
        <v>9506</v>
      </c>
      <c r="S1106" s="41" t="s">
        <v>9507</v>
      </c>
    </row>
    <row r="1107" spans="1:19" x14ac:dyDescent="0.25">
      <c r="A1107" s="41" t="s">
        <v>23</v>
      </c>
      <c r="B1107" s="41" t="s">
        <v>9508</v>
      </c>
      <c r="D1107" s="41" t="s">
        <v>9509</v>
      </c>
      <c r="F1107" s="41" t="s">
        <v>9510</v>
      </c>
      <c r="G1107" s="41" t="s">
        <v>9511</v>
      </c>
      <c r="H1107" s="41" t="s">
        <v>9512</v>
      </c>
      <c r="I1107" s="41" t="s">
        <v>9513</v>
      </c>
      <c r="J1107" s="41" t="s">
        <v>9514</v>
      </c>
      <c r="K1107" s="41" t="s">
        <v>9515</v>
      </c>
      <c r="L1107" s="41" t="s">
        <v>891</v>
      </c>
    </row>
    <row r="1108" spans="1:19" x14ac:dyDescent="0.25">
      <c r="A1108" s="41" t="s">
        <v>23</v>
      </c>
      <c r="B1108" s="41" t="s">
        <v>9516</v>
      </c>
      <c r="D1108" s="41" t="s">
        <v>9517</v>
      </c>
      <c r="F1108" s="41" t="s">
        <v>9518</v>
      </c>
      <c r="G1108" s="41" t="s">
        <v>9519</v>
      </c>
      <c r="H1108" s="41" t="s">
        <v>9520</v>
      </c>
      <c r="I1108" s="41" t="s">
        <v>9521</v>
      </c>
      <c r="J1108" s="41" t="s">
        <v>9522</v>
      </c>
      <c r="K1108" s="41" t="s">
        <v>9523</v>
      </c>
      <c r="L1108" s="41" t="s">
        <v>1076</v>
      </c>
    </row>
    <row r="1109" spans="1:19" x14ac:dyDescent="0.25">
      <c r="A1109" s="41" t="s">
        <v>23</v>
      </c>
      <c r="B1109" s="41" t="s">
        <v>9524</v>
      </c>
      <c r="D1109" s="41" t="s">
        <v>9525</v>
      </c>
      <c r="F1109" s="41" t="s">
        <v>9526</v>
      </c>
      <c r="G1109" s="41" t="s">
        <v>9527</v>
      </c>
      <c r="H1109" s="41" t="s">
        <v>9528</v>
      </c>
      <c r="I1109" s="41" t="s">
        <v>9529</v>
      </c>
      <c r="J1109" s="41" t="s">
        <v>9530</v>
      </c>
      <c r="K1109" s="41" t="s">
        <v>9531</v>
      </c>
      <c r="L1109" s="41" t="s">
        <v>1085</v>
      </c>
    </row>
    <row r="1110" spans="1:19" x14ac:dyDescent="0.25">
      <c r="A1110" s="41" t="s">
        <v>23</v>
      </c>
      <c r="B1110" s="41" t="s">
        <v>9532</v>
      </c>
      <c r="D1110" s="41" t="s">
        <v>9533</v>
      </c>
      <c r="F1110" s="41" t="s">
        <v>9534</v>
      </c>
      <c r="G1110" s="41" t="s">
        <v>9535</v>
      </c>
      <c r="H1110" s="41" t="s">
        <v>9536</v>
      </c>
      <c r="I1110" s="41" t="s">
        <v>9537</v>
      </c>
      <c r="J1110" s="41" t="s">
        <v>9538</v>
      </c>
      <c r="K1110" s="41" t="s">
        <v>9539</v>
      </c>
      <c r="L1110" s="41" t="s">
        <v>1094</v>
      </c>
    </row>
    <row r="1111" spans="1:19" x14ac:dyDescent="0.25">
      <c r="A1111" s="41" t="s">
        <v>908</v>
      </c>
      <c r="B1111" s="41" t="s">
        <v>9540</v>
      </c>
    </row>
    <row r="1112" spans="1:19" x14ac:dyDescent="0.25">
      <c r="A1112" s="41" t="s">
        <v>23</v>
      </c>
      <c r="B1112" s="41" t="s">
        <v>9541</v>
      </c>
      <c r="F1112" s="41" t="s">
        <v>9542</v>
      </c>
      <c r="G1112" s="41" t="s">
        <v>9543</v>
      </c>
      <c r="H1112" s="41" t="s">
        <v>9544</v>
      </c>
      <c r="I1112" s="41" t="s">
        <v>9545</v>
      </c>
      <c r="J1112" s="41" t="s">
        <v>9546</v>
      </c>
      <c r="L1112" s="41" t="s">
        <v>4</v>
      </c>
    </row>
    <row r="1113" spans="1:19" x14ac:dyDescent="0.25">
      <c r="A1113" s="41" t="s">
        <v>23</v>
      </c>
      <c r="B1113" s="41" t="s">
        <v>9547</v>
      </c>
      <c r="D1113" s="41" t="s">
        <v>9548</v>
      </c>
      <c r="E1113" s="41" t="s">
        <v>9549</v>
      </c>
      <c r="F1113" s="41" t="s">
        <v>9550</v>
      </c>
      <c r="G1113" s="41" t="s">
        <v>9551</v>
      </c>
      <c r="H1113" s="41" t="s">
        <v>9552</v>
      </c>
      <c r="I1113" s="41" t="s">
        <v>9553</v>
      </c>
      <c r="J1113" s="41" t="s">
        <v>9554</v>
      </c>
      <c r="K1113" s="41" t="s">
        <v>9555</v>
      </c>
      <c r="L1113" s="41" t="s">
        <v>9556</v>
      </c>
      <c r="M1113" s="41" t="s">
        <v>9557</v>
      </c>
      <c r="N1113" s="41" t="s">
        <v>9558</v>
      </c>
      <c r="O1113" s="41" t="s">
        <v>9559</v>
      </c>
      <c r="P1113" s="41" t="s">
        <v>9560</v>
      </c>
      <c r="Q1113" s="41" t="s">
        <v>9561</v>
      </c>
      <c r="R1113" s="41" t="s">
        <v>9562</v>
      </c>
      <c r="S1113" s="41" t="s">
        <v>9563</v>
      </c>
    </row>
    <row r="1114" spans="1:19" x14ac:dyDescent="0.25">
      <c r="A1114" s="41" t="s">
        <v>23</v>
      </c>
      <c r="B1114" s="41" t="s">
        <v>9564</v>
      </c>
      <c r="D1114" s="41" t="s">
        <v>9565</v>
      </c>
      <c r="F1114" s="41" t="s">
        <v>9566</v>
      </c>
      <c r="G1114" s="41" t="s">
        <v>9567</v>
      </c>
      <c r="H1114" s="41" t="s">
        <v>9568</v>
      </c>
      <c r="I1114" s="41" t="s">
        <v>9569</v>
      </c>
      <c r="J1114" s="41" t="s">
        <v>9570</v>
      </c>
      <c r="K1114" s="41" t="s">
        <v>9571</v>
      </c>
      <c r="L1114" s="41" t="s">
        <v>891</v>
      </c>
    </row>
    <row r="1115" spans="1:19" x14ac:dyDescent="0.25">
      <c r="A1115" s="41" t="s">
        <v>23</v>
      </c>
      <c r="B1115" s="41" t="s">
        <v>9572</v>
      </c>
      <c r="D1115" s="41" t="s">
        <v>9573</v>
      </c>
      <c r="F1115" s="41" t="s">
        <v>9574</v>
      </c>
      <c r="G1115" s="41" t="s">
        <v>9575</v>
      </c>
      <c r="H1115" s="41" t="s">
        <v>9576</v>
      </c>
      <c r="I1115" s="41" t="s">
        <v>9577</v>
      </c>
      <c r="J1115" s="41" t="s">
        <v>9578</v>
      </c>
      <c r="K1115" s="41" t="s">
        <v>9579</v>
      </c>
      <c r="L1115" s="41" t="s">
        <v>1076</v>
      </c>
    </row>
    <row r="1116" spans="1:19" x14ac:dyDescent="0.25">
      <c r="A1116" s="41" t="s">
        <v>23</v>
      </c>
      <c r="B1116" s="41" t="s">
        <v>9580</v>
      </c>
      <c r="D1116" s="41" t="s">
        <v>9581</v>
      </c>
      <c r="F1116" s="41" t="s">
        <v>9582</v>
      </c>
      <c r="G1116" s="41" t="s">
        <v>9583</v>
      </c>
      <c r="H1116" s="41" t="s">
        <v>9584</v>
      </c>
      <c r="I1116" s="41" t="s">
        <v>9585</v>
      </c>
      <c r="J1116" s="41" t="s">
        <v>9586</v>
      </c>
      <c r="K1116" s="41" t="s">
        <v>9587</v>
      </c>
      <c r="L1116" s="41" t="s">
        <v>1085</v>
      </c>
    </row>
    <row r="1117" spans="1:19" x14ac:dyDescent="0.25">
      <c r="A1117" s="41" t="s">
        <v>23</v>
      </c>
      <c r="B1117" s="41" t="s">
        <v>9588</v>
      </c>
      <c r="D1117" s="41" t="s">
        <v>9589</v>
      </c>
      <c r="F1117" s="41" t="s">
        <v>9590</v>
      </c>
      <c r="G1117" s="41" t="s">
        <v>9591</v>
      </c>
      <c r="H1117" s="41" t="s">
        <v>9592</v>
      </c>
      <c r="I1117" s="41" t="s">
        <v>9593</v>
      </c>
      <c r="J1117" s="41" t="s">
        <v>9594</v>
      </c>
      <c r="K1117" s="41" t="s">
        <v>9595</v>
      </c>
      <c r="L1117" s="41" t="s">
        <v>1094</v>
      </c>
    </row>
    <row r="1118" spans="1:19" x14ac:dyDescent="0.25">
      <c r="A1118" s="41" t="s">
        <v>908</v>
      </c>
      <c r="B1118" s="41" t="s">
        <v>9596</v>
      </c>
    </row>
    <row r="1119" spans="1:19" x14ac:dyDescent="0.25">
      <c r="A1119" s="41" t="s">
        <v>23</v>
      </c>
      <c r="B1119" s="41" t="s">
        <v>9597</v>
      </c>
      <c r="F1119" s="41" t="s">
        <v>9598</v>
      </c>
      <c r="G1119" s="41" t="s">
        <v>9599</v>
      </c>
      <c r="H1119" s="41" t="s">
        <v>9600</v>
      </c>
      <c r="I1119" s="41" t="s">
        <v>9601</v>
      </c>
      <c r="J1119" s="41" t="s">
        <v>9602</v>
      </c>
      <c r="L1119" s="41" t="s">
        <v>4</v>
      </c>
    </row>
    <row r="1120" spans="1:19" x14ac:dyDescent="0.25">
      <c r="A1120" s="41" t="s">
        <v>23</v>
      </c>
      <c r="B1120" s="41" t="s">
        <v>9603</v>
      </c>
      <c r="D1120" s="41" t="s">
        <v>9604</v>
      </c>
      <c r="E1120" s="41" t="s">
        <v>9605</v>
      </c>
      <c r="F1120" s="41" t="s">
        <v>9606</v>
      </c>
      <c r="G1120" s="41" t="s">
        <v>9607</v>
      </c>
      <c r="H1120" s="41" t="s">
        <v>9608</v>
      </c>
      <c r="I1120" s="41" t="s">
        <v>9609</v>
      </c>
      <c r="J1120" s="41" t="s">
        <v>9610</v>
      </c>
      <c r="K1120" s="41" t="s">
        <v>9611</v>
      </c>
      <c r="L1120" s="41" t="s">
        <v>9612</v>
      </c>
      <c r="M1120" s="41" t="s">
        <v>9613</v>
      </c>
      <c r="N1120" s="41" t="s">
        <v>9614</v>
      </c>
      <c r="O1120" s="41" t="s">
        <v>9615</v>
      </c>
      <c r="P1120" s="41" t="s">
        <v>9616</v>
      </c>
      <c r="Q1120" s="41" t="s">
        <v>9617</v>
      </c>
      <c r="R1120" s="41" t="s">
        <v>9618</v>
      </c>
      <c r="S1120" s="41" t="s">
        <v>9619</v>
      </c>
    </row>
    <row r="1121" spans="1:19" x14ac:dyDescent="0.25">
      <c r="A1121" s="41" t="s">
        <v>23</v>
      </c>
      <c r="B1121" s="41" t="s">
        <v>9620</v>
      </c>
      <c r="D1121" s="41" t="s">
        <v>9621</v>
      </c>
      <c r="F1121" s="41" t="s">
        <v>9622</v>
      </c>
      <c r="G1121" s="41" t="s">
        <v>9623</v>
      </c>
      <c r="H1121" s="41" t="s">
        <v>9624</v>
      </c>
      <c r="I1121" s="41" t="s">
        <v>9625</v>
      </c>
      <c r="J1121" s="41" t="s">
        <v>9626</v>
      </c>
      <c r="K1121" s="41" t="s">
        <v>9627</v>
      </c>
      <c r="L1121" s="41" t="s">
        <v>891</v>
      </c>
    </row>
    <row r="1122" spans="1:19" x14ac:dyDescent="0.25">
      <c r="A1122" s="41" t="s">
        <v>23</v>
      </c>
      <c r="B1122" s="41" t="s">
        <v>9628</v>
      </c>
      <c r="D1122" s="41" t="s">
        <v>9629</v>
      </c>
      <c r="F1122" s="41" t="s">
        <v>9630</v>
      </c>
      <c r="G1122" s="41" t="s">
        <v>9631</v>
      </c>
      <c r="H1122" s="41" t="s">
        <v>9632</v>
      </c>
      <c r="I1122" s="41" t="s">
        <v>9633</v>
      </c>
      <c r="J1122" s="41" t="s">
        <v>9634</v>
      </c>
      <c r="K1122" s="41" t="s">
        <v>9635</v>
      </c>
      <c r="L1122" s="41" t="s">
        <v>1076</v>
      </c>
    </row>
    <row r="1123" spans="1:19" x14ac:dyDescent="0.25">
      <c r="A1123" s="41" t="s">
        <v>23</v>
      </c>
      <c r="B1123" s="41" t="s">
        <v>9636</v>
      </c>
      <c r="D1123" s="41" t="s">
        <v>9637</v>
      </c>
      <c r="F1123" s="41" t="s">
        <v>9638</v>
      </c>
      <c r="G1123" s="41" t="s">
        <v>9639</v>
      </c>
      <c r="H1123" s="41" t="s">
        <v>9640</v>
      </c>
      <c r="I1123" s="41" t="s">
        <v>9641</v>
      </c>
      <c r="J1123" s="41" t="s">
        <v>9642</v>
      </c>
      <c r="K1123" s="41" t="s">
        <v>9643</v>
      </c>
      <c r="L1123" s="41" t="s">
        <v>1085</v>
      </c>
    </row>
    <row r="1124" spans="1:19" x14ac:dyDescent="0.25">
      <c r="A1124" s="41" t="s">
        <v>23</v>
      </c>
      <c r="B1124" s="41" t="s">
        <v>9644</v>
      </c>
      <c r="D1124" s="41" t="s">
        <v>9645</v>
      </c>
      <c r="F1124" s="41" t="s">
        <v>9646</v>
      </c>
      <c r="G1124" s="41" t="s">
        <v>9647</v>
      </c>
      <c r="H1124" s="41" t="s">
        <v>9648</v>
      </c>
      <c r="I1124" s="41" t="s">
        <v>9649</v>
      </c>
      <c r="J1124" s="41" t="s">
        <v>9650</v>
      </c>
      <c r="K1124" s="41" t="s">
        <v>9651</v>
      </c>
      <c r="L1124" s="41" t="s">
        <v>1094</v>
      </c>
    </row>
    <row r="1125" spans="1:19" x14ac:dyDescent="0.25">
      <c r="A1125" s="41" t="s">
        <v>908</v>
      </c>
      <c r="B1125" s="41" t="s">
        <v>9652</v>
      </c>
    </row>
    <row r="1126" spans="1:19" x14ac:dyDescent="0.25">
      <c r="A1126" s="41" t="s">
        <v>23</v>
      </c>
      <c r="B1126" s="41" t="s">
        <v>9653</v>
      </c>
      <c r="F1126" s="41" t="s">
        <v>9654</v>
      </c>
      <c r="G1126" s="41" t="s">
        <v>9655</v>
      </c>
      <c r="H1126" s="41" t="s">
        <v>9656</v>
      </c>
      <c r="I1126" s="41" t="s">
        <v>9657</v>
      </c>
      <c r="J1126" s="41" t="s">
        <v>9658</v>
      </c>
      <c r="L1126" s="41" t="s">
        <v>4</v>
      </c>
    </row>
    <row r="1127" spans="1:19" x14ac:dyDescent="0.25">
      <c r="A1127" s="41" t="s">
        <v>23</v>
      </c>
      <c r="B1127" s="41" t="s">
        <v>9659</v>
      </c>
      <c r="D1127" s="41" t="s">
        <v>9660</v>
      </c>
      <c r="E1127" s="41" t="s">
        <v>9661</v>
      </c>
      <c r="F1127" s="41" t="s">
        <v>9662</v>
      </c>
      <c r="G1127" s="41" t="s">
        <v>9663</v>
      </c>
      <c r="H1127" s="41" t="s">
        <v>9664</v>
      </c>
      <c r="I1127" s="41" t="s">
        <v>9665</v>
      </c>
      <c r="J1127" s="41" t="s">
        <v>9666</v>
      </c>
      <c r="K1127" s="41" t="s">
        <v>9667</v>
      </c>
      <c r="L1127" s="41" t="s">
        <v>9668</v>
      </c>
      <c r="M1127" s="41" t="s">
        <v>9669</v>
      </c>
      <c r="N1127" s="41" t="s">
        <v>9670</v>
      </c>
      <c r="O1127" s="41" t="s">
        <v>9671</v>
      </c>
      <c r="P1127" s="41" t="s">
        <v>9672</v>
      </c>
      <c r="Q1127" s="41" t="s">
        <v>9673</v>
      </c>
      <c r="R1127" s="41" t="s">
        <v>9674</v>
      </c>
      <c r="S1127" s="41" t="s">
        <v>9675</v>
      </c>
    </row>
    <row r="1128" spans="1:19" x14ac:dyDescent="0.25">
      <c r="A1128" s="41" t="s">
        <v>23</v>
      </c>
      <c r="B1128" s="41" t="s">
        <v>9676</v>
      </c>
      <c r="D1128" s="41" t="s">
        <v>9677</v>
      </c>
      <c r="F1128" s="41" t="s">
        <v>9678</v>
      </c>
      <c r="G1128" s="41" t="s">
        <v>9679</v>
      </c>
      <c r="H1128" s="41" t="s">
        <v>9680</v>
      </c>
      <c r="I1128" s="41" t="s">
        <v>9681</v>
      </c>
      <c r="J1128" s="41" t="s">
        <v>9682</v>
      </c>
      <c r="K1128" s="41" t="s">
        <v>9683</v>
      </c>
      <c r="L1128" s="41" t="s">
        <v>891</v>
      </c>
    </row>
    <row r="1129" spans="1:19" x14ac:dyDescent="0.25">
      <c r="A1129" s="41" t="s">
        <v>23</v>
      </c>
      <c r="B1129" s="41" t="s">
        <v>9684</v>
      </c>
      <c r="D1129" s="41" t="s">
        <v>9685</v>
      </c>
      <c r="F1129" s="41" t="s">
        <v>9686</v>
      </c>
      <c r="G1129" s="41" t="s">
        <v>9687</v>
      </c>
      <c r="H1129" s="41" t="s">
        <v>9688</v>
      </c>
      <c r="I1129" s="41" t="s">
        <v>9689</v>
      </c>
      <c r="J1129" s="41" t="s">
        <v>9690</v>
      </c>
      <c r="K1129" s="41" t="s">
        <v>9691</v>
      </c>
      <c r="L1129" s="41" t="s">
        <v>1076</v>
      </c>
    </row>
    <row r="1130" spans="1:19" x14ac:dyDescent="0.25">
      <c r="A1130" s="41" t="s">
        <v>23</v>
      </c>
      <c r="B1130" s="41" t="s">
        <v>9692</v>
      </c>
      <c r="D1130" s="41" t="s">
        <v>9693</v>
      </c>
      <c r="F1130" s="41" t="s">
        <v>9694</v>
      </c>
      <c r="G1130" s="41" t="s">
        <v>9695</v>
      </c>
      <c r="H1130" s="41" t="s">
        <v>9696</v>
      </c>
      <c r="I1130" s="41" t="s">
        <v>9697</v>
      </c>
      <c r="J1130" s="41" t="s">
        <v>9698</v>
      </c>
      <c r="K1130" s="41" t="s">
        <v>9699</v>
      </c>
      <c r="L1130" s="41" t="s">
        <v>1085</v>
      </c>
    </row>
    <row r="1131" spans="1:19" x14ac:dyDescent="0.25">
      <c r="A1131" s="41" t="s">
        <v>23</v>
      </c>
      <c r="B1131" s="41" t="s">
        <v>9700</v>
      </c>
      <c r="D1131" s="41" t="s">
        <v>9701</v>
      </c>
      <c r="F1131" s="41" t="s">
        <v>9702</v>
      </c>
      <c r="G1131" s="41" t="s">
        <v>9703</v>
      </c>
      <c r="H1131" s="41" t="s">
        <v>9704</v>
      </c>
      <c r="I1131" s="41" t="s">
        <v>9705</v>
      </c>
      <c r="J1131" s="41" t="s">
        <v>9706</v>
      </c>
      <c r="K1131" s="41" t="s">
        <v>9707</v>
      </c>
      <c r="L1131" s="41" t="s">
        <v>1094</v>
      </c>
    </row>
    <row r="1132" spans="1:19" x14ac:dyDescent="0.25">
      <c r="A1132" s="41" t="s">
        <v>908</v>
      </c>
      <c r="B1132" s="41" t="s">
        <v>9708</v>
      </c>
    </row>
    <row r="1133" spans="1:19" x14ac:dyDescent="0.25">
      <c r="A1133" s="41" t="s">
        <v>23</v>
      </c>
      <c r="B1133" s="41" t="s">
        <v>9709</v>
      </c>
      <c r="F1133" s="41" t="s">
        <v>9710</v>
      </c>
      <c r="G1133" s="41" t="s">
        <v>9711</v>
      </c>
      <c r="H1133" s="41" t="s">
        <v>9712</v>
      </c>
      <c r="I1133" s="41" t="s">
        <v>9713</v>
      </c>
      <c r="J1133" s="41" t="s">
        <v>9714</v>
      </c>
      <c r="L1133" s="41" t="s">
        <v>4</v>
      </c>
    </row>
    <row r="1134" spans="1:19" x14ac:dyDescent="0.25">
      <c r="A1134" s="41" t="s">
        <v>23</v>
      </c>
      <c r="B1134" s="41" t="s">
        <v>9715</v>
      </c>
      <c r="D1134" s="41" t="s">
        <v>9716</v>
      </c>
      <c r="E1134" s="41" t="s">
        <v>9717</v>
      </c>
      <c r="F1134" s="41" t="s">
        <v>9718</v>
      </c>
      <c r="G1134" s="41" t="s">
        <v>9719</v>
      </c>
      <c r="H1134" s="41" t="s">
        <v>9720</v>
      </c>
      <c r="I1134" s="41" t="s">
        <v>9721</v>
      </c>
      <c r="J1134" s="41" t="s">
        <v>9722</v>
      </c>
      <c r="K1134" s="41" t="s">
        <v>9723</v>
      </c>
      <c r="L1134" s="41" t="s">
        <v>9724</v>
      </c>
      <c r="M1134" s="41" t="s">
        <v>9725</v>
      </c>
      <c r="N1134" s="41" t="s">
        <v>9726</v>
      </c>
      <c r="O1134" s="41" t="s">
        <v>9727</v>
      </c>
      <c r="P1134" s="41" t="s">
        <v>9728</v>
      </c>
      <c r="Q1134" s="41" t="s">
        <v>9729</v>
      </c>
      <c r="R1134" s="41" t="s">
        <v>9730</v>
      </c>
      <c r="S1134" s="41" t="s">
        <v>9731</v>
      </c>
    </row>
    <row r="1135" spans="1:19" x14ac:dyDescent="0.25">
      <c r="A1135" s="41" t="s">
        <v>23</v>
      </c>
      <c r="B1135" s="41" t="s">
        <v>9732</v>
      </c>
      <c r="D1135" s="41" t="s">
        <v>9733</v>
      </c>
      <c r="F1135" s="41" t="s">
        <v>9734</v>
      </c>
      <c r="G1135" s="41" t="s">
        <v>9735</v>
      </c>
      <c r="H1135" s="41" t="s">
        <v>9736</v>
      </c>
      <c r="I1135" s="41" t="s">
        <v>9737</v>
      </c>
      <c r="J1135" s="41" t="s">
        <v>9738</v>
      </c>
      <c r="K1135" s="41" t="s">
        <v>9739</v>
      </c>
      <c r="L1135" s="41" t="s">
        <v>891</v>
      </c>
    </row>
    <row r="1136" spans="1:19" x14ac:dyDescent="0.25">
      <c r="A1136" s="41" t="s">
        <v>23</v>
      </c>
      <c r="B1136" s="41" t="s">
        <v>9740</v>
      </c>
      <c r="D1136" s="41" t="s">
        <v>9741</v>
      </c>
      <c r="F1136" s="41" t="s">
        <v>9742</v>
      </c>
      <c r="G1136" s="41" t="s">
        <v>9743</v>
      </c>
      <c r="H1136" s="41" t="s">
        <v>9744</v>
      </c>
      <c r="I1136" s="41" t="s">
        <v>9745</v>
      </c>
      <c r="J1136" s="41" t="s">
        <v>9746</v>
      </c>
      <c r="K1136" s="41" t="s">
        <v>9747</v>
      </c>
      <c r="L1136" s="41" t="s">
        <v>1076</v>
      </c>
    </row>
    <row r="1137" spans="1:19" x14ac:dyDescent="0.25">
      <c r="A1137" s="41" t="s">
        <v>23</v>
      </c>
      <c r="B1137" s="41" t="s">
        <v>9748</v>
      </c>
      <c r="D1137" s="41" t="s">
        <v>9749</v>
      </c>
      <c r="F1137" s="41" t="s">
        <v>9750</v>
      </c>
      <c r="G1137" s="41" t="s">
        <v>9751</v>
      </c>
      <c r="H1137" s="41" t="s">
        <v>9752</v>
      </c>
      <c r="I1137" s="41" t="s">
        <v>9753</v>
      </c>
      <c r="J1137" s="41" t="s">
        <v>9754</v>
      </c>
      <c r="K1137" s="41" t="s">
        <v>9755</v>
      </c>
      <c r="L1137" s="41" t="s">
        <v>1085</v>
      </c>
    </row>
    <row r="1138" spans="1:19" x14ac:dyDescent="0.25">
      <c r="A1138" s="41" t="s">
        <v>23</v>
      </c>
      <c r="B1138" s="41" t="s">
        <v>9756</v>
      </c>
      <c r="D1138" s="41" t="s">
        <v>9757</v>
      </c>
      <c r="F1138" s="41" t="s">
        <v>9758</v>
      </c>
      <c r="G1138" s="41" t="s">
        <v>9759</v>
      </c>
      <c r="H1138" s="41" t="s">
        <v>9760</v>
      </c>
      <c r="I1138" s="41" t="s">
        <v>9761</v>
      </c>
      <c r="J1138" s="41" t="s">
        <v>9762</v>
      </c>
      <c r="K1138" s="41" t="s">
        <v>9763</v>
      </c>
      <c r="L1138" s="41" t="s">
        <v>1094</v>
      </c>
    </row>
    <row r="1139" spans="1:19" x14ac:dyDescent="0.25">
      <c r="A1139" s="41" t="s">
        <v>908</v>
      </c>
      <c r="B1139" s="41" t="s">
        <v>9764</v>
      </c>
    </row>
    <row r="1140" spans="1:19" x14ac:dyDescent="0.25">
      <c r="A1140" s="41" t="s">
        <v>23</v>
      </c>
      <c r="B1140" s="41" t="s">
        <v>9765</v>
      </c>
      <c r="F1140" s="41" t="s">
        <v>9766</v>
      </c>
      <c r="G1140" s="41" t="s">
        <v>9767</v>
      </c>
      <c r="H1140" s="41" t="s">
        <v>9768</v>
      </c>
      <c r="I1140" s="41" t="s">
        <v>9769</v>
      </c>
      <c r="J1140" s="41" t="s">
        <v>9770</v>
      </c>
      <c r="L1140" s="41" t="s">
        <v>4</v>
      </c>
    </row>
    <row r="1141" spans="1:19" x14ac:dyDescent="0.25">
      <c r="A1141" s="41" t="s">
        <v>23</v>
      </c>
      <c r="B1141" s="41" t="s">
        <v>9771</v>
      </c>
      <c r="D1141" s="41" t="s">
        <v>9772</v>
      </c>
      <c r="E1141" s="41" t="s">
        <v>9773</v>
      </c>
      <c r="F1141" s="41" t="s">
        <v>9774</v>
      </c>
      <c r="G1141" s="41" t="s">
        <v>9775</v>
      </c>
      <c r="H1141" s="41" t="s">
        <v>9776</v>
      </c>
      <c r="I1141" s="41" t="s">
        <v>9777</v>
      </c>
      <c r="J1141" s="41" t="s">
        <v>9778</v>
      </c>
      <c r="K1141" s="41" t="s">
        <v>9779</v>
      </c>
      <c r="L1141" s="41" t="s">
        <v>9780</v>
      </c>
      <c r="M1141" s="41" t="s">
        <v>9781</v>
      </c>
      <c r="N1141" s="41" t="s">
        <v>9782</v>
      </c>
      <c r="O1141" s="41" t="s">
        <v>9783</v>
      </c>
      <c r="P1141" s="41" t="s">
        <v>9784</v>
      </c>
      <c r="Q1141" s="41" t="s">
        <v>9785</v>
      </c>
      <c r="R1141" s="41" t="s">
        <v>9786</v>
      </c>
      <c r="S1141" s="41" t="s">
        <v>9787</v>
      </c>
    </row>
    <row r="1142" spans="1:19" x14ac:dyDescent="0.25">
      <c r="A1142" s="41" t="s">
        <v>23</v>
      </c>
      <c r="B1142" s="41" t="s">
        <v>9788</v>
      </c>
      <c r="D1142" s="41" t="s">
        <v>9789</v>
      </c>
      <c r="F1142" s="41" t="s">
        <v>9790</v>
      </c>
      <c r="G1142" s="41" t="s">
        <v>9791</v>
      </c>
      <c r="H1142" s="41" t="s">
        <v>9792</v>
      </c>
      <c r="I1142" s="41" t="s">
        <v>9793</v>
      </c>
      <c r="J1142" s="41" t="s">
        <v>9794</v>
      </c>
      <c r="K1142" s="41" t="s">
        <v>9795</v>
      </c>
      <c r="L1142" s="41" t="s">
        <v>891</v>
      </c>
    </row>
    <row r="1143" spans="1:19" x14ac:dyDescent="0.25">
      <c r="A1143" s="41" t="s">
        <v>23</v>
      </c>
      <c r="B1143" s="41" t="s">
        <v>9796</v>
      </c>
      <c r="D1143" s="41" t="s">
        <v>9797</v>
      </c>
      <c r="F1143" s="41" t="s">
        <v>9798</v>
      </c>
      <c r="G1143" s="41" t="s">
        <v>9799</v>
      </c>
      <c r="H1143" s="41" t="s">
        <v>9800</v>
      </c>
      <c r="I1143" s="41" t="s">
        <v>9801</v>
      </c>
      <c r="J1143" s="41" t="s">
        <v>9802</v>
      </c>
      <c r="K1143" s="41" t="s">
        <v>9803</v>
      </c>
      <c r="L1143" s="41" t="s">
        <v>1076</v>
      </c>
    </row>
    <row r="1144" spans="1:19" x14ac:dyDescent="0.25">
      <c r="A1144" s="41" t="s">
        <v>23</v>
      </c>
      <c r="B1144" s="41" t="s">
        <v>9804</v>
      </c>
      <c r="D1144" s="41" t="s">
        <v>9805</v>
      </c>
      <c r="F1144" s="41" t="s">
        <v>9806</v>
      </c>
      <c r="G1144" s="41" t="s">
        <v>9807</v>
      </c>
      <c r="H1144" s="41" t="s">
        <v>9808</v>
      </c>
      <c r="I1144" s="41" t="s">
        <v>9809</v>
      </c>
      <c r="J1144" s="41" t="s">
        <v>9810</v>
      </c>
      <c r="K1144" s="41" t="s">
        <v>9811</v>
      </c>
      <c r="L1144" s="41" t="s">
        <v>1085</v>
      </c>
    </row>
    <row r="1145" spans="1:19" x14ac:dyDescent="0.25">
      <c r="A1145" s="41" t="s">
        <v>23</v>
      </c>
      <c r="B1145" s="41" t="s">
        <v>9812</v>
      </c>
      <c r="D1145" s="41" t="s">
        <v>9813</v>
      </c>
      <c r="F1145" s="41" t="s">
        <v>9814</v>
      </c>
      <c r="G1145" s="41" t="s">
        <v>9815</v>
      </c>
      <c r="H1145" s="41" t="s">
        <v>9816</v>
      </c>
      <c r="I1145" s="41" t="s">
        <v>9817</v>
      </c>
      <c r="J1145" s="41" t="s">
        <v>9818</v>
      </c>
      <c r="K1145" s="41" t="s">
        <v>9819</v>
      </c>
      <c r="L1145" s="41" t="s">
        <v>1094</v>
      </c>
    </row>
    <row r="1146" spans="1:19" x14ac:dyDescent="0.25">
      <c r="A1146" s="41" t="s">
        <v>908</v>
      </c>
      <c r="B1146" s="41" t="s">
        <v>9820</v>
      </c>
    </row>
    <row r="1147" spans="1:19" x14ac:dyDescent="0.25">
      <c r="A1147" s="41" t="s">
        <v>23</v>
      </c>
      <c r="B1147" s="41" t="s">
        <v>9821</v>
      </c>
      <c r="F1147" s="41" t="s">
        <v>9822</v>
      </c>
      <c r="G1147" s="41" t="s">
        <v>9823</v>
      </c>
      <c r="H1147" s="41" t="s">
        <v>9824</v>
      </c>
      <c r="I1147" s="41" t="s">
        <v>9825</v>
      </c>
      <c r="J1147" s="41" t="s">
        <v>9826</v>
      </c>
      <c r="L1147" s="41" t="s">
        <v>4</v>
      </c>
    </row>
    <row r="1148" spans="1:19" x14ac:dyDescent="0.25">
      <c r="A1148" s="41" t="s">
        <v>23</v>
      </c>
      <c r="B1148" s="41" t="s">
        <v>9827</v>
      </c>
      <c r="D1148" s="41" t="s">
        <v>9828</v>
      </c>
      <c r="E1148" s="41" t="s">
        <v>9829</v>
      </c>
      <c r="F1148" s="41" t="s">
        <v>9830</v>
      </c>
      <c r="G1148" s="41" t="s">
        <v>9831</v>
      </c>
      <c r="H1148" s="41" t="s">
        <v>9832</v>
      </c>
      <c r="I1148" s="41" t="s">
        <v>9833</v>
      </c>
      <c r="J1148" s="41" t="s">
        <v>9834</v>
      </c>
      <c r="K1148" s="41" t="s">
        <v>9835</v>
      </c>
      <c r="L1148" s="41" t="s">
        <v>9836</v>
      </c>
      <c r="M1148" s="41" t="s">
        <v>9837</v>
      </c>
      <c r="N1148" s="41" t="s">
        <v>9838</v>
      </c>
      <c r="O1148" s="41" t="s">
        <v>9839</v>
      </c>
      <c r="P1148" s="41" t="s">
        <v>9840</v>
      </c>
      <c r="Q1148" s="41" t="s">
        <v>9841</v>
      </c>
      <c r="R1148" s="41" t="s">
        <v>9842</v>
      </c>
      <c r="S1148" s="41" t="s">
        <v>9843</v>
      </c>
    </row>
    <row r="1149" spans="1:19" x14ac:dyDescent="0.25">
      <c r="A1149" s="41" t="s">
        <v>23</v>
      </c>
      <c r="B1149" s="41" t="s">
        <v>9844</v>
      </c>
      <c r="D1149" s="41" t="s">
        <v>9845</v>
      </c>
      <c r="F1149" s="41" t="s">
        <v>9846</v>
      </c>
      <c r="G1149" s="41" t="s">
        <v>9847</v>
      </c>
      <c r="H1149" s="41" t="s">
        <v>9848</v>
      </c>
      <c r="I1149" s="41" t="s">
        <v>9849</v>
      </c>
      <c r="J1149" s="41" t="s">
        <v>9850</v>
      </c>
      <c r="K1149" s="41" t="s">
        <v>9851</v>
      </c>
      <c r="L1149" s="41" t="s">
        <v>891</v>
      </c>
    </row>
    <row r="1150" spans="1:19" x14ac:dyDescent="0.25">
      <c r="A1150" s="41" t="s">
        <v>23</v>
      </c>
      <c r="B1150" s="41" t="s">
        <v>9852</v>
      </c>
      <c r="D1150" s="41" t="s">
        <v>9853</v>
      </c>
      <c r="F1150" s="41" t="s">
        <v>9854</v>
      </c>
      <c r="G1150" s="41" t="s">
        <v>9855</v>
      </c>
      <c r="H1150" s="41" t="s">
        <v>9856</v>
      </c>
      <c r="I1150" s="41" t="s">
        <v>9857</v>
      </c>
      <c r="J1150" s="41" t="s">
        <v>9858</v>
      </c>
      <c r="K1150" s="41" t="s">
        <v>9859</v>
      </c>
      <c r="L1150" s="41" t="s">
        <v>1076</v>
      </c>
    </row>
    <row r="1151" spans="1:19" x14ac:dyDescent="0.25">
      <c r="A1151" s="41" t="s">
        <v>23</v>
      </c>
      <c r="B1151" s="41" t="s">
        <v>9860</v>
      </c>
      <c r="D1151" s="41" t="s">
        <v>9861</v>
      </c>
      <c r="F1151" s="41" t="s">
        <v>9862</v>
      </c>
      <c r="G1151" s="41" t="s">
        <v>9863</v>
      </c>
      <c r="H1151" s="41" t="s">
        <v>9864</v>
      </c>
      <c r="I1151" s="41" t="s">
        <v>9865</v>
      </c>
      <c r="J1151" s="41" t="s">
        <v>9866</v>
      </c>
      <c r="K1151" s="41" t="s">
        <v>9867</v>
      </c>
      <c r="L1151" s="41" t="s">
        <v>1085</v>
      </c>
    </row>
    <row r="1152" spans="1:19" x14ac:dyDescent="0.25">
      <c r="A1152" s="41" t="s">
        <v>23</v>
      </c>
      <c r="B1152" s="41" t="s">
        <v>9868</v>
      </c>
      <c r="D1152" s="41" t="s">
        <v>9869</v>
      </c>
      <c r="F1152" s="41" t="s">
        <v>9870</v>
      </c>
      <c r="G1152" s="41" t="s">
        <v>9871</v>
      </c>
      <c r="H1152" s="41" t="s">
        <v>9872</v>
      </c>
      <c r="I1152" s="41" t="s">
        <v>9873</v>
      </c>
      <c r="J1152" s="41" t="s">
        <v>9874</v>
      </c>
      <c r="K1152" s="41" t="s">
        <v>9875</v>
      </c>
      <c r="L1152" s="41" t="s">
        <v>1094</v>
      </c>
    </row>
    <row r="1153" spans="1:19" x14ac:dyDescent="0.25">
      <c r="A1153" s="41" t="s">
        <v>908</v>
      </c>
      <c r="B1153" s="41" t="s">
        <v>9876</v>
      </c>
    </row>
    <row r="1154" spans="1:19" x14ac:dyDescent="0.25">
      <c r="A1154" s="41" t="s">
        <v>23</v>
      </c>
      <c r="B1154" s="41" t="s">
        <v>9877</v>
      </c>
      <c r="F1154" s="41" t="s">
        <v>9878</v>
      </c>
      <c r="G1154" s="41" t="s">
        <v>9879</v>
      </c>
      <c r="H1154" s="41" t="s">
        <v>9880</v>
      </c>
      <c r="I1154" s="41" t="s">
        <v>9881</v>
      </c>
      <c r="J1154" s="41" t="s">
        <v>9882</v>
      </c>
      <c r="L1154" s="41" t="s">
        <v>4</v>
      </c>
    </row>
    <row r="1155" spans="1:19" x14ac:dyDescent="0.25">
      <c r="A1155" s="41" t="s">
        <v>23</v>
      </c>
      <c r="B1155" s="41" t="s">
        <v>9883</v>
      </c>
      <c r="D1155" s="41" t="s">
        <v>9884</v>
      </c>
      <c r="E1155" s="41" t="s">
        <v>9885</v>
      </c>
      <c r="F1155" s="41" t="s">
        <v>9886</v>
      </c>
      <c r="G1155" s="41" t="s">
        <v>9887</v>
      </c>
      <c r="H1155" s="41" t="s">
        <v>9888</v>
      </c>
      <c r="I1155" s="41" t="s">
        <v>9889</v>
      </c>
      <c r="J1155" s="41" t="s">
        <v>9890</v>
      </c>
      <c r="K1155" s="41" t="s">
        <v>9891</v>
      </c>
      <c r="L1155" s="41" t="s">
        <v>9892</v>
      </c>
      <c r="M1155" s="41" t="s">
        <v>9893</v>
      </c>
      <c r="N1155" s="41" t="s">
        <v>9894</v>
      </c>
      <c r="O1155" s="41" t="s">
        <v>9895</v>
      </c>
      <c r="P1155" s="41" t="s">
        <v>9896</v>
      </c>
      <c r="Q1155" s="41" t="s">
        <v>9897</v>
      </c>
      <c r="R1155" s="41" t="s">
        <v>9898</v>
      </c>
      <c r="S1155" s="41" t="s">
        <v>9899</v>
      </c>
    </row>
    <row r="1156" spans="1:19" x14ac:dyDescent="0.25">
      <c r="A1156" s="41" t="s">
        <v>23</v>
      </c>
      <c r="B1156" s="41" t="s">
        <v>9900</v>
      </c>
      <c r="D1156" s="41" t="s">
        <v>9901</v>
      </c>
      <c r="F1156" s="41" t="s">
        <v>9902</v>
      </c>
      <c r="G1156" s="41" t="s">
        <v>9903</v>
      </c>
      <c r="H1156" s="41" t="s">
        <v>9904</v>
      </c>
      <c r="I1156" s="41" t="s">
        <v>9905</v>
      </c>
      <c r="J1156" s="41" t="s">
        <v>9906</v>
      </c>
      <c r="K1156" s="41" t="s">
        <v>9907</v>
      </c>
      <c r="L1156" s="41" t="s">
        <v>891</v>
      </c>
    </row>
    <row r="1157" spans="1:19" x14ac:dyDescent="0.25">
      <c r="A1157" s="41" t="s">
        <v>23</v>
      </c>
      <c r="B1157" s="41" t="s">
        <v>9908</v>
      </c>
      <c r="D1157" s="41" t="s">
        <v>9909</v>
      </c>
      <c r="F1157" s="41" t="s">
        <v>9910</v>
      </c>
      <c r="G1157" s="41" t="s">
        <v>9911</v>
      </c>
      <c r="H1157" s="41" t="s">
        <v>9912</v>
      </c>
      <c r="I1157" s="41" t="s">
        <v>9913</v>
      </c>
      <c r="J1157" s="41" t="s">
        <v>9914</v>
      </c>
      <c r="K1157" s="41" t="s">
        <v>9915</v>
      </c>
      <c r="L1157" s="41" t="s">
        <v>1076</v>
      </c>
    </row>
    <row r="1158" spans="1:19" x14ac:dyDescent="0.25">
      <c r="A1158" s="41" t="s">
        <v>23</v>
      </c>
      <c r="B1158" s="41" t="s">
        <v>9916</v>
      </c>
      <c r="D1158" s="41" t="s">
        <v>9917</v>
      </c>
      <c r="F1158" s="41" t="s">
        <v>9918</v>
      </c>
      <c r="G1158" s="41" t="s">
        <v>9919</v>
      </c>
      <c r="H1158" s="41" t="s">
        <v>9920</v>
      </c>
      <c r="I1158" s="41" t="s">
        <v>9921</v>
      </c>
      <c r="J1158" s="41" t="s">
        <v>9922</v>
      </c>
      <c r="K1158" s="41" t="s">
        <v>9923</v>
      </c>
      <c r="L1158" s="41" t="s">
        <v>1085</v>
      </c>
    </row>
    <row r="1159" spans="1:19" x14ac:dyDescent="0.25">
      <c r="A1159" s="41" t="s">
        <v>23</v>
      </c>
      <c r="B1159" s="41" t="s">
        <v>9924</v>
      </c>
      <c r="D1159" s="41" t="s">
        <v>9925</v>
      </c>
      <c r="F1159" s="41" t="s">
        <v>9926</v>
      </c>
      <c r="G1159" s="41" t="s">
        <v>9927</v>
      </c>
      <c r="H1159" s="41" t="s">
        <v>9928</v>
      </c>
      <c r="I1159" s="41" t="s">
        <v>9929</v>
      </c>
      <c r="J1159" s="41" t="s">
        <v>9930</v>
      </c>
      <c r="K1159" s="41" t="s">
        <v>9931</v>
      </c>
      <c r="L1159" s="41" t="s">
        <v>1094</v>
      </c>
    </row>
    <row r="1160" spans="1:19" x14ac:dyDescent="0.25">
      <c r="A1160" s="41" t="s">
        <v>908</v>
      </c>
      <c r="B1160" s="41" t="s">
        <v>9932</v>
      </c>
    </row>
    <row r="1161" spans="1:19" x14ac:dyDescent="0.25">
      <c r="A1161" s="41" t="s">
        <v>23</v>
      </c>
      <c r="B1161" s="41" t="s">
        <v>9933</v>
      </c>
      <c r="F1161" s="41" t="s">
        <v>9934</v>
      </c>
      <c r="G1161" s="41" t="s">
        <v>9935</v>
      </c>
      <c r="H1161" s="41" t="s">
        <v>9936</v>
      </c>
      <c r="I1161" s="41" t="s">
        <v>9937</v>
      </c>
      <c r="J1161" s="41" t="s">
        <v>9938</v>
      </c>
      <c r="L1161" s="41" t="s">
        <v>4</v>
      </c>
    </row>
    <row r="1162" spans="1:19" x14ac:dyDescent="0.25">
      <c r="A1162" s="41" t="s">
        <v>23</v>
      </c>
      <c r="B1162" s="41" t="s">
        <v>9939</v>
      </c>
      <c r="D1162" s="41" t="s">
        <v>9940</v>
      </c>
      <c r="E1162" s="41" t="s">
        <v>9941</v>
      </c>
      <c r="F1162" s="41" t="s">
        <v>9942</v>
      </c>
      <c r="G1162" s="41" t="s">
        <v>9943</v>
      </c>
      <c r="H1162" s="41" t="s">
        <v>9944</v>
      </c>
      <c r="I1162" s="41" t="s">
        <v>9945</v>
      </c>
      <c r="J1162" s="41" t="s">
        <v>9946</v>
      </c>
      <c r="K1162" s="41" t="s">
        <v>9947</v>
      </c>
      <c r="L1162" s="41" t="s">
        <v>9948</v>
      </c>
      <c r="M1162" s="41" t="s">
        <v>9949</v>
      </c>
      <c r="N1162" s="41" t="s">
        <v>9950</v>
      </c>
      <c r="O1162" s="41" t="s">
        <v>9951</v>
      </c>
      <c r="P1162" s="41" t="s">
        <v>9952</v>
      </c>
      <c r="Q1162" s="41" t="s">
        <v>9953</v>
      </c>
      <c r="R1162" s="41" t="s">
        <v>9954</v>
      </c>
      <c r="S1162" s="41" t="s">
        <v>9955</v>
      </c>
    </row>
    <row r="1163" spans="1:19" x14ac:dyDescent="0.25">
      <c r="A1163" s="41" t="s">
        <v>23</v>
      </c>
      <c r="B1163" s="41" t="s">
        <v>9956</v>
      </c>
      <c r="D1163" s="41" t="s">
        <v>9957</v>
      </c>
      <c r="F1163" s="41" t="s">
        <v>9958</v>
      </c>
      <c r="G1163" s="41" t="s">
        <v>9959</v>
      </c>
      <c r="H1163" s="41" t="s">
        <v>9960</v>
      </c>
      <c r="I1163" s="41" t="s">
        <v>9961</v>
      </c>
      <c r="J1163" s="41" t="s">
        <v>9962</v>
      </c>
      <c r="K1163" s="41" t="s">
        <v>9963</v>
      </c>
      <c r="L1163" s="41" t="s">
        <v>891</v>
      </c>
    </row>
    <row r="1164" spans="1:19" x14ac:dyDescent="0.25">
      <c r="A1164" s="41" t="s">
        <v>23</v>
      </c>
      <c r="B1164" s="41" t="s">
        <v>9964</v>
      </c>
      <c r="D1164" s="41" t="s">
        <v>9965</v>
      </c>
      <c r="F1164" s="41" t="s">
        <v>9966</v>
      </c>
      <c r="G1164" s="41" t="s">
        <v>9967</v>
      </c>
      <c r="H1164" s="41" t="s">
        <v>9968</v>
      </c>
      <c r="I1164" s="41" t="s">
        <v>9969</v>
      </c>
      <c r="J1164" s="41" t="s">
        <v>9970</v>
      </c>
      <c r="K1164" s="41" t="s">
        <v>9971</v>
      </c>
      <c r="L1164" s="41" t="s">
        <v>1076</v>
      </c>
    </row>
    <row r="1165" spans="1:19" x14ac:dyDescent="0.25">
      <c r="A1165" s="41" t="s">
        <v>23</v>
      </c>
      <c r="B1165" s="41" t="s">
        <v>9972</v>
      </c>
      <c r="D1165" s="41" t="s">
        <v>9973</v>
      </c>
      <c r="F1165" s="41" t="s">
        <v>9974</v>
      </c>
      <c r="G1165" s="41" t="s">
        <v>9975</v>
      </c>
      <c r="H1165" s="41" t="s">
        <v>9976</v>
      </c>
      <c r="I1165" s="41" t="s">
        <v>9977</v>
      </c>
      <c r="J1165" s="41" t="s">
        <v>9978</v>
      </c>
      <c r="K1165" s="41" t="s">
        <v>9979</v>
      </c>
      <c r="L1165" s="41" t="s">
        <v>1085</v>
      </c>
    </row>
    <row r="1166" spans="1:19" x14ac:dyDescent="0.25">
      <c r="A1166" s="41" t="s">
        <v>23</v>
      </c>
      <c r="B1166" s="41" t="s">
        <v>9980</v>
      </c>
      <c r="D1166" s="41" t="s">
        <v>9981</v>
      </c>
      <c r="F1166" s="41" t="s">
        <v>9982</v>
      </c>
      <c r="G1166" s="41" t="s">
        <v>9983</v>
      </c>
      <c r="H1166" s="41" t="s">
        <v>9984</v>
      </c>
      <c r="I1166" s="41" t="s">
        <v>9985</v>
      </c>
      <c r="J1166" s="41" t="s">
        <v>9986</v>
      </c>
      <c r="K1166" s="41" t="s">
        <v>9987</v>
      </c>
      <c r="L1166" s="41" t="s">
        <v>1094</v>
      </c>
    </row>
    <row r="1167" spans="1:19" x14ac:dyDescent="0.25">
      <c r="A1167" s="41" t="s">
        <v>908</v>
      </c>
      <c r="B1167" s="41" t="s">
        <v>9988</v>
      </c>
    </row>
    <row r="1168" spans="1:19" x14ac:dyDescent="0.25">
      <c r="A1168" s="41" t="s">
        <v>23</v>
      </c>
      <c r="B1168" s="41" t="s">
        <v>9989</v>
      </c>
      <c r="F1168" s="41" t="s">
        <v>9990</v>
      </c>
      <c r="G1168" s="41" t="s">
        <v>9991</v>
      </c>
      <c r="H1168" s="41" t="s">
        <v>9992</v>
      </c>
      <c r="I1168" s="41" t="s">
        <v>9993</v>
      </c>
      <c r="J1168" s="41" t="s">
        <v>9994</v>
      </c>
      <c r="L1168" s="41" t="s">
        <v>4</v>
      </c>
    </row>
    <row r="1169" spans="1:19" x14ac:dyDescent="0.25">
      <c r="A1169" s="41" t="s">
        <v>23</v>
      </c>
      <c r="B1169" s="41" t="s">
        <v>9995</v>
      </c>
      <c r="D1169" s="41" t="s">
        <v>9996</v>
      </c>
      <c r="E1169" s="41" t="s">
        <v>9997</v>
      </c>
      <c r="F1169" s="41" t="s">
        <v>9998</v>
      </c>
      <c r="G1169" s="41" t="s">
        <v>9999</v>
      </c>
      <c r="H1169" s="41" t="s">
        <v>10000</v>
      </c>
      <c r="I1169" s="41" t="s">
        <v>10001</v>
      </c>
      <c r="J1169" s="41" t="s">
        <v>10002</v>
      </c>
      <c r="K1169" s="41" t="s">
        <v>10003</v>
      </c>
      <c r="L1169" s="41" t="s">
        <v>10004</v>
      </c>
      <c r="M1169" s="41" t="s">
        <v>10005</v>
      </c>
      <c r="N1169" s="41" t="s">
        <v>10006</v>
      </c>
      <c r="O1169" s="41" t="s">
        <v>10007</v>
      </c>
      <c r="P1169" s="41" t="s">
        <v>10008</v>
      </c>
      <c r="Q1169" s="41" t="s">
        <v>10009</v>
      </c>
      <c r="R1169" s="41" t="s">
        <v>10010</v>
      </c>
      <c r="S1169" s="41" t="s">
        <v>10011</v>
      </c>
    </row>
    <row r="1170" spans="1:19" x14ac:dyDescent="0.25">
      <c r="A1170" s="41" t="s">
        <v>23</v>
      </c>
      <c r="B1170" s="41" t="s">
        <v>10012</v>
      </c>
      <c r="D1170" s="41" t="s">
        <v>10013</v>
      </c>
      <c r="F1170" s="41" t="s">
        <v>10014</v>
      </c>
      <c r="G1170" s="41" t="s">
        <v>10015</v>
      </c>
      <c r="H1170" s="41" t="s">
        <v>10016</v>
      </c>
      <c r="I1170" s="41" t="s">
        <v>10017</v>
      </c>
      <c r="J1170" s="41" t="s">
        <v>10018</v>
      </c>
      <c r="K1170" s="41" t="s">
        <v>10019</v>
      </c>
      <c r="L1170" s="41" t="s">
        <v>891</v>
      </c>
    </row>
    <row r="1171" spans="1:19" x14ac:dyDescent="0.25">
      <c r="A1171" s="41" t="s">
        <v>23</v>
      </c>
      <c r="B1171" s="41" t="s">
        <v>10020</v>
      </c>
      <c r="D1171" s="41" t="s">
        <v>10021</v>
      </c>
      <c r="F1171" s="41" t="s">
        <v>10022</v>
      </c>
      <c r="G1171" s="41" t="s">
        <v>10023</v>
      </c>
      <c r="H1171" s="41" t="s">
        <v>10024</v>
      </c>
      <c r="I1171" s="41" t="s">
        <v>10025</v>
      </c>
      <c r="J1171" s="41" t="s">
        <v>10026</v>
      </c>
      <c r="K1171" s="41" t="s">
        <v>10027</v>
      </c>
      <c r="L1171" s="41" t="s">
        <v>1076</v>
      </c>
    </row>
    <row r="1172" spans="1:19" x14ac:dyDescent="0.25">
      <c r="A1172" s="41" t="s">
        <v>23</v>
      </c>
      <c r="B1172" s="41" t="s">
        <v>10028</v>
      </c>
      <c r="D1172" s="41" t="s">
        <v>10029</v>
      </c>
      <c r="F1172" s="41" t="s">
        <v>10030</v>
      </c>
      <c r="G1172" s="41" t="s">
        <v>10031</v>
      </c>
      <c r="H1172" s="41" t="s">
        <v>10032</v>
      </c>
      <c r="I1172" s="41" t="s">
        <v>10033</v>
      </c>
      <c r="J1172" s="41" t="s">
        <v>10034</v>
      </c>
      <c r="K1172" s="41" t="s">
        <v>10035</v>
      </c>
      <c r="L1172" s="41" t="s">
        <v>1085</v>
      </c>
    </row>
    <row r="1173" spans="1:19" x14ac:dyDescent="0.25">
      <c r="A1173" s="41" t="s">
        <v>23</v>
      </c>
      <c r="B1173" s="41" t="s">
        <v>10036</v>
      </c>
      <c r="D1173" s="41" t="s">
        <v>10037</v>
      </c>
      <c r="F1173" s="41" t="s">
        <v>10038</v>
      </c>
      <c r="G1173" s="41" t="s">
        <v>10039</v>
      </c>
      <c r="H1173" s="41" t="s">
        <v>10040</v>
      </c>
      <c r="I1173" s="41" t="s">
        <v>10041</v>
      </c>
      <c r="J1173" s="41" t="s">
        <v>10042</v>
      </c>
      <c r="K1173" s="41" t="s">
        <v>10043</v>
      </c>
      <c r="L1173" s="41" t="s">
        <v>1094</v>
      </c>
    </row>
    <row r="1174" spans="1:19" x14ac:dyDescent="0.25">
      <c r="A1174" s="41" t="s">
        <v>908</v>
      </c>
      <c r="B1174" s="41" t="s">
        <v>10044</v>
      </c>
    </row>
    <row r="1175" spans="1:19" x14ac:dyDescent="0.25">
      <c r="A1175" s="41" t="s">
        <v>23</v>
      </c>
      <c r="B1175" s="41" t="s">
        <v>10045</v>
      </c>
      <c r="F1175" s="41" t="s">
        <v>10046</v>
      </c>
      <c r="G1175" s="41" t="s">
        <v>10047</v>
      </c>
      <c r="H1175" s="41" t="s">
        <v>10048</v>
      </c>
      <c r="I1175" s="41" t="s">
        <v>10049</v>
      </c>
      <c r="J1175" s="41" t="s">
        <v>10050</v>
      </c>
      <c r="L1175" s="41" t="s">
        <v>4</v>
      </c>
    </row>
    <row r="1176" spans="1:19" x14ac:dyDescent="0.25">
      <c r="A1176" s="41" t="s">
        <v>23</v>
      </c>
      <c r="B1176" s="41" t="s">
        <v>10051</v>
      </c>
      <c r="D1176" s="41" t="s">
        <v>10052</v>
      </c>
      <c r="E1176" s="41" t="s">
        <v>10053</v>
      </c>
      <c r="F1176" s="41" t="s">
        <v>10054</v>
      </c>
      <c r="G1176" s="41" t="s">
        <v>10055</v>
      </c>
      <c r="H1176" s="41" t="s">
        <v>10056</v>
      </c>
      <c r="I1176" s="41" t="s">
        <v>10057</v>
      </c>
      <c r="J1176" s="41" t="s">
        <v>10058</v>
      </c>
      <c r="K1176" s="41" t="s">
        <v>10059</v>
      </c>
      <c r="L1176" s="41" t="s">
        <v>10060</v>
      </c>
      <c r="M1176" s="41" t="s">
        <v>10061</v>
      </c>
      <c r="N1176" s="41" t="s">
        <v>10062</v>
      </c>
      <c r="O1176" s="41" t="s">
        <v>10063</v>
      </c>
      <c r="P1176" s="41" t="s">
        <v>10064</v>
      </c>
      <c r="Q1176" s="41" t="s">
        <v>10065</v>
      </c>
      <c r="R1176" s="41" t="s">
        <v>10066</v>
      </c>
      <c r="S1176" s="41" t="s">
        <v>10067</v>
      </c>
    </row>
    <row r="1177" spans="1:19" x14ac:dyDescent="0.25">
      <c r="A1177" s="41" t="s">
        <v>23</v>
      </c>
      <c r="B1177" s="41" t="s">
        <v>10068</v>
      </c>
      <c r="D1177" s="41" t="s">
        <v>10069</v>
      </c>
      <c r="F1177" s="41" t="s">
        <v>10070</v>
      </c>
      <c r="G1177" s="41" t="s">
        <v>10071</v>
      </c>
      <c r="H1177" s="41" t="s">
        <v>10072</v>
      </c>
      <c r="I1177" s="41" t="s">
        <v>10073</v>
      </c>
      <c r="J1177" s="41" t="s">
        <v>10074</v>
      </c>
      <c r="K1177" s="41" t="s">
        <v>10075</v>
      </c>
      <c r="L1177" s="41" t="s">
        <v>891</v>
      </c>
    </row>
    <row r="1178" spans="1:19" x14ac:dyDescent="0.25">
      <c r="A1178" s="41" t="s">
        <v>23</v>
      </c>
      <c r="B1178" s="41" t="s">
        <v>10076</v>
      </c>
      <c r="D1178" s="41" t="s">
        <v>10077</v>
      </c>
      <c r="F1178" s="41" t="s">
        <v>10078</v>
      </c>
      <c r="G1178" s="41" t="s">
        <v>10079</v>
      </c>
      <c r="H1178" s="41" t="s">
        <v>10080</v>
      </c>
      <c r="I1178" s="41" t="s">
        <v>10081</v>
      </c>
      <c r="J1178" s="41" t="s">
        <v>10082</v>
      </c>
      <c r="K1178" s="41" t="s">
        <v>10083</v>
      </c>
      <c r="L1178" s="41" t="s">
        <v>1076</v>
      </c>
    </row>
    <row r="1179" spans="1:19" x14ac:dyDescent="0.25">
      <c r="A1179" s="41" t="s">
        <v>23</v>
      </c>
      <c r="B1179" s="41" t="s">
        <v>10084</v>
      </c>
      <c r="D1179" s="41" t="s">
        <v>10085</v>
      </c>
      <c r="F1179" s="41" t="s">
        <v>10086</v>
      </c>
      <c r="G1179" s="41" t="s">
        <v>10087</v>
      </c>
      <c r="H1179" s="41" t="s">
        <v>10088</v>
      </c>
      <c r="I1179" s="41" t="s">
        <v>10089</v>
      </c>
      <c r="J1179" s="41" t="s">
        <v>10090</v>
      </c>
      <c r="K1179" s="41" t="s">
        <v>10091</v>
      </c>
      <c r="L1179" s="41" t="s">
        <v>1085</v>
      </c>
    </row>
    <row r="1180" spans="1:19" x14ac:dyDescent="0.25">
      <c r="A1180" s="41" t="s">
        <v>23</v>
      </c>
      <c r="B1180" s="41" t="s">
        <v>10092</v>
      </c>
      <c r="D1180" s="41" t="s">
        <v>10093</v>
      </c>
      <c r="F1180" s="41" t="s">
        <v>10094</v>
      </c>
      <c r="G1180" s="41" t="s">
        <v>10095</v>
      </c>
      <c r="H1180" s="41" t="s">
        <v>10096</v>
      </c>
      <c r="I1180" s="41" t="s">
        <v>10097</v>
      </c>
      <c r="J1180" s="41" t="s">
        <v>10098</v>
      </c>
      <c r="K1180" s="41" t="s">
        <v>10099</v>
      </c>
      <c r="L1180" s="41" t="s">
        <v>1094</v>
      </c>
    </row>
    <row r="1181" spans="1:19" x14ac:dyDescent="0.25">
      <c r="A1181" s="41" t="s">
        <v>908</v>
      </c>
      <c r="B1181" s="41" t="s">
        <v>10100</v>
      </c>
    </row>
    <row r="1182" spans="1:19" x14ac:dyDescent="0.25">
      <c r="A1182" s="41" t="s">
        <v>23</v>
      </c>
      <c r="B1182" s="41" t="s">
        <v>10101</v>
      </c>
      <c r="F1182" s="41" t="s">
        <v>10102</v>
      </c>
      <c r="G1182" s="41" t="s">
        <v>10103</v>
      </c>
      <c r="H1182" s="41" t="s">
        <v>10104</v>
      </c>
      <c r="I1182" s="41" t="s">
        <v>10105</v>
      </c>
      <c r="J1182" s="41" t="s">
        <v>10106</v>
      </c>
      <c r="L1182" s="41" t="s">
        <v>4</v>
      </c>
    </row>
    <row r="1183" spans="1:19" x14ac:dyDescent="0.25">
      <c r="A1183" s="41" t="s">
        <v>23</v>
      </c>
      <c r="B1183" s="41" t="s">
        <v>10107</v>
      </c>
      <c r="D1183" s="41" t="s">
        <v>10108</v>
      </c>
      <c r="E1183" s="41" t="s">
        <v>10109</v>
      </c>
      <c r="F1183" s="41" t="s">
        <v>10110</v>
      </c>
      <c r="G1183" s="41" t="s">
        <v>10111</v>
      </c>
      <c r="H1183" s="41" t="s">
        <v>10112</v>
      </c>
      <c r="I1183" s="41" t="s">
        <v>10113</v>
      </c>
      <c r="J1183" s="41" t="s">
        <v>10114</v>
      </c>
      <c r="K1183" s="41" t="s">
        <v>10115</v>
      </c>
      <c r="L1183" s="41" t="s">
        <v>10116</v>
      </c>
      <c r="M1183" s="41" t="s">
        <v>10117</v>
      </c>
      <c r="N1183" s="41" t="s">
        <v>10118</v>
      </c>
      <c r="O1183" s="41" t="s">
        <v>10119</v>
      </c>
      <c r="P1183" s="41" t="s">
        <v>10120</v>
      </c>
      <c r="Q1183" s="41" t="s">
        <v>10121</v>
      </c>
      <c r="R1183" s="41" t="s">
        <v>10122</v>
      </c>
      <c r="S1183" s="41" t="s">
        <v>10123</v>
      </c>
    </row>
    <row r="1184" spans="1:19" x14ac:dyDescent="0.25">
      <c r="A1184" s="41" t="s">
        <v>23</v>
      </c>
      <c r="B1184" s="41" t="s">
        <v>10124</v>
      </c>
      <c r="D1184" s="41" t="s">
        <v>10125</v>
      </c>
      <c r="F1184" s="41" t="s">
        <v>10126</v>
      </c>
      <c r="G1184" s="41" t="s">
        <v>10127</v>
      </c>
      <c r="H1184" s="41" t="s">
        <v>10128</v>
      </c>
      <c r="I1184" s="41" t="s">
        <v>10129</v>
      </c>
      <c r="J1184" s="41" t="s">
        <v>10130</v>
      </c>
      <c r="K1184" s="41" t="s">
        <v>10131</v>
      </c>
      <c r="L1184" s="41" t="s">
        <v>891</v>
      </c>
    </row>
    <row r="1185" spans="1:19" x14ac:dyDescent="0.25">
      <c r="A1185" s="41" t="s">
        <v>23</v>
      </c>
      <c r="B1185" s="41" t="s">
        <v>10132</v>
      </c>
      <c r="D1185" s="41" t="s">
        <v>10133</v>
      </c>
      <c r="F1185" s="41" t="s">
        <v>10134</v>
      </c>
      <c r="G1185" s="41" t="s">
        <v>10135</v>
      </c>
      <c r="H1185" s="41" t="s">
        <v>10136</v>
      </c>
      <c r="I1185" s="41" t="s">
        <v>10137</v>
      </c>
      <c r="J1185" s="41" t="s">
        <v>10138</v>
      </c>
      <c r="K1185" s="41" t="s">
        <v>10139</v>
      </c>
      <c r="L1185" s="41" t="s">
        <v>1076</v>
      </c>
    </row>
    <row r="1186" spans="1:19" x14ac:dyDescent="0.25">
      <c r="A1186" s="41" t="s">
        <v>23</v>
      </c>
      <c r="B1186" s="41" t="s">
        <v>10140</v>
      </c>
      <c r="D1186" s="41" t="s">
        <v>10141</v>
      </c>
      <c r="F1186" s="41" t="s">
        <v>10142</v>
      </c>
      <c r="G1186" s="41" t="s">
        <v>10143</v>
      </c>
      <c r="H1186" s="41" t="s">
        <v>10144</v>
      </c>
      <c r="I1186" s="41" t="s">
        <v>10145</v>
      </c>
      <c r="J1186" s="41" t="s">
        <v>10146</v>
      </c>
      <c r="K1186" s="41" t="s">
        <v>10147</v>
      </c>
      <c r="L1186" s="41" t="s">
        <v>1085</v>
      </c>
    </row>
    <row r="1187" spans="1:19" x14ac:dyDescent="0.25">
      <c r="A1187" s="41" t="s">
        <v>23</v>
      </c>
      <c r="B1187" s="41" t="s">
        <v>10148</v>
      </c>
      <c r="D1187" s="41" t="s">
        <v>10149</v>
      </c>
      <c r="F1187" s="41" t="s">
        <v>10150</v>
      </c>
      <c r="G1187" s="41" t="s">
        <v>10151</v>
      </c>
      <c r="H1187" s="41" t="s">
        <v>10152</v>
      </c>
      <c r="I1187" s="41" t="s">
        <v>10153</v>
      </c>
      <c r="J1187" s="41" t="s">
        <v>10154</v>
      </c>
      <c r="K1187" s="41" t="s">
        <v>10155</v>
      </c>
      <c r="L1187" s="41" t="s">
        <v>1094</v>
      </c>
    </row>
    <row r="1188" spans="1:19" x14ac:dyDescent="0.25">
      <c r="A1188" s="41" t="s">
        <v>908</v>
      </c>
      <c r="B1188" s="41" t="s">
        <v>10156</v>
      </c>
    </row>
    <row r="1189" spans="1:19" x14ac:dyDescent="0.25">
      <c r="A1189" s="41" t="s">
        <v>23</v>
      </c>
      <c r="B1189" s="41" t="s">
        <v>10157</v>
      </c>
      <c r="F1189" s="41" t="s">
        <v>10158</v>
      </c>
      <c r="G1189" s="41" t="s">
        <v>10159</v>
      </c>
      <c r="H1189" s="41" t="s">
        <v>10160</v>
      </c>
      <c r="I1189" s="41" t="s">
        <v>10161</v>
      </c>
      <c r="J1189" s="41" t="s">
        <v>10162</v>
      </c>
      <c r="L1189" s="41" t="s">
        <v>4</v>
      </c>
    </row>
    <row r="1190" spans="1:19" x14ac:dyDescent="0.25">
      <c r="A1190" s="41" t="s">
        <v>23</v>
      </c>
      <c r="B1190" s="41" t="s">
        <v>10163</v>
      </c>
      <c r="D1190" s="41" t="s">
        <v>10164</v>
      </c>
      <c r="E1190" s="41" t="s">
        <v>10165</v>
      </c>
      <c r="F1190" s="41" t="s">
        <v>10166</v>
      </c>
      <c r="G1190" s="41" t="s">
        <v>10167</v>
      </c>
      <c r="H1190" s="41" t="s">
        <v>10168</v>
      </c>
      <c r="I1190" s="41" t="s">
        <v>10169</v>
      </c>
      <c r="J1190" s="41" t="s">
        <v>10170</v>
      </c>
      <c r="K1190" s="41" t="s">
        <v>10171</v>
      </c>
      <c r="L1190" s="41" t="s">
        <v>10172</v>
      </c>
      <c r="M1190" s="41" t="s">
        <v>10173</v>
      </c>
      <c r="N1190" s="41" t="s">
        <v>10174</v>
      </c>
      <c r="O1190" s="41" t="s">
        <v>10175</v>
      </c>
      <c r="P1190" s="41" t="s">
        <v>10176</v>
      </c>
      <c r="Q1190" s="41" t="s">
        <v>10177</v>
      </c>
      <c r="R1190" s="41" t="s">
        <v>10178</v>
      </c>
      <c r="S1190" s="41" t="s">
        <v>10179</v>
      </c>
    </row>
    <row r="1191" spans="1:19" x14ac:dyDescent="0.25">
      <c r="A1191" s="41" t="s">
        <v>23</v>
      </c>
      <c r="B1191" s="41" t="s">
        <v>10180</v>
      </c>
      <c r="D1191" s="41" t="s">
        <v>10181</v>
      </c>
      <c r="F1191" s="41" t="s">
        <v>10182</v>
      </c>
      <c r="G1191" s="41" t="s">
        <v>10183</v>
      </c>
      <c r="H1191" s="41" t="s">
        <v>10184</v>
      </c>
      <c r="I1191" s="41" t="s">
        <v>10185</v>
      </c>
      <c r="J1191" s="41" t="s">
        <v>10186</v>
      </c>
      <c r="K1191" s="41" t="s">
        <v>10187</v>
      </c>
      <c r="L1191" s="41" t="s">
        <v>891</v>
      </c>
    </row>
    <row r="1192" spans="1:19" x14ac:dyDescent="0.25">
      <c r="A1192" s="41" t="s">
        <v>23</v>
      </c>
      <c r="B1192" s="41" t="s">
        <v>10188</v>
      </c>
      <c r="D1192" s="41" t="s">
        <v>10189</v>
      </c>
      <c r="F1192" s="41" t="s">
        <v>10190</v>
      </c>
      <c r="G1192" s="41" t="s">
        <v>10191</v>
      </c>
      <c r="H1192" s="41" t="s">
        <v>10192</v>
      </c>
      <c r="I1192" s="41" t="s">
        <v>10193</v>
      </c>
      <c r="J1192" s="41" t="s">
        <v>10194</v>
      </c>
      <c r="K1192" s="41" t="s">
        <v>10195</v>
      </c>
      <c r="L1192" s="41" t="s">
        <v>1076</v>
      </c>
    </row>
    <row r="1193" spans="1:19" x14ac:dyDescent="0.25">
      <c r="A1193" s="41" t="s">
        <v>23</v>
      </c>
      <c r="B1193" s="41" t="s">
        <v>10196</v>
      </c>
      <c r="D1193" s="41" t="s">
        <v>10197</v>
      </c>
      <c r="F1193" s="41" t="s">
        <v>10198</v>
      </c>
      <c r="G1193" s="41" t="s">
        <v>10199</v>
      </c>
      <c r="H1193" s="41" t="s">
        <v>10200</v>
      </c>
      <c r="I1193" s="41" t="s">
        <v>10201</v>
      </c>
      <c r="J1193" s="41" t="s">
        <v>10202</v>
      </c>
      <c r="K1193" s="41" t="s">
        <v>10203</v>
      </c>
      <c r="L1193" s="41" t="s">
        <v>1085</v>
      </c>
    </row>
    <row r="1194" spans="1:19" x14ac:dyDescent="0.25">
      <c r="A1194" s="41" t="s">
        <v>23</v>
      </c>
      <c r="B1194" s="41" t="s">
        <v>10204</v>
      </c>
      <c r="D1194" s="41" t="s">
        <v>10205</v>
      </c>
      <c r="F1194" s="41" t="s">
        <v>10206</v>
      </c>
      <c r="G1194" s="41" t="s">
        <v>10207</v>
      </c>
      <c r="H1194" s="41" t="s">
        <v>10208</v>
      </c>
      <c r="I1194" s="41" t="s">
        <v>10209</v>
      </c>
      <c r="J1194" s="41" t="s">
        <v>10210</v>
      </c>
      <c r="K1194" s="41" t="s">
        <v>10211</v>
      </c>
      <c r="L1194" s="41" t="s">
        <v>1094</v>
      </c>
    </row>
    <row r="1195" spans="1:19" x14ac:dyDescent="0.25">
      <c r="A1195" s="41" t="s">
        <v>908</v>
      </c>
      <c r="B1195" s="41" t="s">
        <v>10212</v>
      </c>
    </row>
    <row r="1196" spans="1:19" x14ac:dyDescent="0.25">
      <c r="A1196" s="41" t="s">
        <v>23</v>
      </c>
      <c r="B1196" s="41" t="s">
        <v>10213</v>
      </c>
      <c r="F1196" s="41" t="s">
        <v>10214</v>
      </c>
      <c r="G1196" s="41" t="s">
        <v>10215</v>
      </c>
      <c r="H1196" s="41" t="s">
        <v>10216</v>
      </c>
      <c r="I1196" s="41" t="s">
        <v>10217</v>
      </c>
      <c r="J1196" s="41" t="s">
        <v>10218</v>
      </c>
      <c r="L1196" s="41" t="s">
        <v>4</v>
      </c>
    </row>
    <row r="1197" spans="1:19" x14ac:dyDescent="0.25">
      <c r="A1197" s="41" t="s">
        <v>23</v>
      </c>
      <c r="B1197" s="41" t="s">
        <v>10219</v>
      </c>
      <c r="D1197" s="41" t="s">
        <v>10220</v>
      </c>
      <c r="E1197" s="41" t="s">
        <v>10221</v>
      </c>
      <c r="F1197" s="41" t="s">
        <v>10222</v>
      </c>
      <c r="G1197" s="41" t="s">
        <v>10223</v>
      </c>
      <c r="H1197" s="41" t="s">
        <v>10224</v>
      </c>
      <c r="I1197" s="41" t="s">
        <v>10225</v>
      </c>
      <c r="J1197" s="41" t="s">
        <v>10226</v>
      </c>
      <c r="K1197" s="41" t="s">
        <v>10227</v>
      </c>
      <c r="L1197" s="41" t="s">
        <v>10228</v>
      </c>
      <c r="M1197" s="41" t="s">
        <v>10229</v>
      </c>
      <c r="N1197" s="41" t="s">
        <v>10230</v>
      </c>
      <c r="O1197" s="41" t="s">
        <v>10231</v>
      </c>
      <c r="P1197" s="41" t="s">
        <v>10232</v>
      </c>
      <c r="Q1197" s="41" t="s">
        <v>10233</v>
      </c>
      <c r="R1197" s="41" t="s">
        <v>10234</v>
      </c>
      <c r="S1197" s="41" t="s">
        <v>10235</v>
      </c>
    </row>
    <row r="1198" spans="1:19" x14ac:dyDescent="0.25">
      <c r="A1198" s="41" t="s">
        <v>23</v>
      </c>
      <c r="B1198" s="41" t="s">
        <v>10236</v>
      </c>
      <c r="D1198" s="41" t="s">
        <v>10237</v>
      </c>
      <c r="F1198" s="41" t="s">
        <v>10238</v>
      </c>
      <c r="G1198" s="41" t="s">
        <v>10239</v>
      </c>
      <c r="H1198" s="41" t="s">
        <v>10240</v>
      </c>
      <c r="I1198" s="41" t="s">
        <v>10241</v>
      </c>
      <c r="J1198" s="41" t="s">
        <v>10242</v>
      </c>
      <c r="K1198" s="41" t="s">
        <v>10243</v>
      </c>
      <c r="L1198" s="41" t="s">
        <v>891</v>
      </c>
    </row>
    <row r="1199" spans="1:19" x14ac:dyDescent="0.25">
      <c r="A1199" s="41" t="s">
        <v>23</v>
      </c>
      <c r="B1199" s="41" t="s">
        <v>10244</v>
      </c>
      <c r="D1199" s="41" t="s">
        <v>10245</v>
      </c>
      <c r="F1199" s="41" t="s">
        <v>10246</v>
      </c>
      <c r="G1199" s="41" t="s">
        <v>10247</v>
      </c>
      <c r="H1199" s="41" t="s">
        <v>10248</v>
      </c>
      <c r="I1199" s="41" t="s">
        <v>10249</v>
      </c>
      <c r="J1199" s="41" t="s">
        <v>10250</v>
      </c>
      <c r="K1199" s="41" t="s">
        <v>10251</v>
      </c>
      <c r="L1199" s="41" t="s">
        <v>1076</v>
      </c>
    </row>
    <row r="1200" spans="1:19" x14ac:dyDescent="0.25">
      <c r="A1200" s="41" t="s">
        <v>23</v>
      </c>
      <c r="B1200" s="41" t="s">
        <v>10252</v>
      </c>
      <c r="D1200" s="41" t="s">
        <v>10253</v>
      </c>
      <c r="F1200" s="41" t="s">
        <v>10254</v>
      </c>
      <c r="G1200" s="41" t="s">
        <v>10255</v>
      </c>
      <c r="H1200" s="41" t="s">
        <v>10256</v>
      </c>
      <c r="I1200" s="41" t="s">
        <v>10257</v>
      </c>
      <c r="J1200" s="41" t="s">
        <v>10258</v>
      </c>
      <c r="K1200" s="41" t="s">
        <v>10259</v>
      </c>
      <c r="L1200" s="41" t="s">
        <v>1085</v>
      </c>
    </row>
    <row r="1201" spans="1:19" x14ac:dyDescent="0.25">
      <c r="A1201" s="41" t="s">
        <v>23</v>
      </c>
      <c r="B1201" s="41" t="s">
        <v>10260</v>
      </c>
      <c r="D1201" s="41" t="s">
        <v>10261</v>
      </c>
      <c r="F1201" s="41" t="s">
        <v>10262</v>
      </c>
      <c r="G1201" s="41" t="s">
        <v>10263</v>
      </c>
      <c r="H1201" s="41" t="s">
        <v>10264</v>
      </c>
      <c r="I1201" s="41" t="s">
        <v>10265</v>
      </c>
      <c r="J1201" s="41" t="s">
        <v>10266</v>
      </c>
      <c r="K1201" s="41" t="s">
        <v>10267</v>
      </c>
      <c r="L1201" s="41" t="s">
        <v>1094</v>
      </c>
    </row>
    <row r="1202" spans="1:19" x14ac:dyDescent="0.25">
      <c r="A1202" s="41" t="s">
        <v>908</v>
      </c>
      <c r="B1202" s="41" t="s">
        <v>10268</v>
      </c>
    </row>
    <row r="1203" spans="1:19" x14ac:dyDescent="0.25">
      <c r="A1203" s="41" t="s">
        <v>23</v>
      </c>
      <c r="B1203" s="41" t="s">
        <v>10269</v>
      </c>
      <c r="F1203" s="41" t="s">
        <v>10270</v>
      </c>
      <c r="G1203" s="41" t="s">
        <v>10271</v>
      </c>
      <c r="H1203" s="41" t="s">
        <v>10272</v>
      </c>
      <c r="I1203" s="41" t="s">
        <v>10273</v>
      </c>
      <c r="J1203" s="41" t="s">
        <v>10274</v>
      </c>
      <c r="L1203" s="41" t="s">
        <v>4</v>
      </c>
    </row>
    <row r="1204" spans="1:19" x14ac:dyDescent="0.25">
      <c r="A1204" s="41" t="s">
        <v>23</v>
      </c>
      <c r="B1204" s="41" t="s">
        <v>10275</v>
      </c>
      <c r="D1204" s="41" t="s">
        <v>881</v>
      </c>
      <c r="E1204" s="41" t="s">
        <v>10276</v>
      </c>
      <c r="F1204" s="41" t="s">
        <v>10277</v>
      </c>
      <c r="G1204" s="41" t="s">
        <v>10278</v>
      </c>
      <c r="H1204" s="41" t="s">
        <v>10279</v>
      </c>
      <c r="I1204" s="41" t="s">
        <v>10280</v>
      </c>
      <c r="J1204" s="41" t="s">
        <v>10281</v>
      </c>
      <c r="K1204" s="41" t="s">
        <v>10282</v>
      </c>
      <c r="L1204" s="41" t="s">
        <v>10283</v>
      </c>
      <c r="M1204" s="41" t="s">
        <v>10284</v>
      </c>
      <c r="N1204" s="41" t="s">
        <v>10285</v>
      </c>
      <c r="O1204" s="41" t="s">
        <v>10286</v>
      </c>
      <c r="P1204" s="41" t="s">
        <v>10287</v>
      </c>
      <c r="Q1204" s="41" t="s">
        <v>10288</v>
      </c>
      <c r="R1204" s="41" t="s">
        <v>10289</v>
      </c>
      <c r="S1204" s="41" t="s">
        <v>10290</v>
      </c>
    </row>
    <row r="1205" spans="1:19" x14ac:dyDescent="0.25">
      <c r="A1205" s="41" t="s">
        <v>23</v>
      </c>
      <c r="B1205" s="41" t="s">
        <v>10291</v>
      </c>
      <c r="D1205" s="41" t="s">
        <v>10292</v>
      </c>
      <c r="F1205" s="41" t="s">
        <v>10293</v>
      </c>
      <c r="G1205" s="41" t="s">
        <v>10294</v>
      </c>
      <c r="H1205" s="41" t="s">
        <v>10295</v>
      </c>
      <c r="I1205" s="41" t="s">
        <v>10296</v>
      </c>
      <c r="J1205" s="41" t="s">
        <v>10297</v>
      </c>
      <c r="K1205" s="41" t="s">
        <v>10298</v>
      </c>
      <c r="L1205" s="41" t="s">
        <v>891</v>
      </c>
    </row>
    <row r="1206" spans="1:19" x14ac:dyDescent="0.25">
      <c r="A1206" s="41" t="s">
        <v>23</v>
      </c>
      <c r="B1206" s="41" t="s">
        <v>10299</v>
      </c>
      <c r="D1206" s="41" t="s">
        <v>10300</v>
      </c>
      <c r="F1206" s="41" t="s">
        <v>10301</v>
      </c>
      <c r="G1206" s="41" t="s">
        <v>10302</v>
      </c>
      <c r="H1206" s="41" t="s">
        <v>10303</v>
      </c>
      <c r="I1206" s="41" t="s">
        <v>10304</v>
      </c>
      <c r="J1206" s="41" t="s">
        <v>10305</v>
      </c>
      <c r="K1206" s="41" t="s">
        <v>10306</v>
      </c>
      <c r="L1206" s="41" t="s">
        <v>1076</v>
      </c>
    </row>
    <row r="1207" spans="1:19" x14ac:dyDescent="0.25">
      <c r="A1207" s="41" t="s">
        <v>23</v>
      </c>
      <c r="B1207" s="41" t="s">
        <v>10307</v>
      </c>
      <c r="D1207" s="41" t="s">
        <v>10308</v>
      </c>
      <c r="F1207" s="41" t="s">
        <v>10309</v>
      </c>
      <c r="G1207" s="41" t="s">
        <v>10310</v>
      </c>
      <c r="H1207" s="41" t="s">
        <v>10311</v>
      </c>
      <c r="I1207" s="41" t="s">
        <v>10312</v>
      </c>
      <c r="J1207" s="41" t="s">
        <v>10313</v>
      </c>
      <c r="K1207" s="41" t="s">
        <v>10314</v>
      </c>
      <c r="L1207" s="41" t="s">
        <v>1085</v>
      </c>
    </row>
    <row r="1208" spans="1:19" x14ac:dyDescent="0.25">
      <c r="A1208" s="41" t="s">
        <v>23</v>
      </c>
      <c r="B1208" s="41" t="s">
        <v>10315</v>
      </c>
      <c r="D1208" s="41" t="s">
        <v>10316</v>
      </c>
      <c r="F1208" s="41" t="s">
        <v>10317</v>
      </c>
      <c r="G1208" s="41" t="s">
        <v>10318</v>
      </c>
      <c r="H1208" s="41" t="s">
        <v>10319</v>
      </c>
      <c r="I1208" s="41" t="s">
        <v>10320</v>
      </c>
      <c r="J1208" s="41" t="s">
        <v>10321</v>
      </c>
      <c r="K1208" s="41" t="s">
        <v>10322</v>
      </c>
      <c r="L1208" s="41" t="s">
        <v>1094</v>
      </c>
    </row>
    <row r="1209" spans="1:19" x14ac:dyDescent="0.25">
      <c r="A1209" s="41" t="s">
        <v>908</v>
      </c>
      <c r="B1209" s="41" t="s">
        <v>10323</v>
      </c>
    </row>
    <row r="1210" spans="1:19" x14ac:dyDescent="0.25">
      <c r="A1210" s="41" t="s">
        <v>23</v>
      </c>
      <c r="B1210" s="41" t="s">
        <v>10324</v>
      </c>
      <c r="F1210" s="41" t="s">
        <v>10325</v>
      </c>
      <c r="G1210" s="41" t="s">
        <v>10326</v>
      </c>
      <c r="H1210" s="41" t="s">
        <v>10327</v>
      </c>
      <c r="I1210" s="41" t="s">
        <v>10328</v>
      </c>
      <c r="J1210" s="41" t="s">
        <v>10329</v>
      </c>
      <c r="L1210" s="41" t="s">
        <v>4</v>
      </c>
    </row>
    <row r="1211" spans="1:19" x14ac:dyDescent="0.25">
      <c r="A1211" s="41" t="s">
        <v>23</v>
      </c>
      <c r="B1211" s="41" t="s">
        <v>10330</v>
      </c>
      <c r="D1211" s="41" t="s">
        <v>882</v>
      </c>
      <c r="E1211" s="41" t="s">
        <v>10331</v>
      </c>
      <c r="F1211" s="41" t="s">
        <v>10332</v>
      </c>
      <c r="G1211" s="41" t="s">
        <v>10333</v>
      </c>
      <c r="H1211" s="41" t="s">
        <v>10334</v>
      </c>
      <c r="I1211" s="41" t="s">
        <v>10335</v>
      </c>
      <c r="J1211" s="41" t="s">
        <v>10336</v>
      </c>
      <c r="K1211" s="41" t="s">
        <v>10337</v>
      </c>
      <c r="L1211" s="41" t="s">
        <v>10338</v>
      </c>
      <c r="M1211" s="41" t="s">
        <v>10339</v>
      </c>
      <c r="N1211" s="41" t="s">
        <v>10340</v>
      </c>
      <c r="O1211" s="41" t="s">
        <v>10341</v>
      </c>
      <c r="P1211" s="41" t="s">
        <v>10342</v>
      </c>
      <c r="Q1211" s="41" t="s">
        <v>10343</v>
      </c>
      <c r="R1211" s="41" t="s">
        <v>10344</v>
      </c>
      <c r="S1211" s="41" t="s">
        <v>10345</v>
      </c>
    </row>
    <row r="1212" spans="1:19" x14ac:dyDescent="0.25">
      <c r="A1212" s="41" t="s">
        <v>23</v>
      </c>
      <c r="B1212" s="41" t="s">
        <v>10346</v>
      </c>
      <c r="D1212" s="41" t="s">
        <v>10347</v>
      </c>
      <c r="F1212" s="41" t="s">
        <v>10348</v>
      </c>
      <c r="G1212" s="41" t="s">
        <v>10349</v>
      </c>
      <c r="H1212" s="41" t="s">
        <v>10350</v>
      </c>
      <c r="I1212" s="41" t="s">
        <v>10351</v>
      </c>
      <c r="J1212" s="41" t="s">
        <v>10352</v>
      </c>
      <c r="K1212" s="41" t="s">
        <v>10353</v>
      </c>
      <c r="L1212" s="41" t="s">
        <v>891</v>
      </c>
    </row>
    <row r="1213" spans="1:19" x14ac:dyDescent="0.25">
      <c r="A1213" s="41" t="s">
        <v>23</v>
      </c>
      <c r="B1213" s="41" t="s">
        <v>10354</v>
      </c>
      <c r="D1213" s="41" t="s">
        <v>10355</v>
      </c>
      <c r="F1213" s="41" t="s">
        <v>10356</v>
      </c>
      <c r="G1213" s="41" t="s">
        <v>10357</v>
      </c>
      <c r="H1213" s="41" t="s">
        <v>10358</v>
      </c>
      <c r="I1213" s="41" t="s">
        <v>10359</v>
      </c>
      <c r="J1213" s="41" t="s">
        <v>10360</v>
      </c>
      <c r="K1213" s="41" t="s">
        <v>10361</v>
      </c>
      <c r="L1213" s="41" t="s">
        <v>1076</v>
      </c>
    </row>
    <row r="1214" spans="1:19" x14ac:dyDescent="0.25">
      <c r="A1214" s="41" t="s">
        <v>23</v>
      </c>
      <c r="B1214" s="41" t="s">
        <v>10362</v>
      </c>
      <c r="D1214" s="41" t="s">
        <v>10363</v>
      </c>
      <c r="F1214" s="41" t="s">
        <v>10364</v>
      </c>
      <c r="G1214" s="41" t="s">
        <v>10365</v>
      </c>
      <c r="H1214" s="41" t="s">
        <v>10366</v>
      </c>
      <c r="I1214" s="41" t="s">
        <v>10367</v>
      </c>
      <c r="J1214" s="41" t="s">
        <v>10368</v>
      </c>
      <c r="K1214" s="41" t="s">
        <v>10369</v>
      </c>
      <c r="L1214" s="41" t="s">
        <v>1085</v>
      </c>
    </row>
    <row r="1215" spans="1:19" x14ac:dyDescent="0.25">
      <c r="A1215" s="41" t="s">
        <v>23</v>
      </c>
      <c r="B1215" s="41" t="s">
        <v>10370</v>
      </c>
      <c r="D1215" s="41" t="s">
        <v>10371</v>
      </c>
      <c r="F1215" s="41" t="s">
        <v>10372</v>
      </c>
      <c r="G1215" s="41" t="s">
        <v>10373</v>
      </c>
      <c r="H1215" s="41" t="s">
        <v>10374</v>
      </c>
      <c r="I1215" s="41" t="s">
        <v>10375</v>
      </c>
      <c r="J1215" s="41" t="s">
        <v>10376</v>
      </c>
      <c r="K1215" s="41" t="s">
        <v>10377</v>
      </c>
      <c r="L1215" s="41" t="s">
        <v>1094</v>
      </c>
    </row>
    <row r="1216" spans="1:19" x14ac:dyDescent="0.25">
      <c r="A1216" s="41" t="s">
        <v>908</v>
      </c>
      <c r="B1216" s="41" t="s">
        <v>10378</v>
      </c>
    </row>
    <row r="1217" spans="1:19" x14ac:dyDescent="0.25">
      <c r="A1217" s="41" t="s">
        <v>23</v>
      </c>
      <c r="B1217" s="41" t="s">
        <v>10379</v>
      </c>
      <c r="F1217" s="41" t="s">
        <v>10380</v>
      </c>
      <c r="G1217" s="41" t="s">
        <v>10381</v>
      </c>
      <c r="H1217" s="41" t="s">
        <v>10382</v>
      </c>
      <c r="I1217" s="41" t="s">
        <v>10383</v>
      </c>
      <c r="J1217" s="41" t="s">
        <v>10384</v>
      </c>
      <c r="L1217" s="41" t="s">
        <v>4</v>
      </c>
    </row>
    <row r="1218" spans="1:19" x14ac:dyDescent="0.25">
      <c r="A1218" s="41" t="s">
        <v>23</v>
      </c>
      <c r="B1218" s="41" t="s">
        <v>10385</v>
      </c>
      <c r="D1218" s="41" t="s">
        <v>535</v>
      </c>
      <c r="E1218" s="41" t="s">
        <v>10386</v>
      </c>
      <c r="F1218" s="41" t="s">
        <v>10387</v>
      </c>
      <c r="G1218" s="41" t="s">
        <v>10388</v>
      </c>
      <c r="H1218" s="41" t="s">
        <v>10389</v>
      </c>
      <c r="I1218" s="41" t="s">
        <v>10390</v>
      </c>
      <c r="J1218" s="41" t="s">
        <v>10391</v>
      </c>
      <c r="K1218" s="41" t="s">
        <v>10392</v>
      </c>
      <c r="L1218" s="41" t="s">
        <v>10393</v>
      </c>
      <c r="M1218" s="41" t="s">
        <v>10394</v>
      </c>
      <c r="N1218" s="41" t="s">
        <v>10395</v>
      </c>
      <c r="O1218" s="41" t="s">
        <v>10396</v>
      </c>
      <c r="P1218" s="41" t="s">
        <v>10397</v>
      </c>
      <c r="Q1218" s="41" t="s">
        <v>10398</v>
      </c>
      <c r="R1218" s="41" t="s">
        <v>10399</v>
      </c>
      <c r="S1218" s="41" t="s">
        <v>10400</v>
      </c>
    </row>
    <row r="1219" spans="1:19" x14ac:dyDescent="0.25">
      <c r="A1219" s="41" t="s">
        <v>23</v>
      </c>
      <c r="B1219" s="41" t="s">
        <v>10401</v>
      </c>
      <c r="D1219" s="41" t="s">
        <v>10402</v>
      </c>
      <c r="F1219" s="41" t="s">
        <v>10403</v>
      </c>
      <c r="G1219" s="41" t="s">
        <v>10404</v>
      </c>
      <c r="H1219" s="41" t="s">
        <v>10405</v>
      </c>
      <c r="I1219" s="41" t="s">
        <v>10406</v>
      </c>
      <c r="J1219" s="41" t="s">
        <v>10407</v>
      </c>
      <c r="K1219" s="41" t="s">
        <v>10408</v>
      </c>
      <c r="L1219" s="41" t="s">
        <v>891</v>
      </c>
    </row>
    <row r="1220" spans="1:19" x14ac:dyDescent="0.25">
      <c r="A1220" s="41" t="s">
        <v>23</v>
      </c>
      <c r="B1220" s="41" t="s">
        <v>10409</v>
      </c>
      <c r="D1220" s="41" t="s">
        <v>10410</v>
      </c>
      <c r="F1220" s="41" t="s">
        <v>10411</v>
      </c>
      <c r="G1220" s="41" t="s">
        <v>10412</v>
      </c>
      <c r="H1220" s="41" t="s">
        <v>10413</v>
      </c>
      <c r="I1220" s="41" t="s">
        <v>10414</v>
      </c>
      <c r="J1220" s="41" t="s">
        <v>10415</v>
      </c>
      <c r="K1220" s="41" t="s">
        <v>10416</v>
      </c>
      <c r="L1220" s="41" t="s">
        <v>1076</v>
      </c>
    </row>
    <row r="1221" spans="1:19" x14ac:dyDescent="0.25">
      <c r="A1221" s="41" t="s">
        <v>23</v>
      </c>
      <c r="B1221" s="41" t="s">
        <v>10417</v>
      </c>
      <c r="D1221" s="41" t="s">
        <v>10418</v>
      </c>
      <c r="F1221" s="41" t="s">
        <v>10419</v>
      </c>
      <c r="G1221" s="41" t="s">
        <v>10420</v>
      </c>
      <c r="H1221" s="41" t="s">
        <v>10421</v>
      </c>
      <c r="I1221" s="41" t="s">
        <v>10422</v>
      </c>
      <c r="J1221" s="41" t="s">
        <v>10423</v>
      </c>
      <c r="K1221" s="41" t="s">
        <v>10424</v>
      </c>
      <c r="L1221" s="41" t="s">
        <v>1085</v>
      </c>
    </row>
    <row r="1222" spans="1:19" x14ac:dyDescent="0.25">
      <c r="A1222" s="41" t="s">
        <v>23</v>
      </c>
      <c r="B1222" s="41" t="s">
        <v>10425</v>
      </c>
      <c r="D1222" s="41" t="s">
        <v>10426</v>
      </c>
      <c r="F1222" s="41" t="s">
        <v>10427</v>
      </c>
      <c r="G1222" s="41" t="s">
        <v>10428</v>
      </c>
      <c r="H1222" s="41" t="s">
        <v>10429</v>
      </c>
      <c r="I1222" s="41" t="s">
        <v>10430</v>
      </c>
      <c r="J1222" s="41" t="s">
        <v>10431</v>
      </c>
      <c r="K1222" s="41" t="s">
        <v>10432</v>
      </c>
      <c r="L1222" s="41" t="s">
        <v>1094</v>
      </c>
    </row>
    <row r="1223" spans="1:19" x14ac:dyDescent="0.25">
      <c r="A1223" s="41" t="s">
        <v>908</v>
      </c>
      <c r="B1223" s="41" t="s">
        <v>10433</v>
      </c>
    </row>
    <row r="1224" spans="1:19" x14ac:dyDescent="0.25">
      <c r="A1224" s="41" t="s">
        <v>23</v>
      </c>
      <c r="B1224" s="41" t="s">
        <v>10434</v>
      </c>
      <c r="F1224" s="41" t="s">
        <v>10435</v>
      </c>
      <c r="G1224" s="41" t="s">
        <v>10436</v>
      </c>
      <c r="H1224" s="41" t="s">
        <v>10437</v>
      </c>
      <c r="I1224" s="41" t="s">
        <v>10438</v>
      </c>
      <c r="J1224" s="41" t="s">
        <v>10439</v>
      </c>
      <c r="L1224" s="41" t="s">
        <v>4</v>
      </c>
    </row>
    <row r="1225" spans="1:19" x14ac:dyDescent="0.25">
      <c r="A1225" s="41" t="s">
        <v>23</v>
      </c>
      <c r="B1225" s="41" t="s">
        <v>10440</v>
      </c>
      <c r="D1225" s="41" t="s">
        <v>559</v>
      </c>
      <c r="E1225" s="41" t="s">
        <v>10441</v>
      </c>
      <c r="F1225" s="41" t="s">
        <v>10442</v>
      </c>
      <c r="G1225" s="41" t="s">
        <v>10443</v>
      </c>
      <c r="H1225" s="41" t="s">
        <v>10444</v>
      </c>
      <c r="I1225" s="41" t="s">
        <v>10445</v>
      </c>
      <c r="J1225" s="41" t="s">
        <v>10446</v>
      </c>
      <c r="K1225" s="41" t="s">
        <v>10447</v>
      </c>
      <c r="L1225" s="41" t="s">
        <v>10448</v>
      </c>
      <c r="M1225" s="41" t="s">
        <v>10449</v>
      </c>
      <c r="N1225" s="41" t="s">
        <v>10450</v>
      </c>
      <c r="O1225" s="41" t="s">
        <v>10451</v>
      </c>
      <c r="P1225" s="41" t="s">
        <v>10452</v>
      </c>
      <c r="Q1225" s="41" t="s">
        <v>10453</v>
      </c>
      <c r="R1225" s="41" t="s">
        <v>10454</v>
      </c>
      <c r="S1225" s="41" t="s">
        <v>10455</v>
      </c>
    </row>
    <row r="1226" spans="1:19" x14ac:dyDescent="0.25">
      <c r="A1226" s="41" t="s">
        <v>23</v>
      </c>
      <c r="B1226" s="41" t="s">
        <v>10456</v>
      </c>
      <c r="D1226" s="41" t="s">
        <v>10457</v>
      </c>
      <c r="F1226" s="41" t="s">
        <v>10458</v>
      </c>
      <c r="G1226" s="41" t="s">
        <v>10459</v>
      </c>
      <c r="H1226" s="41" t="s">
        <v>10460</v>
      </c>
      <c r="I1226" s="41" t="s">
        <v>10461</v>
      </c>
      <c r="J1226" s="41" t="s">
        <v>10462</v>
      </c>
      <c r="K1226" s="41" t="s">
        <v>10463</v>
      </c>
      <c r="L1226" s="41" t="s">
        <v>891</v>
      </c>
    </row>
    <row r="1227" spans="1:19" x14ac:dyDescent="0.25">
      <c r="A1227" s="41" t="s">
        <v>23</v>
      </c>
      <c r="B1227" s="41" t="s">
        <v>10464</v>
      </c>
      <c r="D1227" s="41" t="s">
        <v>10465</v>
      </c>
      <c r="F1227" s="41" t="s">
        <v>10466</v>
      </c>
      <c r="G1227" s="41" t="s">
        <v>10467</v>
      </c>
      <c r="H1227" s="41" t="s">
        <v>10468</v>
      </c>
      <c r="I1227" s="41" t="s">
        <v>10469</v>
      </c>
      <c r="J1227" s="41" t="s">
        <v>10470</v>
      </c>
      <c r="K1227" s="41" t="s">
        <v>10471</v>
      </c>
      <c r="L1227" s="41" t="s">
        <v>1076</v>
      </c>
    </row>
    <row r="1228" spans="1:19" x14ac:dyDescent="0.25">
      <c r="A1228" s="41" t="s">
        <v>23</v>
      </c>
      <c r="B1228" s="41" t="s">
        <v>10472</v>
      </c>
      <c r="D1228" s="41" t="s">
        <v>10473</v>
      </c>
      <c r="F1228" s="41" t="s">
        <v>10474</v>
      </c>
      <c r="G1228" s="41" t="s">
        <v>10475</v>
      </c>
      <c r="H1228" s="41" t="s">
        <v>10476</v>
      </c>
      <c r="I1228" s="41" t="s">
        <v>10477</v>
      </c>
      <c r="J1228" s="41" t="s">
        <v>10478</v>
      </c>
      <c r="K1228" s="41" t="s">
        <v>10479</v>
      </c>
      <c r="L1228" s="41" t="s">
        <v>1085</v>
      </c>
    </row>
    <row r="1229" spans="1:19" x14ac:dyDescent="0.25">
      <c r="A1229" s="41" t="s">
        <v>23</v>
      </c>
      <c r="B1229" s="41" t="s">
        <v>10480</v>
      </c>
      <c r="D1229" s="41" t="s">
        <v>10481</v>
      </c>
      <c r="F1229" s="41" t="s">
        <v>10482</v>
      </c>
      <c r="G1229" s="41" t="s">
        <v>10483</v>
      </c>
      <c r="H1229" s="41" t="s">
        <v>10484</v>
      </c>
      <c r="I1229" s="41" t="s">
        <v>10485</v>
      </c>
      <c r="J1229" s="41" t="s">
        <v>10486</v>
      </c>
      <c r="K1229" s="41" t="s">
        <v>10487</v>
      </c>
      <c r="L1229" s="41" t="s">
        <v>1094</v>
      </c>
    </row>
    <row r="1230" spans="1:19" x14ac:dyDescent="0.25">
      <c r="A1230" s="41" t="s">
        <v>908</v>
      </c>
      <c r="B1230" s="41" t="s">
        <v>10488</v>
      </c>
    </row>
    <row r="1231" spans="1:19" x14ac:dyDescent="0.25">
      <c r="A1231" s="41" t="s">
        <v>23</v>
      </c>
      <c r="B1231" s="41" t="s">
        <v>10489</v>
      </c>
      <c r="F1231" s="41" t="s">
        <v>10490</v>
      </c>
      <c r="G1231" s="41" t="s">
        <v>10491</v>
      </c>
      <c r="H1231" s="41" t="s">
        <v>10492</v>
      </c>
      <c r="I1231" s="41" t="s">
        <v>10493</v>
      </c>
      <c r="J1231" s="41" t="s">
        <v>10494</v>
      </c>
      <c r="L1231" s="41" t="s">
        <v>4</v>
      </c>
    </row>
    <row r="1232" spans="1:19" x14ac:dyDescent="0.25">
      <c r="A1232" s="41" t="s">
        <v>23</v>
      </c>
      <c r="B1232" s="41" t="s">
        <v>10495</v>
      </c>
      <c r="D1232" s="41" t="s">
        <v>883</v>
      </c>
      <c r="E1232" s="41" t="s">
        <v>10496</v>
      </c>
      <c r="F1232" s="41" t="s">
        <v>10497</v>
      </c>
      <c r="G1232" s="41" t="s">
        <v>10498</v>
      </c>
      <c r="H1232" s="41" t="s">
        <v>10499</v>
      </c>
      <c r="I1232" s="41" t="s">
        <v>10500</v>
      </c>
      <c r="J1232" s="41" t="s">
        <v>10501</v>
      </c>
      <c r="K1232" s="41" t="s">
        <v>10502</v>
      </c>
      <c r="L1232" s="41" t="s">
        <v>10503</v>
      </c>
      <c r="M1232" s="41" t="s">
        <v>10504</v>
      </c>
      <c r="N1232" s="41" t="s">
        <v>10505</v>
      </c>
      <c r="O1232" s="41" t="s">
        <v>10506</v>
      </c>
      <c r="P1232" s="41" t="s">
        <v>10507</v>
      </c>
      <c r="Q1232" s="41" t="s">
        <v>10508</v>
      </c>
      <c r="R1232" s="41" t="s">
        <v>10509</v>
      </c>
      <c r="S1232" s="41" t="s">
        <v>10510</v>
      </c>
    </row>
    <row r="1233" spans="1:19" x14ac:dyDescent="0.25">
      <c r="A1233" s="41" t="s">
        <v>23</v>
      </c>
      <c r="B1233" s="41" t="s">
        <v>10511</v>
      </c>
      <c r="D1233" s="41" t="s">
        <v>10512</v>
      </c>
      <c r="F1233" s="41" t="s">
        <v>10513</v>
      </c>
      <c r="G1233" s="41" t="s">
        <v>10514</v>
      </c>
      <c r="H1233" s="41" t="s">
        <v>10515</v>
      </c>
      <c r="I1233" s="41" t="s">
        <v>10516</v>
      </c>
      <c r="J1233" s="41" t="s">
        <v>10517</v>
      </c>
      <c r="K1233" s="41" t="s">
        <v>10518</v>
      </c>
      <c r="L1233" s="41" t="s">
        <v>891</v>
      </c>
    </row>
    <row r="1234" spans="1:19" x14ac:dyDescent="0.25">
      <c r="A1234" s="41" t="s">
        <v>23</v>
      </c>
      <c r="B1234" s="41" t="s">
        <v>10519</v>
      </c>
      <c r="D1234" s="41" t="s">
        <v>10520</v>
      </c>
      <c r="F1234" s="41" t="s">
        <v>10521</v>
      </c>
      <c r="G1234" s="41" t="s">
        <v>10522</v>
      </c>
      <c r="H1234" s="41" t="s">
        <v>10523</v>
      </c>
      <c r="I1234" s="41" t="s">
        <v>10524</v>
      </c>
      <c r="J1234" s="41" t="s">
        <v>10525</v>
      </c>
      <c r="K1234" s="41" t="s">
        <v>10526</v>
      </c>
      <c r="L1234" s="41" t="s">
        <v>1076</v>
      </c>
    </row>
    <row r="1235" spans="1:19" x14ac:dyDescent="0.25">
      <c r="A1235" s="41" t="s">
        <v>23</v>
      </c>
      <c r="B1235" s="41" t="s">
        <v>10527</v>
      </c>
      <c r="D1235" s="41" t="s">
        <v>10528</v>
      </c>
      <c r="F1235" s="41" t="s">
        <v>10529</v>
      </c>
      <c r="G1235" s="41" t="s">
        <v>10530</v>
      </c>
      <c r="H1235" s="41" t="s">
        <v>10531</v>
      </c>
      <c r="I1235" s="41" t="s">
        <v>10532</v>
      </c>
      <c r="J1235" s="41" t="s">
        <v>10533</v>
      </c>
      <c r="K1235" s="41" t="s">
        <v>10534</v>
      </c>
      <c r="L1235" s="41" t="s">
        <v>1085</v>
      </c>
    </row>
    <row r="1236" spans="1:19" x14ac:dyDescent="0.25">
      <c r="A1236" s="41" t="s">
        <v>23</v>
      </c>
      <c r="B1236" s="41" t="s">
        <v>10535</v>
      </c>
      <c r="D1236" s="41" t="s">
        <v>10536</v>
      </c>
      <c r="F1236" s="41" t="s">
        <v>10537</v>
      </c>
      <c r="G1236" s="41" t="s">
        <v>10538</v>
      </c>
      <c r="H1236" s="41" t="s">
        <v>10539</v>
      </c>
      <c r="I1236" s="41" t="s">
        <v>10540</v>
      </c>
      <c r="J1236" s="41" t="s">
        <v>10541</v>
      </c>
      <c r="K1236" s="41" t="s">
        <v>10542</v>
      </c>
      <c r="L1236" s="41" t="s">
        <v>1094</v>
      </c>
    </row>
    <row r="1237" spans="1:19" x14ac:dyDescent="0.25">
      <c r="A1237" s="41" t="s">
        <v>908</v>
      </c>
      <c r="B1237" s="41" t="s">
        <v>10543</v>
      </c>
    </row>
    <row r="1238" spans="1:19" x14ac:dyDescent="0.25">
      <c r="A1238" s="41" t="s">
        <v>23</v>
      </c>
      <c r="B1238" s="41" t="s">
        <v>10544</v>
      </c>
      <c r="F1238" s="41" t="s">
        <v>10545</v>
      </c>
      <c r="G1238" s="41" t="s">
        <v>10546</v>
      </c>
      <c r="H1238" s="41" t="s">
        <v>10547</v>
      </c>
      <c r="I1238" s="41" t="s">
        <v>10548</v>
      </c>
      <c r="J1238" s="41" t="s">
        <v>10549</v>
      </c>
      <c r="L1238" s="41" t="s">
        <v>4</v>
      </c>
    </row>
    <row r="1239" spans="1:19" x14ac:dyDescent="0.25">
      <c r="A1239" s="41" t="s">
        <v>23</v>
      </c>
      <c r="B1239" s="41" t="s">
        <v>10550</v>
      </c>
      <c r="D1239" s="41" t="s">
        <v>536</v>
      </c>
      <c r="E1239" s="41" t="s">
        <v>10551</v>
      </c>
      <c r="F1239" s="41" t="s">
        <v>10552</v>
      </c>
      <c r="G1239" s="41" t="s">
        <v>10553</v>
      </c>
      <c r="H1239" s="41" t="s">
        <v>10554</v>
      </c>
      <c r="I1239" s="41" t="s">
        <v>10555</v>
      </c>
      <c r="J1239" s="41" t="s">
        <v>10556</v>
      </c>
      <c r="K1239" s="41" t="s">
        <v>10557</v>
      </c>
      <c r="L1239" s="41" t="s">
        <v>10558</v>
      </c>
      <c r="M1239" s="41" t="s">
        <v>10559</v>
      </c>
      <c r="N1239" s="41" t="s">
        <v>10560</v>
      </c>
      <c r="O1239" s="41" t="s">
        <v>10561</v>
      </c>
      <c r="P1239" s="41" t="s">
        <v>10562</v>
      </c>
      <c r="Q1239" s="41" t="s">
        <v>10563</v>
      </c>
      <c r="R1239" s="41" t="s">
        <v>10564</v>
      </c>
      <c r="S1239" s="41" t="s">
        <v>10565</v>
      </c>
    </row>
    <row r="1240" spans="1:19" x14ac:dyDescent="0.25">
      <c r="A1240" s="41" t="s">
        <v>23</v>
      </c>
      <c r="B1240" s="41" t="s">
        <v>10566</v>
      </c>
      <c r="D1240" s="41" t="s">
        <v>10567</v>
      </c>
      <c r="F1240" s="41" t="s">
        <v>10568</v>
      </c>
      <c r="G1240" s="41" t="s">
        <v>10569</v>
      </c>
      <c r="H1240" s="41" t="s">
        <v>10570</v>
      </c>
      <c r="I1240" s="41" t="s">
        <v>10571</v>
      </c>
      <c r="J1240" s="41" t="s">
        <v>10572</v>
      </c>
      <c r="K1240" s="41" t="s">
        <v>10573</v>
      </c>
      <c r="L1240" s="41" t="s">
        <v>891</v>
      </c>
    </row>
    <row r="1241" spans="1:19" x14ac:dyDescent="0.25">
      <c r="A1241" s="41" t="s">
        <v>23</v>
      </c>
      <c r="B1241" s="41" t="s">
        <v>10574</v>
      </c>
      <c r="D1241" s="41" t="s">
        <v>10575</v>
      </c>
      <c r="F1241" s="41" t="s">
        <v>10576</v>
      </c>
      <c r="G1241" s="41" t="s">
        <v>10577</v>
      </c>
      <c r="H1241" s="41" t="s">
        <v>10578</v>
      </c>
      <c r="I1241" s="41" t="s">
        <v>10579</v>
      </c>
      <c r="J1241" s="41" t="s">
        <v>10580</v>
      </c>
      <c r="K1241" s="41" t="s">
        <v>10581</v>
      </c>
      <c r="L1241" s="41" t="s">
        <v>1076</v>
      </c>
    </row>
    <row r="1242" spans="1:19" x14ac:dyDescent="0.25">
      <c r="A1242" s="41" t="s">
        <v>23</v>
      </c>
      <c r="B1242" s="41" t="s">
        <v>10582</v>
      </c>
      <c r="D1242" s="41" t="s">
        <v>10583</v>
      </c>
      <c r="F1242" s="41" t="s">
        <v>10584</v>
      </c>
      <c r="G1242" s="41" t="s">
        <v>10585</v>
      </c>
      <c r="H1242" s="41" t="s">
        <v>10586</v>
      </c>
      <c r="I1242" s="41" t="s">
        <v>10587</v>
      </c>
      <c r="J1242" s="41" t="s">
        <v>10588</v>
      </c>
      <c r="K1242" s="41" t="s">
        <v>10589</v>
      </c>
      <c r="L1242" s="41" t="s">
        <v>1085</v>
      </c>
    </row>
    <row r="1243" spans="1:19" x14ac:dyDescent="0.25">
      <c r="A1243" s="41" t="s">
        <v>23</v>
      </c>
      <c r="B1243" s="41" t="s">
        <v>10590</v>
      </c>
      <c r="D1243" s="41" t="s">
        <v>10591</v>
      </c>
      <c r="F1243" s="41" t="s">
        <v>10592</v>
      </c>
      <c r="G1243" s="41" t="s">
        <v>10593</v>
      </c>
      <c r="H1243" s="41" t="s">
        <v>10594</v>
      </c>
      <c r="I1243" s="41" t="s">
        <v>10595</v>
      </c>
      <c r="J1243" s="41" t="s">
        <v>10596</v>
      </c>
      <c r="K1243" s="41" t="s">
        <v>10597</v>
      </c>
      <c r="L1243" s="41" t="s">
        <v>1094</v>
      </c>
    </row>
    <row r="1244" spans="1:19" x14ac:dyDescent="0.25">
      <c r="A1244" s="41" t="s">
        <v>908</v>
      </c>
      <c r="B1244" s="41" t="s">
        <v>10598</v>
      </c>
    </row>
    <row r="1245" spans="1:19" x14ac:dyDescent="0.25">
      <c r="A1245" s="41" t="s">
        <v>23</v>
      </c>
      <c r="B1245" s="41" t="s">
        <v>10599</v>
      </c>
      <c r="F1245" s="41" t="s">
        <v>10600</v>
      </c>
      <c r="G1245" s="41" t="s">
        <v>10601</v>
      </c>
      <c r="H1245" s="41" t="s">
        <v>10602</v>
      </c>
      <c r="I1245" s="41" t="s">
        <v>10603</v>
      </c>
      <c r="J1245" s="41" t="s">
        <v>10604</v>
      </c>
      <c r="L1245" s="41" t="s">
        <v>4</v>
      </c>
    </row>
    <row r="1246" spans="1:19" x14ac:dyDescent="0.25">
      <c r="A1246" s="41" t="s">
        <v>23</v>
      </c>
      <c r="B1246" s="41" t="s">
        <v>10605</v>
      </c>
      <c r="D1246" s="41" t="s">
        <v>537</v>
      </c>
      <c r="E1246" s="41" t="s">
        <v>10606</v>
      </c>
      <c r="F1246" s="41" t="s">
        <v>10607</v>
      </c>
      <c r="G1246" s="41" t="s">
        <v>10608</v>
      </c>
      <c r="H1246" s="41" t="s">
        <v>10609</v>
      </c>
      <c r="I1246" s="41" t="s">
        <v>10610</v>
      </c>
      <c r="J1246" s="41" t="s">
        <v>10611</v>
      </c>
      <c r="K1246" s="41" t="s">
        <v>10612</v>
      </c>
      <c r="L1246" s="41" t="s">
        <v>10613</v>
      </c>
      <c r="M1246" s="41" t="s">
        <v>10614</v>
      </c>
      <c r="N1246" s="41" t="s">
        <v>10615</v>
      </c>
      <c r="O1246" s="41" t="s">
        <v>10616</v>
      </c>
      <c r="P1246" s="41" t="s">
        <v>10617</v>
      </c>
      <c r="Q1246" s="41" t="s">
        <v>10618</v>
      </c>
      <c r="R1246" s="41" t="s">
        <v>10619</v>
      </c>
      <c r="S1246" s="41" t="s">
        <v>10620</v>
      </c>
    </row>
    <row r="1247" spans="1:19" x14ac:dyDescent="0.25">
      <c r="A1247" s="41" t="s">
        <v>23</v>
      </c>
      <c r="B1247" s="41" t="s">
        <v>10621</v>
      </c>
      <c r="D1247" s="41" t="s">
        <v>10622</v>
      </c>
      <c r="F1247" s="41" t="s">
        <v>10623</v>
      </c>
      <c r="G1247" s="41" t="s">
        <v>10624</v>
      </c>
      <c r="H1247" s="41" t="s">
        <v>10625</v>
      </c>
      <c r="I1247" s="41" t="s">
        <v>10626</v>
      </c>
      <c r="J1247" s="41" t="s">
        <v>10627</v>
      </c>
      <c r="K1247" s="41" t="s">
        <v>10628</v>
      </c>
      <c r="L1247" s="41" t="s">
        <v>891</v>
      </c>
    </row>
    <row r="1248" spans="1:19" x14ac:dyDescent="0.25">
      <c r="A1248" s="41" t="s">
        <v>23</v>
      </c>
      <c r="B1248" s="41" t="s">
        <v>10629</v>
      </c>
      <c r="D1248" s="41" t="s">
        <v>10630</v>
      </c>
      <c r="F1248" s="41" t="s">
        <v>10631</v>
      </c>
      <c r="G1248" s="41" t="s">
        <v>10632</v>
      </c>
      <c r="H1248" s="41" t="s">
        <v>10633</v>
      </c>
      <c r="I1248" s="41" t="s">
        <v>10634</v>
      </c>
      <c r="J1248" s="41" t="s">
        <v>10635</v>
      </c>
      <c r="K1248" s="41" t="s">
        <v>10636</v>
      </c>
      <c r="L1248" s="41" t="s">
        <v>1076</v>
      </c>
    </row>
    <row r="1249" spans="1:19" x14ac:dyDescent="0.25">
      <c r="A1249" s="41" t="s">
        <v>23</v>
      </c>
      <c r="B1249" s="41" t="s">
        <v>10637</v>
      </c>
      <c r="D1249" s="41" t="s">
        <v>10638</v>
      </c>
      <c r="F1249" s="41" t="s">
        <v>10639</v>
      </c>
      <c r="G1249" s="41" t="s">
        <v>10640</v>
      </c>
      <c r="H1249" s="41" t="s">
        <v>10641</v>
      </c>
      <c r="I1249" s="41" t="s">
        <v>10642</v>
      </c>
      <c r="J1249" s="41" t="s">
        <v>10643</v>
      </c>
      <c r="K1249" s="41" t="s">
        <v>10644</v>
      </c>
      <c r="L1249" s="41" t="s">
        <v>1085</v>
      </c>
    </row>
    <row r="1250" spans="1:19" x14ac:dyDescent="0.25">
      <c r="A1250" s="41" t="s">
        <v>23</v>
      </c>
      <c r="B1250" s="41" t="s">
        <v>10645</v>
      </c>
      <c r="D1250" s="41" t="s">
        <v>10646</v>
      </c>
      <c r="F1250" s="41" t="s">
        <v>10647</v>
      </c>
      <c r="G1250" s="41" t="s">
        <v>10648</v>
      </c>
      <c r="H1250" s="41" t="s">
        <v>10649</v>
      </c>
      <c r="I1250" s="41" t="s">
        <v>10650</v>
      </c>
      <c r="J1250" s="41" t="s">
        <v>10651</v>
      </c>
      <c r="K1250" s="41" t="s">
        <v>10652</v>
      </c>
      <c r="L1250" s="41" t="s">
        <v>1094</v>
      </c>
    </row>
    <row r="1251" spans="1:19" x14ac:dyDescent="0.25">
      <c r="A1251" s="41" t="s">
        <v>908</v>
      </c>
      <c r="B1251" s="41" t="s">
        <v>10653</v>
      </c>
    </row>
    <row r="1252" spans="1:19" x14ac:dyDescent="0.25">
      <c r="A1252" s="41" t="s">
        <v>23</v>
      </c>
      <c r="B1252" s="41" t="s">
        <v>10654</v>
      </c>
      <c r="F1252" s="41" t="s">
        <v>10655</v>
      </c>
      <c r="G1252" s="41" t="s">
        <v>10656</v>
      </c>
      <c r="H1252" s="41" t="s">
        <v>10657</v>
      </c>
      <c r="I1252" s="41" t="s">
        <v>10658</v>
      </c>
      <c r="J1252" s="41" t="s">
        <v>10659</v>
      </c>
      <c r="L1252" s="41" t="s">
        <v>4</v>
      </c>
    </row>
    <row r="1253" spans="1:19" x14ac:dyDescent="0.25">
      <c r="A1253" s="41" t="s">
        <v>23</v>
      </c>
      <c r="B1253" s="41" t="s">
        <v>10660</v>
      </c>
      <c r="D1253" s="41" t="s">
        <v>884</v>
      </c>
      <c r="E1253" s="41" t="s">
        <v>10661</v>
      </c>
      <c r="F1253" s="41" t="s">
        <v>10662</v>
      </c>
      <c r="G1253" s="41" t="s">
        <v>10663</v>
      </c>
      <c r="H1253" s="41" t="s">
        <v>10664</v>
      </c>
      <c r="I1253" s="41" t="s">
        <v>10665</v>
      </c>
      <c r="J1253" s="41" t="s">
        <v>10666</v>
      </c>
      <c r="K1253" s="41" t="s">
        <v>10667</v>
      </c>
      <c r="L1253" s="41" t="s">
        <v>10668</v>
      </c>
      <c r="M1253" s="41" t="s">
        <v>10669</v>
      </c>
      <c r="N1253" s="41" t="s">
        <v>10670</v>
      </c>
      <c r="O1253" s="41" t="s">
        <v>10671</v>
      </c>
      <c r="P1253" s="41" t="s">
        <v>10672</v>
      </c>
      <c r="Q1253" s="41" t="s">
        <v>10673</v>
      </c>
      <c r="R1253" s="41" t="s">
        <v>10674</v>
      </c>
      <c r="S1253" s="41" t="s">
        <v>10675</v>
      </c>
    </row>
    <row r="1254" spans="1:19" x14ac:dyDescent="0.25">
      <c r="A1254" s="41" t="s">
        <v>23</v>
      </c>
      <c r="B1254" s="41" t="s">
        <v>10676</v>
      </c>
      <c r="D1254" s="41" t="s">
        <v>10677</v>
      </c>
      <c r="F1254" s="41" t="s">
        <v>10678</v>
      </c>
      <c r="G1254" s="41" t="s">
        <v>10679</v>
      </c>
      <c r="H1254" s="41" t="s">
        <v>10680</v>
      </c>
      <c r="I1254" s="41" t="s">
        <v>10681</v>
      </c>
      <c r="J1254" s="41" t="s">
        <v>10682</v>
      </c>
      <c r="K1254" s="41" t="s">
        <v>10683</v>
      </c>
      <c r="L1254" s="41" t="s">
        <v>891</v>
      </c>
    </row>
    <row r="1255" spans="1:19" x14ac:dyDescent="0.25">
      <c r="A1255" s="41" t="s">
        <v>23</v>
      </c>
      <c r="B1255" s="41" t="s">
        <v>10684</v>
      </c>
      <c r="D1255" s="41" t="s">
        <v>10685</v>
      </c>
      <c r="F1255" s="41" t="s">
        <v>10686</v>
      </c>
      <c r="G1255" s="41" t="s">
        <v>10687</v>
      </c>
      <c r="H1255" s="41" t="s">
        <v>10688</v>
      </c>
      <c r="I1255" s="41" t="s">
        <v>10689</v>
      </c>
      <c r="J1255" s="41" t="s">
        <v>10690</v>
      </c>
      <c r="K1255" s="41" t="s">
        <v>10691</v>
      </c>
      <c r="L1255" s="41" t="s">
        <v>1076</v>
      </c>
    </row>
    <row r="1256" spans="1:19" x14ac:dyDescent="0.25">
      <c r="A1256" s="41" t="s">
        <v>23</v>
      </c>
      <c r="B1256" s="41" t="s">
        <v>10692</v>
      </c>
      <c r="D1256" s="41" t="s">
        <v>10693</v>
      </c>
      <c r="F1256" s="41" t="s">
        <v>10694</v>
      </c>
      <c r="G1256" s="41" t="s">
        <v>10695</v>
      </c>
      <c r="H1256" s="41" t="s">
        <v>10696</v>
      </c>
      <c r="I1256" s="41" t="s">
        <v>10697</v>
      </c>
      <c r="J1256" s="41" t="s">
        <v>10698</v>
      </c>
      <c r="K1256" s="41" t="s">
        <v>10699</v>
      </c>
      <c r="L1256" s="41" t="s">
        <v>1085</v>
      </c>
    </row>
    <row r="1257" spans="1:19" x14ac:dyDescent="0.25">
      <c r="A1257" s="41" t="s">
        <v>23</v>
      </c>
      <c r="B1257" s="41" t="s">
        <v>10700</v>
      </c>
      <c r="D1257" s="41" t="s">
        <v>10701</v>
      </c>
      <c r="F1257" s="41" t="s">
        <v>10702</v>
      </c>
      <c r="G1257" s="41" t="s">
        <v>10703</v>
      </c>
      <c r="H1257" s="41" t="s">
        <v>10704</v>
      </c>
      <c r="I1257" s="41" t="s">
        <v>10705</v>
      </c>
      <c r="J1257" s="41" t="s">
        <v>10706</v>
      </c>
      <c r="K1257" s="41" t="s">
        <v>10707</v>
      </c>
      <c r="L1257" s="41" t="s">
        <v>1094</v>
      </c>
    </row>
    <row r="1258" spans="1:19" x14ac:dyDescent="0.25">
      <c r="A1258" s="41" t="s">
        <v>908</v>
      </c>
      <c r="B1258" s="41" t="s">
        <v>10708</v>
      </c>
    </row>
    <row r="1259" spans="1:19" x14ac:dyDescent="0.25">
      <c r="A1259" s="41" t="s">
        <v>23</v>
      </c>
      <c r="B1259" s="41" t="s">
        <v>10709</v>
      </c>
      <c r="F1259" s="41" t="s">
        <v>10710</v>
      </c>
      <c r="G1259" s="41" t="s">
        <v>10711</v>
      </c>
      <c r="H1259" s="41" t="s">
        <v>10712</v>
      </c>
      <c r="I1259" s="41" t="s">
        <v>10713</v>
      </c>
      <c r="J1259" s="41" t="s">
        <v>10714</v>
      </c>
      <c r="L1259" s="41" t="s">
        <v>4</v>
      </c>
    </row>
    <row r="1260" spans="1:19" x14ac:dyDescent="0.25">
      <c r="A1260" s="41" t="s">
        <v>23</v>
      </c>
      <c r="B1260" s="41" t="s">
        <v>10715</v>
      </c>
      <c r="D1260" s="41" t="s">
        <v>885</v>
      </c>
      <c r="E1260" s="41" t="s">
        <v>10716</v>
      </c>
      <c r="F1260" s="41" t="s">
        <v>10717</v>
      </c>
      <c r="G1260" s="41" t="s">
        <v>10718</v>
      </c>
      <c r="H1260" s="41" t="s">
        <v>10719</v>
      </c>
      <c r="I1260" s="41" t="s">
        <v>10720</v>
      </c>
      <c r="J1260" s="41" t="s">
        <v>10721</v>
      </c>
      <c r="K1260" s="41" t="s">
        <v>10722</v>
      </c>
      <c r="L1260" s="41" t="s">
        <v>10723</v>
      </c>
      <c r="M1260" s="41" t="s">
        <v>10724</v>
      </c>
      <c r="N1260" s="41" t="s">
        <v>10725</v>
      </c>
      <c r="O1260" s="41" t="s">
        <v>10726</v>
      </c>
      <c r="P1260" s="41" t="s">
        <v>10727</v>
      </c>
      <c r="Q1260" s="41" t="s">
        <v>10728</v>
      </c>
      <c r="R1260" s="41" t="s">
        <v>10729</v>
      </c>
      <c r="S1260" s="41" t="s">
        <v>10730</v>
      </c>
    </row>
    <row r="1261" spans="1:19" x14ac:dyDescent="0.25">
      <c r="A1261" s="41" t="s">
        <v>23</v>
      </c>
      <c r="B1261" s="41" t="s">
        <v>10731</v>
      </c>
      <c r="D1261" s="41" t="s">
        <v>10732</v>
      </c>
      <c r="F1261" s="41" t="s">
        <v>10733</v>
      </c>
      <c r="G1261" s="41" t="s">
        <v>10734</v>
      </c>
      <c r="H1261" s="41" t="s">
        <v>10735</v>
      </c>
      <c r="I1261" s="41" t="s">
        <v>10736</v>
      </c>
      <c r="J1261" s="41" t="s">
        <v>10737</v>
      </c>
      <c r="K1261" s="41" t="s">
        <v>10738</v>
      </c>
      <c r="L1261" s="41" t="s">
        <v>891</v>
      </c>
    </row>
    <row r="1262" spans="1:19" x14ac:dyDescent="0.25">
      <c r="A1262" s="41" t="s">
        <v>23</v>
      </c>
      <c r="B1262" s="41" t="s">
        <v>10739</v>
      </c>
      <c r="D1262" s="41" t="s">
        <v>10740</v>
      </c>
      <c r="F1262" s="41" t="s">
        <v>10741</v>
      </c>
      <c r="G1262" s="41" t="s">
        <v>10742</v>
      </c>
      <c r="H1262" s="41" t="s">
        <v>10743</v>
      </c>
      <c r="I1262" s="41" t="s">
        <v>10744</v>
      </c>
      <c r="J1262" s="41" t="s">
        <v>10745</v>
      </c>
      <c r="K1262" s="41" t="s">
        <v>10746</v>
      </c>
      <c r="L1262" s="41" t="s">
        <v>1076</v>
      </c>
    </row>
    <row r="1263" spans="1:19" x14ac:dyDescent="0.25">
      <c r="A1263" s="41" t="s">
        <v>23</v>
      </c>
      <c r="B1263" s="41" t="s">
        <v>10747</v>
      </c>
      <c r="D1263" s="41" t="s">
        <v>10748</v>
      </c>
      <c r="F1263" s="41" t="s">
        <v>10749</v>
      </c>
      <c r="G1263" s="41" t="s">
        <v>10750</v>
      </c>
      <c r="H1263" s="41" t="s">
        <v>10751</v>
      </c>
      <c r="I1263" s="41" t="s">
        <v>10752</v>
      </c>
      <c r="J1263" s="41" t="s">
        <v>10753</v>
      </c>
      <c r="K1263" s="41" t="s">
        <v>10754</v>
      </c>
      <c r="L1263" s="41" t="s">
        <v>1085</v>
      </c>
    </row>
    <row r="1264" spans="1:19" x14ac:dyDescent="0.25">
      <c r="A1264" s="41" t="s">
        <v>23</v>
      </c>
      <c r="B1264" s="41" t="s">
        <v>10755</v>
      </c>
      <c r="D1264" s="41" t="s">
        <v>10756</v>
      </c>
      <c r="F1264" s="41" t="s">
        <v>10757</v>
      </c>
      <c r="G1264" s="41" t="s">
        <v>10758</v>
      </c>
      <c r="H1264" s="41" t="s">
        <v>10759</v>
      </c>
      <c r="I1264" s="41" t="s">
        <v>10760</v>
      </c>
      <c r="J1264" s="41" t="s">
        <v>10761</v>
      </c>
      <c r="K1264" s="41" t="s">
        <v>10762</v>
      </c>
      <c r="L1264" s="41" t="s">
        <v>1094</v>
      </c>
    </row>
    <row r="1265" spans="1:19" x14ac:dyDescent="0.25">
      <c r="A1265" s="41" t="s">
        <v>908</v>
      </c>
      <c r="B1265" s="41" t="s">
        <v>10763</v>
      </c>
    </row>
    <row r="1266" spans="1:19" x14ac:dyDescent="0.25">
      <c r="A1266" s="41" t="s">
        <v>23</v>
      </c>
      <c r="B1266" s="41" t="s">
        <v>10764</v>
      </c>
      <c r="F1266" s="41" t="s">
        <v>10765</v>
      </c>
      <c r="G1266" s="41" t="s">
        <v>10766</v>
      </c>
      <c r="H1266" s="41" t="s">
        <v>10767</v>
      </c>
      <c r="I1266" s="41" t="s">
        <v>10768</v>
      </c>
      <c r="J1266" s="41" t="s">
        <v>10769</v>
      </c>
      <c r="L1266" s="41" t="s">
        <v>4</v>
      </c>
    </row>
    <row r="1267" spans="1:19" x14ac:dyDescent="0.25">
      <c r="A1267" s="41" t="s">
        <v>23</v>
      </c>
      <c r="B1267" s="41" t="s">
        <v>10770</v>
      </c>
      <c r="D1267" s="41" t="s">
        <v>10771</v>
      </c>
      <c r="E1267" s="41" t="s">
        <v>10772</v>
      </c>
      <c r="F1267" s="41" t="s">
        <v>10773</v>
      </c>
      <c r="G1267" s="41" t="s">
        <v>10774</v>
      </c>
      <c r="H1267" s="41" t="s">
        <v>10775</v>
      </c>
      <c r="I1267" s="41" t="s">
        <v>10776</v>
      </c>
      <c r="J1267" s="41" t="s">
        <v>10777</v>
      </c>
      <c r="K1267" s="41" t="s">
        <v>10778</v>
      </c>
      <c r="L1267" s="41" t="s">
        <v>10779</v>
      </c>
      <c r="M1267" s="41" t="s">
        <v>10780</v>
      </c>
      <c r="N1267" s="41" t="s">
        <v>10781</v>
      </c>
      <c r="O1267" s="41" t="s">
        <v>10782</v>
      </c>
      <c r="P1267" s="41" t="s">
        <v>10783</v>
      </c>
      <c r="Q1267" s="41" t="s">
        <v>10784</v>
      </c>
      <c r="R1267" s="41" t="s">
        <v>10785</v>
      </c>
      <c r="S1267" s="41" t="s">
        <v>10786</v>
      </c>
    </row>
    <row r="1268" spans="1:19" x14ac:dyDescent="0.25">
      <c r="A1268" s="41" t="s">
        <v>23</v>
      </c>
      <c r="B1268" s="41" t="s">
        <v>10787</v>
      </c>
      <c r="D1268" s="41" t="s">
        <v>10788</v>
      </c>
      <c r="F1268" s="41" t="s">
        <v>10789</v>
      </c>
      <c r="G1268" s="41" t="s">
        <v>10790</v>
      </c>
      <c r="H1268" s="41" t="s">
        <v>10791</v>
      </c>
      <c r="I1268" s="41" t="s">
        <v>10792</v>
      </c>
      <c r="J1268" s="41" t="s">
        <v>10793</v>
      </c>
      <c r="K1268" s="41" t="s">
        <v>10794</v>
      </c>
      <c r="L1268" s="41" t="s">
        <v>891</v>
      </c>
    </row>
    <row r="1269" spans="1:19" x14ac:dyDescent="0.25">
      <c r="A1269" s="41" t="s">
        <v>23</v>
      </c>
      <c r="B1269" s="41" t="s">
        <v>10795</v>
      </c>
      <c r="D1269" s="41" t="s">
        <v>10796</v>
      </c>
      <c r="F1269" s="41" t="s">
        <v>10797</v>
      </c>
      <c r="G1269" s="41" t="s">
        <v>10798</v>
      </c>
      <c r="H1269" s="41" t="s">
        <v>10799</v>
      </c>
      <c r="I1269" s="41" t="s">
        <v>10800</v>
      </c>
      <c r="J1269" s="41" t="s">
        <v>10801</v>
      </c>
      <c r="K1269" s="41" t="s">
        <v>10802</v>
      </c>
      <c r="L1269" s="41" t="s">
        <v>1076</v>
      </c>
    </row>
    <row r="1270" spans="1:19" x14ac:dyDescent="0.25">
      <c r="A1270" s="41" t="s">
        <v>23</v>
      </c>
      <c r="B1270" s="41" t="s">
        <v>10803</v>
      </c>
      <c r="D1270" s="41" t="s">
        <v>10804</v>
      </c>
      <c r="F1270" s="41" t="s">
        <v>10805</v>
      </c>
      <c r="G1270" s="41" t="s">
        <v>10806</v>
      </c>
      <c r="H1270" s="41" t="s">
        <v>10807</v>
      </c>
      <c r="I1270" s="41" t="s">
        <v>10808</v>
      </c>
      <c r="J1270" s="41" t="s">
        <v>10809</v>
      </c>
      <c r="K1270" s="41" t="s">
        <v>10810</v>
      </c>
      <c r="L1270" s="41" t="s">
        <v>1085</v>
      </c>
    </row>
    <row r="1271" spans="1:19" x14ac:dyDescent="0.25">
      <c r="A1271" s="41" t="s">
        <v>23</v>
      </c>
      <c r="B1271" s="41" t="s">
        <v>10811</v>
      </c>
      <c r="D1271" s="41" t="s">
        <v>10812</v>
      </c>
      <c r="F1271" s="41" t="s">
        <v>10813</v>
      </c>
      <c r="G1271" s="41" t="s">
        <v>10814</v>
      </c>
      <c r="H1271" s="41" t="s">
        <v>10815</v>
      </c>
      <c r="I1271" s="41" t="s">
        <v>10816</v>
      </c>
      <c r="J1271" s="41" t="s">
        <v>10817</v>
      </c>
      <c r="K1271" s="41" t="s">
        <v>10818</v>
      </c>
      <c r="L1271" s="41" t="s">
        <v>1094</v>
      </c>
    </row>
    <row r="1272" spans="1:19" x14ac:dyDescent="0.25">
      <c r="A1272" s="41" t="s">
        <v>908</v>
      </c>
      <c r="B1272" s="41" t="s">
        <v>10819</v>
      </c>
    </row>
    <row r="1273" spans="1:19" x14ac:dyDescent="0.25">
      <c r="A1273" s="41" t="s">
        <v>23</v>
      </c>
      <c r="B1273" s="41" t="s">
        <v>10820</v>
      </c>
      <c r="F1273" s="41" t="s">
        <v>10821</v>
      </c>
      <c r="G1273" s="41" t="s">
        <v>10822</v>
      </c>
      <c r="H1273" s="41" t="s">
        <v>10823</v>
      </c>
      <c r="I1273" s="41" t="s">
        <v>10824</v>
      </c>
      <c r="J1273" s="41" t="s">
        <v>10825</v>
      </c>
      <c r="L1273" s="41" t="s">
        <v>4</v>
      </c>
    </row>
    <row r="1274" spans="1:19" x14ac:dyDescent="0.25">
      <c r="A1274" s="41" t="s">
        <v>23</v>
      </c>
      <c r="B1274" s="41" t="s">
        <v>10826</v>
      </c>
      <c r="D1274" s="41" t="s">
        <v>538</v>
      </c>
      <c r="E1274" s="41" t="s">
        <v>10827</v>
      </c>
      <c r="F1274" s="41" t="s">
        <v>10828</v>
      </c>
      <c r="G1274" s="41" t="s">
        <v>10829</v>
      </c>
      <c r="H1274" s="41" t="s">
        <v>10830</v>
      </c>
      <c r="I1274" s="41" t="s">
        <v>10831</v>
      </c>
      <c r="J1274" s="41" t="s">
        <v>10832</v>
      </c>
      <c r="K1274" s="41" t="s">
        <v>10833</v>
      </c>
      <c r="L1274" s="41" t="s">
        <v>10834</v>
      </c>
      <c r="M1274" s="41" t="s">
        <v>10835</v>
      </c>
      <c r="N1274" s="41" t="s">
        <v>10836</v>
      </c>
      <c r="O1274" s="41" t="s">
        <v>10837</v>
      </c>
      <c r="P1274" s="41" t="s">
        <v>10838</v>
      </c>
      <c r="Q1274" s="41" t="s">
        <v>10839</v>
      </c>
      <c r="R1274" s="41" t="s">
        <v>10840</v>
      </c>
      <c r="S1274" s="41" t="s">
        <v>10841</v>
      </c>
    </row>
    <row r="1275" spans="1:19" x14ac:dyDescent="0.25">
      <c r="A1275" s="41" t="s">
        <v>23</v>
      </c>
      <c r="B1275" s="41" t="s">
        <v>10842</v>
      </c>
      <c r="D1275" s="41" t="s">
        <v>10843</v>
      </c>
      <c r="F1275" s="41" t="s">
        <v>10844</v>
      </c>
      <c r="G1275" s="41" t="s">
        <v>10845</v>
      </c>
      <c r="H1275" s="41" t="s">
        <v>10846</v>
      </c>
      <c r="I1275" s="41" t="s">
        <v>10847</v>
      </c>
      <c r="J1275" s="41" t="s">
        <v>10848</v>
      </c>
      <c r="K1275" s="41" t="s">
        <v>10849</v>
      </c>
      <c r="L1275" s="41" t="s">
        <v>891</v>
      </c>
    </row>
    <row r="1276" spans="1:19" x14ac:dyDescent="0.25">
      <c r="A1276" s="41" t="s">
        <v>23</v>
      </c>
      <c r="B1276" s="41" t="s">
        <v>10850</v>
      </c>
      <c r="D1276" s="41" t="s">
        <v>10851</v>
      </c>
      <c r="F1276" s="41" t="s">
        <v>10852</v>
      </c>
      <c r="G1276" s="41" t="s">
        <v>10853</v>
      </c>
      <c r="H1276" s="41" t="s">
        <v>10854</v>
      </c>
      <c r="I1276" s="41" t="s">
        <v>10855</v>
      </c>
      <c r="J1276" s="41" t="s">
        <v>10856</v>
      </c>
      <c r="K1276" s="41" t="s">
        <v>10857</v>
      </c>
      <c r="L1276" s="41" t="s">
        <v>1076</v>
      </c>
    </row>
    <row r="1277" spans="1:19" x14ac:dyDescent="0.25">
      <c r="A1277" s="41" t="s">
        <v>23</v>
      </c>
      <c r="B1277" s="41" t="s">
        <v>10858</v>
      </c>
      <c r="D1277" s="41" t="s">
        <v>10859</v>
      </c>
      <c r="F1277" s="41" t="s">
        <v>10860</v>
      </c>
      <c r="G1277" s="41" t="s">
        <v>10861</v>
      </c>
      <c r="H1277" s="41" t="s">
        <v>10862</v>
      </c>
      <c r="I1277" s="41" t="s">
        <v>10863</v>
      </c>
      <c r="J1277" s="41" t="s">
        <v>10864</v>
      </c>
      <c r="K1277" s="41" t="s">
        <v>10865</v>
      </c>
      <c r="L1277" s="41" t="s">
        <v>1085</v>
      </c>
    </row>
    <row r="1278" spans="1:19" x14ac:dyDescent="0.25">
      <c r="A1278" s="41" t="s">
        <v>23</v>
      </c>
      <c r="B1278" s="41" t="s">
        <v>10866</v>
      </c>
      <c r="D1278" s="41" t="s">
        <v>10867</v>
      </c>
      <c r="F1278" s="41" t="s">
        <v>10868</v>
      </c>
      <c r="G1278" s="41" t="s">
        <v>10869</v>
      </c>
      <c r="H1278" s="41" t="s">
        <v>10870</v>
      </c>
      <c r="I1278" s="41" t="s">
        <v>10871</v>
      </c>
      <c r="J1278" s="41" t="s">
        <v>10872</v>
      </c>
      <c r="K1278" s="41" t="s">
        <v>10873</v>
      </c>
      <c r="L1278" s="41" t="s">
        <v>1094</v>
      </c>
    </row>
    <row r="1279" spans="1:19" x14ac:dyDescent="0.25">
      <c r="A1279" s="41" t="s">
        <v>908</v>
      </c>
      <c r="B1279" s="41" t="s">
        <v>10874</v>
      </c>
    </row>
    <row r="1280" spans="1:19" x14ac:dyDescent="0.25">
      <c r="A1280" s="41" t="s">
        <v>23</v>
      </c>
      <c r="B1280" s="41" t="s">
        <v>10875</v>
      </c>
      <c r="F1280" s="41" t="s">
        <v>10876</v>
      </c>
      <c r="G1280" s="41" t="s">
        <v>10877</v>
      </c>
      <c r="H1280" s="41" t="s">
        <v>10878</v>
      </c>
      <c r="I1280" s="41" t="s">
        <v>10879</v>
      </c>
      <c r="J1280" s="41" t="s">
        <v>10880</v>
      </c>
      <c r="L1280" s="41" t="s">
        <v>4</v>
      </c>
    </row>
    <row r="1281" spans="1:19" x14ac:dyDescent="0.25">
      <c r="A1281" s="41" t="s">
        <v>23</v>
      </c>
      <c r="B1281" s="41" t="s">
        <v>10881</v>
      </c>
      <c r="D1281" s="41" t="s">
        <v>539</v>
      </c>
      <c r="E1281" s="41" t="s">
        <v>10882</v>
      </c>
      <c r="F1281" s="41" t="s">
        <v>10883</v>
      </c>
      <c r="G1281" s="41" t="s">
        <v>10884</v>
      </c>
      <c r="H1281" s="41" t="s">
        <v>10885</v>
      </c>
      <c r="I1281" s="41" t="s">
        <v>10886</v>
      </c>
      <c r="J1281" s="41" t="s">
        <v>10887</v>
      </c>
      <c r="K1281" s="41" t="s">
        <v>10888</v>
      </c>
      <c r="L1281" s="41" t="s">
        <v>10889</v>
      </c>
      <c r="M1281" s="41" t="s">
        <v>10890</v>
      </c>
      <c r="N1281" s="41" t="s">
        <v>10891</v>
      </c>
      <c r="O1281" s="41" t="s">
        <v>10892</v>
      </c>
      <c r="P1281" s="41" t="s">
        <v>10893</v>
      </c>
      <c r="Q1281" s="41" t="s">
        <v>10894</v>
      </c>
      <c r="R1281" s="41" t="s">
        <v>10895</v>
      </c>
      <c r="S1281" s="41" t="s">
        <v>10896</v>
      </c>
    </row>
    <row r="1282" spans="1:19" x14ac:dyDescent="0.25">
      <c r="A1282" s="41" t="s">
        <v>23</v>
      </c>
      <c r="B1282" s="41" t="s">
        <v>10897</v>
      </c>
      <c r="D1282" s="41" t="s">
        <v>10898</v>
      </c>
      <c r="F1282" s="41" t="s">
        <v>10899</v>
      </c>
      <c r="G1282" s="41" t="s">
        <v>10900</v>
      </c>
      <c r="H1282" s="41" t="s">
        <v>10901</v>
      </c>
      <c r="I1282" s="41" t="s">
        <v>10902</v>
      </c>
      <c r="J1282" s="41" t="s">
        <v>10903</v>
      </c>
      <c r="K1282" s="41" t="s">
        <v>10904</v>
      </c>
      <c r="L1282" s="41" t="s">
        <v>891</v>
      </c>
    </row>
    <row r="1283" spans="1:19" x14ac:dyDescent="0.25">
      <c r="A1283" s="41" t="s">
        <v>23</v>
      </c>
      <c r="B1283" s="41" t="s">
        <v>10905</v>
      </c>
      <c r="D1283" s="41" t="s">
        <v>10906</v>
      </c>
      <c r="F1283" s="41" t="s">
        <v>10907</v>
      </c>
      <c r="G1283" s="41" t="s">
        <v>10908</v>
      </c>
      <c r="H1283" s="41" t="s">
        <v>10909</v>
      </c>
      <c r="I1283" s="41" t="s">
        <v>10910</v>
      </c>
      <c r="J1283" s="41" t="s">
        <v>10911</v>
      </c>
      <c r="K1283" s="41" t="s">
        <v>10912</v>
      </c>
      <c r="L1283" s="41" t="s">
        <v>1076</v>
      </c>
    </row>
    <row r="1284" spans="1:19" x14ac:dyDescent="0.25">
      <c r="A1284" s="41" t="s">
        <v>23</v>
      </c>
      <c r="B1284" s="41" t="s">
        <v>10913</v>
      </c>
      <c r="D1284" s="41" t="s">
        <v>10914</v>
      </c>
      <c r="F1284" s="41" t="s">
        <v>10915</v>
      </c>
      <c r="G1284" s="41" t="s">
        <v>10916</v>
      </c>
      <c r="H1284" s="41" t="s">
        <v>10917</v>
      </c>
      <c r="I1284" s="41" t="s">
        <v>10918</v>
      </c>
      <c r="J1284" s="41" t="s">
        <v>10919</v>
      </c>
      <c r="K1284" s="41" t="s">
        <v>10920</v>
      </c>
      <c r="L1284" s="41" t="s">
        <v>1085</v>
      </c>
    </row>
    <row r="1285" spans="1:19" x14ac:dyDescent="0.25">
      <c r="A1285" s="41" t="s">
        <v>23</v>
      </c>
      <c r="B1285" s="41" t="s">
        <v>10921</v>
      </c>
      <c r="D1285" s="41" t="s">
        <v>10922</v>
      </c>
      <c r="F1285" s="41" t="s">
        <v>10923</v>
      </c>
      <c r="G1285" s="41" t="s">
        <v>10924</v>
      </c>
      <c r="H1285" s="41" t="s">
        <v>10925</v>
      </c>
      <c r="I1285" s="41" t="s">
        <v>10926</v>
      </c>
      <c r="J1285" s="41" t="s">
        <v>10927</v>
      </c>
      <c r="K1285" s="41" t="s">
        <v>10928</v>
      </c>
      <c r="L1285" s="41" t="s">
        <v>1094</v>
      </c>
    </row>
    <row r="1286" spans="1:19" x14ac:dyDescent="0.25">
      <c r="A1286" s="41" t="s">
        <v>908</v>
      </c>
      <c r="B1286" s="41" t="s">
        <v>10929</v>
      </c>
    </row>
    <row r="1287" spans="1:19" x14ac:dyDescent="0.25">
      <c r="A1287" s="41" t="s">
        <v>23</v>
      </c>
      <c r="B1287" s="41" t="s">
        <v>10930</v>
      </c>
      <c r="F1287" s="41" t="s">
        <v>10931</v>
      </c>
      <c r="G1287" s="41" t="s">
        <v>10932</v>
      </c>
      <c r="H1287" s="41" t="s">
        <v>10933</v>
      </c>
      <c r="I1287" s="41" t="s">
        <v>10934</v>
      </c>
      <c r="J1287" s="41" t="s">
        <v>10935</v>
      </c>
      <c r="L1287" s="41" t="s">
        <v>4</v>
      </c>
    </row>
    <row r="1288" spans="1:19" x14ac:dyDescent="0.25">
      <c r="A1288" s="41" t="s">
        <v>23</v>
      </c>
      <c r="B1288" s="41" t="s">
        <v>10936</v>
      </c>
      <c r="D1288" s="41" t="s">
        <v>10937</v>
      </c>
      <c r="E1288" s="41" t="s">
        <v>10938</v>
      </c>
      <c r="F1288" s="41" t="s">
        <v>10939</v>
      </c>
      <c r="G1288" s="41" t="s">
        <v>10940</v>
      </c>
      <c r="H1288" s="41" t="s">
        <v>10941</v>
      </c>
      <c r="I1288" s="41" t="s">
        <v>10942</v>
      </c>
      <c r="J1288" s="41" t="s">
        <v>10943</v>
      </c>
      <c r="K1288" s="41" t="s">
        <v>10944</v>
      </c>
      <c r="L1288" s="41" t="s">
        <v>10945</v>
      </c>
      <c r="M1288" s="41" t="s">
        <v>10946</v>
      </c>
      <c r="N1288" s="41" t="s">
        <v>10947</v>
      </c>
      <c r="O1288" s="41" t="s">
        <v>10948</v>
      </c>
      <c r="P1288" s="41" t="s">
        <v>10949</v>
      </c>
      <c r="Q1288" s="41" t="s">
        <v>10950</v>
      </c>
      <c r="R1288" s="41" t="s">
        <v>10951</v>
      </c>
      <c r="S1288" s="41" t="s">
        <v>10952</v>
      </c>
    </row>
    <row r="1289" spans="1:19" x14ac:dyDescent="0.25">
      <c r="A1289" s="41" t="s">
        <v>23</v>
      </c>
      <c r="B1289" s="41" t="s">
        <v>10953</v>
      </c>
      <c r="D1289" s="41" t="s">
        <v>10954</v>
      </c>
      <c r="F1289" s="41" t="s">
        <v>10955</v>
      </c>
      <c r="G1289" s="41" t="s">
        <v>10956</v>
      </c>
      <c r="H1289" s="41" t="s">
        <v>10957</v>
      </c>
      <c r="I1289" s="41" t="s">
        <v>10958</v>
      </c>
      <c r="J1289" s="41" t="s">
        <v>10959</v>
      </c>
      <c r="K1289" s="41" t="s">
        <v>10960</v>
      </c>
      <c r="L1289" s="41" t="s">
        <v>891</v>
      </c>
    </row>
    <row r="1290" spans="1:19" x14ac:dyDescent="0.25">
      <c r="A1290" s="41" t="s">
        <v>23</v>
      </c>
      <c r="B1290" s="41" t="s">
        <v>10961</v>
      </c>
      <c r="D1290" s="41" t="s">
        <v>10962</v>
      </c>
      <c r="F1290" s="41" t="s">
        <v>10963</v>
      </c>
      <c r="G1290" s="41" t="s">
        <v>10964</v>
      </c>
      <c r="H1290" s="41" t="s">
        <v>10965</v>
      </c>
      <c r="I1290" s="41" t="s">
        <v>10966</v>
      </c>
      <c r="J1290" s="41" t="s">
        <v>10967</v>
      </c>
      <c r="K1290" s="41" t="s">
        <v>10968</v>
      </c>
      <c r="L1290" s="41" t="s">
        <v>1076</v>
      </c>
    </row>
    <row r="1291" spans="1:19" x14ac:dyDescent="0.25">
      <c r="A1291" s="41" t="s">
        <v>23</v>
      </c>
      <c r="B1291" s="41" t="s">
        <v>10969</v>
      </c>
      <c r="D1291" s="41" t="s">
        <v>10970</v>
      </c>
      <c r="F1291" s="41" t="s">
        <v>10971</v>
      </c>
      <c r="G1291" s="41" t="s">
        <v>10972</v>
      </c>
      <c r="H1291" s="41" t="s">
        <v>10973</v>
      </c>
      <c r="I1291" s="41" t="s">
        <v>10974</v>
      </c>
      <c r="J1291" s="41" t="s">
        <v>10975</v>
      </c>
      <c r="K1291" s="41" t="s">
        <v>10976</v>
      </c>
      <c r="L1291" s="41" t="s">
        <v>1085</v>
      </c>
    </row>
    <row r="1292" spans="1:19" x14ac:dyDescent="0.25">
      <c r="A1292" s="41" t="s">
        <v>23</v>
      </c>
      <c r="B1292" s="41" t="s">
        <v>10977</v>
      </c>
      <c r="D1292" s="41" t="s">
        <v>10978</v>
      </c>
      <c r="F1292" s="41" t="s">
        <v>10979</v>
      </c>
      <c r="G1292" s="41" t="s">
        <v>10980</v>
      </c>
      <c r="H1292" s="41" t="s">
        <v>10981</v>
      </c>
      <c r="I1292" s="41" t="s">
        <v>10982</v>
      </c>
      <c r="J1292" s="41" t="s">
        <v>10983</v>
      </c>
      <c r="K1292" s="41" t="s">
        <v>10984</v>
      </c>
      <c r="L1292" s="41" t="s">
        <v>1094</v>
      </c>
    </row>
    <row r="1293" spans="1:19" x14ac:dyDescent="0.25">
      <c r="A1293" s="41" t="s">
        <v>908</v>
      </c>
      <c r="B1293" s="41" t="s">
        <v>10985</v>
      </c>
    </row>
    <row r="1294" spans="1:19" x14ac:dyDescent="0.25">
      <c r="A1294" s="41" t="s">
        <v>23</v>
      </c>
      <c r="B1294" s="41" t="s">
        <v>10986</v>
      </c>
      <c r="F1294" s="41" t="s">
        <v>10987</v>
      </c>
      <c r="G1294" s="41" t="s">
        <v>10988</v>
      </c>
      <c r="H1294" s="41" t="s">
        <v>10989</v>
      </c>
      <c r="I1294" s="41" t="s">
        <v>10990</v>
      </c>
      <c r="J1294" s="41" t="s">
        <v>10991</v>
      </c>
      <c r="L1294" s="41" t="s">
        <v>4</v>
      </c>
    </row>
    <row r="1295" spans="1:19" x14ac:dyDescent="0.25">
      <c r="A1295" s="41" t="s">
        <v>23</v>
      </c>
      <c r="B1295" s="41" t="s">
        <v>10992</v>
      </c>
      <c r="D1295" s="41" t="s">
        <v>10993</v>
      </c>
      <c r="E1295" s="41" t="s">
        <v>10994</v>
      </c>
      <c r="F1295" s="41" t="s">
        <v>10995</v>
      </c>
      <c r="G1295" s="41" t="s">
        <v>10996</v>
      </c>
      <c r="H1295" s="41" t="s">
        <v>10997</v>
      </c>
      <c r="I1295" s="41" t="s">
        <v>10998</v>
      </c>
      <c r="J1295" s="41" t="s">
        <v>10999</v>
      </c>
      <c r="K1295" s="41" t="s">
        <v>11000</v>
      </c>
      <c r="L1295" s="41" t="s">
        <v>11001</v>
      </c>
      <c r="M1295" s="41" t="s">
        <v>11002</v>
      </c>
      <c r="N1295" s="41" t="s">
        <v>11003</v>
      </c>
      <c r="O1295" s="41" t="s">
        <v>11004</v>
      </c>
      <c r="P1295" s="41" t="s">
        <v>11005</v>
      </c>
      <c r="Q1295" s="41" t="s">
        <v>11006</v>
      </c>
      <c r="R1295" s="41" t="s">
        <v>11007</v>
      </c>
      <c r="S1295" s="41" t="s">
        <v>11008</v>
      </c>
    </row>
    <row r="1296" spans="1:19" x14ac:dyDescent="0.25">
      <c r="A1296" s="41" t="s">
        <v>23</v>
      </c>
      <c r="B1296" s="41" t="s">
        <v>11009</v>
      </c>
      <c r="D1296" s="41" t="s">
        <v>11010</v>
      </c>
      <c r="F1296" s="41" t="s">
        <v>11011</v>
      </c>
      <c r="G1296" s="41" t="s">
        <v>11012</v>
      </c>
      <c r="H1296" s="41" t="s">
        <v>11013</v>
      </c>
      <c r="I1296" s="41" t="s">
        <v>11014</v>
      </c>
      <c r="J1296" s="41" t="s">
        <v>11015</v>
      </c>
      <c r="K1296" s="41" t="s">
        <v>11016</v>
      </c>
      <c r="L1296" s="41" t="s">
        <v>891</v>
      </c>
    </row>
    <row r="1297" spans="1:19" x14ac:dyDescent="0.25">
      <c r="A1297" s="41" t="s">
        <v>23</v>
      </c>
      <c r="B1297" s="41" t="s">
        <v>11017</v>
      </c>
      <c r="D1297" s="41" t="s">
        <v>11018</v>
      </c>
      <c r="F1297" s="41" t="s">
        <v>11019</v>
      </c>
      <c r="G1297" s="41" t="s">
        <v>11020</v>
      </c>
      <c r="H1297" s="41" t="s">
        <v>11021</v>
      </c>
      <c r="I1297" s="41" t="s">
        <v>11022</v>
      </c>
      <c r="J1297" s="41" t="s">
        <v>11023</v>
      </c>
      <c r="K1297" s="41" t="s">
        <v>11024</v>
      </c>
      <c r="L1297" s="41" t="s">
        <v>1076</v>
      </c>
    </row>
    <row r="1298" spans="1:19" x14ac:dyDescent="0.25">
      <c r="A1298" s="41" t="s">
        <v>23</v>
      </c>
      <c r="B1298" s="41" t="s">
        <v>11025</v>
      </c>
      <c r="D1298" s="41" t="s">
        <v>11026</v>
      </c>
      <c r="F1298" s="41" t="s">
        <v>11027</v>
      </c>
      <c r="G1298" s="41" t="s">
        <v>11028</v>
      </c>
      <c r="H1298" s="41" t="s">
        <v>11029</v>
      </c>
      <c r="I1298" s="41" t="s">
        <v>11030</v>
      </c>
      <c r="J1298" s="41" t="s">
        <v>11031</v>
      </c>
      <c r="K1298" s="41" t="s">
        <v>11032</v>
      </c>
      <c r="L1298" s="41" t="s">
        <v>1085</v>
      </c>
    </row>
    <row r="1299" spans="1:19" x14ac:dyDescent="0.25">
      <c r="A1299" s="41" t="s">
        <v>23</v>
      </c>
      <c r="B1299" s="41" t="s">
        <v>11033</v>
      </c>
      <c r="D1299" s="41" t="s">
        <v>11034</v>
      </c>
      <c r="F1299" s="41" t="s">
        <v>11035</v>
      </c>
      <c r="G1299" s="41" t="s">
        <v>11036</v>
      </c>
      <c r="H1299" s="41" t="s">
        <v>11037</v>
      </c>
      <c r="I1299" s="41" t="s">
        <v>11038</v>
      </c>
      <c r="J1299" s="41" t="s">
        <v>11039</v>
      </c>
      <c r="K1299" s="41" t="s">
        <v>11040</v>
      </c>
      <c r="L1299" s="41" t="s">
        <v>1094</v>
      </c>
    </row>
    <row r="1300" spans="1:19" x14ac:dyDescent="0.25">
      <c r="A1300" s="41" t="s">
        <v>908</v>
      </c>
      <c r="B1300" s="41" t="s">
        <v>11041</v>
      </c>
    </row>
    <row r="1301" spans="1:19" x14ac:dyDescent="0.25">
      <c r="A1301" s="41" t="s">
        <v>23</v>
      </c>
      <c r="B1301" s="41" t="s">
        <v>11042</v>
      </c>
      <c r="F1301" s="41" t="s">
        <v>11043</v>
      </c>
      <c r="G1301" s="41" t="s">
        <v>11044</v>
      </c>
      <c r="H1301" s="41" t="s">
        <v>11045</v>
      </c>
      <c r="I1301" s="41" t="s">
        <v>11046</v>
      </c>
      <c r="J1301" s="41" t="s">
        <v>11047</v>
      </c>
      <c r="L1301" s="41" t="s">
        <v>4</v>
      </c>
    </row>
    <row r="1302" spans="1:19" x14ac:dyDescent="0.25">
      <c r="A1302" s="41" t="s">
        <v>23</v>
      </c>
      <c r="B1302" s="41" t="s">
        <v>11048</v>
      </c>
      <c r="D1302" s="41" t="s">
        <v>11049</v>
      </c>
      <c r="E1302" s="41" t="s">
        <v>11050</v>
      </c>
      <c r="F1302" s="41" t="s">
        <v>11051</v>
      </c>
      <c r="G1302" s="41" t="s">
        <v>11052</v>
      </c>
      <c r="H1302" s="41" t="s">
        <v>11053</v>
      </c>
      <c r="I1302" s="41" t="s">
        <v>11054</v>
      </c>
      <c r="J1302" s="41" t="s">
        <v>11055</v>
      </c>
      <c r="K1302" s="41" t="s">
        <v>11056</v>
      </c>
      <c r="L1302" s="41" t="s">
        <v>11057</v>
      </c>
      <c r="M1302" s="41" t="s">
        <v>11058</v>
      </c>
      <c r="N1302" s="41" t="s">
        <v>11059</v>
      </c>
      <c r="O1302" s="41" t="s">
        <v>11060</v>
      </c>
      <c r="P1302" s="41" t="s">
        <v>11061</v>
      </c>
      <c r="Q1302" s="41" t="s">
        <v>11062</v>
      </c>
      <c r="R1302" s="41" t="s">
        <v>11063</v>
      </c>
      <c r="S1302" s="41" t="s">
        <v>11064</v>
      </c>
    </row>
    <row r="1303" spans="1:19" x14ac:dyDescent="0.25">
      <c r="A1303" s="41" t="s">
        <v>23</v>
      </c>
      <c r="B1303" s="41" t="s">
        <v>11065</v>
      </c>
      <c r="D1303" s="41" t="s">
        <v>11066</v>
      </c>
      <c r="F1303" s="41" t="s">
        <v>11067</v>
      </c>
      <c r="G1303" s="41" t="s">
        <v>11068</v>
      </c>
      <c r="H1303" s="41" t="s">
        <v>11069</v>
      </c>
      <c r="I1303" s="41" t="s">
        <v>11070</v>
      </c>
      <c r="J1303" s="41" t="s">
        <v>11071</v>
      </c>
      <c r="K1303" s="41" t="s">
        <v>11072</v>
      </c>
      <c r="L1303" s="41" t="s">
        <v>891</v>
      </c>
    </row>
    <row r="1304" spans="1:19" x14ac:dyDescent="0.25">
      <c r="A1304" s="41" t="s">
        <v>23</v>
      </c>
      <c r="B1304" s="41" t="s">
        <v>11073</v>
      </c>
      <c r="D1304" s="41" t="s">
        <v>11074</v>
      </c>
      <c r="F1304" s="41" t="s">
        <v>11075</v>
      </c>
      <c r="G1304" s="41" t="s">
        <v>11076</v>
      </c>
      <c r="H1304" s="41" t="s">
        <v>11077</v>
      </c>
      <c r="I1304" s="41" t="s">
        <v>11078</v>
      </c>
      <c r="J1304" s="41" t="s">
        <v>11079</v>
      </c>
      <c r="K1304" s="41" t="s">
        <v>11080</v>
      </c>
      <c r="L1304" s="41" t="s">
        <v>1076</v>
      </c>
    </row>
    <row r="1305" spans="1:19" x14ac:dyDescent="0.25">
      <c r="A1305" s="41" t="s">
        <v>23</v>
      </c>
      <c r="B1305" s="41" t="s">
        <v>11081</v>
      </c>
      <c r="D1305" s="41" t="s">
        <v>11082</v>
      </c>
      <c r="F1305" s="41" t="s">
        <v>11083</v>
      </c>
      <c r="G1305" s="41" t="s">
        <v>11084</v>
      </c>
      <c r="H1305" s="41" t="s">
        <v>11085</v>
      </c>
      <c r="I1305" s="41" t="s">
        <v>11086</v>
      </c>
      <c r="J1305" s="41" t="s">
        <v>11087</v>
      </c>
      <c r="K1305" s="41" t="s">
        <v>11088</v>
      </c>
      <c r="L1305" s="41" t="s">
        <v>1085</v>
      </c>
    </row>
    <row r="1306" spans="1:19" x14ac:dyDescent="0.25">
      <c r="A1306" s="41" t="s">
        <v>23</v>
      </c>
      <c r="B1306" s="41" t="s">
        <v>11089</v>
      </c>
      <c r="D1306" s="41" t="s">
        <v>11090</v>
      </c>
      <c r="F1306" s="41" t="s">
        <v>11091</v>
      </c>
      <c r="G1306" s="41" t="s">
        <v>11092</v>
      </c>
      <c r="H1306" s="41" t="s">
        <v>11093</v>
      </c>
      <c r="I1306" s="41" t="s">
        <v>11094</v>
      </c>
      <c r="J1306" s="41" t="s">
        <v>11095</v>
      </c>
      <c r="K1306" s="41" t="s">
        <v>11096</v>
      </c>
      <c r="L1306" s="41" t="s">
        <v>1094</v>
      </c>
    </row>
    <row r="1307" spans="1:19" x14ac:dyDescent="0.25">
      <c r="A1307" s="41" t="s">
        <v>908</v>
      </c>
      <c r="B1307" s="41" t="s">
        <v>11097</v>
      </c>
    </row>
    <row r="1308" spans="1:19" x14ac:dyDescent="0.25">
      <c r="A1308" s="41" t="s">
        <v>23</v>
      </c>
      <c r="B1308" s="41" t="s">
        <v>11098</v>
      </c>
      <c r="F1308" s="41" t="s">
        <v>11099</v>
      </c>
      <c r="G1308" s="41" t="s">
        <v>11100</v>
      </c>
      <c r="H1308" s="41" t="s">
        <v>11101</v>
      </c>
      <c r="I1308" s="41" t="s">
        <v>11102</v>
      </c>
      <c r="J1308" s="41" t="s">
        <v>11103</v>
      </c>
      <c r="L1308" s="41" t="s">
        <v>4</v>
      </c>
    </row>
    <row r="1309" spans="1:19" x14ac:dyDescent="0.25">
      <c r="A1309" s="41" t="s">
        <v>23</v>
      </c>
      <c r="B1309" s="41" t="s">
        <v>11104</v>
      </c>
      <c r="D1309" s="41" t="s">
        <v>540</v>
      </c>
      <c r="E1309" s="41" t="s">
        <v>11105</v>
      </c>
      <c r="F1309" s="41" t="s">
        <v>11106</v>
      </c>
      <c r="G1309" s="41" t="s">
        <v>11107</v>
      </c>
      <c r="H1309" s="41" t="s">
        <v>11108</v>
      </c>
      <c r="I1309" s="41" t="s">
        <v>11109</v>
      </c>
      <c r="J1309" s="41" t="s">
        <v>11110</v>
      </c>
      <c r="K1309" s="41" t="s">
        <v>11111</v>
      </c>
      <c r="L1309" s="41" t="s">
        <v>11112</v>
      </c>
      <c r="M1309" s="41" t="s">
        <v>11113</v>
      </c>
      <c r="N1309" s="41" t="s">
        <v>11114</v>
      </c>
      <c r="O1309" s="41" t="s">
        <v>11115</v>
      </c>
      <c r="P1309" s="41" t="s">
        <v>11116</v>
      </c>
      <c r="Q1309" s="41" t="s">
        <v>11117</v>
      </c>
      <c r="R1309" s="41" t="s">
        <v>11118</v>
      </c>
      <c r="S1309" s="41" t="s">
        <v>11119</v>
      </c>
    </row>
    <row r="1310" spans="1:19" x14ac:dyDescent="0.25">
      <c r="A1310" s="41" t="s">
        <v>23</v>
      </c>
      <c r="B1310" s="41" t="s">
        <v>11120</v>
      </c>
      <c r="D1310" s="41" t="s">
        <v>11121</v>
      </c>
      <c r="F1310" s="41" t="s">
        <v>11122</v>
      </c>
      <c r="G1310" s="41" t="s">
        <v>11123</v>
      </c>
      <c r="H1310" s="41" t="s">
        <v>11124</v>
      </c>
      <c r="I1310" s="41" t="s">
        <v>11125</v>
      </c>
      <c r="J1310" s="41" t="s">
        <v>11126</v>
      </c>
      <c r="K1310" s="41" t="s">
        <v>11127</v>
      </c>
      <c r="L1310" s="41" t="s">
        <v>891</v>
      </c>
    </row>
    <row r="1311" spans="1:19" x14ac:dyDescent="0.25">
      <c r="A1311" s="41" t="s">
        <v>23</v>
      </c>
      <c r="B1311" s="41" t="s">
        <v>11128</v>
      </c>
      <c r="D1311" s="41" t="s">
        <v>11129</v>
      </c>
      <c r="F1311" s="41" t="s">
        <v>11130</v>
      </c>
      <c r="G1311" s="41" t="s">
        <v>11131</v>
      </c>
      <c r="H1311" s="41" t="s">
        <v>11132</v>
      </c>
      <c r="I1311" s="41" t="s">
        <v>11133</v>
      </c>
      <c r="J1311" s="41" t="s">
        <v>11134</v>
      </c>
      <c r="K1311" s="41" t="s">
        <v>11135</v>
      </c>
      <c r="L1311" s="41" t="s">
        <v>1076</v>
      </c>
    </row>
    <row r="1312" spans="1:19" x14ac:dyDescent="0.25">
      <c r="A1312" s="41" t="s">
        <v>23</v>
      </c>
      <c r="B1312" s="41" t="s">
        <v>11136</v>
      </c>
      <c r="D1312" s="41" t="s">
        <v>11137</v>
      </c>
      <c r="F1312" s="41" t="s">
        <v>11138</v>
      </c>
      <c r="G1312" s="41" t="s">
        <v>11139</v>
      </c>
      <c r="H1312" s="41" t="s">
        <v>11140</v>
      </c>
      <c r="I1312" s="41" t="s">
        <v>11141</v>
      </c>
      <c r="J1312" s="41" t="s">
        <v>11142</v>
      </c>
      <c r="K1312" s="41" t="s">
        <v>11143</v>
      </c>
      <c r="L1312" s="41" t="s">
        <v>1085</v>
      </c>
    </row>
    <row r="1313" spans="1:19" x14ac:dyDescent="0.25">
      <c r="A1313" s="41" t="s">
        <v>23</v>
      </c>
      <c r="B1313" s="41" t="s">
        <v>11144</v>
      </c>
      <c r="D1313" s="41" t="s">
        <v>11145</v>
      </c>
      <c r="F1313" s="41" t="s">
        <v>11146</v>
      </c>
      <c r="G1313" s="41" t="s">
        <v>11147</v>
      </c>
      <c r="H1313" s="41" t="s">
        <v>11148</v>
      </c>
      <c r="I1313" s="41" t="s">
        <v>11149</v>
      </c>
      <c r="J1313" s="41" t="s">
        <v>11150</v>
      </c>
      <c r="K1313" s="41" t="s">
        <v>11151</v>
      </c>
      <c r="L1313" s="41" t="s">
        <v>1094</v>
      </c>
    </row>
    <row r="1314" spans="1:19" x14ac:dyDescent="0.25">
      <c r="A1314" s="41" t="s">
        <v>908</v>
      </c>
      <c r="B1314" s="41" t="s">
        <v>11152</v>
      </c>
    </row>
    <row r="1315" spans="1:19" x14ac:dyDescent="0.25">
      <c r="A1315" s="41" t="s">
        <v>23</v>
      </c>
      <c r="B1315" s="41" t="s">
        <v>11153</v>
      </c>
      <c r="F1315" s="41" t="s">
        <v>11154</v>
      </c>
      <c r="G1315" s="41" t="s">
        <v>11155</v>
      </c>
      <c r="H1315" s="41" t="s">
        <v>11156</v>
      </c>
      <c r="I1315" s="41" t="s">
        <v>11157</v>
      </c>
      <c r="J1315" s="41" t="s">
        <v>11158</v>
      </c>
      <c r="L1315" s="41" t="s">
        <v>4</v>
      </c>
    </row>
    <row r="1316" spans="1:19" x14ac:dyDescent="0.25">
      <c r="A1316" s="41" t="s">
        <v>23</v>
      </c>
      <c r="B1316" s="41" t="s">
        <v>11159</v>
      </c>
      <c r="D1316" s="41" t="s">
        <v>541</v>
      </c>
      <c r="E1316" s="41" t="s">
        <v>11160</v>
      </c>
      <c r="F1316" s="41" t="s">
        <v>11161</v>
      </c>
      <c r="G1316" s="41" t="s">
        <v>11162</v>
      </c>
      <c r="H1316" s="41" t="s">
        <v>11163</v>
      </c>
      <c r="I1316" s="41" t="s">
        <v>11164</v>
      </c>
      <c r="J1316" s="41" t="s">
        <v>11165</v>
      </c>
      <c r="K1316" s="41" t="s">
        <v>11166</v>
      </c>
      <c r="L1316" s="41" t="s">
        <v>11167</v>
      </c>
      <c r="M1316" s="41" t="s">
        <v>11168</v>
      </c>
      <c r="N1316" s="41" t="s">
        <v>11169</v>
      </c>
      <c r="O1316" s="41" t="s">
        <v>11170</v>
      </c>
      <c r="P1316" s="41" t="s">
        <v>11171</v>
      </c>
      <c r="Q1316" s="41" t="s">
        <v>11172</v>
      </c>
      <c r="R1316" s="41" t="s">
        <v>11173</v>
      </c>
      <c r="S1316" s="41" t="s">
        <v>11174</v>
      </c>
    </row>
    <row r="1317" spans="1:19" x14ac:dyDescent="0.25">
      <c r="A1317" s="41" t="s">
        <v>23</v>
      </c>
      <c r="B1317" s="41" t="s">
        <v>11175</v>
      </c>
      <c r="D1317" s="41" t="s">
        <v>11176</v>
      </c>
      <c r="F1317" s="41" t="s">
        <v>11177</v>
      </c>
      <c r="G1317" s="41" t="s">
        <v>11178</v>
      </c>
      <c r="H1317" s="41" t="s">
        <v>11179</v>
      </c>
      <c r="I1317" s="41" t="s">
        <v>11180</v>
      </c>
      <c r="J1317" s="41" t="s">
        <v>11181</v>
      </c>
      <c r="K1317" s="41" t="s">
        <v>11182</v>
      </c>
      <c r="L1317" s="41" t="s">
        <v>891</v>
      </c>
    </row>
    <row r="1318" spans="1:19" x14ac:dyDescent="0.25">
      <c r="A1318" s="41" t="s">
        <v>23</v>
      </c>
      <c r="B1318" s="41" t="s">
        <v>11183</v>
      </c>
      <c r="D1318" s="41" t="s">
        <v>11184</v>
      </c>
      <c r="F1318" s="41" t="s">
        <v>11185</v>
      </c>
      <c r="G1318" s="41" t="s">
        <v>11186</v>
      </c>
      <c r="H1318" s="41" t="s">
        <v>11187</v>
      </c>
      <c r="I1318" s="41" t="s">
        <v>11188</v>
      </c>
      <c r="J1318" s="41" t="s">
        <v>11189</v>
      </c>
      <c r="K1318" s="41" t="s">
        <v>11190</v>
      </c>
      <c r="L1318" s="41" t="s">
        <v>1076</v>
      </c>
    </row>
    <row r="1319" spans="1:19" x14ac:dyDescent="0.25">
      <c r="A1319" s="41" t="s">
        <v>23</v>
      </c>
      <c r="B1319" s="41" t="s">
        <v>11191</v>
      </c>
      <c r="D1319" s="41" t="s">
        <v>11192</v>
      </c>
      <c r="F1319" s="41" t="s">
        <v>11193</v>
      </c>
      <c r="G1319" s="41" t="s">
        <v>11194</v>
      </c>
      <c r="H1319" s="41" t="s">
        <v>11195</v>
      </c>
      <c r="I1319" s="41" t="s">
        <v>11196</v>
      </c>
      <c r="J1319" s="41" t="s">
        <v>11197</v>
      </c>
      <c r="K1319" s="41" t="s">
        <v>11198</v>
      </c>
      <c r="L1319" s="41" t="s">
        <v>1085</v>
      </c>
    </row>
    <row r="1320" spans="1:19" x14ac:dyDescent="0.25">
      <c r="A1320" s="41" t="s">
        <v>23</v>
      </c>
      <c r="B1320" s="41" t="s">
        <v>11199</v>
      </c>
      <c r="D1320" s="41" t="s">
        <v>11200</v>
      </c>
      <c r="F1320" s="41" t="s">
        <v>11201</v>
      </c>
      <c r="G1320" s="41" t="s">
        <v>11202</v>
      </c>
      <c r="H1320" s="41" t="s">
        <v>11203</v>
      </c>
      <c r="I1320" s="41" t="s">
        <v>11204</v>
      </c>
      <c r="J1320" s="41" t="s">
        <v>11205</v>
      </c>
      <c r="K1320" s="41" t="s">
        <v>11206</v>
      </c>
      <c r="L1320" s="41" t="s">
        <v>1094</v>
      </c>
    </row>
    <row r="1321" spans="1:19" x14ac:dyDescent="0.25">
      <c r="A1321" s="41" t="s">
        <v>908</v>
      </c>
      <c r="B1321" s="41" t="s">
        <v>11207</v>
      </c>
    </row>
    <row r="1322" spans="1:19" x14ac:dyDescent="0.25">
      <c r="A1322" s="41" t="s">
        <v>23</v>
      </c>
      <c r="B1322" s="41" t="s">
        <v>11208</v>
      </c>
      <c r="F1322" s="41" t="s">
        <v>11209</v>
      </c>
      <c r="G1322" s="41" t="s">
        <v>11210</v>
      </c>
      <c r="H1322" s="41" t="s">
        <v>11211</v>
      </c>
      <c r="I1322" s="41" t="s">
        <v>11212</v>
      </c>
      <c r="J1322" s="41" t="s">
        <v>11213</v>
      </c>
      <c r="L1322" s="41" t="s">
        <v>4</v>
      </c>
    </row>
    <row r="1323" spans="1:19" x14ac:dyDescent="0.25">
      <c r="A1323" s="41" t="s">
        <v>23</v>
      </c>
      <c r="B1323" s="41" t="s">
        <v>11214</v>
      </c>
      <c r="D1323" s="41" t="s">
        <v>542</v>
      </c>
      <c r="E1323" s="41" t="s">
        <v>11215</v>
      </c>
      <c r="F1323" s="41" t="s">
        <v>11216</v>
      </c>
      <c r="G1323" s="41" t="s">
        <v>11217</v>
      </c>
      <c r="H1323" s="41" t="s">
        <v>11218</v>
      </c>
      <c r="I1323" s="41" t="s">
        <v>11219</v>
      </c>
      <c r="J1323" s="41" t="s">
        <v>11220</v>
      </c>
      <c r="K1323" s="41" t="s">
        <v>11221</v>
      </c>
      <c r="L1323" s="41" t="s">
        <v>11222</v>
      </c>
      <c r="M1323" s="41" t="s">
        <v>11223</v>
      </c>
      <c r="N1323" s="41" t="s">
        <v>11224</v>
      </c>
      <c r="O1323" s="41" t="s">
        <v>11225</v>
      </c>
      <c r="P1323" s="41" t="s">
        <v>11226</v>
      </c>
      <c r="Q1323" s="41" t="s">
        <v>11227</v>
      </c>
      <c r="R1323" s="41" t="s">
        <v>11228</v>
      </c>
      <c r="S1323" s="41" t="s">
        <v>11229</v>
      </c>
    </row>
    <row r="1324" spans="1:19" x14ac:dyDescent="0.25">
      <c r="A1324" s="41" t="s">
        <v>23</v>
      </c>
      <c r="B1324" s="41" t="s">
        <v>11230</v>
      </c>
      <c r="D1324" s="41" t="s">
        <v>11231</v>
      </c>
      <c r="F1324" s="41" t="s">
        <v>11232</v>
      </c>
      <c r="G1324" s="41" t="s">
        <v>11233</v>
      </c>
      <c r="H1324" s="41" t="s">
        <v>11234</v>
      </c>
      <c r="I1324" s="41" t="s">
        <v>11235</v>
      </c>
      <c r="J1324" s="41" t="s">
        <v>11236</v>
      </c>
      <c r="K1324" s="41" t="s">
        <v>11237</v>
      </c>
      <c r="L1324" s="41" t="s">
        <v>891</v>
      </c>
    </row>
    <row r="1325" spans="1:19" x14ac:dyDescent="0.25">
      <c r="A1325" s="41" t="s">
        <v>23</v>
      </c>
      <c r="B1325" s="41" t="s">
        <v>11238</v>
      </c>
      <c r="D1325" s="41" t="s">
        <v>11239</v>
      </c>
      <c r="F1325" s="41" t="s">
        <v>11240</v>
      </c>
      <c r="G1325" s="41" t="s">
        <v>11241</v>
      </c>
      <c r="H1325" s="41" t="s">
        <v>11242</v>
      </c>
      <c r="I1325" s="41" t="s">
        <v>11243</v>
      </c>
      <c r="J1325" s="41" t="s">
        <v>11244</v>
      </c>
      <c r="K1325" s="41" t="s">
        <v>11245</v>
      </c>
      <c r="L1325" s="41" t="s">
        <v>1076</v>
      </c>
    </row>
    <row r="1326" spans="1:19" x14ac:dyDescent="0.25">
      <c r="A1326" s="41" t="s">
        <v>23</v>
      </c>
      <c r="B1326" s="41" t="s">
        <v>11246</v>
      </c>
      <c r="D1326" s="41" t="s">
        <v>11247</v>
      </c>
      <c r="F1326" s="41" t="s">
        <v>11248</v>
      </c>
      <c r="G1326" s="41" t="s">
        <v>11249</v>
      </c>
      <c r="H1326" s="41" t="s">
        <v>11250</v>
      </c>
      <c r="I1326" s="41" t="s">
        <v>11251</v>
      </c>
      <c r="J1326" s="41" t="s">
        <v>11252</v>
      </c>
      <c r="K1326" s="41" t="s">
        <v>11253</v>
      </c>
      <c r="L1326" s="41" t="s">
        <v>1085</v>
      </c>
    </row>
    <row r="1327" spans="1:19" x14ac:dyDescent="0.25">
      <c r="A1327" s="41" t="s">
        <v>23</v>
      </c>
      <c r="B1327" s="41" t="s">
        <v>11254</v>
      </c>
      <c r="D1327" s="41" t="s">
        <v>11255</v>
      </c>
      <c r="F1327" s="41" t="s">
        <v>11256</v>
      </c>
      <c r="G1327" s="41" t="s">
        <v>11257</v>
      </c>
      <c r="H1327" s="41" t="s">
        <v>11258</v>
      </c>
      <c r="I1327" s="41" t="s">
        <v>11259</v>
      </c>
      <c r="J1327" s="41" t="s">
        <v>11260</v>
      </c>
      <c r="K1327" s="41" t="s">
        <v>11261</v>
      </c>
      <c r="L1327" s="41" t="s">
        <v>1094</v>
      </c>
    </row>
    <row r="1328" spans="1:19" x14ac:dyDescent="0.25">
      <c r="A1328" s="41" t="s">
        <v>908</v>
      </c>
      <c r="B1328" s="41" t="s">
        <v>11262</v>
      </c>
    </row>
    <row r="1329" spans="1:19" x14ac:dyDescent="0.25">
      <c r="A1329" s="41" t="s">
        <v>23</v>
      </c>
      <c r="B1329" s="41" t="s">
        <v>11263</v>
      </c>
      <c r="F1329" s="41" t="s">
        <v>11264</v>
      </c>
      <c r="G1329" s="41" t="s">
        <v>11265</v>
      </c>
      <c r="H1329" s="41" t="s">
        <v>11266</v>
      </c>
      <c r="I1329" s="41" t="s">
        <v>11267</v>
      </c>
      <c r="J1329" s="41" t="s">
        <v>11268</v>
      </c>
      <c r="L1329" s="41" t="s">
        <v>4</v>
      </c>
    </row>
    <row r="1330" spans="1:19" x14ac:dyDescent="0.25">
      <c r="A1330" s="41" t="s">
        <v>23</v>
      </c>
      <c r="B1330" s="41" t="s">
        <v>11269</v>
      </c>
      <c r="D1330" s="41" t="s">
        <v>11270</v>
      </c>
      <c r="E1330" s="41" t="s">
        <v>11271</v>
      </c>
      <c r="F1330" s="41" t="s">
        <v>11272</v>
      </c>
      <c r="G1330" s="41" t="s">
        <v>11273</v>
      </c>
      <c r="H1330" s="41" t="s">
        <v>11274</v>
      </c>
      <c r="I1330" s="41" t="s">
        <v>11275</v>
      </c>
      <c r="J1330" s="41" t="s">
        <v>11276</v>
      </c>
      <c r="K1330" s="41" t="s">
        <v>11277</v>
      </c>
      <c r="L1330" s="41" t="s">
        <v>11278</v>
      </c>
      <c r="M1330" s="41" t="s">
        <v>11279</v>
      </c>
      <c r="N1330" s="41" t="s">
        <v>11280</v>
      </c>
      <c r="O1330" s="41" t="s">
        <v>11281</v>
      </c>
      <c r="P1330" s="41" t="s">
        <v>11282</v>
      </c>
      <c r="Q1330" s="41" t="s">
        <v>11283</v>
      </c>
      <c r="R1330" s="41" t="s">
        <v>11284</v>
      </c>
      <c r="S1330" s="41" t="s">
        <v>11285</v>
      </c>
    </row>
    <row r="1331" spans="1:19" x14ac:dyDescent="0.25">
      <c r="A1331" s="41" t="s">
        <v>23</v>
      </c>
      <c r="B1331" s="41" t="s">
        <v>11286</v>
      </c>
      <c r="D1331" s="41" t="s">
        <v>11287</v>
      </c>
      <c r="F1331" s="41" t="s">
        <v>11288</v>
      </c>
      <c r="G1331" s="41" t="s">
        <v>11289</v>
      </c>
      <c r="H1331" s="41" t="s">
        <v>11290</v>
      </c>
      <c r="I1331" s="41" t="s">
        <v>11291</v>
      </c>
      <c r="J1331" s="41" t="s">
        <v>11292</v>
      </c>
      <c r="K1331" s="41" t="s">
        <v>11293</v>
      </c>
      <c r="L1331" s="41" t="s">
        <v>891</v>
      </c>
    </row>
    <row r="1332" spans="1:19" x14ac:dyDescent="0.25">
      <c r="A1332" s="41" t="s">
        <v>23</v>
      </c>
      <c r="B1332" s="41" t="s">
        <v>11294</v>
      </c>
      <c r="D1332" s="41" t="s">
        <v>11295</v>
      </c>
      <c r="F1332" s="41" t="s">
        <v>11296</v>
      </c>
      <c r="G1332" s="41" t="s">
        <v>11297</v>
      </c>
      <c r="H1332" s="41" t="s">
        <v>11298</v>
      </c>
      <c r="I1332" s="41" t="s">
        <v>11299</v>
      </c>
      <c r="J1332" s="41" t="s">
        <v>11300</v>
      </c>
      <c r="K1332" s="41" t="s">
        <v>11301</v>
      </c>
      <c r="L1332" s="41" t="s">
        <v>1076</v>
      </c>
    </row>
    <row r="1333" spans="1:19" x14ac:dyDescent="0.25">
      <c r="A1333" s="41" t="s">
        <v>23</v>
      </c>
      <c r="B1333" s="41" t="s">
        <v>11302</v>
      </c>
      <c r="D1333" s="41" t="s">
        <v>11303</v>
      </c>
      <c r="F1333" s="41" t="s">
        <v>11304</v>
      </c>
      <c r="G1333" s="41" t="s">
        <v>11305</v>
      </c>
      <c r="H1333" s="41" t="s">
        <v>11306</v>
      </c>
      <c r="I1333" s="41" t="s">
        <v>11307</v>
      </c>
      <c r="J1333" s="41" t="s">
        <v>11308</v>
      </c>
      <c r="K1333" s="41" t="s">
        <v>11309</v>
      </c>
      <c r="L1333" s="41" t="s">
        <v>1085</v>
      </c>
    </row>
    <row r="1334" spans="1:19" x14ac:dyDescent="0.25">
      <c r="A1334" s="41" t="s">
        <v>23</v>
      </c>
      <c r="B1334" s="41" t="s">
        <v>11310</v>
      </c>
      <c r="D1334" s="41" t="s">
        <v>11311</v>
      </c>
      <c r="F1334" s="41" t="s">
        <v>11312</v>
      </c>
      <c r="G1334" s="41" t="s">
        <v>11313</v>
      </c>
      <c r="H1334" s="41" t="s">
        <v>11314</v>
      </c>
      <c r="I1334" s="41" t="s">
        <v>11315</v>
      </c>
      <c r="J1334" s="41" t="s">
        <v>11316</v>
      </c>
      <c r="K1334" s="41" t="s">
        <v>11317</v>
      </c>
      <c r="L1334" s="41" t="s">
        <v>1094</v>
      </c>
    </row>
    <row r="1335" spans="1:19" x14ac:dyDescent="0.25">
      <c r="A1335" s="41" t="s">
        <v>908</v>
      </c>
      <c r="B1335" s="41" t="s">
        <v>11318</v>
      </c>
    </row>
    <row r="1336" spans="1:19" x14ac:dyDescent="0.25">
      <c r="A1336" s="41" t="s">
        <v>23</v>
      </c>
      <c r="B1336" s="41" t="s">
        <v>11319</v>
      </c>
      <c r="F1336" s="41" t="s">
        <v>11320</v>
      </c>
      <c r="G1336" s="41" t="s">
        <v>11321</v>
      </c>
      <c r="H1336" s="41" t="s">
        <v>11322</v>
      </c>
      <c r="I1336" s="41" t="s">
        <v>11323</v>
      </c>
      <c r="J1336" s="41" t="s">
        <v>11324</v>
      </c>
      <c r="L1336" s="41" t="s">
        <v>4</v>
      </c>
    </row>
    <row r="1337" spans="1:19" x14ac:dyDescent="0.25">
      <c r="A1337" s="41" t="s">
        <v>23</v>
      </c>
      <c r="B1337" s="41" t="s">
        <v>11325</v>
      </c>
      <c r="D1337" s="41" t="s">
        <v>11326</v>
      </c>
      <c r="E1337" s="41" t="s">
        <v>11327</v>
      </c>
      <c r="F1337" s="41" t="s">
        <v>11328</v>
      </c>
      <c r="G1337" s="41" t="s">
        <v>11329</v>
      </c>
      <c r="H1337" s="41" t="s">
        <v>11330</v>
      </c>
      <c r="I1337" s="41" t="s">
        <v>11331</v>
      </c>
      <c r="J1337" s="41" t="s">
        <v>11332</v>
      </c>
      <c r="K1337" s="41" t="s">
        <v>11333</v>
      </c>
      <c r="L1337" s="41" t="s">
        <v>11334</v>
      </c>
      <c r="M1337" s="41" t="s">
        <v>11335</v>
      </c>
      <c r="N1337" s="41" t="s">
        <v>11336</v>
      </c>
      <c r="O1337" s="41" t="s">
        <v>11337</v>
      </c>
      <c r="P1337" s="41" t="s">
        <v>11338</v>
      </c>
      <c r="Q1337" s="41" t="s">
        <v>11339</v>
      </c>
      <c r="R1337" s="41" t="s">
        <v>11340</v>
      </c>
      <c r="S1337" s="41" t="s">
        <v>11341</v>
      </c>
    </row>
    <row r="1338" spans="1:19" x14ac:dyDescent="0.25">
      <c r="A1338" s="41" t="s">
        <v>23</v>
      </c>
      <c r="B1338" s="41" t="s">
        <v>11342</v>
      </c>
      <c r="D1338" s="41" t="s">
        <v>11343</v>
      </c>
      <c r="F1338" s="41" t="s">
        <v>11344</v>
      </c>
      <c r="G1338" s="41" t="s">
        <v>11345</v>
      </c>
      <c r="H1338" s="41" t="s">
        <v>11346</v>
      </c>
      <c r="I1338" s="41" t="s">
        <v>11347</v>
      </c>
      <c r="J1338" s="41" t="s">
        <v>11348</v>
      </c>
      <c r="K1338" s="41" t="s">
        <v>11349</v>
      </c>
      <c r="L1338" s="41" t="s">
        <v>891</v>
      </c>
    </row>
    <row r="1339" spans="1:19" x14ac:dyDescent="0.25">
      <c r="A1339" s="41" t="s">
        <v>23</v>
      </c>
      <c r="B1339" s="41" t="s">
        <v>11350</v>
      </c>
      <c r="D1339" s="41" t="s">
        <v>11351</v>
      </c>
      <c r="F1339" s="41" t="s">
        <v>11352</v>
      </c>
      <c r="G1339" s="41" t="s">
        <v>11353</v>
      </c>
      <c r="H1339" s="41" t="s">
        <v>11354</v>
      </c>
      <c r="I1339" s="41" t="s">
        <v>11355</v>
      </c>
      <c r="J1339" s="41" t="s">
        <v>11356</v>
      </c>
      <c r="K1339" s="41" t="s">
        <v>11357</v>
      </c>
      <c r="L1339" s="41" t="s">
        <v>1076</v>
      </c>
    </row>
    <row r="1340" spans="1:19" x14ac:dyDescent="0.25">
      <c r="A1340" s="41" t="s">
        <v>23</v>
      </c>
      <c r="B1340" s="41" t="s">
        <v>11358</v>
      </c>
      <c r="D1340" s="41" t="s">
        <v>11359</v>
      </c>
      <c r="F1340" s="41" t="s">
        <v>11360</v>
      </c>
      <c r="G1340" s="41" t="s">
        <v>11361</v>
      </c>
      <c r="H1340" s="41" t="s">
        <v>11362</v>
      </c>
      <c r="I1340" s="41" t="s">
        <v>11363</v>
      </c>
      <c r="J1340" s="41" t="s">
        <v>11364</v>
      </c>
      <c r="K1340" s="41" t="s">
        <v>11365</v>
      </c>
      <c r="L1340" s="41" t="s">
        <v>1085</v>
      </c>
    </row>
    <row r="1341" spans="1:19" x14ac:dyDescent="0.25">
      <c r="A1341" s="41" t="s">
        <v>23</v>
      </c>
      <c r="B1341" s="41" t="s">
        <v>11366</v>
      </c>
      <c r="D1341" s="41" t="s">
        <v>11367</v>
      </c>
      <c r="F1341" s="41" t="s">
        <v>11368</v>
      </c>
      <c r="G1341" s="41" t="s">
        <v>11369</v>
      </c>
      <c r="H1341" s="41" t="s">
        <v>11370</v>
      </c>
      <c r="I1341" s="41" t="s">
        <v>11371</v>
      </c>
      <c r="J1341" s="41" t="s">
        <v>11372</v>
      </c>
      <c r="K1341" s="41" t="s">
        <v>11373</v>
      </c>
      <c r="L1341" s="41" t="s">
        <v>1094</v>
      </c>
    </row>
    <row r="1342" spans="1:19" x14ac:dyDescent="0.25">
      <c r="A1342" s="41" t="s">
        <v>908</v>
      </c>
      <c r="B1342" s="41" t="s">
        <v>11374</v>
      </c>
    </row>
    <row r="1343" spans="1:19" x14ac:dyDescent="0.25">
      <c r="A1343" s="41" t="s">
        <v>23</v>
      </c>
      <c r="B1343" s="41" t="s">
        <v>11375</v>
      </c>
      <c r="F1343" s="41" t="s">
        <v>11376</v>
      </c>
      <c r="G1343" s="41" t="s">
        <v>11377</v>
      </c>
      <c r="H1343" s="41" t="s">
        <v>11378</v>
      </c>
      <c r="I1343" s="41" t="s">
        <v>11379</v>
      </c>
      <c r="J1343" s="41" t="s">
        <v>11380</v>
      </c>
      <c r="L1343" s="41" t="s">
        <v>4</v>
      </c>
    </row>
    <row r="1344" spans="1:19" x14ac:dyDescent="0.25">
      <c r="A1344" s="41" t="s">
        <v>23</v>
      </c>
      <c r="B1344" s="41" t="s">
        <v>11381</v>
      </c>
      <c r="D1344" s="41" t="s">
        <v>11382</v>
      </c>
      <c r="E1344" s="41" t="s">
        <v>11383</v>
      </c>
      <c r="F1344" s="41" t="s">
        <v>11384</v>
      </c>
      <c r="G1344" s="41" t="s">
        <v>11385</v>
      </c>
      <c r="H1344" s="41" t="s">
        <v>11386</v>
      </c>
      <c r="I1344" s="41" t="s">
        <v>11387</v>
      </c>
      <c r="J1344" s="41" t="s">
        <v>11388</v>
      </c>
      <c r="K1344" s="41" t="s">
        <v>11389</v>
      </c>
      <c r="L1344" s="41" t="s">
        <v>11390</v>
      </c>
      <c r="M1344" s="41" t="s">
        <v>11391</v>
      </c>
      <c r="N1344" s="41" t="s">
        <v>11392</v>
      </c>
      <c r="O1344" s="41" t="s">
        <v>11393</v>
      </c>
      <c r="P1344" s="41" t="s">
        <v>11394</v>
      </c>
      <c r="Q1344" s="41" t="s">
        <v>11395</v>
      </c>
      <c r="R1344" s="41" t="s">
        <v>11396</v>
      </c>
      <c r="S1344" s="41" t="s">
        <v>11397</v>
      </c>
    </row>
    <row r="1345" spans="1:19" x14ac:dyDescent="0.25">
      <c r="A1345" s="41" t="s">
        <v>23</v>
      </c>
      <c r="B1345" s="41" t="s">
        <v>11398</v>
      </c>
      <c r="D1345" s="41" t="s">
        <v>11399</v>
      </c>
      <c r="F1345" s="41" t="s">
        <v>11400</v>
      </c>
      <c r="G1345" s="41" t="s">
        <v>11401</v>
      </c>
      <c r="H1345" s="41" t="s">
        <v>11402</v>
      </c>
      <c r="I1345" s="41" t="s">
        <v>11403</v>
      </c>
      <c r="J1345" s="41" t="s">
        <v>11404</v>
      </c>
      <c r="K1345" s="41" t="s">
        <v>11405</v>
      </c>
      <c r="L1345" s="41" t="s">
        <v>891</v>
      </c>
    </row>
    <row r="1346" spans="1:19" x14ac:dyDescent="0.25">
      <c r="A1346" s="41" t="s">
        <v>23</v>
      </c>
      <c r="B1346" s="41" t="s">
        <v>11406</v>
      </c>
      <c r="D1346" s="41" t="s">
        <v>11407</v>
      </c>
      <c r="F1346" s="41" t="s">
        <v>11408</v>
      </c>
      <c r="G1346" s="41" t="s">
        <v>11409</v>
      </c>
      <c r="H1346" s="41" t="s">
        <v>11410</v>
      </c>
      <c r="I1346" s="41" t="s">
        <v>11411</v>
      </c>
      <c r="J1346" s="41" t="s">
        <v>11412</v>
      </c>
      <c r="K1346" s="41" t="s">
        <v>11413</v>
      </c>
      <c r="L1346" s="41" t="s">
        <v>1076</v>
      </c>
    </row>
    <row r="1347" spans="1:19" x14ac:dyDescent="0.25">
      <c r="A1347" s="41" t="s">
        <v>23</v>
      </c>
      <c r="B1347" s="41" t="s">
        <v>11414</v>
      </c>
      <c r="D1347" s="41" t="s">
        <v>11415</v>
      </c>
      <c r="F1347" s="41" t="s">
        <v>11416</v>
      </c>
      <c r="G1347" s="41" t="s">
        <v>11417</v>
      </c>
      <c r="H1347" s="41" t="s">
        <v>11418</v>
      </c>
      <c r="I1347" s="41" t="s">
        <v>11419</v>
      </c>
      <c r="J1347" s="41" t="s">
        <v>11420</v>
      </c>
      <c r="K1347" s="41" t="s">
        <v>11421</v>
      </c>
      <c r="L1347" s="41" t="s">
        <v>1085</v>
      </c>
    </row>
    <row r="1348" spans="1:19" x14ac:dyDescent="0.25">
      <c r="A1348" s="41" t="s">
        <v>23</v>
      </c>
      <c r="B1348" s="41" t="s">
        <v>11422</v>
      </c>
      <c r="D1348" s="41" t="s">
        <v>11423</v>
      </c>
      <c r="F1348" s="41" t="s">
        <v>11424</v>
      </c>
      <c r="G1348" s="41" t="s">
        <v>11425</v>
      </c>
      <c r="H1348" s="41" t="s">
        <v>11426</v>
      </c>
      <c r="I1348" s="41" t="s">
        <v>11427</v>
      </c>
      <c r="J1348" s="41" t="s">
        <v>11428</v>
      </c>
      <c r="K1348" s="41" t="s">
        <v>11429</v>
      </c>
      <c r="L1348" s="41" t="s">
        <v>1094</v>
      </c>
    </row>
    <row r="1349" spans="1:19" x14ac:dyDescent="0.25">
      <c r="A1349" s="41" t="s">
        <v>908</v>
      </c>
      <c r="B1349" s="41" t="s">
        <v>11430</v>
      </c>
    </row>
    <row r="1350" spans="1:19" x14ac:dyDescent="0.25">
      <c r="A1350" s="41" t="s">
        <v>23</v>
      </c>
      <c r="B1350" s="41" t="s">
        <v>11431</v>
      </c>
      <c r="F1350" s="41" t="s">
        <v>11432</v>
      </c>
      <c r="G1350" s="41" t="s">
        <v>11433</v>
      </c>
      <c r="H1350" s="41" t="s">
        <v>11434</v>
      </c>
      <c r="I1350" s="41" t="s">
        <v>11435</v>
      </c>
      <c r="J1350" s="41" t="s">
        <v>11436</v>
      </c>
      <c r="L1350" s="41" t="s">
        <v>4</v>
      </c>
    </row>
    <row r="1351" spans="1:19" x14ac:dyDescent="0.25">
      <c r="A1351" s="41" t="s">
        <v>23</v>
      </c>
      <c r="B1351" s="41" t="s">
        <v>11437</v>
      </c>
      <c r="D1351" s="41" t="s">
        <v>11438</v>
      </c>
      <c r="E1351" s="41" t="s">
        <v>11439</v>
      </c>
      <c r="F1351" s="41" t="s">
        <v>11440</v>
      </c>
      <c r="G1351" s="41" t="s">
        <v>11441</v>
      </c>
      <c r="H1351" s="41" t="s">
        <v>11442</v>
      </c>
      <c r="I1351" s="41" t="s">
        <v>11443</v>
      </c>
      <c r="J1351" s="41" t="s">
        <v>11444</v>
      </c>
      <c r="K1351" s="41" t="s">
        <v>11445</v>
      </c>
      <c r="L1351" s="41" t="s">
        <v>11446</v>
      </c>
      <c r="M1351" s="41" t="s">
        <v>11447</v>
      </c>
      <c r="N1351" s="41" t="s">
        <v>11448</v>
      </c>
      <c r="O1351" s="41" t="s">
        <v>11449</v>
      </c>
      <c r="P1351" s="41" t="s">
        <v>11450</v>
      </c>
      <c r="Q1351" s="41" t="s">
        <v>11451</v>
      </c>
      <c r="R1351" s="41" t="s">
        <v>11452</v>
      </c>
      <c r="S1351" s="41" t="s">
        <v>11453</v>
      </c>
    </row>
    <row r="1352" spans="1:19" x14ac:dyDescent="0.25">
      <c r="A1352" s="41" t="s">
        <v>23</v>
      </c>
      <c r="B1352" s="41" t="s">
        <v>11454</v>
      </c>
      <c r="D1352" s="41" t="s">
        <v>11455</v>
      </c>
      <c r="F1352" s="41" t="s">
        <v>11456</v>
      </c>
      <c r="G1352" s="41" t="s">
        <v>11457</v>
      </c>
      <c r="H1352" s="41" t="s">
        <v>11458</v>
      </c>
      <c r="I1352" s="41" t="s">
        <v>11459</v>
      </c>
      <c r="J1352" s="41" t="s">
        <v>11460</v>
      </c>
      <c r="K1352" s="41" t="s">
        <v>11461</v>
      </c>
      <c r="L1352" s="41" t="s">
        <v>891</v>
      </c>
    </row>
    <row r="1353" spans="1:19" x14ac:dyDescent="0.25">
      <c r="A1353" s="41" t="s">
        <v>23</v>
      </c>
      <c r="B1353" s="41" t="s">
        <v>11462</v>
      </c>
      <c r="D1353" s="41" t="s">
        <v>11463</v>
      </c>
      <c r="F1353" s="41" t="s">
        <v>11464</v>
      </c>
      <c r="G1353" s="41" t="s">
        <v>11465</v>
      </c>
      <c r="H1353" s="41" t="s">
        <v>11466</v>
      </c>
      <c r="I1353" s="41" t="s">
        <v>11467</v>
      </c>
      <c r="J1353" s="41" t="s">
        <v>11468</v>
      </c>
      <c r="K1353" s="41" t="s">
        <v>11469</v>
      </c>
      <c r="L1353" s="41" t="s">
        <v>1076</v>
      </c>
    </row>
    <row r="1354" spans="1:19" x14ac:dyDescent="0.25">
      <c r="A1354" s="41" t="s">
        <v>23</v>
      </c>
      <c r="B1354" s="41" t="s">
        <v>11470</v>
      </c>
      <c r="D1354" s="41" t="s">
        <v>11471</v>
      </c>
      <c r="F1354" s="41" t="s">
        <v>11472</v>
      </c>
      <c r="G1354" s="41" t="s">
        <v>11473</v>
      </c>
      <c r="H1354" s="41" t="s">
        <v>11474</v>
      </c>
      <c r="I1354" s="41" t="s">
        <v>11475</v>
      </c>
      <c r="J1354" s="41" t="s">
        <v>11476</v>
      </c>
      <c r="K1354" s="41" t="s">
        <v>11477</v>
      </c>
      <c r="L1354" s="41" t="s">
        <v>1085</v>
      </c>
    </row>
    <row r="1355" spans="1:19" x14ac:dyDescent="0.25">
      <c r="A1355" s="41" t="s">
        <v>23</v>
      </c>
      <c r="B1355" s="41" t="s">
        <v>11478</v>
      </c>
      <c r="D1355" s="41" t="s">
        <v>11479</v>
      </c>
      <c r="F1355" s="41" t="s">
        <v>11480</v>
      </c>
      <c r="G1355" s="41" t="s">
        <v>11481</v>
      </c>
      <c r="H1355" s="41" t="s">
        <v>11482</v>
      </c>
      <c r="I1355" s="41" t="s">
        <v>11483</v>
      </c>
      <c r="J1355" s="41" t="s">
        <v>11484</v>
      </c>
      <c r="K1355" s="41" t="s">
        <v>11485</v>
      </c>
      <c r="L1355" s="41" t="s">
        <v>1094</v>
      </c>
    </row>
    <row r="1356" spans="1:19" x14ac:dyDescent="0.25">
      <c r="A1356" s="41" t="s">
        <v>908</v>
      </c>
      <c r="B1356" s="41" t="s">
        <v>11486</v>
      </c>
    </row>
    <row r="1357" spans="1:19" x14ac:dyDescent="0.25">
      <c r="A1357" s="41" t="s">
        <v>23</v>
      </c>
      <c r="B1357" s="41" t="s">
        <v>11487</v>
      </c>
      <c r="F1357" s="41" t="s">
        <v>11488</v>
      </c>
      <c r="G1357" s="41" t="s">
        <v>11489</v>
      </c>
      <c r="H1357" s="41" t="s">
        <v>11490</v>
      </c>
      <c r="I1357" s="41" t="s">
        <v>11491</v>
      </c>
      <c r="J1357" s="41" t="s">
        <v>11492</v>
      </c>
      <c r="L1357" s="41" t="s">
        <v>4</v>
      </c>
    </row>
    <row r="1358" spans="1:19" x14ac:dyDescent="0.25">
      <c r="A1358" s="41" t="s">
        <v>23</v>
      </c>
      <c r="B1358" s="41" t="s">
        <v>11493</v>
      </c>
      <c r="D1358" s="41" t="s">
        <v>11494</v>
      </c>
      <c r="E1358" s="41" t="s">
        <v>11495</v>
      </c>
      <c r="F1358" s="41" t="s">
        <v>11496</v>
      </c>
      <c r="G1358" s="41" t="s">
        <v>11497</v>
      </c>
      <c r="H1358" s="41" t="s">
        <v>11498</v>
      </c>
      <c r="I1358" s="41" t="s">
        <v>11499</v>
      </c>
      <c r="J1358" s="41" t="s">
        <v>11500</v>
      </c>
      <c r="K1358" s="41" t="s">
        <v>11501</v>
      </c>
      <c r="L1358" s="41" t="s">
        <v>11502</v>
      </c>
      <c r="M1358" s="41" t="s">
        <v>11503</v>
      </c>
      <c r="N1358" s="41" t="s">
        <v>11504</v>
      </c>
      <c r="O1358" s="41" t="s">
        <v>11505</v>
      </c>
      <c r="P1358" s="41" t="s">
        <v>11506</v>
      </c>
      <c r="Q1358" s="41" t="s">
        <v>11507</v>
      </c>
      <c r="R1358" s="41" t="s">
        <v>11508</v>
      </c>
      <c r="S1358" s="41" t="s">
        <v>11509</v>
      </c>
    </row>
    <row r="1359" spans="1:19" x14ac:dyDescent="0.25">
      <c r="A1359" s="41" t="s">
        <v>23</v>
      </c>
      <c r="B1359" s="41" t="s">
        <v>11510</v>
      </c>
      <c r="D1359" s="41" t="s">
        <v>11511</v>
      </c>
      <c r="F1359" s="41" t="s">
        <v>11512</v>
      </c>
      <c r="G1359" s="41" t="s">
        <v>11513</v>
      </c>
      <c r="H1359" s="41" t="s">
        <v>11514</v>
      </c>
      <c r="I1359" s="41" t="s">
        <v>11515</v>
      </c>
      <c r="J1359" s="41" t="s">
        <v>11516</v>
      </c>
      <c r="K1359" s="41" t="s">
        <v>11517</v>
      </c>
      <c r="L1359" s="41" t="s">
        <v>891</v>
      </c>
    </row>
    <row r="1360" spans="1:19" x14ac:dyDescent="0.25">
      <c r="A1360" s="41" t="s">
        <v>23</v>
      </c>
      <c r="B1360" s="41" t="s">
        <v>11518</v>
      </c>
      <c r="D1360" s="41" t="s">
        <v>11519</v>
      </c>
      <c r="F1360" s="41" t="s">
        <v>11520</v>
      </c>
      <c r="G1360" s="41" t="s">
        <v>11521</v>
      </c>
      <c r="H1360" s="41" t="s">
        <v>11522</v>
      </c>
      <c r="I1360" s="41" t="s">
        <v>11523</v>
      </c>
      <c r="J1360" s="41" t="s">
        <v>11524</v>
      </c>
      <c r="K1360" s="41" t="s">
        <v>11525</v>
      </c>
      <c r="L1360" s="41" t="s">
        <v>1076</v>
      </c>
    </row>
    <row r="1361" spans="1:19" x14ac:dyDescent="0.25">
      <c r="A1361" s="41" t="s">
        <v>23</v>
      </c>
      <c r="B1361" s="41" t="s">
        <v>11526</v>
      </c>
      <c r="D1361" s="41" t="s">
        <v>11527</v>
      </c>
      <c r="F1361" s="41" t="s">
        <v>11528</v>
      </c>
      <c r="G1361" s="41" t="s">
        <v>11529</v>
      </c>
      <c r="H1361" s="41" t="s">
        <v>11530</v>
      </c>
      <c r="I1361" s="41" t="s">
        <v>11531</v>
      </c>
      <c r="J1361" s="41" t="s">
        <v>11532</v>
      </c>
      <c r="K1361" s="41" t="s">
        <v>11533</v>
      </c>
      <c r="L1361" s="41" t="s">
        <v>1085</v>
      </c>
    </row>
    <row r="1362" spans="1:19" x14ac:dyDescent="0.25">
      <c r="A1362" s="41" t="s">
        <v>23</v>
      </c>
      <c r="B1362" s="41" t="s">
        <v>11534</v>
      </c>
      <c r="D1362" s="41" t="s">
        <v>11535</v>
      </c>
      <c r="F1362" s="41" t="s">
        <v>11536</v>
      </c>
      <c r="G1362" s="41" t="s">
        <v>11537</v>
      </c>
      <c r="H1362" s="41" t="s">
        <v>11538</v>
      </c>
      <c r="I1362" s="41" t="s">
        <v>11539</v>
      </c>
      <c r="J1362" s="41" t="s">
        <v>11540</v>
      </c>
      <c r="K1362" s="41" t="s">
        <v>11541</v>
      </c>
      <c r="L1362" s="41" t="s">
        <v>1094</v>
      </c>
    </row>
    <row r="1363" spans="1:19" x14ac:dyDescent="0.25">
      <c r="A1363" s="41" t="s">
        <v>908</v>
      </c>
      <c r="B1363" s="41" t="s">
        <v>11542</v>
      </c>
    </row>
    <row r="1364" spans="1:19" x14ac:dyDescent="0.25">
      <c r="A1364" s="41" t="s">
        <v>23</v>
      </c>
      <c r="B1364" s="41" t="s">
        <v>11543</v>
      </c>
      <c r="F1364" s="41" t="s">
        <v>11544</v>
      </c>
      <c r="G1364" s="41" t="s">
        <v>11545</v>
      </c>
      <c r="H1364" s="41" t="s">
        <v>11546</v>
      </c>
      <c r="I1364" s="41" t="s">
        <v>11547</v>
      </c>
      <c r="J1364" s="41" t="s">
        <v>11548</v>
      </c>
      <c r="L1364" s="41" t="s">
        <v>4</v>
      </c>
    </row>
    <row r="1365" spans="1:19" x14ac:dyDescent="0.25">
      <c r="A1365" s="41" t="s">
        <v>23</v>
      </c>
      <c r="B1365" s="41" t="s">
        <v>11549</v>
      </c>
      <c r="D1365" s="41" t="s">
        <v>11550</v>
      </c>
      <c r="E1365" s="41" t="s">
        <v>11551</v>
      </c>
      <c r="F1365" s="41" t="s">
        <v>11552</v>
      </c>
      <c r="G1365" s="41" t="s">
        <v>11553</v>
      </c>
      <c r="H1365" s="41" t="s">
        <v>11554</v>
      </c>
      <c r="I1365" s="41" t="s">
        <v>11555</v>
      </c>
      <c r="J1365" s="41" t="s">
        <v>11556</v>
      </c>
      <c r="K1365" s="41" t="s">
        <v>11557</v>
      </c>
      <c r="L1365" s="41" t="s">
        <v>11558</v>
      </c>
      <c r="M1365" s="41" t="s">
        <v>11559</v>
      </c>
      <c r="N1365" s="41" t="s">
        <v>11560</v>
      </c>
      <c r="O1365" s="41" t="s">
        <v>11561</v>
      </c>
      <c r="P1365" s="41" t="s">
        <v>11562</v>
      </c>
      <c r="Q1365" s="41" t="s">
        <v>11563</v>
      </c>
      <c r="R1365" s="41" t="s">
        <v>11564</v>
      </c>
      <c r="S1365" s="41" t="s">
        <v>11565</v>
      </c>
    </row>
    <row r="1366" spans="1:19" x14ac:dyDescent="0.25">
      <c r="A1366" s="41" t="s">
        <v>23</v>
      </c>
      <c r="B1366" s="41" t="s">
        <v>11566</v>
      </c>
      <c r="D1366" s="41" t="s">
        <v>11567</v>
      </c>
      <c r="F1366" s="41" t="s">
        <v>11568</v>
      </c>
      <c r="G1366" s="41" t="s">
        <v>11569</v>
      </c>
      <c r="H1366" s="41" t="s">
        <v>11570</v>
      </c>
      <c r="I1366" s="41" t="s">
        <v>11571</v>
      </c>
      <c r="J1366" s="41" t="s">
        <v>11572</v>
      </c>
      <c r="K1366" s="41" t="s">
        <v>11573</v>
      </c>
      <c r="L1366" s="41" t="s">
        <v>891</v>
      </c>
    </row>
    <row r="1367" spans="1:19" x14ac:dyDescent="0.25">
      <c r="A1367" s="41" t="s">
        <v>23</v>
      </c>
      <c r="B1367" s="41" t="s">
        <v>11574</v>
      </c>
      <c r="D1367" s="41" t="s">
        <v>11575</v>
      </c>
      <c r="F1367" s="41" t="s">
        <v>11576</v>
      </c>
      <c r="G1367" s="41" t="s">
        <v>11577</v>
      </c>
      <c r="H1367" s="41" t="s">
        <v>11578</v>
      </c>
      <c r="I1367" s="41" t="s">
        <v>11579</v>
      </c>
      <c r="J1367" s="41" t="s">
        <v>11580</v>
      </c>
      <c r="K1367" s="41" t="s">
        <v>11581</v>
      </c>
      <c r="L1367" s="41" t="s">
        <v>1076</v>
      </c>
    </row>
    <row r="1368" spans="1:19" x14ac:dyDescent="0.25">
      <c r="A1368" s="41" t="s">
        <v>23</v>
      </c>
      <c r="B1368" s="41" t="s">
        <v>11582</v>
      </c>
      <c r="D1368" s="41" t="s">
        <v>11583</v>
      </c>
      <c r="F1368" s="41" t="s">
        <v>11584</v>
      </c>
      <c r="G1368" s="41" t="s">
        <v>11585</v>
      </c>
      <c r="H1368" s="41" t="s">
        <v>11586</v>
      </c>
      <c r="I1368" s="41" t="s">
        <v>11587</v>
      </c>
      <c r="J1368" s="41" t="s">
        <v>11588</v>
      </c>
      <c r="K1368" s="41" t="s">
        <v>11589</v>
      </c>
      <c r="L1368" s="41" t="s">
        <v>1085</v>
      </c>
    </row>
    <row r="1369" spans="1:19" x14ac:dyDescent="0.25">
      <c r="A1369" s="41" t="s">
        <v>23</v>
      </c>
      <c r="B1369" s="41" t="s">
        <v>11590</v>
      </c>
      <c r="D1369" s="41" t="s">
        <v>11591</v>
      </c>
      <c r="F1369" s="41" t="s">
        <v>11592</v>
      </c>
      <c r="G1369" s="41" t="s">
        <v>11593</v>
      </c>
      <c r="H1369" s="41" t="s">
        <v>11594</v>
      </c>
      <c r="I1369" s="41" t="s">
        <v>11595</v>
      </c>
      <c r="J1369" s="41" t="s">
        <v>11596</v>
      </c>
      <c r="K1369" s="41" t="s">
        <v>11597</v>
      </c>
      <c r="L1369" s="41" t="s">
        <v>1094</v>
      </c>
    </row>
    <row r="1370" spans="1:19" x14ac:dyDescent="0.25">
      <c r="A1370" s="41" t="s">
        <v>908</v>
      </c>
      <c r="B1370" s="41" t="s">
        <v>11598</v>
      </c>
    </row>
    <row r="1371" spans="1:19" x14ac:dyDescent="0.25">
      <c r="A1371" s="41" t="s">
        <v>23</v>
      </c>
      <c r="B1371" s="41" t="s">
        <v>11599</v>
      </c>
      <c r="F1371" s="41" t="s">
        <v>11600</v>
      </c>
      <c r="G1371" s="41" t="s">
        <v>11601</v>
      </c>
      <c r="H1371" s="41" t="s">
        <v>11602</v>
      </c>
      <c r="I1371" s="41" t="s">
        <v>11603</v>
      </c>
      <c r="J1371" s="41" t="s">
        <v>11604</v>
      </c>
      <c r="L1371" s="41" t="s">
        <v>4</v>
      </c>
    </row>
    <row r="1372" spans="1:19" x14ac:dyDescent="0.25">
      <c r="A1372" s="41" t="s">
        <v>23</v>
      </c>
      <c r="B1372" s="41" t="s">
        <v>11605</v>
      </c>
      <c r="D1372" s="41" t="s">
        <v>11606</v>
      </c>
      <c r="E1372" s="41" t="s">
        <v>11607</v>
      </c>
      <c r="F1372" s="41" t="s">
        <v>11608</v>
      </c>
      <c r="G1372" s="41" t="s">
        <v>11609</v>
      </c>
      <c r="H1372" s="41" t="s">
        <v>11610</v>
      </c>
      <c r="I1372" s="41" t="s">
        <v>11611</v>
      </c>
      <c r="J1372" s="41" t="s">
        <v>11612</v>
      </c>
      <c r="K1372" s="41" t="s">
        <v>11613</v>
      </c>
      <c r="L1372" s="41" t="s">
        <v>11614</v>
      </c>
      <c r="M1372" s="41" t="s">
        <v>11615</v>
      </c>
      <c r="N1372" s="41" t="s">
        <v>11616</v>
      </c>
      <c r="O1372" s="41" t="s">
        <v>11617</v>
      </c>
      <c r="P1372" s="41" t="s">
        <v>11618</v>
      </c>
      <c r="Q1372" s="41" t="s">
        <v>11619</v>
      </c>
      <c r="R1372" s="41" t="s">
        <v>11620</v>
      </c>
      <c r="S1372" s="41" t="s">
        <v>11621</v>
      </c>
    </row>
    <row r="1373" spans="1:19" x14ac:dyDescent="0.25">
      <c r="A1373" s="41" t="s">
        <v>23</v>
      </c>
      <c r="B1373" s="41" t="s">
        <v>11622</v>
      </c>
      <c r="D1373" s="41" t="s">
        <v>11623</v>
      </c>
      <c r="F1373" s="41" t="s">
        <v>11624</v>
      </c>
      <c r="G1373" s="41" t="s">
        <v>11625</v>
      </c>
      <c r="H1373" s="41" t="s">
        <v>11626</v>
      </c>
      <c r="I1373" s="41" t="s">
        <v>11627</v>
      </c>
      <c r="J1373" s="41" t="s">
        <v>11628</v>
      </c>
      <c r="K1373" s="41" t="s">
        <v>11629</v>
      </c>
      <c r="L1373" s="41" t="s">
        <v>891</v>
      </c>
    </row>
    <row r="1374" spans="1:19" x14ac:dyDescent="0.25">
      <c r="A1374" s="41" t="s">
        <v>23</v>
      </c>
      <c r="B1374" s="41" t="s">
        <v>11630</v>
      </c>
      <c r="D1374" s="41" t="s">
        <v>11631</v>
      </c>
      <c r="F1374" s="41" t="s">
        <v>11632</v>
      </c>
      <c r="G1374" s="41" t="s">
        <v>11633</v>
      </c>
      <c r="H1374" s="41" t="s">
        <v>11634</v>
      </c>
      <c r="I1374" s="41" t="s">
        <v>11635</v>
      </c>
      <c r="J1374" s="41" t="s">
        <v>11636</v>
      </c>
      <c r="K1374" s="41" t="s">
        <v>11637</v>
      </c>
      <c r="L1374" s="41" t="s">
        <v>1076</v>
      </c>
    </row>
    <row r="1375" spans="1:19" x14ac:dyDescent="0.25">
      <c r="A1375" s="41" t="s">
        <v>23</v>
      </c>
      <c r="B1375" s="41" t="s">
        <v>11638</v>
      </c>
      <c r="D1375" s="41" t="s">
        <v>11639</v>
      </c>
      <c r="F1375" s="41" t="s">
        <v>11640</v>
      </c>
      <c r="G1375" s="41" t="s">
        <v>11641</v>
      </c>
      <c r="H1375" s="41" t="s">
        <v>11642</v>
      </c>
      <c r="I1375" s="41" t="s">
        <v>11643</v>
      </c>
      <c r="J1375" s="41" t="s">
        <v>11644</v>
      </c>
      <c r="K1375" s="41" t="s">
        <v>11645</v>
      </c>
      <c r="L1375" s="41" t="s">
        <v>1085</v>
      </c>
    </row>
    <row r="1376" spans="1:19" x14ac:dyDescent="0.25">
      <c r="A1376" s="41" t="s">
        <v>23</v>
      </c>
      <c r="B1376" s="41" t="s">
        <v>11646</v>
      </c>
      <c r="D1376" s="41" t="s">
        <v>11647</v>
      </c>
      <c r="F1376" s="41" t="s">
        <v>11648</v>
      </c>
      <c r="G1376" s="41" t="s">
        <v>11649</v>
      </c>
      <c r="H1376" s="41" t="s">
        <v>11650</v>
      </c>
      <c r="I1376" s="41" t="s">
        <v>11651</v>
      </c>
      <c r="J1376" s="41" t="s">
        <v>11652</v>
      </c>
      <c r="K1376" s="41" t="s">
        <v>11653</v>
      </c>
      <c r="L1376" s="41" t="s">
        <v>1094</v>
      </c>
    </row>
    <row r="1377" spans="1:19" x14ac:dyDescent="0.25">
      <c r="A1377" s="41" t="s">
        <v>908</v>
      </c>
      <c r="B1377" s="41" t="s">
        <v>11654</v>
      </c>
    </row>
    <row r="1378" spans="1:19" x14ac:dyDescent="0.25">
      <c r="A1378" s="41" t="s">
        <v>23</v>
      </c>
      <c r="B1378" s="41" t="s">
        <v>11655</v>
      </c>
      <c r="F1378" s="41" t="s">
        <v>11656</v>
      </c>
      <c r="G1378" s="41" t="s">
        <v>11657</v>
      </c>
      <c r="H1378" s="41" t="s">
        <v>11658</v>
      </c>
      <c r="I1378" s="41" t="s">
        <v>11659</v>
      </c>
      <c r="J1378" s="41" t="s">
        <v>11660</v>
      </c>
      <c r="L1378" s="41" t="s">
        <v>4</v>
      </c>
    </row>
    <row r="1379" spans="1:19" x14ac:dyDescent="0.25">
      <c r="A1379" s="41" t="s">
        <v>23</v>
      </c>
      <c r="B1379" s="41" t="s">
        <v>11661</v>
      </c>
      <c r="D1379" s="41" t="s">
        <v>11662</v>
      </c>
      <c r="E1379" s="41" t="s">
        <v>11663</v>
      </c>
      <c r="F1379" s="41" t="s">
        <v>11664</v>
      </c>
      <c r="G1379" s="41" t="s">
        <v>11665</v>
      </c>
      <c r="H1379" s="41" t="s">
        <v>11666</v>
      </c>
      <c r="I1379" s="41" t="s">
        <v>11667</v>
      </c>
      <c r="J1379" s="41" t="s">
        <v>11668</v>
      </c>
      <c r="K1379" s="41" t="s">
        <v>11669</v>
      </c>
      <c r="L1379" s="41" t="s">
        <v>11670</v>
      </c>
      <c r="M1379" s="41" t="s">
        <v>11671</v>
      </c>
      <c r="N1379" s="41" t="s">
        <v>11672</v>
      </c>
      <c r="O1379" s="41" t="s">
        <v>11673</v>
      </c>
      <c r="P1379" s="41" t="s">
        <v>11674</v>
      </c>
      <c r="Q1379" s="41" t="s">
        <v>11675</v>
      </c>
      <c r="R1379" s="41" t="s">
        <v>11676</v>
      </c>
      <c r="S1379" s="41" t="s">
        <v>11677</v>
      </c>
    </row>
    <row r="1380" spans="1:19" x14ac:dyDescent="0.25">
      <c r="A1380" s="41" t="s">
        <v>23</v>
      </c>
      <c r="B1380" s="41" t="s">
        <v>11678</v>
      </c>
      <c r="D1380" s="41" t="s">
        <v>11679</v>
      </c>
      <c r="F1380" s="41" t="s">
        <v>11680</v>
      </c>
      <c r="G1380" s="41" t="s">
        <v>11681</v>
      </c>
      <c r="H1380" s="41" t="s">
        <v>11682</v>
      </c>
      <c r="I1380" s="41" t="s">
        <v>11683</v>
      </c>
      <c r="J1380" s="41" t="s">
        <v>11684</v>
      </c>
      <c r="K1380" s="41" t="s">
        <v>11685</v>
      </c>
      <c r="L1380" s="41" t="s">
        <v>891</v>
      </c>
    </row>
    <row r="1381" spans="1:19" x14ac:dyDescent="0.25">
      <c r="A1381" s="41" t="s">
        <v>23</v>
      </c>
      <c r="B1381" s="41" t="s">
        <v>11686</v>
      </c>
      <c r="D1381" s="41" t="s">
        <v>11687</v>
      </c>
      <c r="F1381" s="41" t="s">
        <v>11688</v>
      </c>
      <c r="G1381" s="41" t="s">
        <v>11689</v>
      </c>
      <c r="H1381" s="41" t="s">
        <v>11690</v>
      </c>
      <c r="I1381" s="41" t="s">
        <v>11691</v>
      </c>
      <c r="J1381" s="41" t="s">
        <v>11692</v>
      </c>
      <c r="K1381" s="41" t="s">
        <v>11693</v>
      </c>
      <c r="L1381" s="41" t="s">
        <v>1076</v>
      </c>
    </row>
    <row r="1382" spans="1:19" x14ac:dyDescent="0.25">
      <c r="A1382" s="41" t="s">
        <v>23</v>
      </c>
      <c r="B1382" s="41" t="s">
        <v>11694</v>
      </c>
      <c r="D1382" s="41" t="s">
        <v>11695</v>
      </c>
      <c r="F1382" s="41" t="s">
        <v>11696</v>
      </c>
      <c r="G1382" s="41" t="s">
        <v>11697</v>
      </c>
      <c r="H1382" s="41" t="s">
        <v>11698</v>
      </c>
      <c r="I1382" s="41" t="s">
        <v>11699</v>
      </c>
      <c r="J1382" s="41" t="s">
        <v>11700</v>
      </c>
      <c r="K1382" s="41" t="s">
        <v>11701</v>
      </c>
      <c r="L1382" s="41" t="s">
        <v>1085</v>
      </c>
    </row>
    <row r="1383" spans="1:19" x14ac:dyDescent="0.25">
      <c r="A1383" s="41" t="s">
        <v>23</v>
      </c>
      <c r="B1383" s="41" t="s">
        <v>11702</v>
      </c>
      <c r="D1383" s="41" t="s">
        <v>11703</v>
      </c>
      <c r="F1383" s="41" t="s">
        <v>11704</v>
      </c>
      <c r="G1383" s="41" t="s">
        <v>11705</v>
      </c>
      <c r="H1383" s="41" t="s">
        <v>11706</v>
      </c>
      <c r="I1383" s="41" t="s">
        <v>11707</v>
      </c>
      <c r="J1383" s="41" t="s">
        <v>11708</v>
      </c>
      <c r="K1383" s="41" t="s">
        <v>11709</v>
      </c>
      <c r="L1383" s="41" t="s">
        <v>1094</v>
      </c>
    </row>
    <row r="1384" spans="1:19" x14ac:dyDescent="0.25">
      <c r="A1384" s="41" t="s">
        <v>908</v>
      </c>
      <c r="B1384" s="41" t="s">
        <v>11710</v>
      </c>
    </row>
    <row r="1385" spans="1:19" x14ac:dyDescent="0.25">
      <c r="A1385" s="41" t="s">
        <v>23</v>
      </c>
      <c r="B1385" s="41" t="s">
        <v>11711</v>
      </c>
      <c r="F1385" s="41" t="s">
        <v>11712</v>
      </c>
      <c r="G1385" s="41" t="s">
        <v>11713</v>
      </c>
      <c r="H1385" s="41" t="s">
        <v>11714</v>
      </c>
      <c r="I1385" s="41" t="s">
        <v>11715</v>
      </c>
      <c r="J1385" s="41" t="s">
        <v>11716</v>
      </c>
      <c r="L1385" s="41" t="s">
        <v>4</v>
      </c>
    </row>
    <row r="1386" spans="1:19" x14ac:dyDescent="0.25">
      <c r="A1386" s="41" t="s">
        <v>23</v>
      </c>
      <c r="B1386" s="41" t="s">
        <v>11717</v>
      </c>
      <c r="D1386" s="41" t="s">
        <v>11718</v>
      </c>
      <c r="E1386" s="41" t="s">
        <v>11719</v>
      </c>
      <c r="F1386" s="41" t="s">
        <v>11720</v>
      </c>
      <c r="G1386" s="41" t="s">
        <v>11721</v>
      </c>
      <c r="H1386" s="41" t="s">
        <v>11722</v>
      </c>
      <c r="I1386" s="41" t="s">
        <v>11723</v>
      </c>
      <c r="J1386" s="41" t="s">
        <v>11724</v>
      </c>
      <c r="K1386" s="41" t="s">
        <v>11725</v>
      </c>
      <c r="L1386" s="41" t="s">
        <v>11726</v>
      </c>
      <c r="M1386" s="41" t="s">
        <v>11727</v>
      </c>
      <c r="N1386" s="41" t="s">
        <v>11728</v>
      </c>
      <c r="O1386" s="41" t="s">
        <v>11729</v>
      </c>
      <c r="P1386" s="41" t="s">
        <v>11730</v>
      </c>
      <c r="Q1386" s="41" t="s">
        <v>11731</v>
      </c>
      <c r="R1386" s="41" t="s">
        <v>11732</v>
      </c>
      <c r="S1386" s="41" t="s">
        <v>11733</v>
      </c>
    </row>
    <row r="1387" spans="1:19" x14ac:dyDescent="0.25">
      <c r="A1387" s="41" t="s">
        <v>23</v>
      </c>
      <c r="B1387" s="41" t="s">
        <v>11734</v>
      </c>
      <c r="D1387" s="41" t="s">
        <v>11735</v>
      </c>
      <c r="F1387" s="41" t="s">
        <v>11736</v>
      </c>
      <c r="G1387" s="41" t="s">
        <v>11737</v>
      </c>
      <c r="H1387" s="41" t="s">
        <v>11738</v>
      </c>
      <c r="I1387" s="41" t="s">
        <v>11739</v>
      </c>
      <c r="J1387" s="41" t="s">
        <v>11740</v>
      </c>
      <c r="K1387" s="41" t="s">
        <v>11741</v>
      </c>
      <c r="L1387" s="41" t="s">
        <v>891</v>
      </c>
    </row>
    <row r="1388" spans="1:19" x14ac:dyDescent="0.25">
      <c r="A1388" s="41" t="s">
        <v>23</v>
      </c>
      <c r="B1388" s="41" t="s">
        <v>11742</v>
      </c>
      <c r="D1388" s="41" t="s">
        <v>11743</v>
      </c>
      <c r="F1388" s="41" t="s">
        <v>11744</v>
      </c>
      <c r="G1388" s="41" t="s">
        <v>11745</v>
      </c>
      <c r="H1388" s="41" t="s">
        <v>11746</v>
      </c>
      <c r="I1388" s="41" t="s">
        <v>11747</v>
      </c>
      <c r="J1388" s="41" t="s">
        <v>11748</v>
      </c>
      <c r="K1388" s="41" t="s">
        <v>11749</v>
      </c>
      <c r="L1388" s="41" t="s">
        <v>1076</v>
      </c>
    </row>
    <row r="1389" spans="1:19" x14ac:dyDescent="0.25">
      <c r="A1389" s="41" t="s">
        <v>23</v>
      </c>
      <c r="B1389" s="41" t="s">
        <v>11750</v>
      </c>
      <c r="D1389" s="41" t="s">
        <v>11751</v>
      </c>
      <c r="F1389" s="41" t="s">
        <v>11752</v>
      </c>
      <c r="G1389" s="41" t="s">
        <v>11753</v>
      </c>
      <c r="H1389" s="41" t="s">
        <v>11754</v>
      </c>
      <c r="I1389" s="41" t="s">
        <v>11755</v>
      </c>
      <c r="J1389" s="41" t="s">
        <v>11756</v>
      </c>
      <c r="K1389" s="41" t="s">
        <v>11757</v>
      </c>
      <c r="L1389" s="41" t="s">
        <v>1085</v>
      </c>
    </row>
    <row r="1390" spans="1:19" x14ac:dyDescent="0.25">
      <c r="A1390" s="41" t="s">
        <v>23</v>
      </c>
      <c r="B1390" s="41" t="s">
        <v>11758</v>
      </c>
      <c r="D1390" s="41" t="s">
        <v>11759</v>
      </c>
      <c r="F1390" s="41" t="s">
        <v>11760</v>
      </c>
      <c r="G1390" s="41" t="s">
        <v>11761</v>
      </c>
      <c r="H1390" s="41" t="s">
        <v>11762</v>
      </c>
      <c r="I1390" s="41" t="s">
        <v>11763</v>
      </c>
      <c r="J1390" s="41" t="s">
        <v>11764</v>
      </c>
      <c r="K1390" s="41" t="s">
        <v>11765</v>
      </c>
      <c r="L1390" s="41" t="s">
        <v>1094</v>
      </c>
    </row>
    <row r="1391" spans="1:19" x14ac:dyDescent="0.25">
      <c r="A1391" s="41" t="s">
        <v>908</v>
      </c>
      <c r="B1391" s="41" t="s">
        <v>11766</v>
      </c>
    </row>
    <row r="1392" spans="1:19" x14ac:dyDescent="0.25">
      <c r="A1392" s="41" t="s">
        <v>23</v>
      </c>
      <c r="B1392" s="41" t="s">
        <v>11767</v>
      </c>
      <c r="F1392" s="41" t="s">
        <v>11768</v>
      </c>
      <c r="G1392" s="41" t="s">
        <v>11769</v>
      </c>
      <c r="H1392" s="41" t="s">
        <v>11770</v>
      </c>
      <c r="I1392" s="41" t="s">
        <v>11771</v>
      </c>
      <c r="J1392" s="41" t="s">
        <v>11772</v>
      </c>
      <c r="L1392" s="41" t="s">
        <v>4</v>
      </c>
    </row>
    <row r="1393" spans="1:19" x14ac:dyDescent="0.25">
      <c r="A1393" s="41" t="s">
        <v>23</v>
      </c>
      <c r="B1393" s="41" t="s">
        <v>11773</v>
      </c>
      <c r="D1393" s="41" t="s">
        <v>11774</v>
      </c>
      <c r="E1393" s="41" t="s">
        <v>11775</v>
      </c>
      <c r="F1393" s="41" t="s">
        <v>11776</v>
      </c>
      <c r="G1393" s="41" t="s">
        <v>11777</v>
      </c>
      <c r="H1393" s="41" t="s">
        <v>11778</v>
      </c>
      <c r="I1393" s="41" t="s">
        <v>11779</v>
      </c>
      <c r="J1393" s="41" t="s">
        <v>11780</v>
      </c>
      <c r="K1393" s="41" t="s">
        <v>11781</v>
      </c>
      <c r="L1393" s="41" t="s">
        <v>11782</v>
      </c>
      <c r="M1393" s="41" t="s">
        <v>11783</v>
      </c>
      <c r="N1393" s="41" t="s">
        <v>11784</v>
      </c>
      <c r="O1393" s="41" t="s">
        <v>11785</v>
      </c>
      <c r="P1393" s="41" t="s">
        <v>11786</v>
      </c>
      <c r="Q1393" s="41" t="s">
        <v>11787</v>
      </c>
      <c r="R1393" s="41" t="s">
        <v>11788</v>
      </c>
      <c r="S1393" s="41" t="s">
        <v>11789</v>
      </c>
    </row>
    <row r="1394" spans="1:19" x14ac:dyDescent="0.25">
      <c r="A1394" s="41" t="s">
        <v>23</v>
      </c>
      <c r="B1394" s="41" t="s">
        <v>11790</v>
      </c>
      <c r="D1394" s="41" t="s">
        <v>11791</v>
      </c>
      <c r="F1394" s="41" t="s">
        <v>11792</v>
      </c>
      <c r="G1394" s="41" t="s">
        <v>11793</v>
      </c>
      <c r="H1394" s="41" t="s">
        <v>11794</v>
      </c>
      <c r="I1394" s="41" t="s">
        <v>11795</v>
      </c>
      <c r="J1394" s="41" t="s">
        <v>11796</v>
      </c>
      <c r="K1394" s="41" t="s">
        <v>11797</v>
      </c>
      <c r="L1394" s="41" t="s">
        <v>891</v>
      </c>
    </row>
    <row r="1395" spans="1:19" x14ac:dyDescent="0.25">
      <c r="A1395" s="41" t="s">
        <v>23</v>
      </c>
      <c r="B1395" s="41" t="s">
        <v>11798</v>
      </c>
      <c r="D1395" s="41" t="s">
        <v>11799</v>
      </c>
      <c r="F1395" s="41" t="s">
        <v>11800</v>
      </c>
      <c r="G1395" s="41" t="s">
        <v>11801</v>
      </c>
      <c r="H1395" s="41" t="s">
        <v>11802</v>
      </c>
      <c r="I1395" s="41" t="s">
        <v>11803</v>
      </c>
      <c r="J1395" s="41" t="s">
        <v>11804</v>
      </c>
      <c r="K1395" s="41" t="s">
        <v>11805</v>
      </c>
      <c r="L1395" s="41" t="s">
        <v>1076</v>
      </c>
    </row>
    <row r="1396" spans="1:19" x14ac:dyDescent="0.25">
      <c r="A1396" s="41" t="s">
        <v>23</v>
      </c>
      <c r="B1396" s="41" t="s">
        <v>11806</v>
      </c>
      <c r="D1396" s="41" t="s">
        <v>11807</v>
      </c>
      <c r="F1396" s="41" t="s">
        <v>11808</v>
      </c>
      <c r="G1396" s="41" t="s">
        <v>11809</v>
      </c>
      <c r="H1396" s="41" t="s">
        <v>11810</v>
      </c>
      <c r="I1396" s="41" t="s">
        <v>11811</v>
      </c>
      <c r="J1396" s="41" t="s">
        <v>11812</v>
      </c>
      <c r="K1396" s="41" t="s">
        <v>11813</v>
      </c>
      <c r="L1396" s="41" t="s">
        <v>1085</v>
      </c>
    </row>
    <row r="1397" spans="1:19" x14ac:dyDescent="0.25">
      <c r="A1397" s="41" t="s">
        <v>23</v>
      </c>
      <c r="B1397" s="41" t="s">
        <v>11814</v>
      </c>
      <c r="D1397" s="41" t="s">
        <v>11815</v>
      </c>
      <c r="F1397" s="41" t="s">
        <v>11816</v>
      </c>
      <c r="G1397" s="41" t="s">
        <v>11817</v>
      </c>
      <c r="H1397" s="41" t="s">
        <v>11818</v>
      </c>
      <c r="I1397" s="41" t="s">
        <v>11819</v>
      </c>
      <c r="J1397" s="41" t="s">
        <v>11820</v>
      </c>
      <c r="K1397" s="41" t="s">
        <v>11821</v>
      </c>
      <c r="L1397" s="41" t="s">
        <v>1094</v>
      </c>
    </row>
    <row r="1398" spans="1:19" x14ac:dyDescent="0.25">
      <c r="A1398" s="41" t="s">
        <v>908</v>
      </c>
      <c r="B1398" s="41" t="s">
        <v>11822</v>
      </c>
    </row>
    <row r="1399" spans="1:19" x14ac:dyDescent="0.25">
      <c r="A1399" s="41" t="s">
        <v>23</v>
      </c>
      <c r="B1399" s="41" t="s">
        <v>11823</v>
      </c>
      <c r="F1399" s="41" t="s">
        <v>11824</v>
      </c>
      <c r="G1399" s="41" t="s">
        <v>11825</v>
      </c>
      <c r="H1399" s="41" t="s">
        <v>11826</v>
      </c>
      <c r="I1399" s="41" t="s">
        <v>11827</v>
      </c>
      <c r="J1399" s="41" t="s">
        <v>11828</v>
      </c>
      <c r="L1399" s="41" t="s">
        <v>4</v>
      </c>
    </row>
    <row r="1400" spans="1:19" x14ac:dyDescent="0.25">
      <c r="A1400" s="41" t="s">
        <v>23</v>
      </c>
      <c r="B1400" s="41" t="s">
        <v>11829</v>
      </c>
      <c r="D1400" s="41" t="s">
        <v>11830</v>
      </c>
      <c r="E1400" s="41" t="s">
        <v>11831</v>
      </c>
      <c r="F1400" s="41" t="s">
        <v>11832</v>
      </c>
      <c r="G1400" s="41" t="s">
        <v>11833</v>
      </c>
      <c r="H1400" s="41" t="s">
        <v>11834</v>
      </c>
      <c r="I1400" s="41" t="s">
        <v>11835</v>
      </c>
      <c r="J1400" s="41" t="s">
        <v>11836</v>
      </c>
      <c r="K1400" s="41" t="s">
        <v>11837</v>
      </c>
      <c r="L1400" s="41" t="s">
        <v>11838</v>
      </c>
      <c r="M1400" s="41" t="s">
        <v>11839</v>
      </c>
      <c r="N1400" s="41" t="s">
        <v>11840</v>
      </c>
      <c r="O1400" s="41" t="s">
        <v>11841</v>
      </c>
      <c r="P1400" s="41" t="s">
        <v>11842</v>
      </c>
      <c r="Q1400" s="41" t="s">
        <v>11843</v>
      </c>
      <c r="R1400" s="41" t="s">
        <v>11844</v>
      </c>
      <c r="S1400" s="41" t="s">
        <v>11845</v>
      </c>
    </row>
    <row r="1401" spans="1:19" x14ac:dyDescent="0.25">
      <c r="A1401" s="41" t="s">
        <v>23</v>
      </c>
      <c r="B1401" s="41" t="s">
        <v>11846</v>
      </c>
      <c r="D1401" s="41" t="s">
        <v>11847</v>
      </c>
      <c r="F1401" s="41" t="s">
        <v>11848</v>
      </c>
      <c r="G1401" s="41" t="s">
        <v>11849</v>
      </c>
      <c r="H1401" s="41" t="s">
        <v>11850</v>
      </c>
      <c r="I1401" s="41" t="s">
        <v>11851</v>
      </c>
      <c r="J1401" s="41" t="s">
        <v>11852</v>
      </c>
      <c r="K1401" s="41" t="s">
        <v>11853</v>
      </c>
      <c r="L1401" s="41" t="s">
        <v>891</v>
      </c>
    </row>
    <row r="1402" spans="1:19" x14ac:dyDescent="0.25">
      <c r="A1402" s="41" t="s">
        <v>23</v>
      </c>
      <c r="B1402" s="41" t="s">
        <v>11854</v>
      </c>
      <c r="D1402" s="41" t="s">
        <v>11855</v>
      </c>
      <c r="F1402" s="41" t="s">
        <v>11856</v>
      </c>
      <c r="G1402" s="41" t="s">
        <v>11857</v>
      </c>
      <c r="H1402" s="41" t="s">
        <v>11858</v>
      </c>
      <c r="I1402" s="41" t="s">
        <v>11859</v>
      </c>
      <c r="J1402" s="41" t="s">
        <v>11860</v>
      </c>
      <c r="K1402" s="41" t="s">
        <v>11861</v>
      </c>
      <c r="L1402" s="41" t="s">
        <v>1076</v>
      </c>
    </row>
    <row r="1403" spans="1:19" x14ac:dyDescent="0.25">
      <c r="A1403" s="41" t="s">
        <v>23</v>
      </c>
      <c r="B1403" s="41" t="s">
        <v>11862</v>
      </c>
      <c r="D1403" s="41" t="s">
        <v>11863</v>
      </c>
      <c r="F1403" s="41" t="s">
        <v>11864</v>
      </c>
      <c r="G1403" s="41" t="s">
        <v>11865</v>
      </c>
      <c r="H1403" s="41" t="s">
        <v>11866</v>
      </c>
      <c r="I1403" s="41" t="s">
        <v>11867</v>
      </c>
      <c r="J1403" s="41" t="s">
        <v>11868</v>
      </c>
      <c r="K1403" s="41" t="s">
        <v>11869</v>
      </c>
      <c r="L1403" s="41" t="s">
        <v>1085</v>
      </c>
    </row>
    <row r="1404" spans="1:19" x14ac:dyDescent="0.25">
      <c r="A1404" s="41" t="s">
        <v>23</v>
      </c>
      <c r="B1404" s="41" t="s">
        <v>11870</v>
      </c>
      <c r="D1404" s="41" t="s">
        <v>11871</v>
      </c>
      <c r="F1404" s="41" t="s">
        <v>11872</v>
      </c>
      <c r="G1404" s="41" t="s">
        <v>11873</v>
      </c>
      <c r="H1404" s="41" t="s">
        <v>11874</v>
      </c>
      <c r="I1404" s="41" t="s">
        <v>11875</v>
      </c>
      <c r="J1404" s="41" t="s">
        <v>11876</v>
      </c>
      <c r="K1404" s="41" t="s">
        <v>11877</v>
      </c>
      <c r="L1404" s="41" t="s">
        <v>1094</v>
      </c>
    </row>
    <row r="1405" spans="1:19" x14ac:dyDescent="0.25">
      <c r="A1405" s="41" t="s">
        <v>908</v>
      </c>
      <c r="B1405" s="41" t="s">
        <v>11878</v>
      </c>
    </row>
    <row r="1406" spans="1:19" x14ac:dyDescent="0.25">
      <c r="A1406" s="41" t="s">
        <v>23</v>
      </c>
      <c r="B1406" s="41" t="s">
        <v>11879</v>
      </c>
      <c r="F1406" s="41" t="s">
        <v>11880</v>
      </c>
      <c r="G1406" s="41" t="s">
        <v>11881</v>
      </c>
      <c r="H1406" s="41" t="s">
        <v>11882</v>
      </c>
      <c r="I1406" s="41" t="s">
        <v>11883</v>
      </c>
      <c r="J1406" s="41" t="s">
        <v>11884</v>
      </c>
      <c r="L1406" s="41" t="s">
        <v>4</v>
      </c>
    </row>
    <row r="1407" spans="1:19" x14ac:dyDescent="0.25">
      <c r="A1407" s="41" t="s">
        <v>23</v>
      </c>
      <c r="B1407" s="41" t="s">
        <v>11885</v>
      </c>
      <c r="D1407" s="41" t="s">
        <v>11886</v>
      </c>
      <c r="E1407" s="41" t="s">
        <v>11887</v>
      </c>
      <c r="F1407" s="41" t="s">
        <v>11888</v>
      </c>
      <c r="G1407" s="41" t="s">
        <v>11889</v>
      </c>
      <c r="H1407" s="41" t="s">
        <v>11890</v>
      </c>
      <c r="I1407" s="41" t="s">
        <v>11891</v>
      </c>
      <c r="J1407" s="41" t="s">
        <v>11892</v>
      </c>
      <c r="K1407" s="41" t="s">
        <v>11893</v>
      </c>
      <c r="L1407" s="41" t="s">
        <v>11894</v>
      </c>
      <c r="M1407" s="41" t="s">
        <v>11895</v>
      </c>
      <c r="N1407" s="41" t="s">
        <v>11896</v>
      </c>
      <c r="O1407" s="41" t="s">
        <v>11897</v>
      </c>
      <c r="P1407" s="41" t="s">
        <v>11898</v>
      </c>
      <c r="Q1407" s="41" t="s">
        <v>11899</v>
      </c>
      <c r="R1407" s="41" t="s">
        <v>11900</v>
      </c>
      <c r="S1407" s="41" t="s">
        <v>11901</v>
      </c>
    </row>
    <row r="1408" spans="1:19" x14ac:dyDescent="0.25">
      <c r="A1408" s="41" t="s">
        <v>23</v>
      </c>
      <c r="B1408" s="41" t="s">
        <v>11902</v>
      </c>
      <c r="D1408" s="41" t="s">
        <v>11903</v>
      </c>
      <c r="F1408" s="41" t="s">
        <v>11904</v>
      </c>
      <c r="G1408" s="41" t="s">
        <v>11905</v>
      </c>
      <c r="H1408" s="41" t="s">
        <v>11906</v>
      </c>
      <c r="I1408" s="41" t="s">
        <v>11907</v>
      </c>
      <c r="J1408" s="41" t="s">
        <v>11908</v>
      </c>
      <c r="K1408" s="41" t="s">
        <v>11909</v>
      </c>
      <c r="L1408" s="41" t="s">
        <v>891</v>
      </c>
    </row>
    <row r="1409" spans="1:19" x14ac:dyDescent="0.25">
      <c r="A1409" s="41" t="s">
        <v>23</v>
      </c>
      <c r="B1409" s="41" t="s">
        <v>11910</v>
      </c>
      <c r="D1409" s="41" t="s">
        <v>11911</v>
      </c>
      <c r="F1409" s="41" t="s">
        <v>11912</v>
      </c>
      <c r="G1409" s="41" t="s">
        <v>11913</v>
      </c>
      <c r="H1409" s="41" t="s">
        <v>11914</v>
      </c>
      <c r="I1409" s="41" t="s">
        <v>11915</v>
      </c>
      <c r="J1409" s="41" t="s">
        <v>11916</v>
      </c>
      <c r="K1409" s="41" t="s">
        <v>11917</v>
      </c>
      <c r="L1409" s="41" t="s">
        <v>1076</v>
      </c>
    </row>
    <row r="1410" spans="1:19" x14ac:dyDescent="0.25">
      <c r="A1410" s="41" t="s">
        <v>23</v>
      </c>
      <c r="B1410" s="41" t="s">
        <v>11918</v>
      </c>
      <c r="D1410" s="41" t="s">
        <v>11919</v>
      </c>
      <c r="F1410" s="41" t="s">
        <v>11920</v>
      </c>
      <c r="G1410" s="41" t="s">
        <v>11921</v>
      </c>
      <c r="H1410" s="41" t="s">
        <v>11922</v>
      </c>
      <c r="I1410" s="41" t="s">
        <v>11923</v>
      </c>
      <c r="J1410" s="41" t="s">
        <v>11924</v>
      </c>
      <c r="K1410" s="41" t="s">
        <v>11925</v>
      </c>
      <c r="L1410" s="41" t="s">
        <v>1085</v>
      </c>
    </row>
    <row r="1411" spans="1:19" x14ac:dyDescent="0.25">
      <c r="A1411" s="41" t="s">
        <v>23</v>
      </c>
      <c r="B1411" s="41" t="s">
        <v>11926</v>
      </c>
      <c r="D1411" s="41" t="s">
        <v>11927</v>
      </c>
      <c r="F1411" s="41" t="s">
        <v>11928</v>
      </c>
      <c r="G1411" s="41" t="s">
        <v>11929</v>
      </c>
      <c r="H1411" s="41" t="s">
        <v>11930</v>
      </c>
      <c r="I1411" s="41" t="s">
        <v>11931</v>
      </c>
      <c r="J1411" s="41" t="s">
        <v>11932</v>
      </c>
      <c r="K1411" s="41" t="s">
        <v>11933</v>
      </c>
      <c r="L1411" s="41" t="s">
        <v>1094</v>
      </c>
    </row>
    <row r="1412" spans="1:19" x14ac:dyDescent="0.25">
      <c r="A1412" s="41" t="s">
        <v>908</v>
      </c>
      <c r="B1412" s="41" t="s">
        <v>11934</v>
      </c>
    </row>
    <row r="1413" spans="1:19" x14ac:dyDescent="0.25">
      <c r="A1413" s="41" t="s">
        <v>23</v>
      </c>
      <c r="B1413" s="41" t="s">
        <v>11935</v>
      </c>
      <c r="F1413" s="41" t="s">
        <v>11936</v>
      </c>
      <c r="G1413" s="41" t="s">
        <v>11937</v>
      </c>
      <c r="H1413" s="41" t="s">
        <v>11938</v>
      </c>
      <c r="I1413" s="41" t="s">
        <v>11939</v>
      </c>
      <c r="J1413" s="41" t="s">
        <v>11940</v>
      </c>
      <c r="L1413" s="41" t="s">
        <v>4</v>
      </c>
    </row>
    <row r="1414" spans="1:19" x14ac:dyDescent="0.25">
      <c r="A1414" s="41" t="s">
        <v>23</v>
      </c>
      <c r="B1414" s="41" t="s">
        <v>11941</v>
      </c>
      <c r="D1414" s="41" t="s">
        <v>11942</v>
      </c>
      <c r="E1414" s="41" t="s">
        <v>11943</v>
      </c>
      <c r="F1414" s="41" t="s">
        <v>11944</v>
      </c>
      <c r="G1414" s="41" t="s">
        <v>11945</v>
      </c>
      <c r="H1414" s="41" t="s">
        <v>11946</v>
      </c>
      <c r="I1414" s="41" t="s">
        <v>11947</v>
      </c>
      <c r="J1414" s="41" t="s">
        <v>11948</v>
      </c>
      <c r="K1414" s="41" t="s">
        <v>11949</v>
      </c>
      <c r="L1414" s="41" t="s">
        <v>11950</v>
      </c>
      <c r="M1414" s="41" t="s">
        <v>11951</v>
      </c>
      <c r="N1414" s="41" t="s">
        <v>11952</v>
      </c>
      <c r="O1414" s="41" t="s">
        <v>11953</v>
      </c>
      <c r="P1414" s="41" t="s">
        <v>11954</v>
      </c>
      <c r="Q1414" s="41" t="s">
        <v>11955</v>
      </c>
      <c r="R1414" s="41" t="s">
        <v>11956</v>
      </c>
      <c r="S1414" s="41" t="s">
        <v>11957</v>
      </c>
    </row>
    <row r="1415" spans="1:19" x14ac:dyDescent="0.25">
      <c r="A1415" s="41" t="s">
        <v>23</v>
      </c>
      <c r="B1415" s="41" t="s">
        <v>11958</v>
      </c>
      <c r="D1415" s="41" t="s">
        <v>11959</v>
      </c>
      <c r="F1415" s="41" t="s">
        <v>11960</v>
      </c>
      <c r="G1415" s="41" t="s">
        <v>11961</v>
      </c>
      <c r="H1415" s="41" t="s">
        <v>11962</v>
      </c>
      <c r="I1415" s="41" t="s">
        <v>11963</v>
      </c>
      <c r="J1415" s="41" t="s">
        <v>11964</v>
      </c>
      <c r="K1415" s="41" t="s">
        <v>11965</v>
      </c>
      <c r="L1415" s="41" t="s">
        <v>891</v>
      </c>
    </row>
    <row r="1416" spans="1:19" x14ac:dyDescent="0.25">
      <c r="A1416" s="41" t="s">
        <v>23</v>
      </c>
      <c r="B1416" s="41" t="s">
        <v>11966</v>
      </c>
      <c r="D1416" s="41" t="s">
        <v>11967</v>
      </c>
      <c r="F1416" s="41" t="s">
        <v>11968</v>
      </c>
      <c r="G1416" s="41" t="s">
        <v>11969</v>
      </c>
      <c r="H1416" s="41" t="s">
        <v>11970</v>
      </c>
      <c r="I1416" s="41" t="s">
        <v>11971</v>
      </c>
      <c r="J1416" s="41" t="s">
        <v>11972</v>
      </c>
      <c r="K1416" s="41" t="s">
        <v>11973</v>
      </c>
      <c r="L1416" s="41" t="s">
        <v>1076</v>
      </c>
    </row>
    <row r="1417" spans="1:19" x14ac:dyDescent="0.25">
      <c r="A1417" s="41" t="s">
        <v>23</v>
      </c>
      <c r="B1417" s="41" t="s">
        <v>11974</v>
      </c>
      <c r="D1417" s="41" t="s">
        <v>11975</v>
      </c>
      <c r="F1417" s="41" t="s">
        <v>11976</v>
      </c>
      <c r="G1417" s="41" t="s">
        <v>11977</v>
      </c>
      <c r="H1417" s="41" t="s">
        <v>11978</v>
      </c>
      <c r="I1417" s="41" t="s">
        <v>11979</v>
      </c>
      <c r="J1417" s="41" t="s">
        <v>11980</v>
      </c>
      <c r="K1417" s="41" t="s">
        <v>11981</v>
      </c>
      <c r="L1417" s="41" t="s">
        <v>1085</v>
      </c>
    </row>
    <row r="1418" spans="1:19" x14ac:dyDescent="0.25">
      <c r="A1418" s="41" t="s">
        <v>23</v>
      </c>
      <c r="B1418" s="41" t="s">
        <v>11982</v>
      </c>
      <c r="D1418" s="41" t="s">
        <v>11983</v>
      </c>
      <c r="F1418" s="41" t="s">
        <v>11984</v>
      </c>
      <c r="G1418" s="41" t="s">
        <v>11985</v>
      </c>
      <c r="H1418" s="41" t="s">
        <v>11986</v>
      </c>
      <c r="I1418" s="41" t="s">
        <v>11987</v>
      </c>
      <c r="J1418" s="41" t="s">
        <v>11988</v>
      </c>
      <c r="K1418" s="41" t="s">
        <v>11989</v>
      </c>
      <c r="L1418" s="41" t="s">
        <v>1094</v>
      </c>
    </row>
    <row r="1419" spans="1:19" x14ac:dyDescent="0.25">
      <c r="A1419" s="41" t="s">
        <v>908</v>
      </c>
      <c r="B1419" s="41" t="s">
        <v>11990</v>
      </c>
    </row>
    <row r="1420" spans="1:19" x14ac:dyDescent="0.25">
      <c r="A1420" s="41" t="s">
        <v>23</v>
      </c>
      <c r="B1420" s="41" t="s">
        <v>11991</v>
      </c>
      <c r="F1420" s="41" t="s">
        <v>11992</v>
      </c>
      <c r="G1420" s="41" t="s">
        <v>11993</v>
      </c>
      <c r="H1420" s="41" t="s">
        <v>11994</v>
      </c>
      <c r="I1420" s="41" t="s">
        <v>11995</v>
      </c>
      <c r="J1420" s="41" t="s">
        <v>11996</v>
      </c>
      <c r="L1420" s="41" t="s">
        <v>4</v>
      </c>
    </row>
    <row r="1421" spans="1:19" x14ac:dyDescent="0.25">
      <c r="A1421" s="41" t="s">
        <v>23</v>
      </c>
      <c r="B1421" s="41" t="s">
        <v>11997</v>
      </c>
      <c r="D1421" s="41" t="s">
        <v>11998</v>
      </c>
      <c r="E1421" s="41" t="s">
        <v>11999</v>
      </c>
      <c r="F1421" s="41" t="s">
        <v>12000</v>
      </c>
      <c r="G1421" s="41" t="s">
        <v>12001</v>
      </c>
      <c r="H1421" s="41" t="s">
        <v>12002</v>
      </c>
      <c r="I1421" s="41" t="s">
        <v>12003</v>
      </c>
      <c r="J1421" s="41" t="s">
        <v>12004</v>
      </c>
      <c r="K1421" s="41" t="s">
        <v>12005</v>
      </c>
      <c r="L1421" s="41" t="s">
        <v>12006</v>
      </c>
      <c r="M1421" s="41" t="s">
        <v>12007</v>
      </c>
      <c r="N1421" s="41" t="s">
        <v>12008</v>
      </c>
      <c r="O1421" s="41" t="s">
        <v>12009</v>
      </c>
      <c r="P1421" s="41" t="s">
        <v>12010</v>
      </c>
      <c r="Q1421" s="41" t="s">
        <v>12011</v>
      </c>
      <c r="R1421" s="41" t="s">
        <v>12012</v>
      </c>
      <c r="S1421" s="41" t="s">
        <v>12013</v>
      </c>
    </row>
    <row r="1422" spans="1:19" x14ac:dyDescent="0.25">
      <c r="A1422" s="41" t="s">
        <v>23</v>
      </c>
      <c r="B1422" s="41" t="s">
        <v>12014</v>
      </c>
      <c r="D1422" s="41" t="s">
        <v>12015</v>
      </c>
      <c r="F1422" s="41" t="s">
        <v>12016</v>
      </c>
      <c r="G1422" s="41" t="s">
        <v>12017</v>
      </c>
      <c r="H1422" s="41" t="s">
        <v>12018</v>
      </c>
      <c r="I1422" s="41" t="s">
        <v>12019</v>
      </c>
      <c r="J1422" s="41" t="s">
        <v>12020</v>
      </c>
      <c r="K1422" s="41" t="s">
        <v>12021</v>
      </c>
      <c r="L1422" s="41" t="s">
        <v>891</v>
      </c>
    </row>
    <row r="1423" spans="1:19" x14ac:dyDescent="0.25">
      <c r="A1423" s="41" t="s">
        <v>23</v>
      </c>
      <c r="B1423" s="41" t="s">
        <v>12022</v>
      </c>
      <c r="D1423" s="41" t="s">
        <v>12023</v>
      </c>
      <c r="F1423" s="41" t="s">
        <v>12024</v>
      </c>
      <c r="G1423" s="41" t="s">
        <v>12025</v>
      </c>
      <c r="H1423" s="41" t="s">
        <v>12026</v>
      </c>
      <c r="I1423" s="41" t="s">
        <v>12027</v>
      </c>
      <c r="J1423" s="41" t="s">
        <v>12028</v>
      </c>
      <c r="K1423" s="41" t="s">
        <v>12029</v>
      </c>
      <c r="L1423" s="41" t="s">
        <v>1076</v>
      </c>
    </row>
    <row r="1424" spans="1:19" x14ac:dyDescent="0.25">
      <c r="A1424" s="41" t="s">
        <v>23</v>
      </c>
      <c r="B1424" s="41" t="s">
        <v>12030</v>
      </c>
      <c r="D1424" s="41" t="s">
        <v>12031</v>
      </c>
      <c r="F1424" s="41" t="s">
        <v>12032</v>
      </c>
      <c r="G1424" s="41" t="s">
        <v>12033</v>
      </c>
      <c r="H1424" s="41" t="s">
        <v>12034</v>
      </c>
      <c r="I1424" s="41" t="s">
        <v>12035</v>
      </c>
      <c r="J1424" s="41" t="s">
        <v>12036</v>
      </c>
      <c r="K1424" s="41" t="s">
        <v>12037</v>
      </c>
      <c r="L1424" s="41" t="s">
        <v>1085</v>
      </c>
    </row>
    <row r="1425" spans="1:19" x14ac:dyDescent="0.25">
      <c r="A1425" s="41" t="s">
        <v>23</v>
      </c>
      <c r="B1425" s="41" t="s">
        <v>12038</v>
      </c>
      <c r="D1425" s="41" t="s">
        <v>12039</v>
      </c>
      <c r="F1425" s="41" t="s">
        <v>12040</v>
      </c>
      <c r="G1425" s="41" t="s">
        <v>12041</v>
      </c>
      <c r="H1425" s="41" t="s">
        <v>12042</v>
      </c>
      <c r="I1425" s="41" t="s">
        <v>12043</v>
      </c>
      <c r="J1425" s="41" t="s">
        <v>12044</v>
      </c>
      <c r="K1425" s="41" t="s">
        <v>12045</v>
      </c>
      <c r="L1425" s="41" t="s">
        <v>1094</v>
      </c>
    </row>
    <row r="1426" spans="1:19" x14ac:dyDescent="0.25">
      <c r="A1426" s="41" t="s">
        <v>908</v>
      </c>
      <c r="B1426" s="41" t="s">
        <v>12046</v>
      </c>
    </row>
    <row r="1427" spans="1:19" x14ac:dyDescent="0.25">
      <c r="A1427" s="41" t="s">
        <v>23</v>
      </c>
      <c r="B1427" s="41" t="s">
        <v>12047</v>
      </c>
      <c r="F1427" s="41" t="s">
        <v>12048</v>
      </c>
      <c r="G1427" s="41" t="s">
        <v>12049</v>
      </c>
      <c r="H1427" s="41" t="s">
        <v>12050</v>
      </c>
      <c r="I1427" s="41" t="s">
        <v>12051</v>
      </c>
      <c r="J1427" s="41" t="s">
        <v>12052</v>
      </c>
      <c r="L1427" s="41" t="s">
        <v>4</v>
      </c>
    </row>
    <row r="1428" spans="1:19" x14ac:dyDescent="0.25">
      <c r="A1428" s="41" t="s">
        <v>23</v>
      </c>
      <c r="B1428" s="41" t="s">
        <v>12053</v>
      </c>
      <c r="D1428" s="41" t="s">
        <v>12054</v>
      </c>
      <c r="E1428" s="41" t="s">
        <v>12055</v>
      </c>
      <c r="F1428" s="41" t="s">
        <v>12056</v>
      </c>
      <c r="G1428" s="41" t="s">
        <v>12057</v>
      </c>
      <c r="H1428" s="41" t="s">
        <v>12058</v>
      </c>
      <c r="I1428" s="41" t="s">
        <v>12059</v>
      </c>
      <c r="J1428" s="41" t="s">
        <v>12060</v>
      </c>
      <c r="K1428" s="41" t="s">
        <v>12061</v>
      </c>
      <c r="L1428" s="41" t="s">
        <v>12062</v>
      </c>
      <c r="M1428" s="41" t="s">
        <v>12063</v>
      </c>
      <c r="N1428" s="41" t="s">
        <v>12064</v>
      </c>
      <c r="O1428" s="41" t="s">
        <v>12065</v>
      </c>
      <c r="P1428" s="41" t="s">
        <v>12066</v>
      </c>
      <c r="Q1428" s="41" t="s">
        <v>12067</v>
      </c>
      <c r="R1428" s="41" t="s">
        <v>12068</v>
      </c>
      <c r="S1428" s="41" t="s">
        <v>12069</v>
      </c>
    </row>
    <row r="1429" spans="1:19" x14ac:dyDescent="0.25">
      <c r="A1429" s="41" t="s">
        <v>23</v>
      </c>
      <c r="B1429" s="41" t="s">
        <v>12070</v>
      </c>
      <c r="D1429" s="41" t="s">
        <v>12071</v>
      </c>
      <c r="F1429" s="41" t="s">
        <v>12072</v>
      </c>
      <c r="G1429" s="41" t="s">
        <v>12073</v>
      </c>
      <c r="H1429" s="41" t="s">
        <v>12074</v>
      </c>
      <c r="I1429" s="41" t="s">
        <v>12075</v>
      </c>
      <c r="J1429" s="41" t="s">
        <v>12076</v>
      </c>
      <c r="K1429" s="41" t="s">
        <v>12077</v>
      </c>
      <c r="L1429" s="41" t="s">
        <v>891</v>
      </c>
    </row>
    <row r="1430" spans="1:19" x14ac:dyDescent="0.25">
      <c r="A1430" s="41" t="s">
        <v>23</v>
      </c>
      <c r="B1430" s="41" t="s">
        <v>12078</v>
      </c>
      <c r="D1430" s="41" t="s">
        <v>12079</v>
      </c>
      <c r="F1430" s="41" t="s">
        <v>12080</v>
      </c>
      <c r="G1430" s="41" t="s">
        <v>12081</v>
      </c>
      <c r="H1430" s="41" t="s">
        <v>12082</v>
      </c>
      <c r="I1430" s="41" t="s">
        <v>12083</v>
      </c>
      <c r="J1430" s="41" t="s">
        <v>12084</v>
      </c>
      <c r="K1430" s="41" t="s">
        <v>12085</v>
      </c>
      <c r="L1430" s="41" t="s">
        <v>1076</v>
      </c>
    </row>
    <row r="1431" spans="1:19" x14ac:dyDescent="0.25">
      <c r="A1431" s="41" t="s">
        <v>23</v>
      </c>
      <c r="B1431" s="41" t="s">
        <v>12086</v>
      </c>
      <c r="D1431" s="41" t="s">
        <v>12087</v>
      </c>
      <c r="F1431" s="41" t="s">
        <v>12088</v>
      </c>
      <c r="G1431" s="41" t="s">
        <v>12089</v>
      </c>
      <c r="H1431" s="41" t="s">
        <v>12090</v>
      </c>
      <c r="I1431" s="41" t="s">
        <v>12091</v>
      </c>
      <c r="J1431" s="41" t="s">
        <v>12092</v>
      </c>
      <c r="K1431" s="41" t="s">
        <v>12093</v>
      </c>
      <c r="L1431" s="41" t="s">
        <v>1085</v>
      </c>
    </row>
    <row r="1432" spans="1:19" x14ac:dyDescent="0.25">
      <c r="A1432" s="41" t="s">
        <v>23</v>
      </c>
      <c r="B1432" s="41" t="s">
        <v>12094</v>
      </c>
      <c r="D1432" s="41" t="s">
        <v>12095</v>
      </c>
      <c r="F1432" s="41" t="s">
        <v>12096</v>
      </c>
      <c r="G1432" s="41" t="s">
        <v>12097</v>
      </c>
      <c r="H1432" s="41" t="s">
        <v>12098</v>
      </c>
      <c r="I1432" s="41" t="s">
        <v>12099</v>
      </c>
      <c r="J1432" s="41" t="s">
        <v>12100</v>
      </c>
      <c r="K1432" s="41" t="s">
        <v>12101</v>
      </c>
      <c r="L1432" s="41" t="s">
        <v>1094</v>
      </c>
    </row>
    <row r="1433" spans="1:19" x14ac:dyDescent="0.25">
      <c r="A1433" s="41" t="s">
        <v>908</v>
      </c>
      <c r="B1433" s="41" t="s">
        <v>12102</v>
      </c>
    </row>
    <row r="1434" spans="1:19" x14ac:dyDescent="0.25">
      <c r="A1434" s="41" t="s">
        <v>23</v>
      </c>
      <c r="B1434" s="41" t="s">
        <v>12103</v>
      </c>
      <c r="F1434" s="41" t="s">
        <v>12104</v>
      </c>
      <c r="G1434" s="41" t="s">
        <v>12105</v>
      </c>
      <c r="H1434" s="41" t="s">
        <v>12106</v>
      </c>
      <c r="I1434" s="41" t="s">
        <v>12107</v>
      </c>
      <c r="J1434" s="41" t="s">
        <v>12108</v>
      </c>
      <c r="L1434" s="41" t="s">
        <v>4</v>
      </c>
    </row>
    <row r="1435" spans="1:19" x14ac:dyDescent="0.25">
      <c r="A1435" s="41" t="s">
        <v>23</v>
      </c>
      <c r="B1435" s="41" t="s">
        <v>12109</v>
      </c>
      <c r="D1435" s="41" t="s">
        <v>12110</v>
      </c>
      <c r="E1435" s="41" t="s">
        <v>12111</v>
      </c>
      <c r="F1435" s="41" t="s">
        <v>12112</v>
      </c>
      <c r="G1435" s="41" t="s">
        <v>12113</v>
      </c>
      <c r="H1435" s="41" t="s">
        <v>12114</v>
      </c>
      <c r="I1435" s="41" t="s">
        <v>12115</v>
      </c>
      <c r="J1435" s="41" t="s">
        <v>12116</v>
      </c>
      <c r="K1435" s="41" t="s">
        <v>12117</v>
      </c>
      <c r="L1435" s="41" t="s">
        <v>12118</v>
      </c>
      <c r="M1435" s="41" t="s">
        <v>12119</v>
      </c>
      <c r="N1435" s="41" t="s">
        <v>12120</v>
      </c>
      <c r="O1435" s="41" t="s">
        <v>12121</v>
      </c>
      <c r="P1435" s="41" t="s">
        <v>12122</v>
      </c>
      <c r="Q1435" s="41" t="s">
        <v>12123</v>
      </c>
      <c r="R1435" s="41" t="s">
        <v>12124</v>
      </c>
      <c r="S1435" s="41" t="s">
        <v>12125</v>
      </c>
    </row>
    <row r="1436" spans="1:19" x14ac:dyDescent="0.25">
      <c r="A1436" s="41" t="s">
        <v>23</v>
      </c>
      <c r="B1436" s="41" t="s">
        <v>12126</v>
      </c>
      <c r="D1436" s="41" t="s">
        <v>12127</v>
      </c>
      <c r="F1436" s="41" t="s">
        <v>12128</v>
      </c>
      <c r="G1436" s="41" t="s">
        <v>12129</v>
      </c>
      <c r="H1436" s="41" t="s">
        <v>12130</v>
      </c>
      <c r="I1436" s="41" t="s">
        <v>12131</v>
      </c>
      <c r="J1436" s="41" t="s">
        <v>12132</v>
      </c>
      <c r="K1436" s="41" t="s">
        <v>12133</v>
      </c>
      <c r="L1436" s="41" t="s">
        <v>891</v>
      </c>
    </row>
    <row r="1437" spans="1:19" x14ac:dyDescent="0.25">
      <c r="A1437" s="41" t="s">
        <v>23</v>
      </c>
      <c r="B1437" s="41" t="s">
        <v>12134</v>
      </c>
      <c r="D1437" s="41" t="s">
        <v>12135</v>
      </c>
      <c r="F1437" s="41" t="s">
        <v>12136</v>
      </c>
      <c r="G1437" s="41" t="s">
        <v>12137</v>
      </c>
      <c r="H1437" s="41" t="s">
        <v>12138</v>
      </c>
      <c r="I1437" s="41" t="s">
        <v>12139</v>
      </c>
      <c r="J1437" s="41" t="s">
        <v>12140</v>
      </c>
      <c r="K1437" s="41" t="s">
        <v>12141</v>
      </c>
      <c r="L1437" s="41" t="s">
        <v>1076</v>
      </c>
    </row>
    <row r="1438" spans="1:19" x14ac:dyDescent="0.25">
      <c r="A1438" s="41" t="s">
        <v>23</v>
      </c>
      <c r="B1438" s="41" t="s">
        <v>12142</v>
      </c>
      <c r="D1438" s="41" t="s">
        <v>12143</v>
      </c>
      <c r="F1438" s="41" t="s">
        <v>12144</v>
      </c>
      <c r="G1438" s="41" t="s">
        <v>12145</v>
      </c>
      <c r="H1438" s="41" t="s">
        <v>12146</v>
      </c>
      <c r="I1438" s="41" t="s">
        <v>12147</v>
      </c>
      <c r="J1438" s="41" t="s">
        <v>12148</v>
      </c>
      <c r="K1438" s="41" t="s">
        <v>12149</v>
      </c>
      <c r="L1438" s="41" t="s">
        <v>1085</v>
      </c>
    </row>
    <row r="1439" spans="1:19" x14ac:dyDescent="0.25">
      <c r="A1439" s="41" t="s">
        <v>23</v>
      </c>
      <c r="B1439" s="41" t="s">
        <v>12150</v>
      </c>
      <c r="D1439" s="41" t="s">
        <v>12151</v>
      </c>
      <c r="F1439" s="41" t="s">
        <v>12152</v>
      </c>
      <c r="G1439" s="41" t="s">
        <v>12153</v>
      </c>
      <c r="H1439" s="41" t="s">
        <v>12154</v>
      </c>
      <c r="I1439" s="41" t="s">
        <v>12155</v>
      </c>
      <c r="J1439" s="41" t="s">
        <v>12156</v>
      </c>
      <c r="K1439" s="41" t="s">
        <v>12157</v>
      </c>
      <c r="L1439" s="41" t="s">
        <v>1094</v>
      </c>
    </row>
    <row r="1440" spans="1:19" x14ac:dyDescent="0.25">
      <c r="A1440" s="41" t="s">
        <v>908</v>
      </c>
      <c r="B1440" s="41" t="s">
        <v>12158</v>
      </c>
    </row>
    <row r="1441" spans="1:19" x14ac:dyDescent="0.25">
      <c r="A1441" s="41" t="s">
        <v>23</v>
      </c>
      <c r="B1441" s="41" t="s">
        <v>12159</v>
      </c>
      <c r="F1441" s="41" t="s">
        <v>12160</v>
      </c>
      <c r="G1441" s="41" t="s">
        <v>12161</v>
      </c>
      <c r="H1441" s="41" t="s">
        <v>12162</v>
      </c>
      <c r="I1441" s="41" t="s">
        <v>12163</v>
      </c>
      <c r="J1441" s="41" t="s">
        <v>12164</v>
      </c>
      <c r="L1441" s="41" t="s">
        <v>4</v>
      </c>
    </row>
    <row r="1442" spans="1:19" x14ac:dyDescent="0.25">
      <c r="A1442" s="41" t="s">
        <v>23</v>
      </c>
      <c r="B1442" s="41" t="s">
        <v>12165</v>
      </c>
      <c r="D1442" s="41" t="s">
        <v>12166</v>
      </c>
      <c r="E1442" s="41" t="s">
        <v>12167</v>
      </c>
      <c r="F1442" s="41" t="s">
        <v>12168</v>
      </c>
      <c r="G1442" s="41" t="s">
        <v>12169</v>
      </c>
      <c r="H1442" s="41" t="s">
        <v>12170</v>
      </c>
      <c r="I1442" s="41" t="s">
        <v>12171</v>
      </c>
      <c r="J1442" s="41" t="s">
        <v>12172</v>
      </c>
      <c r="K1442" s="41" t="s">
        <v>12173</v>
      </c>
      <c r="L1442" s="41" t="s">
        <v>12174</v>
      </c>
      <c r="M1442" s="41" t="s">
        <v>12175</v>
      </c>
      <c r="N1442" s="41" t="s">
        <v>12176</v>
      </c>
      <c r="O1442" s="41" t="s">
        <v>12177</v>
      </c>
      <c r="P1442" s="41" t="s">
        <v>12178</v>
      </c>
      <c r="Q1442" s="41" t="s">
        <v>12179</v>
      </c>
      <c r="R1442" s="41" t="s">
        <v>12180</v>
      </c>
      <c r="S1442" s="41" t="s">
        <v>12181</v>
      </c>
    </row>
    <row r="1443" spans="1:19" x14ac:dyDescent="0.25">
      <c r="A1443" s="41" t="s">
        <v>23</v>
      </c>
      <c r="B1443" s="41" t="s">
        <v>12182</v>
      </c>
      <c r="D1443" s="41" t="s">
        <v>12183</v>
      </c>
      <c r="F1443" s="41" t="s">
        <v>12184</v>
      </c>
      <c r="G1443" s="41" t="s">
        <v>12185</v>
      </c>
      <c r="H1443" s="41" t="s">
        <v>12186</v>
      </c>
      <c r="I1443" s="41" t="s">
        <v>12187</v>
      </c>
      <c r="J1443" s="41" t="s">
        <v>12188</v>
      </c>
      <c r="K1443" s="41" t="s">
        <v>12189</v>
      </c>
      <c r="L1443" s="41" t="s">
        <v>891</v>
      </c>
    </row>
    <row r="1444" spans="1:19" x14ac:dyDescent="0.25">
      <c r="A1444" s="41" t="s">
        <v>23</v>
      </c>
      <c r="B1444" s="41" t="s">
        <v>12190</v>
      </c>
      <c r="D1444" s="41" t="s">
        <v>12191</v>
      </c>
      <c r="F1444" s="41" t="s">
        <v>12192</v>
      </c>
      <c r="G1444" s="41" t="s">
        <v>12193</v>
      </c>
      <c r="H1444" s="41" t="s">
        <v>12194</v>
      </c>
      <c r="I1444" s="41" t="s">
        <v>12195</v>
      </c>
      <c r="J1444" s="41" t="s">
        <v>12196</v>
      </c>
      <c r="K1444" s="41" t="s">
        <v>12197</v>
      </c>
      <c r="L1444" s="41" t="s">
        <v>1076</v>
      </c>
    </row>
    <row r="1445" spans="1:19" x14ac:dyDescent="0.25">
      <c r="A1445" s="41" t="s">
        <v>23</v>
      </c>
      <c r="B1445" s="41" t="s">
        <v>12198</v>
      </c>
      <c r="D1445" s="41" t="s">
        <v>12199</v>
      </c>
      <c r="F1445" s="41" t="s">
        <v>12200</v>
      </c>
      <c r="G1445" s="41" t="s">
        <v>12201</v>
      </c>
      <c r="H1445" s="41" t="s">
        <v>12202</v>
      </c>
      <c r="I1445" s="41" t="s">
        <v>12203</v>
      </c>
      <c r="J1445" s="41" t="s">
        <v>12204</v>
      </c>
      <c r="K1445" s="41" t="s">
        <v>12205</v>
      </c>
      <c r="L1445" s="41" t="s">
        <v>1085</v>
      </c>
    </row>
    <row r="1446" spans="1:19" x14ac:dyDescent="0.25">
      <c r="A1446" s="41" t="s">
        <v>23</v>
      </c>
      <c r="B1446" s="41" t="s">
        <v>12206</v>
      </c>
      <c r="D1446" s="41" t="s">
        <v>12207</v>
      </c>
      <c r="F1446" s="41" t="s">
        <v>12208</v>
      </c>
      <c r="G1446" s="41" t="s">
        <v>12209</v>
      </c>
      <c r="H1446" s="41" t="s">
        <v>12210</v>
      </c>
      <c r="I1446" s="41" t="s">
        <v>12211</v>
      </c>
      <c r="J1446" s="41" t="s">
        <v>12212</v>
      </c>
      <c r="K1446" s="41" t="s">
        <v>12213</v>
      </c>
      <c r="L1446" s="41" t="s">
        <v>1094</v>
      </c>
    </row>
    <row r="1447" spans="1:19" x14ac:dyDescent="0.25">
      <c r="A1447" s="41" t="s">
        <v>908</v>
      </c>
      <c r="B1447" s="41" t="s">
        <v>12214</v>
      </c>
    </row>
    <row r="1448" spans="1:19" x14ac:dyDescent="0.25">
      <c r="A1448" s="41" t="s">
        <v>23</v>
      </c>
      <c r="B1448" s="41" t="s">
        <v>12215</v>
      </c>
      <c r="F1448" s="41" t="s">
        <v>12216</v>
      </c>
      <c r="G1448" s="41" t="s">
        <v>12217</v>
      </c>
      <c r="H1448" s="41" t="s">
        <v>12218</v>
      </c>
      <c r="I1448" s="41" t="s">
        <v>12219</v>
      </c>
      <c r="J1448" s="41" t="s">
        <v>12220</v>
      </c>
      <c r="L1448" s="41" t="s">
        <v>4</v>
      </c>
    </row>
    <row r="1449" spans="1:19" x14ac:dyDescent="0.25">
      <c r="A1449" s="41" t="s">
        <v>23</v>
      </c>
      <c r="B1449" s="41" t="s">
        <v>12221</v>
      </c>
      <c r="D1449" s="41" t="s">
        <v>12222</v>
      </c>
      <c r="E1449" s="41" t="s">
        <v>12223</v>
      </c>
      <c r="F1449" s="41" t="s">
        <v>12224</v>
      </c>
      <c r="G1449" s="41" t="s">
        <v>12225</v>
      </c>
      <c r="H1449" s="41" t="s">
        <v>12226</v>
      </c>
      <c r="I1449" s="41" t="s">
        <v>12227</v>
      </c>
      <c r="J1449" s="41" t="s">
        <v>12228</v>
      </c>
      <c r="K1449" s="41" t="s">
        <v>12229</v>
      </c>
      <c r="L1449" s="41" t="s">
        <v>12230</v>
      </c>
      <c r="M1449" s="41" t="s">
        <v>12231</v>
      </c>
      <c r="N1449" s="41" t="s">
        <v>12232</v>
      </c>
      <c r="O1449" s="41" t="s">
        <v>12233</v>
      </c>
      <c r="P1449" s="41" t="s">
        <v>12234</v>
      </c>
      <c r="Q1449" s="41" t="s">
        <v>12235</v>
      </c>
      <c r="R1449" s="41" t="s">
        <v>12236</v>
      </c>
      <c r="S1449" s="41" t="s">
        <v>12237</v>
      </c>
    </row>
    <row r="1450" spans="1:19" x14ac:dyDescent="0.25">
      <c r="A1450" s="41" t="s">
        <v>23</v>
      </c>
      <c r="B1450" s="41" t="s">
        <v>12238</v>
      </c>
      <c r="D1450" s="41" t="s">
        <v>12239</v>
      </c>
      <c r="F1450" s="41" t="s">
        <v>12240</v>
      </c>
      <c r="G1450" s="41" t="s">
        <v>12241</v>
      </c>
      <c r="H1450" s="41" t="s">
        <v>12242</v>
      </c>
      <c r="I1450" s="41" t="s">
        <v>12243</v>
      </c>
      <c r="J1450" s="41" t="s">
        <v>12244</v>
      </c>
      <c r="K1450" s="41" t="s">
        <v>12245</v>
      </c>
      <c r="L1450" s="41" t="s">
        <v>891</v>
      </c>
    </row>
    <row r="1451" spans="1:19" x14ac:dyDescent="0.25">
      <c r="A1451" s="41" t="s">
        <v>23</v>
      </c>
      <c r="B1451" s="41" t="s">
        <v>12246</v>
      </c>
      <c r="D1451" s="41" t="s">
        <v>12247</v>
      </c>
      <c r="F1451" s="41" t="s">
        <v>12248</v>
      </c>
      <c r="G1451" s="41" t="s">
        <v>12249</v>
      </c>
      <c r="H1451" s="41" t="s">
        <v>12250</v>
      </c>
      <c r="I1451" s="41" t="s">
        <v>12251</v>
      </c>
      <c r="J1451" s="41" t="s">
        <v>12252</v>
      </c>
      <c r="K1451" s="41" t="s">
        <v>12253</v>
      </c>
      <c r="L1451" s="41" t="s">
        <v>1076</v>
      </c>
    </row>
    <row r="1452" spans="1:19" x14ac:dyDescent="0.25">
      <c r="A1452" s="41" t="s">
        <v>23</v>
      </c>
      <c r="B1452" s="41" t="s">
        <v>12254</v>
      </c>
      <c r="D1452" s="41" t="s">
        <v>12255</v>
      </c>
      <c r="F1452" s="41" t="s">
        <v>12256</v>
      </c>
      <c r="G1452" s="41" t="s">
        <v>12257</v>
      </c>
      <c r="H1452" s="41" t="s">
        <v>12258</v>
      </c>
      <c r="I1452" s="41" t="s">
        <v>12259</v>
      </c>
      <c r="J1452" s="41" t="s">
        <v>12260</v>
      </c>
      <c r="K1452" s="41" t="s">
        <v>12261</v>
      </c>
      <c r="L1452" s="41" t="s">
        <v>1085</v>
      </c>
    </row>
    <row r="1453" spans="1:19" x14ac:dyDescent="0.25">
      <c r="A1453" s="41" t="s">
        <v>23</v>
      </c>
      <c r="B1453" s="41" t="s">
        <v>12262</v>
      </c>
      <c r="D1453" s="41" t="s">
        <v>12263</v>
      </c>
      <c r="F1453" s="41" t="s">
        <v>12264</v>
      </c>
      <c r="G1453" s="41" t="s">
        <v>12265</v>
      </c>
      <c r="H1453" s="41" t="s">
        <v>12266</v>
      </c>
      <c r="I1453" s="41" t="s">
        <v>12267</v>
      </c>
      <c r="J1453" s="41" t="s">
        <v>12268</v>
      </c>
      <c r="K1453" s="41" t="s">
        <v>12269</v>
      </c>
      <c r="L1453" s="41" t="s">
        <v>1094</v>
      </c>
    </row>
    <row r="1454" spans="1:19" x14ac:dyDescent="0.25">
      <c r="A1454" s="41" t="s">
        <v>908</v>
      </c>
      <c r="B1454" s="41" t="s">
        <v>12270</v>
      </c>
    </row>
    <row r="1455" spans="1:19" x14ac:dyDescent="0.25">
      <c r="A1455" s="41" t="s">
        <v>23</v>
      </c>
      <c r="B1455" s="41" t="s">
        <v>12271</v>
      </c>
      <c r="F1455" s="41" t="s">
        <v>12272</v>
      </c>
      <c r="G1455" s="41" t="s">
        <v>12273</v>
      </c>
      <c r="H1455" s="41" t="s">
        <v>12274</v>
      </c>
      <c r="I1455" s="41" t="s">
        <v>12275</v>
      </c>
      <c r="J1455" s="41" t="s">
        <v>12276</v>
      </c>
      <c r="L1455" s="41" t="s">
        <v>4</v>
      </c>
    </row>
    <row r="1456" spans="1:19" x14ac:dyDescent="0.25">
      <c r="A1456" s="41" t="s">
        <v>23</v>
      </c>
      <c r="B1456" s="41" t="s">
        <v>12277</v>
      </c>
      <c r="D1456" s="41" t="s">
        <v>12278</v>
      </c>
      <c r="E1456" s="41" t="s">
        <v>12279</v>
      </c>
      <c r="F1456" s="41" t="s">
        <v>12280</v>
      </c>
      <c r="G1456" s="41" t="s">
        <v>12281</v>
      </c>
      <c r="H1456" s="41" t="s">
        <v>12282</v>
      </c>
      <c r="I1456" s="41" t="s">
        <v>12283</v>
      </c>
      <c r="J1456" s="41" t="s">
        <v>12284</v>
      </c>
      <c r="K1456" s="41" t="s">
        <v>12285</v>
      </c>
      <c r="L1456" s="41" t="s">
        <v>12286</v>
      </c>
      <c r="M1456" s="41" t="s">
        <v>12287</v>
      </c>
      <c r="N1456" s="41" t="s">
        <v>12288</v>
      </c>
      <c r="O1456" s="41" t="s">
        <v>12289</v>
      </c>
      <c r="P1456" s="41" t="s">
        <v>12290</v>
      </c>
      <c r="Q1456" s="41" t="s">
        <v>12291</v>
      </c>
      <c r="R1456" s="41" t="s">
        <v>12292</v>
      </c>
      <c r="S1456" s="41" t="s">
        <v>12293</v>
      </c>
    </row>
    <row r="1457" spans="1:19" x14ac:dyDescent="0.25">
      <c r="A1457" s="41" t="s">
        <v>23</v>
      </c>
      <c r="B1457" s="41" t="s">
        <v>12294</v>
      </c>
      <c r="D1457" s="41" t="s">
        <v>12295</v>
      </c>
      <c r="F1457" s="41" t="s">
        <v>12296</v>
      </c>
      <c r="G1457" s="41" t="s">
        <v>12297</v>
      </c>
      <c r="H1457" s="41" t="s">
        <v>12298</v>
      </c>
      <c r="I1457" s="41" t="s">
        <v>12299</v>
      </c>
      <c r="J1457" s="41" t="s">
        <v>12300</v>
      </c>
      <c r="K1457" s="41" t="s">
        <v>12301</v>
      </c>
      <c r="L1457" s="41" t="s">
        <v>891</v>
      </c>
    </row>
    <row r="1458" spans="1:19" x14ac:dyDescent="0.25">
      <c r="A1458" s="41" t="s">
        <v>23</v>
      </c>
      <c r="B1458" s="41" t="s">
        <v>12302</v>
      </c>
      <c r="D1458" s="41" t="s">
        <v>12303</v>
      </c>
      <c r="F1458" s="41" t="s">
        <v>12304</v>
      </c>
      <c r="G1458" s="41" t="s">
        <v>12305</v>
      </c>
      <c r="H1458" s="41" t="s">
        <v>12306</v>
      </c>
      <c r="I1458" s="41" t="s">
        <v>12307</v>
      </c>
      <c r="J1458" s="41" t="s">
        <v>12308</v>
      </c>
      <c r="K1458" s="41" t="s">
        <v>12309</v>
      </c>
      <c r="L1458" s="41" t="s">
        <v>1076</v>
      </c>
    </row>
    <row r="1459" spans="1:19" x14ac:dyDescent="0.25">
      <c r="A1459" s="41" t="s">
        <v>23</v>
      </c>
      <c r="B1459" s="41" t="s">
        <v>12310</v>
      </c>
      <c r="D1459" s="41" t="s">
        <v>12311</v>
      </c>
      <c r="F1459" s="41" t="s">
        <v>12312</v>
      </c>
      <c r="G1459" s="41" t="s">
        <v>12313</v>
      </c>
      <c r="H1459" s="41" t="s">
        <v>12314</v>
      </c>
      <c r="I1459" s="41" t="s">
        <v>12315</v>
      </c>
      <c r="J1459" s="41" t="s">
        <v>12316</v>
      </c>
      <c r="K1459" s="41" t="s">
        <v>12317</v>
      </c>
      <c r="L1459" s="41" t="s">
        <v>1085</v>
      </c>
    </row>
    <row r="1460" spans="1:19" x14ac:dyDescent="0.25">
      <c r="A1460" s="41" t="s">
        <v>23</v>
      </c>
      <c r="B1460" s="41" t="s">
        <v>12318</v>
      </c>
      <c r="D1460" s="41" t="s">
        <v>12319</v>
      </c>
      <c r="F1460" s="41" t="s">
        <v>12320</v>
      </c>
      <c r="G1460" s="41" t="s">
        <v>12321</v>
      </c>
      <c r="H1460" s="41" t="s">
        <v>12322</v>
      </c>
      <c r="I1460" s="41" t="s">
        <v>12323</v>
      </c>
      <c r="J1460" s="41" t="s">
        <v>12324</v>
      </c>
      <c r="K1460" s="41" t="s">
        <v>12325</v>
      </c>
      <c r="L1460" s="41" t="s">
        <v>1094</v>
      </c>
    </row>
    <row r="1461" spans="1:19" x14ac:dyDescent="0.25">
      <c r="A1461" s="41" t="s">
        <v>908</v>
      </c>
      <c r="B1461" s="41" t="s">
        <v>12326</v>
      </c>
    </row>
    <row r="1462" spans="1:19" x14ac:dyDescent="0.25">
      <c r="A1462" s="41" t="s">
        <v>23</v>
      </c>
      <c r="B1462" s="41" t="s">
        <v>12327</v>
      </c>
      <c r="F1462" s="41" t="s">
        <v>12328</v>
      </c>
      <c r="G1462" s="41" t="s">
        <v>12329</v>
      </c>
      <c r="H1462" s="41" t="s">
        <v>12330</v>
      </c>
      <c r="I1462" s="41" t="s">
        <v>12331</v>
      </c>
      <c r="J1462" s="41" t="s">
        <v>12332</v>
      </c>
      <c r="L1462" s="41" t="s">
        <v>4</v>
      </c>
    </row>
    <row r="1463" spans="1:19" x14ac:dyDescent="0.25">
      <c r="A1463" s="41" t="s">
        <v>23</v>
      </c>
      <c r="B1463" s="41" t="s">
        <v>12333</v>
      </c>
      <c r="D1463" s="41" t="s">
        <v>12334</v>
      </c>
      <c r="E1463" s="41" t="s">
        <v>12335</v>
      </c>
      <c r="F1463" s="41" t="s">
        <v>12336</v>
      </c>
      <c r="G1463" s="41" t="s">
        <v>12337</v>
      </c>
      <c r="H1463" s="41" t="s">
        <v>12338</v>
      </c>
      <c r="I1463" s="41" t="s">
        <v>12339</v>
      </c>
      <c r="J1463" s="41" t="s">
        <v>12340</v>
      </c>
      <c r="K1463" s="41" t="s">
        <v>12341</v>
      </c>
      <c r="L1463" s="41" t="s">
        <v>12342</v>
      </c>
      <c r="M1463" s="41" t="s">
        <v>12343</v>
      </c>
      <c r="N1463" s="41" t="s">
        <v>12344</v>
      </c>
      <c r="O1463" s="41" t="s">
        <v>12345</v>
      </c>
      <c r="P1463" s="41" t="s">
        <v>12346</v>
      </c>
      <c r="Q1463" s="41" t="s">
        <v>12347</v>
      </c>
      <c r="R1463" s="41" t="s">
        <v>12348</v>
      </c>
      <c r="S1463" s="41" t="s">
        <v>12349</v>
      </c>
    </row>
    <row r="1464" spans="1:19" x14ac:dyDescent="0.25">
      <c r="A1464" s="41" t="s">
        <v>23</v>
      </c>
      <c r="B1464" s="41" t="s">
        <v>12350</v>
      </c>
      <c r="D1464" s="41" t="s">
        <v>12351</v>
      </c>
      <c r="F1464" s="41" t="s">
        <v>12352</v>
      </c>
      <c r="G1464" s="41" t="s">
        <v>12353</v>
      </c>
      <c r="H1464" s="41" t="s">
        <v>12354</v>
      </c>
      <c r="I1464" s="41" t="s">
        <v>12355</v>
      </c>
      <c r="J1464" s="41" t="s">
        <v>12356</v>
      </c>
      <c r="K1464" s="41" t="s">
        <v>12357</v>
      </c>
      <c r="L1464" s="41" t="s">
        <v>891</v>
      </c>
    </row>
    <row r="1465" spans="1:19" x14ac:dyDescent="0.25">
      <c r="A1465" s="41" t="s">
        <v>23</v>
      </c>
      <c r="B1465" s="41" t="s">
        <v>12358</v>
      </c>
      <c r="D1465" s="41" t="s">
        <v>12359</v>
      </c>
      <c r="F1465" s="41" t="s">
        <v>12360</v>
      </c>
      <c r="G1465" s="41" t="s">
        <v>12361</v>
      </c>
      <c r="H1465" s="41" t="s">
        <v>12362</v>
      </c>
      <c r="I1465" s="41" t="s">
        <v>12363</v>
      </c>
      <c r="J1465" s="41" t="s">
        <v>12364</v>
      </c>
      <c r="K1465" s="41" t="s">
        <v>12365</v>
      </c>
      <c r="L1465" s="41" t="s">
        <v>1076</v>
      </c>
    </row>
    <row r="1466" spans="1:19" x14ac:dyDescent="0.25">
      <c r="A1466" s="41" t="s">
        <v>23</v>
      </c>
      <c r="B1466" s="41" t="s">
        <v>12366</v>
      </c>
      <c r="D1466" s="41" t="s">
        <v>12367</v>
      </c>
      <c r="F1466" s="41" t="s">
        <v>12368</v>
      </c>
      <c r="G1466" s="41" t="s">
        <v>12369</v>
      </c>
      <c r="H1466" s="41" t="s">
        <v>12370</v>
      </c>
      <c r="I1466" s="41" t="s">
        <v>12371</v>
      </c>
      <c r="J1466" s="41" t="s">
        <v>12372</v>
      </c>
      <c r="K1466" s="41" t="s">
        <v>12373</v>
      </c>
      <c r="L1466" s="41" t="s">
        <v>1085</v>
      </c>
    </row>
    <row r="1467" spans="1:19" x14ac:dyDescent="0.25">
      <c r="A1467" s="41" t="s">
        <v>23</v>
      </c>
      <c r="B1467" s="41" t="s">
        <v>12374</v>
      </c>
      <c r="D1467" s="41" t="s">
        <v>12375</v>
      </c>
      <c r="F1467" s="41" t="s">
        <v>12376</v>
      </c>
      <c r="G1467" s="41" t="s">
        <v>12377</v>
      </c>
      <c r="H1467" s="41" t="s">
        <v>12378</v>
      </c>
      <c r="I1467" s="41" t="s">
        <v>12379</v>
      </c>
      <c r="J1467" s="41" t="s">
        <v>12380</v>
      </c>
      <c r="K1467" s="41" t="s">
        <v>12381</v>
      </c>
      <c r="L1467" s="41" t="s">
        <v>1094</v>
      </c>
    </row>
    <row r="1468" spans="1:19" x14ac:dyDescent="0.25">
      <c r="A1468" s="41" t="s">
        <v>908</v>
      </c>
      <c r="B1468" s="41" t="s">
        <v>12382</v>
      </c>
    </row>
    <row r="1469" spans="1:19" x14ac:dyDescent="0.25">
      <c r="A1469" s="41" t="s">
        <v>23</v>
      </c>
      <c r="B1469" s="41" t="s">
        <v>12383</v>
      </c>
      <c r="F1469" s="41" t="s">
        <v>12384</v>
      </c>
      <c r="G1469" s="41" t="s">
        <v>12385</v>
      </c>
      <c r="H1469" s="41" t="s">
        <v>12386</v>
      </c>
      <c r="I1469" s="41" t="s">
        <v>12387</v>
      </c>
      <c r="J1469" s="41" t="s">
        <v>12388</v>
      </c>
      <c r="L1469" s="41" t="s">
        <v>4</v>
      </c>
    </row>
    <row r="1470" spans="1:19" x14ac:dyDescent="0.25">
      <c r="A1470" s="41" t="s">
        <v>23</v>
      </c>
      <c r="B1470" s="41" t="s">
        <v>12389</v>
      </c>
      <c r="D1470" s="41" t="s">
        <v>12390</v>
      </c>
      <c r="E1470" s="41" t="s">
        <v>12391</v>
      </c>
      <c r="F1470" s="41" t="s">
        <v>12392</v>
      </c>
      <c r="G1470" s="41" t="s">
        <v>12393</v>
      </c>
      <c r="H1470" s="41" t="s">
        <v>12394</v>
      </c>
      <c r="I1470" s="41" t="s">
        <v>12395</v>
      </c>
      <c r="J1470" s="41" t="s">
        <v>12396</v>
      </c>
      <c r="K1470" s="41" t="s">
        <v>12397</v>
      </c>
      <c r="L1470" s="41" t="s">
        <v>12398</v>
      </c>
      <c r="M1470" s="41" t="s">
        <v>12399</v>
      </c>
      <c r="N1470" s="41" t="s">
        <v>12400</v>
      </c>
      <c r="O1470" s="41" t="s">
        <v>12401</v>
      </c>
      <c r="P1470" s="41" t="s">
        <v>12402</v>
      </c>
      <c r="Q1470" s="41" t="s">
        <v>12403</v>
      </c>
      <c r="R1470" s="41" t="s">
        <v>12404</v>
      </c>
      <c r="S1470" s="41" t="s">
        <v>12405</v>
      </c>
    </row>
    <row r="1471" spans="1:19" x14ac:dyDescent="0.25">
      <c r="A1471" s="41" t="s">
        <v>23</v>
      </c>
      <c r="B1471" s="41" t="s">
        <v>12406</v>
      </c>
      <c r="D1471" s="41" t="s">
        <v>12407</v>
      </c>
      <c r="F1471" s="41" t="s">
        <v>12408</v>
      </c>
      <c r="G1471" s="41" t="s">
        <v>12409</v>
      </c>
      <c r="H1471" s="41" t="s">
        <v>12410</v>
      </c>
      <c r="I1471" s="41" t="s">
        <v>12411</v>
      </c>
      <c r="J1471" s="41" t="s">
        <v>12412</v>
      </c>
      <c r="K1471" s="41" t="s">
        <v>12413</v>
      </c>
      <c r="L1471" s="41" t="s">
        <v>891</v>
      </c>
    </row>
    <row r="1472" spans="1:19" x14ac:dyDescent="0.25">
      <c r="A1472" s="41" t="s">
        <v>23</v>
      </c>
      <c r="B1472" s="41" t="s">
        <v>12414</v>
      </c>
      <c r="D1472" s="41" t="s">
        <v>12415</v>
      </c>
      <c r="F1472" s="41" t="s">
        <v>12416</v>
      </c>
      <c r="G1472" s="41" t="s">
        <v>12417</v>
      </c>
      <c r="H1472" s="41" t="s">
        <v>12418</v>
      </c>
      <c r="I1472" s="41" t="s">
        <v>12419</v>
      </c>
      <c r="J1472" s="41" t="s">
        <v>12420</v>
      </c>
      <c r="K1472" s="41" t="s">
        <v>12421</v>
      </c>
      <c r="L1472" s="41" t="s">
        <v>1076</v>
      </c>
    </row>
    <row r="1473" spans="1:19" x14ac:dyDescent="0.25">
      <c r="A1473" s="41" t="s">
        <v>23</v>
      </c>
      <c r="B1473" s="41" t="s">
        <v>12422</v>
      </c>
      <c r="D1473" s="41" t="s">
        <v>12423</v>
      </c>
      <c r="F1473" s="41" t="s">
        <v>12424</v>
      </c>
      <c r="G1473" s="41" t="s">
        <v>12425</v>
      </c>
      <c r="H1473" s="41" t="s">
        <v>12426</v>
      </c>
      <c r="I1473" s="41" t="s">
        <v>12427</v>
      </c>
      <c r="J1473" s="41" t="s">
        <v>12428</v>
      </c>
      <c r="K1473" s="41" t="s">
        <v>12429</v>
      </c>
      <c r="L1473" s="41" t="s">
        <v>1085</v>
      </c>
    </row>
    <row r="1474" spans="1:19" x14ac:dyDescent="0.25">
      <c r="A1474" s="41" t="s">
        <v>23</v>
      </c>
      <c r="B1474" s="41" t="s">
        <v>12430</v>
      </c>
      <c r="D1474" s="41" t="s">
        <v>12431</v>
      </c>
      <c r="F1474" s="41" t="s">
        <v>12432</v>
      </c>
      <c r="G1474" s="41" t="s">
        <v>12433</v>
      </c>
      <c r="H1474" s="41" t="s">
        <v>12434</v>
      </c>
      <c r="I1474" s="41" t="s">
        <v>12435</v>
      </c>
      <c r="J1474" s="41" t="s">
        <v>12436</v>
      </c>
      <c r="K1474" s="41" t="s">
        <v>12437</v>
      </c>
      <c r="L1474" s="41" t="s">
        <v>1094</v>
      </c>
    </row>
    <row r="1475" spans="1:19" x14ac:dyDescent="0.25">
      <c r="A1475" s="41" t="s">
        <v>908</v>
      </c>
      <c r="B1475" s="41" t="s">
        <v>12438</v>
      </c>
    </row>
    <row r="1476" spans="1:19" x14ac:dyDescent="0.25">
      <c r="A1476" s="41" t="s">
        <v>23</v>
      </c>
      <c r="B1476" s="41" t="s">
        <v>12439</v>
      </c>
      <c r="F1476" s="41" t="s">
        <v>12440</v>
      </c>
      <c r="G1476" s="41" t="s">
        <v>12441</v>
      </c>
      <c r="H1476" s="41" t="s">
        <v>12442</v>
      </c>
      <c r="I1476" s="41" t="s">
        <v>12443</v>
      </c>
      <c r="J1476" s="41" t="s">
        <v>12444</v>
      </c>
      <c r="L1476" s="41" t="s">
        <v>4</v>
      </c>
    </row>
    <row r="1477" spans="1:19" x14ac:dyDescent="0.25">
      <c r="A1477" s="41" t="s">
        <v>23</v>
      </c>
      <c r="B1477" s="41" t="s">
        <v>12445</v>
      </c>
      <c r="D1477" s="41" t="s">
        <v>12446</v>
      </c>
      <c r="E1477" s="41" t="s">
        <v>12447</v>
      </c>
      <c r="F1477" s="41" t="s">
        <v>12448</v>
      </c>
      <c r="G1477" s="41" t="s">
        <v>12449</v>
      </c>
      <c r="H1477" s="41" t="s">
        <v>12450</v>
      </c>
      <c r="I1477" s="41" t="s">
        <v>12451</v>
      </c>
      <c r="J1477" s="41" t="s">
        <v>12452</v>
      </c>
      <c r="K1477" s="41" t="s">
        <v>12453</v>
      </c>
      <c r="L1477" s="41" t="s">
        <v>12454</v>
      </c>
      <c r="M1477" s="41" t="s">
        <v>12455</v>
      </c>
      <c r="N1477" s="41" t="s">
        <v>12456</v>
      </c>
      <c r="O1477" s="41" t="s">
        <v>12457</v>
      </c>
      <c r="P1477" s="41" t="s">
        <v>12458</v>
      </c>
      <c r="Q1477" s="41" t="s">
        <v>12459</v>
      </c>
      <c r="R1477" s="41" t="s">
        <v>12460</v>
      </c>
      <c r="S1477" s="41" t="s">
        <v>12461</v>
      </c>
    </row>
    <row r="1478" spans="1:19" x14ac:dyDescent="0.25">
      <c r="A1478" s="41" t="s">
        <v>23</v>
      </c>
      <c r="B1478" s="41" t="s">
        <v>12462</v>
      </c>
      <c r="D1478" s="41" t="s">
        <v>12463</v>
      </c>
      <c r="F1478" s="41" t="s">
        <v>12464</v>
      </c>
      <c r="G1478" s="41" t="s">
        <v>12465</v>
      </c>
      <c r="H1478" s="41" t="s">
        <v>12466</v>
      </c>
      <c r="I1478" s="41" t="s">
        <v>12467</v>
      </c>
      <c r="J1478" s="41" t="s">
        <v>12468</v>
      </c>
      <c r="K1478" s="41" t="s">
        <v>12469</v>
      </c>
      <c r="L1478" s="41" t="s">
        <v>891</v>
      </c>
    </row>
    <row r="1479" spans="1:19" x14ac:dyDescent="0.25">
      <c r="A1479" s="41" t="s">
        <v>23</v>
      </c>
      <c r="B1479" s="41" t="s">
        <v>12470</v>
      </c>
      <c r="D1479" s="41" t="s">
        <v>12471</v>
      </c>
      <c r="F1479" s="41" t="s">
        <v>12472</v>
      </c>
      <c r="G1479" s="41" t="s">
        <v>12473</v>
      </c>
      <c r="H1479" s="41" t="s">
        <v>12474</v>
      </c>
      <c r="I1479" s="41" t="s">
        <v>12475</v>
      </c>
      <c r="J1479" s="41" t="s">
        <v>12476</v>
      </c>
      <c r="K1479" s="41" t="s">
        <v>12477</v>
      </c>
      <c r="L1479" s="41" t="s">
        <v>1076</v>
      </c>
    </row>
    <row r="1480" spans="1:19" x14ac:dyDescent="0.25">
      <c r="A1480" s="41" t="s">
        <v>23</v>
      </c>
      <c r="B1480" s="41" t="s">
        <v>12478</v>
      </c>
      <c r="D1480" s="41" t="s">
        <v>12479</v>
      </c>
      <c r="F1480" s="41" t="s">
        <v>12480</v>
      </c>
      <c r="G1480" s="41" t="s">
        <v>12481</v>
      </c>
      <c r="H1480" s="41" t="s">
        <v>12482</v>
      </c>
      <c r="I1480" s="41" t="s">
        <v>12483</v>
      </c>
      <c r="J1480" s="41" t="s">
        <v>12484</v>
      </c>
      <c r="K1480" s="41" t="s">
        <v>12485</v>
      </c>
      <c r="L1480" s="41" t="s">
        <v>1085</v>
      </c>
    </row>
    <row r="1481" spans="1:19" x14ac:dyDescent="0.25">
      <c r="A1481" s="41" t="s">
        <v>23</v>
      </c>
      <c r="B1481" s="41" t="s">
        <v>12486</v>
      </c>
      <c r="D1481" s="41" t="s">
        <v>12487</v>
      </c>
      <c r="F1481" s="41" t="s">
        <v>12488</v>
      </c>
      <c r="G1481" s="41" t="s">
        <v>12489</v>
      </c>
      <c r="H1481" s="41" t="s">
        <v>12490</v>
      </c>
      <c r="I1481" s="41" t="s">
        <v>12491</v>
      </c>
      <c r="J1481" s="41" t="s">
        <v>12492</v>
      </c>
      <c r="K1481" s="41" t="s">
        <v>12493</v>
      </c>
      <c r="L1481" s="41" t="s">
        <v>1094</v>
      </c>
    </row>
    <row r="1482" spans="1:19" x14ac:dyDescent="0.25">
      <c r="A1482" s="41" t="s">
        <v>908</v>
      </c>
      <c r="B1482" s="41" t="s">
        <v>12494</v>
      </c>
    </row>
    <row r="1483" spans="1:19" x14ac:dyDescent="0.25">
      <c r="A1483" s="41" t="s">
        <v>23</v>
      </c>
      <c r="B1483" s="41" t="s">
        <v>12495</v>
      </c>
      <c r="F1483" s="41" t="s">
        <v>12496</v>
      </c>
      <c r="G1483" s="41" t="s">
        <v>12497</v>
      </c>
      <c r="H1483" s="41" t="s">
        <v>12498</v>
      </c>
      <c r="I1483" s="41" t="s">
        <v>12499</v>
      </c>
      <c r="J1483" s="41" t="s">
        <v>12500</v>
      </c>
      <c r="L1483" s="41" t="s">
        <v>4</v>
      </c>
    </row>
    <row r="1484" spans="1:19" x14ac:dyDescent="0.25">
      <c r="A1484" s="41" t="s">
        <v>23</v>
      </c>
      <c r="B1484" s="41" t="s">
        <v>12501</v>
      </c>
      <c r="D1484" s="41" t="s">
        <v>12502</v>
      </c>
      <c r="E1484" s="41" t="s">
        <v>12503</v>
      </c>
      <c r="F1484" s="41" t="s">
        <v>12504</v>
      </c>
      <c r="G1484" s="41" t="s">
        <v>12505</v>
      </c>
      <c r="H1484" s="41" t="s">
        <v>12506</v>
      </c>
      <c r="I1484" s="41" t="s">
        <v>12507</v>
      </c>
      <c r="J1484" s="41" t="s">
        <v>12508</v>
      </c>
      <c r="K1484" s="41" t="s">
        <v>12509</v>
      </c>
      <c r="L1484" s="41" t="s">
        <v>12510</v>
      </c>
      <c r="M1484" s="41" t="s">
        <v>12511</v>
      </c>
      <c r="N1484" s="41" t="s">
        <v>12512</v>
      </c>
      <c r="O1484" s="41" t="s">
        <v>12513</v>
      </c>
      <c r="P1484" s="41" t="s">
        <v>12514</v>
      </c>
      <c r="Q1484" s="41" t="s">
        <v>12515</v>
      </c>
      <c r="R1484" s="41" t="s">
        <v>12516</v>
      </c>
      <c r="S1484" s="41" t="s">
        <v>12517</v>
      </c>
    </row>
    <row r="1485" spans="1:19" x14ac:dyDescent="0.25">
      <c r="A1485" s="41" t="s">
        <v>23</v>
      </c>
      <c r="B1485" s="41" t="s">
        <v>12518</v>
      </c>
      <c r="D1485" s="41" t="s">
        <v>12519</v>
      </c>
      <c r="F1485" s="41" t="s">
        <v>12520</v>
      </c>
      <c r="G1485" s="41" t="s">
        <v>12521</v>
      </c>
      <c r="H1485" s="41" t="s">
        <v>12522</v>
      </c>
      <c r="I1485" s="41" t="s">
        <v>12523</v>
      </c>
      <c r="J1485" s="41" t="s">
        <v>12524</v>
      </c>
      <c r="K1485" s="41" t="s">
        <v>12525</v>
      </c>
      <c r="L1485" s="41" t="s">
        <v>891</v>
      </c>
    </row>
    <row r="1486" spans="1:19" x14ac:dyDescent="0.25">
      <c r="A1486" s="41" t="s">
        <v>23</v>
      </c>
      <c r="B1486" s="41" t="s">
        <v>12526</v>
      </c>
      <c r="D1486" s="41" t="s">
        <v>12527</v>
      </c>
      <c r="F1486" s="41" t="s">
        <v>12528</v>
      </c>
      <c r="G1486" s="41" t="s">
        <v>12529</v>
      </c>
      <c r="H1486" s="41" t="s">
        <v>12530</v>
      </c>
      <c r="I1486" s="41" t="s">
        <v>12531</v>
      </c>
      <c r="J1486" s="41" t="s">
        <v>12532</v>
      </c>
      <c r="K1486" s="41" t="s">
        <v>12533</v>
      </c>
      <c r="L1486" s="41" t="s">
        <v>1076</v>
      </c>
    </row>
    <row r="1487" spans="1:19" x14ac:dyDescent="0.25">
      <c r="A1487" s="41" t="s">
        <v>23</v>
      </c>
      <c r="B1487" s="41" t="s">
        <v>12534</v>
      </c>
      <c r="D1487" s="41" t="s">
        <v>12535</v>
      </c>
      <c r="F1487" s="41" t="s">
        <v>12536</v>
      </c>
      <c r="G1487" s="41" t="s">
        <v>12537</v>
      </c>
      <c r="H1487" s="41" t="s">
        <v>12538</v>
      </c>
      <c r="I1487" s="41" t="s">
        <v>12539</v>
      </c>
      <c r="J1487" s="41" t="s">
        <v>12540</v>
      </c>
      <c r="K1487" s="41" t="s">
        <v>12541</v>
      </c>
      <c r="L1487" s="41" t="s">
        <v>1085</v>
      </c>
    </row>
    <row r="1488" spans="1:19" x14ac:dyDescent="0.25">
      <c r="A1488" s="41" t="s">
        <v>23</v>
      </c>
      <c r="B1488" s="41" t="s">
        <v>12542</v>
      </c>
      <c r="D1488" s="41" t="s">
        <v>12543</v>
      </c>
      <c r="F1488" s="41" t="s">
        <v>12544</v>
      </c>
      <c r="G1488" s="41" t="s">
        <v>12545</v>
      </c>
      <c r="H1488" s="41" t="s">
        <v>12546</v>
      </c>
      <c r="I1488" s="41" t="s">
        <v>12547</v>
      </c>
      <c r="J1488" s="41" t="s">
        <v>12548</v>
      </c>
      <c r="K1488" s="41" t="s">
        <v>12549</v>
      </c>
      <c r="L1488" s="41" t="s">
        <v>1094</v>
      </c>
    </row>
    <row r="1489" spans="1:19" x14ac:dyDescent="0.25">
      <c r="A1489" s="41" t="s">
        <v>908</v>
      </c>
      <c r="B1489" s="41" t="s">
        <v>12550</v>
      </c>
    </row>
    <row r="1490" spans="1:19" x14ac:dyDescent="0.25">
      <c r="A1490" s="41" t="s">
        <v>23</v>
      </c>
      <c r="B1490" s="41" t="s">
        <v>12551</v>
      </c>
      <c r="F1490" s="41" t="s">
        <v>12552</v>
      </c>
      <c r="G1490" s="41" t="s">
        <v>12553</v>
      </c>
      <c r="H1490" s="41" t="s">
        <v>12554</v>
      </c>
      <c r="I1490" s="41" t="s">
        <v>12555</v>
      </c>
      <c r="J1490" s="41" t="s">
        <v>12556</v>
      </c>
      <c r="L1490" s="41" t="s">
        <v>4</v>
      </c>
    </row>
    <row r="1491" spans="1:19" x14ac:dyDescent="0.25">
      <c r="A1491" s="41" t="s">
        <v>23</v>
      </c>
      <c r="B1491" s="41" t="s">
        <v>12557</v>
      </c>
      <c r="D1491" s="41" t="s">
        <v>12558</v>
      </c>
      <c r="E1491" s="41" t="s">
        <v>12559</v>
      </c>
      <c r="F1491" s="41" t="s">
        <v>12560</v>
      </c>
      <c r="G1491" s="41" t="s">
        <v>12561</v>
      </c>
      <c r="H1491" s="41" t="s">
        <v>12562</v>
      </c>
      <c r="I1491" s="41" t="s">
        <v>12563</v>
      </c>
      <c r="J1491" s="41" t="s">
        <v>12564</v>
      </c>
      <c r="K1491" s="41" t="s">
        <v>12565</v>
      </c>
      <c r="L1491" s="41" t="s">
        <v>12566</v>
      </c>
      <c r="M1491" s="41" t="s">
        <v>12567</v>
      </c>
      <c r="N1491" s="41" t="s">
        <v>12568</v>
      </c>
      <c r="O1491" s="41" t="s">
        <v>12569</v>
      </c>
      <c r="P1491" s="41" t="s">
        <v>12570</v>
      </c>
      <c r="Q1491" s="41" t="s">
        <v>12571</v>
      </c>
      <c r="R1491" s="41" t="s">
        <v>12572</v>
      </c>
      <c r="S1491" s="41" t="s">
        <v>12573</v>
      </c>
    </row>
    <row r="1492" spans="1:19" x14ac:dyDescent="0.25">
      <c r="A1492" s="41" t="s">
        <v>23</v>
      </c>
      <c r="B1492" s="41" t="s">
        <v>12574</v>
      </c>
      <c r="D1492" s="41" t="s">
        <v>12575</v>
      </c>
      <c r="F1492" s="41" t="s">
        <v>12576</v>
      </c>
      <c r="G1492" s="41" t="s">
        <v>12577</v>
      </c>
      <c r="H1492" s="41" t="s">
        <v>12578</v>
      </c>
      <c r="I1492" s="41" t="s">
        <v>12579</v>
      </c>
      <c r="J1492" s="41" t="s">
        <v>12580</v>
      </c>
      <c r="K1492" s="41" t="s">
        <v>12581</v>
      </c>
      <c r="L1492" s="41" t="s">
        <v>891</v>
      </c>
    </row>
    <row r="1493" spans="1:19" x14ac:dyDescent="0.25">
      <c r="A1493" s="41" t="s">
        <v>23</v>
      </c>
      <c r="B1493" s="41" t="s">
        <v>12582</v>
      </c>
      <c r="D1493" s="41" t="s">
        <v>12583</v>
      </c>
      <c r="F1493" s="41" t="s">
        <v>12584</v>
      </c>
      <c r="G1493" s="41" t="s">
        <v>12585</v>
      </c>
      <c r="H1493" s="41" t="s">
        <v>12586</v>
      </c>
      <c r="I1493" s="41" t="s">
        <v>12587</v>
      </c>
      <c r="J1493" s="41" t="s">
        <v>12588</v>
      </c>
      <c r="K1493" s="41" t="s">
        <v>12589</v>
      </c>
      <c r="L1493" s="41" t="s">
        <v>1076</v>
      </c>
    </row>
    <row r="1494" spans="1:19" x14ac:dyDescent="0.25">
      <c r="A1494" s="41" t="s">
        <v>23</v>
      </c>
      <c r="B1494" s="41" t="s">
        <v>12590</v>
      </c>
      <c r="D1494" s="41" t="s">
        <v>12591</v>
      </c>
      <c r="F1494" s="41" t="s">
        <v>12592</v>
      </c>
      <c r="G1494" s="41" t="s">
        <v>12593</v>
      </c>
      <c r="H1494" s="41" t="s">
        <v>12594</v>
      </c>
      <c r="I1494" s="41" t="s">
        <v>12595</v>
      </c>
      <c r="J1494" s="41" t="s">
        <v>12596</v>
      </c>
      <c r="K1494" s="41" t="s">
        <v>12597</v>
      </c>
      <c r="L1494" s="41" t="s">
        <v>1085</v>
      </c>
    </row>
    <row r="1495" spans="1:19" x14ac:dyDescent="0.25">
      <c r="A1495" s="41" t="s">
        <v>23</v>
      </c>
      <c r="B1495" s="41" t="s">
        <v>12598</v>
      </c>
      <c r="D1495" s="41" t="s">
        <v>12599</v>
      </c>
      <c r="F1495" s="41" t="s">
        <v>12600</v>
      </c>
      <c r="G1495" s="41" t="s">
        <v>12601</v>
      </c>
      <c r="H1495" s="41" t="s">
        <v>12602</v>
      </c>
      <c r="I1495" s="41" t="s">
        <v>12603</v>
      </c>
      <c r="J1495" s="41" t="s">
        <v>12604</v>
      </c>
      <c r="K1495" s="41" t="s">
        <v>12605</v>
      </c>
      <c r="L1495" s="41" t="s">
        <v>1094</v>
      </c>
    </row>
    <row r="1496" spans="1:19" x14ac:dyDescent="0.25">
      <c r="A1496" s="41" t="s">
        <v>908</v>
      </c>
      <c r="B1496" s="41" t="s">
        <v>12606</v>
      </c>
    </row>
    <row r="1497" spans="1:19" x14ac:dyDescent="0.25">
      <c r="A1497" s="41" t="s">
        <v>23</v>
      </c>
      <c r="B1497" s="41" t="s">
        <v>12607</v>
      </c>
      <c r="F1497" s="41" t="s">
        <v>12608</v>
      </c>
      <c r="G1497" s="41" t="s">
        <v>12609</v>
      </c>
      <c r="H1497" s="41" t="s">
        <v>12610</v>
      </c>
      <c r="I1497" s="41" t="s">
        <v>12611</v>
      </c>
      <c r="J1497" s="41" t="s">
        <v>12612</v>
      </c>
      <c r="L1497" s="41" t="s">
        <v>4</v>
      </c>
    </row>
    <row r="1498" spans="1:19" x14ac:dyDescent="0.25">
      <c r="A1498" s="41" t="s">
        <v>23</v>
      </c>
      <c r="B1498" s="41" t="s">
        <v>12613</v>
      </c>
      <c r="D1498" s="41" t="s">
        <v>12614</v>
      </c>
      <c r="E1498" s="41" t="s">
        <v>12615</v>
      </c>
      <c r="F1498" s="41" t="s">
        <v>12616</v>
      </c>
      <c r="G1498" s="41" t="s">
        <v>12617</v>
      </c>
      <c r="H1498" s="41" t="s">
        <v>12618</v>
      </c>
      <c r="I1498" s="41" t="s">
        <v>12619</v>
      </c>
      <c r="J1498" s="41" t="s">
        <v>12620</v>
      </c>
      <c r="K1498" s="41" t="s">
        <v>12621</v>
      </c>
      <c r="L1498" s="41" t="s">
        <v>12622</v>
      </c>
      <c r="M1498" s="41" t="s">
        <v>12623</v>
      </c>
      <c r="N1498" s="41" t="s">
        <v>12624</v>
      </c>
      <c r="O1498" s="41" t="s">
        <v>12625</v>
      </c>
      <c r="P1498" s="41" t="s">
        <v>12626</v>
      </c>
      <c r="Q1498" s="41" t="s">
        <v>12627</v>
      </c>
      <c r="R1498" s="41" t="s">
        <v>12628</v>
      </c>
      <c r="S1498" s="41" t="s">
        <v>12629</v>
      </c>
    </row>
    <row r="1499" spans="1:19" x14ac:dyDescent="0.25">
      <c r="A1499" s="41" t="s">
        <v>23</v>
      </c>
      <c r="B1499" s="41" t="s">
        <v>12630</v>
      </c>
      <c r="D1499" s="41" t="s">
        <v>12631</v>
      </c>
      <c r="F1499" s="41" t="s">
        <v>12632</v>
      </c>
      <c r="G1499" s="41" t="s">
        <v>12633</v>
      </c>
      <c r="H1499" s="41" t="s">
        <v>12634</v>
      </c>
      <c r="I1499" s="41" t="s">
        <v>12635</v>
      </c>
      <c r="J1499" s="41" t="s">
        <v>12636</v>
      </c>
      <c r="K1499" s="41" t="s">
        <v>12637</v>
      </c>
      <c r="L1499" s="41" t="s">
        <v>891</v>
      </c>
    </row>
    <row r="1500" spans="1:19" x14ac:dyDescent="0.25">
      <c r="A1500" s="41" t="s">
        <v>23</v>
      </c>
      <c r="B1500" s="41" t="s">
        <v>12638</v>
      </c>
      <c r="D1500" s="41" t="s">
        <v>12639</v>
      </c>
      <c r="F1500" s="41" t="s">
        <v>12640</v>
      </c>
      <c r="G1500" s="41" t="s">
        <v>12641</v>
      </c>
      <c r="H1500" s="41" t="s">
        <v>12642</v>
      </c>
      <c r="I1500" s="41" t="s">
        <v>12643</v>
      </c>
      <c r="J1500" s="41" t="s">
        <v>12644</v>
      </c>
      <c r="K1500" s="41" t="s">
        <v>12645</v>
      </c>
      <c r="L1500" s="41" t="s">
        <v>1076</v>
      </c>
    </row>
    <row r="1501" spans="1:19" x14ac:dyDescent="0.25">
      <c r="A1501" s="41" t="s">
        <v>23</v>
      </c>
      <c r="B1501" s="41" t="s">
        <v>12646</v>
      </c>
      <c r="D1501" s="41" t="s">
        <v>12647</v>
      </c>
      <c r="F1501" s="41" t="s">
        <v>12648</v>
      </c>
      <c r="G1501" s="41" t="s">
        <v>12649</v>
      </c>
      <c r="H1501" s="41" t="s">
        <v>12650</v>
      </c>
      <c r="I1501" s="41" t="s">
        <v>12651</v>
      </c>
      <c r="J1501" s="41" t="s">
        <v>12652</v>
      </c>
      <c r="K1501" s="41" t="s">
        <v>12653</v>
      </c>
      <c r="L1501" s="41" t="s">
        <v>1085</v>
      </c>
    </row>
    <row r="1502" spans="1:19" x14ac:dyDescent="0.25">
      <c r="A1502" s="41" t="s">
        <v>23</v>
      </c>
      <c r="B1502" s="41" t="s">
        <v>12654</v>
      </c>
      <c r="D1502" s="41" t="s">
        <v>12655</v>
      </c>
      <c r="F1502" s="41" t="s">
        <v>12656</v>
      </c>
      <c r="G1502" s="41" t="s">
        <v>12657</v>
      </c>
      <c r="H1502" s="41" t="s">
        <v>12658</v>
      </c>
      <c r="I1502" s="41" t="s">
        <v>12659</v>
      </c>
      <c r="J1502" s="41" t="s">
        <v>12660</v>
      </c>
      <c r="K1502" s="41" t="s">
        <v>12661</v>
      </c>
      <c r="L1502" s="41" t="s">
        <v>1094</v>
      </c>
    </row>
    <row r="1503" spans="1:19" x14ac:dyDescent="0.25">
      <c r="A1503" s="41" t="s">
        <v>908</v>
      </c>
      <c r="B1503" s="41" t="s">
        <v>12662</v>
      </c>
    </row>
    <row r="1504" spans="1:19" x14ac:dyDescent="0.25">
      <c r="A1504" s="41" t="s">
        <v>23</v>
      </c>
      <c r="B1504" s="41" t="s">
        <v>12663</v>
      </c>
      <c r="F1504" s="41" t="s">
        <v>12664</v>
      </c>
      <c r="G1504" s="41" t="s">
        <v>12665</v>
      </c>
      <c r="H1504" s="41" t="s">
        <v>12666</v>
      </c>
      <c r="I1504" s="41" t="s">
        <v>12667</v>
      </c>
      <c r="J1504" s="41" t="s">
        <v>12668</v>
      </c>
      <c r="L1504" s="41" t="s">
        <v>4</v>
      </c>
    </row>
    <row r="1505" spans="1:19" x14ac:dyDescent="0.25">
      <c r="A1505" s="41" t="s">
        <v>23</v>
      </c>
      <c r="B1505" s="41" t="s">
        <v>12669</v>
      </c>
      <c r="D1505" s="41" t="s">
        <v>12670</v>
      </c>
      <c r="E1505" s="41" t="s">
        <v>12671</v>
      </c>
      <c r="F1505" s="41" t="s">
        <v>12672</v>
      </c>
      <c r="G1505" s="41" t="s">
        <v>12673</v>
      </c>
      <c r="H1505" s="41" t="s">
        <v>12674</v>
      </c>
      <c r="I1505" s="41" t="s">
        <v>12675</v>
      </c>
      <c r="J1505" s="41" t="s">
        <v>12676</v>
      </c>
      <c r="K1505" s="41" t="s">
        <v>12677</v>
      </c>
      <c r="L1505" s="41" t="s">
        <v>12678</v>
      </c>
      <c r="M1505" s="41" t="s">
        <v>12679</v>
      </c>
      <c r="N1505" s="41" t="s">
        <v>12680</v>
      </c>
      <c r="O1505" s="41" t="s">
        <v>12681</v>
      </c>
      <c r="P1505" s="41" t="s">
        <v>12682</v>
      </c>
      <c r="Q1505" s="41" t="s">
        <v>12683</v>
      </c>
      <c r="R1505" s="41" t="s">
        <v>12684</v>
      </c>
      <c r="S1505" s="41" t="s">
        <v>12685</v>
      </c>
    </row>
    <row r="1506" spans="1:19" x14ac:dyDescent="0.25">
      <c r="A1506" s="41" t="s">
        <v>23</v>
      </c>
      <c r="B1506" s="41" t="s">
        <v>12686</v>
      </c>
      <c r="D1506" s="41" t="s">
        <v>12687</v>
      </c>
      <c r="F1506" s="41" t="s">
        <v>12688</v>
      </c>
      <c r="G1506" s="41" t="s">
        <v>12689</v>
      </c>
      <c r="H1506" s="41" t="s">
        <v>12690</v>
      </c>
      <c r="I1506" s="41" t="s">
        <v>12691</v>
      </c>
      <c r="J1506" s="41" t="s">
        <v>12692</v>
      </c>
      <c r="K1506" s="41" t="s">
        <v>12693</v>
      </c>
      <c r="L1506" s="41" t="s">
        <v>891</v>
      </c>
    </row>
    <row r="1507" spans="1:19" x14ac:dyDescent="0.25">
      <c r="A1507" s="41" t="s">
        <v>23</v>
      </c>
      <c r="B1507" s="41" t="s">
        <v>12694</v>
      </c>
      <c r="D1507" s="41" t="s">
        <v>12695</v>
      </c>
      <c r="F1507" s="41" t="s">
        <v>12696</v>
      </c>
      <c r="G1507" s="41" t="s">
        <v>12697</v>
      </c>
      <c r="H1507" s="41" t="s">
        <v>12698</v>
      </c>
      <c r="I1507" s="41" t="s">
        <v>12699</v>
      </c>
      <c r="J1507" s="41" t="s">
        <v>12700</v>
      </c>
      <c r="K1507" s="41" t="s">
        <v>12701</v>
      </c>
      <c r="L1507" s="41" t="s">
        <v>1076</v>
      </c>
    </row>
    <row r="1508" spans="1:19" x14ac:dyDescent="0.25">
      <c r="A1508" s="41" t="s">
        <v>23</v>
      </c>
      <c r="B1508" s="41" t="s">
        <v>12702</v>
      </c>
      <c r="D1508" s="41" t="s">
        <v>12703</v>
      </c>
      <c r="F1508" s="41" t="s">
        <v>12704</v>
      </c>
      <c r="G1508" s="41" t="s">
        <v>12705</v>
      </c>
      <c r="H1508" s="41" t="s">
        <v>12706</v>
      </c>
      <c r="I1508" s="41" t="s">
        <v>12707</v>
      </c>
      <c r="J1508" s="41" t="s">
        <v>12708</v>
      </c>
      <c r="K1508" s="41" t="s">
        <v>12709</v>
      </c>
      <c r="L1508" s="41" t="s">
        <v>1085</v>
      </c>
    </row>
    <row r="1509" spans="1:19" x14ac:dyDescent="0.25">
      <c r="A1509" s="41" t="s">
        <v>23</v>
      </c>
      <c r="B1509" s="41" t="s">
        <v>12710</v>
      </c>
      <c r="D1509" s="41" t="s">
        <v>12711</v>
      </c>
      <c r="F1509" s="41" t="s">
        <v>12712</v>
      </c>
      <c r="G1509" s="41" t="s">
        <v>12713</v>
      </c>
      <c r="H1509" s="41" t="s">
        <v>12714</v>
      </c>
      <c r="I1509" s="41" t="s">
        <v>12715</v>
      </c>
      <c r="J1509" s="41" t="s">
        <v>12716</v>
      </c>
      <c r="K1509" s="41" t="s">
        <v>12717</v>
      </c>
      <c r="L1509" s="41" t="s">
        <v>1094</v>
      </c>
    </row>
    <row r="1510" spans="1:19" x14ac:dyDescent="0.25">
      <c r="A1510" s="41" t="s">
        <v>908</v>
      </c>
      <c r="B1510" s="41" t="s">
        <v>12718</v>
      </c>
    </row>
    <row r="1511" spans="1:19" x14ac:dyDescent="0.25">
      <c r="A1511" s="41" t="s">
        <v>23</v>
      </c>
      <c r="B1511" s="41" t="s">
        <v>12719</v>
      </c>
      <c r="F1511" s="41" t="s">
        <v>12720</v>
      </c>
      <c r="G1511" s="41" t="s">
        <v>12721</v>
      </c>
      <c r="H1511" s="41" t="s">
        <v>12722</v>
      </c>
      <c r="I1511" s="41" t="s">
        <v>12723</v>
      </c>
      <c r="J1511" s="41" t="s">
        <v>12724</v>
      </c>
      <c r="L1511" s="41" t="s">
        <v>4</v>
      </c>
    </row>
    <row r="1512" spans="1:19" x14ac:dyDescent="0.25">
      <c r="A1512" s="41" t="s">
        <v>23</v>
      </c>
      <c r="B1512" s="41" t="s">
        <v>12725</v>
      </c>
      <c r="D1512" s="41" t="s">
        <v>12726</v>
      </c>
      <c r="E1512" s="41" t="s">
        <v>12727</v>
      </c>
      <c r="F1512" s="41" t="s">
        <v>12728</v>
      </c>
      <c r="G1512" s="41" t="s">
        <v>12729</v>
      </c>
      <c r="H1512" s="41" t="s">
        <v>12730</v>
      </c>
      <c r="I1512" s="41" t="s">
        <v>12731</v>
      </c>
      <c r="J1512" s="41" t="s">
        <v>12732</v>
      </c>
      <c r="K1512" s="41" t="s">
        <v>12733</v>
      </c>
      <c r="L1512" s="41" t="s">
        <v>12734</v>
      </c>
      <c r="M1512" s="41" t="s">
        <v>12735</v>
      </c>
      <c r="N1512" s="41" t="s">
        <v>12736</v>
      </c>
      <c r="O1512" s="41" t="s">
        <v>12737</v>
      </c>
      <c r="P1512" s="41" t="s">
        <v>12738</v>
      </c>
      <c r="Q1512" s="41" t="s">
        <v>12739</v>
      </c>
      <c r="R1512" s="41" t="s">
        <v>12740</v>
      </c>
      <c r="S1512" s="41" t="s">
        <v>12741</v>
      </c>
    </row>
    <row r="1513" spans="1:19" x14ac:dyDescent="0.25">
      <c r="A1513" s="41" t="s">
        <v>23</v>
      </c>
      <c r="B1513" s="41" t="s">
        <v>12742</v>
      </c>
      <c r="D1513" s="41" t="s">
        <v>12743</v>
      </c>
      <c r="F1513" s="41" t="s">
        <v>12744</v>
      </c>
      <c r="G1513" s="41" t="s">
        <v>12745</v>
      </c>
      <c r="H1513" s="41" t="s">
        <v>12746</v>
      </c>
      <c r="I1513" s="41" t="s">
        <v>12747</v>
      </c>
      <c r="J1513" s="41" t="s">
        <v>12748</v>
      </c>
      <c r="K1513" s="41" t="s">
        <v>12749</v>
      </c>
      <c r="L1513" s="41" t="s">
        <v>891</v>
      </c>
    </row>
    <row r="1514" spans="1:19" x14ac:dyDescent="0.25">
      <c r="A1514" s="41" t="s">
        <v>23</v>
      </c>
      <c r="B1514" s="41" t="s">
        <v>12750</v>
      </c>
      <c r="D1514" s="41" t="s">
        <v>12751</v>
      </c>
      <c r="F1514" s="41" t="s">
        <v>12752</v>
      </c>
      <c r="G1514" s="41" t="s">
        <v>12753</v>
      </c>
      <c r="H1514" s="41" t="s">
        <v>12754</v>
      </c>
      <c r="I1514" s="41" t="s">
        <v>12755</v>
      </c>
      <c r="J1514" s="41" t="s">
        <v>12756</v>
      </c>
      <c r="K1514" s="41" t="s">
        <v>12757</v>
      </c>
      <c r="L1514" s="41" t="s">
        <v>1076</v>
      </c>
    </row>
    <row r="1515" spans="1:19" x14ac:dyDescent="0.25">
      <c r="A1515" s="41" t="s">
        <v>23</v>
      </c>
      <c r="B1515" s="41" t="s">
        <v>12758</v>
      </c>
      <c r="D1515" s="41" t="s">
        <v>12759</v>
      </c>
      <c r="F1515" s="41" t="s">
        <v>12760</v>
      </c>
      <c r="G1515" s="41" t="s">
        <v>12761</v>
      </c>
      <c r="H1515" s="41" t="s">
        <v>12762</v>
      </c>
      <c r="I1515" s="41" t="s">
        <v>12763</v>
      </c>
      <c r="J1515" s="41" t="s">
        <v>12764</v>
      </c>
      <c r="K1515" s="41" t="s">
        <v>12765</v>
      </c>
      <c r="L1515" s="41" t="s">
        <v>1085</v>
      </c>
    </row>
    <row r="1516" spans="1:19" x14ac:dyDescent="0.25">
      <c r="A1516" s="41" t="s">
        <v>23</v>
      </c>
      <c r="B1516" s="41" t="s">
        <v>12766</v>
      </c>
      <c r="D1516" s="41" t="s">
        <v>12767</v>
      </c>
      <c r="F1516" s="41" t="s">
        <v>12768</v>
      </c>
      <c r="G1516" s="41" t="s">
        <v>12769</v>
      </c>
      <c r="H1516" s="41" t="s">
        <v>12770</v>
      </c>
      <c r="I1516" s="41" t="s">
        <v>12771</v>
      </c>
      <c r="J1516" s="41" t="s">
        <v>12772</v>
      </c>
      <c r="K1516" s="41" t="s">
        <v>12773</v>
      </c>
      <c r="L1516" s="41" t="s">
        <v>1094</v>
      </c>
    </row>
    <row r="1517" spans="1:19" x14ac:dyDescent="0.25">
      <c r="A1517" s="41" t="s">
        <v>908</v>
      </c>
      <c r="B1517" s="41" t="s">
        <v>12774</v>
      </c>
    </row>
    <row r="1518" spans="1:19" x14ac:dyDescent="0.25">
      <c r="A1518" s="41" t="s">
        <v>23</v>
      </c>
      <c r="B1518" s="41" t="s">
        <v>12775</v>
      </c>
      <c r="F1518" s="41" t="s">
        <v>12776</v>
      </c>
      <c r="G1518" s="41" t="s">
        <v>12777</v>
      </c>
      <c r="H1518" s="41" t="s">
        <v>12778</v>
      </c>
      <c r="I1518" s="41" t="s">
        <v>12779</v>
      </c>
      <c r="J1518" s="41" t="s">
        <v>12780</v>
      </c>
      <c r="L1518" s="41" t="s">
        <v>4</v>
      </c>
    </row>
    <row r="1519" spans="1:19" x14ac:dyDescent="0.25">
      <c r="A1519" s="41" t="s">
        <v>23</v>
      </c>
      <c r="B1519" s="41" t="s">
        <v>12781</v>
      </c>
      <c r="D1519" s="41" t="s">
        <v>12782</v>
      </c>
      <c r="E1519" s="41" t="s">
        <v>12783</v>
      </c>
      <c r="F1519" s="41" t="s">
        <v>12784</v>
      </c>
      <c r="G1519" s="41" t="s">
        <v>12785</v>
      </c>
      <c r="H1519" s="41" t="s">
        <v>12786</v>
      </c>
      <c r="I1519" s="41" t="s">
        <v>12787</v>
      </c>
      <c r="J1519" s="41" t="s">
        <v>12788</v>
      </c>
      <c r="K1519" s="41" t="s">
        <v>12789</v>
      </c>
      <c r="L1519" s="41" t="s">
        <v>12790</v>
      </c>
      <c r="M1519" s="41" t="s">
        <v>12791</v>
      </c>
      <c r="N1519" s="41" t="s">
        <v>12792</v>
      </c>
      <c r="O1519" s="41" t="s">
        <v>12793</v>
      </c>
      <c r="P1519" s="41" t="s">
        <v>12794</v>
      </c>
      <c r="Q1519" s="41" t="s">
        <v>12795</v>
      </c>
      <c r="R1519" s="41" t="s">
        <v>12796</v>
      </c>
      <c r="S1519" s="41" t="s">
        <v>12797</v>
      </c>
    </row>
    <row r="1520" spans="1:19" x14ac:dyDescent="0.25">
      <c r="A1520" s="41" t="s">
        <v>23</v>
      </c>
      <c r="B1520" s="41" t="s">
        <v>12798</v>
      </c>
      <c r="D1520" s="41" t="s">
        <v>12799</v>
      </c>
      <c r="F1520" s="41" t="s">
        <v>12800</v>
      </c>
      <c r="G1520" s="41" t="s">
        <v>12801</v>
      </c>
      <c r="H1520" s="41" t="s">
        <v>12802</v>
      </c>
      <c r="I1520" s="41" t="s">
        <v>12803</v>
      </c>
      <c r="J1520" s="41" t="s">
        <v>12804</v>
      </c>
      <c r="K1520" s="41" t="s">
        <v>12805</v>
      </c>
      <c r="L1520" s="41" t="s">
        <v>891</v>
      </c>
    </row>
    <row r="1521" spans="1:19" x14ac:dyDescent="0.25">
      <c r="A1521" s="41" t="s">
        <v>23</v>
      </c>
      <c r="B1521" s="41" t="s">
        <v>12806</v>
      </c>
      <c r="D1521" s="41" t="s">
        <v>12807</v>
      </c>
      <c r="F1521" s="41" t="s">
        <v>12808</v>
      </c>
      <c r="G1521" s="41" t="s">
        <v>12809</v>
      </c>
      <c r="H1521" s="41" t="s">
        <v>12810</v>
      </c>
      <c r="I1521" s="41" t="s">
        <v>12811</v>
      </c>
      <c r="J1521" s="41" t="s">
        <v>12812</v>
      </c>
      <c r="K1521" s="41" t="s">
        <v>12813</v>
      </c>
      <c r="L1521" s="41" t="s">
        <v>1076</v>
      </c>
    </row>
    <row r="1522" spans="1:19" x14ac:dyDescent="0.25">
      <c r="A1522" s="41" t="s">
        <v>23</v>
      </c>
      <c r="B1522" s="41" t="s">
        <v>12814</v>
      </c>
      <c r="D1522" s="41" t="s">
        <v>12815</v>
      </c>
      <c r="F1522" s="41" t="s">
        <v>12816</v>
      </c>
      <c r="G1522" s="41" t="s">
        <v>12817</v>
      </c>
      <c r="H1522" s="41" t="s">
        <v>12818</v>
      </c>
      <c r="I1522" s="41" t="s">
        <v>12819</v>
      </c>
      <c r="J1522" s="41" t="s">
        <v>12820</v>
      </c>
      <c r="K1522" s="41" t="s">
        <v>12821</v>
      </c>
      <c r="L1522" s="41" t="s">
        <v>1085</v>
      </c>
    </row>
    <row r="1523" spans="1:19" x14ac:dyDescent="0.25">
      <c r="A1523" s="41" t="s">
        <v>23</v>
      </c>
      <c r="B1523" s="41" t="s">
        <v>12822</v>
      </c>
      <c r="D1523" s="41" t="s">
        <v>12823</v>
      </c>
      <c r="F1523" s="41" t="s">
        <v>12824</v>
      </c>
      <c r="G1523" s="41" t="s">
        <v>12825</v>
      </c>
      <c r="H1523" s="41" t="s">
        <v>12826</v>
      </c>
      <c r="I1523" s="41" t="s">
        <v>12827</v>
      </c>
      <c r="J1523" s="41" t="s">
        <v>12828</v>
      </c>
      <c r="K1523" s="41" t="s">
        <v>12829</v>
      </c>
      <c r="L1523" s="41" t="s">
        <v>1094</v>
      </c>
    </row>
    <row r="1524" spans="1:19" x14ac:dyDescent="0.25">
      <c r="A1524" s="41" t="s">
        <v>908</v>
      </c>
      <c r="B1524" s="41" t="s">
        <v>12830</v>
      </c>
    </row>
    <row r="1525" spans="1:19" x14ac:dyDescent="0.25">
      <c r="A1525" s="41" t="s">
        <v>23</v>
      </c>
      <c r="B1525" s="41" t="s">
        <v>12831</v>
      </c>
      <c r="F1525" s="41" t="s">
        <v>12832</v>
      </c>
      <c r="G1525" s="41" t="s">
        <v>12833</v>
      </c>
      <c r="H1525" s="41" t="s">
        <v>12834</v>
      </c>
      <c r="I1525" s="41" t="s">
        <v>12835</v>
      </c>
      <c r="J1525" s="41" t="s">
        <v>12836</v>
      </c>
      <c r="L1525" s="41" t="s">
        <v>4</v>
      </c>
    </row>
    <row r="1526" spans="1:19" x14ac:dyDescent="0.25">
      <c r="A1526" s="41" t="s">
        <v>23</v>
      </c>
      <c r="B1526" s="41" t="s">
        <v>12837</v>
      </c>
      <c r="D1526" s="41" t="s">
        <v>12838</v>
      </c>
      <c r="E1526" s="41" t="s">
        <v>12839</v>
      </c>
      <c r="F1526" s="41" t="s">
        <v>12840</v>
      </c>
      <c r="G1526" s="41" t="s">
        <v>12841</v>
      </c>
      <c r="H1526" s="41" t="s">
        <v>12842</v>
      </c>
      <c r="I1526" s="41" t="s">
        <v>12843</v>
      </c>
      <c r="J1526" s="41" t="s">
        <v>12844</v>
      </c>
      <c r="K1526" s="41" t="s">
        <v>12845</v>
      </c>
      <c r="L1526" s="41" t="s">
        <v>12846</v>
      </c>
      <c r="M1526" s="41" t="s">
        <v>12847</v>
      </c>
      <c r="N1526" s="41" t="s">
        <v>12848</v>
      </c>
      <c r="O1526" s="41" t="s">
        <v>12849</v>
      </c>
      <c r="P1526" s="41" t="s">
        <v>12850</v>
      </c>
      <c r="Q1526" s="41" t="s">
        <v>12851</v>
      </c>
      <c r="R1526" s="41" t="s">
        <v>12852</v>
      </c>
      <c r="S1526" s="41" t="s">
        <v>12853</v>
      </c>
    </row>
    <row r="1527" spans="1:19" x14ac:dyDescent="0.25">
      <c r="A1527" s="41" t="s">
        <v>23</v>
      </c>
      <c r="B1527" s="41" t="s">
        <v>12854</v>
      </c>
      <c r="D1527" s="41" t="s">
        <v>12855</v>
      </c>
      <c r="F1527" s="41" t="s">
        <v>12856</v>
      </c>
      <c r="G1527" s="41" t="s">
        <v>12857</v>
      </c>
      <c r="H1527" s="41" t="s">
        <v>12858</v>
      </c>
      <c r="I1527" s="41" t="s">
        <v>12859</v>
      </c>
      <c r="J1527" s="41" t="s">
        <v>12860</v>
      </c>
      <c r="K1527" s="41" t="s">
        <v>12861</v>
      </c>
      <c r="L1527" s="41" t="s">
        <v>891</v>
      </c>
    </row>
    <row r="1528" spans="1:19" x14ac:dyDescent="0.25">
      <c r="A1528" s="41" t="s">
        <v>23</v>
      </c>
      <c r="B1528" s="41" t="s">
        <v>12862</v>
      </c>
      <c r="D1528" s="41" t="s">
        <v>12863</v>
      </c>
      <c r="F1528" s="41" t="s">
        <v>12864</v>
      </c>
      <c r="G1528" s="41" t="s">
        <v>12865</v>
      </c>
      <c r="H1528" s="41" t="s">
        <v>12866</v>
      </c>
      <c r="I1528" s="41" t="s">
        <v>12867</v>
      </c>
      <c r="J1528" s="41" t="s">
        <v>12868</v>
      </c>
      <c r="K1528" s="41" t="s">
        <v>12869</v>
      </c>
      <c r="L1528" s="41" t="s">
        <v>1076</v>
      </c>
    </row>
    <row r="1529" spans="1:19" x14ac:dyDescent="0.25">
      <c r="A1529" s="41" t="s">
        <v>23</v>
      </c>
      <c r="B1529" s="41" t="s">
        <v>12870</v>
      </c>
      <c r="D1529" s="41" t="s">
        <v>12871</v>
      </c>
      <c r="F1529" s="41" t="s">
        <v>12872</v>
      </c>
      <c r="G1529" s="41" t="s">
        <v>12873</v>
      </c>
      <c r="H1529" s="41" t="s">
        <v>12874</v>
      </c>
      <c r="I1529" s="41" t="s">
        <v>12875</v>
      </c>
      <c r="J1529" s="41" t="s">
        <v>12876</v>
      </c>
      <c r="K1529" s="41" t="s">
        <v>12877</v>
      </c>
      <c r="L1529" s="41" t="s">
        <v>1085</v>
      </c>
    </row>
    <row r="1530" spans="1:19" x14ac:dyDescent="0.25">
      <c r="A1530" s="41" t="s">
        <v>23</v>
      </c>
      <c r="B1530" s="41" t="s">
        <v>12878</v>
      </c>
      <c r="D1530" s="41" t="s">
        <v>12879</v>
      </c>
      <c r="F1530" s="41" t="s">
        <v>12880</v>
      </c>
      <c r="G1530" s="41" t="s">
        <v>12881</v>
      </c>
      <c r="H1530" s="41" t="s">
        <v>12882</v>
      </c>
      <c r="I1530" s="41" t="s">
        <v>12883</v>
      </c>
      <c r="J1530" s="41" t="s">
        <v>12884</v>
      </c>
      <c r="K1530" s="41" t="s">
        <v>12885</v>
      </c>
      <c r="L1530" s="41" t="s">
        <v>1094</v>
      </c>
    </row>
    <row r="1531" spans="1:19" x14ac:dyDescent="0.25">
      <c r="A1531" s="41" t="s">
        <v>908</v>
      </c>
      <c r="B1531" s="41" t="s">
        <v>12886</v>
      </c>
    </row>
    <row r="1532" spans="1:19" x14ac:dyDescent="0.25">
      <c r="A1532" s="41" t="s">
        <v>23</v>
      </c>
      <c r="B1532" s="41" t="s">
        <v>12887</v>
      </c>
      <c r="F1532" s="41" t="s">
        <v>12888</v>
      </c>
      <c r="G1532" s="41" t="s">
        <v>12889</v>
      </c>
      <c r="H1532" s="41" t="s">
        <v>12890</v>
      </c>
      <c r="I1532" s="41" t="s">
        <v>12891</v>
      </c>
      <c r="J1532" s="41" t="s">
        <v>12892</v>
      </c>
      <c r="L1532" s="41" t="s">
        <v>4</v>
      </c>
    </row>
    <row r="1533" spans="1:19" x14ac:dyDescent="0.25">
      <c r="A1533" s="41" t="s">
        <v>23</v>
      </c>
      <c r="B1533" s="41" t="s">
        <v>12893</v>
      </c>
      <c r="D1533" s="41" t="s">
        <v>12894</v>
      </c>
      <c r="E1533" s="41" t="s">
        <v>12895</v>
      </c>
      <c r="F1533" s="41" t="s">
        <v>12896</v>
      </c>
      <c r="G1533" s="41" t="s">
        <v>12897</v>
      </c>
      <c r="H1533" s="41" t="s">
        <v>12898</v>
      </c>
      <c r="I1533" s="41" t="s">
        <v>12899</v>
      </c>
      <c r="J1533" s="41" t="s">
        <v>12900</v>
      </c>
      <c r="K1533" s="41" t="s">
        <v>12901</v>
      </c>
      <c r="L1533" s="41" t="s">
        <v>12902</v>
      </c>
      <c r="M1533" s="41" t="s">
        <v>12903</v>
      </c>
      <c r="N1533" s="41" t="s">
        <v>12904</v>
      </c>
      <c r="O1533" s="41" t="s">
        <v>12905</v>
      </c>
      <c r="P1533" s="41" t="s">
        <v>12906</v>
      </c>
      <c r="Q1533" s="41" t="s">
        <v>12907</v>
      </c>
      <c r="R1533" s="41" t="s">
        <v>12908</v>
      </c>
      <c r="S1533" s="41" t="s">
        <v>12909</v>
      </c>
    </row>
    <row r="1534" spans="1:19" x14ac:dyDescent="0.25">
      <c r="A1534" s="41" t="s">
        <v>23</v>
      </c>
      <c r="B1534" s="41" t="s">
        <v>12910</v>
      </c>
      <c r="D1534" s="41" t="s">
        <v>12911</v>
      </c>
      <c r="F1534" s="41" t="s">
        <v>12912</v>
      </c>
      <c r="G1534" s="41" t="s">
        <v>12913</v>
      </c>
      <c r="H1534" s="41" t="s">
        <v>12914</v>
      </c>
      <c r="I1534" s="41" t="s">
        <v>12915</v>
      </c>
      <c r="J1534" s="41" t="s">
        <v>12916</v>
      </c>
      <c r="K1534" s="41" t="s">
        <v>12917</v>
      </c>
      <c r="L1534" s="41" t="s">
        <v>891</v>
      </c>
    </row>
    <row r="1535" spans="1:19" x14ac:dyDescent="0.25">
      <c r="A1535" s="41" t="s">
        <v>23</v>
      </c>
      <c r="B1535" s="41" t="s">
        <v>12918</v>
      </c>
      <c r="D1535" s="41" t="s">
        <v>12919</v>
      </c>
      <c r="F1535" s="41" t="s">
        <v>12920</v>
      </c>
      <c r="G1535" s="41" t="s">
        <v>12921</v>
      </c>
      <c r="H1535" s="41" t="s">
        <v>12922</v>
      </c>
      <c r="I1535" s="41" t="s">
        <v>12923</v>
      </c>
      <c r="J1535" s="41" t="s">
        <v>12924</v>
      </c>
      <c r="K1535" s="41" t="s">
        <v>12925</v>
      </c>
      <c r="L1535" s="41" t="s">
        <v>1076</v>
      </c>
    </row>
    <row r="1536" spans="1:19" x14ac:dyDescent="0.25">
      <c r="A1536" s="41" t="s">
        <v>23</v>
      </c>
      <c r="B1536" s="41" t="s">
        <v>12926</v>
      </c>
      <c r="D1536" s="41" t="s">
        <v>12927</v>
      </c>
      <c r="F1536" s="41" t="s">
        <v>12928</v>
      </c>
      <c r="G1536" s="41" t="s">
        <v>12929</v>
      </c>
      <c r="H1536" s="41" t="s">
        <v>12930</v>
      </c>
      <c r="I1536" s="41" t="s">
        <v>12931</v>
      </c>
      <c r="J1536" s="41" t="s">
        <v>12932</v>
      </c>
      <c r="K1536" s="41" t="s">
        <v>12933</v>
      </c>
      <c r="L1536" s="41" t="s">
        <v>1085</v>
      </c>
    </row>
    <row r="1537" spans="1:19" x14ac:dyDescent="0.25">
      <c r="A1537" s="41" t="s">
        <v>23</v>
      </c>
      <c r="B1537" s="41" t="s">
        <v>12934</v>
      </c>
      <c r="D1537" s="41" t="s">
        <v>12935</v>
      </c>
      <c r="F1537" s="41" t="s">
        <v>12936</v>
      </c>
      <c r="G1537" s="41" t="s">
        <v>12937</v>
      </c>
      <c r="H1537" s="41" t="s">
        <v>12938</v>
      </c>
      <c r="I1537" s="41" t="s">
        <v>12939</v>
      </c>
      <c r="J1537" s="41" t="s">
        <v>12940</v>
      </c>
      <c r="K1537" s="41" t="s">
        <v>12941</v>
      </c>
      <c r="L1537" s="41" t="s">
        <v>1094</v>
      </c>
    </row>
    <row r="1538" spans="1:19" x14ac:dyDescent="0.25">
      <c r="A1538" s="41" t="s">
        <v>908</v>
      </c>
      <c r="B1538" s="41" t="s">
        <v>12942</v>
      </c>
    </row>
    <row r="1539" spans="1:19" x14ac:dyDescent="0.25">
      <c r="A1539" s="41" t="s">
        <v>23</v>
      </c>
      <c r="B1539" s="41" t="s">
        <v>12943</v>
      </c>
      <c r="F1539" s="41" t="s">
        <v>12944</v>
      </c>
      <c r="G1539" s="41" t="s">
        <v>12945</v>
      </c>
      <c r="H1539" s="41" t="s">
        <v>12946</v>
      </c>
      <c r="I1539" s="41" t="s">
        <v>12947</v>
      </c>
      <c r="J1539" s="41" t="s">
        <v>12948</v>
      </c>
      <c r="L1539" s="41" t="s">
        <v>4</v>
      </c>
    </row>
    <row r="1540" spans="1:19" x14ac:dyDescent="0.25">
      <c r="A1540" s="41" t="s">
        <v>23</v>
      </c>
      <c r="B1540" s="41" t="s">
        <v>12949</v>
      </c>
      <c r="D1540" s="41" t="s">
        <v>12950</v>
      </c>
      <c r="E1540" s="41" t="s">
        <v>12951</v>
      </c>
      <c r="F1540" s="41" t="s">
        <v>12952</v>
      </c>
      <c r="G1540" s="41" t="s">
        <v>12953</v>
      </c>
      <c r="H1540" s="41" t="s">
        <v>12954</v>
      </c>
      <c r="I1540" s="41" t="s">
        <v>12955</v>
      </c>
      <c r="J1540" s="41" t="s">
        <v>12956</v>
      </c>
      <c r="K1540" s="41" t="s">
        <v>12957</v>
      </c>
      <c r="L1540" s="41" t="s">
        <v>12958</v>
      </c>
      <c r="M1540" s="41" t="s">
        <v>12959</v>
      </c>
      <c r="N1540" s="41" t="s">
        <v>12960</v>
      </c>
      <c r="O1540" s="41" t="s">
        <v>12961</v>
      </c>
      <c r="P1540" s="41" t="s">
        <v>12962</v>
      </c>
      <c r="Q1540" s="41" t="s">
        <v>12963</v>
      </c>
      <c r="R1540" s="41" t="s">
        <v>12964</v>
      </c>
      <c r="S1540" s="41" t="s">
        <v>12965</v>
      </c>
    </row>
    <row r="1541" spans="1:19" x14ac:dyDescent="0.25">
      <c r="A1541" s="41" t="s">
        <v>23</v>
      </c>
      <c r="B1541" s="41" t="s">
        <v>12966</v>
      </c>
      <c r="D1541" s="41" t="s">
        <v>12967</v>
      </c>
      <c r="F1541" s="41" t="s">
        <v>12968</v>
      </c>
      <c r="G1541" s="41" t="s">
        <v>12969</v>
      </c>
      <c r="H1541" s="41" t="s">
        <v>12970</v>
      </c>
      <c r="I1541" s="41" t="s">
        <v>12971</v>
      </c>
      <c r="J1541" s="41" t="s">
        <v>12972</v>
      </c>
      <c r="K1541" s="41" t="s">
        <v>12973</v>
      </c>
      <c r="L1541" s="41" t="s">
        <v>891</v>
      </c>
    </row>
    <row r="1542" spans="1:19" x14ac:dyDescent="0.25">
      <c r="A1542" s="41" t="s">
        <v>23</v>
      </c>
      <c r="B1542" s="41" t="s">
        <v>12974</v>
      </c>
      <c r="D1542" s="41" t="s">
        <v>12975</v>
      </c>
      <c r="F1542" s="41" t="s">
        <v>12976</v>
      </c>
      <c r="G1542" s="41" t="s">
        <v>12977</v>
      </c>
      <c r="H1542" s="41" t="s">
        <v>12978</v>
      </c>
      <c r="I1542" s="41" t="s">
        <v>12979</v>
      </c>
      <c r="J1542" s="41" t="s">
        <v>12980</v>
      </c>
      <c r="K1542" s="41" t="s">
        <v>12981</v>
      </c>
      <c r="L1542" s="41" t="s">
        <v>1076</v>
      </c>
    </row>
    <row r="1543" spans="1:19" x14ac:dyDescent="0.25">
      <c r="A1543" s="41" t="s">
        <v>23</v>
      </c>
      <c r="B1543" s="41" t="s">
        <v>12982</v>
      </c>
      <c r="D1543" s="41" t="s">
        <v>12983</v>
      </c>
      <c r="F1543" s="41" t="s">
        <v>12984</v>
      </c>
      <c r="G1543" s="41" t="s">
        <v>12985</v>
      </c>
      <c r="H1543" s="41" t="s">
        <v>12986</v>
      </c>
      <c r="I1543" s="41" t="s">
        <v>12987</v>
      </c>
      <c r="J1543" s="41" t="s">
        <v>12988</v>
      </c>
      <c r="K1543" s="41" t="s">
        <v>12989</v>
      </c>
      <c r="L1543" s="41" t="s">
        <v>1085</v>
      </c>
    </row>
    <row r="1544" spans="1:19" x14ac:dyDescent="0.25">
      <c r="A1544" s="41" t="s">
        <v>23</v>
      </c>
      <c r="B1544" s="41" t="s">
        <v>12990</v>
      </c>
      <c r="D1544" s="41" t="s">
        <v>12991</v>
      </c>
      <c r="F1544" s="41" t="s">
        <v>12992</v>
      </c>
      <c r="G1544" s="41" t="s">
        <v>12993</v>
      </c>
      <c r="H1544" s="41" t="s">
        <v>12994</v>
      </c>
      <c r="I1544" s="41" t="s">
        <v>12995</v>
      </c>
      <c r="J1544" s="41" t="s">
        <v>12996</v>
      </c>
      <c r="K1544" s="41" t="s">
        <v>12997</v>
      </c>
      <c r="L1544" s="41" t="s">
        <v>1094</v>
      </c>
    </row>
    <row r="1545" spans="1:19" x14ac:dyDescent="0.25">
      <c r="A1545" s="41" t="s">
        <v>908</v>
      </c>
      <c r="B1545" s="41" t="s">
        <v>12998</v>
      </c>
    </row>
    <row r="1546" spans="1:19" x14ac:dyDescent="0.25">
      <c r="A1546" s="41" t="s">
        <v>23</v>
      </c>
      <c r="B1546" s="41" t="s">
        <v>12999</v>
      </c>
      <c r="F1546" s="41" t="s">
        <v>13000</v>
      </c>
      <c r="G1546" s="41" t="s">
        <v>13001</v>
      </c>
      <c r="H1546" s="41" t="s">
        <v>13002</v>
      </c>
      <c r="I1546" s="41" t="s">
        <v>13003</v>
      </c>
      <c r="J1546" s="41" t="s">
        <v>13004</v>
      </c>
      <c r="L1546" s="41" t="s">
        <v>4</v>
      </c>
    </row>
    <row r="1547" spans="1:19" x14ac:dyDescent="0.25">
      <c r="A1547" s="41" t="s">
        <v>23</v>
      </c>
      <c r="B1547" s="41" t="s">
        <v>13005</v>
      </c>
      <c r="D1547" s="41" t="s">
        <v>387</v>
      </c>
      <c r="E1547" s="41" t="s">
        <v>13006</v>
      </c>
      <c r="F1547" s="41" t="s">
        <v>13007</v>
      </c>
      <c r="G1547" s="41" t="s">
        <v>13008</v>
      </c>
      <c r="H1547" s="41" t="s">
        <v>13009</v>
      </c>
      <c r="I1547" s="41" t="s">
        <v>13010</v>
      </c>
      <c r="J1547" s="41" t="s">
        <v>13011</v>
      </c>
      <c r="K1547" s="41" t="s">
        <v>13012</v>
      </c>
      <c r="L1547" s="41" t="s">
        <v>13013</v>
      </c>
      <c r="M1547" s="41" t="s">
        <v>13014</v>
      </c>
      <c r="N1547" s="41" t="s">
        <v>13015</v>
      </c>
      <c r="O1547" s="41" t="s">
        <v>13016</v>
      </c>
      <c r="P1547" s="41" t="s">
        <v>13017</v>
      </c>
      <c r="Q1547" s="41" t="s">
        <v>13018</v>
      </c>
      <c r="R1547" s="41" t="s">
        <v>13019</v>
      </c>
      <c r="S1547" s="41" t="s">
        <v>13020</v>
      </c>
    </row>
    <row r="1548" spans="1:19" x14ac:dyDescent="0.25">
      <c r="A1548" s="41" t="s">
        <v>23</v>
      </c>
      <c r="B1548" s="41" t="s">
        <v>13021</v>
      </c>
      <c r="D1548" s="41" t="s">
        <v>13022</v>
      </c>
      <c r="F1548" s="41" t="s">
        <v>13023</v>
      </c>
      <c r="G1548" s="41" t="s">
        <v>13024</v>
      </c>
      <c r="H1548" s="41" t="s">
        <v>13025</v>
      </c>
      <c r="I1548" s="41" t="s">
        <v>13026</v>
      </c>
      <c r="J1548" s="41" t="s">
        <v>13027</v>
      </c>
      <c r="K1548" s="41" t="s">
        <v>13028</v>
      </c>
      <c r="L1548" s="41" t="s">
        <v>891</v>
      </c>
    </row>
    <row r="1549" spans="1:19" x14ac:dyDescent="0.25">
      <c r="A1549" s="41" t="s">
        <v>23</v>
      </c>
      <c r="B1549" s="41" t="s">
        <v>13029</v>
      </c>
      <c r="D1549" s="41" t="s">
        <v>13030</v>
      </c>
      <c r="F1549" s="41" t="s">
        <v>13031</v>
      </c>
      <c r="G1549" s="41" t="s">
        <v>13032</v>
      </c>
      <c r="H1549" s="41" t="s">
        <v>13033</v>
      </c>
      <c r="I1549" s="41" t="s">
        <v>13034</v>
      </c>
      <c r="J1549" s="41" t="s">
        <v>13035</v>
      </c>
      <c r="K1549" s="41" t="s">
        <v>13036</v>
      </c>
      <c r="L1549" s="41" t="s">
        <v>1076</v>
      </c>
    </row>
    <row r="1550" spans="1:19" x14ac:dyDescent="0.25">
      <c r="A1550" s="41" t="s">
        <v>23</v>
      </c>
      <c r="B1550" s="41" t="s">
        <v>13037</v>
      </c>
      <c r="D1550" s="41" t="s">
        <v>13038</v>
      </c>
      <c r="F1550" s="41" t="s">
        <v>13039</v>
      </c>
      <c r="G1550" s="41" t="s">
        <v>13040</v>
      </c>
      <c r="H1550" s="41" t="s">
        <v>13041</v>
      </c>
      <c r="I1550" s="41" t="s">
        <v>13042</v>
      </c>
      <c r="J1550" s="41" t="s">
        <v>13043</v>
      </c>
      <c r="K1550" s="41" t="s">
        <v>13044</v>
      </c>
      <c r="L1550" s="41" t="s">
        <v>1085</v>
      </c>
    </row>
    <row r="1551" spans="1:19" x14ac:dyDescent="0.25">
      <c r="A1551" s="41" t="s">
        <v>23</v>
      </c>
      <c r="B1551" s="41" t="s">
        <v>13045</v>
      </c>
      <c r="D1551" s="41" t="s">
        <v>13046</v>
      </c>
      <c r="F1551" s="41" t="s">
        <v>13047</v>
      </c>
      <c r="G1551" s="41" t="s">
        <v>13048</v>
      </c>
      <c r="H1551" s="41" t="s">
        <v>13049</v>
      </c>
      <c r="I1551" s="41" t="s">
        <v>13050</v>
      </c>
      <c r="J1551" s="41" t="s">
        <v>13051</v>
      </c>
      <c r="K1551" s="41" t="s">
        <v>13052</v>
      </c>
      <c r="L1551" s="41" t="s">
        <v>1094</v>
      </c>
    </row>
    <row r="1552" spans="1:19" x14ac:dyDescent="0.25">
      <c r="A1552" s="41" t="s">
        <v>908</v>
      </c>
      <c r="B1552" s="41" t="s">
        <v>13053</v>
      </c>
    </row>
    <row r="1553" spans="1:19" x14ac:dyDescent="0.25">
      <c r="A1553" s="41" t="s">
        <v>23</v>
      </c>
      <c r="B1553" s="41" t="s">
        <v>13054</v>
      </c>
      <c r="F1553" s="41" t="s">
        <v>13055</v>
      </c>
      <c r="G1553" s="41" t="s">
        <v>13056</v>
      </c>
      <c r="H1553" s="41" t="s">
        <v>13057</v>
      </c>
      <c r="I1553" s="41" t="s">
        <v>13058</v>
      </c>
      <c r="J1553" s="41" t="s">
        <v>13059</v>
      </c>
      <c r="L1553" s="41" t="s">
        <v>4</v>
      </c>
    </row>
    <row r="1554" spans="1:19" x14ac:dyDescent="0.25">
      <c r="A1554" s="41" t="s">
        <v>23</v>
      </c>
      <c r="B1554" s="41" t="s">
        <v>13060</v>
      </c>
      <c r="D1554" s="41" t="s">
        <v>13061</v>
      </c>
      <c r="E1554" s="41" t="s">
        <v>13062</v>
      </c>
      <c r="F1554" s="41" t="s">
        <v>13063</v>
      </c>
      <c r="G1554" s="41" t="s">
        <v>13064</v>
      </c>
      <c r="H1554" s="41" t="s">
        <v>13065</v>
      </c>
      <c r="I1554" s="41" t="s">
        <v>13066</v>
      </c>
      <c r="J1554" s="41" t="s">
        <v>13067</v>
      </c>
      <c r="K1554" s="41" t="s">
        <v>13068</v>
      </c>
      <c r="L1554" s="41" t="s">
        <v>13069</v>
      </c>
      <c r="M1554" s="41" t="s">
        <v>13070</v>
      </c>
      <c r="N1554" s="41" t="s">
        <v>13071</v>
      </c>
      <c r="O1554" s="41" t="s">
        <v>13072</v>
      </c>
      <c r="P1554" s="41" t="s">
        <v>13073</v>
      </c>
      <c r="Q1554" s="41" t="s">
        <v>13074</v>
      </c>
      <c r="R1554" s="41" t="s">
        <v>13075</v>
      </c>
      <c r="S1554" s="41" t="s">
        <v>13076</v>
      </c>
    </row>
    <row r="1555" spans="1:19" x14ac:dyDescent="0.25">
      <c r="A1555" s="41" t="s">
        <v>23</v>
      </c>
      <c r="B1555" s="41" t="s">
        <v>13077</v>
      </c>
      <c r="D1555" s="41" t="s">
        <v>13078</v>
      </c>
      <c r="F1555" s="41" t="s">
        <v>13079</v>
      </c>
      <c r="G1555" s="41" t="s">
        <v>13080</v>
      </c>
      <c r="H1555" s="41" t="s">
        <v>13081</v>
      </c>
      <c r="I1555" s="41" t="s">
        <v>13082</v>
      </c>
      <c r="J1555" s="41" t="s">
        <v>13083</v>
      </c>
      <c r="K1555" s="41" t="s">
        <v>13084</v>
      </c>
      <c r="L1555" s="41" t="s">
        <v>891</v>
      </c>
    </row>
    <row r="1556" spans="1:19" x14ac:dyDescent="0.25">
      <c r="A1556" s="41" t="s">
        <v>23</v>
      </c>
      <c r="B1556" s="41" t="s">
        <v>13085</v>
      </c>
      <c r="D1556" s="41" t="s">
        <v>13086</v>
      </c>
      <c r="F1556" s="41" t="s">
        <v>13087</v>
      </c>
      <c r="G1556" s="41" t="s">
        <v>13088</v>
      </c>
      <c r="H1556" s="41" t="s">
        <v>13089</v>
      </c>
      <c r="I1556" s="41" t="s">
        <v>13090</v>
      </c>
      <c r="J1556" s="41" t="s">
        <v>13091</v>
      </c>
      <c r="K1556" s="41" t="s">
        <v>13092</v>
      </c>
      <c r="L1556" s="41" t="s">
        <v>1076</v>
      </c>
    </row>
    <row r="1557" spans="1:19" x14ac:dyDescent="0.25">
      <c r="A1557" s="41" t="s">
        <v>23</v>
      </c>
      <c r="B1557" s="41" t="s">
        <v>13093</v>
      </c>
      <c r="D1557" s="41" t="s">
        <v>13094</v>
      </c>
      <c r="F1557" s="41" t="s">
        <v>13095</v>
      </c>
      <c r="G1557" s="41" t="s">
        <v>13096</v>
      </c>
      <c r="H1557" s="41" t="s">
        <v>13097</v>
      </c>
      <c r="I1557" s="41" t="s">
        <v>13098</v>
      </c>
      <c r="J1557" s="41" t="s">
        <v>13099</v>
      </c>
      <c r="K1557" s="41" t="s">
        <v>13100</v>
      </c>
      <c r="L1557" s="41" t="s">
        <v>1085</v>
      </c>
    </row>
    <row r="1558" spans="1:19" x14ac:dyDescent="0.25">
      <c r="A1558" s="41" t="s">
        <v>23</v>
      </c>
      <c r="B1558" s="41" t="s">
        <v>13101</v>
      </c>
      <c r="D1558" s="41" t="s">
        <v>13102</v>
      </c>
      <c r="F1558" s="41" t="s">
        <v>13103</v>
      </c>
      <c r="G1558" s="41" t="s">
        <v>13104</v>
      </c>
      <c r="H1558" s="41" t="s">
        <v>13105</v>
      </c>
      <c r="I1558" s="41" t="s">
        <v>13106</v>
      </c>
      <c r="J1558" s="41" t="s">
        <v>13107</v>
      </c>
      <c r="K1558" s="41" t="s">
        <v>13108</v>
      </c>
      <c r="L1558" s="41" t="s">
        <v>1094</v>
      </c>
    </row>
    <row r="1559" spans="1:19" x14ac:dyDescent="0.25">
      <c r="A1559" s="41" t="s">
        <v>908</v>
      </c>
      <c r="B1559" s="41" t="s">
        <v>13109</v>
      </c>
    </row>
    <row r="1560" spans="1:19" x14ac:dyDescent="0.25">
      <c r="A1560" s="41" t="s">
        <v>23</v>
      </c>
      <c r="B1560" s="41" t="s">
        <v>13110</v>
      </c>
      <c r="F1560" s="41" t="s">
        <v>13111</v>
      </c>
      <c r="G1560" s="41" t="s">
        <v>13112</v>
      </c>
      <c r="H1560" s="41" t="s">
        <v>13113</v>
      </c>
      <c r="I1560" s="41" t="s">
        <v>13114</v>
      </c>
      <c r="J1560" s="41" t="s">
        <v>13115</v>
      </c>
      <c r="L1560" s="41" t="s">
        <v>4</v>
      </c>
    </row>
    <row r="1561" spans="1:19" x14ac:dyDescent="0.25">
      <c r="A1561" s="41" t="s">
        <v>23</v>
      </c>
      <c r="B1561" s="41" t="s">
        <v>13116</v>
      </c>
      <c r="D1561" s="41" t="s">
        <v>13117</v>
      </c>
      <c r="E1561" s="41" t="s">
        <v>13118</v>
      </c>
      <c r="F1561" s="41" t="s">
        <v>13119</v>
      </c>
      <c r="G1561" s="41" t="s">
        <v>13120</v>
      </c>
      <c r="H1561" s="41" t="s">
        <v>13121</v>
      </c>
      <c r="I1561" s="41" t="s">
        <v>13122</v>
      </c>
      <c r="J1561" s="41" t="s">
        <v>13123</v>
      </c>
      <c r="K1561" s="41" t="s">
        <v>13124</v>
      </c>
      <c r="L1561" s="41" t="s">
        <v>13125</v>
      </c>
      <c r="M1561" s="41" t="s">
        <v>13126</v>
      </c>
      <c r="N1561" s="41" t="s">
        <v>13127</v>
      </c>
      <c r="O1561" s="41" t="s">
        <v>13128</v>
      </c>
      <c r="P1561" s="41" t="s">
        <v>13129</v>
      </c>
      <c r="Q1561" s="41" t="s">
        <v>13130</v>
      </c>
      <c r="R1561" s="41" t="s">
        <v>13131</v>
      </c>
      <c r="S1561" s="41" t="s">
        <v>13132</v>
      </c>
    </row>
    <row r="1562" spans="1:19" x14ac:dyDescent="0.25">
      <c r="A1562" s="41" t="s">
        <v>23</v>
      </c>
      <c r="B1562" s="41" t="s">
        <v>13133</v>
      </c>
      <c r="D1562" s="41" t="s">
        <v>13134</v>
      </c>
      <c r="F1562" s="41" t="s">
        <v>13135</v>
      </c>
      <c r="G1562" s="41" t="s">
        <v>13136</v>
      </c>
      <c r="H1562" s="41" t="s">
        <v>13137</v>
      </c>
      <c r="I1562" s="41" t="s">
        <v>13138</v>
      </c>
      <c r="J1562" s="41" t="s">
        <v>13139</v>
      </c>
      <c r="K1562" s="41" t="s">
        <v>13140</v>
      </c>
      <c r="L1562" s="41" t="s">
        <v>891</v>
      </c>
    </row>
    <row r="1563" spans="1:19" x14ac:dyDescent="0.25">
      <c r="A1563" s="41" t="s">
        <v>23</v>
      </c>
      <c r="B1563" s="41" t="s">
        <v>13141</v>
      </c>
      <c r="D1563" s="41" t="s">
        <v>13142</v>
      </c>
      <c r="F1563" s="41" t="s">
        <v>13143</v>
      </c>
      <c r="G1563" s="41" t="s">
        <v>13144</v>
      </c>
      <c r="H1563" s="41" t="s">
        <v>13145</v>
      </c>
      <c r="I1563" s="41" t="s">
        <v>13146</v>
      </c>
      <c r="J1563" s="41" t="s">
        <v>13147</v>
      </c>
      <c r="K1563" s="41" t="s">
        <v>13148</v>
      </c>
      <c r="L1563" s="41" t="s">
        <v>1076</v>
      </c>
    </row>
    <row r="1564" spans="1:19" x14ac:dyDescent="0.25">
      <c r="A1564" s="41" t="s">
        <v>23</v>
      </c>
      <c r="B1564" s="41" t="s">
        <v>13149</v>
      </c>
      <c r="D1564" s="41" t="s">
        <v>13150</v>
      </c>
      <c r="F1564" s="41" t="s">
        <v>13151</v>
      </c>
      <c r="G1564" s="41" t="s">
        <v>13152</v>
      </c>
      <c r="H1564" s="41" t="s">
        <v>13153</v>
      </c>
      <c r="I1564" s="41" t="s">
        <v>13154</v>
      </c>
      <c r="J1564" s="41" t="s">
        <v>13155</v>
      </c>
      <c r="K1564" s="41" t="s">
        <v>13156</v>
      </c>
      <c r="L1564" s="41" t="s">
        <v>1085</v>
      </c>
    </row>
    <row r="1565" spans="1:19" x14ac:dyDescent="0.25">
      <c r="A1565" s="41" t="s">
        <v>23</v>
      </c>
      <c r="B1565" s="41" t="s">
        <v>13157</v>
      </c>
      <c r="D1565" s="41" t="s">
        <v>13158</v>
      </c>
      <c r="F1565" s="41" t="s">
        <v>13159</v>
      </c>
      <c r="G1565" s="41" t="s">
        <v>13160</v>
      </c>
      <c r="H1565" s="41" t="s">
        <v>13161</v>
      </c>
      <c r="I1565" s="41" t="s">
        <v>13162</v>
      </c>
      <c r="J1565" s="41" t="s">
        <v>13163</v>
      </c>
      <c r="K1565" s="41" t="s">
        <v>13164</v>
      </c>
      <c r="L1565" s="41" t="s">
        <v>1094</v>
      </c>
    </row>
    <row r="1566" spans="1:19" x14ac:dyDescent="0.25">
      <c r="A1566" s="41" t="s">
        <v>908</v>
      </c>
      <c r="B1566" s="41" t="s">
        <v>13165</v>
      </c>
    </row>
    <row r="1567" spans="1:19" x14ac:dyDescent="0.25">
      <c r="A1567" s="41" t="s">
        <v>23</v>
      </c>
      <c r="B1567" s="41" t="s">
        <v>13166</v>
      </c>
      <c r="F1567" s="41" t="s">
        <v>13167</v>
      </c>
      <c r="G1567" s="41" t="s">
        <v>13168</v>
      </c>
      <c r="H1567" s="41" t="s">
        <v>13169</v>
      </c>
      <c r="I1567" s="41" t="s">
        <v>13170</v>
      </c>
      <c r="J1567" s="41" t="s">
        <v>13171</v>
      </c>
      <c r="L1567" s="41" t="s">
        <v>4</v>
      </c>
    </row>
    <row r="1568" spans="1:19" x14ac:dyDescent="0.25">
      <c r="A1568" s="41" t="s">
        <v>23</v>
      </c>
      <c r="B1568" s="41" t="s">
        <v>13172</v>
      </c>
      <c r="D1568" s="41" t="s">
        <v>13173</v>
      </c>
      <c r="E1568" s="41" t="s">
        <v>13174</v>
      </c>
      <c r="F1568" s="41" t="s">
        <v>13175</v>
      </c>
      <c r="G1568" s="41" t="s">
        <v>13176</v>
      </c>
      <c r="H1568" s="41" t="s">
        <v>13177</v>
      </c>
      <c r="I1568" s="41" t="s">
        <v>13178</v>
      </c>
      <c r="J1568" s="41" t="s">
        <v>13179</v>
      </c>
      <c r="K1568" s="41" t="s">
        <v>13180</v>
      </c>
      <c r="L1568" s="41" t="s">
        <v>13181</v>
      </c>
      <c r="M1568" s="41" t="s">
        <v>13182</v>
      </c>
      <c r="N1568" s="41" t="s">
        <v>13183</v>
      </c>
      <c r="O1568" s="41" t="s">
        <v>13184</v>
      </c>
      <c r="P1568" s="41" t="s">
        <v>13185</v>
      </c>
      <c r="Q1568" s="41" t="s">
        <v>13186</v>
      </c>
      <c r="R1568" s="41" t="s">
        <v>13187</v>
      </c>
      <c r="S1568" s="41" t="s">
        <v>13188</v>
      </c>
    </row>
    <row r="1569" spans="1:19" x14ac:dyDescent="0.25">
      <c r="A1569" s="41" t="s">
        <v>23</v>
      </c>
      <c r="B1569" s="41" t="s">
        <v>13189</v>
      </c>
      <c r="D1569" s="41" t="s">
        <v>13190</v>
      </c>
      <c r="F1569" s="41" t="s">
        <v>13191</v>
      </c>
      <c r="G1569" s="41" t="s">
        <v>13192</v>
      </c>
      <c r="H1569" s="41" t="s">
        <v>13193</v>
      </c>
      <c r="I1569" s="41" t="s">
        <v>13194</v>
      </c>
      <c r="J1569" s="41" t="s">
        <v>13195</v>
      </c>
      <c r="K1569" s="41" t="s">
        <v>13196</v>
      </c>
      <c r="L1569" s="41" t="s">
        <v>891</v>
      </c>
    </row>
    <row r="1570" spans="1:19" x14ac:dyDescent="0.25">
      <c r="A1570" s="41" t="s">
        <v>23</v>
      </c>
      <c r="B1570" s="41" t="s">
        <v>13197</v>
      </c>
      <c r="D1570" s="41" t="s">
        <v>13198</v>
      </c>
      <c r="F1570" s="41" t="s">
        <v>13199</v>
      </c>
      <c r="G1570" s="41" t="s">
        <v>13200</v>
      </c>
      <c r="H1570" s="41" t="s">
        <v>13201</v>
      </c>
      <c r="I1570" s="41" t="s">
        <v>13202</v>
      </c>
      <c r="J1570" s="41" t="s">
        <v>13203</v>
      </c>
      <c r="K1570" s="41" t="s">
        <v>13204</v>
      </c>
      <c r="L1570" s="41" t="s">
        <v>1076</v>
      </c>
    </row>
    <row r="1571" spans="1:19" x14ac:dyDescent="0.25">
      <c r="A1571" s="41" t="s">
        <v>23</v>
      </c>
      <c r="B1571" s="41" t="s">
        <v>13205</v>
      </c>
      <c r="D1571" s="41" t="s">
        <v>13206</v>
      </c>
      <c r="F1571" s="41" t="s">
        <v>13207</v>
      </c>
      <c r="G1571" s="41" t="s">
        <v>13208</v>
      </c>
      <c r="H1571" s="41" t="s">
        <v>13209</v>
      </c>
      <c r="I1571" s="41" t="s">
        <v>13210</v>
      </c>
      <c r="J1571" s="41" t="s">
        <v>13211</v>
      </c>
      <c r="K1571" s="41" t="s">
        <v>13212</v>
      </c>
      <c r="L1571" s="41" t="s">
        <v>1085</v>
      </c>
    </row>
    <row r="1572" spans="1:19" x14ac:dyDescent="0.25">
      <c r="A1572" s="41" t="s">
        <v>23</v>
      </c>
      <c r="B1572" s="41" t="s">
        <v>13213</v>
      </c>
      <c r="D1572" s="41" t="s">
        <v>13214</v>
      </c>
      <c r="F1572" s="41" t="s">
        <v>13215</v>
      </c>
      <c r="G1572" s="41" t="s">
        <v>13216</v>
      </c>
      <c r="H1572" s="41" t="s">
        <v>13217</v>
      </c>
      <c r="I1572" s="41" t="s">
        <v>13218</v>
      </c>
      <c r="J1572" s="41" t="s">
        <v>13219</v>
      </c>
      <c r="K1572" s="41" t="s">
        <v>13220</v>
      </c>
      <c r="L1572" s="41" t="s">
        <v>1094</v>
      </c>
    </row>
    <row r="1573" spans="1:19" x14ac:dyDescent="0.25">
      <c r="A1573" s="41" t="s">
        <v>908</v>
      </c>
      <c r="B1573" s="41" t="s">
        <v>13221</v>
      </c>
    </row>
    <row r="1574" spans="1:19" x14ac:dyDescent="0.25">
      <c r="A1574" s="41" t="s">
        <v>23</v>
      </c>
      <c r="B1574" s="41" t="s">
        <v>13222</v>
      </c>
      <c r="F1574" s="41" t="s">
        <v>13223</v>
      </c>
      <c r="G1574" s="41" t="s">
        <v>13224</v>
      </c>
      <c r="H1574" s="41" t="s">
        <v>13225</v>
      </c>
      <c r="I1574" s="41" t="s">
        <v>13226</v>
      </c>
      <c r="J1574" s="41" t="s">
        <v>13227</v>
      </c>
      <c r="L1574" s="41" t="s">
        <v>4</v>
      </c>
    </row>
    <row r="1575" spans="1:19" x14ac:dyDescent="0.25">
      <c r="A1575" s="41" t="s">
        <v>23</v>
      </c>
      <c r="B1575" s="41" t="s">
        <v>13228</v>
      </c>
      <c r="D1575" s="41" t="s">
        <v>13229</v>
      </c>
      <c r="E1575" s="41" t="s">
        <v>13230</v>
      </c>
      <c r="F1575" s="41" t="s">
        <v>13231</v>
      </c>
      <c r="G1575" s="41" t="s">
        <v>13232</v>
      </c>
      <c r="H1575" s="41" t="s">
        <v>13233</v>
      </c>
      <c r="I1575" s="41" t="s">
        <v>13234</v>
      </c>
      <c r="J1575" s="41" t="s">
        <v>13235</v>
      </c>
      <c r="K1575" s="41" t="s">
        <v>13236</v>
      </c>
      <c r="L1575" s="41" t="s">
        <v>13237</v>
      </c>
      <c r="M1575" s="41" t="s">
        <v>13238</v>
      </c>
      <c r="N1575" s="41" t="s">
        <v>13239</v>
      </c>
      <c r="O1575" s="41" t="s">
        <v>13240</v>
      </c>
      <c r="P1575" s="41" t="s">
        <v>13241</v>
      </c>
      <c r="Q1575" s="41" t="s">
        <v>13242</v>
      </c>
      <c r="R1575" s="41" t="s">
        <v>13243</v>
      </c>
      <c r="S1575" s="41" t="s">
        <v>13244</v>
      </c>
    </row>
    <row r="1576" spans="1:19" x14ac:dyDescent="0.25">
      <c r="A1576" s="41" t="s">
        <v>23</v>
      </c>
      <c r="B1576" s="41" t="s">
        <v>13245</v>
      </c>
      <c r="D1576" s="41" t="s">
        <v>13246</v>
      </c>
      <c r="F1576" s="41" t="s">
        <v>13247</v>
      </c>
      <c r="G1576" s="41" t="s">
        <v>13248</v>
      </c>
      <c r="H1576" s="41" t="s">
        <v>13249</v>
      </c>
      <c r="I1576" s="41" t="s">
        <v>13250</v>
      </c>
      <c r="J1576" s="41" t="s">
        <v>13251</v>
      </c>
      <c r="K1576" s="41" t="s">
        <v>13252</v>
      </c>
      <c r="L1576" s="41" t="s">
        <v>891</v>
      </c>
    </row>
    <row r="1577" spans="1:19" x14ac:dyDescent="0.25">
      <c r="A1577" s="41" t="s">
        <v>23</v>
      </c>
      <c r="B1577" s="41" t="s">
        <v>13253</v>
      </c>
      <c r="D1577" s="41" t="s">
        <v>13254</v>
      </c>
      <c r="F1577" s="41" t="s">
        <v>13255</v>
      </c>
      <c r="G1577" s="41" t="s">
        <v>13256</v>
      </c>
      <c r="H1577" s="41" t="s">
        <v>13257</v>
      </c>
      <c r="I1577" s="41" t="s">
        <v>13258</v>
      </c>
      <c r="J1577" s="41" t="s">
        <v>13259</v>
      </c>
      <c r="K1577" s="41" t="s">
        <v>13260</v>
      </c>
      <c r="L1577" s="41" t="s">
        <v>1076</v>
      </c>
    </row>
    <row r="1578" spans="1:19" x14ac:dyDescent="0.25">
      <c r="A1578" s="41" t="s">
        <v>23</v>
      </c>
      <c r="B1578" s="41" t="s">
        <v>13261</v>
      </c>
      <c r="D1578" s="41" t="s">
        <v>13262</v>
      </c>
      <c r="F1578" s="41" t="s">
        <v>13263</v>
      </c>
      <c r="G1578" s="41" t="s">
        <v>13264</v>
      </c>
      <c r="H1578" s="41" t="s">
        <v>13265</v>
      </c>
      <c r="I1578" s="41" t="s">
        <v>13266</v>
      </c>
      <c r="J1578" s="41" t="s">
        <v>13267</v>
      </c>
      <c r="K1578" s="41" t="s">
        <v>13268</v>
      </c>
      <c r="L1578" s="41" t="s">
        <v>1085</v>
      </c>
    </row>
    <row r="1579" spans="1:19" x14ac:dyDescent="0.25">
      <c r="A1579" s="41" t="s">
        <v>23</v>
      </c>
      <c r="B1579" s="41" t="s">
        <v>13269</v>
      </c>
      <c r="D1579" s="41" t="s">
        <v>13270</v>
      </c>
      <c r="F1579" s="41" t="s">
        <v>13271</v>
      </c>
      <c r="G1579" s="41" t="s">
        <v>13272</v>
      </c>
      <c r="H1579" s="41" t="s">
        <v>13273</v>
      </c>
      <c r="I1579" s="41" t="s">
        <v>13274</v>
      </c>
      <c r="J1579" s="41" t="s">
        <v>13275</v>
      </c>
      <c r="K1579" s="41" t="s">
        <v>13276</v>
      </c>
      <c r="L1579" s="41" t="s">
        <v>1094</v>
      </c>
    </row>
    <row r="1580" spans="1:19" x14ac:dyDescent="0.25">
      <c r="A1580" s="41" t="s">
        <v>908</v>
      </c>
      <c r="B1580" s="41" t="s">
        <v>13277</v>
      </c>
    </row>
    <row r="1581" spans="1:19" x14ac:dyDescent="0.25">
      <c r="A1581" s="41" t="s">
        <v>23</v>
      </c>
      <c r="B1581" s="41" t="s">
        <v>13278</v>
      </c>
      <c r="F1581" s="41" t="s">
        <v>13279</v>
      </c>
      <c r="G1581" s="41" t="s">
        <v>13280</v>
      </c>
      <c r="H1581" s="41" t="s">
        <v>13281</v>
      </c>
      <c r="I1581" s="41" t="s">
        <v>13282</v>
      </c>
      <c r="J1581" s="41" t="s">
        <v>13283</v>
      </c>
      <c r="L1581" s="41" t="s">
        <v>4</v>
      </c>
    </row>
    <row r="1582" spans="1:19" x14ac:dyDescent="0.25">
      <c r="A1582" s="41" t="s">
        <v>23</v>
      </c>
      <c r="B1582" s="41" t="s">
        <v>13284</v>
      </c>
      <c r="D1582" s="41" t="s">
        <v>13285</v>
      </c>
      <c r="E1582" s="41" t="s">
        <v>13286</v>
      </c>
      <c r="F1582" s="41" t="s">
        <v>13287</v>
      </c>
      <c r="G1582" s="41" t="s">
        <v>13288</v>
      </c>
      <c r="H1582" s="41" t="s">
        <v>13289</v>
      </c>
      <c r="I1582" s="41" t="s">
        <v>13290</v>
      </c>
      <c r="J1582" s="41" t="s">
        <v>13291</v>
      </c>
      <c r="K1582" s="41" t="s">
        <v>13292</v>
      </c>
      <c r="L1582" s="41" t="s">
        <v>13293</v>
      </c>
      <c r="M1582" s="41" t="s">
        <v>13294</v>
      </c>
      <c r="N1582" s="41" t="s">
        <v>13295</v>
      </c>
      <c r="O1582" s="41" t="s">
        <v>13296</v>
      </c>
      <c r="P1582" s="41" t="s">
        <v>13297</v>
      </c>
      <c r="Q1582" s="41" t="s">
        <v>13298</v>
      </c>
      <c r="R1582" s="41" t="s">
        <v>13299</v>
      </c>
      <c r="S1582" s="41" t="s">
        <v>13300</v>
      </c>
    </row>
    <row r="1583" spans="1:19" x14ac:dyDescent="0.25">
      <c r="A1583" s="41" t="s">
        <v>23</v>
      </c>
      <c r="B1583" s="41" t="s">
        <v>13301</v>
      </c>
      <c r="D1583" s="41" t="s">
        <v>13302</v>
      </c>
      <c r="F1583" s="41" t="s">
        <v>13303</v>
      </c>
      <c r="G1583" s="41" t="s">
        <v>13304</v>
      </c>
      <c r="H1583" s="41" t="s">
        <v>13305</v>
      </c>
      <c r="I1583" s="41" t="s">
        <v>13306</v>
      </c>
      <c r="J1583" s="41" t="s">
        <v>13307</v>
      </c>
      <c r="K1583" s="41" t="s">
        <v>13308</v>
      </c>
      <c r="L1583" s="41" t="s">
        <v>891</v>
      </c>
    </row>
    <row r="1584" spans="1:19" x14ac:dyDescent="0.25">
      <c r="A1584" s="41" t="s">
        <v>23</v>
      </c>
      <c r="B1584" s="41" t="s">
        <v>13309</v>
      </c>
      <c r="D1584" s="41" t="s">
        <v>13310</v>
      </c>
      <c r="F1584" s="41" t="s">
        <v>13311</v>
      </c>
      <c r="G1584" s="41" t="s">
        <v>13312</v>
      </c>
      <c r="H1584" s="41" t="s">
        <v>13313</v>
      </c>
      <c r="I1584" s="41" t="s">
        <v>13314</v>
      </c>
      <c r="J1584" s="41" t="s">
        <v>13315</v>
      </c>
      <c r="K1584" s="41" t="s">
        <v>13316</v>
      </c>
      <c r="L1584" s="41" t="s">
        <v>1076</v>
      </c>
    </row>
    <row r="1585" spans="1:19" x14ac:dyDescent="0.25">
      <c r="A1585" s="41" t="s">
        <v>23</v>
      </c>
      <c r="B1585" s="41" t="s">
        <v>13317</v>
      </c>
      <c r="D1585" s="41" t="s">
        <v>13318</v>
      </c>
      <c r="F1585" s="41" t="s">
        <v>13319</v>
      </c>
      <c r="G1585" s="41" t="s">
        <v>13320</v>
      </c>
      <c r="H1585" s="41" t="s">
        <v>13321</v>
      </c>
      <c r="I1585" s="41" t="s">
        <v>13322</v>
      </c>
      <c r="J1585" s="41" t="s">
        <v>13323</v>
      </c>
      <c r="K1585" s="41" t="s">
        <v>13324</v>
      </c>
      <c r="L1585" s="41" t="s">
        <v>1085</v>
      </c>
    </row>
    <row r="1586" spans="1:19" x14ac:dyDescent="0.25">
      <c r="A1586" s="41" t="s">
        <v>23</v>
      </c>
      <c r="B1586" s="41" t="s">
        <v>13325</v>
      </c>
      <c r="D1586" s="41" t="s">
        <v>13326</v>
      </c>
      <c r="F1586" s="41" t="s">
        <v>13327</v>
      </c>
      <c r="G1586" s="41" t="s">
        <v>13328</v>
      </c>
      <c r="H1586" s="41" t="s">
        <v>13329</v>
      </c>
      <c r="I1586" s="41" t="s">
        <v>13330</v>
      </c>
      <c r="J1586" s="41" t="s">
        <v>13331</v>
      </c>
      <c r="K1586" s="41" t="s">
        <v>13332</v>
      </c>
      <c r="L1586" s="41" t="s">
        <v>1094</v>
      </c>
    </row>
    <row r="1587" spans="1:19" x14ac:dyDescent="0.25">
      <c r="A1587" s="41" t="s">
        <v>908</v>
      </c>
      <c r="B1587" s="41" t="s">
        <v>13333</v>
      </c>
    </row>
    <row r="1588" spans="1:19" x14ac:dyDescent="0.25">
      <c r="A1588" s="41" t="s">
        <v>23</v>
      </c>
      <c r="B1588" s="41" t="s">
        <v>13334</v>
      </c>
      <c r="F1588" s="41" t="s">
        <v>13335</v>
      </c>
      <c r="G1588" s="41" t="s">
        <v>13336</v>
      </c>
      <c r="H1588" s="41" t="s">
        <v>13337</v>
      </c>
      <c r="I1588" s="41" t="s">
        <v>13338</v>
      </c>
      <c r="J1588" s="41" t="s">
        <v>13339</v>
      </c>
      <c r="L1588" s="41" t="s">
        <v>4</v>
      </c>
    </row>
    <row r="1589" spans="1:19" x14ac:dyDescent="0.25">
      <c r="A1589" s="41" t="s">
        <v>23</v>
      </c>
      <c r="B1589" s="41" t="s">
        <v>13340</v>
      </c>
      <c r="D1589" s="41" t="s">
        <v>13341</v>
      </c>
      <c r="E1589" s="41" t="s">
        <v>13342</v>
      </c>
      <c r="F1589" s="41" t="s">
        <v>13343</v>
      </c>
      <c r="G1589" s="41" t="s">
        <v>13344</v>
      </c>
      <c r="H1589" s="41" t="s">
        <v>13345</v>
      </c>
      <c r="I1589" s="41" t="s">
        <v>13346</v>
      </c>
      <c r="J1589" s="41" t="s">
        <v>13347</v>
      </c>
      <c r="K1589" s="41" t="s">
        <v>13348</v>
      </c>
      <c r="L1589" s="41" t="s">
        <v>13349</v>
      </c>
      <c r="M1589" s="41" t="s">
        <v>13350</v>
      </c>
      <c r="N1589" s="41" t="s">
        <v>13351</v>
      </c>
      <c r="O1589" s="41" t="s">
        <v>13352</v>
      </c>
      <c r="P1589" s="41" t="s">
        <v>13353</v>
      </c>
      <c r="Q1589" s="41" t="s">
        <v>13354</v>
      </c>
      <c r="R1589" s="41" t="s">
        <v>13355</v>
      </c>
      <c r="S1589" s="41" t="s">
        <v>13356</v>
      </c>
    </row>
    <row r="1590" spans="1:19" x14ac:dyDescent="0.25">
      <c r="A1590" s="41" t="s">
        <v>23</v>
      </c>
      <c r="B1590" s="41" t="s">
        <v>13357</v>
      </c>
      <c r="D1590" s="41" t="s">
        <v>13358</v>
      </c>
      <c r="F1590" s="41" t="s">
        <v>13359</v>
      </c>
      <c r="G1590" s="41" t="s">
        <v>13360</v>
      </c>
      <c r="H1590" s="41" t="s">
        <v>13361</v>
      </c>
      <c r="I1590" s="41" t="s">
        <v>13362</v>
      </c>
      <c r="J1590" s="41" t="s">
        <v>13363</v>
      </c>
      <c r="K1590" s="41" t="s">
        <v>13364</v>
      </c>
      <c r="L1590" s="41" t="s">
        <v>891</v>
      </c>
    </row>
    <row r="1591" spans="1:19" x14ac:dyDescent="0.25">
      <c r="A1591" s="41" t="s">
        <v>23</v>
      </c>
      <c r="B1591" s="41" t="s">
        <v>13365</v>
      </c>
      <c r="D1591" s="41" t="s">
        <v>13366</v>
      </c>
      <c r="F1591" s="41" t="s">
        <v>13367</v>
      </c>
      <c r="G1591" s="41" t="s">
        <v>13368</v>
      </c>
      <c r="H1591" s="41" t="s">
        <v>13369</v>
      </c>
      <c r="I1591" s="41" t="s">
        <v>13370</v>
      </c>
      <c r="J1591" s="41" t="s">
        <v>13371</v>
      </c>
      <c r="K1591" s="41" t="s">
        <v>13372</v>
      </c>
      <c r="L1591" s="41" t="s">
        <v>1076</v>
      </c>
    </row>
    <row r="1592" spans="1:19" x14ac:dyDescent="0.25">
      <c r="A1592" s="41" t="s">
        <v>23</v>
      </c>
      <c r="B1592" s="41" t="s">
        <v>13373</v>
      </c>
      <c r="D1592" s="41" t="s">
        <v>13374</v>
      </c>
      <c r="F1592" s="41" t="s">
        <v>13375</v>
      </c>
      <c r="G1592" s="41" t="s">
        <v>13376</v>
      </c>
      <c r="H1592" s="41" t="s">
        <v>13377</v>
      </c>
      <c r="I1592" s="41" t="s">
        <v>13378</v>
      </c>
      <c r="J1592" s="41" t="s">
        <v>13379</v>
      </c>
      <c r="K1592" s="41" t="s">
        <v>13380</v>
      </c>
      <c r="L1592" s="41" t="s">
        <v>1085</v>
      </c>
    </row>
    <row r="1593" spans="1:19" x14ac:dyDescent="0.25">
      <c r="A1593" s="41" t="s">
        <v>23</v>
      </c>
      <c r="B1593" s="41" t="s">
        <v>13381</v>
      </c>
      <c r="D1593" s="41" t="s">
        <v>13382</v>
      </c>
      <c r="F1593" s="41" t="s">
        <v>13383</v>
      </c>
      <c r="G1593" s="41" t="s">
        <v>13384</v>
      </c>
      <c r="H1593" s="41" t="s">
        <v>13385</v>
      </c>
      <c r="I1593" s="41" t="s">
        <v>13386</v>
      </c>
      <c r="J1593" s="41" t="s">
        <v>13387</v>
      </c>
      <c r="K1593" s="41" t="s">
        <v>13388</v>
      </c>
      <c r="L1593" s="41" t="s">
        <v>1094</v>
      </c>
    </row>
    <row r="1594" spans="1:19" x14ac:dyDescent="0.25">
      <c r="A1594" s="41" t="s">
        <v>908</v>
      </c>
      <c r="B1594" s="41" t="s">
        <v>13389</v>
      </c>
    </row>
    <row r="1595" spans="1:19" x14ac:dyDescent="0.25">
      <c r="A1595" s="41" t="s">
        <v>23</v>
      </c>
      <c r="B1595" s="41" t="s">
        <v>13390</v>
      </c>
      <c r="F1595" s="41" t="s">
        <v>13391</v>
      </c>
      <c r="G1595" s="41" t="s">
        <v>13392</v>
      </c>
      <c r="H1595" s="41" t="s">
        <v>13393</v>
      </c>
      <c r="I1595" s="41" t="s">
        <v>13394</v>
      </c>
      <c r="J1595" s="41" t="s">
        <v>13395</v>
      </c>
      <c r="L1595" s="41" t="s">
        <v>4</v>
      </c>
    </row>
    <row r="1596" spans="1:19" x14ac:dyDescent="0.25">
      <c r="A1596" s="41" t="s">
        <v>23</v>
      </c>
      <c r="B1596" s="41" t="s">
        <v>13396</v>
      </c>
      <c r="D1596" s="41" t="s">
        <v>13397</v>
      </c>
      <c r="E1596" s="41" t="s">
        <v>13398</v>
      </c>
      <c r="F1596" s="41" t="s">
        <v>13399</v>
      </c>
      <c r="G1596" s="41" t="s">
        <v>13400</v>
      </c>
      <c r="H1596" s="41" t="s">
        <v>13401</v>
      </c>
      <c r="I1596" s="41" t="s">
        <v>13402</v>
      </c>
      <c r="J1596" s="41" t="s">
        <v>13403</v>
      </c>
      <c r="K1596" s="41" t="s">
        <v>13404</v>
      </c>
      <c r="L1596" s="41" t="s">
        <v>13405</v>
      </c>
      <c r="M1596" s="41" t="s">
        <v>13406</v>
      </c>
      <c r="N1596" s="41" t="s">
        <v>13407</v>
      </c>
      <c r="O1596" s="41" t="s">
        <v>13408</v>
      </c>
      <c r="P1596" s="41" t="s">
        <v>13409</v>
      </c>
      <c r="Q1596" s="41" t="s">
        <v>13410</v>
      </c>
      <c r="R1596" s="41" t="s">
        <v>13411</v>
      </c>
      <c r="S1596" s="41" t="s">
        <v>13412</v>
      </c>
    </row>
    <row r="1597" spans="1:19" x14ac:dyDescent="0.25">
      <c r="A1597" s="41" t="s">
        <v>23</v>
      </c>
      <c r="B1597" s="41" t="s">
        <v>13413</v>
      </c>
      <c r="D1597" s="41" t="s">
        <v>13414</v>
      </c>
      <c r="F1597" s="41" t="s">
        <v>13415</v>
      </c>
      <c r="G1597" s="41" t="s">
        <v>13416</v>
      </c>
      <c r="H1597" s="41" t="s">
        <v>13417</v>
      </c>
      <c r="I1597" s="41" t="s">
        <v>13418</v>
      </c>
      <c r="J1597" s="41" t="s">
        <v>13419</v>
      </c>
      <c r="K1597" s="41" t="s">
        <v>13420</v>
      </c>
      <c r="L1597" s="41" t="s">
        <v>891</v>
      </c>
    </row>
    <row r="1598" spans="1:19" x14ac:dyDescent="0.25">
      <c r="A1598" s="41" t="s">
        <v>23</v>
      </c>
      <c r="B1598" s="41" t="s">
        <v>13421</v>
      </c>
      <c r="D1598" s="41" t="s">
        <v>13422</v>
      </c>
      <c r="F1598" s="41" t="s">
        <v>13423</v>
      </c>
      <c r="G1598" s="41" t="s">
        <v>13424</v>
      </c>
      <c r="H1598" s="41" t="s">
        <v>13425</v>
      </c>
      <c r="I1598" s="41" t="s">
        <v>13426</v>
      </c>
      <c r="J1598" s="41" t="s">
        <v>13427</v>
      </c>
      <c r="K1598" s="41" t="s">
        <v>13428</v>
      </c>
      <c r="L1598" s="41" t="s">
        <v>1076</v>
      </c>
    </row>
    <row r="1599" spans="1:19" x14ac:dyDescent="0.25">
      <c r="A1599" s="41" t="s">
        <v>23</v>
      </c>
      <c r="B1599" s="41" t="s">
        <v>13429</v>
      </c>
      <c r="D1599" s="41" t="s">
        <v>13430</v>
      </c>
      <c r="F1599" s="41" t="s">
        <v>13431</v>
      </c>
      <c r="G1599" s="41" t="s">
        <v>13432</v>
      </c>
      <c r="H1599" s="41" t="s">
        <v>13433</v>
      </c>
      <c r="I1599" s="41" t="s">
        <v>13434</v>
      </c>
      <c r="J1599" s="41" t="s">
        <v>13435</v>
      </c>
      <c r="K1599" s="41" t="s">
        <v>13436</v>
      </c>
      <c r="L1599" s="41" t="s">
        <v>1085</v>
      </c>
    </row>
    <row r="1600" spans="1:19" x14ac:dyDescent="0.25">
      <c r="A1600" s="41" t="s">
        <v>23</v>
      </c>
      <c r="B1600" s="41" t="s">
        <v>13437</v>
      </c>
      <c r="D1600" s="41" t="s">
        <v>13438</v>
      </c>
      <c r="F1600" s="41" t="s">
        <v>13439</v>
      </c>
      <c r="G1600" s="41" t="s">
        <v>13440</v>
      </c>
      <c r="H1600" s="41" t="s">
        <v>13441</v>
      </c>
      <c r="I1600" s="41" t="s">
        <v>13442</v>
      </c>
      <c r="J1600" s="41" t="s">
        <v>13443</v>
      </c>
      <c r="K1600" s="41" t="s">
        <v>13444</v>
      </c>
      <c r="L1600" s="41" t="s">
        <v>1094</v>
      </c>
    </row>
    <row r="1601" spans="1:19" x14ac:dyDescent="0.25">
      <c r="A1601" s="41" t="s">
        <v>908</v>
      </c>
      <c r="B1601" s="41" t="s">
        <v>13445</v>
      </c>
    </row>
    <row r="1602" spans="1:19" x14ac:dyDescent="0.25">
      <c r="A1602" s="41" t="s">
        <v>23</v>
      </c>
      <c r="B1602" s="41" t="s">
        <v>13446</v>
      </c>
      <c r="F1602" s="41" t="s">
        <v>13447</v>
      </c>
      <c r="G1602" s="41" t="s">
        <v>13448</v>
      </c>
      <c r="H1602" s="41" t="s">
        <v>13449</v>
      </c>
      <c r="I1602" s="41" t="s">
        <v>13450</v>
      </c>
      <c r="J1602" s="41" t="s">
        <v>13451</v>
      </c>
      <c r="L1602" s="41" t="s">
        <v>4</v>
      </c>
    </row>
    <row r="1603" spans="1:19" x14ac:dyDescent="0.25">
      <c r="A1603" s="41" t="s">
        <v>23</v>
      </c>
      <c r="B1603" s="41" t="s">
        <v>13452</v>
      </c>
      <c r="D1603" s="41" t="s">
        <v>13453</v>
      </c>
      <c r="E1603" s="41" t="s">
        <v>13454</v>
      </c>
      <c r="F1603" s="41" t="s">
        <v>13455</v>
      </c>
      <c r="G1603" s="41" t="s">
        <v>13456</v>
      </c>
      <c r="H1603" s="41" t="s">
        <v>13457</v>
      </c>
      <c r="I1603" s="41" t="s">
        <v>13458</v>
      </c>
      <c r="J1603" s="41" t="s">
        <v>13459</v>
      </c>
      <c r="K1603" s="41" t="s">
        <v>13460</v>
      </c>
      <c r="L1603" s="41" t="s">
        <v>13461</v>
      </c>
      <c r="M1603" s="41" t="s">
        <v>13462</v>
      </c>
      <c r="N1603" s="41" t="s">
        <v>13463</v>
      </c>
      <c r="O1603" s="41" t="s">
        <v>13464</v>
      </c>
      <c r="P1603" s="41" t="s">
        <v>13465</v>
      </c>
      <c r="Q1603" s="41" t="s">
        <v>13466</v>
      </c>
      <c r="R1603" s="41" t="s">
        <v>13467</v>
      </c>
      <c r="S1603" s="41" t="s">
        <v>13468</v>
      </c>
    </row>
    <row r="1604" spans="1:19" x14ac:dyDescent="0.25">
      <c r="A1604" s="41" t="s">
        <v>23</v>
      </c>
      <c r="B1604" s="41" t="s">
        <v>13469</v>
      </c>
      <c r="D1604" s="41" t="s">
        <v>13470</v>
      </c>
      <c r="F1604" s="41" t="s">
        <v>13471</v>
      </c>
      <c r="G1604" s="41" t="s">
        <v>13472</v>
      </c>
      <c r="H1604" s="41" t="s">
        <v>13473</v>
      </c>
      <c r="I1604" s="41" t="s">
        <v>13474</v>
      </c>
      <c r="J1604" s="41" t="s">
        <v>13475</v>
      </c>
      <c r="K1604" s="41" t="s">
        <v>13476</v>
      </c>
      <c r="L1604" s="41" t="s">
        <v>891</v>
      </c>
    </row>
    <row r="1605" spans="1:19" x14ac:dyDescent="0.25">
      <c r="A1605" s="41" t="s">
        <v>23</v>
      </c>
      <c r="B1605" s="41" t="s">
        <v>13477</v>
      </c>
      <c r="D1605" s="41" t="s">
        <v>13478</v>
      </c>
      <c r="F1605" s="41" t="s">
        <v>13479</v>
      </c>
      <c r="G1605" s="41" t="s">
        <v>13480</v>
      </c>
      <c r="H1605" s="41" t="s">
        <v>13481</v>
      </c>
      <c r="I1605" s="41" t="s">
        <v>13482</v>
      </c>
      <c r="J1605" s="41" t="s">
        <v>13483</v>
      </c>
      <c r="K1605" s="41" t="s">
        <v>13484</v>
      </c>
      <c r="L1605" s="41" t="s">
        <v>1076</v>
      </c>
    </row>
    <row r="1606" spans="1:19" x14ac:dyDescent="0.25">
      <c r="A1606" s="41" t="s">
        <v>23</v>
      </c>
      <c r="B1606" s="41" t="s">
        <v>13485</v>
      </c>
      <c r="D1606" s="41" t="s">
        <v>13486</v>
      </c>
      <c r="F1606" s="41" t="s">
        <v>13487</v>
      </c>
      <c r="G1606" s="41" t="s">
        <v>13488</v>
      </c>
      <c r="H1606" s="41" t="s">
        <v>13489</v>
      </c>
      <c r="I1606" s="41" t="s">
        <v>13490</v>
      </c>
      <c r="J1606" s="41" t="s">
        <v>13491</v>
      </c>
      <c r="K1606" s="41" t="s">
        <v>13492</v>
      </c>
      <c r="L1606" s="41" t="s">
        <v>1085</v>
      </c>
    </row>
    <row r="1607" spans="1:19" x14ac:dyDescent="0.25">
      <c r="A1607" s="41" t="s">
        <v>23</v>
      </c>
      <c r="B1607" s="41" t="s">
        <v>13493</v>
      </c>
      <c r="D1607" s="41" t="s">
        <v>13494</v>
      </c>
      <c r="F1607" s="41" t="s">
        <v>13495</v>
      </c>
      <c r="G1607" s="41" t="s">
        <v>13496</v>
      </c>
      <c r="H1607" s="41" t="s">
        <v>13497</v>
      </c>
      <c r="I1607" s="41" t="s">
        <v>13498</v>
      </c>
      <c r="J1607" s="41" t="s">
        <v>13499</v>
      </c>
      <c r="K1607" s="41" t="s">
        <v>13500</v>
      </c>
      <c r="L1607" s="41" t="s">
        <v>1094</v>
      </c>
    </row>
    <row r="1608" spans="1:19" x14ac:dyDescent="0.25">
      <c r="A1608" s="41" t="s">
        <v>908</v>
      </c>
      <c r="B1608" s="41" t="s">
        <v>13501</v>
      </c>
    </row>
    <row r="1609" spans="1:19" x14ac:dyDescent="0.25">
      <c r="A1609" s="41" t="s">
        <v>23</v>
      </c>
      <c r="B1609" s="41" t="s">
        <v>13502</v>
      </c>
      <c r="F1609" s="41" t="s">
        <v>13503</v>
      </c>
      <c r="G1609" s="41" t="s">
        <v>13504</v>
      </c>
      <c r="H1609" s="41" t="s">
        <v>13505</v>
      </c>
      <c r="I1609" s="41" t="s">
        <v>13506</v>
      </c>
      <c r="J1609" s="41" t="s">
        <v>13507</v>
      </c>
      <c r="L1609" s="41" t="s">
        <v>4</v>
      </c>
    </row>
    <row r="1610" spans="1:19" x14ac:dyDescent="0.25">
      <c r="A1610" s="41" t="s">
        <v>23</v>
      </c>
      <c r="B1610" s="41" t="s">
        <v>13508</v>
      </c>
      <c r="D1610" s="41" t="s">
        <v>13509</v>
      </c>
      <c r="E1610" s="41" t="s">
        <v>13510</v>
      </c>
      <c r="F1610" s="41" t="s">
        <v>13511</v>
      </c>
      <c r="G1610" s="41" t="s">
        <v>13512</v>
      </c>
      <c r="H1610" s="41" t="s">
        <v>13513</v>
      </c>
      <c r="I1610" s="41" t="s">
        <v>13514</v>
      </c>
      <c r="J1610" s="41" t="s">
        <v>13515</v>
      </c>
      <c r="K1610" s="41" t="s">
        <v>13516</v>
      </c>
      <c r="L1610" s="41" t="s">
        <v>13517</v>
      </c>
      <c r="M1610" s="41" t="s">
        <v>13518</v>
      </c>
      <c r="N1610" s="41" t="s">
        <v>13519</v>
      </c>
      <c r="O1610" s="41" t="s">
        <v>13520</v>
      </c>
      <c r="P1610" s="41" t="s">
        <v>13521</v>
      </c>
      <c r="Q1610" s="41" t="s">
        <v>13522</v>
      </c>
      <c r="R1610" s="41" t="s">
        <v>13523</v>
      </c>
      <c r="S1610" s="41" t="s">
        <v>13524</v>
      </c>
    </row>
    <row r="1611" spans="1:19" x14ac:dyDescent="0.25">
      <c r="A1611" s="41" t="s">
        <v>23</v>
      </c>
      <c r="B1611" s="41" t="s">
        <v>13525</v>
      </c>
      <c r="D1611" s="41" t="s">
        <v>13526</v>
      </c>
      <c r="F1611" s="41" t="s">
        <v>13527</v>
      </c>
      <c r="G1611" s="41" t="s">
        <v>13528</v>
      </c>
      <c r="H1611" s="41" t="s">
        <v>13529</v>
      </c>
      <c r="I1611" s="41" t="s">
        <v>13530</v>
      </c>
      <c r="J1611" s="41" t="s">
        <v>13531</v>
      </c>
      <c r="K1611" s="41" t="s">
        <v>13532</v>
      </c>
      <c r="L1611" s="41" t="s">
        <v>891</v>
      </c>
    </row>
    <row r="1612" spans="1:19" x14ac:dyDescent="0.25">
      <c r="A1612" s="41" t="s">
        <v>23</v>
      </c>
      <c r="B1612" s="41" t="s">
        <v>13533</v>
      </c>
      <c r="D1612" s="41" t="s">
        <v>13534</v>
      </c>
      <c r="F1612" s="41" t="s">
        <v>13535</v>
      </c>
      <c r="G1612" s="41" t="s">
        <v>13536</v>
      </c>
      <c r="H1612" s="41" t="s">
        <v>13537</v>
      </c>
      <c r="I1612" s="41" t="s">
        <v>13538</v>
      </c>
      <c r="J1612" s="41" t="s">
        <v>13539</v>
      </c>
      <c r="K1612" s="41" t="s">
        <v>13540</v>
      </c>
      <c r="L1612" s="41" t="s">
        <v>1076</v>
      </c>
    </row>
    <row r="1613" spans="1:19" x14ac:dyDescent="0.25">
      <c r="A1613" s="41" t="s">
        <v>23</v>
      </c>
      <c r="B1613" s="41" t="s">
        <v>13541</v>
      </c>
      <c r="D1613" s="41" t="s">
        <v>13542</v>
      </c>
      <c r="F1613" s="41" t="s">
        <v>13543</v>
      </c>
      <c r="G1613" s="41" t="s">
        <v>13544</v>
      </c>
      <c r="H1613" s="41" t="s">
        <v>13545</v>
      </c>
      <c r="I1613" s="41" t="s">
        <v>13546</v>
      </c>
      <c r="J1613" s="41" t="s">
        <v>13547</v>
      </c>
      <c r="K1613" s="41" t="s">
        <v>13548</v>
      </c>
      <c r="L1613" s="41" t="s">
        <v>1085</v>
      </c>
    </row>
    <row r="1614" spans="1:19" x14ac:dyDescent="0.25">
      <c r="A1614" s="41" t="s">
        <v>23</v>
      </c>
      <c r="B1614" s="41" t="s">
        <v>13549</v>
      </c>
      <c r="D1614" s="41" t="s">
        <v>13550</v>
      </c>
      <c r="F1614" s="41" t="s">
        <v>13551</v>
      </c>
      <c r="G1614" s="41" t="s">
        <v>13552</v>
      </c>
      <c r="H1614" s="41" t="s">
        <v>13553</v>
      </c>
      <c r="I1614" s="41" t="s">
        <v>13554</v>
      </c>
      <c r="J1614" s="41" t="s">
        <v>13555</v>
      </c>
      <c r="K1614" s="41" t="s">
        <v>13556</v>
      </c>
      <c r="L1614" s="41" t="s">
        <v>1094</v>
      </c>
    </row>
    <row r="1615" spans="1:19" x14ac:dyDescent="0.25">
      <c r="A1615" s="41" t="s">
        <v>908</v>
      </c>
      <c r="B1615" s="41" t="s">
        <v>13557</v>
      </c>
    </row>
    <row r="1616" spans="1:19" x14ac:dyDescent="0.25">
      <c r="A1616" s="41" t="s">
        <v>23</v>
      </c>
      <c r="B1616" s="41" t="s">
        <v>13558</v>
      </c>
      <c r="F1616" s="41" t="s">
        <v>13559</v>
      </c>
      <c r="G1616" s="41" t="s">
        <v>13560</v>
      </c>
      <c r="H1616" s="41" t="s">
        <v>13561</v>
      </c>
      <c r="I1616" s="41" t="s">
        <v>13562</v>
      </c>
      <c r="J1616" s="41" t="s">
        <v>13563</v>
      </c>
      <c r="L1616" s="41" t="s">
        <v>4</v>
      </c>
    </row>
    <row r="1617" spans="1:19" x14ac:dyDescent="0.25">
      <c r="A1617" s="41" t="s">
        <v>23</v>
      </c>
      <c r="B1617" s="41" t="s">
        <v>13564</v>
      </c>
      <c r="D1617" s="41" t="s">
        <v>13565</v>
      </c>
      <c r="E1617" s="41" t="s">
        <v>13566</v>
      </c>
      <c r="F1617" s="41" t="s">
        <v>13567</v>
      </c>
      <c r="G1617" s="41" t="s">
        <v>13568</v>
      </c>
      <c r="H1617" s="41" t="s">
        <v>13569</v>
      </c>
      <c r="I1617" s="41" t="s">
        <v>13570</v>
      </c>
      <c r="J1617" s="41" t="s">
        <v>13571</v>
      </c>
      <c r="K1617" s="41" t="s">
        <v>13572</v>
      </c>
      <c r="L1617" s="41" t="s">
        <v>13573</v>
      </c>
      <c r="M1617" s="41" t="s">
        <v>13574</v>
      </c>
      <c r="N1617" s="41" t="s">
        <v>13575</v>
      </c>
      <c r="O1617" s="41" t="s">
        <v>13576</v>
      </c>
      <c r="P1617" s="41" t="s">
        <v>13577</v>
      </c>
      <c r="Q1617" s="41" t="s">
        <v>13578</v>
      </c>
      <c r="R1617" s="41" t="s">
        <v>13579</v>
      </c>
      <c r="S1617" s="41" t="s">
        <v>13580</v>
      </c>
    </row>
    <row r="1618" spans="1:19" x14ac:dyDescent="0.25">
      <c r="A1618" s="41" t="s">
        <v>23</v>
      </c>
      <c r="B1618" s="41" t="s">
        <v>13581</v>
      </c>
      <c r="D1618" s="41" t="s">
        <v>13582</v>
      </c>
      <c r="F1618" s="41" t="s">
        <v>13583</v>
      </c>
      <c r="G1618" s="41" t="s">
        <v>13584</v>
      </c>
      <c r="H1618" s="41" t="s">
        <v>13585</v>
      </c>
      <c r="I1618" s="41" t="s">
        <v>13586</v>
      </c>
      <c r="J1618" s="41" t="s">
        <v>13587</v>
      </c>
      <c r="K1618" s="41" t="s">
        <v>13588</v>
      </c>
      <c r="L1618" s="41" t="s">
        <v>891</v>
      </c>
    </row>
    <row r="1619" spans="1:19" x14ac:dyDescent="0.25">
      <c r="A1619" s="41" t="s">
        <v>23</v>
      </c>
      <c r="B1619" s="41" t="s">
        <v>13589</v>
      </c>
      <c r="D1619" s="41" t="s">
        <v>13590</v>
      </c>
      <c r="F1619" s="41" t="s">
        <v>13591</v>
      </c>
      <c r="G1619" s="41" t="s">
        <v>13592</v>
      </c>
      <c r="H1619" s="41" t="s">
        <v>13593</v>
      </c>
      <c r="I1619" s="41" t="s">
        <v>13594</v>
      </c>
      <c r="J1619" s="41" t="s">
        <v>13595</v>
      </c>
      <c r="K1619" s="41" t="s">
        <v>13596</v>
      </c>
      <c r="L1619" s="41" t="s">
        <v>1076</v>
      </c>
    </row>
    <row r="1620" spans="1:19" x14ac:dyDescent="0.25">
      <c r="A1620" s="41" t="s">
        <v>23</v>
      </c>
      <c r="B1620" s="41" t="s">
        <v>13597</v>
      </c>
      <c r="D1620" s="41" t="s">
        <v>13598</v>
      </c>
      <c r="F1620" s="41" t="s">
        <v>13599</v>
      </c>
      <c r="G1620" s="41" t="s">
        <v>13600</v>
      </c>
      <c r="H1620" s="41" t="s">
        <v>13601</v>
      </c>
      <c r="I1620" s="41" t="s">
        <v>13602</v>
      </c>
      <c r="J1620" s="41" t="s">
        <v>13603</v>
      </c>
      <c r="K1620" s="41" t="s">
        <v>13604</v>
      </c>
      <c r="L1620" s="41" t="s">
        <v>1085</v>
      </c>
    </row>
    <row r="1621" spans="1:19" x14ac:dyDescent="0.25">
      <c r="A1621" s="41" t="s">
        <v>23</v>
      </c>
      <c r="B1621" s="41" t="s">
        <v>13605</v>
      </c>
      <c r="D1621" s="41" t="s">
        <v>13606</v>
      </c>
      <c r="F1621" s="41" t="s">
        <v>13607</v>
      </c>
      <c r="G1621" s="41" t="s">
        <v>13608</v>
      </c>
      <c r="H1621" s="41" t="s">
        <v>13609</v>
      </c>
      <c r="I1621" s="41" t="s">
        <v>13610</v>
      </c>
      <c r="J1621" s="41" t="s">
        <v>13611</v>
      </c>
      <c r="K1621" s="41" t="s">
        <v>13612</v>
      </c>
      <c r="L1621" s="41" t="s">
        <v>1094</v>
      </c>
    </row>
    <row r="1622" spans="1:19" x14ac:dyDescent="0.25">
      <c r="A1622" s="41" t="s">
        <v>908</v>
      </c>
      <c r="B1622" s="41" t="s">
        <v>13613</v>
      </c>
    </row>
    <row r="1623" spans="1:19" x14ac:dyDescent="0.25">
      <c r="A1623" s="41" t="s">
        <v>23</v>
      </c>
      <c r="B1623" s="41" t="s">
        <v>13614</v>
      </c>
      <c r="F1623" s="41" t="s">
        <v>13615</v>
      </c>
      <c r="G1623" s="41" t="s">
        <v>13616</v>
      </c>
      <c r="H1623" s="41" t="s">
        <v>13617</v>
      </c>
      <c r="I1623" s="41" t="s">
        <v>13618</v>
      </c>
      <c r="J1623" s="41" t="s">
        <v>13619</v>
      </c>
      <c r="L1623" s="41" t="s">
        <v>4</v>
      </c>
    </row>
    <row r="1624" spans="1:19" x14ac:dyDescent="0.25">
      <c r="A1624" s="41" t="s">
        <v>23</v>
      </c>
      <c r="B1624" s="41" t="s">
        <v>13620</v>
      </c>
      <c r="D1624" s="41" t="s">
        <v>13621</v>
      </c>
      <c r="E1624" s="41" t="s">
        <v>13622</v>
      </c>
      <c r="F1624" s="41" t="s">
        <v>13623</v>
      </c>
      <c r="G1624" s="41" t="s">
        <v>13624</v>
      </c>
      <c r="H1624" s="41" t="s">
        <v>13625</v>
      </c>
      <c r="I1624" s="41" t="s">
        <v>13626</v>
      </c>
      <c r="J1624" s="41" t="s">
        <v>13627</v>
      </c>
      <c r="K1624" s="41" t="s">
        <v>13628</v>
      </c>
      <c r="L1624" s="41" t="s">
        <v>13629</v>
      </c>
      <c r="M1624" s="41" t="s">
        <v>13630</v>
      </c>
      <c r="N1624" s="41" t="s">
        <v>13631</v>
      </c>
      <c r="O1624" s="41" t="s">
        <v>13632</v>
      </c>
      <c r="P1624" s="41" t="s">
        <v>13633</v>
      </c>
      <c r="Q1624" s="41" t="s">
        <v>13634</v>
      </c>
      <c r="R1624" s="41" t="s">
        <v>13635</v>
      </c>
      <c r="S1624" s="41" t="s">
        <v>13636</v>
      </c>
    </row>
    <row r="1625" spans="1:19" x14ac:dyDescent="0.25">
      <c r="A1625" s="41" t="s">
        <v>23</v>
      </c>
      <c r="B1625" s="41" t="s">
        <v>13637</v>
      </c>
      <c r="D1625" s="41" t="s">
        <v>13638</v>
      </c>
      <c r="F1625" s="41" t="s">
        <v>13639</v>
      </c>
      <c r="G1625" s="41" t="s">
        <v>13640</v>
      </c>
      <c r="H1625" s="41" t="s">
        <v>13641</v>
      </c>
      <c r="I1625" s="41" t="s">
        <v>13642</v>
      </c>
      <c r="J1625" s="41" t="s">
        <v>13643</v>
      </c>
      <c r="K1625" s="41" t="s">
        <v>13644</v>
      </c>
      <c r="L1625" s="41" t="s">
        <v>891</v>
      </c>
    </row>
    <row r="1626" spans="1:19" x14ac:dyDescent="0.25">
      <c r="A1626" s="41" t="s">
        <v>23</v>
      </c>
      <c r="B1626" s="41" t="s">
        <v>13645</v>
      </c>
      <c r="D1626" s="41" t="s">
        <v>13646</v>
      </c>
      <c r="F1626" s="41" t="s">
        <v>13647</v>
      </c>
      <c r="G1626" s="41" t="s">
        <v>13648</v>
      </c>
      <c r="H1626" s="41" t="s">
        <v>13649</v>
      </c>
      <c r="I1626" s="41" t="s">
        <v>13650</v>
      </c>
      <c r="J1626" s="41" t="s">
        <v>13651</v>
      </c>
      <c r="K1626" s="41" t="s">
        <v>13652</v>
      </c>
      <c r="L1626" s="41" t="s">
        <v>1076</v>
      </c>
    </row>
    <row r="1627" spans="1:19" x14ac:dyDescent="0.25">
      <c r="A1627" s="41" t="s">
        <v>23</v>
      </c>
      <c r="B1627" s="41" t="s">
        <v>13653</v>
      </c>
      <c r="D1627" s="41" t="s">
        <v>13654</v>
      </c>
      <c r="F1627" s="41" t="s">
        <v>13655</v>
      </c>
      <c r="G1627" s="41" t="s">
        <v>13656</v>
      </c>
      <c r="H1627" s="41" t="s">
        <v>13657</v>
      </c>
      <c r="I1627" s="41" t="s">
        <v>13658</v>
      </c>
      <c r="J1627" s="41" t="s">
        <v>13659</v>
      </c>
      <c r="K1627" s="41" t="s">
        <v>13660</v>
      </c>
      <c r="L1627" s="41" t="s">
        <v>1085</v>
      </c>
    </row>
    <row r="1628" spans="1:19" x14ac:dyDescent="0.25">
      <c r="A1628" s="41" t="s">
        <v>23</v>
      </c>
      <c r="B1628" s="41" t="s">
        <v>13661</v>
      </c>
      <c r="D1628" s="41" t="s">
        <v>13662</v>
      </c>
      <c r="F1628" s="41" t="s">
        <v>13663</v>
      </c>
      <c r="G1628" s="41" t="s">
        <v>13664</v>
      </c>
      <c r="H1628" s="41" t="s">
        <v>13665</v>
      </c>
      <c r="I1628" s="41" t="s">
        <v>13666</v>
      </c>
      <c r="J1628" s="41" t="s">
        <v>13667</v>
      </c>
      <c r="K1628" s="41" t="s">
        <v>13668</v>
      </c>
      <c r="L1628" s="41" t="s">
        <v>1094</v>
      </c>
    </row>
    <row r="1629" spans="1:19" x14ac:dyDescent="0.25">
      <c r="A1629" s="41" t="s">
        <v>908</v>
      </c>
      <c r="B1629" s="41" t="s">
        <v>13669</v>
      </c>
    </row>
    <row r="1630" spans="1:19" x14ac:dyDescent="0.25">
      <c r="A1630" s="41" t="s">
        <v>23</v>
      </c>
      <c r="B1630" s="41" t="s">
        <v>13670</v>
      </c>
      <c r="F1630" s="41" t="s">
        <v>13671</v>
      </c>
      <c r="G1630" s="41" t="s">
        <v>13672</v>
      </c>
      <c r="H1630" s="41" t="s">
        <v>13673</v>
      </c>
      <c r="I1630" s="41" t="s">
        <v>13674</v>
      </c>
      <c r="J1630" s="41" t="s">
        <v>13675</v>
      </c>
      <c r="L1630" s="41" t="s">
        <v>4</v>
      </c>
    </row>
    <row r="1631" spans="1:19" x14ac:dyDescent="0.25">
      <c r="A1631" s="41" t="s">
        <v>23</v>
      </c>
      <c r="B1631" s="41" t="s">
        <v>13676</v>
      </c>
      <c r="D1631" s="41" t="s">
        <v>13677</v>
      </c>
      <c r="E1631" s="41" t="s">
        <v>13678</v>
      </c>
      <c r="F1631" s="41" t="s">
        <v>13679</v>
      </c>
      <c r="G1631" s="41" t="s">
        <v>13680</v>
      </c>
      <c r="H1631" s="41" t="s">
        <v>13681</v>
      </c>
      <c r="I1631" s="41" t="s">
        <v>13682</v>
      </c>
      <c r="J1631" s="41" t="s">
        <v>13683</v>
      </c>
      <c r="K1631" s="41" t="s">
        <v>13684</v>
      </c>
      <c r="L1631" s="41" t="s">
        <v>13685</v>
      </c>
      <c r="M1631" s="41" t="s">
        <v>13686</v>
      </c>
      <c r="N1631" s="41" t="s">
        <v>13687</v>
      </c>
      <c r="O1631" s="41" t="s">
        <v>13688</v>
      </c>
      <c r="P1631" s="41" t="s">
        <v>13689</v>
      </c>
      <c r="Q1631" s="41" t="s">
        <v>13690</v>
      </c>
      <c r="R1631" s="41" t="s">
        <v>13691</v>
      </c>
      <c r="S1631" s="41" t="s">
        <v>13692</v>
      </c>
    </row>
    <row r="1632" spans="1:19" x14ac:dyDescent="0.25">
      <c r="A1632" s="41" t="s">
        <v>23</v>
      </c>
      <c r="B1632" s="41" t="s">
        <v>13693</v>
      </c>
      <c r="D1632" s="41" t="s">
        <v>13694</v>
      </c>
      <c r="F1632" s="41" t="s">
        <v>13695</v>
      </c>
      <c r="G1632" s="41" t="s">
        <v>13696</v>
      </c>
      <c r="H1632" s="41" t="s">
        <v>13697</v>
      </c>
      <c r="I1632" s="41" t="s">
        <v>13698</v>
      </c>
      <c r="J1632" s="41" t="s">
        <v>13699</v>
      </c>
      <c r="K1632" s="41" t="s">
        <v>13700</v>
      </c>
      <c r="L1632" s="41" t="s">
        <v>891</v>
      </c>
    </row>
    <row r="1633" spans="1:19" x14ac:dyDescent="0.25">
      <c r="A1633" s="41" t="s">
        <v>23</v>
      </c>
      <c r="B1633" s="41" t="s">
        <v>13701</v>
      </c>
      <c r="D1633" s="41" t="s">
        <v>13702</v>
      </c>
      <c r="F1633" s="41" t="s">
        <v>13703</v>
      </c>
      <c r="G1633" s="41" t="s">
        <v>13704</v>
      </c>
      <c r="H1633" s="41" t="s">
        <v>13705</v>
      </c>
      <c r="I1633" s="41" t="s">
        <v>13706</v>
      </c>
      <c r="J1633" s="41" t="s">
        <v>13707</v>
      </c>
      <c r="K1633" s="41" t="s">
        <v>13708</v>
      </c>
      <c r="L1633" s="41" t="s">
        <v>1076</v>
      </c>
    </row>
    <row r="1634" spans="1:19" x14ac:dyDescent="0.25">
      <c r="A1634" s="41" t="s">
        <v>23</v>
      </c>
      <c r="B1634" s="41" t="s">
        <v>13709</v>
      </c>
      <c r="D1634" s="41" t="s">
        <v>13710</v>
      </c>
      <c r="F1634" s="41" t="s">
        <v>13711</v>
      </c>
      <c r="G1634" s="41" t="s">
        <v>13712</v>
      </c>
      <c r="H1634" s="41" t="s">
        <v>13713</v>
      </c>
      <c r="I1634" s="41" t="s">
        <v>13714</v>
      </c>
      <c r="J1634" s="41" t="s">
        <v>13715</v>
      </c>
      <c r="K1634" s="41" t="s">
        <v>13716</v>
      </c>
      <c r="L1634" s="41" t="s">
        <v>1085</v>
      </c>
    </row>
    <row r="1635" spans="1:19" x14ac:dyDescent="0.25">
      <c r="A1635" s="41" t="s">
        <v>23</v>
      </c>
      <c r="B1635" s="41" t="s">
        <v>13717</v>
      </c>
      <c r="D1635" s="41" t="s">
        <v>13718</v>
      </c>
      <c r="F1635" s="41" t="s">
        <v>13719</v>
      </c>
      <c r="G1635" s="41" t="s">
        <v>13720</v>
      </c>
      <c r="H1635" s="41" t="s">
        <v>13721</v>
      </c>
      <c r="I1635" s="41" t="s">
        <v>13722</v>
      </c>
      <c r="J1635" s="41" t="s">
        <v>13723</v>
      </c>
      <c r="K1635" s="41" t="s">
        <v>13724</v>
      </c>
      <c r="L1635" s="41" t="s">
        <v>1094</v>
      </c>
    </row>
    <row r="1636" spans="1:19" x14ac:dyDescent="0.25">
      <c r="A1636" s="41" t="s">
        <v>908</v>
      </c>
      <c r="B1636" s="41" t="s">
        <v>13725</v>
      </c>
    </row>
    <row r="1637" spans="1:19" x14ac:dyDescent="0.25">
      <c r="A1637" s="41" t="s">
        <v>23</v>
      </c>
      <c r="B1637" s="41" t="s">
        <v>13726</v>
      </c>
      <c r="F1637" s="41" t="s">
        <v>13727</v>
      </c>
      <c r="G1637" s="41" t="s">
        <v>13728</v>
      </c>
      <c r="H1637" s="41" t="s">
        <v>13729</v>
      </c>
      <c r="I1637" s="41" t="s">
        <v>13730</v>
      </c>
      <c r="J1637" s="41" t="s">
        <v>13731</v>
      </c>
      <c r="L1637" s="41" t="s">
        <v>4</v>
      </c>
    </row>
    <row r="1638" spans="1:19" x14ac:dyDescent="0.25">
      <c r="A1638" s="41" t="s">
        <v>23</v>
      </c>
      <c r="B1638" s="41" t="s">
        <v>13732</v>
      </c>
      <c r="D1638" s="41" t="s">
        <v>13733</v>
      </c>
      <c r="E1638" s="41" t="s">
        <v>13734</v>
      </c>
      <c r="F1638" s="41" t="s">
        <v>13735</v>
      </c>
      <c r="G1638" s="41" t="s">
        <v>13736</v>
      </c>
      <c r="H1638" s="41" t="s">
        <v>13737</v>
      </c>
      <c r="I1638" s="41" t="s">
        <v>13738</v>
      </c>
      <c r="J1638" s="41" t="s">
        <v>13739</v>
      </c>
      <c r="K1638" s="41" t="s">
        <v>13740</v>
      </c>
      <c r="L1638" s="41" t="s">
        <v>13741</v>
      </c>
      <c r="M1638" s="41" t="s">
        <v>13742</v>
      </c>
      <c r="N1638" s="41" t="s">
        <v>13743</v>
      </c>
      <c r="O1638" s="41" t="s">
        <v>13744</v>
      </c>
      <c r="P1638" s="41" t="s">
        <v>13745</v>
      </c>
      <c r="Q1638" s="41" t="s">
        <v>13746</v>
      </c>
      <c r="R1638" s="41" t="s">
        <v>13747</v>
      </c>
      <c r="S1638" s="41" t="s">
        <v>13748</v>
      </c>
    </row>
    <row r="1639" spans="1:19" x14ac:dyDescent="0.25">
      <c r="A1639" s="41" t="s">
        <v>23</v>
      </c>
      <c r="B1639" s="41" t="s">
        <v>13749</v>
      </c>
      <c r="D1639" s="41" t="s">
        <v>13750</v>
      </c>
      <c r="F1639" s="41" t="s">
        <v>13751</v>
      </c>
      <c r="G1639" s="41" t="s">
        <v>13752</v>
      </c>
      <c r="H1639" s="41" t="s">
        <v>13753</v>
      </c>
      <c r="I1639" s="41" t="s">
        <v>13754</v>
      </c>
      <c r="J1639" s="41" t="s">
        <v>13755</v>
      </c>
      <c r="K1639" s="41" t="s">
        <v>13756</v>
      </c>
      <c r="L1639" s="41" t="s">
        <v>891</v>
      </c>
    </row>
    <row r="1640" spans="1:19" x14ac:dyDescent="0.25">
      <c r="A1640" s="41" t="s">
        <v>23</v>
      </c>
      <c r="B1640" s="41" t="s">
        <v>13757</v>
      </c>
      <c r="D1640" s="41" t="s">
        <v>13758</v>
      </c>
      <c r="F1640" s="41" t="s">
        <v>13759</v>
      </c>
      <c r="G1640" s="41" t="s">
        <v>13760</v>
      </c>
      <c r="H1640" s="41" t="s">
        <v>13761</v>
      </c>
      <c r="I1640" s="41" t="s">
        <v>13762</v>
      </c>
      <c r="J1640" s="41" t="s">
        <v>13763</v>
      </c>
      <c r="K1640" s="41" t="s">
        <v>13764</v>
      </c>
      <c r="L1640" s="41" t="s">
        <v>1076</v>
      </c>
    </row>
    <row r="1641" spans="1:19" x14ac:dyDescent="0.25">
      <c r="A1641" s="41" t="s">
        <v>23</v>
      </c>
      <c r="B1641" s="41" t="s">
        <v>13765</v>
      </c>
      <c r="D1641" s="41" t="s">
        <v>13766</v>
      </c>
      <c r="F1641" s="41" t="s">
        <v>13767</v>
      </c>
      <c r="G1641" s="41" t="s">
        <v>13768</v>
      </c>
      <c r="H1641" s="41" t="s">
        <v>13769</v>
      </c>
      <c r="I1641" s="41" t="s">
        <v>13770</v>
      </c>
      <c r="J1641" s="41" t="s">
        <v>13771</v>
      </c>
      <c r="K1641" s="41" t="s">
        <v>13772</v>
      </c>
      <c r="L1641" s="41" t="s">
        <v>1085</v>
      </c>
    </row>
    <row r="1642" spans="1:19" x14ac:dyDescent="0.25">
      <c r="A1642" s="41" t="s">
        <v>23</v>
      </c>
      <c r="B1642" s="41" t="s">
        <v>13773</v>
      </c>
      <c r="D1642" s="41" t="s">
        <v>13774</v>
      </c>
      <c r="F1642" s="41" t="s">
        <v>13775</v>
      </c>
      <c r="G1642" s="41" t="s">
        <v>13776</v>
      </c>
      <c r="H1642" s="41" t="s">
        <v>13777</v>
      </c>
      <c r="I1642" s="41" t="s">
        <v>13778</v>
      </c>
      <c r="J1642" s="41" t="s">
        <v>13779</v>
      </c>
      <c r="K1642" s="41" t="s">
        <v>13780</v>
      </c>
      <c r="L1642" s="41" t="s">
        <v>1094</v>
      </c>
    </row>
    <row r="1643" spans="1:19" x14ac:dyDescent="0.25">
      <c r="A1643" s="41" t="s">
        <v>908</v>
      </c>
      <c r="B1643" s="41" t="s">
        <v>13781</v>
      </c>
    </row>
    <row r="1644" spans="1:19" x14ac:dyDescent="0.25">
      <c r="A1644" s="41" t="s">
        <v>23</v>
      </c>
      <c r="B1644" s="41" t="s">
        <v>13782</v>
      </c>
      <c r="F1644" s="41" t="s">
        <v>13783</v>
      </c>
      <c r="G1644" s="41" t="s">
        <v>13784</v>
      </c>
      <c r="H1644" s="41" t="s">
        <v>13785</v>
      </c>
      <c r="I1644" s="41" t="s">
        <v>13786</v>
      </c>
      <c r="J1644" s="41" t="s">
        <v>13787</v>
      </c>
      <c r="L1644" s="41" t="s">
        <v>4</v>
      </c>
    </row>
    <row r="1645" spans="1:19" x14ac:dyDescent="0.25">
      <c r="A1645" s="41" t="s">
        <v>23</v>
      </c>
      <c r="B1645" s="41" t="s">
        <v>13788</v>
      </c>
      <c r="D1645" s="41" t="s">
        <v>13789</v>
      </c>
      <c r="E1645" s="41" t="s">
        <v>13790</v>
      </c>
      <c r="F1645" s="41" t="s">
        <v>13791</v>
      </c>
      <c r="G1645" s="41" t="s">
        <v>13792</v>
      </c>
      <c r="H1645" s="41" t="s">
        <v>13793</v>
      </c>
      <c r="I1645" s="41" t="s">
        <v>13794</v>
      </c>
      <c r="J1645" s="41" t="s">
        <v>13795</v>
      </c>
      <c r="K1645" s="41" t="s">
        <v>13796</v>
      </c>
      <c r="L1645" s="41" t="s">
        <v>13797</v>
      </c>
      <c r="M1645" s="41" t="s">
        <v>13798</v>
      </c>
      <c r="N1645" s="41" t="s">
        <v>13799</v>
      </c>
      <c r="O1645" s="41" t="s">
        <v>13800</v>
      </c>
      <c r="P1645" s="41" t="s">
        <v>13801</v>
      </c>
      <c r="Q1645" s="41" t="s">
        <v>13802</v>
      </c>
      <c r="R1645" s="41" t="s">
        <v>13803</v>
      </c>
      <c r="S1645" s="41" t="s">
        <v>13804</v>
      </c>
    </row>
    <row r="1646" spans="1:19" x14ac:dyDescent="0.25">
      <c r="A1646" s="41" t="s">
        <v>23</v>
      </c>
      <c r="B1646" s="41" t="s">
        <v>13805</v>
      </c>
      <c r="D1646" s="41" t="s">
        <v>13806</v>
      </c>
      <c r="F1646" s="41" t="s">
        <v>13807</v>
      </c>
      <c r="G1646" s="41" t="s">
        <v>13808</v>
      </c>
      <c r="H1646" s="41" t="s">
        <v>13809</v>
      </c>
      <c r="I1646" s="41" t="s">
        <v>13810</v>
      </c>
      <c r="J1646" s="41" t="s">
        <v>13811</v>
      </c>
      <c r="K1646" s="41" t="s">
        <v>13812</v>
      </c>
      <c r="L1646" s="41" t="s">
        <v>891</v>
      </c>
    </row>
    <row r="1647" spans="1:19" x14ac:dyDescent="0.25">
      <c r="A1647" s="41" t="s">
        <v>23</v>
      </c>
      <c r="B1647" s="41" t="s">
        <v>13813</v>
      </c>
      <c r="D1647" s="41" t="s">
        <v>13814</v>
      </c>
      <c r="F1647" s="41" t="s">
        <v>13815</v>
      </c>
      <c r="G1647" s="41" t="s">
        <v>13816</v>
      </c>
      <c r="H1647" s="41" t="s">
        <v>13817</v>
      </c>
      <c r="I1647" s="41" t="s">
        <v>13818</v>
      </c>
      <c r="J1647" s="41" t="s">
        <v>13819</v>
      </c>
      <c r="K1647" s="41" t="s">
        <v>13820</v>
      </c>
      <c r="L1647" s="41" t="s">
        <v>1076</v>
      </c>
    </row>
    <row r="1648" spans="1:19" x14ac:dyDescent="0.25">
      <c r="A1648" s="41" t="s">
        <v>23</v>
      </c>
      <c r="B1648" s="41" t="s">
        <v>13821</v>
      </c>
      <c r="D1648" s="41" t="s">
        <v>13822</v>
      </c>
      <c r="F1648" s="41" t="s">
        <v>13823</v>
      </c>
      <c r="G1648" s="41" t="s">
        <v>13824</v>
      </c>
      <c r="H1648" s="41" t="s">
        <v>13825</v>
      </c>
      <c r="I1648" s="41" t="s">
        <v>13826</v>
      </c>
      <c r="J1648" s="41" t="s">
        <v>13827</v>
      </c>
      <c r="K1648" s="41" t="s">
        <v>13828</v>
      </c>
      <c r="L1648" s="41" t="s">
        <v>1085</v>
      </c>
    </row>
    <row r="1649" spans="1:19" x14ac:dyDescent="0.25">
      <c r="A1649" s="41" t="s">
        <v>23</v>
      </c>
      <c r="B1649" s="41" t="s">
        <v>13829</v>
      </c>
      <c r="D1649" s="41" t="s">
        <v>13830</v>
      </c>
      <c r="F1649" s="41" t="s">
        <v>13831</v>
      </c>
      <c r="G1649" s="41" t="s">
        <v>13832</v>
      </c>
      <c r="H1649" s="41" t="s">
        <v>13833</v>
      </c>
      <c r="I1649" s="41" t="s">
        <v>13834</v>
      </c>
      <c r="J1649" s="41" t="s">
        <v>13835</v>
      </c>
      <c r="K1649" s="41" t="s">
        <v>13836</v>
      </c>
      <c r="L1649" s="41" t="s">
        <v>1094</v>
      </c>
    </row>
    <row r="1650" spans="1:19" x14ac:dyDescent="0.25">
      <c r="A1650" s="41" t="s">
        <v>908</v>
      </c>
      <c r="B1650" s="41" t="s">
        <v>13837</v>
      </c>
    </row>
    <row r="1651" spans="1:19" x14ac:dyDescent="0.25">
      <c r="A1651" s="41" t="s">
        <v>23</v>
      </c>
      <c r="B1651" s="41" t="s">
        <v>13838</v>
      </c>
      <c r="F1651" s="41" t="s">
        <v>13839</v>
      </c>
      <c r="G1651" s="41" t="s">
        <v>13840</v>
      </c>
      <c r="H1651" s="41" t="s">
        <v>13841</v>
      </c>
      <c r="I1651" s="41" t="s">
        <v>13842</v>
      </c>
      <c r="J1651" s="41" t="s">
        <v>13843</v>
      </c>
      <c r="L1651" s="41" t="s">
        <v>4</v>
      </c>
    </row>
    <row r="1652" spans="1:19" x14ac:dyDescent="0.25">
      <c r="A1652" s="41" t="s">
        <v>23</v>
      </c>
      <c r="B1652" s="41" t="s">
        <v>13844</v>
      </c>
      <c r="D1652" s="41" t="s">
        <v>13845</v>
      </c>
      <c r="E1652" s="41" t="s">
        <v>13846</v>
      </c>
      <c r="F1652" s="41" t="s">
        <v>13847</v>
      </c>
      <c r="G1652" s="41" t="s">
        <v>13848</v>
      </c>
      <c r="H1652" s="41" t="s">
        <v>13849</v>
      </c>
      <c r="I1652" s="41" t="s">
        <v>13850</v>
      </c>
      <c r="J1652" s="41" t="s">
        <v>13851</v>
      </c>
      <c r="K1652" s="41" t="s">
        <v>13852</v>
      </c>
      <c r="L1652" s="41" t="s">
        <v>13853</v>
      </c>
      <c r="M1652" s="41" t="s">
        <v>13854</v>
      </c>
      <c r="N1652" s="41" t="s">
        <v>13855</v>
      </c>
      <c r="O1652" s="41" t="s">
        <v>13856</v>
      </c>
      <c r="P1652" s="41" t="s">
        <v>13857</v>
      </c>
      <c r="Q1652" s="41" t="s">
        <v>13858</v>
      </c>
      <c r="R1652" s="41" t="s">
        <v>13859</v>
      </c>
      <c r="S1652" s="41" t="s">
        <v>13860</v>
      </c>
    </row>
    <row r="1653" spans="1:19" x14ac:dyDescent="0.25">
      <c r="A1653" s="41" t="s">
        <v>23</v>
      </c>
      <c r="B1653" s="41" t="s">
        <v>13861</v>
      </c>
      <c r="D1653" s="41" t="s">
        <v>13862</v>
      </c>
      <c r="F1653" s="41" t="s">
        <v>13863</v>
      </c>
      <c r="G1653" s="41" t="s">
        <v>13864</v>
      </c>
      <c r="H1653" s="41" t="s">
        <v>13865</v>
      </c>
      <c r="I1653" s="41" t="s">
        <v>13866</v>
      </c>
      <c r="J1653" s="41" t="s">
        <v>13867</v>
      </c>
      <c r="K1653" s="41" t="s">
        <v>13868</v>
      </c>
      <c r="L1653" s="41" t="s">
        <v>891</v>
      </c>
    </row>
    <row r="1654" spans="1:19" x14ac:dyDescent="0.25">
      <c r="A1654" s="41" t="s">
        <v>23</v>
      </c>
      <c r="B1654" s="41" t="s">
        <v>13869</v>
      </c>
      <c r="D1654" s="41" t="s">
        <v>13870</v>
      </c>
      <c r="F1654" s="41" t="s">
        <v>13871</v>
      </c>
      <c r="G1654" s="41" t="s">
        <v>13872</v>
      </c>
      <c r="H1654" s="41" t="s">
        <v>13873</v>
      </c>
      <c r="I1654" s="41" t="s">
        <v>13874</v>
      </c>
      <c r="J1654" s="41" t="s">
        <v>13875</v>
      </c>
      <c r="K1654" s="41" t="s">
        <v>13876</v>
      </c>
      <c r="L1654" s="41" t="s">
        <v>1076</v>
      </c>
    </row>
    <row r="1655" spans="1:19" x14ac:dyDescent="0.25">
      <c r="A1655" s="41" t="s">
        <v>23</v>
      </c>
      <c r="B1655" s="41" t="s">
        <v>13877</v>
      </c>
      <c r="D1655" s="41" t="s">
        <v>13878</v>
      </c>
      <c r="F1655" s="41" t="s">
        <v>13879</v>
      </c>
      <c r="G1655" s="41" t="s">
        <v>13880</v>
      </c>
      <c r="H1655" s="41" t="s">
        <v>13881</v>
      </c>
      <c r="I1655" s="41" t="s">
        <v>13882</v>
      </c>
      <c r="J1655" s="41" t="s">
        <v>13883</v>
      </c>
      <c r="K1655" s="41" t="s">
        <v>13884</v>
      </c>
      <c r="L1655" s="41" t="s">
        <v>1085</v>
      </c>
    </row>
    <row r="1656" spans="1:19" x14ac:dyDescent="0.25">
      <c r="A1656" s="41" t="s">
        <v>23</v>
      </c>
      <c r="B1656" s="41" t="s">
        <v>13885</v>
      </c>
      <c r="D1656" s="41" t="s">
        <v>13886</v>
      </c>
      <c r="F1656" s="41" t="s">
        <v>13887</v>
      </c>
      <c r="G1656" s="41" t="s">
        <v>13888</v>
      </c>
      <c r="H1656" s="41" t="s">
        <v>13889</v>
      </c>
      <c r="I1656" s="41" t="s">
        <v>13890</v>
      </c>
      <c r="J1656" s="41" t="s">
        <v>13891</v>
      </c>
      <c r="K1656" s="41" t="s">
        <v>13892</v>
      </c>
      <c r="L1656" s="41" t="s">
        <v>1094</v>
      </c>
    </row>
    <row r="1657" spans="1:19" x14ac:dyDescent="0.25">
      <c r="A1657" s="41" t="s">
        <v>908</v>
      </c>
      <c r="B1657" s="41" t="s">
        <v>13893</v>
      </c>
    </row>
    <row r="1658" spans="1:19" x14ac:dyDescent="0.25">
      <c r="A1658" s="41" t="s">
        <v>23</v>
      </c>
      <c r="B1658" s="41" t="s">
        <v>13894</v>
      </c>
      <c r="F1658" s="41" t="s">
        <v>13895</v>
      </c>
      <c r="G1658" s="41" t="s">
        <v>13896</v>
      </c>
      <c r="H1658" s="41" t="s">
        <v>13897</v>
      </c>
      <c r="I1658" s="41" t="s">
        <v>13898</v>
      </c>
      <c r="J1658" s="41" t="s">
        <v>13899</v>
      </c>
      <c r="L1658" s="41" t="s">
        <v>4</v>
      </c>
    </row>
    <row r="1659" spans="1:19" x14ac:dyDescent="0.25">
      <c r="A1659" s="41" t="s">
        <v>23</v>
      </c>
      <c r="B1659" s="41" t="s">
        <v>13900</v>
      </c>
      <c r="D1659" s="41" t="s">
        <v>13901</v>
      </c>
      <c r="E1659" s="41" t="s">
        <v>13902</v>
      </c>
      <c r="F1659" s="41" t="s">
        <v>13903</v>
      </c>
      <c r="G1659" s="41" t="s">
        <v>13904</v>
      </c>
      <c r="H1659" s="41" t="s">
        <v>13905</v>
      </c>
      <c r="I1659" s="41" t="s">
        <v>13906</v>
      </c>
      <c r="J1659" s="41" t="s">
        <v>13907</v>
      </c>
      <c r="K1659" s="41" t="s">
        <v>13908</v>
      </c>
      <c r="L1659" s="41" t="s">
        <v>13909</v>
      </c>
      <c r="M1659" s="41" t="s">
        <v>13910</v>
      </c>
      <c r="N1659" s="41" t="s">
        <v>13911</v>
      </c>
      <c r="O1659" s="41" t="s">
        <v>13912</v>
      </c>
      <c r="P1659" s="41" t="s">
        <v>13913</v>
      </c>
      <c r="Q1659" s="41" t="s">
        <v>13914</v>
      </c>
      <c r="R1659" s="41" t="s">
        <v>13915</v>
      </c>
      <c r="S1659" s="41" t="s">
        <v>13916</v>
      </c>
    </row>
    <row r="1660" spans="1:19" x14ac:dyDescent="0.25">
      <c r="A1660" s="41" t="s">
        <v>23</v>
      </c>
      <c r="B1660" s="41" t="s">
        <v>13917</v>
      </c>
      <c r="D1660" s="41" t="s">
        <v>13918</v>
      </c>
      <c r="F1660" s="41" t="s">
        <v>13919</v>
      </c>
      <c r="G1660" s="41" t="s">
        <v>13920</v>
      </c>
      <c r="H1660" s="41" t="s">
        <v>13921</v>
      </c>
      <c r="I1660" s="41" t="s">
        <v>13922</v>
      </c>
      <c r="J1660" s="41" t="s">
        <v>13923</v>
      </c>
      <c r="K1660" s="41" t="s">
        <v>13924</v>
      </c>
      <c r="L1660" s="41" t="s">
        <v>891</v>
      </c>
    </row>
    <row r="1661" spans="1:19" x14ac:dyDescent="0.25">
      <c r="A1661" s="41" t="s">
        <v>23</v>
      </c>
      <c r="B1661" s="41" t="s">
        <v>13925</v>
      </c>
      <c r="D1661" s="41" t="s">
        <v>13926</v>
      </c>
      <c r="F1661" s="41" t="s">
        <v>13927</v>
      </c>
      <c r="G1661" s="41" t="s">
        <v>13928</v>
      </c>
      <c r="H1661" s="41" t="s">
        <v>13929</v>
      </c>
      <c r="I1661" s="41" t="s">
        <v>13930</v>
      </c>
      <c r="J1661" s="41" t="s">
        <v>13931</v>
      </c>
      <c r="K1661" s="41" t="s">
        <v>13932</v>
      </c>
      <c r="L1661" s="41" t="s">
        <v>1076</v>
      </c>
    </row>
    <row r="1662" spans="1:19" x14ac:dyDescent="0.25">
      <c r="A1662" s="41" t="s">
        <v>23</v>
      </c>
      <c r="B1662" s="41" t="s">
        <v>13933</v>
      </c>
      <c r="D1662" s="41" t="s">
        <v>13934</v>
      </c>
      <c r="F1662" s="41" t="s">
        <v>13935</v>
      </c>
      <c r="G1662" s="41" t="s">
        <v>13936</v>
      </c>
      <c r="H1662" s="41" t="s">
        <v>13937</v>
      </c>
      <c r="I1662" s="41" t="s">
        <v>13938</v>
      </c>
      <c r="J1662" s="41" t="s">
        <v>13939</v>
      </c>
      <c r="K1662" s="41" t="s">
        <v>13940</v>
      </c>
      <c r="L1662" s="41" t="s">
        <v>1085</v>
      </c>
    </row>
    <row r="1663" spans="1:19" x14ac:dyDescent="0.25">
      <c r="A1663" s="41" t="s">
        <v>23</v>
      </c>
      <c r="B1663" s="41" t="s">
        <v>13941</v>
      </c>
      <c r="D1663" s="41" t="s">
        <v>13942</v>
      </c>
      <c r="F1663" s="41" t="s">
        <v>13943</v>
      </c>
      <c r="G1663" s="41" t="s">
        <v>13944</v>
      </c>
      <c r="H1663" s="41" t="s">
        <v>13945</v>
      </c>
      <c r="I1663" s="41" t="s">
        <v>13946</v>
      </c>
      <c r="J1663" s="41" t="s">
        <v>13947</v>
      </c>
      <c r="K1663" s="41" t="s">
        <v>13948</v>
      </c>
      <c r="L1663" s="41" t="s">
        <v>1094</v>
      </c>
    </row>
    <row r="1664" spans="1:19" x14ac:dyDescent="0.25">
      <c r="A1664" s="41" t="s">
        <v>908</v>
      </c>
      <c r="B1664" s="41" t="s">
        <v>13949</v>
      </c>
    </row>
    <row r="1665" spans="1:19" x14ac:dyDescent="0.25">
      <c r="A1665" s="41" t="s">
        <v>23</v>
      </c>
      <c r="B1665" s="41" t="s">
        <v>13950</v>
      </c>
      <c r="F1665" s="41" t="s">
        <v>13951</v>
      </c>
      <c r="G1665" s="41" t="s">
        <v>13952</v>
      </c>
      <c r="H1665" s="41" t="s">
        <v>13953</v>
      </c>
      <c r="I1665" s="41" t="s">
        <v>13954</v>
      </c>
      <c r="J1665" s="41" t="s">
        <v>13955</v>
      </c>
      <c r="L1665" s="41" t="s">
        <v>4</v>
      </c>
    </row>
    <row r="1666" spans="1:19" x14ac:dyDescent="0.25">
      <c r="A1666" s="41" t="s">
        <v>23</v>
      </c>
      <c r="B1666" s="41" t="s">
        <v>13956</v>
      </c>
      <c r="D1666" s="41" t="s">
        <v>13957</v>
      </c>
      <c r="E1666" s="41" t="s">
        <v>13958</v>
      </c>
      <c r="F1666" s="41" t="s">
        <v>13959</v>
      </c>
      <c r="G1666" s="41" t="s">
        <v>13960</v>
      </c>
      <c r="H1666" s="41" t="s">
        <v>13961</v>
      </c>
      <c r="I1666" s="41" t="s">
        <v>13962</v>
      </c>
      <c r="J1666" s="41" t="s">
        <v>13963</v>
      </c>
      <c r="K1666" s="41" t="s">
        <v>13964</v>
      </c>
      <c r="L1666" s="41" t="s">
        <v>13965</v>
      </c>
      <c r="M1666" s="41" t="s">
        <v>13966</v>
      </c>
      <c r="N1666" s="41" t="s">
        <v>13967</v>
      </c>
      <c r="O1666" s="41" t="s">
        <v>13968</v>
      </c>
      <c r="P1666" s="41" t="s">
        <v>13969</v>
      </c>
      <c r="Q1666" s="41" t="s">
        <v>13970</v>
      </c>
      <c r="R1666" s="41" t="s">
        <v>13971</v>
      </c>
      <c r="S1666" s="41" t="s">
        <v>13972</v>
      </c>
    </row>
    <row r="1667" spans="1:19" x14ac:dyDescent="0.25">
      <c r="A1667" s="41" t="s">
        <v>23</v>
      </c>
      <c r="B1667" s="41" t="s">
        <v>13973</v>
      </c>
      <c r="D1667" s="41" t="s">
        <v>13974</v>
      </c>
      <c r="F1667" s="41" t="s">
        <v>13975</v>
      </c>
      <c r="G1667" s="41" t="s">
        <v>13976</v>
      </c>
      <c r="H1667" s="41" t="s">
        <v>13977</v>
      </c>
      <c r="I1667" s="41" t="s">
        <v>13978</v>
      </c>
      <c r="J1667" s="41" t="s">
        <v>13979</v>
      </c>
      <c r="K1667" s="41" t="s">
        <v>13980</v>
      </c>
      <c r="L1667" s="41" t="s">
        <v>891</v>
      </c>
    </row>
    <row r="1668" spans="1:19" x14ac:dyDescent="0.25">
      <c r="A1668" s="41" t="s">
        <v>23</v>
      </c>
      <c r="B1668" s="41" t="s">
        <v>13981</v>
      </c>
      <c r="D1668" s="41" t="s">
        <v>13982</v>
      </c>
      <c r="F1668" s="41" t="s">
        <v>13983</v>
      </c>
      <c r="G1668" s="41" t="s">
        <v>13984</v>
      </c>
      <c r="H1668" s="41" t="s">
        <v>13985</v>
      </c>
      <c r="I1668" s="41" t="s">
        <v>13986</v>
      </c>
      <c r="J1668" s="41" t="s">
        <v>13987</v>
      </c>
      <c r="K1668" s="41" t="s">
        <v>13988</v>
      </c>
      <c r="L1668" s="41" t="s">
        <v>1076</v>
      </c>
    </row>
    <row r="1669" spans="1:19" x14ac:dyDescent="0.25">
      <c r="A1669" s="41" t="s">
        <v>23</v>
      </c>
      <c r="B1669" s="41" t="s">
        <v>13989</v>
      </c>
      <c r="D1669" s="41" t="s">
        <v>13990</v>
      </c>
      <c r="F1669" s="41" t="s">
        <v>13991</v>
      </c>
      <c r="G1669" s="41" t="s">
        <v>13992</v>
      </c>
      <c r="H1669" s="41" t="s">
        <v>13993</v>
      </c>
      <c r="I1669" s="41" t="s">
        <v>13994</v>
      </c>
      <c r="J1669" s="41" t="s">
        <v>13995</v>
      </c>
      <c r="K1669" s="41" t="s">
        <v>13996</v>
      </c>
      <c r="L1669" s="41" t="s">
        <v>1085</v>
      </c>
    </row>
    <row r="1670" spans="1:19" x14ac:dyDescent="0.25">
      <c r="A1670" s="41" t="s">
        <v>23</v>
      </c>
      <c r="B1670" s="41" t="s">
        <v>13997</v>
      </c>
      <c r="D1670" s="41" t="s">
        <v>13998</v>
      </c>
      <c r="F1670" s="41" t="s">
        <v>13999</v>
      </c>
      <c r="G1670" s="41" t="s">
        <v>14000</v>
      </c>
      <c r="H1670" s="41" t="s">
        <v>14001</v>
      </c>
      <c r="I1670" s="41" t="s">
        <v>14002</v>
      </c>
      <c r="J1670" s="41" t="s">
        <v>14003</v>
      </c>
      <c r="K1670" s="41" t="s">
        <v>14004</v>
      </c>
      <c r="L1670" s="41" t="s">
        <v>1094</v>
      </c>
    </row>
    <row r="1671" spans="1:19" x14ac:dyDescent="0.25">
      <c r="A1671" s="41" t="s">
        <v>908</v>
      </c>
      <c r="B1671" s="41" t="s">
        <v>14005</v>
      </c>
    </row>
    <row r="1672" spans="1:19" x14ac:dyDescent="0.25">
      <c r="A1672" s="41" t="s">
        <v>23</v>
      </c>
      <c r="B1672" s="41" t="s">
        <v>14006</v>
      </c>
      <c r="F1672" s="41" t="s">
        <v>14007</v>
      </c>
      <c r="G1672" s="41" t="s">
        <v>14008</v>
      </c>
      <c r="H1672" s="41" t="s">
        <v>14009</v>
      </c>
      <c r="I1672" s="41" t="s">
        <v>14010</v>
      </c>
      <c r="J1672" s="41" t="s">
        <v>14011</v>
      </c>
      <c r="L1672" s="41" t="s">
        <v>4</v>
      </c>
    </row>
    <row r="1673" spans="1:19" x14ac:dyDescent="0.25">
      <c r="A1673" s="41" t="s">
        <v>23</v>
      </c>
      <c r="B1673" s="41" t="s">
        <v>14012</v>
      </c>
      <c r="D1673" s="41" t="s">
        <v>14013</v>
      </c>
      <c r="E1673" s="41" t="s">
        <v>14014</v>
      </c>
      <c r="F1673" s="41" t="s">
        <v>14015</v>
      </c>
      <c r="G1673" s="41" t="s">
        <v>14016</v>
      </c>
      <c r="H1673" s="41" t="s">
        <v>14017</v>
      </c>
      <c r="I1673" s="41" t="s">
        <v>14018</v>
      </c>
      <c r="J1673" s="41" t="s">
        <v>14019</v>
      </c>
      <c r="K1673" s="41" t="s">
        <v>14020</v>
      </c>
      <c r="L1673" s="41" t="s">
        <v>14021</v>
      </c>
      <c r="M1673" s="41" t="s">
        <v>14022</v>
      </c>
      <c r="N1673" s="41" t="s">
        <v>14023</v>
      </c>
      <c r="O1673" s="41" t="s">
        <v>14024</v>
      </c>
      <c r="P1673" s="41" t="s">
        <v>14025</v>
      </c>
      <c r="Q1673" s="41" t="s">
        <v>14026</v>
      </c>
      <c r="R1673" s="41" t="s">
        <v>14027</v>
      </c>
      <c r="S1673" s="41" t="s">
        <v>14028</v>
      </c>
    </row>
    <row r="1674" spans="1:19" x14ac:dyDescent="0.25">
      <c r="A1674" s="41" t="s">
        <v>23</v>
      </c>
      <c r="B1674" s="41" t="s">
        <v>14029</v>
      </c>
      <c r="D1674" s="41" t="s">
        <v>14030</v>
      </c>
      <c r="F1674" s="41" t="s">
        <v>14031</v>
      </c>
      <c r="G1674" s="41" t="s">
        <v>14032</v>
      </c>
      <c r="H1674" s="41" t="s">
        <v>14033</v>
      </c>
      <c r="I1674" s="41" t="s">
        <v>14034</v>
      </c>
      <c r="J1674" s="41" t="s">
        <v>14035</v>
      </c>
      <c r="K1674" s="41" t="s">
        <v>14036</v>
      </c>
      <c r="L1674" s="41" t="s">
        <v>891</v>
      </c>
    </row>
    <row r="1675" spans="1:19" x14ac:dyDescent="0.25">
      <c r="A1675" s="41" t="s">
        <v>23</v>
      </c>
      <c r="B1675" s="41" t="s">
        <v>14037</v>
      </c>
      <c r="D1675" s="41" t="s">
        <v>14038</v>
      </c>
      <c r="F1675" s="41" t="s">
        <v>14039</v>
      </c>
      <c r="G1675" s="41" t="s">
        <v>14040</v>
      </c>
      <c r="H1675" s="41" t="s">
        <v>14041</v>
      </c>
      <c r="I1675" s="41" t="s">
        <v>14042</v>
      </c>
      <c r="J1675" s="41" t="s">
        <v>14043</v>
      </c>
      <c r="K1675" s="41" t="s">
        <v>14044</v>
      </c>
      <c r="L1675" s="41" t="s">
        <v>1076</v>
      </c>
    </row>
    <row r="1676" spans="1:19" x14ac:dyDescent="0.25">
      <c r="A1676" s="41" t="s">
        <v>23</v>
      </c>
      <c r="B1676" s="41" t="s">
        <v>14045</v>
      </c>
      <c r="D1676" s="41" t="s">
        <v>14046</v>
      </c>
      <c r="F1676" s="41" t="s">
        <v>14047</v>
      </c>
      <c r="G1676" s="41" t="s">
        <v>14048</v>
      </c>
      <c r="H1676" s="41" t="s">
        <v>14049</v>
      </c>
      <c r="I1676" s="41" t="s">
        <v>14050</v>
      </c>
      <c r="J1676" s="41" t="s">
        <v>14051</v>
      </c>
      <c r="K1676" s="41" t="s">
        <v>14052</v>
      </c>
      <c r="L1676" s="41" t="s">
        <v>1085</v>
      </c>
    </row>
    <row r="1677" spans="1:19" x14ac:dyDescent="0.25">
      <c r="A1677" s="41" t="s">
        <v>23</v>
      </c>
      <c r="B1677" s="41" t="s">
        <v>14053</v>
      </c>
      <c r="D1677" s="41" t="s">
        <v>14054</v>
      </c>
      <c r="F1677" s="41" t="s">
        <v>14055</v>
      </c>
      <c r="G1677" s="41" t="s">
        <v>14056</v>
      </c>
      <c r="H1677" s="41" t="s">
        <v>14057</v>
      </c>
      <c r="I1677" s="41" t="s">
        <v>14058</v>
      </c>
      <c r="J1677" s="41" t="s">
        <v>14059</v>
      </c>
      <c r="K1677" s="41" t="s">
        <v>14060</v>
      </c>
      <c r="L1677" s="41" t="s">
        <v>1094</v>
      </c>
    </row>
    <row r="1678" spans="1:19" x14ac:dyDescent="0.25">
      <c r="A1678" s="41" t="s">
        <v>908</v>
      </c>
      <c r="B1678" s="41" t="s">
        <v>14061</v>
      </c>
    </row>
    <row r="1679" spans="1:19" x14ac:dyDescent="0.25">
      <c r="A1679" s="41" t="s">
        <v>23</v>
      </c>
      <c r="B1679" s="41" t="s">
        <v>14062</v>
      </c>
      <c r="F1679" s="41" t="s">
        <v>14063</v>
      </c>
      <c r="G1679" s="41" t="s">
        <v>14064</v>
      </c>
      <c r="H1679" s="41" t="s">
        <v>14065</v>
      </c>
      <c r="I1679" s="41" t="s">
        <v>14066</v>
      </c>
      <c r="J1679" s="41" t="s">
        <v>14067</v>
      </c>
      <c r="L1679" s="41" t="s">
        <v>4</v>
      </c>
    </row>
    <row r="1680" spans="1:19" x14ac:dyDescent="0.25">
      <c r="A1680" s="41" t="s">
        <v>23</v>
      </c>
      <c r="B1680" s="41" t="s">
        <v>14068</v>
      </c>
      <c r="D1680" s="41" t="s">
        <v>14069</v>
      </c>
      <c r="E1680" s="41" t="s">
        <v>14070</v>
      </c>
      <c r="F1680" s="41" t="s">
        <v>14071</v>
      </c>
      <c r="G1680" s="41" t="s">
        <v>14072</v>
      </c>
      <c r="H1680" s="41" t="s">
        <v>14073</v>
      </c>
      <c r="I1680" s="41" t="s">
        <v>14074</v>
      </c>
      <c r="J1680" s="41" t="s">
        <v>14075</v>
      </c>
      <c r="K1680" s="41" t="s">
        <v>14076</v>
      </c>
      <c r="L1680" s="41" t="s">
        <v>14077</v>
      </c>
      <c r="M1680" s="41" t="s">
        <v>14078</v>
      </c>
      <c r="N1680" s="41" t="s">
        <v>14079</v>
      </c>
      <c r="O1680" s="41" t="s">
        <v>14080</v>
      </c>
      <c r="P1680" s="41" t="s">
        <v>14081</v>
      </c>
      <c r="Q1680" s="41" t="s">
        <v>14082</v>
      </c>
      <c r="R1680" s="41" t="s">
        <v>14083</v>
      </c>
      <c r="S1680" s="41" t="s">
        <v>14084</v>
      </c>
    </row>
    <row r="1681" spans="1:19" x14ac:dyDescent="0.25">
      <c r="A1681" s="41" t="s">
        <v>23</v>
      </c>
      <c r="B1681" s="41" t="s">
        <v>14085</v>
      </c>
      <c r="D1681" s="41" t="s">
        <v>14086</v>
      </c>
      <c r="F1681" s="41" t="s">
        <v>14087</v>
      </c>
      <c r="G1681" s="41" t="s">
        <v>14088</v>
      </c>
      <c r="H1681" s="41" t="s">
        <v>14089</v>
      </c>
      <c r="I1681" s="41" t="s">
        <v>14090</v>
      </c>
      <c r="J1681" s="41" t="s">
        <v>14091</v>
      </c>
      <c r="K1681" s="41" t="s">
        <v>14092</v>
      </c>
      <c r="L1681" s="41" t="s">
        <v>891</v>
      </c>
    </row>
    <row r="1682" spans="1:19" x14ac:dyDescent="0.25">
      <c r="A1682" s="41" t="s">
        <v>23</v>
      </c>
      <c r="B1682" s="41" t="s">
        <v>14093</v>
      </c>
      <c r="D1682" s="41" t="s">
        <v>14094</v>
      </c>
      <c r="F1682" s="41" t="s">
        <v>14095</v>
      </c>
      <c r="G1682" s="41" t="s">
        <v>14096</v>
      </c>
      <c r="H1682" s="41" t="s">
        <v>14097</v>
      </c>
      <c r="I1682" s="41" t="s">
        <v>14098</v>
      </c>
      <c r="J1682" s="41" t="s">
        <v>14099</v>
      </c>
      <c r="K1682" s="41" t="s">
        <v>14100</v>
      </c>
      <c r="L1682" s="41" t="s">
        <v>1076</v>
      </c>
    </row>
    <row r="1683" spans="1:19" x14ac:dyDescent="0.25">
      <c r="A1683" s="41" t="s">
        <v>23</v>
      </c>
      <c r="B1683" s="41" t="s">
        <v>14101</v>
      </c>
      <c r="D1683" s="41" t="s">
        <v>14102</v>
      </c>
      <c r="F1683" s="41" t="s">
        <v>14103</v>
      </c>
      <c r="G1683" s="41" t="s">
        <v>14104</v>
      </c>
      <c r="H1683" s="41" t="s">
        <v>14105</v>
      </c>
      <c r="I1683" s="41" t="s">
        <v>14106</v>
      </c>
      <c r="J1683" s="41" t="s">
        <v>14107</v>
      </c>
      <c r="K1683" s="41" t="s">
        <v>14108</v>
      </c>
      <c r="L1683" s="41" t="s">
        <v>1085</v>
      </c>
    </row>
    <row r="1684" spans="1:19" x14ac:dyDescent="0.25">
      <c r="A1684" s="41" t="s">
        <v>23</v>
      </c>
      <c r="B1684" s="41" t="s">
        <v>14109</v>
      </c>
      <c r="D1684" s="41" t="s">
        <v>14110</v>
      </c>
      <c r="F1684" s="41" t="s">
        <v>14111</v>
      </c>
      <c r="G1684" s="41" t="s">
        <v>14112</v>
      </c>
      <c r="H1684" s="41" t="s">
        <v>14113</v>
      </c>
      <c r="I1684" s="41" t="s">
        <v>14114</v>
      </c>
      <c r="J1684" s="41" t="s">
        <v>14115</v>
      </c>
      <c r="K1684" s="41" t="s">
        <v>14116</v>
      </c>
      <c r="L1684" s="41" t="s">
        <v>1094</v>
      </c>
    </row>
    <row r="1685" spans="1:19" x14ac:dyDescent="0.25">
      <c r="A1685" s="41" t="s">
        <v>908</v>
      </c>
      <c r="B1685" s="41" t="s">
        <v>14117</v>
      </c>
    </row>
    <row r="1686" spans="1:19" x14ac:dyDescent="0.25">
      <c r="A1686" s="41" t="s">
        <v>23</v>
      </c>
      <c r="B1686" s="41" t="s">
        <v>14118</v>
      </c>
      <c r="F1686" s="41" t="s">
        <v>14119</v>
      </c>
      <c r="G1686" s="41" t="s">
        <v>14120</v>
      </c>
      <c r="H1686" s="41" t="s">
        <v>14121</v>
      </c>
      <c r="I1686" s="41" t="s">
        <v>14122</v>
      </c>
      <c r="J1686" s="41" t="s">
        <v>14123</v>
      </c>
      <c r="L1686" s="41" t="s">
        <v>4</v>
      </c>
    </row>
    <row r="1687" spans="1:19" x14ac:dyDescent="0.25">
      <c r="A1687" s="41" t="s">
        <v>23</v>
      </c>
      <c r="B1687" s="41" t="s">
        <v>14124</v>
      </c>
      <c r="D1687" s="41" t="s">
        <v>14125</v>
      </c>
      <c r="E1687" s="41" t="s">
        <v>14126</v>
      </c>
      <c r="F1687" s="41" t="s">
        <v>14127</v>
      </c>
      <c r="G1687" s="41" t="s">
        <v>14128</v>
      </c>
      <c r="H1687" s="41" t="s">
        <v>14129</v>
      </c>
      <c r="I1687" s="41" t="s">
        <v>14130</v>
      </c>
      <c r="J1687" s="41" t="s">
        <v>14131</v>
      </c>
      <c r="K1687" s="41" t="s">
        <v>14132</v>
      </c>
      <c r="L1687" s="41" t="s">
        <v>14133</v>
      </c>
      <c r="M1687" s="41" t="s">
        <v>14134</v>
      </c>
      <c r="N1687" s="41" t="s">
        <v>14135</v>
      </c>
      <c r="O1687" s="41" t="s">
        <v>14136</v>
      </c>
      <c r="P1687" s="41" t="s">
        <v>14137</v>
      </c>
      <c r="Q1687" s="41" t="s">
        <v>14138</v>
      </c>
      <c r="R1687" s="41" t="s">
        <v>14139</v>
      </c>
      <c r="S1687" s="41" t="s">
        <v>14140</v>
      </c>
    </row>
    <row r="1688" spans="1:19" x14ac:dyDescent="0.25">
      <c r="A1688" s="41" t="s">
        <v>23</v>
      </c>
      <c r="B1688" s="41" t="s">
        <v>14141</v>
      </c>
      <c r="D1688" s="41" t="s">
        <v>14142</v>
      </c>
      <c r="F1688" s="41" t="s">
        <v>14143</v>
      </c>
      <c r="G1688" s="41" t="s">
        <v>14144</v>
      </c>
      <c r="H1688" s="41" t="s">
        <v>14145</v>
      </c>
      <c r="I1688" s="41" t="s">
        <v>14146</v>
      </c>
      <c r="J1688" s="41" t="s">
        <v>14147</v>
      </c>
      <c r="K1688" s="41" t="s">
        <v>14148</v>
      </c>
      <c r="L1688" s="41" t="s">
        <v>891</v>
      </c>
    </row>
    <row r="1689" spans="1:19" x14ac:dyDescent="0.25">
      <c r="A1689" s="41" t="s">
        <v>23</v>
      </c>
      <c r="B1689" s="41" t="s">
        <v>14149</v>
      </c>
      <c r="D1689" s="41" t="s">
        <v>14150</v>
      </c>
      <c r="F1689" s="41" t="s">
        <v>14151</v>
      </c>
      <c r="G1689" s="41" t="s">
        <v>14152</v>
      </c>
      <c r="H1689" s="41" t="s">
        <v>14153</v>
      </c>
      <c r="I1689" s="41" t="s">
        <v>14154</v>
      </c>
      <c r="J1689" s="41" t="s">
        <v>14155</v>
      </c>
      <c r="K1689" s="41" t="s">
        <v>14156</v>
      </c>
      <c r="L1689" s="41" t="s">
        <v>1076</v>
      </c>
    </row>
    <row r="1690" spans="1:19" x14ac:dyDescent="0.25">
      <c r="A1690" s="41" t="s">
        <v>23</v>
      </c>
      <c r="B1690" s="41" t="s">
        <v>14157</v>
      </c>
      <c r="D1690" s="41" t="s">
        <v>14158</v>
      </c>
      <c r="F1690" s="41" t="s">
        <v>14159</v>
      </c>
      <c r="G1690" s="41" t="s">
        <v>14160</v>
      </c>
      <c r="H1690" s="41" t="s">
        <v>14161</v>
      </c>
      <c r="I1690" s="41" t="s">
        <v>14162</v>
      </c>
      <c r="J1690" s="41" t="s">
        <v>14163</v>
      </c>
      <c r="K1690" s="41" t="s">
        <v>14164</v>
      </c>
      <c r="L1690" s="41" t="s">
        <v>1085</v>
      </c>
    </row>
    <row r="1691" spans="1:19" x14ac:dyDescent="0.25">
      <c r="A1691" s="41" t="s">
        <v>23</v>
      </c>
      <c r="B1691" s="41" t="s">
        <v>14165</v>
      </c>
      <c r="D1691" s="41" t="s">
        <v>14166</v>
      </c>
      <c r="F1691" s="41" t="s">
        <v>14167</v>
      </c>
      <c r="G1691" s="41" t="s">
        <v>14168</v>
      </c>
      <c r="H1691" s="41" t="s">
        <v>14169</v>
      </c>
      <c r="I1691" s="41" t="s">
        <v>14170</v>
      </c>
      <c r="J1691" s="41" t="s">
        <v>14171</v>
      </c>
      <c r="K1691" s="41" t="s">
        <v>14172</v>
      </c>
      <c r="L1691" s="41" t="s">
        <v>1094</v>
      </c>
    </row>
    <row r="1692" spans="1:19" x14ac:dyDescent="0.25">
      <c r="A1692" s="41" t="s">
        <v>908</v>
      </c>
      <c r="B1692" s="41" t="s">
        <v>14173</v>
      </c>
    </row>
    <row r="1693" spans="1:19" x14ac:dyDescent="0.25">
      <c r="A1693" s="41" t="s">
        <v>23</v>
      </c>
      <c r="B1693" s="41" t="s">
        <v>14174</v>
      </c>
      <c r="F1693" s="41" t="s">
        <v>14175</v>
      </c>
      <c r="G1693" s="41" t="s">
        <v>14176</v>
      </c>
      <c r="H1693" s="41" t="s">
        <v>14177</v>
      </c>
      <c r="I1693" s="41" t="s">
        <v>14178</v>
      </c>
      <c r="J1693" s="41" t="s">
        <v>14179</v>
      </c>
      <c r="L1693" s="41" t="s">
        <v>4</v>
      </c>
    </row>
    <row r="1694" spans="1:19" x14ac:dyDescent="0.25">
      <c r="A1694" s="41" t="s">
        <v>23</v>
      </c>
      <c r="B1694" s="41" t="s">
        <v>14180</v>
      </c>
      <c r="D1694" s="41" t="s">
        <v>44789</v>
      </c>
      <c r="E1694" s="41" t="s">
        <v>14181</v>
      </c>
      <c r="F1694" s="41" t="s">
        <v>14182</v>
      </c>
      <c r="G1694" s="41" t="s">
        <v>14183</v>
      </c>
      <c r="H1694" s="41" t="s">
        <v>14184</v>
      </c>
      <c r="I1694" s="41" t="s">
        <v>14185</v>
      </c>
      <c r="J1694" s="41" t="s">
        <v>14186</v>
      </c>
      <c r="K1694" s="41" t="s">
        <v>14187</v>
      </c>
      <c r="L1694" s="41" t="s">
        <v>14188</v>
      </c>
      <c r="M1694" s="41" t="s">
        <v>14189</v>
      </c>
      <c r="N1694" s="41" t="s">
        <v>14190</v>
      </c>
      <c r="O1694" s="41" t="s">
        <v>14191</v>
      </c>
      <c r="P1694" s="41" t="s">
        <v>14192</v>
      </c>
      <c r="Q1694" s="41" t="s">
        <v>14193</v>
      </c>
      <c r="R1694" s="41" t="s">
        <v>14194</v>
      </c>
      <c r="S1694" s="41" t="s">
        <v>14195</v>
      </c>
    </row>
    <row r="1695" spans="1:19" x14ac:dyDescent="0.25">
      <c r="A1695" s="41" t="s">
        <v>23</v>
      </c>
      <c r="B1695" s="41" t="s">
        <v>14196</v>
      </c>
      <c r="D1695" s="41" t="s">
        <v>14197</v>
      </c>
      <c r="F1695" s="41" t="s">
        <v>14198</v>
      </c>
      <c r="G1695" s="41" t="s">
        <v>14199</v>
      </c>
      <c r="H1695" s="41" t="s">
        <v>14200</v>
      </c>
      <c r="I1695" s="41" t="s">
        <v>14201</v>
      </c>
      <c r="J1695" s="41" t="s">
        <v>14202</v>
      </c>
      <c r="K1695" s="41" t="s">
        <v>14203</v>
      </c>
      <c r="L1695" s="41" t="s">
        <v>891</v>
      </c>
    </row>
    <row r="1696" spans="1:19" x14ac:dyDescent="0.25">
      <c r="A1696" s="41" t="s">
        <v>23</v>
      </c>
      <c r="B1696" s="41" t="s">
        <v>14204</v>
      </c>
      <c r="D1696" s="41" t="s">
        <v>14205</v>
      </c>
      <c r="F1696" s="41" t="s">
        <v>14206</v>
      </c>
      <c r="G1696" s="41" t="s">
        <v>14207</v>
      </c>
      <c r="H1696" s="41" t="s">
        <v>14208</v>
      </c>
      <c r="I1696" s="41" t="s">
        <v>14209</v>
      </c>
      <c r="J1696" s="41" t="s">
        <v>14210</v>
      </c>
      <c r="K1696" s="41" t="s">
        <v>14211</v>
      </c>
      <c r="L1696" s="41" t="s">
        <v>1076</v>
      </c>
    </row>
    <row r="1697" spans="1:19" x14ac:dyDescent="0.25">
      <c r="A1697" s="41" t="s">
        <v>23</v>
      </c>
      <c r="B1697" s="41" t="s">
        <v>14212</v>
      </c>
      <c r="D1697" s="41" t="s">
        <v>14213</v>
      </c>
      <c r="F1697" s="41" t="s">
        <v>14214</v>
      </c>
      <c r="G1697" s="41" t="s">
        <v>14215</v>
      </c>
      <c r="H1697" s="41" t="s">
        <v>14216</v>
      </c>
      <c r="I1697" s="41" t="s">
        <v>14217</v>
      </c>
      <c r="J1697" s="41" t="s">
        <v>14218</v>
      </c>
      <c r="K1697" s="41" t="s">
        <v>14219</v>
      </c>
      <c r="L1697" s="41" t="s">
        <v>1085</v>
      </c>
    </row>
    <row r="1698" spans="1:19" x14ac:dyDescent="0.25">
      <c r="A1698" s="41" t="s">
        <v>23</v>
      </c>
      <c r="B1698" s="41" t="s">
        <v>14220</v>
      </c>
      <c r="D1698" s="41" t="s">
        <v>14221</v>
      </c>
      <c r="F1698" s="41" t="s">
        <v>14222</v>
      </c>
      <c r="G1698" s="41" t="s">
        <v>14223</v>
      </c>
      <c r="H1698" s="41" t="s">
        <v>14224</v>
      </c>
      <c r="I1698" s="41" t="s">
        <v>14225</v>
      </c>
      <c r="J1698" s="41" t="s">
        <v>14226</v>
      </c>
      <c r="K1698" s="41" t="s">
        <v>14227</v>
      </c>
      <c r="L1698" s="41" t="s">
        <v>1094</v>
      </c>
    </row>
    <row r="1699" spans="1:19" x14ac:dyDescent="0.25">
      <c r="A1699" s="41" t="s">
        <v>908</v>
      </c>
      <c r="B1699" s="41" t="s">
        <v>14228</v>
      </c>
    </row>
    <row r="1700" spans="1:19" x14ac:dyDescent="0.25">
      <c r="A1700" s="41" t="s">
        <v>23</v>
      </c>
      <c r="B1700" s="41" t="s">
        <v>14229</v>
      </c>
      <c r="F1700" s="41" t="s">
        <v>14230</v>
      </c>
      <c r="G1700" s="41" t="s">
        <v>14231</v>
      </c>
      <c r="H1700" s="41" t="s">
        <v>14232</v>
      </c>
      <c r="I1700" s="41" t="s">
        <v>14233</v>
      </c>
      <c r="J1700" s="41" t="s">
        <v>14234</v>
      </c>
      <c r="L1700" s="41" t="s">
        <v>4</v>
      </c>
    </row>
    <row r="1701" spans="1:19" x14ac:dyDescent="0.25">
      <c r="A1701" s="41" t="s">
        <v>23</v>
      </c>
      <c r="B1701" s="41" t="s">
        <v>14235</v>
      </c>
      <c r="D1701" s="41" t="s">
        <v>44790</v>
      </c>
      <c r="E1701" s="41" t="s">
        <v>14237</v>
      </c>
      <c r="F1701" s="41" t="s">
        <v>14238</v>
      </c>
      <c r="G1701" s="41" t="s">
        <v>14239</v>
      </c>
      <c r="H1701" s="41" t="s">
        <v>14240</v>
      </c>
      <c r="I1701" s="41" t="s">
        <v>14241</v>
      </c>
      <c r="J1701" s="41" t="s">
        <v>14242</v>
      </c>
      <c r="K1701" s="41" t="s">
        <v>14243</v>
      </c>
      <c r="L1701" s="41" t="s">
        <v>14244</v>
      </c>
      <c r="M1701" s="41" t="s">
        <v>14245</v>
      </c>
      <c r="N1701" s="41" t="s">
        <v>14246</v>
      </c>
      <c r="O1701" s="41" t="s">
        <v>14247</v>
      </c>
      <c r="P1701" s="41" t="s">
        <v>14248</v>
      </c>
      <c r="Q1701" s="41" t="s">
        <v>14249</v>
      </c>
      <c r="R1701" s="41" t="s">
        <v>14250</v>
      </c>
      <c r="S1701" s="41" t="s">
        <v>14251</v>
      </c>
    </row>
    <row r="1702" spans="1:19" x14ac:dyDescent="0.25">
      <c r="A1702" s="41" t="s">
        <v>23</v>
      </c>
      <c r="B1702" s="41" t="s">
        <v>14252</v>
      </c>
      <c r="D1702" s="41" t="s">
        <v>14253</v>
      </c>
      <c r="F1702" s="41" t="s">
        <v>14254</v>
      </c>
      <c r="G1702" s="41" t="s">
        <v>14255</v>
      </c>
      <c r="H1702" s="41" t="s">
        <v>14256</v>
      </c>
      <c r="I1702" s="41" t="s">
        <v>14257</v>
      </c>
      <c r="J1702" s="41" t="s">
        <v>14258</v>
      </c>
      <c r="K1702" s="41" t="s">
        <v>14259</v>
      </c>
      <c r="L1702" s="41" t="s">
        <v>891</v>
      </c>
    </row>
    <row r="1703" spans="1:19" x14ac:dyDescent="0.25">
      <c r="A1703" s="41" t="s">
        <v>23</v>
      </c>
      <c r="B1703" s="41" t="s">
        <v>14260</v>
      </c>
      <c r="D1703" s="41" t="s">
        <v>14261</v>
      </c>
      <c r="F1703" s="41" t="s">
        <v>14262</v>
      </c>
      <c r="G1703" s="41" t="s">
        <v>14263</v>
      </c>
      <c r="H1703" s="41" t="s">
        <v>14264</v>
      </c>
      <c r="I1703" s="41" t="s">
        <v>14265</v>
      </c>
      <c r="J1703" s="41" t="s">
        <v>14266</v>
      </c>
      <c r="K1703" s="41" t="s">
        <v>14267</v>
      </c>
      <c r="L1703" s="41" t="s">
        <v>1076</v>
      </c>
    </row>
    <row r="1704" spans="1:19" x14ac:dyDescent="0.25">
      <c r="A1704" s="41" t="s">
        <v>23</v>
      </c>
      <c r="B1704" s="41" t="s">
        <v>14268</v>
      </c>
      <c r="D1704" s="41" t="s">
        <v>14269</v>
      </c>
      <c r="F1704" s="41" t="s">
        <v>14270</v>
      </c>
      <c r="G1704" s="41" t="s">
        <v>14271</v>
      </c>
      <c r="H1704" s="41" t="s">
        <v>14272</v>
      </c>
      <c r="I1704" s="41" t="s">
        <v>14273</v>
      </c>
      <c r="J1704" s="41" t="s">
        <v>14274</v>
      </c>
      <c r="K1704" s="41" t="s">
        <v>14275</v>
      </c>
      <c r="L1704" s="41" t="s">
        <v>1085</v>
      </c>
    </row>
    <row r="1705" spans="1:19" x14ac:dyDescent="0.25">
      <c r="A1705" s="41" t="s">
        <v>23</v>
      </c>
      <c r="B1705" s="41" t="s">
        <v>14276</v>
      </c>
      <c r="D1705" s="41" t="s">
        <v>14277</v>
      </c>
      <c r="F1705" s="41" t="s">
        <v>14278</v>
      </c>
      <c r="G1705" s="41" t="s">
        <v>14279</v>
      </c>
      <c r="H1705" s="41" t="s">
        <v>14280</v>
      </c>
      <c r="I1705" s="41" t="s">
        <v>14281</v>
      </c>
      <c r="J1705" s="41" t="s">
        <v>14282</v>
      </c>
      <c r="K1705" s="41" t="s">
        <v>14283</v>
      </c>
      <c r="L1705" s="41" t="s">
        <v>1094</v>
      </c>
    </row>
    <row r="1706" spans="1:19" x14ac:dyDescent="0.25">
      <c r="A1706" s="41" t="s">
        <v>908</v>
      </c>
      <c r="B1706" s="41" t="s">
        <v>14284</v>
      </c>
    </row>
    <row r="1707" spans="1:19" x14ac:dyDescent="0.25">
      <c r="A1707" s="41" t="s">
        <v>23</v>
      </c>
      <c r="B1707" s="41" t="s">
        <v>14285</v>
      </c>
      <c r="F1707" s="41" t="s">
        <v>14286</v>
      </c>
      <c r="G1707" s="41" t="s">
        <v>14287</v>
      </c>
      <c r="H1707" s="41" t="s">
        <v>14288</v>
      </c>
      <c r="I1707" s="41" t="s">
        <v>14289</v>
      </c>
      <c r="J1707" s="41" t="s">
        <v>14290</v>
      </c>
      <c r="L1707" s="41" t="s">
        <v>4</v>
      </c>
    </row>
    <row r="1708" spans="1:19" x14ac:dyDescent="0.25">
      <c r="A1708" s="41" t="s">
        <v>23</v>
      </c>
      <c r="B1708" s="41" t="s">
        <v>14291</v>
      </c>
      <c r="D1708" s="41" t="s">
        <v>408</v>
      </c>
      <c r="E1708" s="41" t="s">
        <v>14293</v>
      </c>
      <c r="F1708" s="41" t="s">
        <v>14294</v>
      </c>
      <c r="G1708" s="41" t="s">
        <v>14295</v>
      </c>
      <c r="H1708" s="41" t="s">
        <v>14296</v>
      </c>
      <c r="I1708" s="41" t="s">
        <v>14297</v>
      </c>
      <c r="J1708" s="41" t="s">
        <v>14298</v>
      </c>
      <c r="K1708" s="41" t="s">
        <v>14299</v>
      </c>
      <c r="L1708" s="41" t="s">
        <v>14300</v>
      </c>
      <c r="M1708" s="41" t="s">
        <v>14301</v>
      </c>
      <c r="N1708" s="41" t="s">
        <v>14302</v>
      </c>
      <c r="O1708" s="41" t="s">
        <v>14303</v>
      </c>
      <c r="P1708" s="41" t="s">
        <v>14304</v>
      </c>
      <c r="Q1708" s="41" t="s">
        <v>14305</v>
      </c>
      <c r="R1708" s="41" t="s">
        <v>14306</v>
      </c>
      <c r="S1708" s="41" t="s">
        <v>14307</v>
      </c>
    </row>
    <row r="1709" spans="1:19" x14ac:dyDescent="0.25">
      <c r="A1709" s="41" t="s">
        <v>23</v>
      </c>
      <c r="B1709" s="41" t="s">
        <v>14308</v>
      </c>
      <c r="D1709" s="41" t="s">
        <v>14309</v>
      </c>
      <c r="F1709" s="41" t="s">
        <v>14310</v>
      </c>
      <c r="G1709" s="41" t="s">
        <v>14311</v>
      </c>
      <c r="H1709" s="41" t="s">
        <v>14312</v>
      </c>
      <c r="I1709" s="41" t="s">
        <v>14313</v>
      </c>
      <c r="J1709" s="41" t="s">
        <v>14314</v>
      </c>
      <c r="K1709" s="41" t="s">
        <v>14315</v>
      </c>
      <c r="L1709" s="41" t="s">
        <v>891</v>
      </c>
    </row>
    <row r="1710" spans="1:19" x14ac:dyDescent="0.25">
      <c r="A1710" s="41" t="s">
        <v>23</v>
      </c>
      <c r="B1710" s="41" t="s">
        <v>14316</v>
      </c>
      <c r="D1710" s="41" t="s">
        <v>14317</v>
      </c>
      <c r="F1710" s="41" t="s">
        <v>14318</v>
      </c>
      <c r="G1710" s="41" t="s">
        <v>14319</v>
      </c>
      <c r="H1710" s="41" t="s">
        <v>14320</v>
      </c>
      <c r="I1710" s="41" t="s">
        <v>14321</v>
      </c>
      <c r="J1710" s="41" t="s">
        <v>14322</v>
      </c>
      <c r="K1710" s="41" t="s">
        <v>14323</v>
      </c>
      <c r="L1710" s="41" t="s">
        <v>1076</v>
      </c>
    </row>
    <row r="1711" spans="1:19" x14ac:dyDescent="0.25">
      <c r="A1711" s="41" t="s">
        <v>23</v>
      </c>
      <c r="B1711" s="41" t="s">
        <v>14324</v>
      </c>
      <c r="D1711" s="41" t="s">
        <v>14325</v>
      </c>
      <c r="F1711" s="41" t="s">
        <v>14326</v>
      </c>
      <c r="G1711" s="41" t="s">
        <v>14327</v>
      </c>
      <c r="H1711" s="41" t="s">
        <v>14328</v>
      </c>
      <c r="I1711" s="41" t="s">
        <v>14329</v>
      </c>
      <c r="J1711" s="41" t="s">
        <v>14330</v>
      </c>
      <c r="K1711" s="41" t="s">
        <v>14331</v>
      </c>
      <c r="L1711" s="41" t="s">
        <v>1085</v>
      </c>
    </row>
    <row r="1712" spans="1:19" x14ac:dyDescent="0.25">
      <c r="A1712" s="41" t="s">
        <v>23</v>
      </c>
      <c r="B1712" s="41" t="s">
        <v>14332</v>
      </c>
      <c r="D1712" s="41" t="s">
        <v>14333</v>
      </c>
      <c r="F1712" s="41" t="s">
        <v>14334</v>
      </c>
      <c r="G1712" s="41" t="s">
        <v>14335</v>
      </c>
      <c r="H1712" s="41" t="s">
        <v>14336</v>
      </c>
      <c r="I1712" s="41" t="s">
        <v>14337</v>
      </c>
      <c r="J1712" s="41" t="s">
        <v>14338</v>
      </c>
      <c r="K1712" s="41" t="s">
        <v>14339</v>
      </c>
      <c r="L1712" s="41" t="s">
        <v>1094</v>
      </c>
    </row>
    <row r="1713" spans="1:19" x14ac:dyDescent="0.25">
      <c r="A1713" s="41" t="s">
        <v>908</v>
      </c>
      <c r="B1713" s="41" t="s">
        <v>14340</v>
      </c>
    </row>
    <row r="1714" spans="1:19" x14ac:dyDescent="0.25">
      <c r="A1714" s="41" t="s">
        <v>23</v>
      </c>
      <c r="B1714" s="41" t="s">
        <v>14341</v>
      </c>
      <c r="F1714" s="41" t="s">
        <v>14342</v>
      </c>
      <c r="G1714" s="41" t="s">
        <v>14343</v>
      </c>
      <c r="H1714" s="41" t="s">
        <v>14344</v>
      </c>
      <c r="I1714" s="41" t="s">
        <v>14345</v>
      </c>
      <c r="J1714" s="41" t="s">
        <v>14346</v>
      </c>
      <c r="L1714" s="41" t="s">
        <v>4</v>
      </c>
    </row>
    <row r="1715" spans="1:19" x14ac:dyDescent="0.25">
      <c r="A1715" s="41" t="s">
        <v>23</v>
      </c>
      <c r="B1715" s="41" t="s">
        <v>14347</v>
      </c>
      <c r="D1715" s="41" t="s">
        <v>14236</v>
      </c>
      <c r="E1715" s="41" t="s">
        <v>14348</v>
      </c>
      <c r="F1715" s="41" t="s">
        <v>14349</v>
      </c>
      <c r="G1715" s="41" t="s">
        <v>14350</v>
      </c>
      <c r="H1715" s="41" t="s">
        <v>14351</v>
      </c>
      <c r="I1715" s="41" t="s">
        <v>14352</v>
      </c>
      <c r="J1715" s="41" t="s">
        <v>14353</v>
      </c>
      <c r="K1715" s="41" t="s">
        <v>14354</v>
      </c>
      <c r="L1715" s="41" t="s">
        <v>14355</v>
      </c>
      <c r="M1715" s="41" t="s">
        <v>14356</v>
      </c>
      <c r="N1715" s="41" t="s">
        <v>14357</v>
      </c>
      <c r="O1715" s="41" t="s">
        <v>14358</v>
      </c>
      <c r="P1715" s="41" t="s">
        <v>14359</v>
      </c>
      <c r="Q1715" s="41" t="s">
        <v>14360</v>
      </c>
      <c r="R1715" s="41" t="s">
        <v>14361</v>
      </c>
      <c r="S1715" s="41" t="s">
        <v>14362</v>
      </c>
    </row>
    <row r="1716" spans="1:19" x14ac:dyDescent="0.25">
      <c r="A1716" s="41" t="s">
        <v>23</v>
      </c>
      <c r="B1716" s="41" t="s">
        <v>14363</v>
      </c>
      <c r="D1716" s="41" t="s">
        <v>14364</v>
      </c>
      <c r="F1716" s="41" t="s">
        <v>14365</v>
      </c>
      <c r="G1716" s="41" t="s">
        <v>14366</v>
      </c>
      <c r="H1716" s="41" t="s">
        <v>14367</v>
      </c>
      <c r="I1716" s="41" t="s">
        <v>14368</v>
      </c>
      <c r="J1716" s="41" t="s">
        <v>14369</v>
      </c>
      <c r="K1716" s="41" t="s">
        <v>14370</v>
      </c>
      <c r="L1716" s="41" t="s">
        <v>891</v>
      </c>
    </row>
    <row r="1717" spans="1:19" x14ac:dyDescent="0.25">
      <c r="A1717" s="41" t="s">
        <v>23</v>
      </c>
      <c r="B1717" s="41" t="s">
        <v>14371</v>
      </c>
      <c r="D1717" s="41" t="s">
        <v>14372</v>
      </c>
      <c r="F1717" s="41" t="s">
        <v>14373</v>
      </c>
      <c r="G1717" s="41" t="s">
        <v>14374</v>
      </c>
      <c r="H1717" s="41" t="s">
        <v>14375</v>
      </c>
      <c r="I1717" s="41" t="s">
        <v>14376</v>
      </c>
      <c r="J1717" s="41" t="s">
        <v>14377</v>
      </c>
      <c r="K1717" s="41" t="s">
        <v>14378</v>
      </c>
      <c r="L1717" s="41" t="s">
        <v>1076</v>
      </c>
    </row>
    <row r="1718" spans="1:19" x14ac:dyDescent="0.25">
      <c r="A1718" s="41" t="s">
        <v>23</v>
      </c>
      <c r="B1718" s="41" t="s">
        <v>14379</v>
      </c>
      <c r="D1718" s="41" t="s">
        <v>14380</v>
      </c>
      <c r="F1718" s="41" t="s">
        <v>14381</v>
      </c>
      <c r="G1718" s="41" t="s">
        <v>14382</v>
      </c>
      <c r="H1718" s="41" t="s">
        <v>14383</v>
      </c>
      <c r="I1718" s="41" t="s">
        <v>14384</v>
      </c>
      <c r="J1718" s="41" t="s">
        <v>14385</v>
      </c>
      <c r="K1718" s="41" t="s">
        <v>14386</v>
      </c>
      <c r="L1718" s="41" t="s">
        <v>1085</v>
      </c>
    </row>
    <row r="1719" spans="1:19" x14ac:dyDescent="0.25">
      <c r="A1719" s="41" t="s">
        <v>23</v>
      </c>
      <c r="B1719" s="41" t="s">
        <v>14387</v>
      </c>
      <c r="D1719" s="41" t="s">
        <v>14388</v>
      </c>
      <c r="F1719" s="41" t="s">
        <v>14389</v>
      </c>
      <c r="G1719" s="41" t="s">
        <v>14390</v>
      </c>
      <c r="H1719" s="41" t="s">
        <v>14391</v>
      </c>
      <c r="I1719" s="41" t="s">
        <v>14392</v>
      </c>
      <c r="J1719" s="41" t="s">
        <v>14393</v>
      </c>
      <c r="K1719" s="41" t="s">
        <v>14394</v>
      </c>
      <c r="L1719" s="41" t="s">
        <v>1094</v>
      </c>
    </row>
    <row r="1720" spans="1:19" x14ac:dyDescent="0.25">
      <c r="A1720" s="41" t="s">
        <v>908</v>
      </c>
      <c r="B1720" s="41" t="s">
        <v>14395</v>
      </c>
    </row>
    <row r="1721" spans="1:19" x14ac:dyDescent="0.25">
      <c r="A1721" s="41" t="s">
        <v>23</v>
      </c>
      <c r="B1721" s="41" t="s">
        <v>14396</v>
      </c>
      <c r="F1721" s="41" t="s">
        <v>14397</v>
      </c>
      <c r="G1721" s="41" t="s">
        <v>14398</v>
      </c>
      <c r="H1721" s="41" t="s">
        <v>14399</v>
      </c>
      <c r="I1721" s="41" t="s">
        <v>14400</v>
      </c>
      <c r="J1721" s="41" t="s">
        <v>14401</v>
      </c>
      <c r="L1721" s="41" t="s">
        <v>4</v>
      </c>
    </row>
    <row r="1722" spans="1:19" x14ac:dyDescent="0.25">
      <c r="A1722" s="41" t="s">
        <v>23</v>
      </c>
      <c r="B1722" s="41" t="s">
        <v>14402</v>
      </c>
      <c r="D1722" s="41" t="s">
        <v>14292</v>
      </c>
      <c r="E1722" s="41" t="s">
        <v>14403</v>
      </c>
      <c r="F1722" s="41" t="s">
        <v>14404</v>
      </c>
      <c r="G1722" s="41" t="s">
        <v>14405</v>
      </c>
      <c r="H1722" s="41" t="s">
        <v>14406</v>
      </c>
      <c r="I1722" s="41" t="s">
        <v>14407</v>
      </c>
      <c r="J1722" s="41" t="s">
        <v>14408</v>
      </c>
      <c r="K1722" s="41" t="s">
        <v>14409</v>
      </c>
      <c r="L1722" s="41" t="s">
        <v>14410</v>
      </c>
      <c r="M1722" s="41" t="s">
        <v>14411</v>
      </c>
      <c r="N1722" s="41" t="s">
        <v>14412</v>
      </c>
      <c r="O1722" s="41" t="s">
        <v>14413</v>
      </c>
      <c r="P1722" s="41" t="s">
        <v>14414</v>
      </c>
      <c r="Q1722" s="41" t="s">
        <v>14415</v>
      </c>
      <c r="R1722" s="41" t="s">
        <v>14416</v>
      </c>
      <c r="S1722" s="41" t="s">
        <v>14417</v>
      </c>
    </row>
    <row r="1723" spans="1:19" x14ac:dyDescent="0.25">
      <c r="A1723" s="41" t="s">
        <v>23</v>
      </c>
      <c r="B1723" s="41" t="s">
        <v>14418</v>
      </c>
      <c r="D1723" s="41" t="s">
        <v>14419</v>
      </c>
      <c r="F1723" s="41" t="s">
        <v>14420</v>
      </c>
      <c r="G1723" s="41" t="s">
        <v>14421</v>
      </c>
      <c r="H1723" s="41" t="s">
        <v>14422</v>
      </c>
      <c r="I1723" s="41" t="s">
        <v>14423</v>
      </c>
      <c r="J1723" s="41" t="s">
        <v>14424</v>
      </c>
      <c r="K1723" s="41" t="s">
        <v>14425</v>
      </c>
      <c r="L1723" s="41" t="s">
        <v>891</v>
      </c>
    </row>
    <row r="1724" spans="1:19" x14ac:dyDescent="0.25">
      <c r="A1724" s="41" t="s">
        <v>23</v>
      </c>
      <c r="B1724" s="41" t="s">
        <v>14426</v>
      </c>
      <c r="D1724" s="41" t="s">
        <v>14427</v>
      </c>
      <c r="F1724" s="41" t="s">
        <v>14428</v>
      </c>
      <c r="G1724" s="41" t="s">
        <v>14429</v>
      </c>
      <c r="H1724" s="41" t="s">
        <v>14430</v>
      </c>
      <c r="I1724" s="41" t="s">
        <v>14431</v>
      </c>
      <c r="J1724" s="41" t="s">
        <v>14432</v>
      </c>
      <c r="K1724" s="41" t="s">
        <v>14433</v>
      </c>
      <c r="L1724" s="41" t="s">
        <v>1076</v>
      </c>
    </row>
    <row r="1725" spans="1:19" x14ac:dyDescent="0.25">
      <c r="A1725" s="41" t="s">
        <v>23</v>
      </c>
      <c r="B1725" s="41" t="s">
        <v>14434</v>
      </c>
      <c r="D1725" s="41" t="s">
        <v>14435</v>
      </c>
      <c r="F1725" s="41" t="s">
        <v>14436</v>
      </c>
      <c r="G1725" s="41" t="s">
        <v>14437</v>
      </c>
      <c r="H1725" s="41" t="s">
        <v>14438</v>
      </c>
      <c r="I1725" s="41" t="s">
        <v>14439</v>
      </c>
      <c r="J1725" s="41" t="s">
        <v>14440</v>
      </c>
      <c r="K1725" s="41" t="s">
        <v>14441</v>
      </c>
      <c r="L1725" s="41" t="s">
        <v>1085</v>
      </c>
    </row>
    <row r="1726" spans="1:19" x14ac:dyDescent="0.25">
      <c r="A1726" s="41" t="s">
        <v>23</v>
      </c>
      <c r="B1726" s="41" t="s">
        <v>14442</v>
      </c>
      <c r="D1726" s="41" t="s">
        <v>14443</v>
      </c>
      <c r="F1726" s="41" t="s">
        <v>14444</v>
      </c>
      <c r="G1726" s="41" t="s">
        <v>14445</v>
      </c>
      <c r="H1726" s="41" t="s">
        <v>14446</v>
      </c>
      <c r="I1726" s="41" t="s">
        <v>14447</v>
      </c>
      <c r="J1726" s="41" t="s">
        <v>14448</v>
      </c>
      <c r="K1726" s="41" t="s">
        <v>14449</v>
      </c>
      <c r="L1726" s="41" t="s">
        <v>1094</v>
      </c>
    </row>
    <row r="1727" spans="1:19" x14ac:dyDescent="0.25">
      <c r="A1727" s="41" t="s">
        <v>908</v>
      </c>
      <c r="B1727" s="41" t="s">
        <v>14450</v>
      </c>
    </row>
    <row r="1728" spans="1:19" x14ac:dyDescent="0.25">
      <c r="A1728" s="41" t="s">
        <v>23</v>
      </c>
      <c r="B1728" s="41" t="s">
        <v>14451</v>
      </c>
      <c r="F1728" s="41" t="s">
        <v>14452</v>
      </c>
      <c r="G1728" s="41" t="s">
        <v>14453</v>
      </c>
      <c r="H1728" s="41" t="s">
        <v>14454</v>
      </c>
      <c r="I1728" s="41" t="s">
        <v>14455</v>
      </c>
      <c r="J1728" s="41" t="s">
        <v>14456</v>
      </c>
      <c r="L1728" s="41" t="s">
        <v>4</v>
      </c>
    </row>
    <row r="1729" spans="1:19" x14ac:dyDescent="0.25">
      <c r="A1729" s="41" t="s">
        <v>23</v>
      </c>
      <c r="B1729" s="41" t="s">
        <v>14457</v>
      </c>
      <c r="D1729" s="41" t="s">
        <v>414</v>
      </c>
      <c r="E1729" s="41" t="s">
        <v>14458</v>
      </c>
      <c r="F1729" s="41" t="s">
        <v>14459</v>
      </c>
      <c r="G1729" s="41" t="s">
        <v>14460</v>
      </c>
      <c r="H1729" s="41" t="s">
        <v>14461</v>
      </c>
      <c r="I1729" s="41" t="s">
        <v>14462</v>
      </c>
      <c r="J1729" s="41" t="s">
        <v>14463</v>
      </c>
      <c r="K1729" s="41" t="s">
        <v>14464</v>
      </c>
      <c r="L1729" s="41" t="s">
        <v>14465</v>
      </c>
      <c r="M1729" s="41" t="s">
        <v>14466</v>
      </c>
      <c r="N1729" s="41" t="s">
        <v>14467</v>
      </c>
      <c r="O1729" s="41" t="s">
        <v>14468</v>
      </c>
      <c r="P1729" s="41" t="s">
        <v>14469</v>
      </c>
      <c r="Q1729" s="41" t="s">
        <v>14470</v>
      </c>
      <c r="R1729" s="41" t="s">
        <v>14471</v>
      </c>
      <c r="S1729" s="41" t="s">
        <v>14472</v>
      </c>
    </row>
    <row r="1730" spans="1:19" x14ac:dyDescent="0.25">
      <c r="A1730" s="41" t="s">
        <v>23</v>
      </c>
      <c r="B1730" s="41" t="s">
        <v>14473</v>
      </c>
      <c r="D1730" s="41" t="s">
        <v>14474</v>
      </c>
      <c r="F1730" s="41" t="s">
        <v>14475</v>
      </c>
      <c r="G1730" s="41" t="s">
        <v>14476</v>
      </c>
      <c r="H1730" s="41" t="s">
        <v>14477</v>
      </c>
      <c r="I1730" s="41" t="s">
        <v>14478</v>
      </c>
      <c r="J1730" s="41" t="s">
        <v>14479</v>
      </c>
      <c r="K1730" s="41" t="s">
        <v>14480</v>
      </c>
      <c r="L1730" s="41" t="s">
        <v>891</v>
      </c>
    </row>
    <row r="1731" spans="1:19" x14ac:dyDescent="0.25">
      <c r="A1731" s="41" t="s">
        <v>23</v>
      </c>
      <c r="B1731" s="41" t="s">
        <v>14481</v>
      </c>
      <c r="D1731" s="41" t="s">
        <v>14482</v>
      </c>
      <c r="F1731" s="41" t="s">
        <v>14483</v>
      </c>
      <c r="G1731" s="41" t="s">
        <v>14484</v>
      </c>
      <c r="H1731" s="41" t="s">
        <v>14485</v>
      </c>
      <c r="I1731" s="41" t="s">
        <v>14486</v>
      </c>
      <c r="J1731" s="41" t="s">
        <v>14487</v>
      </c>
      <c r="K1731" s="41" t="s">
        <v>14488</v>
      </c>
      <c r="L1731" s="41" t="s">
        <v>1076</v>
      </c>
    </row>
    <row r="1732" spans="1:19" x14ac:dyDescent="0.25">
      <c r="A1732" s="41" t="s">
        <v>23</v>
      </c>
      <c r="B1732" s="41" t="s">
        <v>14489</v>
      </c>
      <c r="D1732" s="41" t="s">
        <v>14490</v>
      </c>
      <c r="F1732" s="41" t="s">
        <v>14491</v>
      </c>
      <c r="G1732" s="41" t="s">
        <v>14492</v>
      </c>
      <c r="H1732" s="41" t="s">
        <v>14493</v>
      </c>
      <c r="I1732" s="41" t="s">
        <v>14494</v>
      </c>
      <c r="J1732" s="41" t="s">
        <v>14495</v>
      </c>
      <c r="K1732" s="41" t="s">
        <v>14496</v>
      </c>
      <c r="L1732" s="41" t="s">
        <v>1085</v>
      </c>
    </row>
    <row r="1733" spans="1:19" x14ac:dyDescent="0.25">
      <c r="A1733" s="41" t="s">
        <v>23</v>
      </c>
      <c r="B1733" s="41" t="s">
        <v>14497</v>
      </c>
      <c r="D1733" s="41" t="s">
        <v>14498</v>
      </c>
      <c r="F1733" s="41" t="s">
        <v>14499</v>
      </c>
      <c r="G1733" s="41" t="s">
        <v>14500</v>
      </c>
      <c r="H1733" s="41" t="s">
        <v>14501</v>
      </c>
      <c r="I1733" s="41" t="s">
        <v>14502</v>
      </c>
      <c r="J1733" s="41" t="s">
        <v>14503</v>
      </c>
      <c r="K1733" s="41" t="s">
        <v>14504</v>
      </c>
      <c r="L1733" s="41" t="s">
        <v>1094</v>
      </c>
    </row>
    <row r="1734" spans="1:19" x14ac:dyDescent="0.25">
      <c r="A1734" s="41" t="s">
        <v>908</v>
      </c>
      <c r="B1734" s="41" t="s">
        <v>14505</v>
      </c>
    </row>
    <row r="1735" spans="1:19" x14ac:dyDescent="0.25">
      <c r="A1735" s="41" t="s">
        <v>23</v>
      </c>
      <c r="B1735" s="41" t="s">
        <v>14506</v>
      </c>
      <c r="F1735" s="41" t="s">
        <v>14507</v>
      </c>
      <c r="G1735" s="41" t="s">
        <v>14508</v>
      </c>
      <c r="H1735" s="41" t="s">
        <v>14509</v>
      </c>
      <c r="I1735" s="41" t="s">
        <v>14510</v>
      </c>
      <c r="J1735" s="41" t="s">
        <v>14511</v>
      </c>
      <c r="L1735" s="41" t="s">
        <v>4</v>
      </c>
    </row>
    <row r="1736" spans="1:19" x14ac:dyDescent="0.25">
      <c r="A1736" s="41" t="s">
        <v>23</v>
      </c>
      <c r="B1736" s="41" t="s">
        <v>14512</v>
      </c>
      <c r="D1736" s="41" t="s">
        <v>417</v>
      </c>
      <c r="E1736" s="41" t="s">
        <v>14514</v>
      </c>
      <c r="F1736" s="41" t="s">
        <v>14515</v>
      </c>
      <c r="G1736" s="41" t="s">
        <v>14516</v>
      </c>
      <c r="H1736" s="41" t="s">
        <v>14517</v>
      </c>
      <c r="I1736" s="41" t="s">
        <v>14518</v>
      </c>
      <c r="J1736" s="41" t="s">
        <v>14519</v>
      </c>
      <c r="K1736" s="41" t="s">
        <v>14520</v>
      </c>
      <c r="L1736" s="41" t="s">
        <v>14521</v>
      </c>
      <c r="M1736" s="41" t="s">
        <v>14522</v>
      </c>
      <c r="N1736" s="41" t="s">
        <v>14523</v>
      </c>
      <c r="O1736" s="41" t="s">
        <v>14524</v>
      </c>
      <c r="P1736" s="41" t="s">
        <v>14525</v>
      </c>
      <c r="Q1736" s="41" t="s">
        <v>14526</v>
      </c>
      <c r="R1736" s="41" t="s">
        <v>14527</v>
      </c>
      <c r="S1736" s="41" t="s">
        <v>14528</v>
      </c>
    </row>
    <row r="1737" spans="1:19" x14ac:dyDescent="0.25">
      <c r="A1737" s="41" t="s">
        <v>23</v>
      </c>
      <c r="B1737" s="41" t="s">
        <v>14529</v>
      </c>
      <c r="D1737" s="41" t="s">
        <v>14530</v>
      </c>
      <c r="F1737" s="41" t="s">
        <v>14531</v>
      </c>
      <c r="G1737" s="41" t="s">
        <v>14532</v>
      </c>
      <c r="H1737" s="41" t="s">
        <v>14533</v>
      </c>
      <c r="I1737" s="41" t="s">
        <v>14534</v>
      </c>
      <c r="J1737" s="41" t="s">
        <v>14535</v>
      </c>
      <c r="K1737" s="41" t="s">
        <v>14536</v>
      </c>
      <c r="L1737" s="41" t="s">
        <v>891</v>
      </c>
    </row>
    <row r="1738" spans="1:19" x14ac:dyDescent="0.25">
      <c r="A1738" s="41" t="s">
        <v>23</v>
      </c>
      <c r="B1738" s="41" t="s">
        <v>14537</v>
      </c>
      <c r="D1738" s="41" t="s">
        <v>14538</v>
      </c>
      <c r="F1738" s="41" t="s">
        <v>14539</v>
      </c>
      <c r="G1738" s="41" t="s">
        <v>14540</v>
      </c>
      <c r="H1738" s="41" t="s">
        <v>14541</v>
      </c>
      <c r="I1738" s="41" t="s">
        <v>14542</v>
      </c>
      <c r="J1738" s="41" t="s">
        <v>14543</v>
      </c>
      <c r="K1738" s="41" t="s">
        <v>14544</v>
      </c>
      <c r="L1738" s="41" t="s">
        <v>1076</v>
      </c>
    </row>
    <row r="1739" spans="1:19" x14ac:dyDescent="0.25">
      <c r="A1739" s="41" t="s">
        <v>23</v>
      </c>
      <c r="B1739" s="41" t="s">
        <v>14545</v>
      </c>
      <c r="D1739" s="41" t="s">
        <v>14546</v>
      </c>
      <c r="F1739" s="41" t="s">
        <v>14547</v>
      </c>
      <c r="G1739" s="41" t="s">
        <v>14548</v>
      </c>
      <c r="H1739" s="41" t="s">
        <v>14549</v>
      </c>
      <c r="I1739" s="41" t="s">
        <v>14550</v>
      </c>
      <c r="J1739" s="41" t="s">
        <v>14551</v>
      </c>
      <c r="K1739" s="41" t="s">
        <v>14552</v>
      </c>
      <c r="L1739" s="41" t="s">
        <v>1085</v>
      </c>
    </row>
    <row r="1740" spans="1:19" x14ac:dyDescent="0.25">
      <c r="A1740" s="41" t="s">
        <v>23</v>
      </c>
      <c r="B1740" s="41" t="s">
        <v>14553</v>
      </c>
      <c r="D1740" s="41" t="s">
        <v>14554</v>
      </c>
      <c r="F1740" s="41" t="s">
        <v>14555</v>
      </c>
      <c r="G1740" s="41" t="s">
        <v>14556</v>
      </c>
      <c r="H1740" s="41" t="s">
        <v>14557</v>
      </c>
      <c r="I1740" s="41" t="s">
        <v>14558</v>
      </c>
      <c r="J1740" s="41" t="s">
        <v>14559</v>
      </c>
      <c r="K1740" s="41" t="s">
        <v>14560</v>
      </c>
      <c r="L1740" s="41" t="s">
        <v>1094</v>
      </c>
    </row>
    <row r="1741" spans="1:19" x14ac:dyDescent="0.25">
      <c r="A1741" s="41" t="s">
        <v>908</v>
      </c>
      <c r="B1741" s="41" t="s">
        <v>14561</v>
      </c>
    </row>
    <row r="1742" spans="1:19" x14ac:dyDescent="0.25">
      <c r="A1742" s="41" t="s">
        <v>23</v>
      </c>
      <c r="B1742" s="41" t="s">
        <v>14562</v>
      </c>
      <c r="F1742" s="41" t="s">
        <v>14563</v>
      </c>
      <c r="G1742" s="41" t="s">
        <v>14564</v>
      </c>
      <c r="H1742" s="41" t="s">
        <v>14565</v>
      </c>
      <c r="I1742" s="41" t="s">
        <v>14566</v>
      </c>
      <c r="J1742" s="41" t="s">
        <v>14567</v>
      </c>
      <c r="L1742" s="41" t="s">
        <v>4</v>
      </c>
    </row>
    <row r="1743" spans="1:19" x14ac:dyDescent="0.25">
      <c r="A1743" s="41" t="s">
        <v>23</v>
      </c>
      <c r="B1743" s="41" t="s">
        <v>14568</v>
      </c>
      <c r="D1743" s="41" t="s">
        <v>419</v>
      </c>
      <c r="E1743" s="41" t="s">
        <v>14570</v>
      </c>
      <c r="F1743" s="41" t="s">
        <v>14571</v>
      </c>
      <c r="G1743" s="41" t="s">
        <v>14572</v>
      </c>
      <c r="H1743" s="41" t="s">
        <v>14573</v>
      </c>
      <c r="I1743" s="41" t="s">
        <v>14574</v>
      </c>
      <c r="J1743" s="41" t="s">
        <v>14575</v>
      </c>
      <c r="K1743" s="41" t="s">
        <v>14576</v>
      </c>
      <c r="L1743" s="41" t="s">
        <v>14577</v>
      </c>
      <c r="M1743" s="41" t="s">
        <v>14578</v>
      </c>
      <c r="N1743" s="41" t="s">
        <v>14579</v>
      </c>
      <c r="O1743" s="41" t="s">
        <v>14580</v>
      </c>
      <c r="P1743" s="41" t="s">
        <v>14581</v>
      </c>
      <c r="Q1743" s="41" t="s">
        <v>14582</v>
      </c>
      <c r="R1743" s="41" t="s">
        <v>14583</v>
      </c>
      <c r="S1743" s="41" t="s">
        <v>14584</v>
      </c>
    </row>
    <row r="1744" spans="1:19" x14ac:dyDescent="0.25">
      <c r="A1744" s="41" t="s">
        <v>23</v>
      </c>
      <c r="B1744" s="41" t="s">
        <v>14585</v>
      </c>
      <c r="D1744" s="41" t="s">
        <v>14586</v>
      </c>
      <c r="F1744" s="41" t="s">
        <v>14587</v>
      </c>
      <c r="G1744" s="41" t="s">
        <v>14588</v>
      </c>
      <c r="H1744" s="41" t="s">
        <v>14589</v>
      </c>
      <c r="I1744" s="41" t="s">
        <v>14590</v>
      </c>
      <c r="J1744" s="41" t="s">
        <v>14591</v>
      </c>
      <c r="K1744" s="41" t="s">
        <v>14592</v>
      </c>
      <c r="L1744" s="41" t="s">
        <v>891</v>
      </c>
    </row>
    <row r="1745" spans="1:19" x14ac:dyDescent="0.25">
      <c r="A1745" s="41" t="s">
        <v>23</v>
      </c>
      <c r="B1745" s="41" t="s">
        <v>14593</v>
      </c>
      <c r="D1745" s="41" t="s">
        <v>14594</v>
      </c>
      <c r="F1745" s="41" t="s">
        <v>14595</v>
      </c>
      <c r="G1745" s="41" t="s">
        <v>14596</v>
      </c>
      <c r="H1745" s="41" t="s">
        <v>14597</v>
      </c>
      <c r="I1745" s="41" t="s">
        <v>14598</v>
      </c>
      <c r="J1745" s="41" t="s">
        <v>14599</v>
      </c>
      <c r="K1745" s="41" t="s">
        <v>14600</v>
      </c>
      <c r="L1745" s="41" t="s">
        <v>1076</v>
      </c>
    </row>
    <row r="1746" spans="1:19" x14ac:dyDescent="0.25">
      <c r="A1746" s="41" t="s">
        <v>23</v>
      </c>
      <c r="B1746" s="41" t="s">
        <v>14601</v>
      </c>
      <c r="D1746" s="41" t="s">
        <v>14602</v>
      </c>
      <c r="F1746" s="41" t="s">
        <v>14603</v>
      </c>
      <c r="G1746" s="41" t="s">
        <v>14604</v>
      </c>
      <c r="H1746" s="41" t="s">
        <v>14605</v>
      </c>
      <c r="I1746" s="41" t="s">
        <v>14606</v>
      </c>
      <c r="J1746" s="41" t="s">
        <v>14607</v>
      </c>
      <c r="K1746" s="41" t="s">
        <v>14608</v>
      </c>
      <c r="L1746" s="41" t="s">
        <v>1085</v>
      </c>
    </row>
    <row r="1747" spans="1:19" x14ac:dyDescent="0.25">
      <c r="A1747" s="41" t="s">
        <v>23</v>
      </c>
      <c r="B1747" s="41" t="s">
        <v>14609</v>
      </c>
      <c r="D1747" s="41" t="s">
        <v>14610</v>
      </c>
      <c r="F1747" s="41" t="s">
        <v>14611</v>
      </c>
      <c r="G1747" s="41" t="s">
        <v>14612</v>
      </c>
      <c r="H1747" s="41" t="s">
        <v>14613</v>
      </c>
      <c r="I1747" s="41" t="s">
        <v>14614</v>
      </c>
      <c r="J1747" s="41" t="s">
        <v>14615</v>
      </c>
      <c r="K1747" s="41" t="s">
        <v>14616</v>
      </c>
      <c r="L1747" s="41" t="s">
        <v>1094</v>
      </c>
    </row>
    <row r="1748" spans="1:19" x14ac:dyDescent="0.25">
      <c r="A1748" s="41" t="s">
        <v>908</v>
      </c>
      <c r="B1748" s="41" t="s">
        <v>14617</v>
      </c>
    </row>
    <row r="1749" spans="1:19" x14ac:dyDescent="0.25">
      <c r="A1749" s="41" t="s">
        <v>23</v>
      </c>
      <c r="B1749" s="41" t="s">
        <v>14618</v>
      </c>
      <c r="F1749" s="41" t="s">
        <v>14619</v>
      </c>
      <c r="G1749" s="41" t="s">
        <v>14620</v>
      </c>
      <c r="H1749" s="41" t="s">
        <v>14621</v>
      </c>
      <c r="I1749" s="41" t="s">
        <v>14622</v>
      </c>
      <c r="J1749" s="41" t="s">
        <v>14623</v>
      </c>
      <c r="L1749" s="41" t="s">
        <v>4</v>
      </c>
    </row>
    <row r="1750" spans="1:19" x14ac:dyDescent="0.25">
      <c r="A1750" s="41" t="s">
        <v>23</v>
      </c>
      <c r="B1750" s="41" t="s">
        <v>14624</v>
      </c>
      <c r="D1750" s="41" t="s">
        <v>14513</v>
      </c>
      <c r="E1750" s="41" t="s">
        <v>14626</v>
      </c>
      <c r="F1750" s="41" t="s">
        <v>14627</v>
      </c>
      <c r="G1750" s="41" t="s">
        <v>14628</v>
      </c>
      <c r="H1750" s="41" t="s">
        <v>14629</v>
      </c>
      <c r="I1750" s="41" t="s">
        <v>14630</v>
      </c>
      <c r="J1750" s="41" t="s">
        <v>14631</v>
      </c>
      <c r="K1750" s="41" t="s">
        <v>14632</v>
      </c>
      <c r="L1750" s="41" t="s">
        <v>14633</v>
      </c>
      <c r="M1750" s="41" t="s">
        <v>14634</v>
      </c>
      <c r="N1750" s="41" t="s">
        <v>14635</v>
      </c>
      <c r="O1750" s="41" t="s">
        <v>14636</v>
      </c>
      <c r="P1750" s="41" t="s">
        <v>14637</v>
      </c>
      <c r="Q1750" s="41" t="s">
        <v>14638</v>
      </c>
      <c r="R1750" s="41" t="s">
        <v>14639</v>
      </c>
      <c r="S1750" s="41" t="s">
        <v>14640</v>
      </c>
    </row>
    <row r="1751" spans="1:19" x14ac:dyDescent="0.25">
      <c r="A1751" s="41" t="s">
        <v>23</v>
      </c>
      <c r="B1751" s="41" t="s">
        <v>14641</v>
      </c>
      <c r="D1751" s="41" t="s">
        <v>14642</v>
      </c>
      <c r="F1751" s="41" t="s">
        <v>14643</v>
      </c>
      <c r="G1751" s="41" t="s">
        <v>14644</v>
      </c>
      <c r="H1751" s="41" t="s">
        <v>14645</v>
      </c>
      <c r="I1751" s="41" t="s">
        <v>14646</v>
      </c>
      <c r="J1751" s="41" t="s">
        <v>14647</v>
      </c>
      <c r="K1751" s="41" t="s">
        <v>14648</v>
      </c>
      <c r="L1751" s="41" t="s">
        <v>891</v>
      </c>
    </row>
    <row r="1752" spans="1:19" x14ac:dyDescent="0.25">
      <c r="A1752" s="41" t="s">
        <v>23</v>
      </c>
      <c r="B1752" s="41" t="s">
        <v>14649</v>
      </c>
      <c r="D1752" s="41" t="s">
        <v>14650</v>
      </c>
      <c r="F1752" s="41" t="s">
        <v>14651</v>
      </c>
      <c r="G1752" s="41" t="s">
        <v>14652</v>
      </c>
      <c r="H1752" s="41" t="s">
        <v>14653</v>
      </c>
      <c r="I1752" s="41" t="s">
        <v>14654</v>
      </c>
      <c r="J1752" s="41" t="s">
        <v>14655</v>
      </c>
      <c r="K1752" s="41" t="s">
        <v>14656</v>
      </c>
      <c r="L1752" s="41" t="s">
        <v>1076</v>
      </c>
    </row>
    <row r="1753" spans="1:19" x14ac:dyDescent="0.25">
      <c r="A1753" s="41" t="s">
        <v>23</v>
      </c>
      <c r="B1753" s="41" t="s">
        <v>14657</v>
      </c>
      <c r="D1753" s="41" t="s">
        <v>14658</v>
      </c>
      <c r="F1753" s="41" t="s">
        <v>14659</v>
      </c>
      <c r="G1753" s="41" t="s">
        <v>14660</v>
      </c>
      <c r="H1753" s="41" t="s">
        <v>14661</v>
      </c>
      <c r="I1753" s="41" t="s">
        <v>14662</v>
      </c>
      <c r="J1753" s="41" t="s">
        <v>14663</v>
      </c>
      <c r="K1753" s="41" t="s">
        <v>14664</v>
      </c>
      <c r="L1753" s="41" t="s">
        <v>1085</v>
      </c>
    </row>
    <row r="1754" spans="1:19" x14ac:dyDescent="0.25">
      <c r="A1754" s="41" t="s">
        <v>23</v>
      </c>
      <c r="B1754" s="41" t="s">
        <v>14665</v>
      </c>
      <c r="D1754" s="41" t="s">
        <v>14666</v>
      </c>
      <c r="F1754" s="41" t="s">
        <v>14667</v>
      </c>
      <c r="G1754" s="41" t="s">
        <v>14668</v>
      </c>
      <c r="H1754" s="41" t="s">
        <v>14669</v>
      </c>
      <c r="I1754" s="41" t="s">
        <v>14670</v>
      </c>
      <c r="J1754" s="41" t="s">
        <v>14671</v>
      </c>
      <c r="K1754" s="41" t="s">
        <v>14672</v>
      </c>
      <c r="L1754" s="41" t="s">
        <v>1094</v>
      </c>
    </row>
    <row r="1755" spans="1:19" x14ac:dyDescent="0.25">
      <c r="A1755" s="41" t="s">
        <v>908</v>
      </c>
      <c r="B1755" s="41" t="s">
        <v>14673</v>
      </c>
    </row>
    <row r="1756" spans="1:19" x14ac:dyDescent="0.25">
      <c r="A1756" s="41" t="s">
        <v>23</v>
      </c>
      <c r="B1756" s="41" t="s">
        <v>14674</v>
      </c>
      <c r="F1756" s="41" t="s">
        <v>14675</v>
      </c>
      <c r="G1756" s="41" t="s">
        <v>14676</v>
      </c>
      <c r="H1756" s="41" t="s">
        <v>14677</v>
      </c>
      <c r="I1756" s="41" t="s">
        <v>14678</v>
      </c>
      <c r="J1756" s="41" t="s">
        <v>14679</v>
      </c>
      <c r="L1756" s="41" t="s">
        <v>4</v>
      </c>
    </row>
    <row r="1757" spans="1:19" x14ac:dyDescent="0.25">
      <c r="A1757" s="41" t="s">
        <v>23</v>
      </c>
      <c r="B1757" s="41" t="s">
        <v>14680</v>
      </c>
      <c r="D1757" s="41" t="s">
        <v>14569</v>
      </c>
      <c r="E1757" s="41" t="s">
        <v>14682</v>
      </c>
      <c r="F1757" s="41" t="s">
        <v>14683</v>
      </c>
      <c r="G1757" s="41" t="s">
        <v>14684</v>
      </c>
      <c r="H1757" s="41" t="s">
        <v>14685</v>
      </c>
      <c r="I1757" s="41" t="s">
        <v>14686</v>
      </c>
      <c r="J1757" s="41" t="s">
        <v>14687</v>
      </c>
      <c r="K1757" s="41" t="s">
        <v>14688</v>
      </c>
      <c r="L1757" s="41" t="s">
        <v>14689</v>
      </c>
      <c r="M1757" s="41" t="s">
        <v>14690</v>
      </c>
      <c r="N1757" s="41" t="s">
        <v>14691</v>
      </c>
      <c r="O1757" s="41" t="s">
        <v>14692</v>
      </c>
      <c r="P1757" s="41" t="s">
        <v>14693</v>
      </c>
      <c r="Q1757" s="41" t="s">
        <v>14694</v>
      </c>
      <c r="R1757" s="41" t="s">
        <v>14695</v>
      </c>
      <c r="S1757" s="41" t="s">
        <v>14696</v>
      </c>
    </row>
    <row r="1758" spans="1:19" x14ac:dyDescent="0.25">
      <c r="A1758" s="41" t="s">
        <v>23</v>
      </c>
      <c r="B1758" s="41" t="s">
        <v>14697</v>
      </c>
      <c r="D1758" s="41" t="s">
        <v>14698</v>
      </c>
      <c r="F1758" s="41" t="s">
        <v>14699</v>
      </c>
      <c r="G1758" s="41" t="s">
        <v>14700</v>
      </c>
      <c r="H1758" s="41" t="s">
        <v>14701</v>
      </c>
      <c r="I1758" s="41" t="s">
        <v>14702</v>
      </c>
      <c r="J1758" s="41" t="s">
        <v>14703</v>
      </c>
      <c r="K1758" s="41" t="s">
        <v>14704</v>
      </c>
      <c r="L1758" s="41" t="s">
        <v>891</v>
      </c>
    </row>
    <row r="1759" spans="1:19" x14ac:dyDescent="0.25">
      <c r="A1759" s="41" t="s">
        <v>23</v>
      </c>
      <c r="B1759" s="41" t="s">
        <v>14705</v>
      </c>
      <c r="D1759" s="41" t="s">
        <v>14706</v>
      </c>
      <c r="F1759" s="41" t="s">
        <v>14707</v>
      </c>
      <c r="G1759" s="41" t="s">
        <v>14708</v>
      </c>
      <c r="H1759" s="41" t="s">
        <v>14709</v>
      </c>
      <c r="I1759" s="41" t="s">
        <v>14710</v>
      </c>
      <c r="J1759" s="41" t="s">
        <v>14711</v>
      </c>
      <c r="K1759" s="41" t="s">
        <v>14712</v>
      </c>
      <c r="L1759" s="41" t="s">
        <v>1076</v>
      </c>
    </row>
    <row r="1760" spans="1:19" x14ac:dyDescent="0.25">
      <c r="A1760" s="41" t="s">
        <v>23</v>
      </c>
      <c r="B1760" s="41" t="s">
        <v>14713</v>
      </c>
      <c r="D1760" s="41" t="s">
        <v>14714</v>
      </c>
      <c r="F1760" s="41" t="s">
        <v>14715</v>
      </c>
      <c r="G1760" s="41" t="s">
        <v>14716</v>
      </c>
      <c r="H1760" s="41" t="s">
        <v>14717</v>
      </c>
      <c r="I1760" s="41" t="s">
        <v>14718</v>
      </c>
      <c r="J1760" s="41" t="s">
        <v>14719</v>
      </c>
      <c r="K1760" s="41" t="s">
        <v>14720</v>
      </c>
      <c r="L1760" s="41" t="s">
        <v>1085</v>
      </c>
    </row>
    <row r="1761" spans="1:19" x14ac:dyDescent="0.25">
      <c r="A1761" s="41" t="s">
        <v>23</v>
      </c>
      <c r="B1761" s="41" t="s">
        <v>14721</v>
      </c>
      <c r="D1761" s="41" t="s">
        <v>14722</v>
      </c>
      <c r="F1761" s="41" t="s">
        <v>14723</v>
      </c>
      <c r="G1761" s="41" t="s">
        <v>14724</v>
      </c>
      <c r="H1761" s="41" t="s">
        <v>14725</v>
      </c>
      <c r="I1761" s="41" t="s">
        <v>14726</v>
      </c>
      <c r="J1761" s="41" t="s">
        <v>14727</v>
      </c>
      <c r="K1761" s="41" t="s">
        <v>14728</v>
      </c>
      <c r="L1761" s="41" t="s">
        <v>1094</v>
      </c>
    </row>
    <row r="1762" spans="1:19" x14ac:dyDescent="0.25">
      <c r="A1762" s="41" t="s">
        <v>908</v>
      </c>
      <c r="B1762" s="41" t="s">
        <v>14729</v>
      </c>
    </row>
    <row r="1763" spans="1:19" x14ac:dyDescent="0.25">
      <c r="A1763" s="41" t="s">
        <v>23</v>
      </c>
      <c r="B1763" s="41" t="s">
        <v>14730</v>
      </c>
      <c r="F1763" s="41" t="s">
        <v>14731</v>
      </c>
      <c r="G1763" s="41" t="s">
        <v>14732</v>
      </c>
      <c r="H1763" s="41" t="s">
        <v>14733</v>
      </c>
      <c r="I1763" s="41" t="s">
        <v>14734</v>
      </c>
      <c r="J1763" s="41" t="s">
        <v>14735</v>
      </c>
      <c r="L1763" s="41" t="s">
        <v>4</v>
      </c>
    </row>
    <row r="1764" spans="1:19" x14ac:dyDescent="0.25">
      <c r="A1764" s="41" t="s">
        <v>23</v>
      </c>
      <c r="B1764" s="41" t="s">
        <v>14736</v>
      </c>
      <c r="D1764" s="41" t="s">
        <v>14625</v>
      </c>
      <c r="E1764" s="41" t="s">
        <v>14737</v>
      </c>
      <c r="F1764" s="41" t="s">
        <v>14738</v>
      </c>
      <c r="G1764" s="41" t="s">
        <v>14739</v>
      </c>
      <c r="H1764" s="41" t="s">
        <v>14740</v>
      </c>
      <c r="I1764" s="41" t="s">
        <v>14741</v>
      </c>
      <c r="J1764" s="41" t="s">
        <v>14742</v>
      </c>
      <c r="K1764" s="41" t="s">
        <v>14743</v>
      </c>
      <c r="L1764" s="41" t="s">
        <v>14744</v>
      </c>
      <c r="M1764" s="41" t="s">
        <v>14745</v>
      </c>
      <c r="N1764" s="41" t="s">
        <v>14746</v>
      </c>
      <c r="O1764" s="41" t="s">
        <v>14747</v>
      </c>
      <c r="P1764" s="41" t="s">
        <v>14748</v>
      </c>
      <c r="Q1764" s="41" t="s">
        <v>14749</v>
      </c>
      <c r="R1764" s="41" t="s">
        <v>14750</v>
      </c>
      <c r="S1764" s="41" t="s">
        <v>14751</v>
      </c>
    </row>
    <row r="1765" spans="1:19" x14ac:dyDescent="0.25">
      <c r="A1765" s="41" t="s">
        <v>23</v>
      </c>
      <c r="B1765" s="41" t="s">
        <v>14752</v>
      </c>
      <c r="D1765" s="41" t="s">
        <v>14753</v>
      </c>
      <c r="F1765" s="41" t="s">
        <v>14754</v>
      </c>
      <c r="G1765" s="41" t="s">
        <v>14755</v>
      </c>
      <c r="H1765" s="41" t="s">
        <v>14756</v>
      </c>
      <c r="I1765" s="41" t="s">
        <v>14757</v>
      </c>
      <c r="J1765" s="41" t="s">
        <v>14758</v>
      </c>
      <c r="K1765" s="41" t="s">
        <v>14759</v>
      </c>
      <c r="L1765" s="41" t="s">
        <v>891</v>
      </c>
    </row>
    <row r="1766" spans="1:19" x14ac:dyDescent="0.25">
      <c r="A1766" s="41" t="s">
        <v>23</v>
      </c>
      <c r="B1766" s="41" t="s">
        <v>14760</v>
      </c>
      <c r="D1766" s="41" t="s">
        <v>14761</v>
      </c>
      <c r="F1766" s="41" t="s">
        <v>14762</v>
      </c>
      <c r="G1766" s="41" t="s">
        <v>14763</v>
      </c>
      <c r="H1766" s="41" t="s">
        <v>14764</v>
      </c>
      <c r="I1766" s="41" t="s">
        <v>14765</v>
      </c>
      <c r="J1766" s="41" t="s">
        <v>14766</v>
      </c>
      <c r="K1766" s="41" t="s">
        <v>14767</v>
      </c>
      <c r="L1766" s="41" t="s">
        <v>1076</v>
      </c>
    </row>
    <row r="1767" spans="1:19" x14ac:dyDescent="0.25">
      <c r="A1767" s="41" t="s">
        <v>23</v>
      </c>
      <c r="B1767" s="41" t="s">
        <v>14768</v>
      </c>
      <c r="D1767" s="41" t="s">
        <v>14769</v>
      </c>
      <c r="F1767" s="41" t="s">
        <v>14770</v>
      </c>
      <c r="G1767" s="41" t="s">
        <v>14771</v>
      </c>
      <c r="H1767" s="41" t="s">
        <v>14772</v>
      </c>
      <c r="I1767" s="41" t="s">
        <v>14773</v>
      </c>
      <c r="J1767" s="41" t="s">
        <v>14774</v>
      </c>
      <c r="K1767" s="41" t="s">
        <v>14775</v>
      </c>
      <c r="L1767" s="41" t="s">
        <v>1085</v>
      </c>
    </row>
    <row r="1768" spans="1:19" x14ac:dyDescent="0.25">
      <c r="A1768" s="41" t="s">
        <v>23</v>
      </c>
      <c r="B1768" s="41" t="s">
        <v>14776</v>
      </c>
      <c r="D1768" s="41" t="s">
        <v>14777</v>
      </c>
      <c r="F1768" s="41" t="s">
        <v>14778</v>
      </c>
      <c r="G1768" s="41" t="s">
        <v>14779</v>
      </c>
      <c r="H1768" s="41" t="s">
        <v>14780</v>
      </c>
      <c r="I1768" s="41" t="s">
        <v>14781</v>
      </c>
      <c r="J1768" s="41" t="s">
        <v>14782</v>
      </c>
      <c r="K1768" s="41" t="s">
        <v>14783</v>
      </c>
      <c r="L1768" s="41" t="s">
        <v>1094</v>
      </c>
    </row>
    <row r="1769" spans="1:19" x14ac:dyDescent="0.25">
      <c r="A1769" s="41" t="s">
        <v>908</v>
      </c>
      <c r="B1769" s="41" t="s">
        <v>14784</v>
      </c>
    </row>
    <row r="1770" spans="1:19" x14ac:dyDescent="0.25">
      <c r="A1770" s="41" t="s">
        <v>23</v>
      </c>
      <c r="B1770" s="41" t="s">
        <v>14785</v>
      </c>
      <c r="F1770" s="41" t="s">
        <v>14786</v>
      </c>
      <c r="G1770" s="41" t="s">
        <v>14787</v>
      </c>
      <c r="H1770" s="41" t="s">
        <v>14788</v>
      </c>
      <c r="I1770" s="41" t="s">
        <v>14789</v>
      </c>
      <c r="J1770" s="41" t="s">
        <v>14790</v>
      </c>
      <c r="L1770" s="41" t="s">
        <v>4</v>
      </c>
    </row>
    <row r="1771" spans="1:19" x14ac:dyDescent="0.25">
      <c r="A1771" s="41" t="s">
        <v>23</v>
      </c>
      <c r="B1771" s="41" t="s">
        <v>14791</v>
      </c>
      <c r="D1771" s="41" t="s">
        <v>14681</v>
      </c>
      <c r="E1771" s="41" t="s">
        <v>14793</v>
      </c>
      <c r="F1771" s="41" t="s">
        <v>14794</v>
      </c>
      <c r="G1771" s="41" t="s">
        <v>14795</v>
      </c>
      <c r="H1771" s="41" t="s">
        <v>14796</v>
      </c>
      <c r="I1771" s="41" t="s">
        <v>14797</v>
      </c>
      <c r="J1771" s="41" t="s">
        <v>14798</v>
      </c>
      <c r="K1771" s="41" t="s">
        <v>14799</v>
      </c>
      <c r="L1771" s="41" t="s">
        <v>14800</v>
      </c>
      <c r="M1771" s="41" t="s">
        <v>14801</v>
      </c>
      <c r="N1771" s="41" t="s">
        <v>14802</v>
      </c>
      <c r="O1771" s="41" t="s">
        <v>14803</v>
      </c>
      <c r="P1771" s="41" t="s">
        <v>14804</v>
      </c>
      <c r="Q1771" s="41" t="s">
        <v>14805</v>
      </c>
      <c r="R1771" s="41" t="s">
        <v>14806</v>
      </c>
      <c r="S1771" s="41" t="s">
        <v>14807</v>
      </c>
    </row>
    <row r="1772" spans="1:19" x14ac:dyDescent="0.25">
      <c r="A1772" s="41" t="s">
        <v>23</v>
      </c>
      <c r="B1772" s="41" t="s">
        <v>14808</v>
      </c>
      <c r="D1772" s="41" t="s">
        <v>14809</v>
      </c>
      <c r="F1772" s="41" t="s">
        <v>14810</v>
      </c>
      <c r="G1772" s="41" t="s">
        <v>14811</v>
      </c>
      <c r="H1772" s="41" t="s">
        <v>14812</v>
      </c>
      <c r="I1772" s="41" t="s">
        <v>14813</v>
      </c>
      <c r="J1772" s="41" t="s">
        <v>14814</v>
      </c>
      <c r="K1772" s="41" t="s">
        <v>14815</v>
      </c>
      <c r="L1772" s="41" t="s">
        <v>891</v>
      </c>
    </row>
    <row r="1773" spans="1:19" x14ac:dyDescent="0.25">
      <c r="A1773" s="41" t="s">
        <v>23</v>
      </c>
      <c r="B1773" s="41" t="s">
        <v>14816</v>
      </c>
      <c r="D1773" s="41" t="s">
        <v>14817</v>
      </c>
      <c r="F1773" s="41" t="s">
        <v>14818</v>
      </c>
      <c r="G1773" s="41" t="s">
        <v>14819</v>
      </c>
      <c r="H1773" s="41" t="s">
        <v>14820</v>
      </c>
      <c r="I1773" s="41" t="s">
        <v>14821</v>
      </c>
      <c r="J1773" s="41" t="s">
        <v>14822</v>
      </c>
      <c r="K1773" s="41" t="s">
        <v>14823</v>
      </c>
      <c r="L1773" s="41" t="s">
        <v>1076</v>
      </c>
    </row>
    <row r="1774" spans="1:19" x14ac:dyDescent="0.25">
      <c r="A1774" s="41" t="s">
        <v>23</v>
      </c>
      <c r="B1774" s="41" t="s">
        <v>14824</v>
      </c>
      <c r="D1774" s="41" t="s">
        <v>14825</v>
      </c>
      <c r="F1774" s="41" t="s">
        <v>14826</v>
      </c>
      <c r="G1774" s="41" t="s">
        <v>14827</v>
      </c>
      <c r="H1774" s="41" t="s">
        <v>14828</v>
      </c>
      <c r="I1774" s="41" t="s">
        <v>14829</v>
      </c>
      <c r="J1774" s="41" t="s">
        <v>14830</v>
      </c>
      <c r="K1774" s="41" t="s">
        <v>14831</v>
      </c>
      <c r="L1774" s="41" t="s">
        <v>1085</v>
      </c>
    </row>
    <row r="1775" spans="1:19" x14ac:dyDescent="0.25">
      <c r="A1775" s="41" t="s">
        <v>23</v>
      </c>
      <c r="B1775" s="41" t="s">
        <v>14832</v>
      </c>
      <c r="D1775" s="41" t="s">
        <v>14833</v>
      </c>
      <c r="F1775" s="41" t="s">
        <v>14834</v>
      </c>
      <c r="G1775" s="41" t="s">
        <v>14835</v>
      </c>
      <c r="H1775" s="41" t="s">
        <v>14836</v>
      </c>
      <c r="I1775" s="41" t="s">
        <v>14837</v>
      </c>
      <c r="J1775" s="41" t="s">
        <v>14838</v>
      </c>
      <c r="K1775" s="41" t="s">
        <v>14839</v>
      </c>
      <c r="L1775" s="41" t="s">
        <v>1094</v>
      </c>
    </row>
    <row r="1776" spans="1:19" x14ac:dyDescent="0.25">
      <c r="A1776" s="41" t="s">
        <v>908</v>
      </c>
      <c r="B1776" s="41" t="s">
        <v>14840</v>
      </c>
    </row>
    <row r="1777" spans="1:19" x14ac:dyDescent="0.25">
      <c r="A1777" s="41" t="s">
        <v>23</v>
      </c>
      <c r="B1777" s="41" t="s">
        <v>14841</v>
      </c>
      <c r="F1777" s="41" t="s">
        <v>14842</v>
      </c>
      <c r="G1777" s="41" t="s">
        <v>14843</v>
      </c>
      <c r="H1777" s="41" t="s">
        <v>14844</v>
      </c>
      <c r="I1777" s="41" t="s">
        <v>14845</v>
      </c>
      <c r="J1777" s="41" t="s">
        <v>14846</v>
      </c>
      <c r="L1777" s="41" t="s">
        <v>4</v>
      </c>
    </row>
    <row r="1778" spans="1:19" x14ac:dyDescent="0.25">
      <c r="A1778" s="41" t="s">
        <v>23</v>
      </c>
      <c r="B1778" s="41" t="s">
        <v>14847</v>
      </c>
      <c r="D1778" s="41" t="s">
        <v>426</v>
      </c>
      <c r="E1778" s="41" t="s">
        <v>14849</v>
      </c>
      <c r="F1778" s="41" t="s">
        <v>14850</v>
      </c>
      <c r="G1778" s="41" t="s">
        <v>14851</v>
      </c>
      <c r="H1778" s="41" t="s">
        <v>14852</v>
      </c>
      <c r="I1778" s="41" t="s">
        <v>14853</v>
      </c>
      <c r="J1778" s="41" t="s">
        <v>14854</v>
      </c>
      <c r="K1778" s="41" t="s">
        <v>14855</v>
      </c>
      <c r="L1778" s="41" t="s">
        <v>14856</v>
      </c>
      <c r="M1778" s="41" t="s">
        <v>14857</v>
      </c>
      <c r="N1778" s="41" t="s">
        <v>14858</v>
      </c>
      <c r="O1778" s="41" t="s">
        <v>14859</v>
      </c>
      <c r="P1778" s="41" t="s">
        <v>14860</v>
      </c>
      <c r="Q1778" s="41" t="s">
        <v>14861</v>
      </c>
      <c r="R1778" s="41" t="s">
        <v>14862</v>
      </c>
      <c r="S1778" s="41" t="s">
        <v>14863</v>
      </c>
    </row>
    <row r="1779" spans="1:19" x14ac:dyDescent="0.25">
      <c r="A1779" s="41" t="s">
        <v>23</v>
      </c>
      <c r="B1779" s="41" t="s">
        <v>14864</v>
      </c>
      <c r="D1779" s="41" t="s">
        <v>14865</v>
      </c>
      <c r="F1779" s="41" t="s">
        <v>14866</v>
      </c>
      <c r="G1779" s="41" t="s">
        <v>14867</v>
      </c>
      <c r="H1779" s="41" t="s">
        <v>14868</v>
      </c>
      <c r="I1779" s="41" t="s">
        <v>14869</v>
      </c>
      <c r="J1779" s="41" t="s">
        <v>14870</v>
      </c>
      <c r="K1779" s="41" t="s">
        <v>14871</v>
      </c>
      <c r="L1779" s="41" t="s">
        <v>891</v>
      </c>
    </row>
    <row r="1780" spans="1:19" x14ac:dyDescent="0.25">
      <c r="A1780" s="41" t="s">
        <v>23</v>
      </c>
      <c r="B1780" s="41" t="s">
        <v>14872</v>
      </c>
      <c r="D1780" s="41" t="s">
        <v>14873</v>
      </c>
      <c r="F1780" s="41" t="s">
        <v>14874</v>
      </c>
      <c r="G1780" s="41" t="s">
        <v>14875</v>
      </c>
      <c r="H1780" s="41" t="s">
        <v>14876</v>
      </c>
      <c r="I1780" s="41" t="s">
        <v>14877</v>
      </c>
      <c r="J1780" s="41" t="s">
        <v>14878</v>
      </c>
      <c r="K1780" s="41" t="s">
        <v>14879</v>
      </c>
      <c r="L1780" s="41" t="s">
        <v>1076</v>
      </c>
    </row>
    <row r="1781" spans="1:19" x14ac:dyDescent="0.25">
      <c r="A1781" s="41" t="s">
        <v>23</v>
      </c>
      <c r="B1781" s="41" t="s">
        <v>14880</v>
      </c>
      <c r="D1781" s="41" t="s">
        <v>14881</v>
      </c>
      <c r="F1781" s="41" t="s">
        <v>14882</v>
      </c>
      <c r="G1781" s="41" t="s">
        <v>14883</v>
      </c>
      <c r="H1781" s="41" t="s">
        <v>14884</v>
      </c>
      <c r="I1781" s="41" t="s">
        <v>14885</v>
      </c>
      <c r="J1781" s="41" t="s">
        <v>14886</v>
      </c>
      <c r="K1781" s="41" t="s">
        <v>14887</v>
      </c>
      <c r="L1781" s="41" t="s">
        <v>1085</v>
      </c>
    </row>
    <row r="1782" spans="1:19" x14ac:dyDescent="0.25">
      <c r="A1782" s="41" t="s">
        <v>23</v>
      </c>
      <c r="B1782" s="41" t="s">
        <v>14888</v>
      </c>
      <c r="D1782" s="41" t="s">
        <v>14889</v>
      </c>
      <c r="F1782" s="41" t="s">
        <v>14890</v>
      </c>
      <c r="G1782" s="41" t="s">
        <v>14891</v>
      </c>
      <c r="H1782" s="41" t="s">
        <v>14892</v>
      </c>
      <c r="I1782" s="41" t="s">
        <v>14893</v>
      </c>
      <c r="J1782" s="41" t="s">
        <v>14894</v>
      </c>
      <c r="K1782" s="41" t="s">
        <v>14895</v>
      </c>
      <c r="L1782" s="41" t="s">
        <v>1094</v>
      </c>
    </row>
    <row r="1783" spans="1:19" x14ac:dyDescent="0.25">
      <c r="A1783" s="41" t="s">
        <v>908</v>
      </c>
      <c r="B1783" s="41" t="s">
        <v>14896</v>
      </c>
    </row>
    <row r="1784" spans="1:19" x14ac:dyDescent="0.25">
      <c r="A1784" s="41" t="s">
        <v>23</v>
      </c>
      <c r="B1784" s="41" t="s">
        <v>14897</v>
      </c>
      <c r="F1784" s="41" t="s">
        <v>14898</v>
      </c>
      <c r="G1784" s="41" t="s">
        <v>14899</v>
      </c>
      <c r="H1784" s="41" t="s">
        <v>14900</v>
      </c>
      <c r="I1784" s="41" t="s">
        <v>14901</v>
      </c>
      <c r="J1784" s="41" t="s">
        <v>14902</v>
      </c>
      <c r="L1784" s="41" t="s">
        <v>4</v>
      </c>
    </row>
    <row r="1785" spans="1:19" x14ac:dyDescent="0.25">
      <c r="A1785" s="41" t="s">
        <v>23</v>
      </c>
      <c r="B1785" s="41" t="s">
        <v>14903</v>
      </c>
      <c r="D1785" s="41" t="s">
        <v>14792</v>
      </c>
      <c r="E1785" s="41" t="s">
        <v>14905</v>
      </c>
      <c r="F1785" s="41" t="s">
        <v>14906</v>
      </c>
      <c r="G1785" s="41" t="s">
        <v>14907</v>
      </c>
      <c r="H1785" s="41" t="s">
        <v>14908</v>
      </c>
      <c r="I1785" s="41" t="s">
        <v>14909</v>
      </c>
      <c r="J1785" s="41" t="s">
        <v>14910</v>
      </c>
      <c r="K1785" s="41" t="s">
        <v>14911</v>
      </c>
      <c r="L1785" s="41" t="s">
        <v>14912</v>
      </c>
      <c r="M1785" s="41" t="s">
        <v>14913</v>
      </c>
      <c r="N1785" s="41" t="s">
        <v>14914</v>
      </c>
      <c r="O1785" s="41" t="s">
        <v>14915</v>
      </c>
      <c r="P1785" s="41" t="s">
        <v>14916</v>
      </c>
      <c r="Q1785" s="41" t="s">
        <v>14917</v>
      </c>
      <c r="R1785" s="41" t="s">
        <v>14918</v>
      </c>
      <c r="S1785" s="41" t="s">
        <v>14919</v>
      </c>
    </row>
    <row r="1786" spans="1:19" x14ac:dyDescent="0.25">
      <c r="A1786" s="41" t="s">
        <v>23</v>
      </c>
      <c r="B1786" s="41" t="s">
        <v>14920</v>
      </c>
      <c r="D1786" s="41" t="s">
        <v>14921</v>
      </c>
      <c r="F1786" s="41" t="s">
        <v>14922</v>
      </c>
      <c r="G1786" s="41" t="s">
        <v>14923</v>
      </c>
      <c r="H1786" s="41" t="s">
        <v>14924</v>
      </c>
      <c r="I1786" s="41" t="s">
        <v>14925</v>
      </c>
      <c r="J1786" s="41" t="s">
        <v>14926</v>
      </c>
      <c r="K1786" s="41" t="s">
        <v>14927</v>
      </c>
      <c r="L1786" s="41" t="s">
        <v>891</v>
      </c>
    </row>
    <row r="1787" spans="1:19" x14ac:dyDescent="0.25">
      <c r="A1787" s="41" t="s">
        <v>23</v>
      </c>
      <c r="B1787" s="41" t="s">
        <v>14928</v>
      </c>
      <c r="D1787" s="41" t="s">
        <v>14929</v>
      </c>
      <c r="F1787" s="41" t="s">
        <v>14930</v>
      </c>
      <c r="G1787" s="41" t="s">
        <v>14931</v>
      </c>
      <c r="H1787" s="41" t="s">
        <v>14932</v>
      </c>
      <c r="I1787" s="41" t="s">
        <v>14933</v>
      </c>
      <c r="J1787" s="41" t="s">
        <v>14934</v>
      </c>
      <c r="K1787" s="41" t="s">
        <v>14935</v>
      </c>
      <c r="L1787" s="41" t="s">
        <v>1076</v>
      </c>
    </row>
    <row r="1788" spans="1:19" x14ac:dyDescent="0.25">
      <c r="A1788" s="41" t="s">
        <v>23</v>
      </c>
      <c r="B1788" s="41" t="s">
        <v>14936</v>
      </c>
      <c r="D1788" s="41" t="s">
        <v>14937</v>
      </c>
      <c r="F1788" s="41" t="s">
        <v>14938</v>
      </c>
      <c r="G1788" s="41" t="s">
        <v>14939</v>
      </c>
      <c r="H1788" s="41" t="s">
        <v>14940</v>
      </c>
      <c r="I1788" s="41" t="s">
        <v>14941</v>
      </c>
      <c r="J1788" s="41" t="s">
        <v>14942</v>
      </c>
      <c r="K1788" s="41" t="s">
        <v>14943</v>
      </c>
      <c r="L1788" s="41" t="s">
        <v>1085</v>
      </c>
    </row>
    <row r="1789" spans="1:19" x14ac:dyDescent="0.25">
      <c r="A1789" s="41" t="s">
        <v>23</v>
      </c>
      <c r="B1789" s="41" t="s">
        <v>14944</v>
      </c>
      <c r="D1789" s="41" t="s">
        <v>14945</v>
      </c>
      <c r="F1789" s="41" t="s">
        <v>14946</v>
      </c>
      <c r="G1789" s="41" t="s">
        <v>14947</v>
      </c>
      <c r="H1789" s="41" t="s">
        <v>14948</v>
      </c>
      <c r="I1789" s="41" t="s">
        <v>14949</v>
      </c>
      <c r="J1789" s="41" t="s">
        <v>14950</v>
      </c>
      <c r="K1789" s="41" t="s">
        <v>14951</v>
      </c>
      <c r="L1789" s="41" t="s">
        <v>1094</v>
      </c>
    </row>
    <row r="1790" spans="1:19" x14ac:dyDescent="0.25">
      <c r="A1790" s="41" t="s">
        <v>908</v>
      </c>
      <c r="B1790" s="41" t="s">
        <v>14952</v>
      </c>
    </row>
    <row r="1791" spans="1:19" x14ac:dyDescent="0.25">
      <c r="A1791" s="41" t="s">
        <v>23</v>
      </c>
      <c r="B1791" s="41" t="s">
        <v>14953</v>
      </c>
      <c r="F1791" s="41" t="s">
        <v>14954</v>
      </c>
      <c r="G1791" s="41" t="s">
        <v>14955</v>
      </c>
      <c r="H1791" s="41" t="s">
        <v>14956</v>
      </c>
      <c r="I1791" s="41" t="s">
        <v>14957</v>
      </c>
      <c r="J1791" s="41" t="s">
        <v>14958</v>
      </c>
      <c r="L1791" s="41" t="s">
        <v>4</v>
      </c>
    </row>
    <row r="1792" spans="1:19" x14ac:dyDescent="0.25">
      <c r="A1792" s="41" t="s">
        <v>23</v>
      </c>
      <c r="B1792" s="41" t="s">
        <v>14959</v>
      </c>
      <c r="D1792" s="41" t="s">
        <v>14848</v>
      </c>
      <c r="E1792" s="41" t="s">
        <v>14961</v>
      </c>
      <c r="F1792" s="41" t="s">
        <v>14962</v>
      </c>
      <c r="G1792" s="41" t="s">
        <v>14963</v>
      </c>
      <c r="H1792" s="41" t="s">
        <v>14964</v>
      </c>
      <c r="I1792" s="41" t="s">
        <v>14965</v>
      </c>
      <c r="J1792" s="41" t="s">
        <v>14966</v>
      </c>
      <c r="K1792" s="41" t="s">
        <v>14967</v>
      </c>
      <c r="L1792" s="41" t="s">
        <v>14968</v>
      </c>
      <c r="M1792" s="41" t="s">
        <v>14969</v>
      </c>
      <c r="N1792" s="41" t="s">
        <v>14970</v>
      </c>
      <c r="O1792" s="41" t="s">
        <v>14971</v>
      </c>
      <c r="P1792" s="41" t="s">
        <v>14972</v>
      </c>
      <c r="Q1792" s="41" t="s">
        <v>14973</v>
      </c>
      <c r="R1792" s="41" t="s">
        <v>14974</v>
      </c>
      <c r="S1792" s="41" t="s">
        <v>14975</v>
      </c>
    </row>
    <row r="1793" spans="1:19" x14ac:dyDescent="0.25">
      <c r="A1793" s="41" t="s">
        <v>23</v>
      </c>
      <c r="B1793" s="41" t="s">
        <v>14976</v>
      </c>
      <c r="D1793" s="41" t="s">
        <v>14977</v>
      </c>
      <c r="F1793" s="41" t="s">
        <v>14978</v>
      </c>
      <c r="G1793" s="41" t="s">
        <v>14979</v>
      </c>
      <c r="H1793" s="41" t="s">
        <v>14980</v>
      </c>
      <c r="I1793" s="41" t="s">
        <v>14981</v>
      </c>
      <c r="J1793" s="41" t="s">
        <v>14982</v>
      </c>
      <c r="K1793" s="41" t="s">
        <v>14983</v>
      </c>
      <c r="L1793" s="41" t="s">
        <v>891</v>
      </c>
    </row>
    <row r="1794" spans="1:19" x14ac:dyDescent="0.25">
      <c r="A1794" s="41" t="s">
        <v>23</v>
      </c>
      <c r="B1794" s="41" t="s">
        <v>14984</v>
      </c>
      <c r="D1794" s="41" t="s">
        <v>14985</v>
      </c>
      <c r="F1794" s="41" t="s">
        <v>14986</v>
      </c>
      <c r="G1794" s="41" t="s">
        <v>14987</v>
      </c>
      <c r="H1794" s="41" t="s">
        <v>14988</v>
      </c>
      <c r="I1794" s="41" t="s">
        <v>14989</v>
      </c>
      <c r="J1794" s="41" t="s">
        <v>14990</v>
      </c>
      <c r="K1794" s="41" t="s">
        <v>14991</v>
      </c>
      <c r="L1794" s="41" t="s">
        <v>1076</v>
      </c>
    </row>
    <row r="1795" spans="1:19" x14ac:dyDescent="0.25">
      <c r="A1795" s="41" t="s">
        <v>23</v>
      </c>
      <c r="B1795" s="41" t="s">
        <v>14992</v>
      </c>
      <c r="D1795" s="41" t="s">
        <v>14993</v>
      </c>
      <c r="F1795" s="41" t="s">
        <v>14994</v>
      </c>
      <c r="G1795" s="41" t="s">
        <v>14995</v>
      </c>
      <c r="H1795" s="41" t="s">
        <v>14996</v>
      </c>
      <c r="I1795" s="41" t="s">
        <v>14997</v>
      </c>
      <c r="J1795" s="41" t="s">
        <v>14998</v>
      </c>
      <c r="K1795" s="41" t="s">
        <v>14999</v>
      </c>
      <c r="L1795" s="41" t="s">
        <v>1085</v>
      </c>
    </row>
    <row r="1796" spans="1:19" x14ac:dyDescent="0.25">
      <c r="A1796" s="41" t="s">
        <v>23</v>
      </c>
      <c r="B1796" s="41" t="s">
        <v>15000</v>
      </c>
      <c r="D1796" s="41" t="s">
        <v>15001</v>
      </c>
      <c r="F1796" s="41" t="s">
        <v>15002</v>
      </c>
      <c r="G1796" s="41" t="s">
        <v>15003</v>
      </c>
      <c r="H1796" s="41" t="s">
        <v>15004</v>
      </c>
      <c r="I1796" s="41" t="s">
        <v>15005</v>
      </c>
      <c r="J1796" s="41" t="s">
        <v>15006</v>
      </c>
      <c r="K1796" s="41" t="s">
        <v>15007</v>
      </c>
      <c r="L1796" s="41" t="s">
        <v>1094</v>
      </c>
    </row>
    <row r="1797" spans="1:19" x14ac:dyDescent="0.25">
      <c r="A1797" s="41" t="s">
        <v>908</v>
      </c>
      <c r="B1797" s="41" t="s">
        <v>15008</v>
      </c>
    </row>
    <row r="1798" spans="1:19" x14ac:dyDescent="0.25">
      <c r="A1798" s="41" t="s">
        <v>23</v>
      </c>
      <c r="B1798" s="41" t="s">
        <v>15009</v>
      </c>
      <c r="F1798" s="41" t="s">
        <v>15010</v>
      </c>
      <c r="G1798" s="41" t="s">
        <v>15011</v>
      </c>
      <c r="H1798" s="41" t="s">
        <v>15012</v>
      </c>
      <c r="I1798" s="41" t="s">
        <v>15013</v>
      </c>
      <c r="J1798" s="41" t="s">
        <v>15014</v>
      </c>
      <c r="L1798" s="41" t="s">
        <v>4</v>
      </c>
    </row>
    <row r="1799" spans="1:19" x14ac:dyDescent="0.25">
      <c r="A1799" s="41" t="s">
        <v>23</v>
      </c>
      <c r="B1799" s="41" t="s">
        <v>15015</v>
      </c>
      <c r="D1799" s="41" t="s">
        <v>14904</v>
      </c>
      <c r="E1799" s="41" t="s">
        <v>15017</v>
      </c>
      <c r="F1799" s="41" t="s">
        <v>15018</v>
      </c>
      <c r="G1799" s="41" t="s">
        <v>15019</v>
      </c>
      <c r="H1799" s="41" t="s">
        <v>15020</v>
      </c>
      <c r="I1799" s="41" t="s">
        <v>15021</v>
      </c>
      <c r="J1799" s="41" t="s">
        <v>15022</v>
      </c>
      <c r="K1799" s="41" t="s">
        <v>15023</v>
      </c>
      <c r="L1799" s="41" t="s">
        <v>15024</v>
      </c>
      <c r="M1799" s="41" t="s">
        <v>15025</v>
      </c>
      <c r="N1799" s="41" t="s">
        <v>15026</v>
      </c>
      <c r="O1799" s="41" t="s">
        <v>15027</v>
      </c>
      <c r="P1799" s="41" t="s">
        <v>15028</v>
      </c>
      <c r="Q1799" s="41" t="s">
        <v>15029</v>
      </c>
      <c r="R1799" s="41" t="s">
        <v>15030</v>
      </c>
      <c r="S1799" s="41" t="s">
        <v>15031</v>
      </c>
    </row>
    <row r="1800" spans="1:19" x14ac:dyDescent="0.25">
      <c r="A1800" s="41" t="s">
        <v>23</v>
      </c>
      <c r="B1800" s="41" t="s">
        <v>15032</v>
      </c>
      <c r="D1800" s="41" t="s">
        <v>15033</v>
      </c>
      <c r="F1800" s="41" t="s">
        <v>15034</v>
      </c>
      <c r="G1800" s="41" t="s">
        <v>15035</v>
      </c>
      <c r="H1800" s="41" t="s">
        <v>15036</v>
      </c>
      <c r="I1800" s="41" t="s">
        <v>15037</v>
      </c>
      <c r="J1800" s="41" t="s">
        <v>15038</v>
      </c>
      <c r="K1800" s="41" t="s">
        <v>15039</v>
      </c>
      <c r="L1800" s="41" t="s">
        <v>891</v>
      </c>
    </row>
    <row r="1801" spans="1:19" x14ac:dyDescent="0.25">
      <c r="A1801" s="41" t="s">
        <v>23</v>
      </c>
      <c r="B1801" s="41" t="s">
        <v>15040</v>
      </c>
      <c r="D1801" s="41" t="s">
        <v>15041</v>
      </c>
      <c r="F1801" s="41" t="s">
        <v>15042</v>
      </c>
      <c r="G1801" s="41" t="s">
        <v>15043</v>
      </c>
      <c r="H1801" s="41" t="s">
        <v>15044</v>
      </c>
      <c r="I1801" s="41" t="s">
        <v>15045</v>
      </c>
      <c r="J1801" s="41" t="s">
        <v>15046</v>
      </c>
      <c r="K1801" s="41" t="s">
        <v>15047</v>
      </c>
      <c r="L1801" s="41" t="s">
        <v>1076</v>
      </c>
    </row>
    <row r="1802" spans="1:19" x14ac:dyDescent="0.25">
      <c r="A1802" s="41" t="s">
        <v>23</v>
      </c>
      <c r="B1802" s="41" t="s">
        <v>15048</v>
      </c>
      <c r="D1802" s="41" t="s">
        <v>15049</v>
      </c>
      <c r="F1802" s="41" t="s">
        <v>15050</v>
      </c>
      <c r="G1802" s="41" t="s">
        <v>15051</v>
      </c>
      <c r="H1802" s="41" t="s">
        <v>15052</v>
      </c>
      <c r="I1802" s="41" t="s">
        <v>15053</v>
      </c>
      <c r="J1802" s="41" t="s">
        <v>15054</v>
      </c>
      <c r="K1802" s="41" t="s">
        <v>15055</v>
      </c>
      <c r="L1802" s="41" t="s">
        <v>1085</v>
      </c>
    </row>
    <row r="1803" spans="1:19" x14ac:dyDescent="0.25">
      <c r="A1803" s="41" t="s">
        <v>23</v>
      </c>
      <c r="B1803" s="41" t="s">
        <v>15056</v>
      </c>
      <c r="D1803" s="41" t="s">
        <v>15057</v>
      </c>
      <c r="F1803" s="41" t="s">
        <v>15058</v>
      </c>
      <c r="G1803" s="41" t="s">
        <v>15059</v>
      </c>
      <c r="H1803" s="41" t="s">
        <v>15060</v>
      </c>
      <c r="I1803" s="41" t="s">
        <v>15061</v>
      </c>
      <c r="J1803" s="41" t="s">
        <v>15062</v>
      </c>
      <c r="K1803" s="41" t="s">
        <v>15063</v>
      </c>
      <c r="L1803" s="41" t="s">
        <v>1094</v>
      </c>
    </row>
    <row r="1804" spans="1:19" x14ac:dyDescent="0.25">
      <c r="A1804" s="41" t="s">
        <v>908</v>
      </c>
      <c r="B1804" s="41" t="s">
        <v>15064</v>
      </c>
    </row>
    <row r="1805" spans="1:19" x14ac:dyDescent="0.25">
      <c r="A1805" s="41" t="s">
        <v>23</v>
      </c>
      <c r="B1805" s="41" t="s">
        <v>15065</v>
      </c>
      <c r="F1805" s="41" t="s">
        <v>15066</v>
      </c>
      <c r="G1805" s="41" t="s">
        <v>15067</v>
      </c>
      <c r="H1805" s="41" t="s">
        <v>15068</v>
      </c>
      <c r="I1805" s="41" t="s">
        <v>15069</v>
      </c>
      <c r="J1805" s="41" t="s">
        <v>15070</v>
      </c>
      <c r="L1805" s="41" t="s">
        <v>4</v>
      </c>
    </row>
    <row r="1806" spans="1:19" x14ac:dyDescent="0.25">
      <c r="A1806" s="41" t="s">
        <v>23</v>
      </c>
      <c r="B1806" s="41" t="s">
        <v>15071</v>
      </c>
      <c r="D1806" s="41" t="s">
        <v>14960</v>
      </c>
      <c r="E1806" s="41" t="s">
        <v>15073</v>
      </c>
      <c r="F1806" s="41" t="s">
        <v>15074</v>
      </c>
      <c r="G1806" s="41" t="s">
        <v>15075</v>
      </c>
      <c r="H1806" s="41" t="s">
        <v>15076</v>
      </c>
      <c r="I1806" s="41" t="s">
        <v>15077</v>
      </c>
      <c r="J1806" s="41" t="s">
        <v>15078</v>
      </c>
      <c r="K1806" s="41" t="s">
        <v>15079</v>
      </c>
      <c r="L1806" s="41" t="s">
        <v>15080</v>
      </c>
      <c r="M1806" s="41" t="s">
        <v>15081</v>
      </c>
      <c r="N1806" s="41" t="s">
        <v>15082</v>
      </c>
      <c r="O1806" s="41" t="s">
        <v>15083</v>
      </c>
      <c r="P1806" s="41" t="s">
        <v>15084</v>
      </c>
      <c r="Q1806" s="41" t="s">
        <v>15085</v>
      </c>
      <c r="R1806" s="41" t="s">
        <v>15086</v>
      </c>
      <c r="S1806" s="41" t="s">
        <v>15087</v>
      </c>
    </row>
    <row r="1807" spans="1:19" x14ac:dyDescent="0.25">
      <c r="A1807" s="41" t="s">
        <v>23</v>
      </c>
      <c r="B1807" s="41" t="s">
        <v>15088</v>
      </c>
      <c r="D1807" s="41" t="s">
        <v>15089</v>
      </c>
      <c r="F1807" s="41" t="s">
        <v>15090</v>
      </c>
      <c r="G1807" s="41" t="s">
        <v>15091</v>
      </c>
      <c r="H1807" s="41" t="s">
        <v>15092</v>
      </c>
      <c r="I1807" s="41" t="s">
        <v>15093</v>
      </c>
      <c r="J1807" s="41" t="s">
        <v>15094</v>
      </c>
      <c r="K1807" s="41" t="s">
        <v>15095</v>
      </c>
      <c r="L1807" s="41" t="s">
        <v>891</v>
      </c>
    </row>
    <row r="1808" spans="1:19" x14ac:dyDescent="0.25">
      <c r="A1808" s="41" t="s">
        <v>23</v>
      </c>
      <c r="B1808" s="41" t="s">
        <v>15096</v>
      </c>
      <c r="D1808" s="41" t="s">
        <v>15097</v>
      </c>
      <c r="F1808" s="41" t="s">
        <v>15098</v>
      </c>
      <c r="G1808" s="41" t="s">
        <v>15099</v>
      </c>
      <c r="H1808" s="41" t="s">
        <v>15100</v>
      </c>
      <c r="I1808" s="41" t="s">
        <v>15101</v>
      </c>
      <c r="J1808" s="41" t="s">
        <v>15102</v>
      </c>
      <c r="K1808" s="41" t="s">
        <v>15103</v>
      </c>
      <c r="L1808" s="41" t="s">
        <v>1076</v>
      </c>
    </row>
    <row r="1809" spans="1:19" x14ac:dyDescent="0.25">
      <c r="A1809" s="41" t="s">
        <v>23</v>
      </c>
      <c r="B1809" s="41" t="s">
        <v>15104</v>
      </c>
      <c r="D1809" s="41" t="s">
        <v>15105</v>
      </c>
      <c r="F1809" s="41" t="s">
        <v>15106</v>
      </c>
      <c r="G1809" s="41" t="s">
        <v>15107</v>
      </c>
      <c r="H1809" s="41" t="s">
        <v>15108</v>
      </c>
      <c r="I1809" s="41" t="s">
        <v>15109</v>
      </c>
      <c r="J1809" s="41" t="s">
        <v>15110</v>
      </c>
      <c r="K1809" s="41" t="s">
        <v>15111</v>
      </c>
      <c r="L1809" s="41" t="s">
        <v>1085</v>
      </c>
    </row>
    <row r="1810" spans="1:19" x14ac:dyDescent="0.25">
      <c r="A1810" s="41" t="s">
        <v>23</v>
      </c>
      <c r="B1810" s="41" t="s">
        <v>15112</v>
      </c>
      <c r="D1810" s="41" t="s">
        <v>15113</v>
      </c>
      <c r="F1810" s="41" t="s">
        <v>15114</v>
      </c>
      <c r="G1810" s="41" t="s">
        <v>15115</v>
      </c>
      <c r="H1810" s="41" t="s">
        <v>15116</v>
      </c>
      <c r="I1810" s="41" t="s">
        <v>15117</v>
      </c>
      <c r="J1810" s="41" t="s">
        <v>15118</v>
      </c>
      <c r="K1810" s="41" t="s">
        <v>15119</v>
      </c>
      <c r="L1810" s="41" t="s">
        <v>1094</v>
      </c>
    </row>
    <row r="1811" spans="1:19" x14ac:dyDescent="0.25">
      <c r="A1811" s="41" t="s">
        <v>908</v>
      </c>
      <c r="B1811" s="41" t="s">
        <v>15120</v>
      </c>
    </row>
    <row r="1812" spans="1:19" x14ac:dyDescent="0.25">
      <c r="A1812" s="41" t="s">
        <v>23</v>
      </c>
      <c r="B1812" s="41" t="s">
        <v>15121</v>
      </c>
      <c r="F1812" s="41" t="s">
        <v>15122</v>
      </c>
      <c r="G1812" s="41" t="s">
        <v>15123</v>
      </c>
      <c r="H1812" s="41" t="s">
        <v>15124</v>
      </c>
      <c r="I1812" s="41" t="s">
        <v>15125</v>
      </c>
      <c r="J1812" s="41" t="s">
        <v>15126</v>
      </c>
      <c r="L1812" s="41" t="s">
        <v>4</v>
      </c>
    </row>
    <row r="1813" spans="1:19" x14ac:dyDescent="0.25">
      <c r="A1813" s="41" t="s">
        <v>23</v>
      </c>
      <c r="B1813" s="41" t="s">
        <v>15127</v>
      </c>
      <c r="D1813" s="41" t="s">
        <v>15016</v>
      </c>
      <c r="E1813" s="41" t="s">
        <v>15129</v>
      </c>
      <c r="F1813" s="41" t="s">
        <v>15130</v>
      </c>
      <c r="G1813" s="41" t="s">
        <v>15131</v>
      </c>
      <c r="H1813" s="41" t="s">
        <v>15132</v>
      </c>
      <c r="I1813" s="41" t="s">
        <v>15133</v>
      </c>
      <c r="J1813" s="41" t="s">
        <v>15134</v>
      </c>
      <c r="K1813" s="41" t="s">
        <v>15135</v>
      </c>
      <c r="L1813" s="41" t="s">
        <v>15136</v>
      </c>
      <c r="M1813" s="41" t="s">
        <v>15137</v>
      </c>
      <c r="N1813" s="41" t="s">
        <v>15138</v>
      </c>
      <c r="O1813" s="41" t="s">
        <v>15139</v>
      </c>
      <c r="P1813" s="41" t="s">
        <v>15140</v>
      </c>
      <c r="Q1813" s="41" t="s">
        <v>15141</v>
      </c>
      <c r="R1813" s="41" t="s">
        <v>15142</v>
      </c>
      <c r="S1813" s="41" t="s">
        <v>15143</v>
      </c>
    </row>
    <row r="1814" spans="1:19" x14ac:dyDescent="0.25">
      <c r="A1814" s="41" t="s">
        <v>23</v>
      </c>
      <c r="B1814" s="41" t="s">
        <v>15144</v>
      </c>
      <c r="D1814" s="41" t="s">
        <v>15145</v>
      </c>
      <c r="F1814" s="41" t="s">
        <v>15146</v>
      </c>
      <c r="G1814" s="41" t="s">
        <v>15147</v>
      </c>
      <c r="H1814" s="41" t="s">
        <v>15148</v>
      </c>
      <c r="I1814" s="41" t="s">
        <v>15149</v>
      </c>
      <c r="J1814" s="41" t="s">
        <v>15150</v>
      </c>
      <c r="K1814" s="41" t="s">
        <v>15151</v>
      </c>
      <c r="L1814" s="41" t="s">
        <v>891</v>
      </c>
    </row>
    <row r="1815" spans="1:19" x14ac:dyDescent="0.25">
      <c r="A1815" s="41" t="s">
        <v>23</v>
      </c>
      <c r="B1815" s="41" t="s">
        <v>15152</v>
      </c>
      <c r="D1815" s="41" t="s">
        <v>15153</v>
      </c>
      <c r="F1815" s="41" t="s">
        <v>15154</v>
      </c>
      <c r="G1815" s="41" t="s">
        <v>15155</v>
      </c>
      <c r="H1815" s="41" t="s">
        <v>15156</v>
      </c>
      <c r="I1815" s="41" t="s">
        <v>15157</v>
      </c>
      <c r="J1815" s="41" t="s">
        <v>15158</v>
      </c>
      <c r="K1815" s="41" t="s">
        <v>15159</v>
      </c>
      <c r="L1815" s="41" t="s">
        <v>1076</v>
      </c>
    </row>
    <row r="1816" spans="1:19" x14ac:dyDescent="0.25">
      <c r="A1816" s="41" t="s">
        <v>23</v>
      </c>
      <c r="B1816" s="41" t="s">
        <v>15160</v>
      </c>
      <c r="D1816" s="41" t="s">
        <v>15161</v>
      </c>
      <c r="F1816" s="41" t="s">
        <v>15162</v>
      </c>
      <c r="G1816" s="41" t="s">
        <v>15163</v>
      </c>
      <c r="H1816" s="41" t="s">
        <v>15164</v>
      </c>
      <c r="I1816" s="41" t="s">
        <v>15165</v>
      </c>
      <c r="J1816" s="41" t="s">
        <v>15166</v>
      </c>
      <c r="K1816" s="41" t="s">
        <v>15167</v>
      </c>
      <c r="L1816" s="41" t="s">
        <v>1085</v>
      </c>
    </row>
    <row r="1817" spans="1:19" x14ac:dyDescent="0.25">
      <c r="A1817" s="41" t="s">
        <v>23</v>
      </c>
      <c r="B1817" s="41" t="s">
        <v>15168</v>
      </c>
      <c r="D1817" s="41" t="s">
        <v>15169</v>
      </c>
      <c r="F1817" s="41" t="s">
        <v>15170</v>
      </c>
      <c r="G1817" s="41" t="s">
        <v>15171</v>
      </c>
      <c r="H1817" s="41" t="s">
        <v>15172</v>
      </c>
      <c r="I1817" s="41" t="s">
        <v>15173</v>
      </c>
      <c r="J1817" s="41" t="s">
        <v>15174</v>
      </c>
      <c r="K1817" s="41" t="s">
        <v>15175</v>
      </c>
      <c r="L1817" s="41" t="s">
        <v>1094</v>
      </c>
    </row>
    <row r="1818" spans="1:19" x14ac:dyDescent="0.25">
      <c r="A1818" s="41" t="s">
        <v>908</v>
      </c>
      <c r="B1818" s="41" t="s">
        <v>15176</v>
      </c>
    </row>
    <row r="1819" spans="1:19" x14ac:dyDescent="0.25">
      <c r="A1819" s="41" t="s">
        <v>23</v>
      </c>
      <c r="B1819" s="41" t="s">
        <v>15177</v>
      </c>
      <c r="F1819" s="41" t="s">
        <v>15178</v>
      </c>
      <c r="G1819" s="41" t="s">
        <v>15179</v>
      </c>
      <c r="H1819" s="41" t="s">
        <v>15180</v>
      </c>
      <c r="I1819" s="41" t="s">
        <v>15181</v>
      </c>
      <c r="J1819" s="41" t="s">
        <v>15182</v>
      </c>
      <c r="L1819" s="41" t="s">
        <v>4</v>
      </c>
    </row>
    <row r="1820" spans="1:19" x14ac:dyDescent="0.25">
      <c r="A1820" s="41" t="s">
        <v>23</v>
      </c>
      <c r="B1820" s="41" t="s">
        <v>15183</v>
      </c>
      <c r="D1820" s="41" t="s">
        <v>15072</v>
      </c>
      <c r="E1820" s="41" t="s">
        <v>15185</v>
      </c>
      <c r="F1820" s="41" t="s">
        <v>15186</v>
      </c>
      <c r="G1820" s="41" t="s">
        <v>15187</v>
      </c>
      <c r="H1820" s="41" t="s">
        <v>15188</v>
      </c>
      <c r="I1820" s="41" t="s">
        <v>15189</v>
      </c>
      <c r="J1820" s="41" t="s">
        <v>15190</v>
      </c>
      <c r="K1820" s="41" t="s">
        <v>15191</v>
      </c>
      <c r="L1820" s="41" t="s">
        <v>15192</v>
      </c>
      <c r="M1820" s="41" t="s">
        <v>15193</v>
      </c>
      <c r="N1820" s="41" t="s">
        <v>15194</v>
      </c>
      <c r="O1820" s="41" t="s">
        <v>15195</v>
      </c>
      <c r="P1820" s="41" t="s">
        <v>15196</v>
      </c>
      <c r="Q1820" s="41" t="s">
        <v>15197</v>
      </c>
      <c r="R1820" s="41" t="s">
        <v>15198</v>
      </c>
      <c r="S1820" s="41" t="s">
        <v>15199</v>
      </c>
    </row>
    <row r="1821" spans="1:19" x14ac:dyDescent="0.25">
      <c r="A1821" s="41" t="s">
        <v>23</v>
      </c>
      <c r="B1821" s="41" t="s">
        <v>15200</v>
      </c>
      <c r="D1821" s="41" t="s">
        <v>15201</v>
      </c>
      <c r="F1821" s="41" t="s">
        <v>15202</v>
      </c>
      <c r="G1821" s="41" t="s">
        <v>15203</v>
      </c>
      <c r="H1821" s="41" t="s">
        <v>15204</v>
      </c>
      <c r="I1821" s="41" t="s">
        <v>15205</v>
      </c>
      <c r="J1821" s="41" t="s">
        <v>15206</v>
      </c>
      <c r="K1821" s="41" t="s">
        <v>15207</v>
      </c>
      <c r="L1821" s="41" t="s">
        <v>891</v>
      </c>
    </row>
    <row r="1822" spans="1:19" x14ac:dyDescent="0.25">
      <c r="A1822" s="41" t="s">
        <v>23</v>
      </c>
      <c r="B1822" s="41" t="s">
        <v>15208</v>
      </c>
      <c r="D1822" s="41" t="s">
        <v>15209</v>
      </c>
      <c r="F1822" s="41" t="s">
        <v>15210</v>
      </c>
      <c r="G1822" s="41" t="s">
        <v>15211</v>
      </c>
      <c r="H1822" s="41" t="s">
        <v>15212</v>
      </c>
      <c r="I1822" s="41" t="s">
        <v>15213</v>
      </c>
      <c r="J1822" s="41" t="s">
        <v>15214</v>
      </c>
      <c r="K1822" s="41" t="s">
        <v>15215</v>
      </c>
      <c r="L1822" s="41" t="s">
        <v>1076</v>
      </c>
    </row>
    <row r="1823" spans="1:19" x14ac:dyDescent="0.25">
      <c r="A1823" s="41" t="s">
        <v>23</v>
      </c>
      <c r="B1823" s="41" t="s">
        <v>15216</v>
      </c>
      <c r="D1823" s="41" t="s">
        <v>15217</v>
      </c>
      <c r="F1823" s="41" t="s">
        <v>15218</v>
      </c>
      <c r="G1823" s="41" t="s">
        <v>15219</v>
      </c>
      <c r="H1823" s="41" t="s">
        <v>15220</v>
      </c>
      <c r="I1823" s="41" t="s">
        <v>15221</v>
      </c>
      <c r="J1823" s="41" t="s">
        <v>15222</v>
      </c>
      <c r="K1823" s="41" t="s">
        <v>15223</v>
      </c>
      <c r="L1823" s="41" t="s">
        <v>1085</v>
      </c>
    </row>
    <row r="1824" spans="1:19" x14ac:dyDescent="0.25">
      <c r="A1824" s="41" t="s">
        <v>23</v>
      </c>
      <c r="B1824" s="41" t="s">
        <v>15224</v>
      </c>
      <c r="D1824" s="41" t="s">
        <v>15225</v>
      </c>
      <c r="F1824" s="41" t="s">
        <v>15226</v>
      </c>
      <c r="G1824" s="41" t="s">
        <v>15227</v>
      </c>
      <c r="H1824" s="41" t="s">
        <v>15228</v>
      </c>
      <c r="I1824" s="41" t="s">
        <v>15229</v>
      </c>
      <c r="J1824" s="41" t="s">
        <v>15230</v>
      </c>
      <c r="K1824" s="41" t="s">
        <v>15231</v>
      </c>
      <c r="L1824" s="41" t="s">
        <v>1094</v>
      </c>
    </row>
    <row r="1825" spans="1:19" x14ac:dyDescent="0.25">
      <c r="A1825" s="41" t="s">
        <v>908</v>
      </c>
      <c r="B1825" s="41" t="s">
        <v>15232</v>
      </c>
    </row>
    <row r="1826" spans="1:19" x14ac:dyDescent="0.25">
      <c r="A1826" s="41" t="s">
        <v>23</v>
      </c>
      <c r="B1826" s="41" t="s">
        <v>15233</v>
      </c>
      <c r="F1826" s="41" t="s">
        <v>15234</v>
      </c>
      <c r="G1826" s="41" t="s">
        <v>15235</v>
      </c>
      <c r="H1826" s="41" t="s">
        <v>15236</v>
      </c>
      <c r="I1826" s="41" t="s">
        <v>15237</v>
      </c>
      <c r="J1826" s="41" t="s">
        <v>15238</v>
      </c>
      <c r="L1826" s="41" t="s">
        <v>4</v>
      </c>
    </row>
    <row r="1827" spans="1:19" x14ac:dyDescent="0.25">
      <c r="A1827" s="41" t="s">
        <v>23</v>
      </c>
      <c r="B1827" s="41" t="s">
        <v>15239</v>
      </c>
      <c r="D1827" s="41" t="s">
        <v>15128</v>
      </c>
      <c r="E1827" s="41" t="s">
        <v>15241</v>
      </c>
      <c r="F1827" s="41" t="s">
        <v>15242</v>
      </c>
      <c r="G1827" s="41" t="s">
        <v>15243</v>
      </c>
      <c r="H1827" s="41" t="s">
        <v>15244</v>
      </c>
      <c r="I1827" s="41" t="s">
        <v>15245</v>
      </c>
      <c r="J1827" s="41" t="s">
        <v>15246</v>
      </c>
      <c r="K1827" s="41" t="s">
        <v>15247</v>
      </c>
      <c r="L1827" s="41" t="s">
        <v>15248</v>
      </c>
      <c r="M1827" s="41" t="s">
        <v>15249</v>
      </c>
      <c r="N1827" s="41" t="s">
        <v>15250</v>
      </c>
      <c r="O1827" s="41" t="s">
        <v>15251</v>
      </c>
      <c r="P1827" s="41" t="s">
        <v>15252</v>
      </c>
      <c r="Q1827" s="41" t="s">
        <v>15253</v>
      </c>
      <c r="R1827" s="41" t="s">
        <v>15254</v>
      </c>
      <c r="S1827" s="41" t="s">
        <v>15255</v>
      </c>
    </row>
    <row r="1828" spans="1:19" x14ac:dyDescent="0.25">
      <c r="A1828" s="41" t="s">
        <v>23</v>
      </c>
      <c r="B1828" s="41" t="s">
        <v>15256</v>
      </c>
      <c r="D1828" s="41" t="s">
        <v>15257</v>
      </c>
      <c r="F1828" s="41" t="s">
        <v>15258</v>
      </c>
      <c r="G1828" s="41" t="s">
        <v>15259</v>
      </c>
      <c r="H1828" s="41" t="s">
        <v>15260</v>
      </c>
      <c r="I1828" s="41" t="s">
        <v>15261</v>
      </c>
      <c r="J1828" s="41" t="s">
        <v>15262</v>
      </c>
      <c r="K1828" s="41" t="s">
        <v>15263</v>
      </c>
      <c r="L1828" s="41" t="s">
        <v>891</v>
      </c>
    </row>
    <row r="1829" spans="1:19" x14ac:dyDescent="0.25">
      <c r="A1829" s="41" t="s">
        <v>23</v>
      </c>
      <c r="B1829" s="41" t="s">
        <v>15264</v>
      </c>
      <c r="D1829" s="41" t="s">
        <v>15265</v>
      </c>
      <c r="F1829" s="41" t="s">
        <v>15266</v>
      </c>
      <c r="G1829" s="41" t="s">
        <v>15267</v>
      </c>
      <c r="H1829" s="41" t="s">
        <v>15268</v>
      </c>
      <c r="I1829" s="41" t="s">
        <v>15269</v>
      </c>
      <c r="J1829" s="41" t="s">
        <v>15270</v>
      </c>
      <c r="K1829" s="41" t="s">
        <v>15271</v>
      </c>
      <c r="L1829" s="41" t="s">
        <v>1076</v>
      </c>
    </row>
    <row r="1830" spans="1:19" x14ac:dyDescent="0.25">
      <c r="A1830" s="41" t="s">
        <v>23</v>
      </c>
      <c r="B1830" s="41" t="s">
        <v>15272</v>
      </c>
      <c r="D1830" s="41" t="s">
        <v>15273</v>
      </c>
      <c r="F1830" s="41" t="s">
        <v>15274</v>
      </c>
      <c r="G1830" s="41" t="s">
        <v>15275</v>
      </c>
      <c r="H1830" s="41" t="s">
        <v>15276</v>
      </c>
      <c r="I1830" s="41" t="s">
        <v>15277</v>
      </c>
      <c r="J1830" s="41" t="s">
        <v>15278</v>
      </c>
      <c r="K1830" s="41" t="s">
        <v>15279</v>
      </c>
      <c r="L1830" s="41" t="s">
        <v>1085</v>
      </c>
    </row>
    <row r="1831" spans="1:19" x14ac:dyDescent="0.25">
      <c r="A1831" s="41" t="s">
        <v>23</v>
      </c>
      <c r="B1831" s="41" t="s">
        <v>15280</v>
      </c>
      <c r="D1831" s="41" t="s">
        <v>15281</v>
      </c>
      <c r="F1831" s="41" t="s">
        <v>15282</v>
      </c>
      <c r="G1831" s="41" t="s">
        <v>15283</v>
      </c>
      <c r="H1831" s="41" t="s">
        <v>15284</v>
      </c>
      <c r="I1831" s="41" t="s">
        <v>15285</v>
      </c>
      <c r="J1831" s="41" t="s">
        <v>15286</v>
      </c>
      <c r="K1831" s="41" t="s">
        <v>15287</v>
      </c>
      <c r="L1831" s="41" t="s">
        <v>1094</v>
      </c>
    </row>
    <row r="1832" spans="1:19" x14ac:dyDescent="0.25">
      <c r="A1832" s="41" t="s">
        <v>908</v>
      </c>
      <c r="B1832" s="41" t="s">
        <v>15288</v>
      </c>
    </row>
    <row r="1833" spans="1:19" x14ac:dyDescent="0.25">
      <c r="A1833" s="41" t="s">
        <v>23</v>
      </c>
      <c r="B1833" s="41" t="s">
        <v>15289</v>
      </c>
      <c r="F1833" s="41" t="s">
        <v>15290</v>
      </c>
      <c r="G1833" s="41" t="s">
        <v>15291</v>
      </c>
      <c r="H1833" s="41" t="s">
        <v>15292</v>
      </c>
      <c r="I1833" s="41" t="s">
        <v>15293</v>
      </c>
      <c r="J1833" s="41" t="s">
        <v>15294</v>
      </c>
      <c r="L1833" s="41" t="s">
        <v>4</v>
      </c>
    </row>
    <row r="1834" spans="1:19" x14ac:dyDescent="0.25">
      <c r="A1834" s="41" t="s">
        <v>23</v>
      </c>
      <c r="B1834" s="41" t="s">
        <v>15295</v>
      </c>
      <c r="D1834" s="41" t="s">
        <v>15184</v>
      </c>
      <c r="E1834" s="41" t="s">
        <v>15297</v>
      </c>
      <c r="F1834" s="41" t="s">
        <v>15298</v>
      </c>
      <c r="G1834" s="41" t="s">
        <v>15299</v>
      </c>
      <c r="H1834" s="41" t="s">
        <v>15300</v>
      </c>
      <c r="I1834" s="41" t="s">
        <v>15301</v>
      </c>
      <c r="J1834" s="41" t="s">
        <v>15302</v>
      </c>
      <c r="K1834" s="41" t="s">
        <v>15303</v>
      </c>
      <c r="L1834" s="41" t="s">
        <v>15304</v>
      </c>
      <c r="M1834" s="41" t="s">
        <v>15305</v>
      </c>
      <c r="N1834" s="41" t="s">
        <v>15306</v>
      </c>
      <c r="O1834" s="41" t="s">
        <v>15307</v>
      </c>
      <c r="P1834" s="41" t="s">
        <v>15308</v>
      </c>
      <c r="Q1834" s="41" t="s">
        <v>15309</v>
      </c>
      <c r="R1834" s="41" t="s">
        <v>15310</v>
      </c>
      <c r="S1834" s="41" t="s">
        <v>15311</v>
      </c>
    </row>
    <row r="1835" spans="1:19" x14ac:dyDescent="0.25">
      <c r="A1835" s="41" t="s">
        <v>23</v>
      </c>
      <c r="B1835" s="41" t="s">
        <v>15312</v>
      </c>
      <c r="D1835" s="41" t="s">
        <v>15313</v>
      </c>
      <c r="F1835" s="41" t="s">
        <v>15314</v>
      </c>
      <c r="G1835" s="41" t="s">
        <v>15315</v>
      </c>
      <c r="H1835" s="41" t="s">
        <v>15316</v>
      </c>
      <c r="I1835" s="41" t="s">
        <v>15317</v>
      </c>
      <c r="J1835" s="41" t="s">
        <v>15318</v>
      </c>
      <c r="K1835" s="41" t="s">
        <v>15319</v>
      </c>
      <c r="L1835" s="41" t="s">
        <v>891</v>
      </c>
    </row>
    <row r="1836" spans="1:19" x14ac:dyDescent="0.25">
      <c r="A1836" s="41" t="s">
        <v>23</v>
      </c>
      <c r="B1836" s="41" t="s">
        <v>15320</v>
      </c>
      <c r="D1836" s="41" t="s">
        <v>15321</v>
      </c>
      <c r="F1836" s="41" t="s">
        <v>15322</v>
      </c>
      <c r="G1836" s="41" t="s">
        <v>15323</v>
      </c>
      <c r="H1836" s="41" t="s">
        <v>15324</v>
      </c>
      <c r="I1836" s="41" t="s">
        <v>15325</v>
      </c>
      <c r="J1836" s="41" t="s">
        <v>15326</v>
      </c>
      <c r="K1836" s="41" t="s">
        <v>15327</v>
      </c>
      <c r="L1836" s="41" t="s">
        <v>1076</v>
      </c>
    </row>
    <row r="1837" spans="1:19" x14ac:dyDescent="0.25">
      <c r="A1837" s="41" t="s">
        <v>23</v>
      </c>
      <c r="B1837" s="41" t="s">
        <v>15328</v>
      </c>
      <c r="D1837" s="41" t="s">
        <v>15329</v>
      </c>
      <c r="F1837" s="41" t="s">
        <v>15330</v>
      </c>
      <c r="G1837" s="41" t="s">
        <v>15331</v>
      </c>
      <c r="H1837" s="41" t="s">
        <v>15332</v>
      </c>
      <c r="I1837" s="41" t="s">
        <v>15333</v>
      </c>
      <c r="J1837" s="41" t="s">
        <v>15334</v>
      </c>
      <c r="K1837" s="41" t="s">
        <v>15335</v>
      </c>
      <c r="L1837" s="41" t="s">
        <v>1085</v>
      </c>
    </row>
    <row r="1838" spans="1:19" x14ac:dyDescent="0.25">
      <c r="A1838" s="41" t="s">
        <v>23</v>
      </c>
      <c r="B1838" s="41" t="s">
        <v>15336</v>
      </c>
      <c r="D1838" s="41" t="s">
        <v>15337</v>
      </c>
      <c r="F1838" s="41" t="s">
        <v>15338</v>
      </c>
      <c r="G1838" s="41" t="s">
        <v>15339</v>
      </c>
      <c r="H1838" s="41" t="s">
        <v>15340</v>
      </c>
      <c r="I1838" s="41" t="s">
        <v>15341</v>
      </c>
      <c r="J1838" s="41" t="s">
        <v>15342</v>
      </c>
      <c r="K1838" s="41" t="s">
        <v>15343</v>
      </c>
      <c r="L1838" s="41" t="s">
        <v>1094</v>
      </c>
    </row>
    <row r="1839" spans="1:19" x14ac:dyDescent="0.25">
      <c r="A1839" s="41" t="s">
        <v>908</v>
      </c>
      <c r="B1839" s="41" t="s">
        <v>15344</v>
      </c>
    </row>
    <row r="1840" spans="1:19" x14ac:dyDescent="0.25">
      <c r="A1840" s="41" t="s">
        <v>23</v>
      </c>
      <c r="B1840" s="41" t="s">
        <v>15345</v>
      </c>
      <c r="F1840" s="41" t="s">
        <v>15346</v>
      </c>
      <c r="G1840" s="41" t="s">
        <v>15347</v>
      </c>
      <c r="H1840" s="41" t="s">
        <v>15348</v>
      </c>
      <c r="I1840" s="41" t="s">
        <v>15349</v>
      </c>
      <c r="J1840" s="41" t="s">
        <v>15350</v>
      </c>
      <c r="L1840" s="41" t="s">
        <v>4</v>
      </c>
    </row>
    <row r="1841" spans="1:19" x14ac:dyDescent="0.25">
      <c r="A1841" s="41" t="s">
        <v>23</v>
      </c>
      <c r="B1841" s="41" t="s">
        <v>15351</v>
      </c>
      <c r="D1841" s="41" t="s">
        <v>15240</v>
      </c>
      <c r="E1841" s="41" t="s">
        <v>15352</v>
      </c>
      <c r="F1841" s="41" t="s">
        <v>15353</v>
      </c>
      <c r="G1841" s="41" t="s">
        <v>15354</v>
      </c>
      <c r="H1841" s="41" t="s">
        <v>15355</v>
      </c>
      <c r="I1841" s="41" t="s">
        <v>15356</v>
      </c>
      <c r="J1841" s="41" t="s">
        <v>15357</v>
      </c>
      <c r="K1841" s="41" t="s">
        <v>15358</v>
      </c>
      <c r="L1841" s="41" t="s">
        <v>15359</v>
      </c>
      <c r="M1841" s="41" t="s">
        <v>15360</v>
      </c>
      <c r="N1841" s="41" t="s">
        <v>15361</v>
      </c>
      <c r="O1841" s="41" t="s">
        <v>15362</v>
      </c>
      <c r="P1841" s="41" t="s">
        <v>15363</v>
      </c>
      <c r="Q1841" s="41" t="s">
        <v>15364</v>
      </c>
      <c r="R1841" s="41" t="s">
        <v>15365</v>
      </c>
      <c r="S1841" s="41" t="s">
        <v>15366</v>
      </c>
    </row>
    <row r="1842" spans="1:19" x14ac:dyDescent="0.25">
      <c r="A1842" s="41" t="s">
        <v>23</v>
      </c>
      <c r="B1842" s="41" t="s">
        <v>15367</v>
      </c>
      <c r="D1842" s="41" t="s">
        <v>15368</v>
      </c>
      <c r="F1842" s="41" t="s">
        <v>15369</v>
      </c>
      <c r="G1842" s="41" t="s">
        <v>15370</v>
      </c>
      <c r="H1842" s="41" t="s">
        <v>15371</v>
      </c>
      <c r="I1842" s="41" t="s">
        <v>15372</v>
      </c>
      <c r="J1842" s="41" t="s">
        <v>15373</v>
      </c>
      <c r="K1842" s="41" t="s">
        <v>15374</v>
      </c>
      <c r="L1842" s="41" t="s">
        <v>891</v>
      </c>
    </row>
    <row r="1843" spans="1:19" x14ac:dyDescent="0.25">
      <c r="A1843" s="41" t="s">
        <v>23</v>
      </c>
      <c r="B1843" s="41" t="s">
        <v>15375</v>
      </c>
      <c r="D1843" s="41" t="s">
        <v>15376</v>
      </c>
      <c r="F1843" s="41" t="s">
        <v>15377</v>
      </c>
      <c r="G1843" s="41" t="s">
        <v>15378</v>
      </c>
      <c r="H1843" s="41" t="s">
        <v>15379</v>
      </c>
      <c r="I1843" s="41" t="s">
        <v>15380</v>
      </c>
      <c r="J1843" s="41" t="s">
        <v>15381</v>
      </c>
      <c r="K1843" s="41" t="s">
        <v>15382</v>
      </c>
      <c r="L1843" s="41" t="s">
        <v>1076</v>
      </c>
    </row>
    <row r="1844" spans="1:19" x14ac:dyDescent="0.25">
      <c r="A1844" s="41" t="s">
        <v>23</v>
      </c>
      <c r="B1844" s="41" t="s">
        <v>15383</v>
      </c>
      <c r="D1844" s="41" t="s">
        <v>15384</v>
      </c>
      <c r="F1844" s="41" t="s">
        <v>15385</v>
      </c>
      <c r="G1844" s="41" t="s">
        <v>15386</v>
      </c>
      <c r="H1844" s="41" t="s">
        <v>15387</v>
      </c>
      <c r="I1844" s="41" t="s">
        <v>15388</v>
      </c>
      <c r="J1844" s="41" t="s">
        <v>15389</v>
      </c>
      <c r="K1844" s="41" t="s">
        <v>15390</v>
      </c>
      <c r="L1844" s="41" t="s">
        <v>1085</v>
      </c>
    </row>
    <row r="1845" spans="1:19" x14ac:dyDescent="0.25">
      <c r="A1845" s="41" t="s">
        <v>23</v>
      </c>
      <c r="B1845" s="41" t="s">
        <v>15391</v>
      </c>
      <c r="D1845" s="41" t="s">
        <v>15392</v>
      </c>
      <c r="F1845" s="41" t="s">
        <v>15393</v>
      </c>
      <c r="G1845" s="41" t="s">
        <v>15394</v>
      </c>
      <c r="H1845" s="41" t="s">
        <v>15395</v>
      </c>
      <c r="I1845" s="41" t="s">
        <v>15396</v>
      </c>
      <c r="J1845" s="41" t="s">
        <v>15397</v>
      </c>
      <c r="K1845" s="41" t="s">
        <v>15398</v>
      </c>
      <c r="L1845" s="41" t="s">
        <v>1094</v>
      </c>
    </row>
    <row r="1846" spans="1:19" x14ac:dyDescent="0.25">
      <c r="A1846" s="41" t="s">
        <v>908</v>
      </c>
      <c r="B1846" s="41" t="s">
        <v>15399</v>
      </c>
    </row>
    <row r="1847" spans="1:19" x14ac:dyDescent="0.25">
      <c r="A1847" s="41" t="s">
        <v>23</v>
      </c>
      <c r="B1847" s="41" t="s">
        <v>15400</v>
      </c>
      <c r="F1847" s="41" t="s">
        <v>15401</v>
      </c>
      <c r="G1847" s="41" t="s">
        <v>15402</v>
      </c>
      <c r="H1847" s="41" t="s">
        <v>15403</v>
      </c>
      <c r="I1847" s="41" t="s">
        <v>15404</v>
      </c>
      <c r="J1847" s="41" t="s">
        <v>15405</v>
      </c>
      <c r="L1847" s="41" t="s">
        <v>4</v>
      </c>
    </row>
    <row r="1848" spans="1:19" x14ac:dyDescent="0.25">
      <c r="A1848" s="41" t="s">
        <v>23</v>
      </c>
      <c r="B1848" s="41" t="s">
        <v>15406</v>
      </c>
      <c r="D1848" s="41" t="s">
        <v>15296</v>
      </c>
      <c r="E1848" s="41" t="s">
        <v>15407</v>
      </c>
      <c r="F1848" s="41" t="s">
        <v>15408</v>
      </c>
      <c r="G1848" s="41" t="s">
        <v>15409</v>
      </c>
      <c r="H1848" s="41" t="s">
        <v>15410</v>
      </c>
      <c r="I1848" s="41" t="s">
        <v>15411</v>
      </c>
      <c r="J1848" s="41" t="s">
        <v>15412</v>
      </c>
      <c r="K1848" s="41" t="s">
        <v>15413</v>
      </c>
      <c r="L1848" s="41" t="s">
        <v>15414</v>
      </c>
      <c r="M1848" s="41" t="s">
        <v>15415</v>
      </c>
      <c r="N1848" s="41" t="s">
        <v>15416</v>
      </c>
      <c r="O1848" s="41" t="s">
        <v>15417</v>
      </c>
      <c r="P1848" s="41" t="s">
        <v>15418</v>
      </c>
      <c r="Q1848" s="41" t="s">
        <v>15419</v>
      </c>
      <c r="R1848" s="41" t="s">
        <v>15420</v>
      </c>
      <c r="S1848" s="41" t="s">
        <v>15421</v>
      </c>
    </row>
    <row r="1849" spans="1:19" x14ac:dyDescent="0.25">
      <c r="A1849" s="41" t="s">
        <v>23</v>
      </c>
      <c r="B1849" s="41" t="s">
        <v>15422</v>
      </c>
      <c r="D1849" s="41" t="s">
        <v>15423</v>
      </c>
      <c r="F1849" s="41" t="s">
        <v>15424</v>
      </c>
      <c r="G1849" s="41" t="s">
        <v>15425</v>
      </c>
      <c r="H1849" s="41" t="s">
        <v>15426</v>
      </c>
      <c r="I1849" s="41" t="s">
        <v>15427</v>
      </c>
      <c r="J1849" s="41" t="s">
        <v>15428</v>
      </c>
      <c r="K1849" s="41" t="s">
        <v>15429</v>
      </c>
      <c r="L1849" s="41" t="s">
        <v>891</v>
      </c>
    </row>
    <row r="1850" spans="1:19" x14ac:dyDescent="0.25">
      <c r="A1850" s="41" t="s">
        <v>23</v>
      </c>
      <c r="B1850" s="41" t="s">
        <v>15430</v>
      </c>
      <c r="D1850" s="41" t="s">
        <v>15431</v>
      </c>
      <c r="F1850" s="41" t="s">
        <v>15432</v>
      </c>
      <c r="G1850" s="41" t="s">
        <v>15433</v>
      </c>
      <c r="H1850" s="41" t="s">
        <v>15434</v>
      </c>
      <c r="I1850" s="41" t="s">
        <v>15435</v>
      </c>
      <c r="J1850" s="41" t="s">
        <v>15436</v>
      </c>
      <c r="K1850" s="41" t="s">
        <v>15437</v>
      </c>
      <c r="L1850" s="41" t="s">
        <v>1076</v>
      </c>
    </row>
    <row r="1851" spans="1:19" x14ac:dyDescent="0.25">
      <c r="A1851" s="41" t="s">
        <v>23</v>
      </c>
      <c r="B1851" s="41" t="s">
        <v>15438</v>
      </c>
      <c r="D1851" s="41" t="s">
        <v>15439</v>
      </c>
      <c r="F1851" s="41" t="s">
        <v>15440</v>
      </c>
      <c r="G1851" s="41" t="s">
        <v>15441</v>
      </c>
      <c r="H1851" s="41" t="s">
        <v>15442</v>
      </c>
      <c r="I1851" s="41" t="s">
        <v>15443</v>
      </c>
      <c r="J1851" s="41" t="s">
        <v>15444</v>
      </c>
      <c r="K1851" s="41" t="s">
        <v>15445</v>
      </c>
      <c r="L1851" s="41" t="s">
        <v>1085</v>
      </c>
    </row>
    <row r="1852" spans="1:19" x14ac:dyDescent="0.25">
      <c r="A1852" s="41" t="s">
        <v>23</v>
      </c>
      <c r="B1852" s="41" t="s">
        <v>15446</v>
      </c>
      <c r="D1852" s="41" t="s">
        <v>15447</v>
      </c>
      <c r="F1852" s="41" t="s">
        <v>15448</v>
      </c>
      <c r="G1852" s="41" t="s">
        <v>15449</v>
      </c>
      <c r="H1852" s="41" t="s">
        <v>15450</v>
      </c>
      <c r="I1852" s="41" t="s">
        <v>15451</v>
      </c>
      <c r="J1852" s="41" t="s">
        <v>15452</v>
      </c>
      <c r="K1852" s="41" t="s">
        <v>15453</v>
      </c>
      <c r="L1852" s="41" t="s">
        <v>1094</v>
      </c>
    </row>
    <row r="1853" spans="1:19" x14ac:dyDescent="0.25">
      <c r="A1853" s="41" t="s">
        <v>908</v>
      </c>
      <c r="B1853" s="41" t="s">
        <v>15454</v>
      </c>
    </row>
    <row r="1854" spans="1:19" x14ac:dyDescent="0.25">
      <c r="A1854" s="41" t="s">
        <v>23</v>
      </c>
      <c r="B1854" s="41" t="s">
        <v>15455</v>
      </c>
      <c r="F1854" s="41" t="s">
        <v>15456</v>
      </c>
      <c r="G1854" s="41" t="s">
        <v>15457</v>
      </c>
      <c r="H1854" s="41" t="s">
        <v>15458</v>
      </c>
      <c r="I1854" s="41" t="s">
        <v>15459</v>
      </c>
      <c r="J1854" s="41" t="s">
        <v>15460</v>
      </c>
      <c r="L1854" s="41" t="s">
        <v>4</v>
      </c>
    </row>
    <row r="1855" spans="1:19" x14ac:dyDescent="0.25">
      <c r="A1855" s="41" t="s">
        <v>23</v>
      </c>
      <c r="B1855" s="41" t="s">
        <v>15461</v>
      </c>
      <c r="D1855" s="41" t="s">
        <v>543</v>
      </c>
      <c r="E1855" s="41" t="s">
        <v>15463</v>
      </c>
      <c r="F1855" s="41" t="s">
        <v>15464</v>
      </c>
      <c r="G1855" s="41" t="s">
        <v>15465</v>
      </c>
      <c r="H1855" s="41" t="s">
        <v>15466</v>
      </c>
      <c r="I1855" s="41" t="s">
        <v>15467</v>
      </c>
      <c r="J1855" s="41" t="s">
        <v>15468</v>
      </c>
      <c r="K1855" s="41" t="s">
        <v>15469</v>
      </c>
      <c r="L1855" s="41" t="s">
        <v>15470</v>
      </c>
      <c r="M1855" s="41" t="s">
        <v>15471</v>
      </c>
      <c r="N1855" s="41" t="s">
        <v>15472</v>
      </c>
      <c r="O1855" s="41" t="s">
        <v>15473</v>
      </c>
      <c r="P1855" s="41" t="s">
        <v>15474</v>
      </c>
      <c r="Q1855" s="41" t="s">
        <v>15475</v>
      </c>
      <c r="R1855" s="41" t="s">
        <v>15476</v>
      </c>
      <c r="S1855" s="41" t="s">
        <v>15477</v>
      </c>
    </row>
    <row r="1856" spans="1:19" x14ac:dyDescent="0.25">
      <c r="A1856" s="41" t="s">
        <v>23</v>
      </c>
      <c r="B1856" s="41" t="s">
        <v>15478</v>
      </c>
      <c r="D1856" s="41" t="s">
        <v>15479</v>
      </c>
      <c r="F1856" s="41" t="s">
        <v>15480</v>
      </c>
      <c r="G1856" s="41" t="s">
        <v>15481</v>
      </c>
      <c r="H1856" s="41" t="s">
        <v>15482</v>
      </c>
      <c r="I1856" s="41" t="s">
        <v>15483</v>
      </c>
      <c r="J1856" s="41" t="s">
        <v>15484</v>
      </c>
      <c r="K1856" s="41" t="s">
        <v>15485</v>
      </c>
      <c r="L1856" s="41" t="s">
        <v>891</v>
      </c>
    </row>
    <row r="1857" spans="1:19" x14ac:dyDescent="0.25">
      <c r="A1857" s="41" t="s">
        <v>23</v>
      </c>
      <c r="B1857" s="41" t="s">
        <v>15486</v>
      </c>
      <c r="D1857" s="41" t="s">
        <v>15487</v>
      </c>
      <c r="F1857" s="41" t="s">
        <v>15488</v>
      </c>
      <c r="G1857" s="41" t="s">
        <v>15489</v>
      </c>
      <c r="H1857" s="41" t="s">
        <v>15490</v>
      </c>
      <c r="I1857" s="41" t="s">
        <v>15491</v>
      </c>
      <c r="J1857" s="41" t="s">
        <v>15492</v>
      </c>
      <c r="K1857" s="41" t="s">
        <v>15493</v>
      </c>
      <c r="L1857" s="41" t="s">
        <v>1076</v>
      </c>
    </row>
    <row r="1858" spans="1:19" x14ac:dyDescent="0.25">
      <c r="A1858" s="41" t="s">
        <v>23</v>
      </c>
      <c r="B1858" s="41" t="s">
        <v>15494</v>
      </c>
      <c r="D1858" s="41" t="s">
        <v>15495</v>
      </c>
      <c r="F1858" s="41" t="s">
        <v>15496</v>
      </c>
      <c r="G1858" s="41" t="s">
        <v>15497</v>
      </c>
      <c r="H1858" s="41" t="s">
        <v>15498</v>
      </c>
      <c r="I1858" s="41" t="s">
        <v>15499</v>
      </c>
      <c r="J1858" s="41" t="s">
        <v>15500</v>
      </c>
      <c r="K1858" s="41" t="s">
        <v>15501</v>
      </c>
      <c r="L1858" s="41" t="s">
        <v>1085</v>
      </c>
    </row>
    <row r="1859" spans="1:19" x14ac:dyDescent="0.25">
      <c r="A1859" s="41" t="s">
        <v>23</v>
      </c>
      <c r="B1859" s="41" t="s">
        <v>15502</v>
      </c>
      <c r="D1859" s="41" t="s">
        <v>15503</v>
      </c>
      <c r="F1859" s="41" t="s">
        <v>15504</v>
      </c>
      <c r="G1859" s="41" t="s">
        <v>15505</v>
      </c>
      <c r="H1859" s="41" t="s">
        <v>15506</v>
      </c>
      <c r="I1859" s="41" t="s">
        <v>15507</v>
      </c>
      <c r="J1859" s="41" t="s">
        <v>15508</v>
      </c>
      <c r="K1859" s="41" t="s">
        <v>15509</v>
      </c>
      <c r="L1859" s="41" t="s">
        <v>1094</v>
      </c>
    </row>
    <row r="1860" spans="1:19" x14ac:dyDescent="0.25">
      <c r="A1860" s="41" t="s">
        <v>908</v>
      </c>
      <c r="B1860" s="41" t="s">
        <v>15510</v>
      </c>
    </row>
    <row r="1861" spans="1:19" x14ac:dyDescent="0.25">
      <c r="A1861" s="41" t="s">
        <v>23</v>
      </c>
      <c r="B1861" s="41" t="s">
        <v>15511</v>
      </c>
      <c r="F1861" s="41" t="s">
        <v>15512</v>
      </c>
      <c r="G1861" s="41" t="s">
        <v>15513</v>
      </c>
      <c r="H1861" s="41" t="s">
        <v>15514</v>
      </c>
      <c r="I1861" s="41" t="s">
        <v>15515</v>
      </c>
      <c r="J1861" s="41" t="s">
        <v>15516</v>
      </c>
      <c r="L1861" s="41" t="s">
        <v>4</v>
      </c>
    </row>
    <row r="1862" spans="1:19" x14ac:dyDescent="0.25">
      <c r="A1862" s="41" t="s">
        <v>23</v>
      </c>
      <c r="B1862" s="41" t="s">
        <v>15517</v>
      </c>
      <c r="D1862" s="41" t="s">
        <v>544</v>
      </c>
      <c r="E1862" s="41" t="s">
        <v>15519</v>
      </c>
      <c r="F1862" s="41" t="s">
        <v>15520</v>
      </c>
      <c r="G1862" s="41" t="s">
        <v>15521</v>
      </c>
      <c r="H1862" s="41" t="s">
        <v>15522</v>
      </c>
      <c r="I1862" s="41" t="s">
        <v>15523</v>
      </c>
      <c r="J1862" s="41" t="s">
        <v>15524</v>
      </c>
      <c r="K1862" s="41" t="s">
        <v>15525</v>
      </c>
      <c r="L1862" s="41" t="s">
        <v>15526</v>
      </c>
      <c r="M1862" s="41" t="s">
        <v>15527</v>
      </c>
      <c r="N1862" s="41" t="s">
        <v>15528</v>
      </c>
      <c r="O1862" s="41" t="s">
        <v>15529</v>
      </c>
      <c r="P1862" s="41" t="s">
        <v>15530</v>
      </c>
      <c r="Q1862" s="41" t="s">
        <v>15531</v>
      </c>
      <c r="R1862" s="41" t="s">
        <v>15532</v>
      </c>
      <c r="S1862" s="41" t="s">
        <v>15533</v>
      </c>
    </row>
    <row r="1863" spans="1:19" x14ac:dyDescent="0.25">
      <c r="A1863" s="41" t="s">
        <v>23</v>
      </c>
      <c r="B1863" s="41" t="s">
        <v>15534</v>
      </c>
      <c r="D1863" s="41" t="s">
        <v>15535</v>
      </c>
      <c r="F1863" s="41" t="s">
        <v>15536</v>
      </c>
      <c r="G1863" s="41" t="s">
        <v>15537</v>
      </c>
      <c r="H1863" s="41" t="s">
        <v>15538</v>
      </c>
      <c r="I1863" s="41" t="s">
        <v>15539</v>
      </c>
      <c r="J1863" s="41" t="s">
        <v>15540</v>
      </c>
      <c r="K1863" s="41" t="s">
        <v>15541</v>
      </c>
      <c r="L1863" s="41" t="s">
        <v>891</v>
      </c>
    </row>
    <row r="1864" spans="1:19" x14ac:dyDescent="0.25">
      <c r="A1864" s="41" t="s">
        <v>23</v>
      </c>
      <c r="B1864" s="41" t="s">
        <v>15542</v>
      </c>
      <c r="D1864" s="41" t="s">
        <v>15543</v>
      </c>
      <c r="F1864" s="41" t="s">
        <v>15544</v>
      </c>
      <c r="G1864" s="41" t="s">
        <v>15545</v>
      </c>
      <c r="H1864" s="41" t="s">
        <v>15546</v>
      </c>
      <c r="I1864" s="41" t="s">
        <v>15547</v>
      </c>
      <c r="J1864" s="41" t="s">
        <v>15548</v>
      </c>
      <c r="K1864" s="41" t="s">
        <v>15549</v>
      </c>
      <c r="L1864" s="41" t="s">
        <v>1076</v>
      </c>
    </row>
    <row r="1865" spans="1:19" x14ac:dyDescent="0.25">
      <c r="A1865" s="41" t="s">
        <v>23</v>
      </c>
      <c r="B1865" s="41" t="s">
        <v>15550</v>
      </c>
      <c r="D1865" s="41" t="s">
        <v>15551</v>
      </c>
      <c r="F1865" s="41" t="s">
        <v>15552</v>
      </c>
      <c r="G1865" s="41" t="s">
        <v>15553</v>
      </c>
      <c r="H1865" s="41" t="s">
        <v>15554</v>
      </c>
      <c r="I1865" s="41" t="s">
        <v>15555</v>
      </c>
      <c r="J1865" s="41" t="s">
        <v>15556</v>
      </c>
      <c r="K1865" s="41" t="s">
        <v>15557</v>
      </c>
      <c r="L1865" s="41" t="s">
        <v>1085</v>
      </c>
    </row>
    <row r="1866" spans="1:19" x14ac:dyDescent="0.25">
      <c r="A1866" s="41" t="s">
        <v>23</v>
      </c>
      <c r="B1866" s="41" t="s">
        <v>15558</v>
      </c>
      <c r="D1866" s="41" t="s">
        <v>15559</v>
      </c>
      <c r="F1866" s="41" t="s">
        <v>15560</v>
      </c>
      <c r="G1866" s="41" t="s">
        <v>15561</v>
      </c>
      <c r="H1866" s="41" t="s">
        <v>15562</v>
      </c>
      <c r="I1866" s="41" t="s">
        <v>15563</v>
      </c>
      <c r="J1866" s="41" t="s">
        <v>15564</v>
      </c>
      <c r="K1866" s="41" t="s">
        <v>15565</v>
      </c>
      <c r="L1866" s="41" t="s">
        <v>1094</v>
      </c>
    </row>
    <row r="1867" spans="1:19" x14ac:dyDescent="0.25">
      <c r="A1867" s="41" t="s">
        <v>908</v>
      </c>
      <c r="B1867" s="41" t="s">
        <v>15566</v>
      </c>
    </row>
    <row r="1868" spans="1:19" x14ac:dyDescent="0.25">
      <c r="A1868" s="41" t="s">
        <v>23</v>
      </c>
      <c r="B1868" s="41" t="s">
        <v>15567</v>
      </c>
      <c r="F1868" s="41" t="s">
        <v>15568</v>
      </c>
      <c r="G1868" s="41" t="s">
        <v>15569</v>
      </c>
      <c r="H1868" s="41" t="s">
        <v>15570</v>
      </c>
      <c r="I1868" s="41" t="s">
        <v>15571</v>
      </c>
      <c r="J1868" s="41" t="s">
        <v>15572</v>
      </c>
      <c r="L1868" s="41" t="s">
        <v>4</v>
      </c>
    </row>
    <row r="1869" spans="1:19" x14ac:dyDescent="0.25">
      <c r="A1869" s="41" t="s">
        <v>23</v>
      </c>
      <c r="B1869" s="41" t="s">
        <v>15573</v>
      </c>
      <c r="D1869" s="41" t="s">
        <v>15462</v>
      </c>
      <c r="E1869" s="41" t="s">
        <v>15575</v>
      </c>
      <c r="F1869" s="41" t="s">
        <v>15576</v>
      </c>
      <c r="G1869" s="41" t="s">
        <v>15577</v>
      </c>
      <c r="H1869" s="41" t="s">
        <v>15578</v>
      </c>
      <c r="I1869" s="41" t="s">
        <v>15579</v>
      </c>
      <c r="J1869" s="41" t="s">
        <v>15580</v>
      </c>
      <c r="K1869" s="41" t="s">
        <v>15581</v>
      </c>
      <c r="L1869" s="41" t="s">
        <v>15582</v>
      </c>
      <c r="M1869" s="41" t="s">
        <v>15583</v>
      </c>
      <c r="N1869" s="41" t="s">
        <v>15584</v>
      </c>
      <c r="O1869" s="41" t="s">
        <v>15585</v>
      </c>
      <c r="P1869" s="41" t="s">
        <v>15586</v>
      </c>
      <c r="Q1869" s="41" t="s">
        <v>15587</v>
      </c>
      <c r="R1869" s="41" t="s">
        <v>15588</v>
      </c>
      <c r="S1869" s="41" t="s">
        <v>15589</v>
      </c>
    </row>
    <row r="1870" spans="1:19" x14ac:dyDescent="0.25">
      <c r="A1870" s="41" t="s">
        <v>23</v>
      </c>
      <c r="B1870" s="41" t="s">
        <v>15590</v>
      </c>
      <c r="D1870" s="41" t="s">
        <v>15591</v>
      </c>
      <c r="F1870" s="41" t="s">
        <v>15592</v>
      </c>
      <c r="G1870" s="41" t="s">
        <v>15593</v>
      </c>
      <c r="H1870" s="41" t="s">
        <v>15594</v>
      </c>
      <c r="I1870" s="41" t="s">
        <v>15595</v>
      </c>
      <c r="J1870" s="41" t="s">
        <v>15596</v>
      </c>
      <c r="K1870" s="41" t="s">
        <v>15597</v>
      </c>
      <c r="L1870" s="41" t="s">
        <v>891</v>
      </c>
    </row>
    <row r="1871" spans="1:19" x14ac:dyDescent="0.25">
      <c r="A1871" s="41" t="s">
        <v>23</v>
      </c>
      <c r="B1871" s="41" t="s">
        <v>15598</v>
      </c>
      <c r="D1871" s="41" t="s">
        <v>15599</v>
      </c>
      <c r="F1871" s="41" t="s">
        <v>15600</v>
      </c>
      <c r="G1871" s="41" t="s">
        <v>15601</v>
      </c>
      <c r="H1871" s="41" t="s">
        <v>15602</v>
      </c>
      <c r="I1871" s="41" t="s">
        <v>15603</v>
      </c>
      <c r="J1871" s="41" t="s">
        <v>15604</v>
      </c>
      <c r="K1871" s="41" t="s">
        <v>15605</v>
      </c>
      <c r="L1871" s="41" t="s">
        <v>1076</v>
      </c>
    </row>
    <row r="1872" spans="1:19" x14ac:dyDescent="0.25">
      <c r="A1872" s="41" t="s">
        <v>23</v>
      </c>
      <c r="B1872" s="41" t="s">
        <v>15606</v>
      </c>
      <c r="D1872" s="41" t="s">
        <v>15607</v>
      </c>
      <c r="F1872" s="41" t="s">
        <v>15608</v>
      </c>
      <c r="G1872" s="41" t="s">
        <v>15609</v>
      </c>
      <c r="H1872" s="41" t="s">
        <v>15610</v>
      </c>
      <c r="I1872" s="41" t="s">
        <v>15611</v>
      </c>
      <c r="J1872" s="41" t="s">
        <v>15612</v>
      </c>
      <c r="K1872" s="41" t="s">
        <v>15613</v>
      </c>
      <c r="L1872" s="41" t="s">
        <v>1085</v>
      </c>
    </row>
    <row r="1873" spans="1:19" x14ac:dyDescent="0.25">
      <c r="A1873" s="41" t="s">
        <v>23</v>
      </c>
      <c r="B1873" s="41" t="s">
        <v>15614</v>
      </c>
      <c r="D1873" s="41" t="s">
        <v>15615</v>
      </c>
      <c r="F1873" s="41" t="s">
        <v>15616</v>
      </c>
      <c r="G1873" s="41" t="s">
        <v>15617</v>
      </c>
      <c r="H1873" s="41" t="s">
        <v>15618</v>
      </c>
      <c r="I1873" s="41" t="s">
        <v>15619</v>
      </c>
      <c r="J1873" s="41" t="s">
        <v>15620</v>
      </c>
      <c r="K1873" s="41" t="s">
        <v>15621</v>
      </c>
      <c r="L1873" s="41" t="s">
        <v>1094</v>
      </c>
    </row>
    <row r="1874" spans="1:19" x14ac:dyDescent="0.25">
      <c r="A1874" s="41" t="s">
        <v>908</v>
      </c>
      <c r="B1874" s="41" t="s">
        <v>15622</v>
      </c>
    </row>
    <row r="1875" spans="1:19" x14ac:dyDescent="0.25">
      <c r="A1875" s="41" t="s">
        <v>23</v>
      </c>
      <c r="B1875" s="41" t="s">
        <v>15623</v>
      </c>
      <c r="F1875" s="41" t="s">
        <v>15624</v>
      </c>
      <c r="G1875" s="41" t="s">
        <v>15625</v>
      </c>
      <c r="H1875" s="41" t="s">
        <v>15626</v>
      </c>
      <c r="I1875" s="41" t="s">
        <v>15627</v>
      </c>
      <c r="J1875" s="41" t="s">
        <v>15628</v>
      </c>
      <c r="L1875" s="41" t="s">
        <v>4</v>
      </c>
    </row>
    <row r="1876" spans="1:19" x14ac:dyDescent="0.25">
      <c r="A1876" s="41" t="s">
        <v>23</v>
      </c>
      <c r="B1876" s="41" t="s">
        <v>15629</v>
      </c>
      <c r="D1876" s="41" t="s">
        <v>15518</v>
      </c>
      <c r="E1876" s="41" t="s">
        <v>15631</v>
      </c>
      <c r="F1876" s="41" t="s">
        <v>15632</v>
      </c>
      <c r="G1876" s="41" t="s">
        <v>15633</v>
      </c>
      <c r="H1876" s="41" t="s">
        <v>15634</v>
      </c>
      <c r="I1876" s="41" t="s">
        <v>15635</v>
      </c>
      <c r="J1876" s="41" t="s">
        <v>15636</v>
      </c>
      <c r="K1876" s="41" t="s">
        <v>15637</v>
      </c>
      <c r="L1876" s="41" t="s">
        <v>15638</v>
      </c>
      <c r="M1876" s="41" t="s">
        <v>15639</v>
      </c>
      <c r="N1876" s="41" t="s">
        <v>15640</v>
      </c>
      <c r="O1876" s="41" t="s">
        <v>15641</v>
      </c>
      <c r="P1876" s="41" t="s">
        <v>15642</v>
      </c>
      <c r="Q1876" s="41" t="s">
        <v>15643</v>
      </c>
      <c r="R1876" s="41" t="s">
        <v>15644</v>
      </c>
      <c r="S1876" s="41" t="s">
        <v>15645</v>
      </c>
    </row>
    <row r="1877" spans="1:19" x14ac:dyDescent="0.25">
      <c r="A1877" s="41" t="s">
        <v>23</v>
      </c>
      <c r="B1877" s="41" t="s">
        <v>15646</v>
      </c>
      <c r="D1877" s="41" t="s">
        <v>15647</v>
      </c>
      <c r="F1877" s="41" t="s">
        <v>15648</v>
      </c>
      <c r="G1877" s="41" t="s">
        <v>15649</v>
      </c>
      <c r="H1877" s="41" t="s">
        <v>15650</v>
      </c>
      <c r="I1877" s="41" t="s">
        <v>15651</v>
      </c>
      <c r="J1877" s="41" t="s">
        <v>15652</v>
      </c>
      <c r="K1877" s="41" t="s">
        <v>15653</v>
      </c>
      <c r="L1877" s="41" t="s">
        <v>891</v>
      </c>
    </row>
    <row r="1878" spans="1:19" x14ac:dyDescent="0.25">
      <c r="A1878" s="41" t="s">
        <v>23</v>
      </c>
      <c r="B1878" s="41" t="s">
        <v>15654</v>
      </c>
      <c r="D1878" s="41" t="s">
        <v>15655</v>
      </c>
      <c r="F1878" s="41" t="s">
        <v>15656</v>
      </c>
      <c r="G1878" s="41" t="s">
        <v>15657</v>
      </c>
      <c r="H1878" s="41" t="s">
        <v>15658</v>
      </c>
      <c r="I1878" s="41" t="s">
        <v>15659</v>
      </c>
      <c r="J1878" s="41" t="s">
        <v>15660</v>
      </c>
      <c r="K1878" s="41" t="s">
        <v>15661</v>
      </c>
      <c r="L1878" s="41" t="s">
        <v>1076</v>
      </c>
    </row>
    <row r="1879" spans="1:19" x14ac:dyDescent="0.25">
      <c r="A1879" s="41" t="s">
        <v>23</v>
      </c>
      <c r="B1879" s="41" t="s">
        <v>15662</v>
      </c>
      <c r="D1879" s="41" t="s">
        <v>15663</v>
      </c>
      <c r="F1879" s="41" t="s">
        <v>15664</v>
      </c>
      <c r="G1879" s="41" t="s">
        <v>15665</v>
      </c>
      <c r="H1879" s="41" t="s">
        <v>15666</v>
      </c>
      <c r="I1879" s="41" t="s">
        <v>15667</v>
      </c>
      <c r="J1879" s="41" t="s">
        <v>15668</v>
      </c>
      <c r="K1879" s="41" t="s">
        <v>15669</v>
      </c>
      <c r="L1879" s="41" t="s">
        <v>1085</v>
      </c>
    </row>
    <row r="1880" spans="1:19" x14ac:dyDescent="0.25">
      <c r="A1880" s="41" t="s">
        <v>23</v>
      </c>
      <c r="B1880" s="41" t="s">
        <v>15670</v>
      </c>
      <c r="D1880" s="41" t="s">
        <v>15671</v>
      </c>
      <c r="F1880" s="41" t="s">
        <v>15672</v>
      </c>
      <c r="G1880" s="41" t="s">
        <v>15673</v>
      </c>
      <c r="H1880" s="41" t="s">
        <v>15674</v>
      </c>
      <c r="I1880" s="41" t="s">
        <v>15675</v>
      </c>
      <c r="J1880" s="41" t="s">
        <v>15676</v>
      </c>
      <c r="K1880" s="41" t="s">
        <v>15677</v>
      </c>
      <c r="L1880" s="41" t="s">
        <v>1094</v>
      </c>
    </row>
    <row r="1881" spans="1:19" x14ac:dyDescent="0.25">
      <c r="A1881" s="41" t="s">
        <v>908</v>
      </c>
      <c r="B1881" s="41" t="s">
        <v>15678</v>
      </c>
    </row>
    <row r="1882" spans="1:19" x14ac:dyDescent="0.25">
      <c r="A1882" s="41" t="s">
        <v>23</v>
      </c>
      <c r="B1882" s="41" t="s">
        <v>15679</v>
      </c>
      <c r="F1882" s="41" t="s">
        <v>15680</v>
      </c>
      <c r="G1882" s="41" t="s">
        <v>15681</v>
      </c>
      <c r="H1882" s="41" t="s">
        <v>15682</v>
      </c>
      <c r="I1882" s="41" t="s">
        <v>15683</v>
      </c>
      <c r="J1882" s="41" t="s">
        <v>15684</v>
      </c>
      <c r="L1882" s="41" t="s">
        <v>4</v>
      </c>
    </row>
    <row r="1883" spans="1:19" x14ac:dyDescent="0.25">
      <c r="A1883" s="41" t="s">
        <v>23</v>
      </c>
      <c r="B1883" s="41" t="s">
        <v>15685</v>
      </c>
      <c r="D1883" s="41" t="s">
        <v>15574</v>
      </c>
      <c r="E1883" s="41" t="s">
        <v>15687</v>
      </c>
      <c r="F1883" s="41" t="s">
        <v>15688</v>
      </c>
      <c r="G1883" s="41" t="s">
        <v>15689</v>
      </c>
      <c r="H1883" s="41" t="s">
        <v>15690</v>
      </c>
      <c r="I1883" s="41" t="s">
        <v>15691</v>
      </c>
      <c r="J1883" s="41" t="s">
        <v>15692</v>
      </c>
      <c r="K1883" s="41" t="s">
        <v>15693</v>
      </c>
      <c r="L1883" s="41" t="s">
        <v>15694</v>
      </c>
      <c r="M1883" s="41" t="s">
        <v>15695</v>
      </c>
      <c r="N1883" s="41" t="s">
        <v>15696</v>
      </c>
      <c r="O1883" s="41" t="s">
        <v>15697</v>
      </c>
      <c r="P1883" s="41" t="s">
        <v>15698</v>
      </c>
      <c r="Q1883" s="41" t="s">
        <v>15699</v>
      </c>
      <c r="R1883" s="41" t="s">
        <v>15700</v>
      </c>
      <c r="S1883" s="41" t="s">
        <v>15701</v>
      </c>
    </row>
    <row r="1884" spans="1:19" x14ac:dyDescent="0.25">
      <c r="A1884" s="41" t="s">
        <v>23</v>
      </c>
      <c r="B1884" s="41" t="s">
        <v>15702</v>
      </c>
      <c r="D1884" s="41" t="s">
        <v>15703</v>
      </c>
      <c r="F1884" s="41" t="s">
        <v>15704</v>
      </c>
      <c r="G1884" s="41" t="s">
        <v>15705</v>
      </c>
      <c r="H1884" s="41" t="s">
        <v>15706</v>
      </c>
      <c r="I1884" s="41" t="s">
        <v>15707</v>
      </c>
      <c r="J1884" s="41" t="s">
        <v>15708</v>
      </c>
      <c r="K1884" s="41" t="s">
        <v>15709</v>
      </c>
      <c r="L1884" s="41" t="s">
        <v>891</v>
      </c>
    </row>
    <row r="1885" spans="1:19" x14ac:dyDescent="0.25">
      <c r="A1885" s="41" t="s">
        <v>23</v>
      </c>
      <c r="B1885" s="41" t="s">
        <v>15710</v>
      </c>
      <c r="D1885" s="41" t="s">
        <v>15711</v>
      </c>
      <c r="F1885" s="41" t="s">
        <v>15712</v>
      </c>
      <c r="G1885" s="41" t="s">
        <v>15713</v>
      </c>
      <c r="H1885" s="41" t="s">
        <v>15714</v>
      </c>
      <c r="I1885" s="41" t="s">
        <v>15715</v>
      </c>
      <c r="J1885" s="41" t="s">
        <v>15716</v>
      </c>
      <c r="K1885" s="41" t="s">
        <v>15717</v>
      </c>
      <c r="L1885" s="41" t="s">
        <v>1076</v>
      </c>
    </row>
    <row r="1886" spans="1:19" x14ac:dyDescent="0.25">
      <c r="A1886" s="41" t="s">
        <v>23</v>
      </c>
      <c r="B1886" s="41" t="s">
        <v>15718</v>
      </c>
      <c r="D1886" s="41" t="s">
        <v>15719</v>
      </c>
      <c r="F1886" s="41" t="s">
        <v>15720</v>
      </c>
      <c r="G1886" s="41" t="s">
        <v>15721</v>
      </c>
      <c r="H1886" s="41" t="s">
        <v>15722</v>
      </c>
      <c r="I1886" s="41" t="s">
        <v>15723</v>
      </c>
      <c r="J1886" s="41" t="s">
        <v>15724</v>
      </c>
      <c r="K1886" s="41" t="s">
        <v>15725</v>
      </c>
      <c r="L1886" s="41" t="s">
        <v>1085</v>
      </c>
    </row>
    <row r="1887" spans="1:19" x14ac:dyDescent="0.25">
      <c r="A1887" s="41" t="s">
        <v>23</v>
      </c>
      <c r="B1887" s="41" t="s">
        <v>15726</v>
      </c>
      <c r="D1887" s="41" t="s">
        <v>15727</v>
      </c>
      <c r="F1887" s="41" t="s">
        <v>15728</v>
      </c>
      <c r="G1887" s="41" t="s">
        <v>15729</v>
      </c>
      <c r="H1887" s="41" t="s">
        <v>15730</v>
      </c>
      <c r="I1887" s="41" t="s">
        <v>15731</v>
      </c>
      <c r="J1887" s="41" t="s">
        <v>15732</v>
      </c>
      <c r="K1887" s="41" t="s">
        <v>15733</v>
      </c>
      <c r="L1887" s="41" t="s">
        <v>1094</v>
      </c>
    </row>
    <row r="1888" spans="1:19" x14ac:dyDescent="0.25">
      <c r="A1888" s="41" t="s">
        <v>908</v>
      </c>
      <c r="B1888" s="41" t="s">
        <v>15734</v>
      </c>
    </row>
    <row r="1889" spans="1:19" x14ac:dyDescent="0.25">
      <c r="A1889" s="41" t="s">
        <v>23</v>
      </c>
      <c r="B1889" s="41" t="s">
        <v>15735</v>
      </c>
      <c r="F1889" s="41" t="s">
        <v>15736</v>
      </c>
      <c r="G1889" s="41" t="s">
        <v>15737</v>
      </c>
      <c r="H1889" s="41" t="s">
        <v>15738</v>
      </c>
      <c r="I1889" s="41" t="s">
        <v>15739</v>
      </c>
      <c r="J1889" s="41" t="s">
        <v>15740</v>
      </c>
      <c r="L1889" s="41" t="s">
        <v>4</v>
      </c>
    </row>
    <row r="1890" spans="1:19" x14ac:dyDescent="0.25">
      <c r="A1890" s="41" t="s">
        <v>23</v>
      </c>
      <c r="B1890" s="41" t="s">
        <v>15741</v>
      </c>
      <c r="D1890" s="41" t="s">
        <v>15630</v>
      </c>
      <c r="E1890" s="41" t="s">
        <v>15743</v>
      </c>
      <c r="F1890" s="41" t="s">
        <v>15744</v>
      </c>
      <c r="G1890" s="41" t="s">
        <v>15745</v>
      </c>
      <c r="H1890" s="41" t="s">
        <v>15746</v>
      </c>
      <c r="I1890" s="41" t="s">
        <v>15747</v>
      </c>
      <c r="J1890" s="41" t="s">
        <v>15748</v>
      </c>
      <c r="K1890" s="41" t="s">
        <v>15749</v>
      </c>
      <c r="L1890" s="41" t="s">
        <v>15750</v>
      </c>
      <c r="M1890" s="41" t="s">
        <v>15751</v>
      </c>
      <c r="N1890" s="41" t="s">
        <v>15752</v>
      </c>
      <c r="O1890" s="41" t="s">
        <v>15753</v>
      </c>
      <c r="P1890" s="41" t="s">
        <v>15754</v>
      </c>
      <c r="Q1890" s="41" t="s">
        <v>15755</v>
      </c>
      <c r="R1890" s="41" t="s">
        <v>15756</v>
      </c>
      <c r="S1890" s="41" t="s">
        <v>15757</v>
      </c>
    </row>
    <row r="1891" spans="1:19" x14ac:dyDescent="0.25">
      <c r="A1891" s="41" t="s">
        <v>23</v>
      </c>
      <c r="B1891" s="41" t="s">
        <v>15758</v>
      </c>
      <c r="D1891" s="41" t="s">
        <v>15759</v>
      </c>
      <c r="F1891" s="41" t="s">
        <v>15760</v>
      </c>
      <c r="G1891" s="41" t="s">
        <v>15761</v>
      </c>
      <c r="H1891" s="41" t="s">
        <v>15762</v>
      </c>
      <c r="I1891" s="41" t="s">
        <v>15763</v>
      </c>
      <c r="J1891" s="41" t="s">
        <v>15764</v>
      </c>
      <c r="K1891" s="41" t="s">
        <v>15765</v>
      </c>
      <c r="L1891" s="41" t="s">
        <v>891</v>
      </c>
    </row>
    <row r="1892" spans="1:19" x14ac:dyDescent="0.25">
      <c r="A1892" s="41" t="s">
        <v>23</v>
      </c>
      <c r="B1892" s="41" t="s">
        <v>15766</v>
      </c>
      <c r="D1892" s="41" t="s">
        <v>15767</v>
      </c>
      <c r="F1892" s="41" t="s">
        <v>15768</v>
      </c>
      <c r="G1892" s="41" t="s">
        <v>15769</v>
      </c>
      <c r="H1892" s="41" t="s">
        <v>15770</v>
      </c>
      <c r="I1892" s="41" t="s">
        <v>15771</v>
      </c>
      <c r="J1892" s="41" t="s">
        <v>15772</v>
      </c>
      <c r="K1892" s="41" t="s">
        <v>15773</v>
      </c>
      <c r="L1892" s="41" t="s">
        <v>1076</v>
      </c>
    </row>
    <row r="1893" spans="1:19" x14ac:dyDescent="0.25">
      <c r="A1893" s="41" t="s">
        <v>23</v>
      </c>
      <c r="B1893" s="41" t="s">
        <v>15774</v>
      </c>
      <c r="D1893" s="41" t="s">
        <v>15775</v>
      </c>
      <c r="F1893" s="41" t="s">
        <v>15776</v>
      </c>
      <c r="G1893" s="41" t="s">
        <v>15777</v>
      </c>
      <c r="H1893" s="41" t="s">
        <v>15778</v>
      </c>
      <c r="I1893" s="41" t="s">
        <v>15779</v>
      </c>
      <c r="J1893" s="41" t="s">
        <v>15780</v>
      </c>
      <c r="K1893" s="41" t="s">
        <v>15781</v>
      </c>
      <c r="L1893" s="41" t="s">
        <v>1085</v>
      </c>
    </row>
    <row r="1894" spans="1:19" x14ac:dyDescent="0.25">
      <c r="A1894" s="41" t="s">
        <v>23</v>
      </c>
      <c r="B1894" s="41" t="s">
        <v>15782</v>
      </c>
      <c r="D1894" s="41" t="s">
        <v>15783</v>
      </c>
      <c r="F1894" s="41" t="s">
        <v>15784</v>
      </c>
      <c r="G1894" s="41" t="s">
        <v>15785</v>
      </c>
      <c r="H1894" s="41" t="s">
        <v>15786</v>
      </c>
      <c r="I1894" s="41" t="s">
        <v>15787</v>
      </c>
      <c r="J1894" s="41" t="s">
        <v>15788</v>
      </c>
      <c r="K1894" s="41" t="s">
        <v>15789</v>
      </c>
      <c r="L1894" s="41" t="s">
        <v>1094</v>
      </c>
    </row>
    <row r="1895" spans="1:19" x14ac:dyDescent="0.25">
      <c r="A1895" s="41" t="s">
        <v>908</v>
      </c>
      <c r="B1895" s="41" t="s">
        <v>15790</v>
      </c>
    </row>
    <row r="1896" spans="1:19" x14ac:dyDescent="0.25">
      <c r="A1896" s="41" t="s">
        <v>23</v>
      </c>
      <c r="B1896" s="41" t="s">
        <v>15791</v>
      </c>
      <c r="F1896" s="41" t="s">
        <v>15792</v>
      </c>
      <c r="G1896" s="41" t="s">
        <v>15793</v>
      </c>
      <c r="H1896" s="41" t="s">
        <v>15794</v>
      </c>
      <c r="I1896" s="41" t="s">
        <v>15795</v>
      </c>
      <c r="J1896" s="41" t="s">
        <v>15796</v>
      </c>
      <c r="L1896" s="41" t="s">
        <v>4</v>
      </c>
    </row>
    <row r="1897" spans="1:19" x14ac:dyDescent="0.25">
      <c r="A1897" s="41" t="s">
        <v>23</v>
      </c>
      <c r="B1897" s="41" t="s">
        <v>15797</v>
      </c>
      <c r="D1897" s="41" t="s">
        <v>15686</v>
      </c>
      <c r="E1897" s="41" t="s">
        <v>15799</v>
      </c>
      <c r="F1897" s="41" t="s">
        <v>15800</v>
      </c>
      <c r="G1897" s="41" t="s">
        <v>15801</v>
      </c>
      <c r="H1897" s="41" t="s">
        <v>15802</v>
      </c>
      <c r="I1897" s="41" t="s">
        <v>15803</v>
      </c>
      <c r="J1897" s="41" t="s">
        <v>15804</v>
      </c>
      <c r="K1897" s="41" t="s">
        <v>15805</v>
      </c>
      <c r="L1897" s="41" t="s">
        <v>15806</v>
      </c>
      <c r="M1897" s="41" t="s">
        <v>15807</v>
      </c>
      <c r="N1897" s="41" t="s">
        <v>15808</v>
      </c>
      <c r="O1897" s="41" t="s">
        <v>15809</v>
      </c>
      <c r="P1897" s="41" t="s">
        <v>15810</v>
      </c>
      <c r="Q1897" s="41" t="s">
        <v>15811</v>
      </c>
      <c r="R1897" s="41" t="s">
        <v>15812</v>
      </c>
      <c r="S1897" s="41" t="s">
        <v>15813</v>
      </c>
    </row>
    <row r="1898" spans="1:19" x14ac:dyDescent="0.25">
      <c r="A1898" s="41" t="s">
        <v>23</v>
      </c>
      <c r="B1898" s="41" t="s">
        <v>15814</v>
      </c>
      <c r="D1898" s="41" t="s">
        <v>15815</v>
      </c>
      <c r="F1898" s="41" t="s">
        <v>15816</v>
      </c>
      <c r="G1898" s="41" t="s">
        <v>15817</v>
      </c>
      <c r="H1898" s="41" t="s">
        <v>15818</v>
      </c>
      <c r="I1898" s="41" t="s">
        <v>15819</v>
      </c>
      <c r="J1898" s="41" t="s">
        <v>15820</v>
      </c>
      <c r="K1898" s="41" t="s">
        <v>15821</v>
      </c>
      <c r="L1898" s="41" t="s">
        <v>891</v>
      </c>
    </row>
    <row r="1899" spans="1:19" x14ac:dyDescent="0.25">
      <c r="A1899" s="41" t="s">
        <v>23</v>
      </c>
      <c r="B1899" s="41" t="s">
        <v>15822</v>
      </c>
      <c r="D1899" s="41" t="s">
        <v>15823</v>
      </c>
      <c r="F1899" s="41" t="s">
        <v>15824</v>
      </c>
      <c r="G1899" s="41" t="s">
        <v>15825</v>
      </c>
      <c r="H1899" s="41" t="s">
        <v>15826</v>
      </c>
      <c r="I1899" s="41" t="s">
        <v>15827</v>
      </c>
      <c r="J1899" s="41" t="s">
        <v>15828</v>
      </c>
      <c r="K1899" s="41" t="s">
        <v>15829</v>
      </c>
      <c r="L1899" s="41" t="s">
        <v>1076</v>
      </c>
    </row>
    <row r="1900" spans="1:19" x14ac:dyDescent="0.25">
      <c r="A1900" s="41" t="s">
        <v>23</v>
      </c>
      <c r="B1900" s="41" t="s">
        <v>15830</v>
      </c>
      <c r="D1900" s="41" t="s">
        <v>15831</v>
      </c>
      <c r="F1900" s="41" t="s">
        <v>15832</v>
      </c>
      <c r="G1900" s="41" t="s">
        <v>15833</v>
      </c>
      <c r="H1900" s="41" t="s">
        <v>15834</v>
      </c>
      <c r="I1900" s="41" t="s">
        <v>15835</v>
      </c>
      <c r="J1900" s="41" t="s">
        <v>15836</v>
      </c>
      <c r="K1900" s="41" t="s">
        <v>15837</v>
      </c>
      <c r="L1900" s="41" t="s">
        <v>1085</v>
      </c>
    </row>
    <row r="1901" spans="1:19" x14ac:dyDescent="0.25">
      <c r="A1901" s="41" t="s">
        <v>23</v>
      </c>
      <c r="B1901" s="41" t="s">
        <v>15838</v>
      </c>
      <c r="D1901" s="41" t="s">
        <v>15839</v>
      </c>
      <c r="F1901" s="41" t="s">
        <v>15840</v>
      </c>
      <c r="G1901" s="41" t="s">
        <v>15841</v>
      </c>
      <c r="H1901" s="41" t="s">
        <v>15842</v>
      </c>
      <c r="I1901" s="41" t="s">
        <v>15843</v>
      </c>
      <c r="J1901" s="41" t="s">
        <v>15844</v>
      </c>
      <c r="K1901" s="41" t="s">
        <v>15845</v>
      </c>
      <c r="L1901" s="41" t="s">
        <v>1094</v>
      </c>
    </row>
    <row r="1902" spans="1:19" x14ac:dyDescent="0.25">
      <c r="A1902" s="41" t="s">
        <v>908</v>
      </c>
      <c r="B1902" s="41" t="s">
        <v>15846</v>
      </c>
    </row>
    <row r="1903" spans="1:19" x14ac:dyDescent="0.25">
      <c r="A1903" s="41" t="s">
        <v>23</v>
      </c>
      <c r="B1903" s="41" t="s">
        <v>15847</v>
      </c>
      <c r="F1903" s="41" t="s">
        <v>15848</v>
      </c>
      <c r="G1903" s="41" t="s">
        <v>15849</v>
      </c>
      <c r="H1903" s="41" t="s">
        <v>15850</v>
      </c>
      <c r="I1903" s="41" t="s">
        <v>15851</v>
      </c>
      <c r="J1903" s="41" t="s">
        <v>15852</v>
      </c>
      <c r="L1903" s="41" t="s">
        <v>4</v>
      </c>
    </row>
    <row r="1904" spans="1:19" x14ac:dyDescent="0.25">
      <c r="A1904" s="41" t="s">
        <v>23</v>
      </c>
      <c r="B1904" s="41" t="s">
        <v>15853</v>
      </c>
      <c r="D1904" s="41" t="s">
        <v>15742</v>
      </c>
      <c r="E1904" s="41" t="s">
        <v>15855</v>
      </c>
      <c r="F1904" s="41" t="s">
        <v>15856</v>
      </c>
      <c r="G1904" s="41" t="s">
        <v>15857</v>
      </c>
      <c r="H1904" s="41" t="s">
        <v>15858</v>
      </c>
      <c r="I1904" s="41" t="s">
        <v>15859</v>
      </c>
      <c r="J1904" s="41" t="s">
        <v>15860</v>
      </c>
      <c r="K1904" s="41" t="s">
        <v>15861</v>
      </c>
      <c r="L1904" s="41" t="s">
        <v>15862</v>
      </c>
      <c r="M1904" s="41" t="s">
        <v>15863</v>
      </c>
      <c r="N1904" s="41" t="s">
        <v>15864</v>
      </c>
      <c r="O1904" s="41" t="s">
        <v>15865</v>
      </c>
      <c r="P1904" s="41" t="s">
        <v>15866</v>
      </c>
      <c r="Q1904" s="41" t="s">
        <v>15867</v>
      </c>
      <c r="R1904" s="41" t="s">
        <v>15868</v>
      </c>
      <c r="S1904" s="41" t="s">
        <v>15869</v>
      </c>
    </row>
    <row r="1905" spans="1:19" x14ac:dyDescent="0.25">
      <c r="A1905" s="41" t="s">
        <v>23</v>
      </c>
      <c r="B1905" s="41" t="s">
        <v>15870</v>
      </c>
      <c r="D1905" s="41" t="s">
        <v>15871</v>
      </c>
      <c r="F1905" s="41" t="s">
        <v>15872</v>
      </c>
      <c r="G1905" s="41" t="s">
        <v>15873</v>
      </c>
      <c r="H1905" s="41" t="s">
        <v>15874</v>
      </c>
      <c r="I1905" s="41" t="s">
        <v>15875</v>
      </c>
      <c r="J1905" s="41" t="s">
        <v>15876</v>
      </c>
      <c r="K1905" s="41" t="s">
        <v>15877</v>
      </c>
      <c r="L1905" s="41" t="s">
        <v>891</v>
      </c>
    </row>
    <row r="1906" spans="1:19" x14ac:dyDescent="0.25">
      <c r="A1906" s="41" t="s">
        <v>23</v>
      </c>
      <c r="B1906" s="41" t="s">
        <v>15878</v>
      </c>
      <c r="D1906" s="41" t="s">
        <v>15879</v>
      </c>
      <c r="F1906" s="41" t="s">
        <v>15880</v>
      </c>
      <c r="G1906" s="41" t="s">
        <v>15881</v>
      </c>
      <c r="H1906" s="41" t="s">
        <v>15882</v>
      </c>
      <c r="I1906" s="41" t="s">
        <v>15883</v>
      </c>
      <c r="J1906" s="41" t="s">
        <v>15884</v>
      </c>
      <c r="K1906" s="41" t="s">
        <v>15885</v>
      </c>
      <c r="L1906" s="41" t="s">
        <v>1076</v>
      </c>
    </row>
    <row r="1907" spans="1:19" x14ac:dyDescent="0.25">
      <c r="A1907" s="41" t="s">
        <v>23</v>
      </c>
      <c r="B1907" s="41" t="s">
        <v>15886</v>
      </c>
      <c r="D1907" s="41" t="s">
        <v>15887</v>
      </c>
      <c r="F1907" s="41" t="s">
        <v>15888</v>
      </c>
      <c r="G1907" s="41" t="s">
        <v>15889</v>
      </c>
      <c r="H1907" s="41" t="s">
        <v>15890</v>
      </c>
      <c r="I1907" s="41" t="s">
        <v>15891</v>
      </c>
      <c r="J1907" s="41" t="s">
        <v>15892</v>
      </c>
      <c r="K1907" s="41" t="s">
        <v>15893</v>
      </c>
      <c r="L1907" s="41" t="s">
        <v>1085</v>
      </c>
    </row>
    <row r="1908" spans="1:19" x14ac:dyDescent="0.25">
      <c r="A1908" s="41" t="s">
        <v>23</v>
      </c>
      <c r="B1908" s="41" t="s">
        <v>15894</v>
      </c>
      <c r="D1908" s="41" t="s">
        <v>15895</v>
      </c>
      <c r="F1908" s="41" t="s">
        <v>15896</v>
      </c>
      <c r="G1908" s="41" t="s">
        <v>15897</v>
      </c>
      <c r="H1908" s="41" t="s">
        <v>15898</v>
      </c>
      <c r="I1908" s="41" t="s">
        <v>15899</v>
      </c>
      <c r="J1908" s="41" t="s">
        <v>15900</v>
      </c>
      <c r="K1908" s="41" t="s">
        <v>15901</v>
      </c>
      <c r="L1908" s="41" t="s">
        <v>1094</v>
      </c>
    </row>
    <row r="1909" spans="1:19" x14ac:dyDescent="0.25">
      <c r="A1909" s="41" t="s">
        <v>908</v>
      </c>
      <c r="B1909" s="41" t="s">
        <v>15902</v>
      </c>
    </row>
    <row r="1910" spans="1:19" x14ac:dyDescent="0.25">
      <c r="A1910" s="41" t="s">
        <v>23</v>
      </c>
      <c r="B1910" s="41" t="s">
        <v>15903</v>
      </c>
      <c r="F1910" s="41" t="s">
        <v>15904</v>
      </c>
      <c r="G1910" s="41" t="s">
        <v>15905</v>
      </c>
      <c r="H1910" s="41" t="s">
        <v>15906</v>
      </c>
      <c r="I1910" s="41" t="s">
        <v>15907</v>
      </c>
      <c r="J1910" s="41" t="s">
        <v>15908</v>
      </c>
      <c r="L1910" s="41" t="s">
        <v>4</v>
      </c>
    </row>
    <row r="1911" spans="1:19" x14ac:dyDescent="0.25">
      <c r="A1911" s="41" t="s">
        <v>23</v>
      </c>
      <c r="B1911" s="41" t="s">
        <v>15909</v>
      </c>
      <c r="D1911" s="41" t="s">
        <v>15798</v>
      </c>
      <c r="E1911" s="41" t="s">
        <v>15911</v>
      </c>
      <c r="F1911" s="41" t="s">
        <v>15912</v>
      </c>
      <c r="G1911" s="41" t="s">
        <v>15913</v>
      </c>
      <c r="H1911" s="41" t="s">
        <v>15914</v>
      </c>
      <c r="I1911" s="41" t="s">
        <v>15915</v>
      </c>
      <c r="J1911" s="41" t="s">
        <v>15916</v>
      </c>
      <c r="K1911" s="41" t="s">
        <v>15917</v>
      </c>
      <c r="L1911" s="41" t="s">
        <v>15918</v>
      </c>
      <c r="M1911" s="41" t="s">
        <v>15919</v>
      </c>
      <c r="N1911" s="41" t="s">
        <v>15920</v>
      </c>
      <c r="O1911" s="41" t="s">
        <v>15921</v>
      </c>
      <c r="P1911" s="41" t="s">
        <v>15922</v>
      </c>
      <c r="Q1911" s="41" t="s">
        <v>15923</v>
      </c>
      <c r="R1911" s="41" t="s">
        <v>15924</v>
      </c>
      <c r="S1911" s="41" t="s">
        <v>15925</v>
      </c>
    </row>
    <row r="1912" spans="1:19" x14ac:dyDescent="0.25">
      <c r="A1912" s="41" t="s">
        <v>23</v>
      </c>
      <c r="B1912" s="41" t="s">
        <v>15926</v>
      </c>
      <c r="D1912" s="41" t="s">
        <v>15927</v>
      </c>
      <c r="F1912" s="41" t="s">
        <v>15928</v>
      </c>
      <c r="G1912" s="41" t="s">
        <v>15929</v>
      </c>
      <c r="H1912" s="41" t="s">
        <v>15930</v>
      </c>
      <c r="I1912" s="41" t="s">
        <v>15931</v>
      </c>
      <c r="J1912" s="41" t="s">
        <v>15932</v>
      </c>
      <c r="K1912" s="41" t="s">
        <v>15933</v>
      </c>
      <c r="L1912" s="41" t="s">
        <v>891</v>
      </c>
    </row>
    <row r="1913" spans="1:19" x14ac:dyDescent="0.25">
      <c r="A1913" s="41" t="s">
        <v>23</v>
      </c>
      <c r="B1913" s="41" t="s">
        <v>15934</v>
      </c>
      <c r="D1913" s="41" t="s">
        <v>15935</v>
      </c>
      <c r="F1913" s="41" t="s">
        <v>15936</v>
      </c>
      <c r="G1913" s="41" t="s">
        <v>15937</v>
      </c>
      <c r="H1913" s="41" t="s">
        <v>15938</v>
      </c>
      <c r="I1913" s="41" t="s">
        <v>15939</v>
      </c>
      <c r="J1913" s="41" t="s">
        <v>15940</v>
      </c>
      <c r="K1913" s="41" t="s">
        <v>15941</v>
      </c>
      <c r="L1913" s="41" t="s">
        <v>1076</v>
      </c>
    </row>
    <row r="1914" spans="1:19" x14ac:dyDescent="0.25">
      <c r="A1914" s="41" t="s">
        <v>23</v>
      </c>
      <c r="B1914" s="41" t="s">
        <v>15942</v>
      </c>
      <c r="D1914" s="41" t="s">
        <v>15943</v>
      </c>
      <c r="F1914" s="41" t="s">
        <v>15944</v>
      </c>
      <c r="G1914" s="41" t="s">
        <v>15945</v>
      </c>
      <c r="H1914" s="41" t="s">
        <v>15946</v>
      </c>
      <c r="I1914" s="41" t="s">
        <v>15947</v>
      </c>
      <c r="J1914" s="41" t="s">
        <v>15948</v>
      </c>
      <c r="K1914" s="41" t="s">
        <v>15949</v>
      </c>
      <c r="L1914" s="41" t="s">
        <v>1085</v>
      </c>
    </row>
    <row r="1915" spans="1:19" x14ac:dyDescent="0.25">
      <c r="A1915" s="41" t="s">
        <v>23</v>
      </c>
      <c r="B1915" s="41" t="s">
        <v>15950</v>
      </c>
      <c r="D1915" s="41" t="s">
        <v>15951</v>
      </c>
      <c r="F1915" s="41" t="s">
        <v>15952</v>
      </c>
      <c r="G1915" s="41" t="s">
        <v>15953</v>
      </c>
      <c r="H1915" s="41" t="s">
        <v>15954</v>
      </c>
      <c r="I1915" s="41" t="s">
        <v>15955</v>
      </c>
      <c r="J1915" s="41" t="s">
        <v>15956</v>
      </c>
      <c r="K1915" s="41" t="s">
        <v>15957</v>
      </c>
      <c r="L1915" s="41" t="s">
        <v>1094</v>
      </c>
    </row>
    <row r="1916" spans="1:19" x14ac:dyDescent="0.25">
      <c r="A1916" s="41" t="s">
        <v>908</v>
      </c>
      <c r="B1916" s="41" t="s">
        <v>15958</v>
      </c>
    </row>
    <row r="1917" spans="1:19" x14ac:dyDescent="0.25">
      <c r="A1917" s="41" t="s">
        <v>23</v>
      </c>
      <c r="B1917" s="41" t="s">
        <v>15959</v>
      </c>
      <c r="F1917" s="41" t="s">
        <v>15960</v>
      </c>
      <c r="G1917" s="41" t="s">
        <v>15961</v>
      </c>
      <c r="H1917" s="41" t="s">
        <v>15962</v>
      </c>
      <c r="I1917" s="41" t="s">
        <v>15963</v>
      </c>
      <c r="J1917" s="41" t="s">
        <v>15964</v>
      </c>
      <c r="L1917" s="41" t="s">
        <v>4</v>
      </c>
    </row>
    <row r="1918" spans="1:19" x14ac:dyDescent="0.25">
      <c r="A1918" s="41" t="s">
        <v>23</v>
      </c>
      <c r="B1918" s="41" t="s">
        <v>15965</v>
      </c>
      <c r="D1918" s="41" t="s">
        <v>15854</v>
      </c>
      <c r="E1918" s="41" t="s">
        <v>15967</v>
      </c>
      <c r="F1918" s="41" t="s">
        <v>15968</v>
      </c>
      <c r="G1918" s="41" t="s">
        <v>15969</v>
      </c>
      <c r="H1918" s="41" t="s">
        <v>15970</v>
      </c>
      <c r="I1918" s="41" t="s">
        <v>15971</v>
      </c>
      <c r="J1918" s="41" t="s">
        <v>15972</v>
      </c>
      <c r="K1918" s="41" t="s">
        <v>15973</v>
      </c>
      <c r="L1918" s="41" t="s">
        <v>15974</v>
      </c>
      <c r="M1918" s="41" t="s">
        <v>15975</v>
      </c>
      <c r="N1918" s="41" t="s">
        <v>15976</v>
      </c>
      <c r="O1918" s="41" t="s">
        <v>15977</v>
      </c>
      <c r="P1918" s="41" t="s">
        <v>15978</v>
      </c>
      <c r="Q1918" s="41" t="s">
        <v>15979</v>
      </c>
      <c r="R1918" s="41" t="s">
        <v>15980</v>
      </c>
      <c r="S1918" s="41" t="s">
        <v>15981</v>
      </c>
    </row>
    <row r="1919" spans="1:19" x14ac:dyDescent="0.25">
      <c r="A1919" s="41" t="s">
        <v>23</v>
      </c>
      <c r="B1919" s="41" t="s">
        <v>15982</v>
      </c>
      <c r="D1919" s="41" t="s">
        <v>15983</v>
      </c>
      <c r="F1919" s="41" t="s">
        <v>15984</v>
      </c>
      <c r="G1919" s="41" t="s">
        <v>15985</v>
      </c>
      <c r="H1919" s="41" t="s">
        <v>15986</v>
      </c>
      <c r="I1919" s="41" t="s">
        <v>15987</v>
      </c>
      <c r="J1919" s="41" t="s">
        <v>15988</v>
      </c>
      <c r="K1919" s="41" t="s">
        <v>15989</v>
      </c>
      <c r="L1919" s="41" t="s">
        <v>891</v>
      </c>
    </row>
    <row r="1920" spans="1:19" x14ac:dyDescent="0.25">
      <c r="A1920" s="41" t="s">
        <v>23</v>
      </c>
      <c r="B1920" s="41" t="s">
        <v>15990</v>
      </c>
      <c r="D1920" s="41" t="s">
        <v>15991</v>
      </c>
      <c r="F1920" s="41" t="s">
        <v>15992</v>
      </c>
      <c r="G1920" s="41" t="s">
        <v>15993</v>
      </c>
      <c r="H1920" s="41" t="s">
        <v>15994</v>
      </c>
      <c r="I1920" s="41" t="s">
        <v>15995</v>
      </c>
      <c r="J1920" s="41" t="s">
        <v>15996</v>
      </c>
      <c r="K1920" s="41" t="s">
        <v>15997</v>
      </c>
      <c r="L1920" s="41" t="s">
        <v>1076</v>
      </c>
    </row>
    <row r="1921" spans="1:19" x14ac:dyDescent="0.25">
      <c r="A1921" s="41" t="s">
        <v>23</v>
      </c>
      <c r="B1921" s="41" t="s">
        <v>15998</v>
      </c>
      <c r="D1921" s="41" t="s">
        <v>15999</v>
      </c>
      <c r="F1921" s="41" t="s">
        <v>16000</v>
      </c>
      <c r="G1921" s="41" t="s">
        <v>16001</v>
      </c>
      <c r="H1921" s="41" t="s">
        <v>16002</v>
      </c>
      <c r="I1921" s="41" t="s">
        <v>16003</v>
      </c>
      <c r="J1921" s="41" t="s">
        <v>16004</v>
      </c>
      <c r="K1921" s="41" t="s">
        <v>16005</v>
      </c>
      <c r="L1921" s="41" t="s">
        <v>1085</v>
      </c>
    </row>
    <row r="1922" spans="1:19" x14ac:dyDescent="0.25">
      <c r="A1922" s="41" t="s">
        <v>23</v>
      </c>
      <c r="B1922" s="41" t="s">
        <v>16006</v>
      </c>
      <c r="D1922" s="41" t="s">
        <v>16007</v>
      </c>
      <c r="F1922" s="41" t="s">
        <v>16008</v>
      </c>
      <c r="G1922" s="41" t="s">
        <v>16009</v>
      </c>
      <c r="H1922" s="41" t="s">
        <v>16010</v>
      </c>
      <c r="I1922" s="41" t="s">
        <v>16011</v>
      </c>
      <c r="J1922" s="41" t="s">
        <v>16012</v>
      </c>
      <c r="K1922" s="41" t="s">
        <v>16013</v>
      </c>
      <c r="L1922" s="41" t="s">
        <v>1094</v>
      </c>
    </row>
    <row r="1923" spans="1:19" x14ac:dyDescent="0.25">
      <c r="A1923" s="41" t="s">
        <v>908</v>
      </c>
      <c r="B1923" s="41" t="s">
        <v>16014</v>
      </c>
    </row>
    <row r="1924" spans="1:19" x14ac:dyDescent="0.25">
      <c r="A1924" s="41" t="s">
        <v>23</v>
      </c>
      <c r="B1924" s="41" t="s">
        <v>16015</v>
      </c>
      <c r="F1924" s="41" t="s">
        <v>16016</v>
      </c>
      <c r="G1924" s="41" t="s">
        <v>16017</v>
      </c>
      <c r="H1924" s="41" t="s">
        <v>16018</v>
      </c>
      <c r="I1924" s="41" t="s">
        <v>16019</v>
      </c>
      <c r="J1924" s="41" t="s">
        <v>16020</v>
      </c>
      <c r="L1924" s="41" t="s">
        <v>4</v>
      </c>
    </row>
    <row r="1925" spans="1:19" x14ac:dyDescent="0.25">
      <c r="A1925" s="41" t="s">
        <v>23</v>
      </c>
      <c r="B1925" s="41" t="s">
        <v>16021</v>
      </c>
      <c r="D1925" s="41" t="s">
        <v>15910</v>
      </c>
      <c r="E1925" s="41" t="s">
        <v>16023</v>
      </c>
      <c r="F1925" s="41" t="s">
        <v>16024</v>
      </c>
      <c r="G1925" s="41" t="s">
        <v>16025</v>
      </c>
      <c r="H1925" s="41" t="s">
        <v>16026</v>
      </c>
      <c r="I1925" s="41" t="s">
        <v>16027</v>
      </c>
      <c r="J1925" s="41" t="s">
        <v>16028</v>
      </c>
      <c r="K1925" s="41" t="s">
        <v>16029</v>
      </c>
      <c r="L1925" s="41" t="s">
        <v>16030</v>
      </c>
      <c r="M1925" s="41" t="s">
        <v>16031</v>
      </c>
      <c r="N1925" s="41" t="s">
        <v>16032</v>
      </c>
      <c r="O1925" s="41" t="s">
        <v>16033</v>
      </c>
      <c r="P1925" s="41" t="s">
        <v>16034</v>
      </c>
      <c r="Q1925" s="41" t="s">
        <v>16035</v>
      </c>
      <c r="R1925" s="41" t="s">
        <v>16036</v>
      </c>
      <c r="S1925" s="41" t="s">
        <v>16037</v>
      </c>
    </row>
    <row r="1926" spans="1:19" x14ac:dyDescent="0.25">
      <c r="A1926" s="41" t="s">
        <v>23</v>
      </c>
      <c r="B1926" s="41" t="s">
        <v>16038</v>
      </c>
      <c r="D1926" s="41" t="s">
        <v>16039</v>
      </c>
      <c r="F1926" s="41" t="s">
        <v>16040</v>
      </c>
      <c r="G1926" s="41" t="s">
        <v>16041</v>
      </c>
      <c r="H1926" s="41" t="s">
        <v>16042</v>
      </c>
      <c r="I1926" s="41" t="s">
        <v>16043</v>
      </c>
      <c r="J1926" s="41" t="s">
        <v>16044</v>
      </c>
      <c r="K1926" s="41" t="s">
        <v>16045</v>
      </c>
      <c r="L1926" s="41" t="s">
        <v>891</v>
      </c>
    </row>
    <row r="1927" spans="1:19" x14ac:dyDescent="0.25">
      <c r="A1927" s="41" t="s">
        <v>23</v>
      </c>
      <c r="B1927" s="41" t="s">
        <v>16046</v>
      </c>
      <c r="D1927" s="41" t="s">
        <v>16047</v>
      </c>
      <c r="F1927" s="41" t="s">
        <v>16048</v>
      </c>
      <c r="G1927" s="41" t="s">
        <v>16049</v>
      </c>
      <c r="H1927" s="41" t="s">
        <v>16050</v>
      </c>
      <c r="I1927" s="41" t="s">
        <v>16051</v>
      </c>
      <c r="J1927" s="41" t="s">
        <v>16052</v>
      </c>
      <c r="K1927" s="41" t="s">
        <v>16053</v>
      </c>
      <c r="L1927" s="41" t="s">
        <v>1076</v>
      </c>
    </row>
    <row r="1928" spans="1:19" x14ac:dyDescent="0.25">
      <c r="A1928" s="41" t="s">
        <v>23</v>
      </c>
      <c r="B1928" s="41" t="s">
        <v>16054</v>
      </c>
      <c r="D1928" s="41" t="s">
        <v>16055</v>
      </c>
      <c r="F1928" s="41" t="s">
        <v>16056</v>
      </c>
      <c r="G1928" s="41" t="s">
        <v>16057</v>
      </c>
      <c r="H1928" s="41" t="s">
        <v>16058</v>
      </c>
      <c r="I1928" s="41" t="s">
        <v>16059</v>
      </c>
      <c r="J1928" s="41" t="s">
        <v>16060</v>
      </c>
      <c r="K1928" s="41" t="s">
        <v>16061</v>
      </c>
      <c r="L1928" s="41" t="s">
        <v>1085</v>
      </c>
    </row>
    <row r="1929" spans="1:19" x14ac:dyDescent="0.25">
      <c r="A1929" s="41" t="s">
        <v>23</v>
      </c>
      <c r="B1929" s="41" t="s">
        <v>16062</v>
      </c>
      <c r="D1929" s="41" t="s">
        <v>16063</v>
      </c>
      <c r="F1929" s="41" t="s">
        <v>16064</v>
      </c>
      <c r="G1929" s="41" t="s">
        <v>16065</v>
      </c>
      <c r="H1929" s="41" t="s">
        <v>16066</v>
      </c>
      <c r="I1929" s="41" t="s">
        <v>16067</v>
      </c>
      <c r="J1929" s="41" t="s">
        <v>16068</v>
      </c>
      <c r="K1929" s="41" t="s">
        <v>16069</v>
      </c>
      <c r="L1929" s="41" t="s">
        <v>1094</v>
      </c>
    </row>
    <row r="1930" spans="1:19" x14ac:dyDescent="0.25">
      <c r="A1930" s="41" t="s">
        <v>908</v>
      </c>
      <c r="B1930" s="41" t="s">
        <v>16070</v>
      </c>
    </row>
    <row r="1931" spans="1:19" x14ac:dyDescent="0.25">
      <c r="A1931" s="41" t="s">
        <v>23</v>
      </c>
      <c r="B1931" s="41" t="s">
        <v>16071</v>
      </c>
      <c r="F1931" s="41" t="s">
        <v>16072</v>
      </c>
      <c r="G1931" s="41" t="s">
        <v>16073</v>
      </c>
      <c r="H1931" s="41" t="s">
        <v>16074</v>
      </c>
      <c r="I1931" s="41" t="s">
        <v>16075</v>
      </c>
      <c r="J1931" s="41" t="s">
        <v>16076</v>
      </c>
      <c r="L1931" s="41" t="s">
        <v>4</v>
      </c>
    </row>
    <row r="1932" spans="1:19" x14ac:dyDescent="0.25">
      <c r="A1932" s="41" t="s">
        <v>23</v>
      </c>
      <c r="B1932" s="41" t="s">
        <v>16077</v>
      </c>
      <c r="D1932" s="41" t="s">
        <v>15966</v>
      </c>
      <c r="E1932" s="41" t="s">
        <v>16079</v>
      </c>
      <c r="F1932" s="41" t="s">
        <v>16080</v>
      </c>
      <c r="G1932" s="41" t="s">
        <v>16081</v>
      </c>
      <c r="H1932" s="41" t="s">
        <v>16082</v>
      </c>
      <c r="I1932" s="41" t="s">
        <v>16083</v>
      </c>
      <c r="J1932" s="41" t="s">
        <v>16084</v>
      </c>
      <c r="K1932" s="41" t="s">
        <v>16085</v>
      </c>
      <c r="L1932" s="41" t="s">
        <v>16086</v>
      </c>
      <c r="M1932" s="41" t="s">
        <v>16087</v>
      </c>
      <c r="N1932" s="41" t="s">
        <v>16088</v>
      </c>
      <c r="O1932" s="41" t="s">
        <v>16089</v>
      </c>
      <c r="P1932" s="41" t="s">
        <v>16090</v>
      </c>
      <c r="Q1932" s="41" t="s">
        <v>16091</v>
      </c>
      <c r="R1932" s="41" t="s">
        <v>16092</v>
      </c>
      <c r="S1932" s="41" t="s">
        <v>16093</v>
      </c>
    </row>
    <row r="1933" spans="1:19" x14ac:dyDescent="0.25">
      <c r="A1933" s="41" t="s">
        <v>23</v>
      </c>
      <c r="B1933" s="41" t="s">
        <v>16094</v>
      </c>
      <c r="D1933" s="41" t="s">
        <v>16095</v>
      </c>
      <c r="F1933" s="41" t="s">
        <v>16096</v>
      </c>
      <c r="G1933" s="41" t="s">
        <v>16097</v>
      </c>
      <c r="H1933" s="41" t="s">
        <v>16098</v>
      </c>
      <c r="I1933" s="41" t="s">
        <v>16099</v>
      </c>
      <c r="J1933" s="41" t="s">
        <v>16100</v>
      </c>
      <c r="K1933" s="41" t="s">
        <v>16101</v>
      </c>
      <c r="L1933" s="41" t="s">
        <v>891</v>
      </c>
    </row>
    <row r="1934" spans="1:19" x14ac:dyDescent="0.25">
      <c r="A1934" s="41" t="s">
        <v>23</v>
      </c>
      <c r="B1934" s="41" t="s">
        <v>16102</v>
      </c>
      <c r="D1934" s="41" t="s">
        <v>16103</v>
      </c>
      <c r="F1934" s="41" t="s">
        <v>16104</v>
      </c>
      <c r="G1934" s="41" t="s">
        <v>16105</v>
      </c>
      <c r="H1934" s="41" t="s">
        <v>16106</v>
      </c>
      <c r="I1934" s="41" t="s">
        <v>16107</v>
      </c>
      <c r="J1934" s="41" t="s">
        <v>16108</v>
      </c>
      <c r="K1934" s="41" t="s">
        <v>16109</v>
      </c>
      <c r="L1934" s="41" t="s">
        <v>1076</v>
      </c>
    </row>
    <row r="1935" spans="1:19" x14ac:dyDescent="0.25">
      <c r="A1935" s="41" t="s">
        <v>23</v>
      </c>
      <c r="B1935" s="41" t="s">
        <v>16110</v>
      </c>
      <c r="D1935" s="41" t="s">
        <v>16111</v>
      </c>
      <c r="F1935" s="41" t="s">
        <v>16112</v>
      </c>
      <c r="G1935" s="41" t="s">
        <v>16113</v>
      </c>
      <c r="H1935" s="41" t="s">
        <v>16114</v>
      </c>
      <c r="I1935" s="41" t="s">
        <v>16115</v>
      </c>
      <c r="J1935" s="41" t="s">
        <v>16116</v>
      </c>
      <c r="K1935" s="41" t="s">
        <v>16117</v>
      </c>
      <c r="L1935" s="41" t="s">
        <v>1085</v>
      </c>
    </row>
    <row r="1936" spans="1:19" x14ac:dyDescent="0.25">
      <c r="A1936" s="41" t="s">
        <v>23</v>
      </c>
      <c r="B1936" s="41" t="s">
        <v>16118</v>
      </c>
      <c r="D1936" s="41" t="s">
        <v>16119</v>
      </c>
      <c r="F1936" s="41" t="s">
        <v>16120</v>
      </c>
      <c r="G1936" s="41" t="s">
        <v>16121</v>
      </c>
      <c r="H1936" s="41" t="s">
        <v>16122</v>
      </c>
      <c r="I1936" s="41" t="s">
        <v>16123</v>
      </c>
      <c r="J1936" s="41" t="s">
        <v>16124</v>
      </c>
      <c r="K1936" s="41" t="s">
        <v>16125</v>
      </c>
      <c r="L1936" s="41" t="s">
        <v>1094</v>
      </c>
    </row>
    <row r="1937" spans="1:19" x14ac:dyDescent="0.25">
      <c r="A1937" s="41" t="s">
        <v>908</v>
      </c>
      <c r="B1937" s="41" t="s">
        <v>16126</v>
      </c>
    </row>
    <row r="1938" spans="1:19" x14ac:dyDescent="0.25">
      <c r="A1938" s="41" t="s">
        <v>23</v>
      </c>
      <c r="B1938" s="41" t="s">
        <v>16127</v>
      </c>
      <c r="F1938" s="41" t="s">
        <v>16128</v>
      </c>
      <c r="G1938" s="41" t="s">
        <v>16129</v>
      </c>
      <c r="H1938" s="41" t="s">
        <v>16130</v>
      </c>
      <c r="I1938" s="41" t="s">
        <v>16131</v>
      </c>
      <c r="J1938" s="41" t="s">
        <v>16132</v>
      </c>
      <c r="L1938" s="41" t="s">
        <v>4</v>
      </c>
    </row>
    <row r="1939" spans="1:19" x14ac:dyDescent="0.25">
      <c r="A1939" s="41" t="s">
        <v>23</v>
      </c>
      <c r="B1939" s="41" t="s">
        <v>16133</v>
      </c>
      <c r="D1939" s="41" t="s">
        <v>16022</v>
      </c>
      <c r="E1939" s="41" t="s">
        <v>16135</v>
      </c>
      <c r="F1939" s="41" t="s">
        <v>16136</v>
      </c>
      <c r="G1939" s="41" t="s">
        <v>16137</v>
      </c>
      <c r="H1939" s="41" t="s">
        <v>16138</v>
      </c>
      <c r="I1939" s="41" t="s">
        <v>16139</v>
      </c>
      <c r="J1939" s="41" t="s">
        <v>16140</v>
      </c>
      <c r="K1939" s="41" t="s">
        <v>16141</v>
      </c>
      <c r="L1939" s="41" t="s">
        <v>16142</v>
      </c>
      <c r="M1939" s="41" t="s">
        <v>16143</v>
      </c>
      <c r="N1939" s="41" t="s">
        <v>16144</v>
      </c>
      <c r="O1939" s="41" t="s">
        <v>16145</v>
      </c>
      <c r="P1939" s="41" t="s">
        <v>16146</v>
      </c>
      <c r="Q1939" s="41" t="s">
        <v>16147</v>
      </c>
      <c r="R1939" s="41" t="s">
        <v>16148</v>
      </c>
      <c r="S1939" s="41" t="s">
        <v>16149</v>
      </c>
    </row>
    <row r="1940" spans="1:19" x14ac:dyDescent="0.25">
      <c r="A1940" s="41" t="s">
        <v>23</v>
      </c>
      <c r="B1940" s="41" t="s">
        <v>16150</v>
      </c>
      <c r="D1940" s="41" t="s">
        <v>16151</v>
      </c>
      <c r="F1940" s="41" t="s">
        <v>16152</v>
      </c>
      <c r="G1940" s="41" t="s">
        <v>16153</v>
      </c>
      <c r="H1940" s="41" t="s">
        <v>16154</v>
      </c>
      <c r="I1940" s="41" t="s">
        <v>16155</v>
      </c>
      <c r="J1940" s="41" t="s">
        <v>16156</v>
      </c>
      <c r="K1940" s="41" t="s">
        <v>16157</v>
      </c>
      <c r="L1940" s="41" t="s">
        <v>891</v>
      </c>
    </row>
    <row r="1941" spans="1:19" x14ac:dyDescent="0.25">
      <c r="A1941" s="41" t="s">
        <v>23</v>
      </c>
      <c r="B1941" s="41" t="s">
        <v>16158</v>
      </c>
      <c r="D1941" s="41" t="s">
        <v>16159</v>
      </c>
      <c r="F1941" s="41" t="s">
        <v>16160</v>
      </c>
      <c r="G1941" s="41" t="s">
        <v>16161</v>
      </c>
      <c r="H1941" s="41" t="s">
        <v>16162</v>
      </c>
      <c r="I1941" s="41" t="s">
        <v>16163</v>
      </c>
      <c r="J1941" s="41" t="s">
        <v>16164</v>
      </c>
      <c r="K1941" s="41" t="s">
        <v>16165</v>
      </c>
      <c r="L1941" s="41" t="s">
        <v>1076</v>
      </c>
    </row>
    <row r="1942" spans="1:19" x14ac:dyDescent="0.25">
      <c r="A1942" s="41" t="s">
        <v>23</v>
      </c>
      <c r="B1942" s="41" t="s">
        <v>16166</v>
      </c>
      <c r="D1942" s="41" t="s">
        <v>16167</v>
      </c>
      <c r="F1942" s="41" t="s">
        <v>16168</v>
      </c>
      <c r="G1942" s="41" t="s">
        <v>16169</v>
      </c>
      <c r="H1942" s="41" t="s">
        <v>16170</v>
      </c>
      <c r="I1942" s="41" t="s">
        <v>16171</v>
      </c>
      <c r="J1942" s="41" t="s">
        <v>16172</v>
      </c>
      <c r="K1942" s="41" t="s">
        <v>16173</v>
      </c>
      <c r="L1942" s="41" t="s">
        <v>1085</v>
      </c>
    </row>
    <row r="1943" spans="1:19" x14ac:dyDescent="0.25">
      <c r="A1943" s="41" t="s">
        <v>23</v>
      </c>
      <c r="B1943" s="41" t="s">
        <v>16174</v>
      </c>
      <c r="D1943" s="41" t="s">
        <v>16175</v>
      </c>
      <c r="F1943" s="41" t="s">
        <v>16176</v>
      </c>
      <c r="G1943" s="41" t="s">
        <v>16177</v>
      </c>
      <c r="H1943" s="41" t="s">
        <v>16178</v>
      </c>
      <c r="I1943" s="41" t="s">
        <v>16179</v>
      </c>
      <c r="J1943" s="41" t="s">
        <v>16180</v>
      </c>
      <c r="K1943" s="41" t="s">
        <v>16181</v>
      </c>
      <c r="L1943" s="41" t="s">
        <v>1094</v>
      </c>
    </row>
    <row r="1944" spans="1:19" x14ac:dyDescent="0.25">
      <c r="A1944" s="41" t="s">
        <v>908</v>
      </c>
      <c r="B1944" s="41" t="s">
        <v>16182</v>
      </c>
    </row>
    <row r="1945" spans="1:19" x14ac:dyDescent="0.25">
      <c r="A1945" s="41" t="s">
        <v>23</v>
      </c>
      <c r="B1945" s="41" t="s">
        <v>16183</v>
      </c>
      <c r="F1945" s="41" t="s">
        <v>16184</v>
      </c>
      <c r="G1945" s="41" t="s">
        <v>16185</v>
      </c>
      <c r="H1945" s="41" t="s">
        <v>16186</v>
      </c>
      <c r="I1945" s="41" t="s">
        <v>16187</v>
      </c>
      <c r="J1945" s="41" t="s">
        <v>16188</v>
      </c>
      <c r="L1945" s="41" t="s">
        <v>4</v>
      </c>
    </row>
    <row r="1946" spans="1:19" x14ac:dyDescent="0.25">
      <c r="A1946" s="41" t="s">
        <v>23</v>
      </c>
      <c r="B1946" s="41" t="s">
        <v>16189</v>
      </c>
      <c r="D1946" s="41" t="s">
        <v>16078</v>
      </c>
      <c r="E1946" s="41" t="s">
        <v>16191</v>
      </c>
      <c r="F1946" s="41" t="s">
        <v>16192</v>
      </c>
      <c r="G1946" s="41" t="s">
        <v>16193</v>
      </c>
      <c r="H1946" s="41" t="s">
        <v>16194</v>
      </c>
      <c r="I1946" s="41" t="s">
        <v>16195</v>
      </c>
      <c r="J1946" s="41" t="s">
        <v>16196</v>
      </c>
      <c r="K1946" s="41" t="s">
        <v>16197</v>
      </c>
      <c r="L1946" s="41" t="s">
        <v>16198</v>
      </c>
      <c r="M1946" s="41" t="s">
        <v>16199</v>
      </c>
      <c r="N1946" s="41" t="s">
        <v>16200</v>
      </c>
      <c r="O1946" s="41" t="s">
        <v>16201</v>
      </c>
      <c r="P1946" s="41" t="s">
        <v>16202</v>
      </c>
      <c r="Q1946" s="41" t="s">
        <v>16203</v>
      </c>
      <c r="R1946" s="41" t="s">
        <v>16204</v>
      </c>
      <c r="S1946" s="41" t="s">
        <v>16205</v>
      </c>
    </row>
    <row r="1947" spans="1:19" x14ac:dyDescent="0.25">
      <c r="A1947" s="41" t="s">
        <v>23</v>
      </c>
      <c r="B1947" s="41" t="s">
        <v>16206</v>
      </c>
      <c r="D1947" s="41" t="s">
        <v>16207</v>
      </c>
      <c r="F1947" s="41" t="s">
        <v>16208</v>
      </c>
      <c r="G1947" s="41" t="s">
        <v>16209</v>
      </c>
      <c r="H1947" s="41" t="s">
        <v>16210</v>
      </c>
      <c r="I1947" s="41" t="s">
        <v>16211</v>
      </c>
      <c r="J1947" s="41" t="s">
        <v>16212</v>
      </c>
      <c r="K1947" s="41" t="s">
        <v>16213</v>
      </c>
      <c r="L1947" s="41" t="s">
        <v>891</v>
      </c>
    </row>
    <row r="1948" spans="1:19" x14ac:dyDescent="0.25">
      <c r="A1948" s="41" t="s">
        <v>23</v>
      </c>
      <c r="B1948" s="41" t="s">
        <v>16214</v>
      </c>
      <c r="D1948" s="41" t="s">
        <v>16215</v>
      </c>
      <c r="F1948" s="41" t="s">
        <v>16216</v>
      </c>
      <c r="G1948" s="41" t="s">
        <v>16217</v>
      </c>
      <c r="H1948" s="41" t="s">
        <v>16218</v>
      </c>
      <c r="I1948" s="41" t="s">
        <v>16219</v>
      </c>
      <c r="J1948" s="41" t="s">
        <v>16220</v>
      </c>
      <c r="K1948" s="41" t="s">
        <v>16221</v>
      </c>
      <c r="L1948" s="41" t="s">
        <v>1076</v>
      </c>
    </row>
    <row r="1949" spans="1:19" x14ac:dyDescent="0.25">
      <c r="A1949" s="41" t="s">
        <v>23</v>
      </c>
      <c r="B1949" s="41" t="s">
        <v>16222</v>
      </c>
      <c r="D1949" s="41" t="s">
        <v>16223</v>
      </c>
      <c r="F1949" s="41" t="s">
        <v>16224</v>
      </c>
      <c r="G1949" s="41" t="s">
        <v>16225</v>
      </c>
      <c r="H1949" s="41" t="s">
        <v>16226</v>
      </c>
      <c r="I1949" s="41" t="s">
        <v>16227</v>
      </c>
      <c r="J1949" s="41" t="s">
        <v>16228</v>
      </c>
      <c r="K1949" s="41" t="s">
        <v>16229</v>
      </c>
      <c r="L1949" s="41" t="s">
        <v>1085</v>
      </c>
    </row>
    <row r="1950" spans="1:19" x14ac:dyDescent="0.25">
      <c r="A1950" s="41" t="s">
        <v>23</v>
      </c>
      <c r="B1950" s="41" t="s">
        <v>16230</v>
      </c>
      <c r="D1950" s="41" t="s">
        <v>16231</v>
      </c>
      <c r="F1950" s="41" t="s">
        <v>16232</v>
      </c>
      <c r="G1950" s="41" t="s">
        <v>16233</v>
      </c>
      <c r="H1950" s="41" t="s">
        <v>16234</v>
      </c>
      <c r="I1950" s="41" t="s">
        <v>16235</v>
      </c>
      <c r="J1950" s="41" t="s">
        <v>16236</v>
      </c>
      <c r="K1950" s="41" t="s">
        <v>16237</v>
      </c>
      <c r="L1950" s="41" t="s">
        <v>1094</v>
      </c>
    </row>
    <row r="1951" spans="1:19" x14ac:dyDescent="0.25">
      <c r="A1951" s="41" t="s">
        <v>908</v>
      </c>
      <c r="B1951" s="41" t="s">
        <v>16238</v>
      </c>
    </row>
    <row r="1952" spans="1:19" x14ac:dyDescent="0.25">
      <c r="A1952" s="41" t="s">
        <v>23</v>
      </c>
      <c r="B1952" s="41" t="s">
        <v>16239</v>
      </c>
      <c r="F1952" s="41" t="s">
        <v>16240</v>
      </c>
      <c r="G1952" s="41" t="s">
        <v>16241</v>
      </c>
      <c r="H1952" s="41" t="s">
        <v>16242</v>
      </c>
      <c r="I1952" s="41" t="s">
        <v>16243</v>
      </c>
      <c r="J1952" s="41" t="s">
        <v>16244</v>
      </c>
      <c r="L1952" s="41" t="s">
        <v>4</v>
      </c>
    </row>
    <row r="1953" spans="1:19" x14ac:dyDescent="0.25">
      <c r="A1953" s="41" t="s">
        <v>23</v>
      </c>
      <c r="B1953" s="41" t="s">
        <v>16245</v>
      </c>
      <c r="D1953" s="41" t="s">
        <v>16134</v>
      </c>
      <c r="E1953" s="41" t="s">
        <v>16247</v>
      </c>
      <c r="F1953" s="41" t="s">
        <v>16248</v>
      </c>
      <c r="G1953" s="41" t="s">
        <v>16249</v>
      </c>
      <c r="H1953" s="41" t="s">
        <v>16250</v>
      </c>
      <c r="I1953" s="41" t="s">
        <v>16251</v>
      </c>
      <c r="J1953" s="41" t="s">
        <v>16252</v>
      </c>
      <c r="K1953" s="41" t="s">
        <v>16253</v>
      </c>
      <c r="L1953" s="41" t="s">
        <v>16254</v>
      </c>
      <c r="M1953" s="41" t="s">
        <v>16255</v>
      </c>
      <c r="N1953" s="41" t="s">
        <v>16256</v>
      </c>
      <c r="O1953" s="41" t="s">
        <v>16257</v>
      </c>
      <c r="P1953" s="41" t="s">
        <v>16258</v>
      </c>
      <c r="Q1953" s="41" t="s">
        <v>16259</v>
      </c>
      <c r="R1953" s="41" t="s">
        <v>16260</v>
      </c>
      <c r="S1953" s="41" t="s">
        <v>16261</v>
      </c>
    </row>
    <row r="1954" spans="1:19" x14ac:dyDescent="0.25">
      <c r="A1954" s="41" t="s">
        <v>23</v>
      </c>
      <c r="B1954" s="41" t="s">
        <v>16262</v>
      </c>
      <c r="D1954" s="41" t="s">
        <v>16263</v>
      </c>
      <c r="F1954" s="41" t="s">
        <v>16264</v>
      </c>
      <c r="G1954" s="41" t="s">
        <v>16265</v>
      </c>
      <c r="H1954" s="41" t="s">
        <v>16266</v>
      </c>
      <c r="I1954" s="41" t="s">
        <v>16267</v>
      </c>
      <c r="J1954" s="41" t="s">
        <v>16268</v>
      </c>
      <c r="K1954" s="41" t="s">
        <v>16269</v>
      </c>
      <c r="L1954" s="41" t="s">
        <v>891</v>
      </c>
    </row>
    <row r="1955" spans="1:19" x14ac:dyDescent="0.25">
      <c r="A1955" s="41" t="s">
        <v>23</v>
      </c>
      <c r="B1955" s="41" t="s">
        <v>16270</v>
      </c>
      <c r="D1955" s="41" t="s">
        <v>16271</v>
      </c>
      <c r="F1955" s="41" t="s">
        <v>16272</v>
      </c>
      <c r="G1955" s="41" t="s">
        <v>16273</v>
      </c>
      <c r="H1955" s="41" t="s">
        <v>16274</v>
      </c>
      <c r="I1955" s="41" t="s">
        <v>16275</v>
      </c>
      <c r="J1955" s="41" t="s">
        <v>16276</v>
      </c>
      <c r="K1955" s="41" t="s">
        <v>16277</v>
      </c>
      <c r="L1955" s="41" t="s">
        <v>1076</v>
      </c>
    </row>
    <row r="1956" spans="1:19" x14ac:dyDescent="0.25">
      <c r="A1956" s="41" t="s">
        <v>23</v>
      </c>
      <c r="B1956" s="41" t="s">
        <v>16278</v>
      </c>
      <c r="D1956" s="41" t="s">
        <v>16279</v>
      </c>
      <c r="F1956" s="41" t="s">
        <v>16280</v>
      </c>
      <c r="G1956" s="41" t="s">
        <v>16281</v>
      </c>
      <c r="H1956" s="41" t="s">
        <v>16282</v>
      </c>
      <c r="I1956" s="41" t="s">
        <v>16283</v>
      </c>
      <c r="J1956" s="41" t="s">
        <v>16284</v>
      </c>
      <c r="K1956" s="41" t="s">
        <v>16285</v>
      </c>
      <c r="L1956" s="41" t="s">
        <v>1085</v>
      </c>
    </row>
    <row r="1957" spans="1:19" x14ac:dyDescent="0.25">
      <c r="A1957" s="41" t="s">
        <v>23</v>
      </c>
      <c r="B1957" s="41" t="s">
        <v>16286</v>
      </c>
      <c r="D1957" s="41" t="s">
        <v>16287</v>
      </c>
      <c r="F1957" s="41" t="s">
        <v>16288</v>
      </c>
      <c r="G1957" s="41" t="s">
        <v>16289</v>
      </c>
      <c r="H1957" s="41" t="s">
        <v>16290</v>
      </c>
      <c r="I1957" s="41" t="s">
        <v>16291</v>
      </c>
      <c r="J1957" s="41" t="s">
        <v>16292</v>
      </c>
      <c r="K1957" s="41" t="s">
        <v>16293</v>
      </c>
      <c r="L1957" s="41" t="s">
        <v>1094</v>
      </c>
    </row>
    <row r="1958" spans="1:19" x14ac:dyDescent="0.25">
      <c r="A1958" s="41" t="s">
        <v>908</v>
      </c>
      <c r="B1958" s="41" t="s">
        <v>16294</v>
      </c>
    </row>
    <row r="1959" spans="1:19" x14ac:dyDescent="0.25">
      <c r="A1959" s="41" t="s">
        <v>23</v>
      </c>
      <c r="B1959" s="41" t="s">
        <v>16295</v>
      </c>
      <c r="F1959" s="41" t="s">
        <v>16296</v>
      </c>
      <c r="G1959" s="41" t="s">
        <v>16297</v>
      </c>
      <c r="H1959" s="41" t="s">
        <v>16298</v>
      </c>
      <c r="I1959" s="41" t="s">
        <v>16299</v>
      </c>
      <c r="J1959" s="41" t="s">
        <v>16300</v>
      </c>
      <c r="L1959" s="41" t="s">
        <v>4</v>
      </c>
    </row>
    <row r="1960" spans="1:19" x14ac:dyDescent="0.25">
      <c r="A1960" s="41" t="s">
        <v>23</v>
      </c>
      <c r="B1960" s="41" t="s">
        <v>16301</v>
      </c>
      <c r="D1960" s="41" t="s">
        <v>16190</v>
      </c>
      <c r="E1960" s="41" t="s">
        <v>16303</v>
      </c>
      <c r="F1960" s="41" t="s">
        <v>16304</v>
      </c>
      <c r="G1960" s="41" t="s">
        <v>16305</v>
      </c>
      <c r="H1960" s="41" t="s">
        <v>16306</v>
      </c>
      <c r="I1960" s="41" t="s">
        <v>16307</v>
      </c>
      <c r="J1960" s="41" t="s">
        <v>16308</v>
      </c>
      <c r="K1960" s="41" t="s">
        <v>16309</v>
      </c>
      <c r="L1960" s="41" t="s">
        <v>16310</v>
      </c>
      <c r="M1960" s="41" t="s">
        <v>16311</v>
      </c>
      <c r="N1960" s="41" t="s">
        <v>16312</v>
      </c>
      <c r="O1960" s="41" t="s">
        <v>16313</v>
      </c>
      <c r="P1960" s="41" t="s">
        <v>16314</v>
      </c>
      <c r="Q1960" s="41" t="s">
        <v>16315</v>
      </c>
      <c r="R1960" s="41" t="s">
        <v>16316</v>
      </c>
      <c r="S1960" s="41" t="s">
        <v>16317</v>
      </c>
    </row>
    <row r="1961" spans="1:19" x14ac:dyDescent="0.25">
      <c r="A1961" s="41" t="s">
        <v>23</v>
      </c>
      <c r="B1961" s="41" t="s">
        <v>16318</v>
      </c>
      <c r="D1961" s="41" t="s">
        <v>16319</v>
      </c>
      <c r="F1961" s="41" t="s">
        <v>16320</v>
      </c>
      <c r="G1961" s="41" t="s">
        <v>16321</v>
      </c>
      <c r="H1961" s="41" t="s">
        <v>16322</v>
      </c>
      <c r="I1961" s="41" t="s">
        <v>16323</v>
      </c>
      <c r="J1961" s="41" t="s">
        <v>16324</v>
      </c>
      <c r="K1961" s="41" t="s">
        <v>16325</v>
      </c>
      <c r="L1961" s="41" t="s">
        <v>891</v>
      </c>
    </row>
    <row r="1962" spans="1:19" x14ac:dyDescent="0.25">
      <c r="A1962" s="41" t="s">
        <v>23</v>
      </c>
      <c r="B1962" s="41" t="s">
        <v>16326</v>
      </c>
      <c r="D1962" s="41" t="s">
        <v>16327</v>
      </c>
      <c r="F1962" s="41" t="s">
        <v>16328</v>
      </c>
      <c r="G1962" s="41" t="s">
        <v>16329</v>
      </c>
      <c r="H1962" s="41" t="s">
        <v>16330</v>
      </c>
      <c r="I1962" s="41" t="s">
        <v>16331</v>
      </c>
      <c r="J1962" s="41" t="s">
        <v>16332</v>
      </c>
      <c r="K1962" s="41" t="s">
        <v>16333</v>
      </c>
      <c r="L1962" s="41" t="s">
        <v>1076</v>
      </c>
    </row>
    <row r="1963" spans="1:19" x14ac:dyDescent="0.25">
      <c r="A1963" s="41" t="s">
        <v>23</v>
      </c>
      <c r="B1963" s="41" t="s">
        <v>16334</v>
      </c>
      <c r="D1963" s="41" t="s">
        <v>16335</v>
      </c>
      <c r="F1963" s="41" t="s">
        <v>16336</v>
      </c>
      <c r="G1963" s="41" t="s">
        <v>16337</v>
      </c>
      <c r="H1963" s="41" t="s">
        <v>16338</v>
      </c>
      <c r="I1963" s="41" t="s">
        <v>16339</v>
      </c>
      <c r="J1963" s="41" t="s">
        <v>16340</v>
      </c>
      <c r="K1963" s="41" t="s">
        <v>16341</v>
      </c>
      <c r="L1963" s="41" t="s">
        <v>1085</v>
      </c>
    </row>
    <row r="1964" spans="1:19" x14ac:dyDescent="0.25">
      <c r="A1964" s="41" t="s">
        <v>23</v>
      </c>
      <c r="B1964" s="41" t="s">
        <v>16342</v>
      </c>
      <c r="D1964" s="41" t="s">
        <v>16343</v>
      </c>
      <c r="F1964" s="41" t="s">
        <v>16344</v>
      </c>
      <c r="G1964" s="41" t="s">
        <v>16345</v>
      </c>
      <c r="H1964" s="41" t="s">
        <v>16346</v>
      </c>
      <c r="I1964" s="41" t="s">
        <v>16347</v>
      </c>
      <c r="J1964" s="41" t="s">
        <v>16348</v>
      </c>
      <c r="K1964" s="41" t="s">
        <v>16349</v>
      </c>
      <c r="L1964" s="41" t="s">
        <v>1094</v>
      </c>
    </row>
    <row r="1965" spans="1:19" x14ac:dyDescent="0.25">
      <c r="A1965" s="41" t="s">
        <v>908</v>
      </c>
      <c r="B1965" s="41" t="s">
        <v>16350</v>
      </c>
    </row>
    <row r="1966" spans="1:19" x14ac:dyDescent="0.25">
      <c r="A1966" s="41" t="s">
        <v>23</v>
      </c>
      <c r="B1966" s="41" t="s">
        <v>16351</v>
      </c>
      <c r="F1966" s="41" t="s">
        <v>16352</v>
      </c>
      <c r="G1966" s="41" t="s">
        <v>16353</v>
      </c>
      <c r="H1966" s="41" t="s">
        <v>16354</v>
      </c>
      <c r="I1966" s="41" t="s">
        <v>16355</v>
      </c>
      <c r="J1966" s="41" t="s">
        <v>16356</v>
      </c>
      <c r="L1966" s="41" t="s">
        <v>4</v>
      </c>
    </row>
    <row r="1967" spans="1:19" x14ac:dyDescent="0.25">
      <c r="A1967" s="41" t="s">
        <v>23</v>
      </c>
      <c r="B1967" s="41" t="s">
        <v>16357</v>
      </c>
      <c r="D1967" s="41" t="s">
        <v>16246</v>
      </c>
      <c r="E1967" s="41" t="s">
        <v>16359</v>
      </c>
      <c r="F1967" s="41" t="s">
        <v>16360</v>
      </c>
      <c r="G1967" s="41" t="s">
        <v>16361</v>
      </c>
      <c r="H1967" s="41" t="s">
        <v>16362</v>
      </c>
      <c r="I1967" s="41" t="s">
        <v>16363</v>
      </c>
      <c r="J1967" s="41" t="s">
        <v>16364</v>
      </c>
      <c r="K1967" s="41" t="s">
        <v>16365</v>
      </c>
      <c r="L1967" s="41" t="s">
        <v>16366</v>
      </c>
      <c r="M1967" s="41" t="s">
        <v>16367</v>
      </c>
      <c r="N1967" s="41" t="s">
        <v>16368</v>
      </c>
      <c r="O1967" s="41" t="s">
        <v>16369</v>
      </c>
      <c r="P1967" s="41" t="s">
        <v>16370</v>
      </c>
      <c r="Q1967" s="41" t="s">
        <v>16371</v>
      </c>
      <c r="R1967" s="41" t="s">
        <v>16372</v>
      </c>
      <c r="S1967" s="41" t="s">
        <v>16373</v>
      </c>
    </row>
    <row r="1968" spans="1:19" x14ac:dyDescent="0.25">
      <c r="A1968" s="41" t="s">
        <v>23</v>
      </c>
      <c r="B1968" s="41" t="s">
        <v>16374</v>
      </c>
      <c r="D1968" s="41" t="s">
        <v>16375</v>
      </c>
      <c r="F1968" s="41" t="s">
        <v>16376</v>
      </c>
      <c r="G1968" s="41" t="s">
        <v>16377</v>
      </c>
      <c r="H1968" s="41" t="s">
        <v>16378</v>
      </c>
      <c r="I1968" s="41" t="s">
        <v>16379</v>
      </c>
      <c r="J1968" s="41" t="s">
        <v>16380</v>
      </c>
      <c r="K1968" s="41" t="s">
        <v>16381</v>
      </c>
      <c r="L1968" s="41" t="s">
        <v>891</v>
      </c>
    </row>
    <row r="1969" spans="1:19" x14ac:dyDescent="0.25">
      <c r="A1969" s="41" t="s">
        <v>23</v>
      </c>
      <c r="B1969" s="41" t="s">
        <v>16382</v>
      </c>
      <c r="D1969" s="41" t="s">
        <v>16383</v>
      </c>
      <c r="F1969" s="41" t="s">
        <v>16384</v>
      </c>
      <c r="G1969" s="41" t="s">
        <v>16385</v>
      </c>
      <c r="H1969" s="41" t="s">
        <v>16386</v>
      </c>
      <c r="I1969" s="41" t="s">
        <v>16387</v>
      </c>
      <c r="J1969" s="41" t="s">
        <v>16388</v>
      </c>
      <c r="K1969" s="41" t="s">
        <v>16389</v>
      </c>
      <c r="L1969" s="41" t="s">
        <v>1076</v>
      </c>
    </row>
    <row r="1970" spans="1:19" x14ac:dyDescent="0.25">
      <c r="A1970" s="41" t="s">
        <v>23</v>
      </c>
      <c r="B1970" s="41" t="s">
        <v>16390</v>
      </c>
      <c r="D1970" s="41" t="s">
        <v>16391</v>
      </c>
      <c r="F1970" s="41" t="s">
        <v>16392</v>
      </c>
      <c r="G1970" s="41" t="s">
        <v>16393</v>
      </c>
      <c r="H1970" s="41" t="s">
        <v>16394</v>
      </c>
      <c r="I1970" s="41" t="s">
        <v>16395</v>
      </c>
      <c r="J1970" s="41" t="s">
        <v>16396</v>
      </c>
      <c r="K1970" s="41" t="s">
        <v>16397</v>
      </c>
      <c r="L1970" s="41" t="s">
        <v>1085</v>
      </c>
    </row>
    <row r="1971" spans="1:19" x14ac:dyDescent="0.25">
      <c r="A1971" s="41" t="s">
        <v>23</v>
      </c>
      <c r="B1971" s="41" t="s">
        <v>16398</v>
      </c>
      <c r="D1971" s="41" t="s">
        <v>16399</v>
      </c>
      <c r="F1971" s="41" t="s">
        <v>16400</v>
      </c>
      <c r="G1971" s="41" t="s">
        <v>16401</v>
      </c>
      <c r="H1971" s="41" t="s">
        <v>16402</v>
      </c>
      <c r="I1971" s="41" t="s">
        <v>16403</v>
      </c>
      <c r="J1971" s="41" t="s">
        <v>16404</v>
      </c>
      <c r="K1971" s="41" t="s">
        <v>16405</v>
      </c>
      <c r="L1971" s="41" t="s">
        <v>1094</v>
      </c>
    </row>
    <row r="1972" spans="1:19" x14ac:dyDescent="0.25">
      <c r="A1972" s="41" t="s">
        <v>908</v>
      </c>
      <c r="B1972" s="41" t="s">
        <v>16406</v>
      </c>
    </row>
    <row r="1973" spans="1:19" x14ac:dyDescent="0.25">
      <c r="A1973" s="41" t="s">
        <v>23</v>
      </c>
      <c r="B1973" s="41" t="s">
        <v>16407</v>
      </c>
      <c r="F1973" s="41" t="s">
        <v>16408</v>
      </c>
      <c r="G1973" s="41" t="s">
        <v>16409</v>
      </c>
      <c r="H1973" s="41" t="s">
        <v>16410</v>
      </c>
      <c r="I1973" s="41" t="s">
        <v>16411</v>
      </c>
      <c r="J1973" s="41" t="s">
        <v>16412</v>
      </c>
      <c r="L1973" s="41" t="s">
        <v>4</v>
      </c>
    </row>
    <row r="1974" spans="1:19" x14ac:dyDescent="0.25">
      <c r="A1974" s="41" t="s">
        <v>23</v>
      </c>
      <c r="B1974" s="41" t="s">
        <v>16413</v>
      </c>
      <c r="D1974" s="41" t="s">
        <v>16302</v>
      </c>
      <c r="E1974" s="41" t="s">
        <v>16415</v>
      </c>
      <c r="F1974" s="41" t="s">
        <v>16416</v>
      </c>
      <c r="G1974" s="41" t="s">
        <v>16417</v>
      </c>
      <c r="H1974" s="41" t="s">
        <v>16418</v>
      </c>
      <c r="I1974" s="41" t="s">
        <v>16419</v>
      </c>
      <c r="J1974" s="41" t="s">
        <v>16420</v>
      </c>
      <c r="K1974" s="41" t="s">
        <v>16421</v>
      </c>
      <c r="L1974" s="41" t="s">
        <v>16422</v>
      </c>
      <c r="M1974" s="41" t="s">
        <v>16423</v>
      </c>
      <c r="N1974" s="41" t="s">
        <v>16424</v>
      </c>
      <c r="O1974" s="41" t="s">
        <v>16425</v>
      </c>
      <c r="P1974" s="41" t="s">
        <v>16426</v>
      </c>
      <c r="Q1974" s="41" t="s">
        <v>16427</v>
      </c>
      <c r="R1974" s="41" t="s">
        <v>16428</v>
      </c>
      <c r="S1974" s="41" t="s">
        <v>16429</v>
      </c>
    </row>
    <row r="1975" spans="1:19" x14ac:dyDescent="0.25">
      <c r="A1975" s="41" t="s">
        <v>23</v>
      </c>
      <c r="B1975" s="41" t="s">
        <v>16430</v>
      </c>
      <c r="D1975" s="41" t="s">
        <v>16431</v>
      </c>
      <c r="F1975" s="41" t="s">
        <v>16432</v>
      </c>
      <c r="G1975" s="41" t="s">
        <v>16433</v>
      </c>
      <c r="H1975" s="41" t="s">
        <v>16434</v>
      </c>
      <c r="I1975" s="41" t="s">
        <v>16435</v>
      </c>
      <c r="J1975" s="41" t="s">
        <v>16436</v>
      </c>
      <c r="K1975" s="41" t="s">
        <v>16437</v>
      </c>
      <c r="L1975" s="41" t="s">
        <v>891</v>
      </c>
    </row>
    <row r="1976" spans="1:19" x14ac:dyDescent="0.25">
      <c r="A1976" s="41" t="s">
        <v>23</v>
      </c>
      <c r="B1976" s="41" t="s">
        <v>16438</v>
      </c>
      <c r="D1976" s="41" t="s">
        <v>16439</v>
      </c>
      <c r="F1976" s="41" t="s">
        <v>16440</v>
      </c>
      <c r="G1976" s="41" t="s">
        <v>16441</v>
      </c>
      <c r="H1976" s="41" t="s">
        <v>16442</v>
      </c>
      <c r="I1976" s="41" t="s">
        <v>16443</v>
      </c>
      <c r="J1976" s="41" t="s">
        <v>16444</v>
      </c>
      <c r="K1976" s="41" t="s">
        <v>16445</v>
      </c>
      <c r="L1976" s="41" t="s">
        <v>1076</v>
      </c>
    </row>
    <row r="1977" spans="1:19" x14ac:dyDescent="0.25">
      <c r="A1977" s="41" t="s">
        <v>23</v>
      </c>
      <c r="B1977" s="41" t="s">
        <v>16446</v>
      </c>
      <c r="D1977" s="41" t="s">
        <v>16447</v>
      </c>
      <c r="F1977" s="41" t="s">
        <v>16448</v>
      </c>
      <c r="G1977" s="41" t="s">
        <v>16449</v>
      </c>
      <c r="H1977" s="41" t="s">
        <v>16450</v>
      </c>
      <c r="I1977" s="41" t="s">
        <v>16451</v>
      </c>
      <c r="J1977" s="41" t="s">
        <v>16452</v>
      </c>
      <c r="K1977" s="41" t="s">
        <v>16453</v>
      </c>
      <c r="L1977" s="41" t="s">
        <v>1085</v>
      </c>
    </row>
    <row r="1978" spans="1:19" x14ac:dyDescent="0.25">
      <c r="A1978" s="41" t="s">
        <v>23</v>
      </c>
      <c r="B1978" s="41" t="s">
        <v>16454</v>
      </c>
      <c r="D1978" s="41" t="s">
        <v>16455</v>
      </c>
      <c r="F1978" s="41" t="s">
        <v>16456</v>
      </c>
      <c r="G1978" s="41" t="s">
        <v>16457</v>
      </c>
      <c r="H1978" s="41" t="s">
        <v>16458</v>
      </c>
      <c r="I1978" s="41" t="s">
        <v>16459</v>
      </c>
      <c r="J1978" s="41" t="s">
        <v>16460</v>
      </c>
      <c r="K1978" s="41" t="s">
        <v>16461</v>
      </c>
      <c r="L1978" s="41" t="s">
        <v>1094</v>
      </c>
    </row>
    <row r="1979" spans="1:19" x14ac:dyDescent="0.25">
      <c r="A1979" s="41" t="s">
        <v>908</v>
      </c>
      <c r="B1979" s="41" t="s">
        <v>16462</v>
      </c>
    </row>
    <row r="1980" spans="1:19" x14ac:dyDescent="0.25">
      <c r="A1980" s="41" t="s">
        <v>23</v>
      </c>
      <c r="B1980" s="41" t="s">
        <v>16463</v>
      </c>
      <c r="F1980" s="41" t="s">
        <v>16464</v>
      </c>
      <c r="G1980" s="41" t="s">
        <v>16465</v>
      </c>
      <c r="H1980" s="41" t="s">
        <v>16466</v>
      </c>
      <c r="I1980" s="41" t="s">
        <v>16467</v>
      </c>
      <c r="J1980" s="41" t="s">
        <v>16468</v>
      </c>
      <c r="L1980" s="41" t="s">
        <v>4</v>
      </c>
    </row>
    <row r="1981" spans="1:19" x14ac:dyDescent="0.25">
      <c r="A1981" s="41" t="s">
        <v>23</v>
      </c>
      <c r="B1981" s="41" t="s">
        <v>16469</v>
      </c>
      <c r="D1981" s="41" t="s">
        <v>16358</v>
      </c>
      <c r="E1981" s="41" t="s">
        <v>16470</v>
      </c>
      <c r="F1981" s="41" t="s">
        <v>16471</v>
      </c>
      <c r="G1981" s="41" t="s">
        <v>16472</v>
      </c>
      <c r="H1981" s="41" t="s">
        <v>16473</v>
      </c>
      <c r="I1981" s="41" t="s">
        <v>16474</v>
      </c>
      <c r="J1981" s="41" t="s">
        <v>16475</v>
      </c>
      <c r="K1981" s="41" t="s">
        <v>16476</v>
      </c>
      <c r="L1981" s="41" t="s">
        <v>16477</v>
      </c>
      <c r="M1981" s="41" t="s">
        <v>16478</v>
      </c>
      <c r="N1981" s="41" t="s">
        <v>16479</v>
      </c>
      <c r="O1981" s="41" t="s">
        <v>16480</v>
      </c>
      <c r="P1981" s="41" t="s">
        <v>16481</v>
      </c>
      <c r="Q1981" s="41" t="s">
        <v>16482</v>
      </c>
      <c r="R1981" s="41" t="s">
        <v>16483</v>
      </c>
      <c r="S1981" s="41" t="s">
        <v>16484</v>
      </c>
    </row>
    <row r="1982" spans="1:19" x14ac:dyDescent="0.25">
      <c r="A1982" s="41" t="s">
        <v>23</v>
      </c>
      <c r="B1982" s="41" t="s">
        <v>16485</v>
      </c>
      <c r="D1982" s="41" t="s">
        <v>16486</v>
      </c>
      <c r="F1982" s="41" t="s">
        <v>16487</v>
      </c>
      <c r="G1982" s="41" t="s">
        <v>16488</v>
      </c>
      <c r="H1982" s="41" t="s">
        <v>16489</v>
      </c>
      <c r="I1982" s="41" t="s">
        <v>16490</v>
      </c>
      <c r="J1982" s="41" t="s">
        <v>16491</v>
      </c>
      <c r="K1982" s="41" t="s">
        <v>16492</v>
      </c>
      <c r="L1982" s="41" t="s">
        <v>891</v>
      </c>
    </row>
    <row r="1983" spans="1:19" x14ac:dyDescent="0.25">
      <c r="A1983" s="41" t="s">
        <v>23</v>
      </c>
      <c r="B1983" s="41" t="s">
        <v>16493</v>
      </c>
      <c r="D1983" s="41" t="s">
        <v>16494</v>
      </c>
      <c r="F1983" s="41" t="s">
        <v>16495</v>
      </c>
      <c r="G1983" s="41" t="s">
        <v>16496</v>
      </c>
      <c r="H1983" s="41" t="s">
        <v>16497</v>
      </c>
      <c r="I1983" s="41" t="s">
        <v>16498</v>
      </c>
      <c r="J1983" s="41" t="s">
        <v>16499</v>
      </c>
      <c r="K1983" s="41" t="s">
        <v>16500</v>
      </c>
      <c r="L1983" s="41" t="s">
        <v>1076</v>
      </c>
    </row>
    <row r="1984" spans="1:19" x14ac:dyDescent="0.25">
      <c r="A1984" s="41" t="s">
        <v>23</v>
      </c>
      <c r="B1984" s="41" t="s">
        <v>16501</v>
      </c>
      <c r="D1984" s="41" t="s">
        <v>16502</v>
      </c>
      <c r="F1984" s="41" t="s">
        <v>16503</v>
      </c>
      <c r="G1984" s="41" t="s">
        <v>16504</v>
      </c>
      <c r="H1984" s="41" t="s">
        <v>16505</v>
      </c>
      <c r="I1984" s="41" t="s">
        <v>16506</v>
      </c>
      <c r="J1984" s="41" t="s">
        <v>16507</v>
      </c>
      <c r="K1984" s="41" t="s">
        <v>16508</v>
      </c>
      <c r="L1984" s="41" t="s">
        <v>1085</v>
      </c>
    </row>
    <row r="1985" spans="1:19" x14ac:dyDescent="0.25">
      <c r="A1985" s="41" t="s">
        <v>23</v>
      </c>
      <c r="B1985" s="41" t="s">
        <v>16509</v>
      </c>
      <c r="D1985" s="41" t="s">
        <v>16510</v>
      </c>
      <c r="F1985" s="41" t="s">
        <v>16511</v>
      </c>
      <c r="G1985" s="41" t="s">
        <v>16512</v>
      </c>
      <c r="H1985" s="41" t="s">
        <v>16513</v>
      </c>
      <c r="I1985" s="41" t="s">
        <v>16514</v>
      </c>
      <c r="J1985" s="41" t="s">
        <v>16515</v>
      </c>
      <c r="K1985" s="41" t="s">
        <v>16516</v>
      </c>
      <c r="L1985" s="41" t="s">
        <v>1094</v>
      </c>
    </row>
    <row r="1986" spans="1:19" x14ac:dyDescent="0.25">
      <c r="A1986" s="41" t="s">
        <v>908</v>
      </c>
      <c r="B1986" s="41" t="s">
        <v>16517</v>
      </c>
    </row>
    <row r="1987" spans="1:19" x14ac:dyDescent="0.25">
      <c r="A1987" s="41" t="s">
        <v>23</v>
      </c>
      <c r="B1987" s="41" t="s">
        <v>16518</v>
      </c>
      <c r="F1987" s="41" t="s">
        <v>16519</v>
      </c>
      <c r="G1987" s="41" t="s">
        <v>16520</v>
      </c>
      <c r="H1987" s="41" t="s">
        <v>16521</v>
      </c>
      <c r="I1987" s="41" t="s">
        <v>16522</v>
      </c>
      <c r="J1987" s="41" t="s">
        <v>16523</v>
      </c>
      <c r="L1987" s="41" t="s">
        <v>4</v>
      </c>
    </row>
    <row r="1988" spans="1:19" x14ac:dyDescent="0.25">
      <c r="A1988" s="41" t="s">
        <v>23</v>
      </c>
      <c r="B1988" s="41" t="s">
        <v>16524</v>
      </c>
      <c r="D1988" s="41" t="s">
        <v>16414</v>
      </c>
      <c r="E1988" s="41" t="s">
        <v>16526</v>
      </c>
      <c r="F1988" s="41" t="s">
        <v>16527</v>
      </c>
      <c r="G1988" s="41" t="s">
        <v>16528</v>
      </c>
      <c r="H1988" s="41" t="s">
        <v>16529</v>
      </c>
      <c r="I1988" s="41" t="s">
        <v>16530</v>
      </c>
      <c r="J1988" s="41" t="s">
        <v>16531</v>
      </c>
      <c r="K1988" s="41" t="s">
        <v>16532</v>
      </c>
      <c r="L1988" s="41" t="s">
        <v>16533</v>
      </c>
      <c r="M1988" s="41" t="s">
        <v>16534</v>
      </c>
      <c r="N1988" s="41" t="s">
        <v>16535</v>
      </c>
      <c r="O1988" s="41" t="s">
        <v>16536</v>
      </c>
      <c r="P1988" s="41" t="s">
        <v>16537</v>
      </c>
      <c r="Q1988" s="41" t="s">
        <v>16538</v>
      </c>
      <c r="R1988" s="41" t="s">
        <v>16539</v>
      </c>
      <c r="S1988" s="41" t="s">
        <v>16540</v>
      </c>
    </row>
    <row r="1989" spans="1:19" x14ac:dyDescent="0.25">
      <c r="A1989" s="41" t="s">
        <v>23</v>
      </c>
      <c r="B1989" s="41" t="s">
        <v>16541</v>
      </c>
      <c r="D1989" s="41" t="s">
        <v>16542</v>
      </c>
      <c r="F1989" s="41" t="s">
        <v>16543</v>
      </c>
      <c r="G1989" s="41" t="s">
        <v>16544</v>
      </c>
      <c r="H1989" s="41" t="s">
        <v>16545</v>
      </c>
      <c r="I1989" s="41" t="s">
        <v>16546</v>
      </c>
      <c r="J1989" s="41" t="s">
        <v>16547</v>
      </c>
      <c r="K1989" s="41" t="s">
        <v>16548</v>
      </c>
      <c r="L1989" s="41" t="s">
        <v>891</v>
      </c>
    </row>
    <row r="1990" spans="1:19" x14ac:dyDescent="0.25">
      <c r="A1990" s="41" t="s">
        <v>23</v>
      </c>
      <c r="B1990" s="41" t="s">
        <v>16549</v>
      </c>
      <c r="D1990" s="41" t="s">
        <v>16550</v>
      </c>
      <c r="F1990" s="41" t="s">
        <v>16551</v>
      </c>
      <c r="G1990" s="41" t="s">
        <v>16552</v>
      </c>
      <c r="H1990" s="41" t="s">
        <v>16553</v>
      </c>
      <c r="I1990" s="41" t="s">
        <v>16554</v>
      </c>
      <c r="J1990" s="41" t="s">
        <v>16555</v>
      </c>
      <c r="K1990" s="41" t="s">
        <v>16556</v>
      </c>
      <c r="L1990" s="41" t="s">
        <v>1076</v>
      </c>
    </row>
    <row r="1991" spans="1:19" x14ac:dyDescent="0.25">
      <c r="A1991" s="41" t="s">
        <v>23</v>
      </c>
      <c r="B1991" s="41" t="s">
        <v>16557</v>
      </c>
      <c r="D1991" s="41" t="s">
        <v>16558</v>
      </c>
      <c r="F1991" s="41" t="s">
        <v>16559</v>
      </c>
      <c r="G1991" s="41" t="s">
        <v>16560</v>
      </c>
      <c r="H1991" s="41" t="s">
        <v>16561</v>
      </c>
      <c r="I1991" s="41" t="s">
        <v>16562</v>
      </c>
      <c r="J1991" s="41" t="s">
        <v>16563</v>
      </c>
      <c r="K1991" s="41" t="s">
        <v>16564</v>
      </c>
      <c r="L1991" s="41" t="s">
        <v>1085</v>
      </c>
    </row>
    <row r="1992" spans="1:19" x14ac:dyDescent="0.25">
      <c r="A1992" s="41" t="s">
        <v>23</v>
      </c>
      <c r="B1992" s="41" t="s">
        <v>16565</v>
      </c>
      <c r="D1992" s="41" t="s">
        <v>16566</v>
      </c>
      <c r="F1992" s="41" t="s">
        <v>16567</v>
      </c>
      <c r="G1992" s="41" t="s">
        <v>16568</v>
      </c>
      <c r="H1992" s="41" t="s">
        <v>16569</v>
      </c>
      <c r="I1992" s="41" t="s">
        <v>16570</v>
      </c>
      <c r="J1992" s="41" t="s">
        <v>16571</v>
      </c>
      <c r="K1992" s="41" t="s">
        <v>16572</v>
      </c>
      <c r="L1992" s="41" t="s">
        <v>1094</v>
      </c>
    </row>
    <row r="1993" spans="1:19" x14ac:dyDescent="0.25">
      <c r="A1993" s="41" t="s">
        <v>908</v>
      </c>
      <c r="B1993" s="41" t="s">
        <v>16573</v>
      </c>
    </row>
    <row r="1994" spans="1:19" x14ac:dyDescent="0.25">
      <c r="A1994" s="41" t="s">
        <v>23</v>
      </c>
      <c r="B1994" s="41" t="s">
        <v>16574</v>
      </c>
      <c r="F1994" s="41" t="s">
        <v>16575</v>
      </c>
      <c r="G1994" s="41" t="s">
        <v>16576</v>
      </c>
      <c r="H1994" s="41" t="s">
        <v>16577</v>
      </c>
      <c r="I1994" s="41" t="s">
        <v>16578</v>
      </c>
      <c r="J1994" s="41" t="s">
        <v>16579</v>
      </c>
      <c r="L1994" s="41" t="s">
        <v>4</v>
      </c>
    </row>
    <row r="1995" spans="1:19" x14ac:dyDescent="0.25">
      <c r="A1995" s="41" t="s">
        <v>23</v>
      </c>
      <c r="B1995" s="41" t="s">
        <v>16580</v>
      </c>
      <c r="D1995" s="41" t="s">
        <v>427</v>
      </c>
      <c r="E1995" s="41" t="s">
        <v>16582</v>
      </c>
      <c r="F1995" s="41" t="s">
        <v>16583</v>
      </c>
      <c r="G1995" s="41" t="s">
        <v>16584</v>
      </c>
      <c r="H1995" s="41" t="s">
        <v>16585</v>
      </c>
      <c r="I1995" s="41" t="s">
        <v>16586</v>
      </c>
      <c r="J1995" s="41" t="s">
        <v>16587</v>
      </c>
      <c r="K1995" s="41" t="s">
        <v>16588</v>
      </c>
      <c r="L1995" s="41" t="s">
        <v>16589</v>
      </c>
      <c r="M1995" s="41" t="s">
        <v>16590</v>
      </c>
      <c r="N1995" s="41" t="s">
        <v>16591</v>
      </c>
      <c r="O1995" s="41" t="s">
        <v>16592</v>
      </c>
      <c r="P1995" s="41" t="s">
        <v>16593</v>
      </c>
      <c r="Q1995" s="41" t="s">
        <v>16594</v>
      </c>
      <c r="R1995" s="41" t="s">
        <v>16595</v>
      </c>
      <c r="S1995" s="41" t="s">
        <v>16596</v>
      </c>
    </row>
    <row r="1996" spans="1:19" x14ac:dyDescent="0.25">
      <c r="A1996" s="41" t="s">
        <v>23</v>
      </c>
      <c r="B1996" s="41" t="s">
        <v>16597</v>
      </c>
      <c r="D1996" s="41" t="s">
        <v>16598</v>
      </c>
      <c r="F1996" s="41" t="s">
        <v>16599</v>
      </c>
      <c r="G1996" s="41" t="s">
        <v>16600</v>
      </c>
      <c r="H1996" s="41" t="s">
        <v>16601</v>
      </c>
      <c r="I1996" s="41" t="s">
        <v>16602</v>
      </c>
      <c r="J1996" s="41" t="s">
        <v>16603</v>
      </c>
      <c r="K1996" s="41" t="s">
        <v>16604</v>
      </c>
      <c r="L1996" s="41" t="s">
        <v>891</v>
      </c>
    </row>
    <row r="1997" spans="1:19" x14ac:dyDescent="0.25">
      <c r="A1997" s="41" t="s">
        <v>23</v>
      </c>
      <c r="B1997" s="41" t="s">
        <v>16605</v>
      </c>
      <c r="D1997" s="41" t="s">
        <v>16606</v>
      </c>
      <c r="F1997" s="41" t="s">
        <v>16607</v>
      </c>
      <c r="G1997" s="41" t="s">
        <v>16608</v>
      </c>
      <c r="H1997" s="41" t="s">
        <v>16609</v>
      </c>
      <c r="I1997" s="41" t="s">
        <v>16610</v>
      </c>
      <c r="J1997" s="41" t="s">
        <v>16611</v>
      </c>
      <c r="K1997" s="41" t="s">
        <v>16612</v>
      </c>
      <c r="L1997" s="41" t="s">
        <v>1076</v>
      </c>
    </row>
    <row r="1998" spans="1:19" x14ac:dyDescent="0.25">
      <c r="A1998" s="41" t="s">
        <v>23</v>
      </c>
      <c r="B1998" s="41" t="s">
        <v>16613</v>
      </c>
      <c r="D1998" s="41" t="s">
        <v>16614</v>
      </c>
      <c r="F1998" s="41" t="s">
        <v>16615</v>
      </c>
      <c r="G1998" s="41" t="s">
        <v>16616</v>
      </c>
      <c r="H1998" s="41" t="s">
        <v>16617</v>
      </c>
      <c r="I1998" s="41" t="s">
        <v>16618</v>
      </c>
      <c r="J1998" s="41" t="s">
        <v>16619</v>
      </c>
      <c r="K1998" s="41" t="s">
        <v>16620</v>
      </c>
      <c r="L1998" s="41" t="s">
        <v>1085</v>
      </c>
    </row>
    <row r="1999" spans="1:19" x14ac:dyDescent="0.25">
      <c r="A1999" s="41" t="s">
        <v>23</v>
      </c>
      <c r="B1999" s="41" t="s">
        <v>16621</v>
      </c>
      <c r="D1999" s="41" t="s">
        <v>16622</v>
      </c>
      <c r="F1999" s="41" t="s">
        <v>16623</v>
      </c>
      <c r="G1999" s="41" t="s">
        <v>16624</v>
      </c>
      <c r="H1999" s="41" t="s">
        <v>16625</v>
      </c>
      <c r="I1999" s="41" t="s">
        <v>16626</v>
      </c>
      <c r="J1999" s="41" t="s">
        <v>16627</v>
      </c>
      <c r="K1999" s="41" t="s">
        <v>16628</v>
      </c>
      <c r="L1999" s="41" t="s">
        <v>1094</v>
      </c>
    </row>
    <row r="2000" spans="1:19" x14ac:dyDescent="0.25">
      <c r="A2000" s="41" t="s">
        <v>908</v>
      </c>
      <c r="B2000" s="41" t="s">
        <v>16629</v>
      </c>
    </row>
    <row r="2001" spans="1:19" x14ac:dyDescent="0.25">
      <c r="A2001" s="41" t="s">
        <v>23</v>
      </c>
      <c r="B2001" s="41" t="s">
        <v>16630</v>
      </c>
      <c r="F2001" s="41" t="s">
        <v>16631</v>
      </c>
      <c r="G2001" s="41" t="s">
        <v>16632</v>
      </c>
      <c r="H2001" s="41" t="s">
        <v>16633</v>
      </c>
      <c r="I2001" s="41" t="s">
        <v>16634</v>
      </c>
      <c r="J2001" s="41" t="s">
        <v>16635</v>
      </c>
      <c r="L2001" s="41" t="s">
        <v>4</v>
      </c>
    </row>
    <row r="2002" spans="1:19" x14ac:dyDescent="0.25">
      <c r="A2002" s="41" t="s">
        <v>23</v>
      </c>
      <c r="B2002" s="41" t="s">
        <v>16636</v>
      </c>
      <c r="D2002" s="41" t="s">
        <v>16525</v>
      </c>
      <c r="E2002" s="41" t="s">
        <v>16638</v>
      </c>
      <c r="F2002" s="41" t="s">
        <v>16639</v>
      </c>
      <c r="G2002" s="41" t="s">
        <v>16640</v>
      </c>
      <c r="H2002" s="41" t="s">
        <v>16641</v>
      </c>
      <c r="I2002" s="41" t="s">
        <v>16642</v>
      </c>
      <c r="J2002" s="41" t="s">
        <v>16643</v>
      </c>
      <c r="K2002" s="41" t="s">
        <v>16644</v>
      </c>
      <c r="L2002" s="41" t="s">
        <v>16645</v>
      </c>
      <c r="M2002" s="41" t="s">
        <v>16646</v>
      </c>
      <c r="N2002" s="41" t="s">
        <v>16647</v>
      </c>
      <c r="O2002" s="41" t="s">
        <v>16648</v>
      </c>
      <c r="P2002" s="41" t="s">
        <v>16649</v>
      </c>
      <c r="Q2002" s="41" t="s">
        <v>16650</v>
      </c>
      <c r="R2002" s="41" t="s">
        <v>16651</v>
      </c>
      <c r="S2002" s="41" t="s">
        <v>16652</v>
      </c>
    </row>
    <row r="2003" spans="1:19" x14ac:dyDescent="0.25">
      <c r="A2003" s="41" t="s">
        <v>23</v>
      </c>
      <c r="B2003" s="41" t="s">
        <v>16653</v>
      </c>
      <c r="D2003" s="41" t="s">
        <v>16654</v>
      </c>
      <c r="F2003" s="41" t="s">
        <v>16655</v>
      </c>
      <c r="G2003" s="41" t="s">
        <v>16656</v>
      </c>
      <c r="H2003" s="41" t="s">
        <v>16657</v>
      </c>
      <c r="I2003" s="41" t="s">
        <v>16658</v>
      </c>
      <c r="J2003" s="41" t="s">
        <v>16659</v>
      </c>
      <c r="K2003" s="41" t="s">
        <v>16660</v>
      </c>
      <c r="L2003" s="41" t="s">
        <v>891</v>
      </c>
    </row>
    <row r="2004" spans="1:19" x14ac:dyDescent="0.25">
      <c r="A2004" s="41" t="s">
        <v>23</v>
      </c>
      <c r="B2004" s="41" t="s">
        <v>16661</v>
      </c>
      <c r="D2004" s="41" t="s">
        <v>16662</v>
      </c>
      <c r="F2004" s="41" t="s">
        <v>16663</v>
      </c>
      <c r="G2004" s="41" t="s">
        <v>16664</v>
      </c>
      <c r="H2004" s="41" t="s">
        <v>16665</v>
      </c>
      <c r="I2004" s="41" t="s">
        <v>16666</v>
      </c>
      <c r="J2004" s="41" t="s">
        <v>16667</v>
      </c>
      <c r="K2004" s="41" t="s">
        <v>16668</v>
      </c>
      <c r="L2004" s="41" t="s">
        <v>1076</v>
      </c>
    </row>
    <row r="2005" spans="1:19" x14ac:dyDescent="0.25">
      <c r="A2005" s="41" t="s">
        <v>23</v>
      </c>
      <c r="B2005" s="41" t="s">
        <v>16669</v>
      </c>
      <c r="D2005" s="41" t="s">
        <v>16670</v>
      </c>
      <c r="F2005" s="41" t="s">
        <v>16671</v>
      </c>
      <c r="G2005" s="41" t="s">
        <v>16672</v>
      </c>
      <c r="H2005" s="41" t="s">
        <v>16673</v>
      </c>
      <c r="I2005" s="41" t="s">
        <v>16674</v>
      </c>
      <c r="J2005" s="41" t="s">
        <v>16675</v>
      </c>
      <c r="K2005" s="41" t="s">
        <v>16676</v>
      </c>
      <c r="L2005" s="41" t="s">
        <v>1085</v>
      </c>
    </row>
    <row r="2006" spans="1:19" x14ac:dyDescent="0.25">
      <c r="A2006" s="41" t="s">
        <v>23</v>
      </c>
      <c r="B2006" s="41" t="s">
        <v>16677</v>
      </c>
      <c r="D2006" s="41" t="s">
        <v>16678</v>
      </c>
      <c r="F2006" s="41" t="s">
        <v>16679</v>
      </c>
      <c r="G2006" s="41" t="s">
        <v>16680</v>
      </c>
      <c r="H2006" s="41" t="s">
        <v>16681</v>
      </c>
      <c r="I2006" s="41" t="s">
        <v>16682</v>
      </c>
      <c r="J2006" s="41" t="s">
        <v>16683</v>
      </c>
      <c r="K2006" s="41" t="s">
        <v>16684</v>
      </c>
      <c r="L2006" s="41" t="s">
        <v>1094</v>
      </c>
    </row>
    <row r="2007" spans="1:19" x14ac:dyDescent="0.25">
      <c r="A2007" s="41" t="s">
        <v>908</v>
      </c>
      <c r="B2007" s="41" t="s">
        <v>16685</v>
      </c>
    </row>
    <row r="2008" spans="1:19" x14ac:dyDescent="0.25">
      <c r="A2008" s="41" t="s">
        <v>23</v>
      </c>
      <c r="B2008" s="41" t="s">
        <v>16686</v>
      </c>
      <c r="F2008" s="41" t="s">
        <v>16687</v>
      </c>
      <c r="G2008" s="41" t="s">
        <v>16688</v>
      </c>
      <c r="H2008" s="41" t="s">
        <v>16689</v>
      </c>
      <c r="I2008" s="41" t="s">
        <v>16690</v>
      </c>
      <c r="J2008" s="41" t="s">
        <v>16691</v>
      </c>
      <c r="L2008" s="41" t="s">
        <v>4</v>
      </c>
    </row>
    <row r="2009" spans="1:19" x14ac:dyDescent="0.25">
      <c r="A2009" s="41" t="s">
        <v>23</v>
      </c>
      <c r="B2009" s="41" t="s">
        <v>16692</v>
      </c>
      <c r="D2009" s="41" t="s">
        <v>16581</v>
      </c>
      <c r="E2009" s="41" t="s">
        <v>16694</v>
      </c>
      <c r="F2009" s="41" t="s">
        <v>16695</v>
      </c>
      <c r="G2009" s="41" t="s">
        <v>16696</v>
      </c>
      <c r="H2009" s="41" t="s">
        <v>16697</v>
      </c>
      <c r="I2009" s="41" t="s">
        <v>16698</v>
      </c>
      <c r="J2009" s="41" t="s">
        <v>16699</v>
      </c>
      <c r="K2009" s="41" t="s">
        <v>16700</v>
      </c>
      <c r="L2009" s="41" t="s">
        <v>16701</v>
      </c>
      <c r="M2009" s="41" t="s">
        <v>16702</v>
      </c>
      <c r="N2009" s="41" t="s">
        <v>16703</v>
      </c>
      <c r="O2009" s="41" t="s">
        <v>16704</v>
      </c>
      <c r="P2009" s="41" t="s">
        <v>16705</v>
      </c>
      <c r="Q2009" s="41" t="s">
        <v>16706</v>
      </c>
      <c r="R2009" s="41" t="s">
        <v>16707</v>
      </c>
      <c r="S2009" s="41" t="s">
        <v>16708</v>
      </c>
    </row>
    <row r="2010" spans="1:19" x14ac:dyDescent="0.25">
      <c r="A2010" s="41" t="s">
        <v>23</v>
      </c>
      <c r="B2010" s="41" t="s">
        <v>16709</v>
      </c>
      <c r="D2010" s="41" t="s">
        <v>16710</v>
      </c>
      <c r="F2010" s="41" t="s">
        <v>16711</v>
      </c>
      <c r="G2010" s="41" t="s">
        <v>16712</v>
      </c>
      <c r="H2010" s="41" t="s">
        <v>16713</v>
      </c>
      <c r="I2010" s="41" t="s">
        <v>16714</v>
      </c>
      <c r="J2010" s="41" t="s">
        <v>16715</v>
      </c>
      <c r="K2010" s="41" t="s">
        <v>16716</v>
      </c>
      <c r="L2010" s="41" t="s">
        <v>891</v>
      </c>
    </row>
    <row r="2011" spans="1:19" x14ac:dyDescent="0.25">
      <c r="A2011" s="41" t="s">
        <v>23</v>
      </c>
      <c r="B2011" s="41" t="s">
        <v>16717</v>
      </c>
      <c r="D2011" s="41" t="s">
        <v>16718</v>
      </c>
      <c r="F2011" s="41" t="s">
        <v>16719</v>
      </c>
      <c r="G2011" s="41" t="s">
        <v>16720</v>
      </c>
      <c r="H2011" s="41" t="s">
        <v>16721</v>
      </c>
      <c r="I2011" s="41" t="s">
        <v>16722</v>
      </c>
      <c r="J2011" s="41" t="s">
        <v>16723</v>
      </c>
      <c r="K2011" s="41" t="s">
        <v>16724</v>
      </c>
      <c r="L2011" s="41" t="s">
        <v>1076</v>
      </c>
    </row>
    <row r="2012" spans="1:19" x14ac:dyDescent="0.25">
      <c r="A2012" s="41" t="s">
        <v>23</v>
      </c>
      <c r="B2012" s="41" t="s">
        <v>16725</v>
      </c>
      <c r="D2012" s="41" t="s">
        <v>16726</v>
      </c>
      <c r="F2012" s="41" t="s">
        <v>16727</v>
      </c>
      <c r="G2012" s="41" t="s">
        <v>16728</v>
      </c>
      <c r="H2012" s="41" t="s">
        <v>16729</v>
      </c>
      <c r="I2012" s="41" t="s">
        <v>16730</v>
      </c>
      <c r="J2012" s="41" t="s">
        <v>16731</v>
      </c>
      <c r="K2012" s="41" t="s">
        <v>16732</v>
      </c>
      <c r="L2012" s="41" t="s">
        <v>1085</v>
      </c>
    </row>
    <row r="2013" spans="1:19" x14ac:dyDescent="0.25">
      <c r="A2013" s="41" t="s">
        <v>23</v>
      </c>
      <c r="B2013" s="41" t="s">
        <v>16733</v>
      </c>
      <c r="D2013" s="41" t="s">
        <v>16734</v>
      </c>
      <c r="F2013" s="41" t="s">
        <v>16735</v>
      </c>
      <c r="G2013" s="41" t="s">
        <v>16736</v>
      </c>
      <c r="H2013" s="41" t="s">
        <v>16737</v>
      </c>
      <c r="I2013" s="41" t="s">
        <v>16738</v>
      </c>
      <c r="J2013" s="41" t="s">
        <v>16739</v>
      </c>
      <c r="K2013" s="41" t="s">
        <v>16740</v>
      </c>
      <c r="L2013" s="41" t="s">
        <v>1094</v>
      </c>
    </row>
    <row r="2014" spans="1:19" x14ac:dyDescent="0.25">
      <c r="A2014" s="41" t="s">
        <v>908</v>
      </c>
      <c r="B2014" s="41" t="s">
        <v>16741</v>
      </c>
    </row>
    <row r="2015" spans="1:19" x14ac:dyDescent="0.25">
      <c r="A2015" s="41" t="s">
        <v>23</v>
      </c>
      <c r="B2015" s="41" t="s">
        <v>16742</v>
      </c>
      <c r="F2015" s="41" t="s">
        <v>16743</v>
      </c>
      <c r="G2015" s="41" t="s">
        <v>16744</v>
      </c>
      <c r="H2015" s="41" t="s">
        <v>16745</v>
      </c>
      <c r="I2015" s="41" t="s">
        <v>16746</v>
      </c>
      <c r="J2015" s="41" t="s">
        <v>16747</v>
      </c>
      <c r="L2015" s="41" t="s">
        <v>4</v>
      </c>
    </row>
    <row r="2016" spans="1:19" x14ac:dyDescent="0.25">
      <c r="A2016" s="41" t="s">
        <v>23</v>
      </c>
      <c r="B2016" s="41" t="s">
        <v>16748</v>
      </c>
      <c r="D2016" s="41" t="s">
        <v>16637</v>
      </c>
      <c r="E2016" s="41" t="s">
        <v>16750</v>
      </c>
      <c r="F2016" s="41" t="s">
        <v>16751</v>
      </c>
      <c r="G2016" s="41" t="s">
        <v>16752</v>
      </c>
      <c r="H2016" s="41" t="s">
        <v>16753</v>
      </c>
      <c r="I2016" s="41" t="s">
        <v>16754</v>
      </c>
      <c r="J2016" s="41" t="s">
        <v>16755</v>
      </c>
      <c r="K2016" s="41" t="s">
        <v>16756</v>
      </c>
      <c r="L2016" s="41" t="s">
        <v>16757</v>
      </c>
      <c r="M2016" s="41" t="s">
        <v>16758</v>
      </c>
      <c r="N2016" s="41" t="s">
        <v>16759</v>
      </c>
      <c r="O2016" s="41" t="s">
        <v>16760</v>
      </c>
      <c r="P2016" s="41" t="s">
        <v>16761</v>
      </c>
      <c r="Q2016" s="41" t="s">
        <v>16762</v>
      </c>
      <c r="R2016" s="41" t="s">
        <v>16763</v>
      </c>
      <c r="S2016" s="41" t="s">
        <v>16764</v>
      </c>
    </row>
    <row r="2017" spans="1:19" x14ac:dyDescent="0.25">
      <c r="A2017" s="41" t="s">
        <v>23</v>
      </c>
      <c r="B2017" s="41" t="s">
        <v>16765</v>
      </c>
      <c r="D2017" s="41" t="s">
        <v>16768</v>
      </c>
      <c r="F2017" s="41" t="s">
        <v>44791</v>
      </c>
      <c r="G2017" s="41" t="s">
        <v>44792</v>
      </c>
      <c r="H2017" s="41" t="s">
        <v>44793</v>
      </c>
      <c r="I2017" s="41" t="s">
        <v>44794</v>
      </c>
      <c r="J2017" s="41" t="s">
        <v>44795</v>
      </c>
      <c r="K2017" s="41" t="s">
        <v>16766</v>
      </c>
      <c r="L2017" s="41" t="s">
        <v>891</v>
      </c>
    </row>
    <row r="2018" spans="1:19" x14ac:dyDescent="0.25">
      <c r="A2018" s="41" t="s">
        <v>23</v>
      </c>
      <c r="B2018" s="41" t="s">
        <v>16767</v>
      </c>
      <c r="D2018" s="41" t="s">
        <v>16776</v>
      </c>
      <c r="F2018" s="41" t="s">
        <v>16769</v>
      </c>
      <c r="G2018" s="41" t="s">
        <v>16770</v>
      </c>
      <c r="H2018" s="41" t="s">
        <v>16771</v>
      </c>
      <c r="I2018" s="41" t="s">
        <v>16772</v>
      </c>
      <c r="J2018" s="41" t="s">
        <v>16773</v>
      </c>
      <c r="K2018" s="41" t="s">
        <v>16774</v>
      </c>
      <c r="L2018" s="41" t="s">
        <v>1076</v>
      </c>
    </row>
    <row r="2019" spans="1:19" x14ac:dyDescent="0.25">
      <c r="A2019" s="41" t="s">
        <v>23</v>
      </c>
      <c r="B2019" s="41" t="s">
        <v>16775</v>
      </c>
      <c r="D2019" s="41" t="s">
        <v>16784</v>
      </c>
      <c r="F2019" s="41" t="s">
        <v>16777</v>
      </c>
      <c r="G2019" s="41" t="s">
        <v>16778</v>
      </c>
      <c r="H2019" s="41" t="s">
        <v>16779</v>
      </c>
      <c r="I2019" s="41" t="s">
        <v>16780</v>
      </c>
      <c r="J2019" s="41" t="s">
        <v>16781</v>
      </c>
      <c r="K2019" s="41" t="s">
        <v>16782</v>
      </c>
      <c r="L2019" s="41" t="s">
        <v>1085</v>
      </c>
    </row>
    <row r="2020" spans="1:19" x14ac:dyDescent="0.25">
      <c r="A2020" s="41" t="s">
        <v>23</v>
      </c>
      <c r="B2020" s="41" t="s">
        <v>16783</v>
      </c>
      <c r="D2020" s="41" t="s">
        <v>16791</v>
      </c>
      <c r="F2020" s="41" t="s">
        <v>16785</v>
      </c>
      <c r="G2020" s="41" t="s">
        <v>16786</v>
      </c>
      <c r="H2020" s="41" t="s">
        <v>16787</v>
      </c>
      <c r="I2020" s="41" t="s">
        <v>16788</v>
      </c>
      <c r="J2020" s="41" t="s">
        <v>16789</v>
      </c>
      <c r="K2020" s="41" t="s">
        <v>16790</v>
      </c>
      <c r="L2020" s="41" t="s">
        <v>1094</v>
      </c>
    </row>
    <row r="2021" spans="1:19" x14ac:dyDescent="0.25">
      <c r="A2021" s="41" t="s">
        <v>908</v>
      </c>
      <c r="B2021" s="41" t="s">
        <v>44796</v>
      </c>
    </row>
    <row r="2022" spans="1:19" x14ac:dyDescent="0.25">
      <c r="A2022" s="41" t="s">
        <v>23</v>
      </c>
      <c r="B2022" s="41" t="s">
        <v>44797</v>
      </c>
      <c r="F2022" s="41" t="s">
        <v>44798</v>
      </c>
      <c r="G2022" s="41" t="s">
        <v>44799</v>
      </c>
      <c r="H2022" s="41" t="s">
        <v>44800</v>
      </c>
      <c r="I2022" s="41" t="s">
        <v>44801</v>
      </c>
      <c r="J2022" s="41" t="s">
        <v>44802</v>
      </c>
      <c r="L2022" s="41" t="s">
        <v>4</v>
      </c>
    </row>
    <row r="2023" spans="1:19" x14ac:dyDescent="0.25">
      <c r="A2023" s="41" t="s">
        <v>23</v>
      </c>
      <c r="B2023" s="41" t="s">
        <v>44803</v>
      </c>
      <c r="D2023" s="41" t="s">
        <v>16693</v>
      </c>
      <c r="E2023" s="41" t="s">
        <v>44804</v>
      </c>
      <c r="F2023" s="41" t="s">
        <v>44805</v>
      </c>
      <c r="G2023" s="41" t="s">
        <v>44806</v>
      </c>
      <c r="H2023" s="41" t="s">
        <v>44807</v>
      </c>
      <c r="I2023" s="41" t="s">
        <v>44808</v>
      </c>
      <c r="J2023" s="41" t="s">
        <v>44809</v>
      </c>
      <c r="K2023" s="41" t="s">
        <v>44810</v>
      </c>
      <c r="L2023" s="41" t="s">
        <v>44811</v>
      </c>
      <c r="M2023" s="41" t="s">
        <v>44812</v>
      </c>
      <c r="N2023" s="41" t="s">
        <v>44813</v>
      </c>
      <c r="O2023" s="41" t="s">
        <v>44814</v>
      </c>
      <c r="P2023" s="41" t="s">
        <v>44815</v>
      </c>
      <c r="Q2023" s="41" t="s">
        <v>44816</v>
      </c>
      <c r="R2023" s="41" t="s">
        <v>44817</v>
      </c>
      <c r="S2023" s="41" t="s">
        <v>44818</v>
      </c>
    </row>
    <row r="2024" spans="1:19" x14ac:dyDescent="0.25">
      <c r="A2024" s="41" t="s">
        <v>23</v>
      </c>
      <c r="B2024" s="41" t="s">
        <v>16792</v>
      </c>
      <c r="D2024" s="41" t="s">
        <v>44819</v>
      </c>
      <c r="F2024" s="41" t="s">
        <v>44820</v>
      </c>
      <c r="G2024" s="41" t="s">
        <v>44821</v>
      </c>
      <c r="H2024" s="41" t="s">
        <v>44822</v>
      </c>
      <c r="I2024" s="41" t="s">
        <v>44823</v>
      </c>
      <c r="J2024" s="41" t="s">
        <v>44824</v>
      </c>
      <c r="K2024" s="41" t="s">
        <v>16794</v>
      </c>
      <c r="L2024" s="41" t="s">
        <v>891</v>
      </c>
    </row>
    <row r="2025" spans="1:19" x14ac:dyDescent="0.25">
      <c r="A2025" s="41" t="s">
        <v>23</v>
      </c>
      <c r="B2025" s="41" t="s">
        <v>16795</v>
      </c>
      <c r="D2025" s="41" t="s">
        <v>16796</v>
      </c>
      <c r="F2025" s="41" t="s">
        <v>16797</v>
      </c>
      <c r="G2025" s="41" t="s">
        <v>16798</v>
      </c>
      <c r="H2025" s="41" t="s">
        <v>16799</v>
      </c>
      <c r="I2025" s="41" t="s">
        <v>16800</v>
      </c>
      <c r="J2025" s="41" t="s">
        <v>16801</v>
      </c>
      <c r="K2025" s="41" t="s">
        <v>16802</v>
      </c>
      <c r="L2025" s="41" t="s">
        <v>1076</v>
      </c>
    </row>
    <row r="2026" spans="1:19" x14ac:dyDescent="0.25">
      <c r="A2026" s="41" t="s">
        <v>23</v>
      </c>
      <c r="B2026" s="41" t="s">
        <v>16803</v>
      </c>
      <c r="D2026" s="41" t="s">
        <v>16804</v>
      </c>
      <c r="F2026" s="41" t="s">
        <v>16805</v>
      </c>
      <c r="G2026" s="41" t="s">
        <v>16806</v>
      </c>
      <c r="H2026" s="41" t="s">
        <v>16807</v>
      </c>
      <c r="I2026" s="41" t="s">
        <v>16808</v>
      </c>
      <c r="J2026" s="41" t="s">
        <v>16809</v>
      </c>
      <c r="K2026" s="41" t="s">
        <v>16810</v>
      </c>
      <c r="L2026" s="41" t="s">
        <v>1085</v>
      </c>
    </row>
    <row r="2027" spans="1:19" x14ac:dyDescent="0.25">
      <c r="A2027" s="41" t="s">
        <v>23</v>
      </c>
      <c r="B2027" s="41" t="s">
        <v>16811</v>
      </c>
      <c r="D2027" s="41" t="s">
        <v>16812</v>
      </c>
      <c r="F2027" s="41" t="s">
        <v>16813</v>
      </c>
      <c r="G2027" s="41" t="s">
        <v>16814</v>
      </c>
      <c r="H2027" s="41" t="s">
        <v>16815</v>
      </c>
      <c r="I2027" s="41" t="s">
        <v>16816</v>
      </c>
      <c r="J2027" s="41" t="s">
        <v>16817</v>
      </c>
      <c r="K2027" s="41" t="s">
        <v>16818</v>
      </c>
      <c r="L2027" s="41" t="s">
        <v>1094</v>
      </c>
    </row>
    <row r="2028" spans="1:19" x14ac:dyDescent="0.25">
      <c r="A2028" s="41" t="s">
        <v>908</v>
      </c>
      <c r="B2028" s="41" t="s">
        <v>44825</v>
      </c>
    </row>
    <row r="2029" spans="1:19" x14ac:dyDescent="0.25">
      <c r="A2029" s="41" t="s">
        <v>23</v>
      </c>
      <c r="B2029" s="41" t="s">
        <v>44826</v>
      </c>
      <c r="F2029" s="41" t="s">
        <v>44827</v>
      </c>
      <c r="G2029" s="41" t="s">
        <v>44828</v>
      </c>
      <c r="H2029" s="41" t="s">
        <v>44829</v>
      </c>
      <c r="I2029" s="41" t="s">
        <v>44830</v>
      </c>
      <c r="J2029" s="41" t="s">
        <v>44831</v>
      </c>
      <c r="L2029" s="41" t="s">
        <v>4</v>
      </c>
    </row>
    <row r="2030" spans="1:19" x14ac:dyDescent="0.25">
      <c r="A2030" s="41" t="s">
        <v>23</v>
      </c>
      <c r="B2030" s="41" t="s">
        <v>44832</v>
      </c>
      <c r="D2030" s="41" t="s">
        <v>16749</v>
      </c>
      <c r="E2030" s="41" t="s">
        <v>44833</v>
      </c>
      <c r="F2030" s="41" t="s">
        <v>44834</v>
      </c>
      <c r="G2030" s="41" t="s">
        <v>44835</v>
      </c>
      <c r="H2030" s="41" t="s">
        <v>44836</v>
      </c>
      <c r="I2030" s="41" t="s">
        <v>44837</v>
      </c>
      <c r="J2030" s="41" t="s">
        <v>44838</v>
      </c>
      <c r="K2030" s="41" t="s">
        <v>44839</v>
      </c>
      <c r="L2030" s="41" t="s">
        <v>44840</v>
      </c>
      <c r="M2030" s="41" t="s">
        <v>44841</v>
      </c>
      <c r="N2030" s="41" t="s">
        <v>44842</v>
      </c>
      <c r="O2030" s="41" t="s">
        <v>44843</v>
      </c>
      <c r="P2030" s="41" t="s">
        <v>44844</v>
      </c>
      <c r="Q2030" s="41" t="s">
        <v>44845</v>
      </c>
      <c r="R2030" s="41" t="s">
        <v>44846</v>
      </c>
      <c r="S2030" s="41" t="s">
        <v>44847</v>
      </c>
    </row>
    <row r="2031" spans="1:19" x14ac:dyDescent="0.25">
      <c r="A2031" s="41" t="s">
        <v>23</v>
      </c>
      <c r="B2031" s="41" t="s">
        <v>16819</v>
      </c>
      <c r="D2031" s="41" t="s">
        <v>16749</v>
      </c>
      <c r="E2031" s="41" t="s">
        <v>1518</v>
      </c>
      <c r="F2031" s="41" t="s">
        <v>16820</v>
      </c>
      <c r="G2031" s="41" t="s">
        <v>16821</v>
      </c>
      <c r="H2031" s="41" t="s">
        <v>16822</v>
      </c>
      <c r="I2031" s="41" t="s">
        <v>16823</v>
      </c>
      <c r="J2031" s="41" t="s">
        <v>16824</v>
      </c>
      <c r="K2031" s="41" t="s">
        <v>16825</v>
      </c>
      <c r="L2031" s="41" t="s">
        <v>16826</v>
      </c>
      <c r="M2031" s="41" t="s">
        <v>16827</v>
      </c>
      <c r="N2031" s="41" t="s">
        <v>16828</v>
      </c>
      <c r="O2031" s="41" t="s">
        <v>16829</v>
      </c>
      <c r="P2031" s="41" t="s">
        <v>16830</v>
      </c>
      <c r="Q2031" s="41" t="s">
        <v>16831</v>
      </c>
      <c r="R2031" s="41" t="s">
        <v>16832</v>
      </c>
      <c r="S2031" s="41" t="s">
        <v>16833</v>
      </c>
    </row>
    <row r="2032" spans="1:19" x14ac:dyDescent="0.25">
      <c r="A2032" s="41" t="s">
        <v>23</v>
      </c>
      <c r="B2032" s="41" t="s">
        <v>16834</v>
      </c>
      <c r="D2032" s="41" t="s">
        <v>44848</v>
      </c>
      <c r="F2032" s="41" t="s">
        <v>16836</v>
      </c>
      <c r="G2032" s="41" t="s">
        <v>16837</v>
      </c>
      <c r="H2032" s="41" t="s">
        <v>16838</v>
      </c>
      <c r="I2032" s="41" t="s">
        <v>16839</v>
      </c>
      <c r="J2032" s="41" t="s">
        <v>16840</v>
      </c>
      <c r="K2032" s="41" t="s">
        <v>16841</v>
      </c>
      <c r="L2032" s="41" t="s">
        <v>891</v>
      </c>
    </row>
    <row r="2033" spans="1:19" x14ac:dyDescent="0.25">
      <c r="A2033" s="41" t="s">
        <v>23</v>
      </c>
      <c r="B2033" s="41" t="s">
        <v>16842</v>
      </c>
      <c r="D2033" s="41" t="s">
        <v>16835</v>
      </c>
      <c r="F2033" s="41" t="s">
        <v>16844</v>
      </c>
      <c r="G2033" s="41" t="s">
        <v>16845</v>
      </c>
      <c r="H2033" s="41" t="s">
        <v>16846</v>
      </c>
      <c r="I2033" s="41" t="s">
        <v>16847</v>
      </c>
      <c r="J2033" s="41" t="s">
        <v>16848</v>
      </c>
      <c r="K2033" s="41" t="s">
        <v>16849</v>
      </c>
      <c r="L2033" s="41" t="s">
        <v>1076</v>
      </c>
    </row>
    <row r="2034" spans="1:19" x14ac:dyDescent="0.25">
      <c r="A2034" s="41" t="s">
        <v>23</v>
      </c>
      <c r="B2034" s="41" t="s">
        <v>16850</v>
      </c>
      <c r="D2034" s="41" t="s">
        <v>16843</v>
      </c>
      <c r="F2034" s="41" t="s">
        <v>16852</v>
      </c>
      <c r="G2034" s="41" t="s">
        <v>16853</v>
      </c>
      <c r="H2034" s="41" t="s">
        <v>16854</v>
      </c>
      <c r="I2034" s="41" t="s">
        <v>16855</v>
      </c>
      <c r="J2034" s="41" t="s">
        <v>16856</v>
      </c>
      <c r="K2034" s="41" t="s">
        <v>16857</v>
      </c>
      <c r="L2034" s="41" t="s">
        <v>1085</v>
      </c>
    </row>
    <row r="2035" spans="1:19" x14ac:dyDescent="0.25">
      <c r="A2035" s="41" t="s">
        <v>23</v>
      </c>
      <c r="B2035" s="41" t="s">
        <v>16858</v>
      </c>
      <c r="D2035" s="41" t="s">
        <v>16851</v>
      </c>
      <c r="F2035" s="41" t="s">
        <v>16859</v>
      </c>
      <c r="G2035" s="41" t="s">
        <v>16860</v>
      </c>
      <c r="H2035" s="41" t="s">
        <v>16861</v>
      </c>
      <c r="I2035" s="41" t="s">
        <v>16862</v>
      </c>
      <c r="J2035" s="41" t="s">
        <v>16863</v>
      </c>
      <c r="K2035" s="41" t="s">
        <v>16864</v>
      </c>
      <c r="L2035" s="41" t="s">
        <v>1094</v>
      </c>
    </row>
    <row r="2036" spans="1:19" x14ac:dyDescent="0.25">
      <c r="A2036" s="41" t="s">
        <v>908</v>
      </c>
      <c r="B2036" s="41" t="s">
        <v>16865</v>
      </c>
    </row>
    <row r="2037" spans="1:19" x14ac:dyDescent="0.25">
      <c r="A2037" s="41" t="s">
        <v>23</v>
      </c>
      <c r="B2037" s="41" t="s">
        <v>16866</v>
      </c>
      <c r="F2037" s="41" t="s">
        <v>16867</v>
      </c>
      <c r="G2037" s="41" t="s">
        <v>16868</v>
      </c>
      <c r="H2037" s="41" t="s">
        <v>16869</v>
      </c>
      <c r="I2037" s="41" t="s">
        <v>16870</v>
      </c>
      <c r="J2037" s="41" t="s">
        <v>16871</v>
      </c>
      <c r="L2037" s="41" t="s">
        <v>4</v>
      </c>
    </row>
    <row r="2038" spans="1:19" x14ac:dyDescent="0.25">
      <c r="A2038" s="41" t="s">
        <v>23</v>
      </c>
      <c r="B2038" s="41" t="s">
        <v>16872</v>
      </c>
      <c r="D2038" s="41" t="s">
        <v>16793</v>
      </c>
      <c r="E2038" s="41" t="s">
        <v>16873</v>
      </c>
      <c r="F2038" s="41" t="s">
        <v>16874</v>
      </c>
      <c r="G2038" s="41" t="s">
        <v>16875</v>
      </c>
      <c r="H2038" s="41" t="s">
        <v>16876</v>
      </c>
      <c r="I2038" s="41" t="s">
        <v>16877</v>
      </c>
      <c r="J2038" s="41" t="s">
        <v>16878</v>
      </c>
      <c r="K2038" s="41" t="s">
        <v>16879</v>
      </c>
      <c r="L2038" s="41" t="s">
        <v>16880</v>
      </c>
      <c r="M2038" s="41" t="s">
        <v>16881</v>
      </c>
      <c r="N2038" s="41" t="s">
        <v>16882</v>
      </c>
      <c r="O2038" s="41" t="s">
        <v>16883</v>
      </c>
      <c r="P2038" s="41" t="s">
        <v>16884</v>
      </c>
      <c r="Q2038" s="41" t="s">
        <v>16885</v>
      </c>
      <c r="R2038" s="41" t="s">
        <v>16886</v>
      </c>
      <c r="S2038" s="41" t="s">
        <v>16887</v>
      </c>
    </row>
    <row r="2039" spans="1:19" x14ac:dyDescent="0.25">
      <c r="A2039" s="41" t="s">
        <v>23</v>
      </c>
      <c r="B2039" s="41" t="s">
        <v>16888</v>
      </c>
      <c r="D2039" s="41" t="s">
        <v>16889</v>
      </c>
      <c r="F2039" s="41" t="s">
        <v>16890</v>
      </c>
      <c r="G2039" s="41" t="s">
        <v>16891</v>
      </c>
      <c r="H2039" s="41" t="s">
        <v>16892</v>
      </c>
      <c r="I2039" s="41" t="s">
        <v>16893</v>
      </c>
      <c r="J2039" s="41" t="s">
        <v>16894</v>
      </c>
      <c r="K2039" s="41" t="s">
        <v>16895</v>
      </c>
      <c r="L2039" s="41" t="s">
        <v>891</v>
      </c>
    </row>
    <row r="2040" spans="1:19" x14ac:dyDescent="0.25">
      <c r="A2040" s="41" t="s">
        <v>23</v>
      </c>
      <c r="B2040" s="41" t="s">
        <v>16896</v>
      </c>
      <c r="D2040" s="41" t="s">
        <v>16897</v>
      </c>
      <c r="F2040" s="41" t="s">
        <v>16898</v>
      </c>
      <c r="G2040" s="41" t="s">
        <v>16899</v>
      </c>
      <c r="H2040" s="41" t="s">
        <v>16900</v>
      </c>
      <c r="I2040" s="41" t="s">
        <v>16901</v>
      </c>
      <c r="J2040" s="41" t="s">
        <v>16902</v>
      </c>
      <c r="K2040" s="41" t="s">
        <v>16903</v>
      </c>
      <c r="L2040" s="41" t="s">
        <v>1076</v>
      </c>
    </row>
    <row r="2041" spans="1:19" x14ac:dyDescent="0.25">
      <c r="A2041" s="41" t="s">
        <v>23</v>
      </c>
      <c r="B2041" s="41" t="s">
        <v>16904</v>
      </c>
      <c r="D2041" s="41" t="s">
        <v>16905</v>
      </c>
      <c r="F2041" s="41" t="s">
        <v>16906</v>
      </c>
      <c r="G2041" s="41" t="s">
        <v>16907</v>
      </c>
      <c r="H2041" s="41" t="s">
        <v>16908</v>
      </c>
      <c r="I2041" s="41" t="s">
        <v>16909</v>
      </c>
      <c r="J2041" s="41" t="s">
        <v>16910</v>
      </c>
      <c r="K2041" s="41" t="s">
        <v>16911</v>
      </c>
      <c r="L2041" s="41" t="s">
        <v>1085</v>
      </c>
    </row>
    <row r="2042" spans="1:19" x14ac:dyDescent="0.25">
      <c r="A2042" s="41" t="s">
        <v>23</v>
      </c>
      <c r="B2042" s="41" t="s">
        <v>16912</v>
      </c>
      <c r="D2042" s="41" t="s">
        <v>16913</v>
      </c>
      <c r="F2042" s="41" t="s">
        <v>16914</v>
      </c>
      <c r="G2042" s="41" t="s">
        <v>16915</v>
      </c>
      <c r="H2042" s="41" t="s">
        <v>16916</v>
      </c>
      <c r="I2042" s="41" t="s">
        <v>16917</v>
      </c>
      <c r="J2042" s="41" t="s">
        <v>16918</v>
      </c>
      <c r="K2042" s="41" t="s">
        <v>16919</v>
      </c>
      <c r="L2042" s="41" t="s">
        <v>1094</v>
      </c>
    </row>
    <row r="2043" spans="1:19" x14ac:dyDescent="0.25">
      <c r="A2043" s="41" t="s">
        <v>908</v>
      </c>
      <c r="B2043" s="41" t="s">
        <v>16920</v>
      </c>
    </row>
    <row r="2044" spans="1:19" x14ac:dyDescent="0.25">
      <c r="A2044" s="41" t="s">
        <v>23</v>
      </c>
      <c r="B2044" s="41" t="s">
        <v>16921</v>
      </c>
      <c r="F2044" s="41" t="s">
        <v>16922</v>
      </c>
      <c r="G2044" s="41" t="s">
        <v>16923</v>
      </c>
      <c r="H2044" s="41" t="s">
        <v>16924</v>
      </c>
      <c r="I2044" s="41" t="s">
        <v>16925</v>
      </c>
      <c r="J2044" s="41" t="s">
        <v>16926</v>
      </c>
      <c r="L2044" s="41" t="s">
        <v>4</v>
      </c>
    </row>
    <row r="2045" spans="1:19" x14ac:dyDescent="0.25">
      <c r="A2045" s="41" t="s">
        <v>23</v>
      </c>
      <c r="B2045" s="41" t="s">
        <v>16927</v>
      </c>
      <c r="D2045" s="41" t="s">
        <v>428</v>
      </c>
      <c r="E2045" s="41" t="s">
        <v>16928</v>
      </c>
      <c r="F2045" s="41" t="s">
        <v>16929</v>
      </c>
      <c r="G2045" s="41" t="s">
        <v>16930</v>
      </c>
      <c r="H2045" s="41" t="s">
        <v>16931</v>
      </c>
      <c r="I2045" s="41" t="s">
        <v>16932</v>
      </c>
      <c r="J2045" s="41" t="s">
        <v>16933</v>
      </c>
      <c r="K2045" s="41" t="s">
        <v>16934</v>
      </c>
      <c r="L2045" s="41" t="s">
        <v>16935</v>
      </c>
      <c r="M2045" s="41" t="s">
        <v>16936</v>
      </c>
      <c r="N2045" s="41" t="s">
        <v>16937</v>
      </c>
      <c r="O2045" s="41" t="s">
        <v>16938</v>
      </c>
      <c r="P2045" s="41" t="s">
        <v>16939</v>
      </c>
      <c r="Q2045" s="41" t="s">
        <v>16940</v>
      </c>
      <c r="R2045" s="41" t="s">
        <v>16941</v>
      </c>
      <c r="S2045" s="41" t="s">
        <v>16942</v>
      </c>
    </row>
    <row r="2046" spans="1:19" x14ac:dyDescent="0.25">
      <c r="A2046" s="41" t="s">
        <v>23</v>
      </c>
      <c r="B2046" s="41" t="s">
        <v>16943</v>
      </c>
      <c r="D2046" s="41" t="s">
        <v>16944</v>
      </c>
      <c r="F2046" s="41" t="s">
        <v>16945</v>
      </c>
      <c r="G2046" s="41" t="s">
        <v>16946</v>
      </c>
      <c r="H2046" s="41" t="s">
        <v>16947</v>
      </c>
      <c r="I2046" s="41" t="s">
        <v>16948</v>
      </c>
      <c r="J2046" s="41" t="s">
        <v>16949</v>
      </c>
      <c r="K2046" s="41" t="s">
        <v>16950</v>
      </c>
      <c r="L2046" s="41" t="s">
        <v>891</v>
      </c>
    </row>
    <row r="2047" spans="1:19" x14ac:dyDescent="0.25">
      <c r="A2047" s="41" t="s">
        <v>23</v>
      </c>
      <c r="B2047" s="41" t="s">
        <v>16951</v>
      </c>
      <c r="D2047" s="41" t="s">
        <v>16952</v>
      </c>
      <c r="F2047" s="41" t="s">
        <v>16953</v>
      </c>
      <c r="G2047" s="41" t="s">
        <v>16954</v>
      </c>
      <c r="H2047" s="41" t="s">
        <v>16955</v>
      </c>
      <c r="I2047" s="41" t="s">
        <v>16956</v>
      </c>
      <c r="J2047" s="41" t="s">
        <v>16957</v>
      </c>
      <c r="K2047" s="41" t="s">
        <v>16958</v>
      </c>
      <c r="L2047" s="41" t="s">
        <v>1076</v>
      </c>
    </row>
    <row r="2048" spans="1:19" x14ac:dyDescent="0.25">
      <c r="A2048" s="41" t="s">
        <v>23</v>
      </c>
      <c r="B2048" s="41" t="s">
        <v>16959</v>
      </c>
      <c r="D2048" s="41" t="s">
        <v>16960</v>
      </c>
      <c r="F2048" s="41" t="s">
        <v>16961</v>
      </c>
      <c r="G2048" s="41" t="s">
        <v>16962</v>
      </c>
      <c r="H2048" s="41" t="s">
        <v>16963</v>
      </c>
      <c r="I2048" s="41" t="s">
        <v>16964</v>
      </c>
      <c r="J2048" s="41" t="s">
        <v>16965</v>
      </c>
      <c r="K2048" s="41" t="s">
        <v>16966</v>
      </c>
      <c r="L2048" s="41" t="s">
        <v>1085</v>
      </c>
    </row>
    <row r="2049" spans="1:19" x14ac:dyDescent="0.25">
      <c r="A2049" s="41" t="s">
        <v>23</v>
      </c>
      <c r="B2049" s="41" t="s">
        <v>16967</v>
      </c>
      <c r="D2049" s="41" t="s">
        <v>16968</v>
      </c>
      <c r="F2049" s="41" t="s">
        <v>16969</v>
      </c>
      <c r="G2049" s="41" t="s">
        <v>16970</v>
      </c>
      <c r="H2049" s="41" t="s">
        <v>16971</v>
      </c>
      <c r="I2049" s="41" t="s">
        <v>16972</v>
      </c>
      <c r="J2049" s="41" t="s">
        <v>16973</v>
      </c>
      <c r="K2049" s="41" t="s">
        <v>16974</v>
      </c>
      <c r="L2049" s="41" t="s">
        <v>1094</v>
      </c>
    </row>
    <row r="2050" spans="1:19" x14ac:dyDescent="0.25">
      <c r="A2050" s="41" t="s">
        <v>908</v>
      </c>
      <c r="B2050" s="41" t="s">
        <v>16975</v>
      </c>
    </row>
    <row r="2051" spans="1:19" x14ac:dyDescent="0.25">
      <c r="A2051" s="41" t="s">
        <v>23</v>
      </c>
      <c r="B2051" s="41" t="s">
        <v>16976</v>
      </c>
      <c r="F2051" s="41" t="s">
        <v>16977</v>
      </c>
      <c r="G2051" s="41" t="s">
        <v>16978</v>
      </c>
      <c r="H2051" s="41" t="s">
        <v>16979</v>
      </c>
      <c r="I2051" s="41" t="s">
        <v>16980</v>
      </c>
      <c r="J2051" s="41" t="s">
        <v>16981</v>
      </c>
      <c r="L2051" s="41" t="s">
        <v>4</v>
      </c>
    </row>
    <row r="2052" spans="1:19" x14ac:dyDescent="0.25">
      <c r="A2052" s="41" t="s">
        <v>23</v>
      </c>
      <c r="B2052" s="41" t="s">
        <v>16982</v>
      </c>
      <c r="D2052" s="41" t="s">
        <v>429</v>
      </c>
      <c r="E2052" s="41" t="s">
        <v>16983</v>
      </c>
      <c r="F2052" s="41" t="s">
        <v>16984</v>
      </c>
      <c r="G2052" s="41" t="s">
        <v>16985</v>
      </c>
      <c r="H2052" s="41" t="s">
        <v>16986</v>
      </c>
      <c r="I2052" s="41" t="s">
        <v>16987</v>
      </c>
      <c r="J2052" s="41" t="s">
        <v>16988</v>
      </c>
      <c r="K2052" s="41" t="s">
        <v>16989</v>
      </c>
      <c r="L2052" s="41" t="s">
        <v>16990</v>
      </c>
      <c r="M2052" s="41" t="s">
        <v>16991</v>
      </c>
      <c r="N2052" s="41" t="s">
        <v>16992</v>
      </c>
      <c r="O2052" s="41" t="s">
        <v>16993</v>
      </c>
      <c r="P2052" s="41" t="s">
        <v>16994</v>
      </c>
      <c r="Q2052" s="41" t="s">
        <v>16995</v>
      </c>
      <c r="R2052" s="41" t="s">
        <v>16996</v>
      </c>
      <c r="S2052" s="41" t="s">
        <v>16997</v>
      </c>
    </row>
    <row r="2053" spans="1:19" x14ac:dyDescent="0.25">
      <c r="A2053" s="41" t="s">
        <v>23</v>
      </c>
      <c r="B2053" s="41" t="s">
        <v>16998</v>
      </c>
      <c r="D2053" s="41" t="s">
        <v>16999</v>
      </c>
      <c r="F2053" s="41" t="s">
        <v>17000</v>
      </c>
      <c r="G2053" s="41" t="s">
        <v>17001</v>
      </c>
      <c r="H2053" s="41" t="s">
        <v>17002</v>
      </c>
      <c r="I2053" s="41" t="s">
        <v>17003</v>
      </c>
      <c r="J2053" s="41" t="s">
        <v>17004</v>
      </c>
      <c r="K2053" s="41" t="s">
        <v>17005</v>
      </c>
      <c r="L2053" s="41" t="s">
        <v>891</v>
      </c>
    </row>
    <row r="2054" spans="1:19" x14ac:dyDescent="0.25">
      <c r="A2054" s="41" t="s">
        <v>23</v>
      </c>
      <c r="B2054" s="41" t="s">
        <v>17006</v>
      </c>
      <c r="D2054" s="41" t="s">
        <v>17007</v>
      </c>
      <c r="F2054" s="41" t="s">
        <v>17008</v>
      </c>
      <c r="G2054" s="41" t="s">
        <v>17009</v>
      </c>
      <c r="H2054" s="41" t="s">
        <v>17010</v>
      </c>
      <c r="I2054" s="41" t="s">
        <v>17011</v>
      </c>
      <c r="J2054" s="41" t="s">
        <v>17012</v>
      </c>
      <c r="K2054" s="41" t="s">
        <v>17013</v>
      </c>
      <c r="L2054" s="41" t="s">
        <v>1076</v>
      </c>
    </row>
    <row r="2055" spans="1:19" x14ac:dyDescent="0.25">
      <c r="A2055" s="41" t="s">
        <v>23</v>
      </c>
      <c r="B2055" s="41" t="s">
        <v>17014</v>
      </c>
      <c r="D2055" s="41" t="s">
        <v>17015</v>
      </c>
      <c r="F2055" s="41" t="s">
        <v>17016</v>
      </c>
      <c r="G2055" s="41" t="s">
        <v>17017</v>
      </c>
      <c r="H2055" s="41" t="s">
        <v>17018</v>
      </c>
      <c r="I2055" s="41" t="s">
        <v>17019</v>
      </c>
      <c r="J2055" s="41" t="s">
        <v>17020</v>
      </c>
      <c r="K2055" s="41" t="s">
        <v>17021</v>
      </c>
      <c r="L2055" s="41" t="s">
        <v>1085</v>
      </c>
    </row>
    <row r="2056" spans="1:19" x14ac:dyDescent="0.25">
      <c r="A2056" s="41" t="s">
        <v>23</v>
      </c>
      <c r="B2056" s="41" t="s">
        <v>17022</v>
      </c>
      <c r="D2056" s="41" t="s">
        <v>17023</v>
      </c>
      <c r="F2056" s="41" t="s">
        <v>17024</v>
      </c>
      <c r="G2056" s="41" t="s">
        <v>17025</v>
      </c>
      <c r="H2056" s="41" t="s">
        <v>17026</v>
      </c>
      <c r="I2056" s="41" t="s">
        <v>17027</v>
      </c>
      <c r="J2056" s="41" t="s">
        <v>17028</v>
      </c>
      <c r="K2056" s="41" t="s">
        <v>17029</v>
      </c>
      <c r="L2056" s="41" t="s">
        <v>1094</v>
      </c>
    </row>
    <row r="2057" spans="1:19" x14ac:dyDescent="0.25">
      <c r="A2057" s="41" t="s">
        <v>908</v>
      </c>
      <c r="B2057" s="41" t="s">
        <v>17030</v>
      </c>
    </row>
    <row r="2058" spans="1:19" x14ac:dyDescent="0.25">
      <c r="A2058" s="41" t="s">
        <v>23</v>
      </c>
      <c r="B2058" s="41" t="s">
        <v>17031</v>
      </c>
      <c r="F2058" s="41" t="s">
        <v>17032</v>
      </c>
      <c r="G2058" s="41" t="s">
        <v>17033</v>
      </c>
      <c r="H2058" s="41" t="s">
        <v>17034</v>
      </c>
      <c r="I2058" s="41" t="s">
        <v>17035</v>
      </c>
      <c r="J2058" s="41" t="s">
        <v>17036</v>
      </c>
      <c r="L2058" s="41" t="s">
        <v>4</v>
      </c>
    </row>
    <row r="2059" spans="1:19" x14ac:dyDescent="0.25">
      <c r="A2059" s="41" t="s">
        <v>23</v>
      </c>
      <c r="B2059" s="41" t="s">
        <v>17037</v>
      </c>
      <c r="D2059" s="41" t="s">
        <v>430</v>
      </c>
      <c r="E2059" s="41" t="s">
        <v>17038</v>
      </c>
      <c r="F2059" s="41" t="s">
        <v>17039</v>
      </c>
      <c r="G2059" s="41" t="s">
        <v>17040</v>
      </c>
      <c r="H2059" s="41" t="s">
        <v>17041</v>
      </c>
      <c r="I2059" s="41" t="s">
        <v>17042</v>
      </c>
      <c r="J2059" s="41" t="s">
        <v>17043</v>
      </c>
      <c r="K2059" s="41" t="s">
        <v>17044</v>
      </c>
      <c r="L2059" s="41" t="s">
        <v>17045</v>
      </c>
      <c r="M2059" s="41" t="s">
        <v>17046</v>
      </c>
      <c r="N2059" s="41" t="s">
        <v>17047</v>
      </c>
      <c r="O2059" s="41" t="s">
        <v>17048</v>
      </c>
      <c r="P2059" s="41" t="s">
        <v>17049</v>
      </c>
      <c r="Q2059" s="41" t="s">
        <v>17050</v>
      </c>
      <c r="R2059" s="41" t="s">
        <v>17051</v>
      </c>
      <c r="S2059" s="41" t="s">
        <v>17052</v>
      </c>
    </row>
    <row r="2060" spans="1:19" x14ac:dyDescent="0.25">
      <c r="A2060" s="41" t="s">
        <v>23</v>
      </c>
      <c r="B2060" s="41" t="s">
        <v>17053</v>
      </c>
      <c r="D2060" s="41" t="s">
        <v>17054</v>
      </c>
      <c r="F2060" s="41" t="s">
        <v>17055</v>
      </c>
      <c r="G2060" s="41" t="s">
        <v>17056</v>
      </c>
      <c r="H2060" s="41" t="s">
        <v>17057</v>
      </c>
      <c r="I2060" s="41" t="s">
        <v>17058</v>
      </c>
      <c r="J2060" s="41" t="s">
        <v>17059</v>
      </c>
      <c r="K2060" s="41" t="s">
        <v>17060</v>
      </c>
      <c r="L2060" s="41" t="s">
        <v>891</v>
      </c>
    </row>
    <row r="2061" spans="1:19" x14ac:dyDescent="0.25">
      <c r="A2061" s="41" t="s">
        <v>23</v>
      </c>
      <c r="B2061" s="41" t="s">
        <v>17061</v>
      </c>
      <c r="D2061" s="41" t="s">
        <v>17062</v>
      </c>
      <c r="F2061" s="41" t="s">
        <v>17063</v>
      </c>
      <c r="G2061" s="41" t="s">
        <v>17064</v>
      </c>
      <c r="H2061" s="41" t="s">
        <v>17065</v>
      </c>
      <c r="I2061" s="41" t="s">
        <v>17066</v>
      </c>
      <c r="J2061" s="41" t="s">
        <v>17067</v>
      </c>
      <c r="K2061" s="41" t="s">
        <v>17068</v>
      </c>
      <c r="L2061" s="41" t="s">
        <v>1076</v>
      </c>
    </row>
    <row r="2062" spans="1:19" x14ac:dyDescent="0.25">
      <c r="A2062" s="41" t="s">
        <v>23</v>
      </c>
      <c r="B2062" s="41" t="s">
        <v>17069</v>
      </c>
      <c r="D2062" s="41" t="s">
        <v>17070</v>
      </c>
      <c r="F2062" s="41" t="s">
        <v>17071</v>
      </c>
      <c r="G2062" s="41" t="s">
        <v>17072</v>
      </c>
      <c r="H2062" s="41" t="s">
        <v>17073</v>
      </c>
      <c r="I2062" s="41" t="s">
        <v>17074</v>
      </c>
      <c r="J2062" s="41" t="s">
        <v>17075</v>
      </c>
      <c r="K2062" s="41" t="s">
        <v>17076</v>
      </c>
      <c r="L2062" s="41" t="s">
        <v>1085</v>
      </c>
    </row>
    <row r="2063" spans="1:19" x14ac:dyDescent="0.25">
      <c r="A2063" s="41" t="s">
        <v>23</v>
      </c>
      <c r="B2063" s="41" t="s">
        <v>17077</v>
      </c>
      <c r="D2063" s="41" t="s">
        <v>17078</v>
      </c>
      <c r="F2063" s="41" t="s">
        <v>17079</v>
      </c>
      <c r="G2063" s="41" t="s">
        <v>17080</v>
      </c>
      <c r="H2063" s="41" t="s">
        <v>17081</v>
      </c>
      <c r="I2063" s="41" t="s">
        <v>17082</v>
      </c>
      <c r="J2063" s="41" t="s">
        <v>17083</v>
      </c>
      <c r="K2063" s="41" t="s">
        <v>17084</v>
      </c>
      <c r="L2063" s="41" t="s">
        <v>1094</v>
      </c>
    </row>
    <row r="2064" spans="1:19" x14ac:dyDescent="0.25">
      <c r="A2064" s="41" t="s">
        <v>908</v>
      </c>
      <c r="B2064" s="41" t="s">
        <v>17085</v>
      </c>
    </row>
    <row r="2065" spans="1:19" x14ac:dyDescent="0.25">
      <c r="A2065" s="41" t="s">
        <v>23</v>
      </c>
      <c r="B2065" s="41" t="s">
        <v>17086</v>
      </c>
      <c r="F2065" s="41" t="s">
        <v>17087</v>
      </c>
      <c r="G2065" s="41" t="s">
        <v>17088</v>
      </c>
      <c r="H2065" s="41" t="s">
        <v>17089</v>
      </c>
      <c r="I2065" s="41" t="s">
        <v>17090</v>
      </c>
      <c r="J2065" s="41" t="s">
        <v>17091</v>
      </c>
      <c r="L2065" s="41" t="s">
        <v>4</v>
      </c>
    </row>
    <row r="2066" spans="1:19" x14ac:dyDescent="0.25">
      <c r="A2066" s="41" t="s">
        <v>23</v>
      </c>
      <c r="B2066" s="41" t="s">
        <v>17092</v>
      </c>
      <c r="D2066" s="41" t="s">
        <v>431</v>
      </c>
      <c r="E2066" s="41" t="s">
        <v>17094</v>
      </c>
      <c r="F2066" s="41" t="s">
        <v>17095</v>
      </c>
      <c r="G2066" s="41" t="s">
        <v>17096</v>
      </c>
      <c r="H2066" s="41" t="s">
        <v>17097</v>
      </c>
      <c r="I2066" s="41" t="s">
        <v>17098</v>
      </c>
      <c r="J2066" s="41" t="s">
        <v>17099</v>
      </c>
      <c r="K2066" s="41" t="s">
        <v>17100</v>
      </c>
      <c r="L2066" s="41" t="s">
        <v>17101</v>
      </c>
      <c r="M2066" s="41" t="s">
        <v>17102</v>
      </c>
      <c r="N2066" s="41" t="s">
        <v>17103</v>
      </c>
      <c r="O2066" s="41" t="s">
        <v>17104</v>
      </c>
      <c r="P2066" s="41" t="s">
        <v>17105</v>
      </c>
      <c r="Q2066" s="41" t="s">
        <v>17106</v>
      </c>
      <c r="R2066" s="41" t="s">
        <v>17107</v>
      </c>
      <c r="S2066" s="41" t="s">
        <v>17108</v>
      </c>
    </row>
    <row r="2067" spans="1:19" x14ac:dyDescent="0.25">
      <c r="A2067" s="41" t="s">
        <v>23</v>
      </c>
      <c r="B2067" s="41" t="s">
        <v>17109</v>
      </c>
      <c r="D2067" s="41" t="s">
        <v>17110</v>
      </c>
      <c r="F2067" s="41" t="s">
        <v>17111</v>
      </c>
      <c r="G2067" s="41" t="s">
        <v>17112</v>
      </c>
      <c r="H2067" s="41" t="s">
        <v>17113</v>
      </c>
      <c r="I2067" s="41" t="s">
        <v>17114</v>
      </c>
      <c r="J2067" s="41" t="s">
        <v>17115</v>
      </c>
      <c r="K2067" s="41" t="s">
        <v>17116</v>
      </c>
      <c r="L2067" s="41" t="s">
        <v>891</v>
      </c>
    </row>
    <row r="2068" spans="1:19" x14ac:dyDescent="0.25">
      <c r="A2068" s="41" t="s">
        <v>23</v>
      </c>
      <c r="B2068" s="41" t="s">
        <v>17117</v>
      </c>
      <c r="D2068" s="41" t="s">
        <v>17118</v>
      </c>
      <c r="F2068" s="41" t="s">
        <v>17119</v>
      </c>
      <c r="G2068" s="41" t="s">
        <v>17120</v>
      </c>
      <c r="H2068" s="41" t="s">
        <v>17121</v>
      </c>
      <c r="I2068" s="41" t="s">
        <v>17122</v>
      </c>
      <c r="J2068" s="41" t="s">
        <v>17123</v>
      </c>
      <c r="K2068" s="41" t="s">
        <v>17124</v>
      </c>
      <c r="L2068" s="41" t="s">
        <v>1076</v>
      </c>
    </row>
    <row r="2069" spans="1:19" x14ac:dyDescent="0.25">
      <c r="A2069" s="41" t="s">
        <v>23</v>
      </c>
      <c r="B2069" s="41" t="s">
        <v>17125</v>
      </c>
      <c r="D2069" s="41" t="s">
        <v>17126</v>
      </c>
      <c r="F2069" s="41" t="s">
        <v>17127</v>
      </c>
      <c r="G2069" s="41" t="s">
        <v>17128</v>
      </c>
      <c r="H2069" s="41" t="s">
        <v>17129</v>
      </c>
      <c r="I2069" s="41" t="s">
        <v>17130</v>
      </c>
      <c r="J2069" s="41" t="s">
        <v>17131</v>
      </c>
      <c r="K2069" s="41" t="s">
        <v>17132</v>
      </c>
      <c r="L2069" s="41" t="s">
        <v>1085</v>
      </c>
    </row>
    <row r="2070" spans="1:19" x14ac:dyDescent="0.25">
      <c r="A2070" s="41" t="s">
        <v>23</v>
      </c>
      <c r="B2070" s="41" t="s">
        <v>17133</v>
      </c>
      <c r="D2070" s="41" t="s">
        <v>17134</v>
      </c>
      <c r="F2070" s="41" t="s">
        <v>17135</v>
      </c>
      <c r="G2070" s="41" t="s">
        <v>17136</v>
      </c>
      <c r="H2070" s="41" t="s">
        <v>17137</v>
      </c>
      <c r="I2070" s="41" t="s">
        <v>17138</v>
      </c>
      <c r="J2070" s="41" t="s">
        <v>17139</v>
      </c>
      <c r="K2070" s="41" t="s">
        <v>17140</v>
      </c>
      <c r="L2070" s="41" t="s">
        <v>1094</v>
      </c>
    </row>
    <row r="2071" spans="1:19" x14ac:dyDescent="0.25">
      <c r="A2071" s="41" t="s">
        <v>908</v>
      </c>
      <c r="B2071" s="41" t="s">
        <v>17141</v>
      </c>
    </row>
    <row r="2072" spans="1:19" x14ac:dyDescent="0.25">
      <c r="A2072" s="41" t="s">
        <v>23</v>
      </c>
      <c r="B2072" s="41" t="s">
        <v>17142</v>
      </c>
      <c r="F2072" s="41" t="s">
        <v>17143</v>
      </c>
      <c r="G2072" s="41" t="s">
        <v>17144</v>
      </c>
      <c r="H2072" s="41" t="s">
        <v>17145</v>
      </c>
      <c r="I2072" s="41" t="s">
        <v>17146</v>
      </c>
      <c r="J2072" s="41" t="s">
        <v>17147</v>
      </c>
      <c r="L2072" s="41" t="s">
        <v>4</v>
      </c>
    </row>
    <row r="2073" spans="1:19" x14ac:dyDescent="0.25">
      <c r="A2073" s="41" t="s">
        <v>23</v>
      </c>
      <c r="B2073" s="41" t="s">
        <v>17148</v>
      </c>
      <c r="D2073" s="41" t="s">
        <v>432</v>
      </c>
      <c r="E2073" s="41" t="s">
        <v>17150</v>
      </c>
      <c r="F2073" s="41" t="s">
        <v>17151</v>
      </c>
      <c r="G2073" s="41" t="s">
        <v>17152</v>
      </c>
      <c r="H2073" s="41" t="s">
        <v>17153</v>
      </c>
      <c r="I2073" s="41" t="s">
        <v>17154</v>
      </c>
      <c r="J2073" s="41" t="s">
        <v>17155</v>
      </c>
      <c r="K2073" s="41" t="s">
        <v>17156</v>
      </c>
      <c r="L2073" s="41" t="s">
        <v>17157</v>
      </c>
      <c r="M2073" s="41" t="s">
        <v>17158</v>
      </c>
      <c r="N2073" s="41" t="s">
        <v>17159</v>
      </c>
      <c r="O2073" s="41" t="s">
        <v>17160</v>
      </c>
      <c r="P2073" s="41" t="s">
        <v>17161</v>
      </c>
      <c r="Q2073" s="41" t="s">
        <v>17162</v>
      </c>
      <c r="R2073" s="41" t="s">
        <v>17163</v>
      </c>
      <c r="S2073" s="41" t="s">
        <v>17164</v>
      </c>
    </row>
    <row r="2074" spans="1:19" x14ac:dyDescent="0.25">
      <c r="A2074" s="41" t="s">
        <v>23</v>
      </c>
      <c r="B2074" s="41" t="s">
        <v>17165</v>
      </c>
      <c r="D2074" s="41" t="s">
        <v>17166</v>
      </c>
      <c r="F2074" s="41" t="s">
        <v>17167</v>
      </c>
      <c r="G2074" s="41" t="s">
        <v>17168</v>
      </c>
      <c r="H2074" s="41" t="s">
        <v>17169</v>
      </c>
      <c r="I2074" s="41" t="s">
        <v>17170</v>
      </c>
      <c r="J2074" s="41" t="s">
        <v>17171</v>
      </c>
      <c r="K2074" s="41" t="s">
        <v>17172</v>
      </c>
      <c r="L2074" s="41" t="s">
        <v>891</v>
      </c>
    </row>
    <row r="2075" spans="1:19" x14ac:dyDescent="0.25">
      <c r="A2075" s="41" t="s">
        <v>23</v>
      </c>
      <c r="B2075" s="41" t="s">
        <v>17173</v>
      </c>
      <c r="D2075" s="41" t="s">
        <v>17174</v>
      </c>
      <c r="F2075" s="41" t="s">
        <v>17175</v>
      </c>
      <c r="G2075" s="41" t="s">
        <v>17176</v>
      </c>
      <c r="H2075" s="41" t="s">
        <v>17177</v>
      </c>
      <c r="I2075" s="41" t="s">
        <v>17178</v>
      </c>
      <c r="J2075" s="41" t="s">
        <v>17179</v>
      </c>
      <c r="K2075" s="41" t="s">
        <v>17180</v>
      </c>
      <c r="L2075" s="41" t="s">
        <v>1076</v>
      </c>
    </row>
    <row r="2076" spans="1:19" x14ac:dyDescent="0.25">
      <c r="A2076" s="41" t="s">
        <v>23</v>
      </c>
      <c r="B2076" s="41" t="s">
        <v>17181</v>
      </c>
      <c r="D2076" s="41" t="s">
        <v>17182</v>
      </c>
      <c r="F2076" s="41" t="s">
        <v>17183</v>
      </c>
      <c r="G2076" s="41" t="s">
        <v>17184</v>
      </c>
      <c r="H2076" s="41" t="s">
        <v>17185</v>
      </c>
      <c r="I2076" s="41" t="s">
        <v>17186</v>
      </c>
      <c r="J2076" s="41" t="s">
        <v>17187</v>
      </c>
      <c r="K2076" s="41" t="s">
        <v>17188</v>
      </c>
      <c r="L2076" s="41" t="s">
        <v>1085</v>
      </c>
    </row>
    <row r="2077" spans="1:19" x14ac:dyDescent="0.25">
      <c r="A2077" s="41" t="s">
        <v>23</v>
      </c>
      <c r="B2077" s="41" t="s">
        <v>17189</v>
      </c>
      <c r="D2077" s="41" t="s">
        <v>17190</v>
      </c>
      <c r="F2077" s="41" t="s">
        <v>17191</v>
      </c>
      <c r="G2077" s="41" t="s">
        <v>17192</v>
      </c>
      <c r="H2077" s="41" t="s">
        <v>17193</v>
      </c>
      <c r="I2077" s="41" t="s">
        <v>17194</v>
      </c>
      <c r="J2077" s="41" t="s">
        <v>17195</v>
      </c>
      <c r="K2077" s="41" t="s">
        <v>17196</v>
      </c>
      <c r="L2077" s="41" t="s">
        <v>1094</v>
      </c>
    </row>
    <row r="2078" spans="1:19" x14ac:dyDescent="0.25">
      <c r="A2078" s="41" t="s">
        <v>908</v>
      </c>
      <c r="B2078" s="41" t="s">
        <v>17197</v>
      </c>
    </row>
    <row r="2079" spans="1:19" x14ac:dyDescent="0.25">
      <c r="A2079" s="41" t="s">
        <v>23</v>
      </c>
      <c r="B2079" s="41" t="s">
        <v>17198</v>
      </c>
      <c r="F2079" s="41" t="s">
        <v>17199</v>
      </c>
      <c r="G2079" s="41" t="s">
        <v>17200</v>
      </c>
      <c r="H2079" s="41" t="s">
        <v>17201</v>
      </c>
      <c r="I2079" s="41" t="s">
        <v>17202</v>
      </c>
      <c r="J2079" s="41" t="s">
        <v>17203</v>
      </c>
      <c r="L2079" s="41" t="s">
        <v>4</v>
      </c>
    </row>
    <row r="2080" spans="1:19" x14ac:dyDescent="0.25">
      <c r="A2080" s="41" t="s">
        <v>23</v>
      </c>
      <c r="B2080" s="41" t="s">
        <v>17204</v>
      </c>
      <c r="D2080" s="41" t="s">
        <v>17093</v>
      </c>
      <c r="E2080" s="41" t="s">
        <v>17205</v>
      </c>
      <c r="F2080" s="41" t="s">
        <v>17206</v>
      </c>
      <c r="G2080" s="41" t="s">
        <v>17207</v>
      </c>
      <c r="H2080" s="41" t="s">
        <v>17208</v>
      </c>
      <c r="I2080" s="41" t="s">
        <v>17209</v>
      </c>
      <c r="J2080" s="41" t="s">
        <v>17210</v>
      </c>
      <c r="K2080" s="41" t="s">
        <v>17211</v>
      </c>
      <c r="L2080" s="41" t="s">
        <v>17212</v>
      </c>
      <c r="M2080" s="41" t="s">
        <v>17213</v>
      </c>
      <c r="N2080" s="41" t="s">
        <v>17214</v>
      </c>
      <c r="O2080" s="41" t="s">
        <v>17215</v>
      </c>
      <c r="P2080" s="41" t="s">
        <v>17216</v>
      </c>
      <c r="Q2080" s="41" t="s">
        <v>17217</v>
      </c>
      <c r="R2080" s="41" t="s">
        <v>17218</v>
      </c>
      <c r="S2080" s="41" t="s">
        <v>17219</v>
      </c>
    </row>
    <row r="2081" spans="1:19" x14ac:dyDescent="0.25">
      <c r="A2081" s="41" t="s">
        <v>23</v>
      </c>
      <c r="B2081" s="41" t="s">
        <v>17220</v>
      </c>
      <c r="D2081" s="41" t="s">
        <v>17221</v>
      </c>
      <c r="F2081" s="41" t="s">
        <v>17222</v>
      </c>
      <c r="G2081" s="41" t="s">
        <v>17223</v>
      </c>
      <c r="H2081" s="41" t="s">
        <v>17224</v>
      </c>
      <c r="I2081" s="41" t="s">
        <v>17225</v>
      </c>
      <c r="J2081" s="41" t="s">
        <v>17226</v>
      </c>
      <c r="K2081" s="41" t="s">
        <v>17227</v>
      </c>
      <c r="L2081" s="41" t="s">
        <v>891</v>
      </c>
    </row>
    <row r="2082" spans="1:19" x14ac:dyDescent="0.25">
      <c r="A2082" s="41" t="s">
        <v>23</v>
      </c>
      <c r="B2082" s="41" t="s">
        <v>17228</v>
      </c>
      <c r="D2082" s="41" t="s">
        <v>17229</v>
      </c>
      <c r="F2082" s="41" t="s">
        <v>17230</v>
      </c>
      <c r="G2082" s="41" t="s">
        <v>17231</v>
      </c>
      <c r="H2082" s="41" t="s">
        <v>17232</v>
      </c>
      <c r="I2082" s="41" t="s">
        <v>17233</v>
      </c>
      <c r="J2082" s="41" t="s">
        <v>17234</v>
      </c>
      <c r="K2082" s="41" t="s">
        <v>17235</v>
      </c>
      <c r="L2082" s="41" t="s">
        <v>1076</v>
      </c>
    </row>
    <row r="2083" spans="1:19" x14ac:dyDescent="0.25">
      <c r="A2083" s="41" t="s">
        <v>23</v>
      </c>
      <c r="B2083" s="41" t="s">
        <v>17236</v>
      </c>
      <c r="D2083" s="41" t="s">
        <v>17237</v>
      </c>
      <c r="F2083" s="41" t="s">
        <v>17238</v>
      </c>
      <c r="G2083" s="41" t="s">
        <v>17239</v>
      </c>
      <c r="H2083" s="41" t="s">
        <v>17240</v>
      </c>
      <c r="I2083" s="41" t="s">
        <v>17241</v>
      </c>
      <c r="J2083" s="41" t="s">
        <v>17242</v>
      </c>
      <c r="K2083" s="41" t="s">
        <v>17243</v>
      </c>
      <c r="L2083" s="41" t="s">
        <v>1085</v>
      </c>
    </row>
    <row r="2084" spans="1:19" x14ac:dyDescent="0.25">
      <c r="A2084" s="41" t="s">
        <v>23</v>
      </c>
      <c r="B2084" s="41" t="s">
        <v>17244</v>
      </c>
      <c r="D2084" s="41" t="s">
        <v>17245</v>
      </c>
      <c r="F2084" s="41" t="s">
        <v>17246</v>
      </c>
      <c r="G2084" s="41" t="s">
        <v>17247</v>
      </c>
      <c r="H2084" s="41" t="s">
        <v>17248</v>
      </c>
      <c r="I2084" s="41" t="s">
        <v>17249</v>
      </c>
      <c r="J2084" s="41" t="s">
        <v>17250</v>
      </c>
      <c r="K2084" s="41" t="s">
        <v>17251</v>
      </c>
      <c r="L2084" s="41" t="s">
        <v>1094</v>
      </c>
    </row>
    <row r="2085" spans="1:19" x14ac:dyDescent="0.25">
      <c r="A2085" s="41" t="s">
        <v>908</v>
      </c>
      <c r="B2085" s="41" t="s">
        <v>17252</v>
      </c>
    </row>
    <row r="2086" spans="1:19" x14ac:dyDescent="0.25">
      <c r="A2086" s="41" t="s">
        <v>23</v>
      </c>
      <c r="B2086" s="41" t="s">
        <v>17253</v>
      </c>
      <c r="F2086" s="41" t="s">
        <v>17254</v>
      </c>
      <c r="G2086" s="41" t="s">
        <v>17255</v>
      </c>
      <c r="H2086" s="41" t="s">
        <v>17256</v>
      </c>
      <c r="I2086" s="41" t="s">
        <v>17257</v>
      </c>
      <c r="J2086" s="41" t="s">
        <v>17258</v>
      </c>
      <c r="L2086" s="41" t="s">
        <v>4</v>
      </c>
    </row>
    <row r="2087" spans="1:19" x14ac:dyDescent="0.25">
      <c r="A2087" s="41" t="s">
        <v>23</v>
      </c>
      <c r="B2087" s="41" t="s">
        <v>17259</v>
      </c>
      <c r="D2087" s="41" t="s">
        <v>17149</v>
      </c>
      <c r="E2087" s="41" t="s">
        <v>17261</v>
      </c>
      <c r="F2087" s="41" t="s">
        <v>17262</v>
      </c>
      <c r="G2087" s="41" t="s">
        <v>17263</v>
      </c>
      <c r="H2087" s="41" t="s">
        <v>17264</v>
      </c>
      <c r="I2087" s="41" t="s">
        <v>17265</v>
      </c>
      <c r="J2087" s="41" t="s">
        <v>17266</v>
      </c>
      <c r="K2087" s="41" t="s">
        <v>17267</v>
      </c>
      <c r="L2087" s="41" t="s">
        <v>17268</v>
      </c>
      <c r="M2087" s="41" t="s">
        <v>17269</v>
      </c>
      <c r="N2087" s="41" t="s">
        <v>17270</v>
      </c>
      <c r="O2087" s="41" t="s">
        <v>17271</v>
      </c>
      <c r="P2087" s="41" t="s">
        <v>17272</v>
      </c>
      <c r="Q2087" s="41" t="s">
        <v>17273</v>
      </c>
      <c r="R2087" s="41" t="s">
        <v>17274</v>
      </c>
      <c r="S2087" s="41" t="s">
        <v>17275</v>
      </c>
    </row>
    <row r="2088" spans="1:19" x14ac:dyDescent="0.25">
      <c r="A2088" s="41" t="s">
        <v>23</v>
      </c>
      <c r="B2088" s="41" t="s">
        <v>17276</v>
      </c>
      <c r="D2088" s="41" t="s">
        <v>17277</v>
      </c>
      <c r="F2088" s="41" t="s">
        <v>17278</v>
      </c>
      <c r="G2088" s="41" t="s">
        <v>17279</v>
      </c>
      <c r="H2088" s="41" t="s">
        <v>17280</v>
      </c>
      <c r="I2088" s="41" t="s">
        <v>17281</v>
      </c>
      <c r="J2088" s="41" t="s">
        <v>17282</v>
      </c>
      <c r="K2088" s="41" t="s">
        <v>17283</v>
      </c>
      <c r="L2088" s="41" t="s">
        <v>891</v>
      </c>
    </row>
    <row r="2089" spans="1:19" x14ac:dyDescent="0.25">
      <c r="A2089" s="41" t="s">
        <v>23</v>
      </c>
      <c r="B2089" s="41" t="s">
        <v>17284</v>
      </c>
      <c r="D2089" s="41" t="s">
        <v>17285</v>
      </c>
      <c r="F2089" s="41" t="s">
        <v>17286</v>
      </c>
      <c r="G2089" s="41" t="s">
        <v>17287</v>
      </c>
      <c r="H2089" s="41" t="s">
        <v>17288</v>
      </c>
      <c r="I2089" s="41" t="s">
        <v>17289</v>
      </c>
      <c r="J2089" s="41" t="s">
        <v>17290</v>
      </c>
      <c r="K2089" s="41" t="s">
        <v>17291</v>
      </c>
      <c r="L2089" s="41" t="s">
        <v>1076</v>
      </c>
    </row>
    <row r="2090" spans="1:19" x14ac:dyDescent="0.25">
      <c r="A2090" s="41" t="s">
        <v>23</v>
      </c>
      <c r="B2090" s="41" t="s">
        <v>17292</v>
      </c>
      <c r="D2090" s="41" t="s">
        <v>17293</v>
      </c>
      <c r="F2090" s="41" t="s">
        <v>17294</v>
      </c>
      <c r="G2090" s="41" t="s">
        <v>17295</v>
      </c>
      <c r="H2090" s="41" t="s">
        <v>17296</v>
      </c>
      <c r="I2090" s="41" t="s">
        <v>17297</v>
      </c>
      <c r="J2090" s="41" t="s">
        <v>17298</v>
      </c>
      <c r="K2090" s="41" t="s">
        <v>17299</v>
      </c>
      <c r="L2090" s="41" t="s">
        <v>1085</v>
      </c>
    </row>
    <row r="2091" spans="1:19" x14ac:dyDescent="0.25">
      <c r="A2091" s="41" t="s">
        <v>23</v>
      </c>
      <c r="B2091" s="41" t="s">
        <v>17300</v>
      </c>
      <c r="D2091" s="41" t="s">
        <v>17301</v>
      </c>
      <c r="F2091" s="41" t="s">
        <v>17302</v>
      </c>
      <c r="G2091" s="41" t="s">
        <v>17303</v>
      </c>
      <c r="H2091" s="41" t="s">
        <v>17304</v>
      </c>
      <c r="I2091" s="41" t="s">
        <v>17305</v>
      </c>
      <c r="J2091" s="41" t="s">
        <v>17306</v>
      </c>
      <c r="K2091" s="41" t="s">
        <v>17307</v>
      </c>
      <c r="L2091" s="41" t="s">
        <v>1094</v>
      </c>
    </row>
    <row r="2092" spans="1:19" x14ac:dyDescent="0.25">
      <c r="A2092" s="41" t="s">
        <v>908</v>
      </c>
      <c r="B2092" s="41" t="s">
        <v>17308</v>
      </c>
    </row>
    <row r="2093" spans="1:19" x14ac:dyDescent="0.25">
      <c r="A2093" s="41" t="s">
        <v>23</v>
      </c>
      <c r="B2093" s="41" t="s">
        <v>17309</v>
      </c>
      <c r="F2093" s="41" t="s">
        <v>17310</v>
      </c>
      <c r="G2093" s="41" t="s">
        <v>17311</v>
      </c>
      <c r="H2093" s="41" t="s">
        <v>17312</v>
      </c>
      <c r="I2093" s="41" t="s">
        <v>17313</v>
      </c>
      <c r="J2093" s="41" t="s">
        <v>17314</v>
      </c>
      <c r="L2093" s="41" t="s">
        <v>4</v>
      </c>
    </row>
    <row r="2094" spans="1:19" x14ac:dyDescent="0.25">
      <c r="A2094" s="41" t="s">
        <v>23</v>
      </c>
      <c r="B2094" s="41" t="s">
        <v>17315</v>
      </c>
      <c r="D2094" s="41" t="s">
        <v>433</v>
      </c>
      <c r="E2094" s="41" t="s">
        <v>17316</v>
      </c>
      <c r="F2094" s="41" t="s">
        <v>17317</v>
      </c>
      <c r="G2094" s="41" t="s">
        <v>17318</v>
      </c>
      <c r="H2094" s="41" t="s">
        <v>17319</v>
      </c>
      <c r="I2094" s="41" t="s">
        <v>17320</v>
      </c>
      <c r="J2094" s="41" t="s">
        <v>17321</v>
      </c>
      <c r="K2094" s="41" t="s">
        <v>17322</v>
      </c>
      <c r="L2094" s="41" t="s">
        <v>17323</v>
      </c>
      <c r="M2094" s="41" t="s">
        <v>17324</v>
      </c>
      <c r="N2094" s="41" t="s">
        <v>17325</v>
      </c>
      <c r="O2094" s="41" t="s">
        <v>17326</v>
      </c>
      <c r="P2094" s="41" t="s">
        <v>17327</v>
      </c>
      <c r="Q2094" s="41" t="s">
        <v>17328</v>
      </c>
      <c r="R2094" s="41" t="s">
        <v>17329</v>
      </c>
      <c r="S2094" s="41" t="s">
        <v>17330</v>
      </c>
    </row>
    <row r="2095" spans="1:19" x14ac:dyDescent="0.25">
      <c r="A2095" s="41" t="s">
        <v>23</v>
      </c>
      <c r="B2095" s="41" t="s">
        <v>17331</v>
      </c>
      <c r="D2095" s="41" t="s">
        <v>17332</v>
      </c>
      <c r="F2095" s="41" t="s">
        <v>17333</v>
      </c>
      <c r="G2095" s="41" t="s">
        <v>17334</v>
      </c>
      <c r="H2095" s="41" t="s">
        <v>17335</v>
      </c>
      <c r="I2095" s="41" t="s">
        <v>17336</v>
      </c>
      <c r="J2095" s="41" t="s">
        <v>17337</v>
      </c>
      <c r="K2095" s="41" t="s">
        <v>17338</v>
      </c>
      <c r="L2095" s="41" t="s">
        <v>891</v>
      </c>
    </row>
    <row r="2096" spans="1:19" x14ac:dyDescent="0.25">
      <c r="A2096" s="41" t="s">
        <v>23</v>
      </c>
      <c r="B2096" s="41" t="s">
        <v>17339</v>
      </c>
      <c r="D2096" s="41" t="s">
        <v>17340</v>
      </c>
      <c r="F2096" s="41" t="s">
        <v>17341</v>
      </c>
      <c r="G2096" s="41" t="s">
        <v>17342</v>
      </c>
      <c r="H2096" s="41" t="s">
        <v>17343</v>
      </c>
      <c r="I2096" s="41" t="s">
        <v>17344</v>
      </c>
      <c r="J2096" s="41" t="s">
        <v>17345</v>
      </c>
      <c r="K2096" s="41" t="s">
        <v>17346</v>
      </c>
      <c r="L2096" s="41" t="s">
        <v>1076</v>
      </c>
    </row>
    <row r="2097" spans="1:19" x14ac:dyDescent="0.25">
      <c r="A2097" s="41" t="s">
        <v>23</v>
      </c>
      <c r="B2097" s="41" t="s">
        <v>17347</v>
      </c>
      <c r="D2097" s="41" t="s">
        <v>17348</v>
      </c>
      <c r="F2097" s="41" t="s">
        <v>17349</v>
      </c>
      <c r="G2097" s="41" t="s">
        <v>17350</v>
      </c>
      <c r="H2097" s="41" t="s">
        <v>17351</v>
      </c>
      <c r="I2097" s="41" t="s">
        <v>17352</v>
      </c>
      <c r="J2097" s="41" t="s">
        <v>17353</v>
      </c>
      <c r="K2097" s="41" t="s">
        <v>17354</v>
      </c>
      <c r="L2097" s="41" t="s">
        <v>1085</v>
      </c>
    </row>
    <row r="2098" spans="1:19" x14ac:dyDescent="0.25">
      <c r="A2098" s="41" t="s">
        <v>23</v>
      </c>
      <c r="B2098" s="41" t="s">
        <v>17355</v>
      </c>
      <c r="D2098" s="41" t="s">
        <v>17356</v>
      </c>
      <c r="F2098" s="41" t="s">
        <v>17357</v>
      </c>
      <c r="G2098" s="41" t="s">
        <v>17358</v>
      </c>
      <c r="H2098" s="41" t="s">
        <v>17359</v>
      </c>
      <c r="I2098" s="41" t="s">
        <v>17360</v>
      </c>
      <c r="J2098" s="41" t="s">
        <v>17361</v>
      </c>
      <c r="K2098" s="41" t="s">
        <v>17362</v>
      </c>
      <c r="L2098" s="41" t="s">
        <v>1094</v>
      </c>
    </row>
    <row r="2099" spans="1:19" x14ac:dyDescent="0.25">
      <c r="A2099" s="41" t="s">
        <v>908</v>
      </c>
      <c r="B2099" s="41" t="s">
        <v>17363</v>
      </c>
    </row>
    <row r="2100" spans="1:19" x14ac:dyDescent="0.25">
      <c r="A2100" s="41" t="s">
        <v>23</v>
      </c>
      <c r="B2100" s="41" t="s">
        <v>17364</v>
      </c>
      <c r="F2100" s="41" t="s">
        <v>17365</v>
      </c>
      <c r="G2100" s="41" t="s">
        <v>17366</v>
      </c>
      <c r="H2100" s="41" t="s">
        <v>17367</v>
      </c>
      <c r="I2100" s="41" t="s">
        <v>17368</v>
      </c>
      <c r="J2100" s="41" t="s">
        <v>17369</v>
      </c>
      <c r="L2100" s="41" t="s">
        <v>4</v>
      </c>
    </row>
    <row r="2101" spans="1:19" x14ac:dyDescent="0.25">
      <c r="A2101" s="41" t="s">
        <v>23</v>
      </c>
      <c r="B2101" s="41" t="s">
        <v>17370</v>
      </c>
      <c r="D2101" s="41" t="s">
        <v>17260</v>
      </c>
      <c r="E2101" s="41" t="s">
        <v>17371</v>
      </c>
      <c r="F2101" s="41" t="s">
        <v>17372</v>
      </c>
      <c r="G2101" s="41" t="s">
        <v>17373</v>
      </c>
      <c r="H2101" s="41" t="s">
        <v>17374</v>
      </c>
      <c r="I2101" s="41" t="s">
        <v>17375</v>
      </c>
      <c r="J2101" s="41" t="s">
        <v>17376</v>
      </c>
      <c r="K2101" s="41" t="s">
        <v>17377</v>
      </c>
      <c r="L2101" s="41" t="s">
        <v>17378</v>
      </c>
      <c r="M2101" s="41" t="s">
        <v>17379</v>
      </c>
      <c r="N2101" s="41" t="s">
        <v>17380</v>
      </c>
      <c r="O2101" s="41" t="s">
        <v>17381</v>
      </c>
      <c r="P2101" s="41" t="s">
        <v>17382</v>
      </c>
      <c r="Q2101" s="41" t="s">
        <v>17383</v>
      </c>
      <c r="R2101" s="41" t="s">
        <v>17384</v>
      </c>
      <c r="S2101" s="41" t="s">
        <v>17385</v>
      </c>
    </row>
    <row r="2102" spans="1:19" x14ac:dyDescent="0.25">
      <c r="A2102" s="41" t="s">
        <v>23</v>
      </c>
      <c r="B2102" s="41" t="s">
        <v>17386</v>
      </c>
      <c r="D2102" s="41" t="s">
        <v>17387</v>
      </c>
      <c r="F2102" s="41" t="s">
        <v>17388</v>
      </c>
      <c r="G2102" s="41" t="s">
        <v>17389</v>
      </c>
      <c r="H2102" s="41" t="s">
        <v>17390</v>
      </c>
      <c r="I2102" s="41" t="s">
        <v>17391</v>
      </c>
      <c r="J2102" s="41" t="s">
        <v>17392</v>
      </c>
      <c r="K2102" s="41" t="s">
        <v>17393</v>
      </c>
      <c r="L2102" s="41" t="s">
        <v>891</v>
      </c>
    </row>
    <row r="2103" spans="1:19" x14ac:dyDescent="0.25">
      <c r="A2103" s="41" t="s">
        <v>23</v>
      </c>
      <c r="B2103" s="41" t="s">
        <v>17394</v>
      </c>
      <c r="D2103" s="41" t="s">
        <v>17395</v>
      </c>
      <c r="F2103" s="41" t="s">
        <v>17396</v>
      </c>
      <c r="G2103" s="41" t="s">
        <v>17397</v>
      </c>
      <c r="H2103" s="41" t="s">
        <v>17398</v>
      </c>
      <c r="I2103" s="41" t="s">
        <v>17399</v>
      </c>
      <c r="J2103" s="41" t="s">
        <v>17400</v>
      </c>
      <c r="K2103" s="41" t="s">
        <v>17401</v>
      </c>
      <c r="L2103" s="41" t="s">
        <v>1076</v>
      </c>
    </row>
    <row r="2104" spans="1:19" x14ac:dyDescent="0.25">
      <c r="A2104" s="41" t="s">
        <v>23</v>
      </c>
      <c r="B2104" s="41" t="s">
        <v>17402</v>
      </c>
      <c r="D2104" s="41" t="s">
        <v>17403</v>
      </c>
      <c r="F2104" s="41" t="s">
        <v>17404</v>
      </c>
      <c r="G2104" s="41" t="s">
        <v>17405</v>
      </c>
      <c r="H2104" s="41" t="s">
        <v>17406</v>
      </c>
      <c r="I2104" s="41" t="s">
        <v>17407</v>
      </c>
      <c r="J2104" s="41" t="s">
        <v>17408</v>
      </c>
      <c r="K2104" s="41" t="s">
        <v>17409</v>
      </c>
      <c r="L2104" s="41" t="s">
        <v>1085</v>
      </c>
    </row>
    <row r="2105" spans="1:19" x14ac:dyDescent="0.25">
      <c r="A2105" s="41" t="s">
        <v>23</v>
      </c>
      <c r="B2105" s="41" t="s">
        <v>17410</v>
      </c>
      <c r="D2105" s="41" t="s">
        <v>17411</v>
      </c>
      <c r="F2105" s="41" t="s">
        <v>17412</v>
      </c>
      <c r="G2105" s="41" t="s">
        <v>17413</v>
      </c>
      <c r="H2105" s="41" t="s">
        <v>17414</v>
      </c>
      <c r="I2105" s="41" t="s">
        <v>17415</v>
      </c>
      <c r="J2105" s="41" t="s">
        <v>17416</v>
      </c>
      <c r="K2105" s="41" t="s">
        <v>17417</v>
      </c>
      <c r="L2105" s="41" t="s">
        <v>1094</v>
      </c>
    </row>
    <row r="2106" spans="1:19" x14ac:dyDescent="0.25">
      <c r="A2106" s="41" t="s">
        <v>908</v>
      </c>
      <c r="B2106" s="41" t="s">
        <v>17418</v>
      </c>
    </row>
    <row r="2107" spans="1:19" x14ac:dyDescent="0.25">
      <c r="A2107" s="41" t="s">
        <v>23</v>
      </c>
      <c r="B2107" s="41" t="s">
        <v>17419</v>
      </c>
      <c r="F2107" s="41" t="s">
        <v>17420</v>
      </c>
      <c r="G2107" s="41" t="s">
        <v>17421</v>
      </c>
      <c r="H2107" s="41" t="s">
        <v>17422</v>
      </c>
      <c r="I2107" s="41" t="s">
        <v>17423</v>
      </c>
      <c r="J2107" s="41" t="s">
        <v>17424</v>
      </c>
      <c r="L2107" s="41" t="s">
        <v>4</v>
      </c>
    </row>
    <row r="2108" spans="1:19" x14ac:dyDescent="0.25">
      <c r="A2108" s="41" t="s">
        <v>23</v>
      </c>
      <c r="B2108" s="41" t="s">
        <v>17425</v>
      </c>
      <c r="D2108" s="41" t="s">
        <v>551</v>
      </c>
      <c r="E2108" s="41" t="s">
        <v>17426</v>
      </c>
      <c r="F2108" s="41" t="s">
        <v>17427</v>
      </c>
      <c r="G2108" s="41" t="s">
        <v>17428</v>
      </c>
      <c r="H2108" s="41" t="s">
        <v>17429</v>
      </c>
      <c r="I2108" s="41" t="s">
        <v>17430</v>
      </c>
      <c r="J2108" s="41" t="s">
        <v>17431</v>
      </c>
      <c r="K2108" s="41" t="s">
        <v>17432</v>
      </c>
      <c r="L2108" s="41" t="s">
        <v>17433</v>
      </c>
      <c r="M2108" s="41" t="s">
        <v>17434</v>
      </c>
      <c r="N2108" s="41" t="s">
        <v>17435</v>
      </c>
      <c r="O2108" s="41" t="s">
        <v>17436</v>
      </c>
      <c r="P2108" s="41" t="s">
        <v>17437</v>
      </c>
      <c r="Q2108" s="41" t="s">
        <v>17438</v>
      </c>
      <c r="R2108" s="41" t="s">
        <v>17439</v>
      </c>
      <c r="S2108" s="41" t="s">
        <v>17440</v>
      </c>
    </row>
    <row r="2109" spans="1:19" x14ac:dyDescent="0.25">
      <c r="A2109" s="41" t="s">
        <v>23</v>
      </c>
      <c r="B2109" s="41" t="s">
        <v>17441</v>
      </c>
      <c r="D2109" s="41" t="s">
        <v>17442</v>
      </c>
      <c r="F2109" s="41" t="s">
        <v>17443</v>
      </c>
      <c r="G2109" s="41" t="s">
        <v>17444</v>
      </c>
      <c r="H2109" s="41" t="s">
        <v>17445</v>
      </c>
      <c r="I2109" s="41" t="s">
        <v>17446</v>
      </c>
      <c r="J2109" s="41" t="s">
        <v>17447</v>
      </c>
      <c r="K2109" s="41" t="s">
        <v>17448</v>
      </c>
      <c r="L2109" s="41" t="s">
        <v>891</v>
      </c>
    </row>
    <row r="2110" spans="1:19" x14ac:dyDescent="0.25">
      <c r="A2110" s="41" t="s">
        <v>23</v>
      </c>
      <c r="B2110" s="41" t="s">
        <v>17449</v>
      </c>
      <c r="D2110" s="41" t="s">
        <v>17450</v>
      </c>
      <c r="F2110" s="41" t="s">
        <v>17451</v>
      </c>
      <c r="G2110" s="41" t="s">
        <v>17452</v>
      </c>
      <c r="H2110" s="41" t="s">
        <v>17453</v>
      </c>
      <c r="I2110" s="41" t="s">
        <v>17454</v>
      </c>
      <c r="J2110" s="41" t="s">
        <v>17455</v>
      </c>
      <c r="K2110" s="41" t="s">
        <v>17456</v>
      </c>
      <c r="L2110" s="41" t="s">
        <v>1076</v>
      </c>
    </row>
    <row r="2111" spans="1:19" x14ac:dyDescent="0.25">
      <c r="A2111" s="41" t="s">
        <v>23</v>
      </c>
      <c r="B2111" s="41" t="s">
        <v>17457</v>
      </c>
      <c r="D2111" s="41" t="s">
        <v>17458</v>
      </c>
      <c r="F2111" s="41" t="s">
        <v>17459</v>
      </c>
      <c r="G2111" s="41" t="s">
        <v>17460</v>
      </c>
      <c r="H2111" s="41" t="s">
        <v>17461</v>
      </c>
      <c r="I2111" s="41" t="s">
        <v>17462</v>
      </c>
      <c r="J2111" s="41" t="s">
        <v>17463</v>
      </c>
      <c r="K2111" s="41" t="s">
        <v>17464</v>
      </c>
      <c r="L2111" s="41" t="s">
        <v>1085</v>
      </c>
    </row>
    <row r="2112" spans="1:19" x14ac:dyDescent="0.25">
      <c r="A2112" s="41" t="s">
        <v>23</v>
      </c>
      <c r="B2112" s="41" t="s">
        <v>17465</v>
      </c>
      <c r="D2112" s="41" t="s">
        <v>17466</v>
      </c>
      <c r="F2112" s="41" t="s">
        <v>17467</v>
      </c>
      <c r="G2112" s="41" t="s">
        <v>17468</v>
      </c>
      <c r="H2112" s="41" t="s">
        <v>17469</v>
      </c>
      <c r="I2112" s="41" t="s">
        <v>17470</v>
      </c>
      <c r="J2112" s="41" t="s">
        <v>17471</v>
      </c>
      <c r="K2112" s="41" t="s">
        <v>17472</v>
      </c>
      <c r="L2112" s="41" t="s">
        <v>1094</v>
      </c>
    </row>
    <row r="2113" spans="1:19" x14ac:dyDescent="0.25">
      <c r="A2113" s="41" t="s">
        <v>908</v>
      </c>
      <c r="B2113" s="41" t="s">
        <v>17473</v>
      </c>
    </row>
    <row r="2114" spans="1:19" x14ac:dyDescent="0.25">
      <c r="A2114" s="41" t="s">
        <v>23</v>
      </c>
      <c r="B2114" s="41" t="s">
        <v>17474</v>
      </c>
      <c r="F2114" s="41" t="s">
        <v>17475</v>
      </c>
      <c r="G2114" s="41" t="s">
        <v>17476</v>
      </c>
      <c r="H2114" s="41" t="s">
        <v>17477</v>
      </c>
      <c r="I2114" s="41" t="s">
        <v>17478</v>
      </c>
      <c r="J2114" s="41" t="s">
        <v>17479</v>
      </c>
      <c r="L2114" s="41" t="s">
        <v>4</v>
      </c>
    </row>
    <row r="2115" spans="1:19" x14ac:dyDescent="0.25">
      <c r="A2115" s="41" t="s">
        <v>23</v>
      </c>
      <c r="B2115" s="41" t="s">
        <v>17480</v>
      </c>
      <c r="D2115" s="41" t="s">
        <v>552</v>
      </c>
      <c r="E2115" s="41" t="s">
        <v>17482</v>
      </c>
      <c r="F2115" s="41" t="s">
        <v>17483</v>
      </c>
      <c r="G2115" s="41" t="s">
        <v>17484</v>
      </c>
      <c r="H2115" s="41" t="s">
        <v>17485</v>
      </c>
      <c r="I2115" s="41" t="s">
        <v>17486</v>
      </c>
      <c r="J2115" s="41" t="s">
        <v>17487</v>
      </c>
      <c r="K2115" s="41" t="s">
        <v>17488</v>
      </c>
      <c r="L2115" s="41" t="s">
        <v>17489</v>
      </c>
      <c r="M2115" s="41" t="s">
        <v>17490</v>
      </c>
      <c r="N2115" s="41" t="s">
        <v>17491</v>
      </c>
      <c r="O2115" s="41" t="s">
        <v>17492</v>
      </c>
      <c r="P2115" s="41" t="s">
        <v>17493</v>
      </c>
      <c r="Q2115" s="41" t="s">
        <v>17494</v>
      </c>
      <c r="R2115" s="41" t="s">
        <v>17495</v>
      </c>
      <c r="S2115" s="41" t="s">
        <v>17496</v>
      </c>
    </row>
    <row r="2116" spans="1:19" x14ac:dyDescent="0.25">
      <c r="A2116" s="41" t="s">
        <v>23</v>
      </c>
      <c r="B2116" s="41" t="s">
        <v>17497</v>
      </c>
      <c r="D2116" s="41" t="s">
        <v>17498</v>
      </c>
      <c r="F2116" s="41" t="s">
        <v>17499</v>
      </c>
      <c r="G2116" s="41" t="s">
        <v>17500</v>
      </c>
      <c r="H2116" s="41" t="s">
        <v>17501</v>
      </c>
      <c r="I2116" s="41" t="s">
        <v>17502</v>
      </c>
      <c r="J2116" s="41" t="s">
        <v>17503</v>
      </c>
      <c r="K2116" s="41" t="s">
        <v>17504</v>
      </c>
      <c r="L2116" s="41" t="s">
        <v>891</v>
      </c>
    </row>
    <row r="2117" spans="1:19" x14ac:dyDescent="0.25">
      <c r="A2117" s="41" t="s">
        <v>23</v>
      </c>
      <c r="B2117" s="41" t="s">
        <v>17505</v>
      </c>
      <c r="D2117" s="41" t="s">
        <v>17506</v>
      </c>
      <c r="F2117" s="41" t="s">
        <v>17507</v>
      </c>
      <c r="G2117" s="41" t="s">
        <v>17508</v>
      </c>
      <c r="H2117" s="41" t="s">
        <v>17509</v>
      </c>
      <c r="I2117" s="41" t="s">
        <v>17510</v>
      </c>
      <c r="J2117" s="41" t="s">
        <v>17511</v>
      </c>
      <c r="K2117" s="41" t="s">
        <v>17512</v>
      </c>
      <c r="L2117" s="41" t="s">
        <v>1076</v>
      </c>
    </row>
    <row r="2118" spans="1:19" x14ac:dyDescent="0.25">
      <c r="A2118" s="41" t="s">
        <v>23</v>
      </c>
      <c r="B2118" s="41" t="s">
        <v>17513</v>
      </c>
      <c r="D2118" s="41" t="s">
        <v>17514</v>
      </c>
      <c r="F2118" s="41" t="s">
        <v>17515</v>
      </c>
      <c r="G2118" s="41" t="s">
        <v>17516</v>
      </c>
      <c r="H2118" s="41" t="s">
        <v>17517</v>
      </c>
      <c r="I2118" s="41" t="s">
        <v>17518</v>
      </c>
      <c r="J2118" s="41" t="s">
        <v>17519</v>
      </c>
      <c r="K2118" s="41" t="s">
        <v>17520</v>
      </c>
      <c r="L2118" s="41" t="s">
        <v>1085</v>
      </c>
    </row>
    <row r="2119" spans="1:19" x14ac:dyDescent="0.25">
      <c r="A2119" s="41" t="s">
        <v>23</v>
      </c>
      <c r="B2119" s="41" t="s">
        <v>17521</v>
      </c>
      <c r="D2119" s="41" t="s">
        <v>17522</v>
      </c>
      <c r="F2119" s="41" t="s">
        <v>17523</v>
      </c>
      <c r="G2119" s="41" t="s">
        <v>17524</v>
      </c>
      <c r="H2119" s="41" t="s">
        <v>17525</v>
      </c>
      <c r="I2119" s="41" t="s">
        <v>17526</v>
      </c>
      <c r="J2119" s="41" t="s">
        <v>17527</v>
      </c>
      <c r="K2119" s="41" t="s">
        <v>17528</v>
      </c>
      <c r="L2119" s="41" t="s">
        <v>1094</v>
      </c>
    </row>
    <row r="2120" spans="1:19" x14ac:dyDescent="0.25">
      <c r="A2120" s="41" t="s">
        <v>908</v>
      </c>
      <c r="B2120" s="41" t="s">
        <v>17529</v>
      </c>
    </row>
    <row r="2121" spans="1:19" x14ac:dyDescent="0.25">
      <c r="A2121" s="41" t="s">
        <v>23</v>
      </c>
      <c r="B2121" s="41" t="s">
        <v>17530</v>
      </c>
      <c r="F2121" s="41" t="s">
        <v>17531</v>
      </c>
      <c r="G2121" s="41" t="s">
        <v>17532</v>
      </c>
      <c r="H2121" s="41" t="s">
        <v>17533</v>
      </c>
      <c r="I2121" s="41" t="s">
        <v>17534</v>
      </c>
      <c r="J2121" s="41" t="s">
        <v>17535</v>
      </c>
      <c r="L2121" s="41" t="s">
        <v>4</v>
      </c>
    </row>
    <row r="2122" spans="1:19" x14ac:dyDescent="0.25">
      <c r="A2122" s="41" t="s">
        <v>23</v>
      </c>
      <c r="B2122" s="41" t="s">
        <v>17536</v>
      </c>
      <c r="D2122" s="41" t="s">
        <v>553</v>
      </c>
      <c r="E2122" s="41" t="s">
        <v>17537</v>
      </c>
      <c r="F2122" s="41" t="s">
        <v>17538</v>
      </c>
      <c r="G2122" s="41" t="s">
        <v>17539</v>
      </c>
      <c r="H2122" s="41" t="s">
        <v>17540</v>
      </c>
      <c r="I2122" s="41" t="s">
        <v>17541</v>
      </c>
      <c r="J2122" s="41" t="s">
        <v>17542</v>
      </c>
      <c r="K2122" s="41" t="s">
        <v>17543</v>
      </c>
      <c r="L2122" s="41" t="s">
        <v>17544</v>
      </c>
      <c r="M2122" s="41" t="s">
        <v>17545</v>
      </c>
      <c r="N2122" s="41" t="s">
        <v>17546</v>
      </c>
      <c r="O2122" s="41" t="s">
        <v>17547</v>
      </c>
      <c r="P2122" s="41" t="s">
        <v>17548</v>
      </c>
      <c r="Q2122" s="41" t="s">
        <v>17549</v>
      </c>
      <c r="R2122" s="41" t="s">
        <v>17550</v>
      </c>
      <c r="S2122" s="41" t="s">
        <v>17551</v>
      </c>
    </row>
    <row r="2123" spans="1:19" x14ac:dyDescent="0.25">
      <c r="A2123" s="41" t="s">
        <v>23</v>
      </c>
      <c r="B2123" s="41" t="s">
        <v>17552</v>
      </c>
      <c r="D2123" s="41" t="s">
        <v>17553</v>
      </c>
      <c r="F2123" s="41" t="s">
        <v>17554</v>
      </c>
      <c r="G2123" s="41" t="s">
        <v>17555</v>
      </c>
      <c r="H2123" s="41" t="s">
        <v>17556</v>
      </c>
      <c r="I2123" s="41" t="s">
        <v>17557</v>
      </c>
      <c r="J2123" s="41" t="s">
        <v>17558</v>
      </c>
      <c r="K2123" s="41" t="s">
        <v>17559</v>
      </c>
      <c r="L2123" s="41" t="s">
        <v>891</v>
      </c>
    </row>
    <row r="2124" spans="1:19" x14ac:dyDescent="0.25">
      <c r="A2124" s="41" t="s">
        <v>23</v>
      </c>
      <c r="B2124" s="41" t="s">
        <v>17560</v>
      </c>
      <c r="D2124" s="41" t="s">
        <v>17561</v>
      </c>
      <c r="F2124" s="41" t="s">
        <v>17562</v>
      </c>
      <c r="G2124" s="41" t="s">
        <v>17563</v>
      </c>
      <c r="H2124" s="41" t="s">
        <v>17564</v>
      </c>
      <c r="I2124" s="41" t="s">
        <v>17565</v>
      </c>
      <c r="J2124" s="41" t="s">
        <v>17566</v>
      </c>
      <c r="K2124" s="41" t="s">
        <v>17567</v>
      </c>
      <c r="L2124" s="41" t="s">
        <v>1076</v>
      </c>
    </row>
    <row r="2125" spans="1:19" x14ac:dyDescent="0.25">
      <c r="A2125" s="41" t="s">
        <v>23</v>
      </c>
      <c r="B2125" s="41" t="s">
        <v>17568</v>
      </c>
      <c r="D2125" s="41" t="s">
        <v>17569</v>
      </c>
      <c r="F2125" s="41" t="s">
        <v>17570</v>
      </c>
      <c r="G2125" s="41" t="s">
        <v>17571</v>
      </c>
      <c r="H2125" s="41" t="s">
        <v>17572</v>
      </c>
      <c r="I2125" s="41" t="s">
        <v>17573</v>
      </c>
      <c r="J2125" s="41" t="s">
        <v>17574</v>
      </c>
      <c r="K2125" s="41" t="s">
        <v>17575</v>
      </c>
      <c r="L2125" s="41" t="s">
        <v>1085</v>
      </c>
    </row>
    <row r="2126" spans="1:19" x14ac:dyDescent="0.25">
      <c r="A2126" s="41" t="s">
        <v>23</v>
      </c>
      <c r="B2126" s="41" t="s">
        <v>17576</v>
      </c>
      <c r="D2126" s="41" t="s">
        <v>17577</v>
      </c>
      <c r="F2126" s="41" t="s">
        <v>17578</v>
      </c>
      <c r="G2126" s="41" t="s">
        <v>17579</v>
      </c>
      <c r="H2126" s="41" t="s">
        <v>17580</v>
      </c>
      <c r="I2126" s="41" t="s">
        <v>17581</v>
      </c>
      <c r="J2126" s="41" t="s">
        <v>17582</v>
      </c>
      <c r="K2126" s="41" t="s">
        <v>17583</v>
      </c>
      <c r="L2126" s="41" t="s">
        <v>1094</v>
      </c>
    </row>
    <row r="2127" spans="1:19" x14ac:dyDescent="0.25">
      <c r="A2127" s="41" t="s">
        <v>908</v>
      </c>
      <c r="B2127" s="41" t="s">
        <v>17584</v>
      </c>
    </row>
    <row r="2128" spans="1:19" x14ac:dyDescent="0.25">
      <c r="A2128" s="41" t="s">
        <v>23</v>
      </c>
      <c r="B2128" s="41" t="s">
        <v>17585</v>
      </c>
      <c r="F2128" s="41" t="s">
        <v>17586</v>
      </c>
      <c r="G2128" s="41" t="s">
        <v>17587</v>
      </c>
      <c r="H2128" s="41" t="s">
        <v>17588</v>
      </c>
      <c r="I2128" s="41" t="s">
        <v>17589</v>
      </c>
      <c r="J2128" s="41" t="s">
        <v>17590</v>
      </c>
      <c r="L2128" s="41" t="s">
        <v>4</v>
      </c>
    </row>
    <row r="2129" spans="1:19" x14ac:dyDescent="0.25">
      <c r="A2129" s="41" t="s">
        <v>23</v>
      </c>
      <c r="B2129" s="41" t="s">
        <v>17591</v>
      </c>
      <c r="D2129" s="41" t="s">
        <v>17481</v>
      </c>
      <c r="E2129" s="41" t="s">
        <v>17592</v>
      </c>
      <c r="F2129" s="41" t="s">
        <v>17593</v>
      </c>
      <c r="G2129" s="41" t="s">
        <v>17594</v>
      </c>
      <c r="H2129" s="41" t="s">
        <v>17595</v>
      </c>
      <c r="I2129" s="41" t="s">
        <v>17596</v>
      </c>
      <c r="J2129" s="41" t="s">
        <v>17597</v>
      </c>
      <c r="K2129" s="41" t="s">
        <v>17598</v>
      </c>
      <c r="L2129" s="41" t="s">
        <v>17599</v>
      </c>
      <c r="M2129" s="41" t="s">
        <v>17600</v>
      </c>
      <c r="N2129" s="41" t="s">
        <v>17601</v>
      </c>
      <c r="O2129" s="41" t="s">
        <v>17602</v>
      </c>
      <c r="P2129" s="41" t="s">
        <v>17603</v>
      </c>
      <c r="Q2129" s="41" t="s">
        <v>17604</v>
      </c>
      <c r="R2129" s="41" t="s">
        <v>17605</v>
      </c>
      <c r="S2129" s="41" t="s">
        <v>17606</v>
      </c>
    </row>
    <row r="2130" spans="1:19" x14ac:dyDescent="0.25">
      <c r="A2130" s="41" t="s">
        <v>23</v>
      </c>
      <c r="B2130" s="41" t="s">
        <v>17607</v>
      </c>
      <c r="D2130" s="41" t="s">
        <v>17608</v>
      </c>
      <c r="F2130" s="41" t="s">
        <v>17609</v>
      </c>
      <c r="G2130" s="41" t="s">
        <v>17610</v>
      </c>
      <c r="H2130" s="41" t="s">
        <v>17611</v>
      </c>
      <c r="I2130" s="41" t="s">
        <v>17612</v>
      </c>
      <c r="J2130" s="41" t="s">
        <v>17613</v>
      </c>
      <c r="K2130" s="41" t="s">
        <v>17614</v>
      </c>
      <c r="L2130" s="41" t="s">
        <v>891</v>
      </c>
    </row>
    <row r="2131" spans="1:19" x14ac:dyDescent="0.25">
      <c r="A2131" s="41" t="s">
        <v>23</v>
      </c>
      <c r="B2131" s="41" t="s">
        <v>17615</v>
      </c>
      <c r="D2131" s="41" t="s">
        <v>17616</v>
      </c>
      <c r="F2131" s="41" t="s">
        <v>17617</v>
      </c>
      <c r="G2131" s="41" t="s">
        <v>17618</v>
      </c>
      <c r="H2131" s="41" t="s">
        <v>17619</v>
      </c>
      <c r="I2131" s="41" t="s">
        <v>17620</v>
      </c>
      <c r="J2131" s="41" t="s">
        <v>17621</v>
      </c>
      <c r="K2131" s="41" t="s">
        <v>17622</v>
      </c>
      <c r="L2131" s="41" t="s">
        <v>1076</v>
      </c>
    </row>
    <row r="2132" spans="1:19" x14ac:dyDescent="0.25">
      <c r="A2132" s="41" t="s">
        <v>23</v>
      </c>
      <c r="B2132" s="41" t="s">
        <v>17623</v>
      </c>
      <c r="D2132" s="41" t="s">
        <v>17624</v>
      </c>
      <c r="F2132" s="41" t="s">
        <v>17625</v>
      </c>
      <c r="G2132" s="41" t="s">
        <v>17626</v>
      </c>
      <c r="H2132" s="41" t="s">
        <v>17627</v>
      </c>
      <c r="I2132" s="41" t="s">
        <v>17628</v>
      </c>
      <c r="J2132" s="41" t="s">
        <v>17629</v>
      </c>
      <c r="K2132" s="41" t="s">
        <v>17630</v>
      </c>
      <c r="L2132" s="41" t="s">
        <v>1085</v>
      </c>
    </row>
    <row r="2133" spans="1:19" x14ac:dyDescent="0.25">
      <c r="A2133" s="41" t="s">
        <v>23</v>
      </c>
      <c r="B2133" s="41" t="s">
        <v>17631</v>
      </c>
      <c r="D2133" s="41" t="s">
        <v>17632</v>
      </c>
      <c r="F2133" s="41" t="s">
        <v>17633</v>
      </c>
      <c r="G2133" s="41" t="s">
        <v>17634</v>
      </c>
      <c r="H2133" s="41" t="s">
        <v>17635</v>
      </c>
      <c r="I2133" s="41" t="s">
        <v>17636</v>
      </c>
      <c r="J2133" s="41" t="s">
        <v>17637</v>
      </c>
      <c r="K2133" s="41" t="s">
        <v>17638</v>
      </c>
      <c r="L2133" s="41" t="s">
        <v>1094</v>
      </c>
    </row>
    <row r="2134" spans="1:19" x14ac:dyDescent="0.25">
      <c r="A2134" s="41" t="s">
        <v>908</v>
      </c>
      <c r="B2134" s="41" t="s">
        <v>17639</v>
      </c>
    </row>
    <row r="2135" spans="1:19" x14ac:dyDescent="0.25">
      <c r="A2135" s="41" t="s">
        <v>23</v>
      </c>
      <c r="B2135" s="41" t="s">
        <v>17640</v>
      </c>
      <c r="F2135" s="41" t="s">
        <v>17641</v>
      </c>
      <c r="G2135" s="41" t="s">
        <v>17642</v>
      </c>
      <c r="H2135" s="41" t="s">
        <v>17643</v>
      </c>
      <c r="I2135" s="41" t="s">
        <v>17644</v>
      </c>
      <c r="J2135" s="41" t="s">
        <v>17645</v>
      </c>
      <c r="L2135" s="41" t="s">
        <v>4</v>
      </c>
    </row>
    <row r="2136" spans="1:19" x14ac:dyDescent="0.25">
      <c r="A2136" s="41" t="s">
        <v>23</v>
      </c>
      <c r="B2136" s="41" t="s">
        <v>17646</v>
      </c>
      <c r="D2136" s="41" t="s">
        <v>520</v>
      </c>
      <c r="E2136" s="41" t="s">
        <v>17647</v>
      </c>
      <c r="F2136" s="41" t="s">
        <v>17648</v>
      </c>
      <c r="G2136" s="41" t="s">
        <v>17649</v>
      </c>
      <c r="H2136" s="41" t="s">
        <v>17650</v>
      </c>
      <c r="I2136" s="41" t="s">
        <v>17651</v>
      </c>
      <c r="J2136" s="41" t="s">
        <v>17652</v>
      </c>
      <c r="K2136" s="41" t="s">
        <v>17653</v>
      </c>
      <c r="L2136" s="41" t="s">
        <v>17654</v>
      </c>
      <c r="M2136" s="41" t="s">
        <v>17655</v>
      </c>
      <c r="N2136" s="41" t="s">
        <v>17656</v>
      </c>
      <c r="O2136" s="41" t="s">
        <v>17657</v>
      </c>
      <c r="P2136" s="41" t="s">
        <v>17658</v>
      </c>
      <c r="Q2136" s="41" t="s">
        <v>17659</v>
      </c>
      <c r="R2136" s="41" t="s">
        <v>17660</v>
      </c>
      <c r="S2136" s="41" t="s">
        <v>17661</v>
      </c>
    </row>
    <row r="2137" spans="1:19" x14ac:dyDescent="0.25">
      <c r="A2137" s="41" t="s">
        <v>23</v>
      </c>
      <c r="B2137" s="41" t="s">
        <v>17662</v>
      </c>
      <c r="D2137" s="41" t="s">
        <v>17663</v>
      </c>
      <c r="F2137" s="41" t="s">
        <v>17664</v>
      </c>
      <c r="G2137" s="41" t="s">
        <v>17665</v>
      </c>
      <c r="H2137" s="41" t="s">
        <v>17666</v>
      </c>
      <c r="I2137" s="41" t="s">
        <v>17667</v>
      </c>
      <c r="J2137" s="41" t="s">
        <v>17668</v>
      </c>
      <c r="K2137" s="41" t="s">
        <v>17669</v>
      </c>
      <c r="L2137" s="41" t="s">
        <v>891</v>
      </c>
    </row>
    <row r="2138" spans="1:19" x14ac:dyDescent="0.25">
      <c r="A2138" s="41" t="s">
        <v>23</v>
      </c>
      <c r="B2138" s="41" t="s">
        <v>17670</v>
      </c>
      <c r="D2138" s="41" t="s">
        <v>17671</v>
      </c>
      <c r="F2138" s="41" t="s">
        <v>17672</v>
      </c>
      <c r="G2138" s="41" t="s">
        <v>17673</v>
      </c>
      <c r="H2138" s="41" t="s">
        <v>17674</v>
      </c>
      <c r="I2138" s="41" t="s">
        <v>17675</v>
      </c>
      <c r="J2138" s="41" t="s">
        <v>17676</v>
      </c>
      <c r="K2138" s="41" t="s">
        <v>17677</v>
      </c>
      <c r="L2138" s="41" t="s">
        <v>1076</v>
      </c>
    </row>
    <row r="2139" spans="1:19" x14ac:dyDescent="0.25">
      <c r="A2139" s="41" t="s">
        <v>23</v>
      </c>
      <c r="B2139" s="41" t="s">
        <v>17678</v>
      </c>
      <c r="D2139" s="41" t="s">
        <v>17679</v>
      </c>
      <c r="F2139" s="41" t="s">
        <v>17680</v>
      </c>
      <c r="G2139" s="41" t="s">
        <v>17681</v>
      </c>
      <c r="H2139" s="41" t="s">
        <v>17682</v>
      </c>
      <c r="I2139" s="41" t="s">
        <v>17683</v>
      </c>
      <c r="J2139" s="41" t="s">
        <v>17684</v>
      </c>
      <c r="K2139" s="41" t="s">
        <v>17685</v>
      </c>
      <c r="L2139" s="41" t="s">
        <v>1085</v>
      </c>
    </row>
    <row r="2140" spans="1:19" x14ac:dyDescent="0.25">
      <c r="A2140" s="41" t="s">
        <v>23</v>
      </c>
      <c r="B2140" s="41" t="s">
        <v>17686</v>
      </c>
      <c r="D2140" s="41" t="s">
        <v>17687</v>
      </c>
      <c r="F2140" s="41" t="s">
        <v>17688</v>
      </c>
      <c r="G2140" s="41" t="s">
        <v>17689</v>
      </c>
      <c r="H2140" s="41" t="s">
        <v>17690</v>
      </c>
      <c r="I2140" s="41" t="s">
        <v>17691</v>
      </c>
      <c r="J2140" s="41" t="s">
        <v>17692</v>
      </c>
      <c r="K2140" s="41" t="s">
        <v>17693</v>
      </c>
      <c r="L2140" s="41" t="s">
        <v>1094</v>
      </c>
    </row>
    <row r="2141" spans="1:19" x14ac:dyDescent="0.25">
      <c r="A2141" s="41" t="s">
        <v>908</v>
      </c>
      <c r="B2141" s="41" t="s">
        <v>17694</v>
      </c>
    </row>
    <row r="2142" spans="1:19" x14ac:dyDescent="0.25">
      <c r="A2142" s="41" t="s">
        <v>23</v>
      </c>
      <c r="B2142" s="41" t="s">
        <v>17695</v>
      </c>
      <c r="F2142" s="41" t="s">
        <v>17696</v>
      </c>
      <c r="G2142" s="41" t="s">
        <v>17697</v>
      </c>
      <c r="H2142" s="41" t="s">
        <v>17698</v>
      </c>
      <c r="I2142" s="41" t="s">
        <v>17699</v>
      </c>
      <c r="J2142" s="41" t="s">
        <v>17700</v>
      </c>
      <c r="L2142" s="41" t="s">
        <v>4</v>
      </c>
    </row>
    <row r="2143" spans="1:19" x14ac:dyDescent="0.25">
      <c r="A2143" s="41" t="s">
        <v>23</v>
      </c>
      <c r="B2143" s="41" t="s">
        <v>17701</v>
      </c>
      <c r="D2143" s="41" t="s">
        <v>434</v>
      </c>
      <c r="E2143" s="41" t="s">
        <v>17702</v>
      </c>
      <c r="F2143" s="41" t="s">
        <v>17703</v>
      </c>
      <c r="G2143" s="41" t="s">
        <v>17704</v>
      </c>
      <c r="H2143" s="41" t="s">
        <v>17705</v>
      </c>
      <c r="I2143" s="41" t="s">
        <v>17706</v>
      </c>
      <c r="J2143" s="41" t="s">
        <v>17707</v>
      </c>
      <c r="K2143" s="41" t="s">
        <v>17708</v>
      </c>
      <c r="L2143" s="41" t="s">
        <v>17709</v>
      </c>
      <c r="M2143" s="41" t="s">
        <v>17710</v>
      </c>
      <c r="N2143" s="41" t="s">
        <v>17711</v>
      </c>
      <c r="O2143" s="41" t="s">
        <v>17712</v>
      </c>
      <c r="P2143" s="41" t="s">
        <v>17713</v>
      </c>
      <c r="Q2143" s="41" t="s">
        <v>17714</v>
      </c>
      <c r="R2143" s="41" t="s">
        <v>17715</v>
      </c>
      <c r="S2143" s="41" t="s">
        <v>17716</v>
      </c>
    </row>
    <row r="2144" spans="1:19" x14ac:dyDescent="0.25">
      <c r="A2144" s="41" t="s">
        <v>23</v>
      </c>
      <c r="B2144" s="41" t="s">
        <v>17717</v>
      </c>
      <c r="D2144" s="41" t="s">
        <v>17718</v>
      </c>
      <c r="F2144" s="41" t="s">
        <v>17719</v>
      </c>
      <c r="G2144" s="41" t="s">
        <v>17720</v>
      </c>
      <c r="H2144" s="41" t="s">
        <v>17721</v>
      </c>
      <c r="I2144" s="41" t="s">
        <v>17722</v>
      </c>
      <c r="J2144" s="41" t="s">
        <v>17723</v>
      </c>
      <c r="K2144" s="41" t="s">
        <v>17724</v>
      </c>
      <c r="L2144" s="41" t="s">
        <v>891</v>
      </c>
    </row>
    <row r="2145" spans="1:19" x14ac:dyDescent="0.25">
      <c r="A2145" s="41" t="s">
        <v>23</v>
      </c>
      <c r="B2145" s="41" t="s">
        <v>17725</v>
      </c>
      <c r="D2145" s="41" t="s">
        <v>17726</v>
      </c>
      <c r="F2145" s="41" t="s">
        <v>17727</v>
      </c>
      <c r="G2145" s="41" t="s">
        <v>17728</v>
      </c>
      <c r="H2145" s="41" t="s">
        <v>17729</v>
      </c>
      <c r="I2145" s="41" t="s">
        <v>17730</v>
      </c>
      <c r="J2145" s="41" t="s">
        <v>17731</v>
      </c>
      <c r="K2145" s="41" t="s">
        <v>17732</v>
      </c>
      <c r="L2145" s="41" t="s">
        <v>1076</v>
      </c>
    </row>
    <row r="2146" spans="1:19" x14ac:dyDescent="0.25">
      <c r="A2146" s="41" t="s">
        <v>23</v>
      </c>
      <c r="B2146" s="41" t="s">
        <v>17733</v>
      </c>
      <c r="D2146" s="41" t="s">
        <v>17734</v>
      </c>
      <c r="F2146" s="41" t="s">
        <v>17735</v>
      </c>
      <c r="G2146" s="41" t="s">
        <v>17736</v>
      </c>
      <c r="H2146" s="41" t="s">
        <v>17737</v>
      </c>
      <c r="I2146" s="41" t="s">
        <v>17738</v>
      </c>
      <c r="J2146" s="41" t="s">
        <v>17739</v>
      </c>
      <c r="K2146" s="41" t="s">
        <v>17740</v>
      </c>
      <c r="L2146" s="41" t="s">
        <v>1085</v>
      </c>
    </row>
    <row r="2147" spans="1:19" x14ac:dyDescent="0.25">
      <c r="A2147" s="41" t="s">
        <v>23</v>
      </c>
      <c r="B2147" s="41" t="s">
        <v>17741</v>
      </c>
      <c r="D2147" s="41" t="s">
        <v>17742</v>
      </c>
      <c r="F2147" s="41" t="s">
        <v>17743</v>
      </c>
      <c r="G2147" s="41" t="s">
        <v>17744</v>
      </c>
      <c r="H2147" s="41" t="s">
        <v>17745</v>
      </c>
      <c r="I2147" s="41" t="s">
        <v>17746</v>
      </c>
      <c r="J2147" s="41" t="s">
        <v>17747</v>
      </c>
      <c r="K2147" s="41" t="s">
        <v>17748</v>
      </c>
      <c r="L2147" s="41" t="s">
        <v>1094</v>
      </c>
    </row>
    <row r="2148" spans="1:19" x14ac:dyDescent="0.25">
      <c r="A2148" s="41" t="s">
        <v>908</v>
      </c>
      <c r="B2148" s="41" t="s">
        <v>17749</v>
      </c>
    </row>
    <row r="2149" spans="1:19" x14ac:dyDescent="0.25">
      <c r="A2149" s="41" t="s">
        <v>23</v>
      </c>
      <c r="B2149" s="41" t="s">
        <v>17750</v>
      </c>
      <c r="F2149" s="41" t="s">
        <v>17751</v>
      </c>
      <c r="G2149" s="41" t="s">
        <v>17752</v>
      </c>
      <c r="H2149" s="41" t="s">
        <v>17753</v>
      </c>
      <c r="I2149" s="41" t="s">
        <v>17754</v>
      </c>
      <c r="J2149" s="41" t="s">
        <v>17755</v>
      </c>
      <c r="L2149" s="41" t="s">
        <v>4</v>
      </c>
    </row>
    <row r="2150" spans="1:19" x14ac:dyDescent="0.25">
      <c r="A2150" s="41" t="s">
        <v>23</v>
      </c>
      <c r="B2150" s="41" t="s">
        <v>17756</v>
      </c>
      <c r="D2150" s="41" t="s">
        <v>521</v>
      </c>
      <c r="E2150" s="41" t="s">
        <v>17757</v>
      </c>
      <c r="F2150" s="41" t="s">
        <v>17758</v>
      </c>
      <c r="G2150" s="41" t="s">
        <v>17759</v>
      </c>
      <c r="H2150" s="41" t="s">
        <v>17760</v>
      </c>
      <c r="I2150" s="41" t="s">
        <v>17761</v>
      </c>
      <c r="J2150" s="41" t="s">
        <v>17762</v>
      </c>
      <c r="K2150" s="41" t="s">
        <v>17763</v>
      </c>
      <c r="L2150" s="41" t="s">
        <v>17764</v>
      </c>
      <c r="M2150" s="41" t="s">
        <v>17765</v>
      </c>
      <c r="N2150" s="41" t="s">
        <v>17766</v>
      </c>
      <c r="O2150" s="41" t="s">
        <v>17767</v>
      </c>
      <c r="P2150" s="41" t="s">
        <v>17768</v>
      </c>
      <c r="Q2150" s="41" t="s">
        <v>17769</v>
      </c>
      <c r="R2150" s="41" t="s">
        <v>17770</v>
      </c>
      <c r="S2150" s="41" t="s">
        <v>17771</v>
      </c>
    </row>
    <row r="2151" spans="1:19" x14ac:dyDescent="0.25">
      <c r="A2151" s="41" t="s">
        <v>23</v>
      </c>
      <c r="B2151" s="41" t="s">
        <v>17772</v>
      </c>
      <c r="D2151" s="41" t="s">
        <v>17773</v>
      </c>
      <c r="F2151" s="41" t="s">
        <v>17774</v>
      </c>
      <c r="G2151" s="41" t="s">
        <v>17775</v>
      </c>
      <c r="H2151" s="41" t="s">
        <v>17776</v>
      </c>
      <c r="I2151" s="41" t="s">
        <v>17777</v>
      </c>
      <c r="J2151" s="41" t="s">
        <v>17778</v>
      </c>
      <c r="K2151" s="41" t="s">
        <v>17779</v>
      </c>
      <c r="L2151" s="41" t="s">
        <v>891</v>
      </c>
    </row>
    <row r="2152" spans="1:19" x14ac:dyDescent="0.25">
      <c r="A2152" s="41" t="s">
        <v>23</v>
      </c>
      <c r="B2152" s="41" t="s">
        <v>17780</v>
      </c>
      <c r="D2152" s="41" t="s">
        <v>17781</v>
      </c>
      <c r="F2152" s="41" t="s">
        <v>17782</v>
      </c>
      <c r="G2152" s="41" t="s">
        <v>17783</v>
      </c>
      <c r="H2152" s="41" t="s">
        <v>17784</v>
      </c>
      <c r="I2152" s="41" t="s">
        <v>17785</v>
      </c>
      <c r="J2152" s="41" t="s">
        <v>17786</v>
      </c>
      <c r="K2152" s="41" t="s">
        <v>17787</v>
      </c>
      <c r="L2152" s="41" t="s">
        <v>1076</v>
      </c>
    </row>
    <row r="2153" spans="1:19" x14ac:dyDescent="0.25">
      <c r="A2153" s="41" t="s">
        <v>23</v>
      </c>
      <c r="B2153" s="41" t="s">
        <v>17788</v>
      </c>
      <c r="D2153" s="41" t="s">
        <v>17789</v>
      </c>
      <c r="F2153" s="41" t="s">
        <v>17790</v>
      </c>
      <c r="G2153" s="41" t="s">
        <v>17791</v>
      </c>
      <c r="H2153" s="41" t="s">
        <v>17792</v>
      </c>
      <c r="I2153" s="41" t="s">
        <v>17793</v>
      </c>
      <c r="J2153" s="41" t="s">
        <v>17794</v>
      </c>
      <c r="K2153" s="41" t="s">
        <v>17795</v>
      </c>
      <c r="L2153" s="41" t="s">
        <v>1085</v>
      </c>
    </row>
    <row r="2154" spans="1:19" x14ac:dyDescent="0.25">
      <c r="A2154" s="41" t="s">
        <v>23</v>
      </c>
      <c r="B2154" s="41" t="s">
        <v>17796</v>
      </c>
      <c r="D2154" s="41" t="s">
        <v>17797</v>
      </c>
      <c r="F2154" s="41" t="s">
        <v>17798</v>
      </c>
      <c r="G2154" s="41" t="s">
        <v>17799</v>
      </c>
      <c r="H2154" s="41" t="s">
        <v>17800</v>
      </c>
      <c r="I2154" s="41" t="s">
        <v>17801</v>
      </c>
      <c r="J2154" s="41" t="s">
        <v>17802</v>
      </c>
      <c r="K2154" s="41" t="s">
        <v>17803</v>
      </c>
      <c r="L2154" s="41" t="s">
        <v>1094</v>
      </c>
    </row>
    <row r="2155" spans="1:19" x14ac:dyDescent="0.25">
      <c r="A2155" s="41" t="s">
        <v>908</v>
      </c>
      <c r="B2155" s="41" t="s">
        <v>17804</v>
      </c>
    </row>
    <row r="2156" spans="1:19" x14ac:dyDescent="0.25">
      <c r="A2156" s="41" t="s">
        <v>23</v>
      </c>
      <c r="B2156" s="41" t="s">
        <v>17805</v>
      </c>
      <c r="F2156" s="41" t="s">
        <v>17806</v>
      </c>
      <c r="G2156" s="41" t="s">
        <v>17807</v>
      </c>
      <c r="H2156" s="41" t="s">
        <v>17808</v>
      </c>
      <c r="I2156" s="41" t="s">
        <v>17809</v>
      </c>
      <c r="J2156" s="41" t="s">
        <v>17810</v>
      </c>
      <c r="L2156" s="41" t="s">
        <v>4</v>
      </c>
    </row>
    <row r="2157" spans="1:19" x14ac:dyDescent="0.25">
      <c r="A2157" s="41" t="s">
        <v>23</v>
      </c>
      <c r="B2157" s="41" t="s">
        <v>17811</v>
      </c>
      <c r="D2157" s="41" t="s">
        <v>435</v>
      </c>
      <c r="E2157" s="41" t="s">
        <v>17812</v>
      </c>
      <c r="F2157" s="41" t="s">
        <v>17813</v>
      </c>
      <c r="G2157" s="41" t="s">
        <v>17814</v>
      </c>
      <c r="H2157" s="41" t="s">
        <v>17815</v>
      </c>
      <c r="I2157" s="41" t="s">
        <v>17816</v>
      </c>
      <c r="J2157" s="41" t="s">
        <v>17817</v>
      </c>
      <c r="K2157" s="41" t="s">
        <v>17818</v>
      </c>
      <c r="L2157" s="41" t="s">
        <v>17819</v>
      </c>
      <c r="M2157" s="41" t="s">
        <v>17820</v>
      </c>
      <c r="N2157" s="41" t="s">
        <v>17821</v>
      </c>
      <c r="O2157" s="41" t="s">
        <v>17822</v>
      </c>
      <c r="P2157" s="41" t="s">
        <v>17823</v>
      </c>
      <c r="Q2157" s="41" t="s">
        <v>17824</v>
      </c>
      <c r="R2157" s="41" t="s">
        <v>17825</v>
      </c>
      <c r="S2157" s="41" t="s">
        <v>17826</v>
      </c>
    </row>
    <row r="2158" spans="1:19" x14ac:dyDescent="0.25">
      <c r="A2158" s="41" t="s">
        <v>23</v>
      </c>
      <c r="B2158" s="41" t="s">
        <v>17827</v>
      </c>
      <c r="D2158" s="41" t="s">
        <v>17828</v>
      </c>
      <c r="F2158" s="41" t="s">
        <v>17829</v>
      </c>
      <c r="G2158" s="41" t="s">
        <v>17830</v>
      </c>
      <c r="H2158" s="41" t="s">
        <v>17831</v>
      </c>
      <c r="I2158" s="41" t="s">
        <v>17832</v>
      </c>
      <c r="J2158" s="41" t="s">
        <v>17833</v>
      </c>
      <c r="K2158" s="41" t="s">
        <v>17834</v>
      </c>
      <c r="L2158" s="41" t="s">
        <v>891</v>
      </c>
    </row>
    <row r="2159" spans="1:19" x14ac:dyDescent="0.25">
      <c r="A2159" s="41" t="s">
        <v>23</v>
      </c>
      <c r="B2159" s="41" t="s">
        <v>17835</v>
      </c>
      <c r="D2159" s="41" t="s">
        <v>17836</v>
      </c>
      <c r="F2159" s="41" t="s">
        <v>17837</v>
      </c>
      <c r="G2159" s="41" t="s">
        <v>17838</v>
      </c>
      <c r="H2159" s="41" t="s">
        <v>17839</v>
      </c>
      <c r="I2159" s="41" t="s">
        <v>17840</v>
      </c>
      <c r="J2159" s="41" t="s">
        <v>17841</v>
      </c>
      <c r="K2159" s="41" t="s">
        <v>17842</v>
      </c>
      <c r="L2159" s="41" t="s">
        <v>1076</v>
      </c>
    </row>
    <row r="2160" spans="1:19" x14ac:dyDescent="0.25">
      <c r="A2160" s="41" t="s">
        <v>23</v>
      </c>
      <c r="B2160" s="41" t="s">
        <v>17843</v>
      </c>
      <c r="D2160" s="41" t="s">
        <v>17844</v>
      </c>
      <c r="F2160" s="41" t="s">
        <v>17845</v>
      </c>
      <c r="G2160" s="41" t="s">
        <v>17846</v>
      </c>
      <c r="H2160" s="41" t="s">
        <v>17847</v>
      </c>
      <c r="I2160" s="41" t="s">
        <v>17848</v>
      </c>
      <c r="J2160" s="41" t="s">
        <v>17849</v>
      </c>
      <c r="K2160" s="41" t="s">
        <v>17850</v>
      </c>
      <c r="L2160" s="41" t="s">
        <v>1085</v>
      </c>
    </row>
    <row r="2161" spans="1:19" x14ac:dyDescent="0.25">
      <c r="A2161" s="41" t="s">
        <v>23</v>
      </c>
      <c r="B2161" s="41" t="s">
        <v>17851</v>
      </c>
      <c r="D2161" s="41" t="s">
        <v>17852</v>
      </c>
      <c r="F2161" s="41" t="s">
        <v>17853</v>
      </c>
      <c r="G2161" s="41" t="s">
        <v>17854</v>
      </c>
      <c r="H2161" s="41" t="s">
        <v>17855</v>
      </c>
      <c r="I2161" s="41" t="s">
        <v>17856</v>
      </c>
      <c r="J2161" s="41" t="s">
        <v>17857</v>
      </c>
      <c r="K2161" s="41" t="s">
        <v>17858</v>
      </c>
      <c r="L2161" s="41" t="s">
        <v>1094</v>
      </c>
    </row>
    <row r="2162" spans="1:19" x14ac:dyDescent="0.25">
      <c r="A2162" s="41" t="s">
        <v>908</v>
      </c>
      <c r="B2162" s="41" t="s">
        <v>17859</v>
      </c>
    </row>
    <row r="2163" spans="1:19" x14ac:dyDescent="0.25">
      <c r="A2163" s="41" t="s">
        <v>23</v>
      </c>
      <c r="B2163" s="41" t="s">
        <v>17860</v>
      </c>
      <c r="F2163" s="41" t="s">
        <v>17861</v>
      </c>
      <c r="G2163" s="41" t="s">
        <v>17862</v>
      </c>
      <c r="H2163" s="41" t="s">
        <v>17863</v>
      </c>
      <c r="I2163" s="41" t="s">
        <v>17864</v>
      </c>
      <c r="J2163" s="41" t="s">
        <v>17865</v>
      </c>
      <c r="L2163" s="41" t="s">
        <v>4</v>
      </c>
    </row>
    <row r="2164" spans="1:19" x14ac:dyDescent="0.25">
      <c r="A2164" s="41" t="s">
        <v>23</v>
      </c>
      <c r="B2164" s="41" t="s">
        <v>17866</v>
      </c>
      <c r="D2164" s="41" t="s">
        <v>545</v>
      </c>
      <c r="E2164" s="41" t="s">
        <v>17868</v>
      </c>
      <c r="F2164" s="41" t="s">
        <v>17869</v>
      </c>
      <c r="G2164" s="41" t="s">
        <v>17870</v>
      </c>
      <c r="H2164" s="41" t="s">
        <v>17871</v>
      </c>
      <c r="I2164" s="41" t="s">
        <v>17872</v>
      </c>
      <c r="J2164" s="41" t="s">
        <v>17873</v>
      </c>
      <c r="K2164" s="41" t="s">
        <v>17874</v>
      </c>
      <c r="L2164" s="41" t="s">
        <v>17875</v>
      </c>
      <c r="M2164" s="41" t="s">
        <v>17876</v>
      </c>
      <c r="N2164" s="41" t="s">
        <v>17877</v>
      </c>
      <c r="O2164" s="41" t="s">
        <v>17878</v>
      </c>
      <c r="P2164" s="41" t="s">
        <v>17879</v>
      </c>
      <c r="Q2164" s="41" t="s">
        <v>17880</v>
      </c>
      <c r="R2164" s="41" t="s">
        <v>17881</v>
      </c>
      <c r="S2164" s="41" t="s">
        <v>17882</v>
      </c>
    </row>
    <row r="2165" spans="1:19" x14ac:dyDescent="0.25">
      <c r="A2165" s="41" t="s">
        <v>23</v>
      </c>
      <c r="B2165" s="41" t="s">
        <v>17883</v>
      </c>
      <c r="D2165" s="41" t="s">
        <v>17884</v>
      </c>
      <c r="F2165" s="41" t="s">
        <v>17885</v>
      </c>
      <c r="G2165" s="41" t="s">
        <v>17886</v>
      </c>
      <c r="H2165" s="41" t="s">
        <v>17887</v>
      </c>
      <c r="I2165" s="41" t="s">
        <v>17888</v>
      </c>
      <c r="J2165" s="41" t="s">
        <v>17889</v>
      </c>
      <c r="K2165" s="41" t="s">
        <v>17890</v>
      </c>
      <c r="L2165" s="41" t="s">
        <v>891</v>
      </c>
    </row>
    <row r="2166" spans="1:19" x14ac:dyDescent="0.25">
      <c r="A2166" s="41" t="s">
        <v>23</v>
      </c>
      <c r="B2166" s="41" t="s">
        <v>17891</v>
      </c>
      <c r="D2166" s="41" t="s">
        <v>17892</v>
      </c>
      <c r="F2166" s="41" t="s">
        <v>17893</v>
      </c>
      <c r="G2166" s="41" t="s">
        <v>17894</v>
      </c>
      <c r="H2166" s="41" t="s">
        <v>17895</v>
      </c>
      <c r="I2166" s="41" t="s">
        <v>17896</v>
      </c>
      <c r="J2166" s="41" t="s">
        <v>17897</v>
      </c>
      <c r="K2166" s="41" t="s">
        <v>17898</v>
      </c>
      <c r="L2166" s="41" t="s">
        <v>1076</v>
      </c>
    </row>
    <row r="2167" spans="1:19" x14ac:dyDescent="0.25">
      <c r="A2167" s="41" t="s">
        <v>23</v>
      </c>
      <c r="B2167" s="41" t="s">
        <v>17899</v>
      </c>
      <c r="D2167" s="41" t="s">
        <v>17900</v>
      </c>
      <c r="F2167" s="41" t="s">
        <v>17901</v>
      </c>
      <c r="G2167" s="41" t="s">
        <v>17902</v>
      </c>
      <c r="H2167" s="41" t="s">
        <v>17903</v>
      </c>
      <c r="I2167" s="41" t="s">
        <v>17904</v>
      </c>
      <c r="J2167" s="41" t="s">
        <v>17905</v>
      </c>
      <c r="K2167" s="41" t="s">
        <v>17906</v>
      </c>
      <c r="L2167" s="41" t="s">
        <v>1085</v>
      </c>
    </row>
    <row r="2168" spans="1:19" x14ac:dyDescent="0.25">
      <c r="A2168" s="41" t="s">
        <v>23</v>
      </c>
      <c r="B2168" s="41" t="s">
        <v>17907</v>
      </c>
      <c r="D2168" s="41" t="s">
        <v>17908</v>
      </c>
      <c r="F2168" s="41" t="s">
        <v>17909</v>
      </c>
      <c r="G2168" s="41" t="s">
        <v>17910</v>
      </c>
      <c r="H2168" s="41" t="s">
        <v>17911</v>
      </c>
      <c r="I2168" s="41" t="s">
        <v>17912</v>
      </c>
      <c r="J2168" s="41" t="s">
        <v>17913</v>
      </c>
      <c r="K2168" s="41" t="s">
        <v>17914</v>
      </c>
      <c r="L2168" s="41" t="s">
        <v>1094</v>
      </c>
    </row>
    <row r="2169" spans="1:19" x14ac:dyDescent="0.25">
      <c r="A2169" s="41" t="s">
        <v>908</v>
      </c>
      <c r="B2169" s="41" t="s">
        <v>17915</v>
      </c>
    </row>
    <row r="2170" spans="1:19" x14ac:dyDescent="0.25">
      <c r="A2170" s="41" t="s">
        <v>23</v>
      </c>
      <c r="B2170" s="41" t="s">
        <v>17916</v>
      </c>
      <c r="F2170" s="41" t="s">
        <v>17917</v>
      </c>
      <c r="G2170" s="41" t="s">
        <v>17918</v>
      </c>
      <c r="H2170" s="41" t="s">
        <v>17919</v>
      </c>
      <c r="I2170" s="41" t="s">
        <v>17920</v>
      </c>
      <c r="J2170" s="41" t="s">
        <v>17921</v>
      </c>
      <c r="L2170" s="41" t="s">
        <v>4</v>
      </c>
    </row>
    <row r="2171" spans="1:19" x14ac:dyDescent="0.25">
      <c r="A2171" s="41" t="s">
        <v>23</v>
      </c>
      <c r="B2171" s="41" t="s">
        <v>17922</v>
      </c>
      <c r="D2171" s="41" t="s">
        <v>546</v>
      </c>
      <c r="E2171" s="41" t="s">
        <v>17924</v>
      </c>
      <c r="F2171" s="41" t="s">
        <v>17925</v>
      </c>
      <c r="G2171" s="41" t="s">
        <v>17926</v>
      </c>
      <c r="H2171" s="41" t="s">
        <v>17927</v>
      </c>
      <c r="I2171" s="41" t="s">
        <v>17928</v>
      </c>
      <c r="J2171" s="41" t="s">
        <v>17929</v>
      </c>
      <c r="K2171" s="41" t="s">
        <v>17930</v>
      </c>
      <c r="L2171" s="41" t="s">
        <v>17931</v>
      </c>
      <c r="M2171" s="41" t="s">
        <v>17932</v>
      </c>
      <c r="N2171" s="41" t="s">
        <v>17933</v>
      </c>
      <c r="O2171" s="41" t="s">
        <v>17934</v>
      </c>
      <c r="P2171" s="41" t="s">
        <v>17935</v>
      </c>
      <c r="Q2171" s="41" t="s">
        <v>17936</v>
      </c>
      <c r="R2171" s="41" t="s">
        <v>17937</v>
      </c>
      <c r="S2171" s="41" t="s">
        <v>17938</v>
      </c>
    </row>
    <row r="2172" spans="1:19" x14ac:dyDescent="0.25">
      <c r="A2172" s="41" t="s">
        <v>23</v>
      </c>
      <c r="B2172" s="41" t="s">
        <v>17939</v>
      </c>
      <c r="D2172" s="41" t="s">
        <v>17940</v>
      </c>
      <c r="F2172" s="41" t="s">
        <v>17941</v>
      </c>
      <c r="G2172" s="41" t="s">
        <v>17942</v>
      </c>
      <c r="H2172" s="41" t="s">
        <v>17943</v>
      </c>
      <c r="I2172" s="41" t="s">
        <v>17944</v>
      </c>
      <c r="J2172" s="41" t="s">
        <v>17945</v>
      </c>
      <c r="K2172" s="41" t="s">
        <v>17946</v>
      </c>
      <c r="L2172" s="41" t="s">
        <v>891</v>
      </c>
    </row>
    <row r="2173" spans="1:19" x14ac:dyDescent="0.25">
      <c r="A2173" s="41" t="s">
        <v>23</v>
      </c>
      <c r="B2173" s="41" t="s">
        <v>17947</v>
      </c>
      <c r="D2173" s="41" t="s">
        <v>17948</v>
      </c>
      <c r="F2173" s="41" t="s">
        <v>17949</v>
      </c>
      <c r="G2173" s="41" t="s">
        <v>17950</v>
      </c>
      <c r="H2173" s="41" t="s">
        <v>17951</v>
      </c>
      <c r="I2173" s="41" t="s">
        <v>17952</v>
      </c>
      <c r="J2173" s="41" t="s">
        <v>17953</v>
      </c>
      <c r="K2173" s="41" t="s">
        <v>17954</v>
      </c>
      <c r="L2173" s="41" t="s">
        <v>1076</v>
      </c>
    </row>
    <row r="2174" spans="1:19" x14ac:dyDescent="0.25">
      <c r="A2174" s="41" t="s">
        <v>23</v>
      </c>
      <c r="B2174" s="41" t="s">
        <v>17955</v>
      </c>
      <c r="D2174" s="41" t="s">
        <v>17956</v>
      </c>
      <c r="F2174" s="41" t="s">
        <v>17957</v>
      </c>
      <c r="G2174" s="41" t="s">
        <v>17958</v>
      </c>
      <c r="H2174" s="41" t="s">
        <v>17959</v>
      </c>
      <c r="I2174" s="41" t="s">
        <v>17960</v>
      </c>
      <c r="J2174" s="41" t="s">
        <v>17961</v>
      </c>
      <c r="K2174" s="41" t="s">
        <v>17962</v>
      </c>
      <c r="L2174" s="41" t="s">
        <v>1085</v>
      </c>
    </row>
    <row r="2175" spans="1:19" x14ac:dyDescent="0.25">
      <c r="A2175" s="41" t="s">
        <v>23</v>
      </c>
      <c r="B2175" s="41" t="s">
        <v>17963</v>
      </c>
      <c r="D2175" s="41" t="s">
        <v>17964</v>
      </c>
      <c r="F2175" s="41" t="s">
        <v>17965</v>
      </c>
      <c r="G2175" s="41" t="s">
        <v>17966</v>
      </c>
      <c r="H2175" s="41" t="s">
        <v>17967</v>
      </c>
      <c r="I2175" s="41" t="s">
        <v>17968</v>
      </c>
      <c r="J2175" s="41" t="s">
        <v>17969</v>
      </c>
      <c r="K2175" s="41" t="s">
        <v>17970</v>
      </c>
      <c r="L2175" s="41" t="s">
        <v>1094</v>
      </c>
    </row>
    <row r="2176" spans="1:19" x14ac:dyDescent="0.25">
      <c r="A2176" s="41" t="s">
        <v>908</v>
      </c>
      <c r="B2176" s="41" t="s">
        <v>17971</v>
      </c>
    </row>
    <row r="2177" spans="1:19" x14ac:dyDescent="0.25">
      <c r="A2177" s="41" t="s">
        <v>23</v>
      </c>
      <c r="B2177" s="41" t="s">
        <v>17972</v>
      </c>
      <c r="F2177" s="41" t="s">
        <v>17973</v>
      </c>
      <c r="G2177" s="41" t="s">
        <v>17974</v>
      </c>
      <c r="H2177" s="41" t="s">
        <v>17975</v>
      </c>
      <c r="I2177" s="41" t="s">
        <v>17976</v>
      </c>
      <c r="J2177" s="41" t="s">
        <v>17977</v>
      </c>
      <c r="L2177" s="41" t="s">
        <v>4</v>
      </c>
    </row>
    <row r="2178" spans="1:19" x14ac:dyDescent="0.25">
      <c r="A2178" s="41" t="s">
        <v>23</v>
      </c>
      <c r="B2178" s="41" t="s">
        <v>17978</v>
      </c>
      <c r="D2178" s="41" t="s">
        <v>17867</v>
      </c>
      <c r="E2178" s="41" t="s">
        <v>17979</v>
      </c>
      <c r="F2178" s="41" t="s">
        <v>17980</v>
      </c>
      <c r="G2178" s="41" t="s">
        <v>17981</v>
      </c>
      <c r="H2178" s="41" t="s">
        <v>17982</v>
      </c>
      <c r="I2178" s="41" t="s">
        <v>17983</v>
      </c>
      <c r="J2178" s="41" t="s">
        <v>17984</v>
      </c>
      <c r="K2178" s="41" t="s">
        <v>17985</v>
      </c>
      <c r="L2178" s="41" t="s">
        <v>17986</v>
      </c>
      <c r="M2178" s="41" t="s">
        <v>17987</v>
      </c>
      <c r="N2178" s="41" t="s">
        <v>17988</v>
      </c>
      <c r="O2178" s="41" t="s">
        <v>17989</v>
      </c>
      <c r="P2178" s="41" t="s">
        <v>17990</v>
      </c>
      <c r="Q2178" s="41" t="s">
        <v>17991</v>
      </c>
      <c r="R2178" s="41" t="s">
        <v>17992</v>
      </c>
      <c r="S2178" s="41" t="s">
        <v>17993</v>
      </c>
    </row>
    <row r="2179" spans="1:19" x14ac:dyDescent="0.25">
      <c r="A2179" s="41" t="s">
        <v>23</v>
      </c>
      <c r="B2179" s="41" t="s">
        <v>17994</v>
      </c>
      <c r="D2179" s="41" t="s">
        <v>17995</v>
      </c>
      <c r="F2179" s="41" t="s">
        <v>17996</v>
      </c>
      <c r="G2179" s="41" t="s">
        <v>17997</v>
      </c>
      <c r="H2179" s="41" t="s">
        <v>17998</v>
      </c>
      <c r="I2179" s="41" t="s">
        <v>17999</v>
      </c>
      <c r="J2179" s="41" t="s">
        <v>18000</v>
      </c>
      <c r="K2179" s="41" t="s">
        <v>18001</v>
      </c>
      <c r="L2179" s="41" t="s">
        <v>891</v>
      </c>
    </row>
    <row r="2180" spans="1:19" x14ac:dyDescent="0.25">
      <c r="A2180" s="41" t="s">
        <v>23</v>
      </c>
      <c r="B2180" s="41" t="s">
        <v>18002</v>
      </c>
      <c r="D2180" s="41" t="s">
        <v>18003</v>
      </c>
      <c r="F2180" s="41" t="s">
        <v>18004</v>
      </c>
      <c r="G2180" s="41" t="s">
        <v>18005</v>
      </c>
      <c r="H2180" s="41" t="s">
        <v>18006</v>
      </c>
      <c r="I2180" s="41" t="s">
        <v>18007</v>
      </c>
      <c r="J2180" s="41" t="s">
        <v>18008</v>
      </c>
      <c r="K2180" s="41" t="s">
        <v>18009</v>
      </c>
      <c r="L2180" s="41" t="s">
        <v>1076</v>
      </c>
    </row>
    <row r="2181" spans="1:19" x14ac:dyDescent="0.25">
      <c r="A2181" s="41" t="s">
        <v>23</v>
      </c>
      <c r="B2181" s="41" t="s">
        <v>18010</v>
      </c>
      <c r="D2181" s="41" t="s">
        <v>18011</v>
      </c>
      <c r="F2181" s="41" t="s">
        <v>18012</v>
      </c>
      <c r="G2181" s="41" t="s">
        <v>18013</v>
      </c>
      <c r="H2181" s="41" t="s">
        <v>18014</v>
      </c>
      <c r="I2181" s="41" t="s">
        <v>18015</v>
      </c>
      <c r="J2181" s="41" t="s">
        <v>18016</v>
      </c>
      <c r="K2181" s="41" t="s">
        <v>18017</v>
      </c>
      <c r="L2181" s="41" t="s">
        <v>1085</v>
      </c>
    </row>
    <row r="2182" spans="1:19" x14ac:dyDescent="0.25">
      <c r="A2182" s="41" t="s">
        <v>23</v>
      </c>
      <c r="B2182" s="41" t="s">
        <v>18018</v>
      </c>
      <c r="D2182" s="41" t="s">
        <v>18019</v>
      </c>
      <c r="F2182" s="41" t="s">
        <v>18020</v>
      </c>
      <c r="G2182" s="41" t="s">
        <v>18021</v>
      </c>
      <c r="H2182" s="41" t="s">
        <v>18022</v>
      </c>
      <c r="I2182" s="41" t="s">
        <v>18023</v>
      </c>
      <c r="J2182" s="41" t="s">
        <v>18024</v>
      </c>
      <c r="K2182" s="41" t="s">
        <v>18025</v>
      </c>
      <c r="L2182" s="41" t="s">
        <v>1094</v>
      </c>
    </row>
    <row r="2183" spans="1:19" x14ac:dyDescent="0.25">
      <c r="A2183" s="41" t="s">
        <v>908</v>
      </c>
      <c r="B2183" s="41" t="s">
        <v>18026</v>
      </c>
    </row>
    <row r="2184" spans="1:19" x14ac:dyDescent="0.25">
      <c r="A2184" s="41" t="s">
        <v>23</v>
      </c>
      <c r="B2184" s="41" t="s">
        <v>18027</v>
      </c>
      <c r="F2184" s="41" t="s">
        <v>18028</v>
      </c>
      <c r="G2184" s="41" t="s">
        <v>18029</v>
      </c>
      <c r="H2184" s="41" t="s">
        <v>18030</v>
      </c>
      <c r="I2184" s="41" t="s">
        <v>18031</v>
      </c>
      <c r="J2184" s="41" t="s">
        <v>18032</v>
      </c>
      <c r="L2184" s="41" t="s">
        <v>4</v>
      </c>
    </row>
    <row r="2185" spans="1:19" x14ac:dyDescent="0.25">
      <c r="A2185" s="41" t="s">
        <v>23</v>
      </c>
      <c r="B2185" s="41" t="s">
        <v>18033</v>
      </c>
      <c r="D2185" s="41" t="s">
        <v>17923</v>
      </c>
      <c r="E2185" s="41" t="s">
        <v>18034</v>
      </c>
      <c r="F2185" s="41" t="s">
        <v>18035</v>
      </c>
      <c r="G2185" s="41" t="s">
        <v>18036</v>
      </c>
      <c r="H2185" s="41" t="s">
        <v>18037</v>
      </c>
      <c r="I2185" s="41" t="s">
        <v>18038</v>
      </c>
      <c r="J2185" s="41" t="s">
        <v>18039</v>
      </c>
      <c r="K2185" s="41" t="s">
        <v>18040</v>
      </c>
      <c r="L2185" s="41" t="s">
        <v>18041</v>
      </c>
      <c r="M2185" s="41" t="s">
        <v>18042</v>
      </c>
      <c r="N2185" s="41" t="s">
        <v>18043</v>
      </c>
      <c r="O2185" s="41" t="s">
        <v>18044</v>
      </c>
      <c r="P2185" s="41" t="s">
        <v>18045</v>
      </c>
      <c r="Q2185" s="41" t="s">
        <v>18046</v>
      </c>
      <c r="R2185" s="41" t="s">
        <v>18047</v>
      </c>
      <c r="S2185" s="41" t="s">
        <v>18048</v>
      </c>
    </row>
    <row r="2186" spans="1:19" x14ac:dyDescent="0.25">
      <c r="A2186" s="41" t="s">
        <v>23</v>
      </c>
      <c r="B2186" s="41" t="s">
        <v>18049</v>
      </c>
      <c r="D2186" s="41" t="s">
        <v>18050</v>
      </c>
      <c r="F2186" s="41" t="s">
        <v>18051</v>
      </c>
      <c r="G2186" s="41" t="s">
        <v>18052</v>
      </c>
      <c r="H2186" s="41" t="s">
        <v>18053</v>
      </c>
      <c r="I2186" s="41" t="s">
        <v>18054</v>
      </c>
      <c r="J2186" s="41" t="s">
        <v>18055</v>
      </c>
      <c r="K2186" s="41" t="s">
        <v>18056</v>
      </c>
      <c r="L2186" s="41" t="s">
        <v>891</v>
      </c>
    </row>
    <row r="2187" spans="1:19" x14ac:dyDescent="0.25">
      <c r="A2187" s="41" t="s">
        <v>23</v>
      </c>
      <c r="B2187" s="41" t="s">
        <v>18057</v>
      </c>
      <c r="D2187" s="41" t="s">
        <v>18058</v>
      </c>
      <c r="F2187" s="41" t="s">
        <v>18059</v>
      </c>
      <c r="G2187" s="41" t="s">
        <v>18060</v>
      </c>
      <c r="H2187" s="41" t="s">
        <v>18061</v>
      </c>
      <c r="I2187" s="41" t="s">
        <v>18062</v>
      </c>
      <c r="J2187" s="41" t="s">
        <v>18063</v>
      </c>
      <c r="K2187" s="41" t="s">
        <v>18064</v>
      </c>
      <c r="L2187" s="41" t="s">
        <v>1076</v>
      </c>
    </row>
    <row r="2188" spans="1:19" x14ac:dyDescent="0.25">
      <c r="A2188" s="41" t="s">
        <v>23</v>
      </c>
      <c r="B2188" s="41" t="s">
        <v>18065</v>
      </c>
      <c r="D2188" s="41" t="s">
        <v>18066</v>
      </c>
      <c r="F2188" s="41" t="s">
        <v>18067</v>
      </c>
      <c r="G2188" s="41" t="s">
        <v>18068</v>
      </c>
      <c r="H2188" s="41" t="s">
        <v>18069</v>
      </c>
      <c r="I2188" s="41" t="s">
        <v>18070</v>
      </c>
      <c r="J2188" s="41" t="s">
        <v>18071</v>
      </c>
      <c r="K2188" s="41" t="s">
        <v>18072</v>
      </c>
      <c r="L2188" s="41" t="s">
        <v>1085</v>
      </c>
    </row>
    <row r="2189" spans="1:19" x14ac:dyDescent="0.25">
      <c r="A2189" s="41" t="s">
        <v>23</v>
      </c>
      <c r="B2189" s="41" t="s">
        <v>18073</v>
      </c>
      <c r="D2189" s="41" t="s">
        <v>18074</v>
      </c>
      <c r="F2189" s="41" t="s">
        <v>18075</v>
      </c>
      <c r="G2189" s="41" t="s">
        <v>18076</v>
      </c>
      <c r="H2189" s="41" t="s">
        <v>18077</v>
      </c>
      <c r="I2189" s="41" t="s">
        <v>18078</v>
      </c>
      <c r="J2189" s="41" t="s">
        <v>18079</v>
      </c>
      <c r="K2189" s="41" t="s">
        <v>18080</v>
      </c>
      <c r="L2189" s="41" t="s">
        <v>1094</v>
      </c>
    </row>
    <row r="2190" spans="1:19" x14ac:dyDescent="0.25">
      <c r="A2190" s="41" t="s">
        <v>908</v>
      </c>
      <c r="B2190" s="41" t="s">
        <v>18081</v>
      </c>
    </row>
    <row r="2191" spans="1:19" x14ac:dyDescent="0.25">
      <c r="A2191" s="41" t="s">
        <v>23</v>
      </c>
      <c r="B2191" s="41" t="s">
        <v>18082</v>
      </c>
      <c r="F2191" s="41" t="s">
        <v>18083</v>
      </c>
      <c r="G2191" s="41" t="s">
        <v>18084</v>
      </c>
      <c r="H2191" s="41" t="s">
        <v>18085</v>
      </c>
      <c r="I2191" s="41" t="s">
        <v>18086</v>
      </c>
      <c r="J2191" s="41" t="s">
        <v>18087</v>
      </c>
      <c r="L2191" s="41" t="s">
        <v>4</v>
      </c>
    </row>
    <row r="2192" spans="1:19" x14ac:dyDescent="0.25">
      <c r="A2192" s="41" t="s">
        <v>23</v>
      </c>
      <c r="B2192" s="41" t="s">
        <v>18088</v>
      </c>
      <c r="D2192" s="41" t="s">
        <v>547</v>
      </c>
      <c r="E2192" s="41" t="s">
        <v>18090</v>
      </c>
      <c r="F2192" s="41" t="s">
        <v>18091</v>
      </c>
      <c r="G2192" s="41" t="s">
        <v>18092</v>
      </c>
      <c r="H2192" s="41" t="s">
        <v>18093</v>
      </c>
      <c r="I2192" s="41" t="s">
        <v>18094</v>
      </c>
      <c r="J2192" s="41" t="s">
        <v>18095</v>
      </c>
      <c r="K2192" s="41" t="s">
        <v>18096</v>
      </c>
      <c r="L2192" s="41" t="s">
        <v>18097</v>
      </c>
      <c r="M2192" s="41" t="s">
        <v>18098</v>
      </c>
      <c r="N2192" s="41" t="s">
        <v>18099</v>
      </c>
      <c r="O2192" s="41" t="s">
        <v>18100</v>
      </c>
      <c r="P2192" s="41" t="s">
        <v>18101</v>
      </c>
      <c r="Q2192" s="41" t="s">
        <v>18102</v>
      </c>
      <c r="R2192" s="41" t="s">
        <v>18103</v>
      </c>
      <c r="S2192" s="41" t="s">
        <v>18104</v>
      </c>
    </row>
    <row r="2193" spans="1:19" x14ac:dyDescent="0.25">
      <c r="A2193" s="41" t="s">
        <v>23</v>
      </c>
      <c r="B2193" s="41" t="s">
        <v>18105</v>
      </c>
      <c r="D2193" s="41" t="s">
        <v>18106</v>
      </c>
      <c r="F2193" s="41" t="s">
        <v>18107</v>
      </c>
      <c r="G2193" s="41" t="s">
        <v>18108</v>
      </c>
      <c r="H2193" s="41" t="s">
        <v>18109</v>
      </c>
      <c r="I2193" s="41" t="s">
        <v>18110</v>
      </c>
      <c r="J2193" s="41" t="s">
        <v>18111</v>
      </c>
      <c r="K2193" s="41" t="s">
        <v>18112</v>
      </c>
      <c r="L2193" s="41" t="s">
        <v>891</v>
      </c>
    </row>
    <row r="2194" spans="1:19" x14ac:dyDescent="0.25">
      <c r="A2194" s="41" t="s">
        <v>23</v>
      </c>
      <c r="B2194" s="41" t="s">
        <v>18113</v>
      </c>
      <c r="D2194" s="41" t="s">
        <v>18114</v>
      </c>
      <c r="F2194" s="41" t="s">
        <v>18115</v>
      </c>
      <c r="G2194" s="41" t="s">
        <v>18116</v>
      </c>
      <c r="H2194" s="41" t="s">
        <v>18117</v>
      </c>
      <c r="I2194" s="41" t="s">
        <v>18118</v>
      </c>
      <c r="J2194" s="41" t="s">
        <v>18119</v>
      </c>
      <c r="K2194" s="41" t="s">
        <v>18120</v>
      </c>
      <c r="L2194" s="41" t="s">
        <v>1076</v>
      </c>
    </row>
    <row r="2195" spans="1:19" x14ac:dyDescent="0.25">
      <c r="A2195" s="41" t="s">
        <v>23</v>
      </c>
      <c r="B2195" s="41" t="s">
        <v>18121</v>
      </c>
      <c r="D2195" s="41" t="s">
        <v>18122</v>
      </c>
      <c r="F2195" s="41" t="s">
        <v>18123</v>
      </c>
      <c r="G2195" s="41" t="s">
        <v>18124</v>
      </c>
      <c r="H2195" s="41" t="s">
        <v>18125</v>
      </c>
      <c r="I2195" s="41" t="s">
        <v>18126</v>
      </c>
      <c r="J2195" s="41" t="s">
        <v>18127</v>
      </c>
      <c r="K2195" s="41" t="s">
        <v>18128</v>
      </c>
      <c r="L2195" s="41" t="s">
        <v>1085</v>
      </c>
    </row>
    <row r="2196" spans="1:19" x14ac:dyDescent="0.25">
      <c r="A2196" s="41" t="s">
        <v>23</v>
      </c>
      <c r="B2196" s="41" t="s">
        <v>18129</v>
      </c>
      <c r="D2196" s="41" t="s">
        <v>18130</v>
      </c>
      <c r="F2196" s="41" t="s">
        <v>18131</v>
      </c>
      <c r="G2196" s="41" t="s">
        <v>18132</v>
      </c>
      <c r="H2196" s="41" t="s">
        <v>18133</v>
      </c>
      <c r="I2196" s="41" t="s">
        <v>18134</v>
      </c>
      <c r="J2196" s="41" t="s">
        <v>18135</v>
      </c>
      <c r="K2196" s="41" t="s">
        <v>18136</v>
      </c>
      <c r="L2196" s="41" t="s">
        <v>1094</v>
      </c>
    </row>
    <row r="2197" spans="1:19" x14ac:dyDescent="0.25">
      <c r="A2197" s="41" t="s">
        <v>908</v>
      </c>
      <c r="B2197" s="41" t="s">
        <v>18137</v>
      </c>
    </row>
    <row r="2198" spans="1:19" x14ac:dyDescent="0.25">
      <c r="A2198" s="41" t="s">
        <v>23</v>
      </c>
      <c r="B2198" s="41" t="s">
        <v>18138</v>
      </c>
      <c r="F2198" s="41" t="s">
        <v>18139</v>
      </c>
      <c r="G2198" s="41" t="s">
        <v>18140</v>
      </c>
      <c r="H2198" s="41" t="s">
        <v>18141</v>
      </c>
      <c r="I2198" s="41" t="s">
        <v>18142</v>
      </c>
      <c r="J2198" s="41" t="s">
        <v>18143</v>
      </c>
      <c r="L2198" s="41" t="s">
        <v>4</v>
      </c>
    </row>
    <row r="2199" spans="1:19" x14ac:dyDescent="0.25">
      <c r="A2199" s="41" t="s">
        <v>23</v>
      </c>
      <c r="B2199" s="41" t="s">
        <v>18144</v>
      </c>
      <c r="D2199" s="41" t="s">
        <v>548</v>
      </c>
      <c r="E2199" s="41" t="s">
        <v>18146</v>
      </c>
      <c r="F2199" s="41" t="s">
        <v>18147</v>
      </c>
      <c r="G2199" s="41" t="s">
        <v>18148</v>
      </c>
      <c r="H2199" s="41" t="s">
        <v>18149</v>
      </c>
      <c r="I2199" s="41" t="s">
        <v>18150</v>
      </c>
      <c r="J2199" s="41" t="s">
        <v>18151</v>
      </c>
      <c r="K2199" s="41" t="s">
        <v>18152</v>
      </c>
      <c r="L2199" s="41" t="s">
        <v>18153</v>
      </c>
      <c r="M2199" s="41" t="s">
        <v>18154</v>
      </c>
      <c r="N2199" s="41" t="s">
        <v>18155</v>
      </c>
      <c r="O2199" s="41" t="s">
        <v>18156</v>
      </c>
      <c r="P2199" s="41" t="s">
        <v>18157</v>
      </c>
      <c r="Q2199" s="41" t="s">
        <v>18158</v>
      </c>
      <c r="R2199" s="41" t="s">
        <v>18159</v>
      </c>
      <c r="S2199" s="41" t="s">
        <v>18160</v>
      </c>
    </row>
    <row r="2200" spans="1:19" x14ac:dyDescent="0.25">
      <c r="A2200" s="41" t="s">
        <v>23</v>
      </c>
      <c r="B2200" s="41" t="s">
        <v>18161</v>
      </c>
      <c r="D2200" s="41" t="s">
        <v>18162</v>
      </c>
      <c r="F2200" s="41" t="s">
        <v>18163</v>
      </c>
      <c r="G2200" s="41" t="s">
        <v>18164</v>
      </c>
      <c r="H2200" s="41" t="s">
        <v>18165</v>
      </c>
      <c r="I2200" s="41" t="s">
        <v>18166</v>
      </c>
      <c r="J2200" s="41" t="s">
        <v>18167</v>
      </c>
      <c r="K2200" s="41" t="s">
        <v>18168</v>
      </c>
      <c r="L2200" s="41" t="s">
        <v>891</v>
      </c>
    </row>
    <row r="2201" spans="1:19" x14ac:dyDescent="0.25">
      <c r="A2201" s="41" t="s">
        <v>23</v>
      </c>
      <c r="B2201" s="41" t="s">
        <v>18169</v>
      </c>
      <c r="D2201" s="41" t="s">
        <v>18170</v>
      </c>
      <c r="F2201" s="41" t="s">
        <v>18171</v>
      </c>
      <c r="G2201" s="41" t="s">
        <v>18172</v>
      </c>
      <c r="H2201" s="41" t="s">
        <v>18173</v>
      </c>
      <c r="I2201" s="41" t="s">
        <v>18174</v>
      </c>
      <c r="J2201" s="41" t="s">
        <v>18175</v>
      </c>
      <c r="K2201" s="41" t="s">
        <v>18176</v>
      </c>
      <c r="L2201" s="41" t="s">
        <v>1076</v>
      </c>
    </row>
    <row r="2202" spans="1:19" x14ac:dyDescent="0.25">
      <c r="A2202" s="41" t="s">
        <v>23</v>
      </c>
      <c r="B2202" s="41" t="s">
        <v>18177</v>
      </c>
      <c r="D2202" s="41" t="s">
        <v>18178</v>
      </c>
      <c r="F2202" s="41" t="s">
        <v>18179</v>
      </c>
      <c r="G2202" s="41" t="s">
        <v>18180</v>
      </c>
      <c r="H2202" s="41" t="s">
        <v>18181</v>
      </c>
      <c r="I2202" s="41" t="s">
        <v>18182</v>
      </c>
      <c r="J2202" s="41" t="s">
        <v>18183</v>
      </c>
      <c r="K2202" s="41" t="s">
        <v>18184</v>
      </c>
      <c r="L2202" s="41" t="s">
        <v>1085</v>
      </c>
    </row>
    <row r="2203" spans="1:19" x14ac:dyDescent="0.25">
      <c r="A2203" s="41" t="s">
        <v>23</v>
      </c>
      <c r="B2203" s="41" t="s">
        <v>18185</v>
      </c>
      <c r="D2203" s="41" t="s">
        <v>18186</v>
      </c>
      <c r="F2203" s="41" t="s">
        <v>18187</v>
      </c>
      <c r="G2203" s="41" t="s">
        <v>18188</v>
      </c>
      <c r="H2203" s="41" t="s">
        <v>18189</v>
      </c>
      <c r="I2203" s="41" t="s">
        <v>18190</v>
      </c>
      <c r="J2203" s="41" t="s">
        <v>18191</v>
      </c>
      <c r="K2203" s="41" t="s">
        <v>18192</v>
      </c>
      <c r="L2203" s="41" t="s">
        <v>1094</v>
      </c>
    </row>
    <row r="2204" spans="1:19" x14ac:dyDescent="0.25">
      <c r="A2204" s="41" t="s">
        <v>908</v>
      </c>
      <c r="B2204" s="41" t="s">
        <v>18193</v>
      </c>
    </row>
    <row r="2205" spans="1:19" x14ac:dyDescent="0.25">
      <c r="A2205" s="41" t="s">
        <v>23</v>
      </c>
      <c r="B2205" s="41" t="s">
        <v>18194</v>
      </c>
      <c r="F2205" s="41" t="s">
        <v>18195</v>
      </c>
      <c r="G2205" s="41" t="s">
        <v>18196</v>
      </c>
      <c r="H2205" s="41" t="s">
        <v>18197</v>
      </c>
      <c r="I2205" s="41" t="s">
        <v>18198</v>
      </c>
      <c r="J2205" s="41" t="s">
        <v>18199</v>
      </c>
      <c r="L2205" s="41" t="s">
        <v>4</v>
      </c>
    </row>
    <row r="2206" spans="1:19" x14ac:dyDescent="0.25">
      <c r="A2206" s="41" t="s">
        <v>23</v>
      </c>
      <c r="B2206" s="41" t="s">
        <v>18200</v>
      </c>
      <c r="D2206" s="41" t="s">
        <v>18089</v>
      </c>
      <c r="E2206" s="41" t="s">
        <v>18201</v>
      </c>
      <c r="F2206" s="41" t="s">
        <v>18202</v>
      </c>
      <c r="G2206" s="41" t="s">
        <v>18203</v>
      </c>
      <c r="H2206" s="41" t="s">
        <v>18204</v>
      </c>
      <c r="I2206" s="41" t="s">
        <v>18205</v>
      </c>
      <c r="J2206" s="41" t="s">
        <v>18206</v>
      </c>
      <c r="K2206" s="41" t="s">
        <v>18207</v>
      </c>
      <c r="L2206" s="41" t="s">
        <v>18208</v>
      </c>
      <c r="M2206" s="41" t="s">
        <v>18209</v>
      </c>
      <c r="N2206" s="41" t="s">
        <v>18210</v>
      </c>
      <c r="O2206" s="41" t="s">
        <v>18211</v>
      </c>
      <c r="P2206" s="41" t="s">
        <v>18212</v>
      </c>
      <c r="Q2206" s="41" t="s">
        <v>18213</v>
      </c>
      <c r="R2206" s="41" t="s">
        <v>18214</v>
      </c>
      <c r="S2206" s="41" t="s">
        <v>18215</v>
      </c>
    </row>
    <row r="2207" spans="1:19" x14ac:dyDescent="0.25">
      <c r="A2207" s="41" t="s">
        <v>23</v>
      </c>
      <c r="B2207" s="41" t="s">
        <v>18216</v>
      </c>
      <c r="D2207" s="41" t="s">
        <v>18217</v>
      </c>
      <c r="F2207" s="41" t="s">
        <v>18218</v>
      </c>
      <c r="G2207" s="41" t="s">
        <v>18219</v>
      </c>
      <c r="H2207" s="41" t="s">
        <v>18220</v>
      </c>
      <c r="I2207" s="41" t="s">
        <v>18221</v>
      </c>
      <c r="J2207" s="41" t="s">
        <v>18222</v>
      </c>
      <c r="K2207" s="41" t="s">
        <v>18223</v>
      </c>
      <c r="L2207" s="41" t="s">
        <v>891</v>
      </c>
    </row>
    <row r="2208" spans="1:19" x14ac:dyDescent="0.25">
      <c r="A2208" s="41" t="s">
        <v>23</v>
      </c>
      <c r="B2208" s="41" t="s">
        <v>18224</v>
      </c>
      <c r="D2208" s="41" t="s">
        <v>18225</v>
      </c>
      <c r="F2208" s="41" t="s">
        <v>18226</v>
      </c>
      <c r="G2208" s="41" t="s">
        <v>18227</v>
      </c>
      <c r="H2208" s="41" t="s">
        <v>18228</v>
      </c>
      <c r="I2208" s="41" t="s">
        <v>18229</v>
      </c>
      <c r="J2208" s="41" t="s">
        <v>18230</v>
      </c>
      <c r="K2208" s="41" t="s">
        <v>18231</v>
      </c>
      <c r="L2208" s="41" t="s">
        <v>1076</v>
      </c>
    </row>
    <row r="2209" spans="1:19" x14ac:dyDescent="0.25">
      <c r="A2209" s="41" t="s">
        <v>23</v>
      </c>
      <c r="B2209" s="41" t="s">
        <v>18232</v>
      </c>
      <c r="D2209" s="41" t="s">
        <v>18233</v>
      </c>
      <c r="F2209" s="41" t="s">
        <v>18234</v>
      </c>
      <c r="G2209" s="41" t="s">
        <v>18235</v>
      </c>
      <c r="H2209" s="41" t="s">
        <v>18236</v>
      </c>
      <c r="I2209" s="41" t="s">
        <v>18237</v>
      </c>
      <c r="J2209" s="41" t="s">
        <v>18238</v>
      </c>
      <c r="K2209" s="41" t="s">
        <v>18239</v>
      </c>
      <c r="L2209" s="41" t="s">
        <v>1085</v>
      </c>
    </row>
    <row r="2210" spans="1:19" x14ac:dyDescent="0.25">
      <c r="A2210" s="41" t="s">
        <v>23</v>
      </c>
      <c r="B2210" s="41" t="s">
        <v>18240</v>
      </c>
      <c r="D2210" s="41" t="s">
        <v>18241</v>
      </c>
      <c r="F2210" s="41" t="s">
        <v>18242</v>
      </c>
      <c r="G2210" s="41" t="s">
        <v>18243</v>
      </c>
      <c r="H2210" s="41" t="s">
        <v>18244</v>
      </c>
      <c r="I2210" s="41" t="s">
        <v>18245</v>
      </c>
      <c r="J2210" s="41" t="s">
        <v>18246</v>
      </c>
      <c r="K2210" s="41" t="s">
        <v>18247</v>
      </c>
      <c r="L2210" s="41" t="s">
        <v>1094</v>
      </c>
    </row>
    <row r="2211" spans="1:19" x14ac:dyDescent="0.25">
      <c r="A2211" s="41" t="s">
        <v>908</v>
      </c>
      <c r="B2211" s="41" t="s">
        <v>18248</v>
      </c>
    </row>
    <row r="2212" spans="1:19" x14ac:dyDescent="0.25">
      <c r="A2212" s="41" t="s">
        <v>23</v>
      </c>
      <c r="B2212" s="41" t="s">
        <v>18249</v>
      </c>
      <c r="F2212" s="41" t="s">
        <v>18250</v>
      </c>
      <c r="G2212" s="41" t="s">
        <v>18251</v>
      </c>
      <c r="H2212" s="41" t="s">
        <v>18252</v>
      </c>
      <c r="I2212" s="41" t="s">
        <v>18253</v>
      </c>
      <c r="J2212" s="41" t="s">
        <v>18254</v>
      </c>
      <c r="L2212" s="41" t="s">
        <v>4</v>
      </c>
    </row>
    <row r="2213" spans="1:19" x14ac:dyDescent="0.25">
      <c r="A2213" s="41" t="s">
        <v>23</v>
      </c>
      <c r="B2213" s="41" t="s">
        <v>18255</v>
      </c>
      <c r="D2213" s="41" t="s">
        <v>18145</v>
      </c>
      <c r="E2213" s="41" t="s">
        <v>18256</v>
      </c>
      <c r="F2213" s="41" t="s">
        <v>18257</v>
      </c>
      <c r="G2213" s="41" t="s">
        <v>18258</v>
      </c>
      <c r="H2213" s="41" t="s">
        <v>18259</v>
      </c>
      <c r="I2213" s="41" t="s">
        <v>18260</v>
      </c>
      <c r="J2213" s="41" t="s">
        <v>18261</v>
      </c>
      <c r="K2213" s="41" t="s">
        <v>18262</v>
      </c>
      <c r="L2213" s="41" t="s">
        <v>18263</v>
      </c>
      <c r="M2213" s="41" t="s">
        <v>18264</v>
      </c>
      <c r="N2213" s="41" t="s">
        <v>18265</v>
      </c>
      <c r="O2213" s="41" t="s">
        <v>18266</v>
      </c>
      <c r="P2213" s="41" t="s">
        <v>18267</v>
      </c>
      <c r="Q2213" s="41" t="s">
        <v>18268</v>
      </c>
      <c r="R2213" s="41" t="s">
        <v>18269</v>
      </c>
      <c r="S2213" s="41" t="s">
        <v>18270</v>
      </c>
    </row>
    <row r="2214" spans="1:19" x14ac:dyDescent="0.25">
      <c r="A2214" s="41" t="s">
        <v>23</v>
      </c>
      <c r="B2214" s="41" t="s">
        <v>18271</v>
      </c>
      <c r="D2214" s="41" t="s">
        <v>18272</v>
      </c>
      <c r="F2214" s="41" t="s">
        <v>18273</v>
      </c>
      <c r="G2214" s="41" t="s">
        <v>18274</v>
      </c>
      <c r="H2214" s="41" t="s">
        <v>18275</v>
      </c>
      <c r="I2214" s="41" t="s">
        <v>18276</v>
      </c>
      <c r="J2214" s="41" t="s">
        <v>18277</v>
      </c>
      <c r="K2214" s="41" t="s">
        <v>18278</v>
      </c>
      <c r="L2214" s="41" t="s">
        <v>891</v>
      </c>
    </row>
    <row r="2215" spans="1:19" x14ac:dyDescent="0.25">
      <c r="A2215" s="41" t="s">
        <v>23</v>
      </c>
      <c r="B2215" s="41" t="s">
        <v>18279</v>
      </c>
      <c r="D2215" s="41" t="s">
        <v>18280</v>
      </c>
      <c r="F2215" s="41" t="s">
        <v>18281</v>
      </c>
      <c r="G2215" s="41" t="s">
        <v>18282</v>
      </c>
      <c r="H2215" s="41" t="s">
        <v>18283</v>
      </c>
      <c r="I2215" s="41" t="s">
        <v>18284</v>
      </c>
      <c r="J2215" s="41" t="s">
        <v>18285</v>
      </c>
      <c r="K2215" s="41" t="s">
        <v>18286</v>
      </c>
      <c r="L2215" s="41" t="s">
        <v>1076</v>
      </c>
    </row>
    <row r="2216" spans="1:19" x14ac:dyDescent="0.25">
      <c r="A2216" s="41" t="s">
        <v>23</v>
      </c>
      <c r="B2216" s="41" t="s">
        <v>18287</v>
      </c>
      <c r="D2216" s="41" t="s">
        <v>18288</v>
      </c>
      <c r="F2216" s="41" t="s">
        <v>18289</v>
      </c>
      <c r="G2216" s="41" t="s">
        <v>18290</v>
      </c>
      <c r="H2216" s="41" t="s">
        <v>18291</v>
      </c>
      <c r="I2216" s="41" t="s">
        <v>18292</v>
      </c>
      <c r="J2216" s="41" t="s">
        <v>18293</v>
      </c>
      <c r="K2216" s="41" t="s">
        <v>18294</v>
      </c>
      <c r="L2216" s="41" t="s">
        <v>1085</v>
      </c>
    </row>
    <row r="2217" spans="1:19" x14ac:dyDescent="0.25">
      <c r="A2217" s="41" t="s">
        <v>23</v>
      </c>
      <c r="B2217" s="41" t="s">
        <v>18295</v>
      </c>
      <c r="D2217" s="41" t="s">
        <v>18296</v>
      </c>
      <c r="F2217" s="41" t="s">
        <v>18297</v>
      </c>
      <c r="G2217" s="41" t="s">
        <v>18298</v>
      </c>
      <c r="H2217" s="41" t="s">
        <v>18299</v>
      </c>
      <c r="I2217" s="41" t="s">
        <v>18300</v>
      </c>
      <c r="J2217" s="41" t="s">
        <v>18301</v>
      </c>
      <c r="K2217" s="41" t="s">
        <v>18302</v>
      </c>
      <c r="L2217" s="41" t="s">
        <v>1094</v>
      </c>
    </row>
    <row r="2218" spans="1:19" x14ac:dyDescent="0.25">
      <c r="A2218" s="41" t="s">
        <v>908</v>
      </c>
      <c r="B2218" s="41" t="s">
        <v>18303</v>
      </c>
    </row>
    <row r="2219" spans="1:19" x14ac:dyDescent="0.25">
      <c r="A2219" s="41" t="s">
        <v>23</v>
      </c>
      <c r="B2219" s="41" t="s">
        <v>18304</v>
      </c>
      <c r="F2219" s="41" t="s">
        <v>18305</v>
      </c>
      <c r="G2219" s="41" t="s">
        <v>18306</v>
      </c>
      <c r="H2219" s="41" t="s">
        <v>18307</v>
      </c>
      <c r="I2219" s="41" t="s">
        <v>18308</v>
      </c>
      <c r="J2219" s="41" t="s">
        <v>18309</v>
      </c>
      <c r="L2219" s="41" t="s">
        <v>4</v>
      </c>
    </row>
    <row r="2220" spans="1:19" x14ac:dyDescent="0.25">
      <c r="A2220" s="41" t="s">
        <v>23</v>
      </c>
      <c r="B2220" s="41" t="s">
        <v>18310</v>
      </c>
      <c r="D2220" s="41" t="s">
        <v>860</v>
      </c>
      <c r="E2220" s="41" t="s">
        <v>18311</v>
      </c>
      <c r="F2220" s="41" t="s">
        <v>18312</v>
      </c>
      <c r="G2220" s="41" t="s">
        <v>18313</v>
      </c>
      <c r="H2220" s="41" t="s">
        <v>18314</v>
      </c>
      <c r="I2220" s="41" t="s">
        <v>18315</v>
      </c>
      <c r="J2220" s="41" t="s">
        <v>18316</v>
      </c>
      <c r="K2220" s="41" t="s">
        <v>18317</v>
      </c>
      <c r="L2220" s="41" t="s">
        <v>18318</v>
      </c>
      <c r="M2220" s="41" t="s">
        <v>18319</v>
      </c>
      <c r="N2220" s="41" t="s">
        <v>18320</v>
      </c>
      <c r="O2220" s="41" t="s">
        <v>18321</v>
      </c>
      <c r="P2220" s="41" t="s">
        <v>18322</v>
      </c>
      <c r="Q2220" s="41" t="s">
        <v>18323</v>
      </c>
      <c r="R2220" s="41" t="s">
        <v>18324</v>
      </c>
      <c r="S2220" s="41" t="s">
        <v>18325</v>
      </c>
    </row>
    <row r="2221" spans="1:19" x14ac:dyDescent="0.25">
      <c r="A2221" s="41" t="s">
        <v>23</v>
      </c>
      <c r="B2221" s="41" t="s">
        <v>18326</v>
      </c>
      <c r="D2221" s="41" t="s">
        <v>18327</v>
      </c>
      <c r="F2221" s="41" t="s">
        <v>18328</v>
      </c>
      <c r="G2221" s="41" t="s">
        <v>18329</v>
      </c>
      <c r="H2221" s="41" t="s">
        <v>18330</v>
      </c>
      <c r="I2221" s="41" t="s">
        <v>18331</v>
      </c>
      <c r="J2221" s="41" t="s">
        <v>18332</v>
      </c>
      <c r="K2221" s="41" t="s">
        <v>18333</v>
      </c>
      <c r="L2221" s="41" t="s">
        <v>891</v>
      </c>
    </row>
    <row r="2222" spans="1:19" x14ac:dyDescent="0.25">
      <c r="A2222" s="41" t="s">
        <v>23</v>
      </c>
      <c r="B2222" s="41" t="s">
        <v>18334</v>
      </c>
      <c r="D2222" s="41" t="s">
        <v>18335</v>
      </c>
      <c r="F2222" s="41" t="s">
        <v>18336</v>
      </c>
      <c r="G2222" s="41" t="s">
        <v>18337</v>
      </c>
      <c r="H2222" s="41" t="s">
        <v>18338</v>
      </c>
      <c r="I2222" s="41" t="s">
        <v>18339</v>
      </c>
      <c r="J2222" s="41" t="s">
        <v>18340</v>
      </c>
      <c r="K2222" s="41" t="s">
        <v>18341</v>
      </c>
      <c r="L2222" s="41" t="s">
        <v>1076</v>
      </c>
    </row>
    <row r="2223" spans="1:19" x14ac:dyDescent="0.25">
      <c r="A2223" s="41" t="s">
        <v>23</v>
      </c>
      <c r="B2223" s="41" t="s">
        <v>18342</v>
      </c>
      <c r="D2223" s="41" t="s">
        <v>18343</v>
      </c>
      <c r="F2223" s="41" t="s">
        <v>18344</v>
      </c>
      <c r="G2223" s="41" t="s">
        <v>18345</v>
      </c>
      <c r="H2223" s="41" t="s">
        <v>18346</v>
      </c>
      <c r="I2223" s="41" t="s">
        <v>18347</v>
      </c>
      <c r="J2223" s="41" t="s">
        <v>18348</v>
      </c>
      <c r="K2223" s="41" t="s">
        <v>18349</v>
      </c>
      <c r="L2223" s="41" t="s">
        <v>1085</v>
      </c>
    </row>
    <row r="2224" spans="1:19" x14ac:dyDescent="0.25">
      <c r="A2224" s="41" t="s">
        <v>23</v>
      </c>
      <c r="B2224" s="41" t="s">
        <v>18350</v>
      </c>
      <c r="D2224" s="41" t="s">
        <v>18351</v>
      </c>
      <c r="F2224" s="41" t="s">
        <v>18352</v>
      </c>
      <c r="G2224" s="41" t="s">
        <v>18353</v>
      </c>
      <c r="H2224" s="41" t="s">
        <v>18354</v>
      </c>
      <c r="I2224" s="41" t="s">
        <v>18355</v>
      </c>
      <c r="J2224" s="41" t="s">
        <v>18356</v>
      </c>
      <c r="K2224" s="41" t="s">
        <v>18357</v>
      </c>
      <c r="L2224" s="41" t="s">
        <v>1094</v>
      </c>
    </row>
    <row r="2225" spans="1:19" x14ac:dyDescent="0.25">
      <c r="A2225" s="41" t="s">
        <v>908</v>
      </c>
      <c r="B2225" s="41" t="s">
        <v>18358</v>
      </c>
    </row>
    <row r="2226" spans="1:19" x14ac:dyDescent="0.25">
      <c r="A2226" s="41" t="s">
        <v>23</v>
      </c>
      <c r="B2226" s="41" t="s">
        <v>18359</v>
      </c>
      <c r="F2226" s="41" t="s">
        <v>18360</v>
      </c>
      <c r="G2226" s="41" t="s">
        <v>18361</v>
      </c>
      <c r="H2226" s="41" t="s">
        <v>18362</v>
      </c>
      <c r="I2226" s="41" t="s">
        <v>18363</v>
      </c>
      <c r="J2226" s="41" t="s">
        <v>18364</v>
      </c>
      <c r="L2226" s="41" t="s">
        <v>4</v>
      </c>
    </row>
    <row r="2227" spans="1:19" x14ac:dyDescent="0.25">
      <c r="A2227" s="41" t="s">
        <v>23</v>
      </c>
      <c r="B2227" s="41" t="s">
        <v>18365</v>
      </c>
      <c r="D2227" s="41" t="s">
        <v>861</v>
      </c>
      <c r="E2227" s="41" t="s">
        <v>18366</v>
      </c>
      <c r="F2227" s="41" t="s">
        <v>18367</v>
      </c>
      <c r="G2227" s="41" t="s">
        <v>18368</v>
      </c>
      <c r="H2227" s="41" t="s">
        <v>18369</v>
      </c>
      <c r="I2227" s="41" t="s">
        <v>18370</v>
      </c>
      <c r="J2227" s="41" t="s">
        <v>18371</v>
      </c>
      <c r="K2227" s="41" t="s">
        <v>18372</v>
      </c>
      <c r="L2227" s="41" t="s">
        <v>18373</v>
      </c>
      <c r="M2227" s="41" t="s">
        <v>18374</v>
      </c>
      <c r="N2227" s="41" t="s">
        <v>18375</v>
      </c>
      <c r="O2227" s="41" t="s">
        <v>18376</v>
      </c>
      <c r="P2227" s="41" t="s">
        <v>18377</v>
      </c>
      <c r="Q2227" s="41" t="s">
        <v>18378</v>
      </c>
      <c r="R2227" s="41" t="s">
        <v>18379</v>
      </c>
      <c r="S2227" s="41" t="s">
        <v>18380</v>
      </c>
    </row>
    <row r="2228" spans="1:19" x14ac:dyDescent="0.25">
      <c r="A2228" s="41" t="s">
        <v>23</v>
      </c>
      <c r="B2228" s="41" t="s">
        <v>18381</v>
      </c>
      <c r="D2228" s="41" t="s">
        <v>18382</v>
      </c>
      <c r="F2228" s="41" t="s">
        <v>18383</v>
      </c>
      <c r="G2228" s="41" t="s">
        <v>18384</v>
      </c>
      <c r="H2228" s="41" t="s">
        <v>18385</v>
      </c>
      <c r="I2228" s="41" t="s">
        <v>18386</v>
      </c>
      <c r="J2228" s="41" t="s">
        <v>18387</v>
      </c>
      <c r="K2228" s="41" t="s">
        <v>18388</v>
      </c>
      <c r="L2228" s="41" t="s">
        <v>891</v>
      </c>
    </row>
    <row r="2229" spans="1:19" x14ac:dyDescent="0.25">
      <c r="A2229" s="41" t="s">
        <v>23</v>
      </c>
      <c r="B2229" s="41" t="s">
        <v>18389</v>
      </c>
      <c r="D2229" s="41" t="s">
        <v>18390</v>
      </c>
      <c r="F2229" s="41" t="s">
        <v>18391</v>
      </c>
      <c r="G2229" s="41" t="s">
        <v>18392</v>
      </c>
      <c r="H2229" s="41" t="s">
        <v>18393</v>
      </c>
      <c r="I2229" s="41" t="s">
        <v>18394</v>
      </c>
      <c r="J2229" s="41" t="s">
        <v>18395</v>
      </c>
      <c r="K2229" s="41" t="s">
        <v>18396</v>
      </c>
      <c r="L2229" s="41" t="s">
        <v>1076</v>
      </c>
    </row>
    <row r="2230" spans="1:19" x14ac:dyDescent="0.25">
      <c r="A2230" s="41" t="s">
        <v>23</v>
      </c>
      <c r="B2230" s="41" t="s">
        <v>18397</v>
      </c>
      <c r="D2230" s="41" t="s">
        <v>18398</v>
      </c>
      <c r="F2230" s="41" t="s">
        <v>18399</v>
      </c>
      <c r="G2230" s="41" t="s">
        <v>18400</v>
      </c>
      <c r="H2230" s="41" t="s">
        <v>18401</v>
      </c>
      <c r="I2230" s="41" t="s">
        <v>18402</v>
      </c>
      <c r="J2230" s="41" t="s">
        <v>18403</v>
      </c>
      <c r="K2230" s="41" t="s">
        <v>18404</v>
      </c>
      <c r="L2230" s="41" t="s">
        <v>1085</v>
      </c>
    </row>
    <row r="2231" spans="1:19" x14ac:dyDescent="0.25">
      <c r="A2231" s="41" t="s">
        <v>23</v>
      </c>
      <c r="B2231" s="41" t="s">
        <v>18405</v>
      </c>
      <c r="D2231" s="41" t="s">
        <v>18406</v>
      </c>
      <c r="F2231" s="41" t="s">
        <v>18407</v>
      </c>
      <c r="G2231" s="41" t="s">
        <v>18408</v>
      </c>
      <c r="H2231" s="41" t="s">
        <v>18409</v>
      </c>
      <c r="I2231" s="41" t="s">
        <v>18410</v>
      </c>
      <c r="J2231" s="41" t="s">
        <v>18411</v>
      </c>
      <c r="K2231" s="41" t="s">
        <v>18412</v>
      </c>
      <c r="L2231" s="41" t="s">
        <v>1094</v>
      </c>
    </row>
    <row r="2232" spans="1:19" x14ac:dyDescent="0.25">
      <c r="A2232" s="41" t="s">
        <v>908</v>
      </c>
      <c r="B2232" s="41" t="s">
        <v>18413</v>
      </c>
    </row>
    <row r="2233" spans="1:19" x14ac:dyDescent="0.25">
      <c r="A2233" s="41" t="s">
        <v>23</v>
      </c>
      <c r="B2233" s="41" t="s">
        <v>18414</v>
      </c>
      <c r="F2233" s="41" t="s">
        <v>18415</v>
      </c>
      <c r="G2233" s="41" t="s">
        <v>18416</v>
      </c>
      <c r="H2233" s="41" t="s">
        <v>18417</v>
      </c>
      <c r="I2233" s="41" t="s">
        <v>18418</v>
      </c>
      <c r="J2233" s="41" t="s">
        <v>18419</v>
      </c>
      <c r="L2233" s="41" t="s">
        <v>4</v>
      </c>
    </row>
    <row r="2234" spans="1:19" x14ac:dyDescent="0.25">
      <c r="A2234" s="41" t="s">
        <v>23</v>
      </c>
      <c r="B2234" s="41" t="s">
        <v>18420</v>
      </c>
      <c r="D2234" s="41" t="s">
        <v>436</v>
      </c>
      <c r="E2234" s="41" t="s">
        <v>18421</v>
      </c>
      <c r="F2234" s="41" t="s">
        <v>18422</v>
      </c>
      <c r="G2234" s="41" t="s">
        <v>18423</v>
      </c>
      <c r="H2234" s="41" t="s">
        <v>18424</v>
      </c>
      <c r="I2234" s="41" t="s">
        <v>18425</v>
      </c>
      <c r="J2234" s="41" t="s">
        <v>18426</v>
      </c>
      <c r="K2234" s="41" t="s">
        <v>18427</v>
      </c>
      <c r="L2234" s="41" t="s">
        <v>18428</v>
      </c>
      <c r="M2234" s="41" t="s">
        <v>18429</v>
      </c>
      <c r="N2234" s="41" t="s">
        <v>18430</v>
      </c>
      <c r="O2234" s="41" t="s">
        <v>18431</v>
      </c>
      <c r="P2234" s="41" t="s">
        <v>18432</v>
      </c>
      <c r="Q2234" s="41" t="s">
        <v>18433</v>
      </c>
      <c r="R2234" s="41" t="s">
        <v>18434</v>
      </c>
      <c r="S2234" s="41" t="s">
        <v>18435</v>
      </c>
    </row>
    <row r="2235" spans="1:19" x14ac:dyDescent="0.25">
      <c r="A2235" s="41" t="s">
        <v>23</v>
      </c>
      <c r="B2235" s="41" t="s">
        <v>18436</v>
      </c>
      <c r="D2235" s="41" t="s">
        <v>18437</v>
      </c>
      <c r="F2235" s="41" t="s">
        <v>18438</v>
      </c>
      <c r="G2235" s="41" t="s">
        <v>18439</v>
      </c>
      <c r="H2235" s="41" t="s">
        <v>18440</v>
      </c>
      <c r="I2235" s="41" t="s">
        <v>18441</v>
      </c>
      <c r="J2235" s="41" t="s">
        <v>18442</v>
      </c>
      <c r="K2235" s="41" t="s">
        <v>18443</v>
      </c>
      <c r="L2235" s="41" t="s">
        <v>891</v>
      </c>
    </row>
    <row r="2236" spans="1:19" x14ac:dyDescent="0.25">
      <c r="A2236" s="41" t="s">
        <v>23</v>
      </c>
      <c r="B2236" s="41" t="s">
        <v>18444</v>
      </c>
      <c r="D2236" s="41" t="s">
        <v>18445</v>
      </c>
      <c r="F2236" s="41" t="s">
        <v>18446</v>
      </c>
      <c r="G2236" s="41" t="s">
        <v>18447</v>
      </c>
      <c r="H2236" s="41" t="s">
        <v>18448</v>
      </c>
      <c r="I2236" s="41" t="s">
        <v>18449</v>
      </c>
      <c r="J2236" s="41" t="s">
        <v>18450</v>
      </c>
      <c r="K2236" s="41" t="s">
        <v>18451</v>
      </c>
      <c r="L2236" s="41" t="s">
        <v>1076</v>
      </c>
    </row>
    <row r="2237" spans="1:19" x14ac:dyDescent="0.25">
      <c r="A2237" s="41" t="s">
        <v>23</v>
      </c>
      <c r="B2237" s="41" t="s">
        <v>18452</v>
      </c>
      <c r="D2237" s="41" t="s">
        <v>18453</v>
      </c>
      <c r="F2237" s="41" t="s">
        <v>18454</v>
      </c>
      <c r="G2237" s="41" t="s">
        <v>18455</v>
      </c>
      <c r="H2237" s="41" t="s">
        <v>18456</v>
      </c>
      <c r="I2237" s="41" t="s">
        <v>18457</v>
      </c>
      <c r="J2237" s="41" t="s">
        <v>18458</v>
      </c>
      <c r="K2237" s="41" t="s">
        <v>18459</v>
      </c>
      <c r="L2237" s="41" t="s">
        <v>1085</v>
      </c>
    </row>
    <row r="2238" spans="1:19" x14ac:dyDescent="0.25">
      <c r="A2238" s="41" t="s">
        <v>23</v>
      </c>
      <c r="B2238" s="41" t="s">
        <v>18460</v>
      </c>
      <c r="D2238" s="41" t="s">
        <v>18461</v>
      </c>
      <c r="F2238" s="41" t="s">
        <v>18462</v>
      </c>
      <c r="G2238" s="41" t="s">
        <v>18463</v>
      </c>
      <c r="H2238" s="41" t="s">
        <v>18464</v>
      </c>
      <c r="I2238" s="41" t="s">
        <v>18465</v>
      </c>
      <c r="J2238" s="41" t="s">
        <v>18466</v>
      </c>
      <c r="K2238" s="41" t="s">
        <v>18467</v>
      </c>
      <c r="L2238" s="41" t="s">
        <v>1094</v>
      </c>
    </row>
    <row r="2239" spans="1:19" x14ac:dyDescent="0.25">
      <c r="A2239" s="41" t="s">
        <v>908</v>
      </c>
      <c r="B2239" s="41" t="s">
        <v>18468</v>
      </c>
    </row>
    <row r="2240" spans="1:19" x14ac:dyDescent="0.25">
      <c r="A2240" s="41" t="s">
        <v>23</v>
      </c>
      <c r="B2240" s="41" t="s">
        <v>18469</v>
      </c>
      <c r="F2240" s="41" t="s">
        <v>18470</v>
      </c>
      <c r="G2240" s="41" t="s">
        <v>18471</v>
      </c>
      <c r="H2240" s="41" t="s">
        <v>18472</v>
      </c>
      <c r="I2240" s="41" t="s">
        <v>18473</v>
      </c>
      <c r="J2240" s="41" t="s">
        <v>18474</v>
      </c>
      <c r="L2240" s="41" t="s">
        <v>4</v>
      </c>
    </row>
    <row r="2241" spans="1:19" x14ac:dyDescent="0.25">
      <c r="A2241" s="41" t="s">
        <v>23</v>
      </c>
      <c r="B2241" s="41" t="s">
        <v>18475</v>
      </c>
      <c r="D2241" s="41" t="s">
        <v>437</v>
      </c>
      <c r="E2241" s="41" t="s">
        <v>18477</v>
      </c>
      <c r="F2241" s="41" t="s">
        <v>18478</v>
      </c>
      <c r="G2241" s="41" t="s">
        <v>18479</v>
      </c>
      <c r="H2241" s="41" t="s">
        <v>18480</v>
      </c>
      <c r="I2241" s="41" t="s">
        <v>18481</v>
      </c>
      <c r="J2241" s="41" t="s">
        <v>18482</v>
      </c>
      <c r="K2241" s="41" t="s">
        <v>18483</v>
      </c>
      <c r="L2241" s="41" t="s">
        <v>18484</v>
      </c>
      <c r="M2241" s="41" t="s">
        <v>18485</v>
      </c>
      <c r="N2241" s="41" t="s">
        <v>18486</v>
      </c>
      <c r="O2241" s="41" t="s">
        <v>18487</v>
      </c>
      <c r="P2241" s="41" t="s">
        <v>18488</v>
      </c>
      <c r="Q2241" s="41" t="s">
        <v>18489</v>
      </c>
      <c r="R2241" s="41" t="s">
        <v>18490</v>
      </c>
      <c r="S2241" s="41" t="s">
        <v>18491</v>
      </c>
    </row>
    <row r="2242" spans="1:19" x14ac:dyDescent="0.25">
      <c r="A2242" s="41" t="s">
        <v>23</v>
      </c>
      <c r="B2242" s="41" t="s">
        <v>18492</v>
      </c>
      <c r="D2242" s="41" t="s">
        <v>18493</v>
      </c>
      <c r="F2242" s="41" t="s">
        <v>18494</v>
      </c>
      <c r="G2242" s="41" t="s">
        <v>18495</v>
      </c>
      <c r="H2242" s="41" t="s">
        <v>18496</v>
      </c>
      <c r="I2242" s="41" t="s">
        <v>18497</v>
      </c>
      <c r="J2242" s="41" t="s">
        <v>18498</v>
      </c>
      <c r="K2242" s="41" t="s">
        <v>18499</v>
      </c>
      <c r="L2242" s="41" t="s">
        <v>891</v>
      </c>
    </row>
    <row r="2243" spans="1:19" x14ac:dyDescent="0.25">
      <c r="A2243" s="41" t="s">
        <v>23</v>
      </c>
      <c r="B2243" s="41" t="s">
        <v>18500</v>
      </c>
      <c r="D2243" s="41" t="s">
        <v>18501</v>
      </c>
      <c r="F2243" s="41" t="s">
        <v>18502</v>
      </c>
      <c r="G2243" s="41" t="s">
        <v>18503</v>
      </c>
      <c r="H2243" s="41" t="s">
        <v>18504</v>
      </c>
      <c r="I2243" s="41" t="s">
        <v>18505</v>
      </c>
      <c r="J2243" s="41" t="s">
        <v>18506</v>
      </c>
      <c r="K2243" s="41" t="s">
        <v>18507</v>
      </c>
      <c r="L2243" s="41" t="s">
        <v>1076</v>
      </c>
    </row>
    <row r="2244" spans="1:19" x14ac:dyDescent="0.25">
      <c r="A2244" s="41" t="s">
        <v>23</v>
      </c>
      <c r="B2244" s="41" t="s">
        <v>18508</v>
      </c>
      <c r="D2244" s="41" t="s">
        <v>18509</v>
      </c>
      <c r="F2244" s="41" t="s">
        <v>18510</v>
      </c>
      <c r="G2244" s="41" t="s">
        <v>18511</v>
      </c>
      <c r="H2244" s="41" t="s">
        <v>18512</v>
      </c>
      <c r="I2244" s="41" t="s">
        <v>18513</v>
      </c>
      <c r="J2244" s="41" t="s">
        <v>18514</v>
      </c>
      <c r="K2244" s="41" t="s">
        <v>18515</v>
      </c>
      <c r="L2244" s="41" t="s">
        <v>1085</v>
      </c>
    </row>
    <row r="2245" spans="1:19" x14ac:dyDescent="0.25">
      <c r="A2245" s="41" t="s">
        <v>23</v>
      </c>
      <c r="B2245" s="41" t="s">
        <v>18516</v>
      </c>
      <c r="D2245" s="41" t="s">
        <v>18517</v>
      </c>
      <c r="F2245" s="41" t="s">
        <v>18518</v>
      </c>
      <c r="G2245" s="41" t="s">
        <v>18519</v>
      </c>
      <c r="H2245" s="41" t="s">
        <v>18520</v>
      </c>
      <c r="I2245" s="41" t="s">
        <v>18521</v>
      </c>
      <c r="J2245" s="41" t="s">
        <v>18522</v>
      </c>
      <c r="K2245" s="41" t="s">
        <v>18523</v>
      </c>
      <c r="L2245" s="41" t="s">
        <v>1094</v>
      </c>
    </row>
    <row r="2246" spans="1:19" x14ac:dyDescent="0.25">
      <c r="A2246" s="41" t="s">
        <v>908</v>
      </c>
      <c r="B2246" s="41" t="s">
        <v>18524</v>
      </c>
    </row>
    <row r="2247" spans="1:19" x14ac:dyDescent="0.25">
      <c r="A2247" s="41" t="s">
        <v>23</v>
      </c>
      <c r="B2247" s="41" t="s">
        <v>18525</v>
      </c>
      <c r="F2247" s="41" t="s">
        <v>18526</v>
      </c>
      <c r="G2247" s="41" t="s">
        <v>18527</v>
      </c>
      <c r="H2247" s="41" t="s">
        <v>18528</v>
      </c>
      <c r="I2247" s="41" t="s">
        <v>18529</v>
      </c>
      <c r="J2247" s="41" t="s">
        <v>18530</v>
      </c>
      <c r="L2247" s="41" t="s">
        <v>4</v>
      </c>
    </row>
    <row r="2248" spans="1:19" x14ac:dyDescent="0.25">
      <c r="A2248" s="41" t="s">
        <v>23</v>
      </c>
      <c r="B2248" s="41" t="s">
        <v>18531</v>
      </c>
      <c r="D2248" s="41" t="s">
        <v>438</v>
      </c>
      <c r="E2248" s="41" t="s">
        <v>18533</v>
      </c>
      <c r="F2248" s="41" t="s">
        <v>18534</v>
      </c>
      <c r="G2248" s="41" t="s">
        <v>18535</v>
      </c>
      <c r="H2248" s="41" t="s">
        <v>18536</v>
      </c>
      <c r="I2248" s="41" t="s">
        <v>18537</v>
      </c>
      <c r="J2248" s="41" t="s">
        <v>18538</v>
      </c>
      <c r="K2248" s="41" t="s">
        <v>18539</v>
      </c>
      <c r="L2248" s="41" t="s">
        <v>18540</v>
      </c>
      <c r="M2248" s="41" t="s">
        <v>18541</v>
      </c>
      <c r="N2248" s="41" t="s">
        <v>18542</v>
      </c>
      <c r="O2248" s="41" t="s">
        <v>18543</v>
      </c>
      <c r="P2248" s="41" t="s">
        <v>18544</v>
      </c>
      <c r="Q2248" s="41" t="s">
        <v>18545</v>
      </c>
      <c r="R2248" s="41" t="s">
        <v>18546</v>
      </c>
      <c r="S2248" s="41" t="s">
        <v>18547</v>
      </c>
    </row>
    <row r="2249" spans="1:19" x14ac:dyDescent="0.25">
      <c r="A2249" s="41" t="s">
        <v>23</v>
      </c>
      <c r="B2249" s="41" t="s">
        <v>18548</v>
      </c>
      <c r="D2249" s="41" t="s">
        <v>18549</v>
      </c>
      <c r="F2249" s="41" t="s">
        <v>18550</v>
      </c>
      <c r="G2249" s="41" t="s">
        <v>18551</v>
      </c>
      <c r="H2249" s="41" t="s">
        <v>18552</v>
      </c>
      <c r="I2249" s="41" t="s">
        <v>18553</v>
      </c>
      <c r="J2249" s="41" t="s">
        <v>18554</v>
      </c>
      <c r="K2249" s="41" t="s">
        <v>18555</v>
      </c>
      <c r="L2249" s="41" t="s">
        <v>891</v>
      </c>
    </row>
    <row r="2250" spans="1:19" x14ac:dyDescent="0.25">
      <c r="A2250" s="41" t="s">
        <v>23</v>
      </c>
      <c r="B2250" s="41" t="s">
        <v>18556</v>
      </c>
      <c r="D2250" s="41" t="s">
        <v>18557</v>
      </c>
      <c r="F2250" s="41" t="s">
        <v>18558</v>
      </c>
      <c r="G2250" s="41" t="s">
        <v>18559</v>
      </c>
      <c r="H2250" s="41" t="s">
        <v>18560</v>
      </c>
      <c r="I2250" s="41" t="s">
        <v>18561</v>
      </c>
      <c r="J2250" s="41" t="s">
        <v>18562</v>
      </c>
      <c r="K2250" s="41" t="s">
        <v>18563</v>
      </c>
      <c r="L2250" s="41" t="s">
        <v>1076</v>
      </c>
    </row>
    <row r="2251" spans="1:19" x14ac:dyDescent="0.25">
      <c r="A2251" s="41" t="s">
        <v>23</v>
      </c>
      <c r="B2251" s="41" t="s">
        <v>18564</v>
      </c>
      <c r="D2251" s="41" t="s">
        <v>18565</v>
      </c>
      <c r="F2251" s="41" t="s">
        <v>18566</v>
      </c>
      <c r="G2251" s="41" t="s">
        <v>18567</v>
      </c>
      <c r="H2251" s="41" t="s">
        <v>18568</v>
      </c>
      <c r="I2251" s="41" t="s">
        <v>18569</v>
      </c>
      <c r="J2251" s="41" t="s">
        <v>18570</v>
      </c>
      <c r="K2251" s="41" t="s">
        <v>18571</v>
      </c>
      <c r="L2251" s="41" t="s">
        <v>1085</v>
      </c>
    </row>
    <row r="2252" spans="1:19" x14ac:dyDescent="0.25">
      <c r="A2252" s="41" t="s">
        <v>23</v>
      </c>
      <c r="B2252" s="41" t="s">
        <v>18572</v>
      </c>
      <c r="D2252" s="41" t="s">
        <v>18573</v>
      </c>
      <c r="F2252" s="41" t="s">
        <v>18574</v>
      </c>
      <c r="G2252" s="41" t="s">
        <v>18575</v>
      </c>
      <c r="H2252" s="41" t="s">
        <v>18576</v>
      </c>
      <c r="I2252" s="41" t="s">
        <v>18577</v>
      </c>
      <c r="J2252" s="41" t="s">
        <v>18578</v>
      </c>
      <c r="K2252" s="41" t="s">
        <v>18579</v>
      </c>
      <c r="L2252" s="41" t="s">
        <v>1094</v>
      </c>
    </row>
    <row r="2253" spans="1:19" x14ac:dyDescent="0.25">
      <c r="A2253" s="41" t="s">
        <v>908</v>
      </c>
      <c r="B2253" s="41" t="s">
        <v>18580</v>
      </c>
    </row>
    <row r="2254" spans="1:19" x14ac:dyDescent="0.25">
      <c r="A2254" s="41" t="s">
        <v>23</v>
      </c>
      <c r="B2254" s="41" t="s">
        <v>18581</v>
      </c>
      <c r="F2254" s="41" t="s">
        <v>18582</v>
      </c>
      <c r="G2254" s="41" t="s">
        <v>18583</v>
      </c>
      <c r="H2254" s="41" t="s">
        <v>18584</v>
      </c>
      <c r="I2254" s="41" t="s">
        <v>18585</v>
      </c>
      <c r="J2254" s="41" t="s">
        <v>18586</v>
      </c>
      <c r="L2254" s="41" t="s">
        <v>4</v>
      </c>
    </row>
    <row r="2255" spans="1:19" x14ac:dyDescent="0.25">
      <c r="A2255" s="41" t="s">
        <v>23</v>
      </c>
      <c r="B2255" s="41" t="s">
        <v>18587</v>
      </c>
      <c r="D2255" s="41" t="s">
        <v>18476</v>
      </c>
      <c r="E2255" s="41" t="s">
        <v>18588</v>
      </c>
      <c r="F2255" s="41" t="s">
        <v>18589</v>
      </c>
      <c r="G2255" s="41" t="s">
        <v>18590</v>
      </c>
      <c r="H2255" s="41" t="s">
        <v>18591</v>
      </c>
      <c r="I2255" s="41" t="s">
        <v>18592</v>
      </c>
      <c r="J2255" s="41" t="s">
        <v>18593</v>
      </c>
      <c r="K2255" s="41" t="s">
        <v>18594</v>
      </c>
      <c r="L2255" s="41" t="s">
        <v>18595</v>
      </c>
      <c r="M2255" s="41" t="s">
        <v>18596</v>
      </c>
      <c r="N2255" s="41" t="s">
        <v>18597</v>
      </c>
      <c r="O2255" s="41" t="s">
        <v>18598</v>
      </c>
      <c r="P2255" s="41" t="s">
        <v>18599</v>
      </c>
      <c r="Q2255" s="41" t="s">
        <v>18600</v>
      </c>
      <c r="R2255" s="41" t="s">
        <v>18601</v>
      </c>
      <c r="S2255" s="41" t="s">
        <v>18602</v>
      </c>
    </row>
    <row r="2256" spans="1:19" x14ac:dyDescent="0.25">
      <c r="A2256" s="41" t="s">
        <v>23</v>
      </c>
      <c r="B2256" s="41" t="s">
        <v>18603</v>
      </c>
      <c r="D2256" s="41" t="s">
        <v>18604</v>
      </c>
      <c r="F2256" s="41" t="s">
        <v>18605</v>
      </c>
      <c r="G2256" s="41" t="s">
        <v>18606</v>
      </c>
      <c r="H2256" s="41" t="s">
        <v>18607</v>
      </c>
      <c r="I2256" s="41" t="s">
        <v>18608</v>
      </c>
      <c r="J2256" s="41" t="s">
        <v>18609</v>
      </c>
      <c r="K2256" s="41" t="s">
        <v>18610</v>
      </c>
      <c r="L2256" s="41" t="s">
        <v>891</v>
      </c>
    </row>
    <row r="2257" spans="1:19" x14ac:dyDescent="0.25">
      <c r="A2257" s="41" t="s">
        <v>23</v>
      </c>
      <c r="B2257" s="41" t="s">
        <v>18611</v>
      </c>
      <c r="D2257" s="41" t="s">
        <v>18612</v>
      </c>
      <c r="F2257" s="41" t="s">
        <v>18613</v>
      </c>
      <c r="G2257" s="41" t="s">
        <v>18614</v>
      </c>
      <c r="H2257" s="41" t="s">
        <v>18615</v>
      </c>
      <c r="I2257" s="41" t="s">
        <v>18616</v>
      </c>
      <c r="J2257" s="41" t="s">
        <v>18617</v>
      </c>
      <c r="K2257" s="41" t="s">
        <v>18618</v>
      </c>
      <c r="L2257" s="41" t="s">
        <v>1076</v>
      </c>
    </row>
    <row r="2258" spans="1:19" x14ac:dyDescent="0.25">
      <c r="A2258" s="41" t="s">
        <v>23</v>
      </c>
      <c r="B2258" s="41" t="s">
        <v>18619</v>
      </c>
      <c r="D2258" s="41" t="s">
        <v>18620</v>
      </c>
      <c r="F2258" s="41" t="s">
        <v>18621</v>
      </c>
      <c r="G2258" s="41" t="s">
        <v>18622</v>
      </c>
      <c r="H2258" s="41" t="s">
        <v>18623</v>
      </c>
      <c r="I2258" s="41" t="s">
        <v>18624</v>
      </c>
      <c r="J2258" s="41" t="s">
        <v>18625</v>
      </c>
      <c r="K2258" s="41" t="s">
        <v>18626</v>
      </c>
      <c r="L2258" s="41" t="s">
        <v>1085</v>
      </c>
    </row>
    <row r="2259" spans="1:19" x14ac:dyDescent="0.25">
      <c r="A2259" s="41" t="s">
        <v>23</v>
      </c>
      <c r="B2259" s="41" t="s">
        <v>18627</v>
      </c>
      <c r="D2259" s="41" t="s">
        <v>18628</v>
      </c>
      <c r="F2259" s="41" t="s">
        <v>18629</v>
      </c>
      <c r="G2259" s="41" t="s">
        <v>18630</v>
      </c>
      <c r="H2259" s="41" t="s">
        <v>18631</v>
      </c>
      <c r="I2259" s="41" t="s">
        <v>18632</v>
      </c>
      <c r="J2259" s="41" t="s">
        <v>18633</v>
      </c>
      <c r="K2259" s="41" t="s">
        <v>18634</v>
      </c>
      <c r="L2259" s="41" t="s">
        <v>1094</v>
      </c>
    </row>
    <row r="2260" spans="1:19" x14ac:dyDescent="0.25">
      <c r="A2260" s="41" t="s">
        <v>908</v>
      </c>
      <c r="B2260" s="41" t="s">
        <v>18635</v>
      </c>
    </row>
    <row r="2261" spans="1:19" x14ac:dyDescent="0.25">
      <c r="A2261" s="41" t="s">
        <v>23</v>
      </c>
      <c r="B2261" s="41" t="s">
        <v>18636</v>
      </c>
      <c r="F2261" s="41" t="s">
        <v>18637</v>
      </c>
      <c r="G2261" s="41" t="s">
        <v>18638</v>
      </c>
      <c r="H2261" s="41" t="s">
        <v>18639</v>
      </c>
      <c r="I2261" s="41" t="s">
        <v>18640</v>
      </c>
      <c r="J2261" s="41" t="s">
        <v>18641</v>
      </c>
      <c r="L2261" s="41" t="s">
        <v>4</v>
      </c>
    </row>
    <row r="2262" spans="1:19" x14ac:dyDescent="0.25">
      <c r="A2262" s="41" t="s">
        <v>23</v>
      </c>
      <c r="B2262" s="41" t="s">
        <v>18642</v>
      </c>
      <c r="D2262" s="41" t="s">
        <v>18532</v>
      </c>
      <c r="E2262" s="41" t="s">
        <v>18643</v>
      </c>
      <c r="F2262" s="41" t="s">
        <v>18644</v>
      </c>
      <c r="G2262" s="41" t="s">
        <v>18645</v>
      </c>
      <c r="H2262" s="41" t="s">
        <v>18646</v>
      </c>
      <c r="I2262" s="41" t="s">
        <v>18647</v>
      </c>
      <c r="J2262" s="41" t="s">
        <v>18648</v>
      </c>
      <c r="K2262" s="41" t="s">
        <v>18649</v>
      </c>
      <c r="L2262" s="41" t="s">
        <v>18650</v>
      </c>
      <c r="M2262" s="41" t="s">
        <v>18651</v>
      </c>
      <c r="N2262" s="41" t="s">
        <v>18652</v>
      </c>
      <c r="O2262" s="41" t="s">
        <v>18653</v>
      </c>
      <c r="P2262" s="41" t="s">
        <v>18654</v>
      </c>
      <c r="Q2262" s="41" t="s">
        <v>18655</v>
      </c>
      <c r="R2262" s="41" t="s">
        <v>18656</v>
      </c>
      <c r="S2262" s="41" t="s">
        <v>18657</v>
      </c>
    </row>
    <row r="2263" spans="1:19" x14ac:dyDescent="0.25">
      <c r="A2263" s="41" t="s">
        <v>23</v>
      </c>
      <c r="B2263" s="41" t="s">
        <v>18658</v>
      </c>
      <c r="D2263" s="41" t="s">
        <v>18659</v>
      </c>
      <c r="F2263" s="41" t="s">
        <v>18660</v>
      </c>
      <c r="G2263" s="41" t="s">
        <v>18661</v>
      </c>
      <c r="H2263" s="41" t="s">
        <v>18662</v>
      </c>
      <c r="I2263" s="41" t="s">
        <v>18663</v>
      </c>
      <c r="J2263" s="41" t="s">
        <v>18664</v>
      </c>
      <c r="K2263" s="41" t="s">
        <v>18665</v>
      </c>
      <c r="L2263" s="41" t="s">
        <v>891</v>
      </c>
    </row>
    <row r="2264" spans="1:19" x14ac:dyDescent="0.25">
      <c r="A2264" s="41" t="s">
        <v>23</v>
      </c>
      <c r="B2264" s="41" t="s">
        <v>18666</v>
      </c>
      <c r="D2264" s="41" t="s">
        <v>18667</v>
      </c>
      <c r="F2264" s="41" t="s">
        <v>18668</v>
      </c>
      <c r="G2264" s="41" t="s">
        <v>18669</v>
      </c>
      <c r="H2264" s="41" t="s">
        <v>18670</v>
      </c>
      <c r="I2264" s="41" t="s">
        <v>18671</v>
      </c>
      <c r="J2264" s="41" t="s">
        <v>18672</v>
      </c>
      <c r="K2264" s="41" t="s">
        <v>18673</v>
      </c>
      <c r="L2264" s="41" t="s">
        <v>1076</v>
      </c>
    </row>
    <row r="2265" spans="1:19" x14ac:dyDescent="0.25">
      <c r="A2265" s="41" t="s">
        <v>23</v>
      </c>
      <c r="B2265" s="41" t="s">
        <v>18674</v>
      </c>
      <c r="D2265" s="41" t="s">
        <v>18675</v>
      </c>
      <c r="F2265" s="41" t="s">
        <v>18676</v>
      </c>
      <c r="G2265" s="41" t="s">
        <v>18677</v>
      </c>
      <c r="H2265" s="41" t="s">
        <v>18678</v>
      </c>
      <c r="I2265" s="41" t="s">
        <v>18679</v>
      </c>
      <c r="J2265" s="41" t="s">
        <v>18680</v>
      </c>
      <c r="K2265" s="41" t="s">
        <v>18681</v>
      </c>
      <c r="L2265" s="41" t="s">
        <v>1085</v>
      </c>
    </row>
    <row r="2266" spans="1:19" x14ac:dyDescent="0.25">
      <c r="A2266" s="41" t="s">
        <v>23</v>
      </c>
      <c r="B2266" s="41" t="s">
        <v>18682</v>
      </c>
      <c r="D2266" s="41" t="s">
        <v>18683</v>
      </c>
      <c r="F2266" s="41" t="s">
        <v>18684</v>
      </c>
      <c r="G2266" s="41" t="s">
        <v>18685</v>
      </c>
      <c r="H2266" s="41" t="s">
        <v>18686</v>
      </c>
      <c r="I2266" s="41" t="s">
        <v>18687</v>
      </c>
      <c r="J2266" s="41" t="s">
        <v>18688</v>
      </c>
      <c r="K2266" s="41" t="s">
        <v>18689</v>
      </c>
      <c r="L2266" s="41" t="s">
        <v>1094</v>
      </c>
    </row>
    <row r="2267" spans="1:19" x14ac:dyDescent="0.25">
      <c r="A2267" s="41" t="s">
        <v>908</v>
      </c>
      <c r="B2267" s="41" t="s">
        <v>18690</v>
      </c>
    </row>
    <row r="2268" spans="1:19" x14ac:dyDescent="0.25">
      <c r="A2268" s="41" t="s">
        <v>23</v>
      </c>
      <c r="B2268" s="41" t="s">
        <v>18691</v>
      </c>
      <c r="F2268" s="41" t="s">
        <v>18692</v>
      </c>
      <c r="G2268" s="41" t="s">
        <v>18693</v>
      </c>
      <c r="H2268" s="41" t="s">
        <v>18694</v>
      </c>
      <c r="I2268" s="41" t="s">
        <v>18695</v>
      </c>
      <c r="J2268" s="41" t="s">
        <v>18696</v>
      </c>
      <c r="L2268" s="41" t="s">
        <v>4</v>
      </c>
    </row>
    <row r="2269" spans="1:19" x14ac:dyDescent="0.25">
      <c r="A2269" s="41" t="s">
        <v>23</v>
      </c>
      <c r="B2269" s="41" t="s">
        <v>18697</v>
      </c>
      <c r="D2269" s="41" t="s">
        <v>439</v>
      </c>
      <c r="E2269" s="41" t="s">
        <v>18698</v>
      </c>
      <c r="F2269" s="41" t="s">
        <v>18699</v>
      </c>
      <c r="G2269" s="41" t="s">
        <v>18700</v>
      </c>
      <c r="H2269" s="41" t="s">
        <v>18701</v>
      </c>
      <c r="I2269" s="41" t="s">
        <v>18702</v>
      </c>
      <c r="J2269" s="41" t="s">
        <v>18703</v>
      </c>
      <c r="K2269" s="41" t="s">
        <v>18704</v>
      </c>
      <c r="L2269" s="41" t="s">
        <v>18705</v>
      </c>
      <c r="M2269" s="41" t="s">
        <v>18706</v>
      </c>
      <c r="N2269" s="41" t="s">
        <v>18707</v>
      </c>
      <c r="O2269" s="41" t="s">
        <v>18708</v>
      </c>
      <c r="P2269" s="41" t="s">
        <v>18709</v>
      </c>
      <c r="Q2269" s="41" t="s">
        <v>18710</v>
      </c>
      <c r="R2269" s="41" t="s">
        <v>18711</v>
      </c>
      <c r="S2269" s="41" t="s">
        <v>18712</v>
      </c>
    </row>
    <row r="2270" spans="1:19" x14ac:dyDescent="0.25">
      <c r="A2270" s="41" t="s">
        <v>23</v>
      </c>
      <c r="B2270" s="41" t="s">
        <v>18713</v>
      </c>
      <c r="D2270" s="41" t="s">
        <v>18714</v>
      </c>
      <c r="F2270" s="41" t="s">
        <v>18715</v>
      </c>
      <c r="G2270" s="41" t="s">
        <v>18716</v>
      </c>
      <c r="H2270" s="41" t="s">
        <v>18717</v>
      </c>
      <c r="I2270" s="41" t="s">
        <v>18718</v>
      </c>
      <c r="J2270" s="41" t="s">
        <v>18719</v>
      </c>
      <c r="K2270" s="41" t="s">
        <v>18720</v>
      </c>
      <c r="L2270" s="41" t="s">
        <v>891</v>
      </c>
    </row>
    <row r="2271" spans="1:19" x14ac:dyDescent="0.25">
      <c r="A2271" s="41" t="s">
        <v>23</v>
      </c>
      <c r="B2271" s="41" t="s">
        <v>18721</v>
      </c>
      <c r="D2271" s="41" t="s">
        <v>18722</v>
      </c>
      <c r="F2271" s="41" t="s">
        <v>18723</v>
      </c>
      <c r="G2271" s="41" t="s">
        <v>18724</v>
      </c>
      <c r="H2271" s="41" t="s">
        <v>18725</v>
      </c>
      <c r="I2271" s="41" t="s">
        <v>18726</v>
      </c>
      <c r="J2271" s="41" t="s">
        <v>18727</v>
      </c>
      <c r="K2271" s="41" t="s">
        <v>18728</v>
      </c>
      <c r="L2271" s="41" t="s">
        <v>1076</v>
      </c>
    </row>
    <row r="2272" spans="1:19" x14ac:dyDescent="0.25">
      <c r="A2272" s="41" t="s">
        <v>23</v>
      </c>
      <c r="B2272" s="41" t="s">
        <v>18729</v>
      </c>
      <c r="D2272" s="41" t="s">
        <v>18730</v>
      </c>
      <c r="F2272" s="41" t="s">
        <v>18731</v>
      </c>
      <c r="G2272" s="41" t="s">
        <v>18732</v>
      </c>
      <c r="H2272" s="41" t="s">
        <v>18733</v>
      </c>
      <c r="I2272" s="41" t="s">
        <v>18734</v>
      </c>
      <c r="J2272" s="41" t="s">
        <v>18735</v>
      </c>
      <c r="K2272" s="41" t="s">
        <v>18736</v>
      </c>
      <c r="L2272" s="41" t="s">
        <v>1085</v>
      </c>
    </row>
    <row r="2273" spans="1:19" x14ac:dyDescent="0.25">
      <c r="A2273" s="41" t="s">
        <v>23</v>
      </c>
      <c r="B2273" s="41" t="s">
        <v>18737</v>
      </c>
      <c r="D2273" s="41" t="s">
        <v>18738</v>
      </c>
      <c r="F2273" s="41" t="s">
        <v>18739</v>
      </c>
      <c r="G2273" s="41" t="s">
        <v>18740</v>
      </c>
      <c r="H2273" s="41" t="s">
        <v>18741</v>
      </c>
      <c r="I2273" s="41" t="s">
        <v>18742</v>
      </c>
      <c r="J2273" s="41" t="s">
        <v>18743</v>
      </c>
      <c r="K2273" s="41" t="s">
        <v>18744</v>
      </c>
      <c r="L2273" s="41" t="s">
        <v>1094</v>
      </c>
    </row>
    <row r="2274" spans="1:19" x14ac:dyDescent="0.25">
      <c r="A2274" s="41" t="s">
        <v>908</v>
      </c>
      <c r="B2274" s="41" t="s">
        <v>18745</v>
      </c>
    </row>
    <row r="2275" spans="1:19" x14ac:dyDescent="0.25">
      <c r="A2275" s="41" t="s">
        <v>23</v>
      </c>
      <c r="B2275" s="41" t="s">
        <v>18746</v>
      </c>
      <c r="F2275" s="41" t="s">
        <v>18747</v>
      </c>
      <c r="G2275" s="41" t="s">
        <v>18748</v>
      </c>
      <c r="H2275" s="41" t="s">
        <v>18749</v>
      </c>
      <c r="I2275" s="41" t="s">
        <v>18750</v>
      </c>
      <c r="J2275" s="41" t="s">
        <v>18751</v>
      </c>
      <c r="L2275" s="41" t="s">
        <v>4</v>
      </c>
    </row>
    <row r="2276" spans="1:19" x14ac:dyDescent="0.25">
      <c r="A2276" s="41" t="s">
        <v>23</v>
      </c>
      <c r="B2276" s="41" t="s">
        <v>18752</v>
      </c>
      <c r="D2276" s="41" t="s">
        <v>440</v>
      </c>
      <c r="E2276" s="41" t="s">
        <v>18753</v>
      </c>
      <c r="F2276" s="41" t="s">
        <v>18754</v>
      </c>
      <c r="G2276" s="41" t="s">
        <v>18755</v>
      </c>
      <c r="H2276" s="41" t="s">
        <v>18756</v>
      </c>
      <c r="I2276" s="41" t="s">
        <v>18757</v>
      </c>
      <c r="J2276" s="41" t="s">
        <v>18758</v>
      </c>
      <c r="K2276" s="41" t="s">
        <v>18759</v>
      </c>
      <c r="L2276" s="41" t="s">
        <v>18760</v>
      </c>
      <c r="M2276" s="41" t="s">
        <v>18761</v>
      </c>
      <c r="N2276" s="41" t="s">
        <v>18762</v>
      </c>
      <c r="O2276" s="41" t="s">
        <v>18763</v>
      </c>
      <c r="P2276" s="41" t="s">
        <v>18764</v>
      </c>
      <c r="Q2276" s="41" t="s">
        <v>18765</v>
      </c>
      <c r="R2276" s="41" t="s">
        <v>18766</v>
      </c>
      <c r="S2276" s="41" t="s">
        <v>18767</v>
      </c>
    </row>
    <row r="2277" spans="1:19" x14ac:dyDescent="0.25">
      <c r="A2277" s="41" t="s">
        <v>23</v>
      </c>
      <c r="B2277" s="41" t="s">
        <v>18768</v>
      </c>
      <c r="D2277" s="41" t="s">
        <v>18769</v>
      </c>
      <c r="F2277" s="41" t="s">
        <v>18770</v>
      </c>
      <c r="G2277" s="41" t="s">
        <v>18771</v>
      </c>
      <c r="H2277" s="41" t="s">
        <v>18772</v>
      </c>
      <c r="I2277" s="41" t="s">
        <v>18773</v>
      </c>
      <c r="J2277" s="41" t="s">
        <v>18774</v>
      </c>
      <c r="K2277" s="41" t="s">
        <v>18775</v>
      </c>
      <c r="L2277" s="41" t="s">
        <v>891</v>
      </c>
    </row>
    <row r="2278" spans="1:19" x14ac:dyDescent="0.25">
      <c r="A2278" s="41" t="s">
        <v>23</v>
      </c>
      <c r="B2278" s="41" t="s">
        <v>18776</v>
      </c>
      <c r="D2278" s="41" t="s">
        <v>18777</v>
      </c>
      <c r="F2278" s="41" t="s">
        <v>18778</v>
      </c>
      <c r="G2278" s="41" t="s">
        <v>18779</v>
      </c>
      <c r="H2278" s="41" t="s">
        <v>18780</v>
      </c>
      <c r="I2278" s="41" t="s">
        <v>18781</v>
      </c>
      <c r="J2278" s="41" t="s">
        <v>18782</v>
      </c>
      <c r="K2278" s="41" t="s">
        <v>18783</v>
      </c>
      <c r="L2278" s="41" t="s">
        <v>1076</v>
      </c>
    </row>
    <row r="2279" spans="1:19" x14ac:dyDescent="0.25">
      <c r="A2279" s="41" t="s">
        <v>23</v>
      </c>
      <c r="B2279" s="41" t="s">
        <v>18784</v>
      </c>
      <c r="D2279" s="41" t="s">
        <v>18785</v>
      </c>
      <c r="F2279" s="41" t="s">
        <v>18786</v>
      </c>
      <c r="G2279" s="41" t="s">
        <v>18787</v>
      </c>
      <c r="H2279" s="41" t="s">
        <v>18788</v>
      </c>
      <c r="I2279" s="41" t="s">
        <v>18789</v>
      </c>
      <c r="J2279" s="41" t="s">
        <v>18790</v>
      </c>
      <c r="K2279" s="41" t="s">
        <v>18791</v>
      </c>
      <c r="L2279" s="41" t="s">
        <v>1085</v>
      </c>
    </row>
    <row r="2280" spans="1:19" x14ac:dyDescent="0.25">
      <c r="A2280" s="41" t="s">
        <v>23</v>
      </c>
      <c r="B2280" s="41" t="s">
        <v>18792</v>
      </c>
      <c r="D2280" s="41" t="s">
        <v>18793</v>
      </c>
      <c r="F2280" s="41" t="s">
        <v>18794</v>
      </c>
      <c r="G2280" s="41" t="s">
        <v>18795</v>
      </c>
      <c r="H2280" s="41" t="s">
        <v>18796</v>
      </c>
      <c r="I2280" s="41" t="s">
        <v>18797</v>
      </c>
      <c r="J2280" s="41" t="s">
        <v>18798</v>
      </c>
      <c r="K2280" s="41" t="s">
        <v>18799</v>
      </c>
      <c r="L2280" s="41" t="s">
        <v>1094</v>
      </c>
    </row>
    <row r="2281" spans="1:19" x14ac:dyDescent="0.25">
      <c r="A2281" s="41" t="s">
        <v>908</v>
      </c>
      <c r="B2281" s="41" t="s">
        <v>18800</v>
      </c>
    </row>
    <row r="2282" spans="1:19" x14ac:dyDescent="0.25">
      <c r="A2282" s="41" t="s">
        <v>23</v>
      </c>
      <c r="B2282" s="41" t="s">
        <v>18801</v>
      </c>
      <c r="F2282" s="41" t="s">
        <v>18802</v>
      </c>
      <c r="G2282" s="41" t="s">
        <v>18803</v>
      </c>
      <c r="H2282" s="41" t="s">
        <v>18804</v>
      </c>
      <c r="I2282" s="41" t="s">
        <v>18805</v>
      </c>
      <c r="J2282" s="41" t="s">
        <v>18806</v>
      </c>
      <c r="L2282" s="41" t="s">
        <v>4</v>
      </c>
    </row>
    <row r="2283" spans="1:19" x14ac:dyDescent="0.25">
      <c r="A2283" s="41" t="s">
        <v>23</v>
      </c>
      <c r="B2283" s="41" t="s">
        <v>18807</v>
      </c>
      <c r="D2283" s="41" t="s">
        <v>441</v>
      </c>
      <c r="E2283" s="41" t="s">
        <v>18809</v>
      </c>
      <c r="F2283" s="41" t="s">
        <v>18810</v>
      </c>
      <c r="G2283" s="41" t="s">
        <v>18811</v>
      </c>
      <c r="H2283" s="41" t="s">
        <v>18812</v>
      </c>
      <c r="I2283" s="41" t="s">
        <v>18813</v>
      </c>
      <c r="J2283" s="41" t="s">
        <v>18814</v>
      </c>
      <c r="K2283" s="41" t="s">
        <v>18815</v>
      </c>
      <c r="L2283" s="41" t="s">
        <v>18816</v>
      </c>
      <c r="M2283" s="41" t="s">
        <v>18817</v>
      </c>
      <c r="N2283" s="41" t="s">
        <v>18818</v>
      </c>
      <c r="O2283" s="41" t="s">
        <v>18819</v>
      </c>
      <c r="P2283" s="41" t="s">
        <v>18820</v>
      </c>
      <c r="Q2283" s="41" t="s">
        <v>18821</v>
      </c>
      <c r="R2283" s="41" t="s">
        <v>18822</v>
      </c>
      <c r="S2283" s="41" t="s">
        <v>18823</v>
      </c>
    </row>
    <row r="2284" spans="1:19" x14ac:dyDescent="0.25">
      <c r="A2284" s="41" t="s">
        <v>23</v>
      </c>
      <c r="B2284" s="41" t="s">
        <v>18824</v>
      </c>
      <c r="D2284" s="41" t="s">
        <v>18825</v>
      </c>
      <c r="F2284" s="41" t="s">
        <v>18826</v>
      </c>
      <c r="G2284" s="41" t="s">
        <v>18827</v>
      </c>
      <c r="H2284" s="41" t="s">
        <v>18828</v>
      </c>
      <c r="I2284" s="41" t="s">
        <v>18829</v>
      </c>
      <c r="J2284" s="41" t="s">
        <v>18830</v>
      </c>
      <c r="K2284" s="41" t="s">
        <v>18831</v>
      </c>
      <c r="L2284" s="41" t="s">
        <v>891</v>
      </c>
    </row>
    <row r="2285" spans="1:19" x14ac:dyDescent="0.25">
      <c r="A2285" s="41" t="s">
        <v>23</v>
      </c>
      <c r="B2285" s="41" t="s">
        <v>18832</v>
      </c>
      <c r="D2285" s="41" t="s">
        <v>18833</v>
      </c>
      <c r="F2285" s="41" t="s">
        <v>18834</v>
      </c>
      <c r="G2285" s="41" t="s">
        <v>18835</v>
      </c>
      <c r="H2285" s="41" t="s">
        <v>18836</v>
      </c>
      <c r="I2285" s="41" t="s">
        <v>18837</v>
      </c>
      <c r="J2285" s="41" t="s">
        <v>18838</v>
      </c>
      <c r="K2285" s="41" t="s">
        <v>18839</v>
      </c>
      <c r="L2285" s="41" t="s">
        <v>1076</v>
      </c>
    </row>
    <row r="2286" spans="1:19" x14ac:dyDescent="0.25">
      <c r="A2286" s="41" t="s">
        <v>23</v>
      </c>
      <c r="B2286" s="41" t="s">
        <v>18840</v>
      </c>
      <c r="D2286" s="41" t="s">
        <v>18841</v>
      </c>
      <c r="F2286" s="41" t="s">
        <v>18842</v>
      </c>
      <c r="G2286" s="41" t="s">
        <v>18843</v>
      </c>
      <c r="H2286" s="41" t="s">
        <v>18844</v>
      </c>
      <c r="I2286" s="41" t="s">
        <v>18845</v>
      </c>
      <c r="J2286" s="41" t="s">
        <v>18846</v>
      </c>
      <c r="K2286" s="41" t="s">
        <v>18847</v>
      </c>
      <c r="L2286" s="41" t="s">
        <v>1085</v>
      </c>
    </row>
    <row r="2287" spans="1:19" x14ac:dyDescent="0.25">
      <c r="A2287" s="41" t="s">
        <v>23</v>
      </c>
      <c r="B2287" s="41" t="s">
        <v>18848</v>
      </c>
      <c r="D2287" s="41" t="s">
        <v>18849</v>
      </c>
      <c r="F2287" s="41" t="s">
        <v>18850</v>
      </c>
      <c r="G2287" s="41" t="s">
        <v>18851</v>
      </c>
      <c r="H2287" s="41" t="s">
        <v>18852</v>
      </c>
      <c r="I2287" s="41" t="s">
        <v>18853</v>
      </c>
      <c r="J2287" s="41" t="s">
        <v>18854</v>
      </c>
      <c r="K2287" s="41" t="s">
        <v>18855</v>
      </c>
      <c r="L2287" s="41" t="s">
        <v>1094</v>
      </c>
    </row>
    <row r="2288" spans="1:19" x14ac:dyDescent="0.25">
      <c r="A2288" s="41" t="s">
        <v>908</v>
      </c>
      <c r="B2288" s="41" t="s">
        <v>18856</v>
      </c>
    </row>
    <row r="2289" spans="1:19" x14ac:dyDescent="0.25">
      <c r="A2289" s="41" t="s">
        <v>23</v>
      </c>
      <c r="B2289" s="41" t="s">
        <v>18857</v>
      </c>
      <c r="F2289" s="41" t="s">
        <v>18858</v>
      </c>
      <c r="G2289" s="41" t="s">
        <v>18859</v>
      </c>
      <c r="H2289" s="41" t="s">
        <v>18860</v>
      </c>
      <c r="I2289" s="41" t="s">
        <v>18861</v>
      </c>
      <c r="J2289" s="41" t="s">
        <v>18862</v>
      </c>
      <c r="L2289" s="41" t="s">
        <v>4</v>
      </c>
    </row>
    <row r="2290" spans="1:19" x14ac:dyDescent="0.25">
      <c r="A2290" s="41" t="s">
        <v>23</v>
      </c>
      <c r="B2290" s="41" t="s">
        <v>18863</v>
      </c>
      <c r="D2290" s="41" t="s">
        <v>862</v>
      </c>
      <c r="E2290" s="41" t="s">
        <v>18865</v>
      </c>
      <c r="F2290" s="41" t="s">
        <v>18866</v>
      </c>
      <c r="G2290" s="41" t="s">
        <v>18867</v>
      </c>
      <c r="H2290" s="41" t="s">
        <v>18868</v>
      </c>
      <c r="I2290" s="41" t="s">
        <v>18869</v>
      </c>
      <c r="J2290" s="41" t="s">
        <v>18870</v>
      </c>
      <c r="K2290" s="41" t="s">
        <v>18871</v>
      </c>
      <c r="L2290" s="41" t="s">
        <v>18872</v>
      </c>
      <c r="M2290" s="41" t="s">
        <v>18873</v>
      </c>
      <c r="N2290" s="41" t="s">
        <v>18874</v>
      </c>
      <c r="O2290" s="41" t="s">
        <v>18875</v>
      </c>
      <c r="P2290" s="41" t="s">
        <v>18876</v>
      </c>
      <c r="Q2290" s="41" t="s">
        <v>18877</v>
      </c>
      <c r="R2290" s="41" t="s">
        <v>18878</v>
      </c>
      <c r="S2290" s="41" t="s">
        <v>18879</v>
      </c>
    </row>
    <row r="2291" spans="1:19" x14ac:dyDescent="0.25">
      <c r="A2291" s="41" t="s">
        <v>23</v>
      </c>
      <c r="B2291" s="41" t="s">
        <v>18880</v>
      </c>
      <c r="D2291" s="41" t="s">
        <v>18881</v>
      </c>
      <c r="F2291" s="41" t="s">
        <v>18882</v>
      </c>
      <c r="G2291" s="41" t="s">
        <v>18883</v>
      </c>
      <c r="H2291" s="41" t="s">
        <v>18884</v>
      </c>
      <c r="I2291" s="41" t="s">
        <v>18885</v>
      </c>
      <c r="J2291" s="41" t="s">
        <v>18886</v>
      </c>
      <c r="K2291" s="41" t="s">
        <v>18887</v>
      </c>
      <c r="L2291" s="41" t="s">
        <v>891</v>
      </c>
    </row>
    <row r="2292" spans="1:19" x14ac:dyDescent="0.25">
      <c r="A2292" s="41" t="s">
        <v>23</v>
      </c>
      <c r="B2292" s="41" t="s">
        <v>18888</v>
      </c>
      <c r="D2292" s="41" t="s">
        <v>18889</v>
      </c>
      <c r="F2292" s="41" t="s">
        <v>18890</v>
      </c>
      <c r="G2292" s="41" t="s">
        <v>18891</v>
      </c>
      <c r="H2292" s="41" t="s">
        <v>18892</v>
      </c>
      <c r="I2292" s="41" t="s">
        <v>18893</v>
      </c>
      <c r="J2292" s="41" t="s">
        <v>18894</v>
      </c>
      <c r="K2292" s="41" t="s">
        <v>18895</v>
      </c>
      <c r="L2292" s="41" t="s">
        <v>1076</v>
      </c>
    </row>
    <row r="2293" spans="1:19" x14ac:dyDescent="0.25">
      <c r="A2293" s="41" t="s">
        <v>23</v>
      </c>
      <c r="B2293" s="41" t="s">
        <v>18896</v>
      </c>
      <c r="D2293" s="41" t="s">
        <v>18897</v>
      </c>
      <c r="F2293" s="41" t="s">
        <v>18898</v>
      </c>
      <c r="G2293" s="41" t="s">
        <v>18899</v>
      </c>
      <c r="H2293" s="41" t="s">
        <v>18900</v>
      </c>
      <c r="I2293" s="41" t="s">
        <v>18901</v>
      </c>
      <c r="J2293" s="41" t="s">
        <v>18902</v>
      </c>
      <c r="K2293" s="41" t="s">
        <v>18903</v>
      </c>
      <c r="L2293" s="41" t="s">
        <v>1085</v>
      </c>
    </row>
    <row r="2294" spans="1:19" x14ac:dyDescent="0.25">
      <c r="A2294" s="41" t="s">
        <v>23</v>
      </c>
      <c r="B2294" s="41" t="s">
        <v>18904</v>
      </c>
      <c r="D2294" s="41" t="s">
        <v>18905</v>
      </c>
      <c r="F2294" s="41" t="s">
        <v>18906</v>
      </c>
      <c r="G2294" s="41" t="s">
        <v>18907</v>
      </c>
      <c r="H2294" s="41" t="s">
        <v>18908</v>
      </c>
      <c r="I2294" s="41" t="s">
        <v>18909</v>
      </c>
      <c r="J2294" s="41" t="s">
        <v>18910</v>
      </c>
      <c r="K2294" s="41" t="s">
        <v>18911</v>
      </c>
      <c r="L2294" s="41" t="s">
        <v>1094</v>
      </c>
    </row>
    <row r="2295" spans="1:19" x14ac:dyDescent="0.25">
      <c r="A2295" s="41" t="s">
        <v>908</v>
      </c>
      <c r="B2295" s="41" t="s">
        <v>18912</v>
      </c>
    </row>
    <row r="2296" spans="1:19" x14ac:dyDescent="0.25">
      <c r="A2296" s="41" t="s">
        <v>23</v>
      </c>
      <c r="B2296" s="41" t="s">
        <v>18913</v>
      </c>
      <c r="F2296" s="41" t="s">
        <v>18914</v>
      </c>
      <c r="G2296" s="41" t="s">
        <v>18915</v>
      </c>
      <c r="H2296" s="41" t="s">
        <v>18916</v>
      </c>
      <c r="I2296" s="41" t="s">
        <v>18917</v>
      </c>
      <c r="J2296" s="41" t="s">
        <v>18918</v>
      </c>
      <c r="L2296" s="41" t="s">
        <v>4</v>
      </c>
    </row>
    <row r="2297" spans="1:19" x14ac:dyDescent="0.25">
      <c r="A2297" s="41" t="s">
        <v>23</v>
      </c>
      <c r="B2297" s="41" t="s">
        <v>18919</v>
      </c>
      <c r="D2297" s="41" t="s">
        <v>18808</v>
      </c>
      <c r="E2297" s="41" t="s">
        <v>18921</v>
      </c>
      <c r="F2297" s="41" t="s">
        <v>18922</v>
      </c>
      <c r="G2297" s="41" t="s">
        <v>18923</v>
      </c>
      <c r="H2297" s="41" t="s">
        <v>18924</v>
      </c>
      <c r="I2297" s="41" t="s">
        <v>18925</v>
      </c>
      <c r="J2297" s="41" t="s">
        <v>18926</v>
      </c>
      <c r="K2297" s="41" t="s">
        <v>18927</v>
      </c>
      <c r="L2297" s="41" t="s">
        <v>18928</v>
      </c>
      <c r="M2297" s="41" t="s">
        <v>18929</v>
      </c>
      <c r="N2297" s="41" t="s">
        <v>18930</v>
      </c>
      <c r="O2297" s="41" t="s">
        <v>18931</v>
      </c>
      <c r="P2297" s="41" t="s">
        <v>18932</v>
      </c>
      <c r="Q2297" s="41" t="s">
        <v>18933</v>
      </c>
      <c r="R2297" s="41" t="s">
        <v>18934</v>
      </c>
      <c r="S2297" s="41" t="s">
        <v>18935</v>
      </c>
    </row>
    <row r="2298" spans="1:19" x14ac:dyDescent="0.25">
      <c r="A2298" s="41" t="s">
        <v>23</v>
      </c>
      <c r="B2298" s="41" t="s">
        <v>18936</v>
      </c>
      <c r="D2298" s="41" t="s">
        <v>18937</v>
      </c>
      <c r="F2298" s="41" t="s">
        <v>18938</v>
      </c>
      <c r="G2298" s="41" t="s">
        <v>18939</v>
      </c>
      <c r="H2298" s="41" t="s">
        <v>18940</v>
      </c>
      <c r="I2298" s="41" t="s">
        <v>18941</v>
      </c>
      <c r="J2298" s="41" t="s">
        <v>18942</v>
      </c>
      <c r="K2298" s="41" t="s">
        <v>18943</v>
      </c>
      <c r="L2298" s="41" t="s">
        <v>891</v>
      </c>
    </row>
    <row r="2299" spans="1:19" x14ac:dyDescent="0.25">
      <c r="A2299" s="41" t="s">
        <v>23</v>
      </c>
      <c r="B2299" s="41" t="s">
        <v>18944</v>
      </c>
      <c r="D2299" s="41" t="s">
        <v>18945</v>
      </c>
      <c r="F2299" s="41" t="s">
        <v>18946</v>
      </c>
      <c r="G2299" s="41" t="s">
        <v>18947</v>
      </c>
      <c r="H2299" s="41" t="s">
        <v>18948</v>
      </c>
      <c r="I2299" s="41" t="s">
        <v>18949</v>
      </c>
      <c r="J2299" s="41" t="s">
        <v>18950</v>
      </c>
      <c r="K2299" s="41" t="s">
        <v>18951</v>
      </c>
      <c r="L2299" s="41" t="s">
        <v>1076</v>
      </c>
    </row>
    <row r="2300" spans="1:19" x14ac:dyDescent="0.25">
      <c r="A2300" s="41" t="s">
        <v>23</v>
      </c>
      <c r="B2300" s="41" t="s">
        <v>18952</v>
      </c>
      <c r="D2300" s="41" t="s">
        <v>18953</v>
      </c>
      <c r="F2300" s="41" t="s">
        <v>18954</v>
      </c>
      <c r="G2300" s="41" t="s">
        <v>18955</v>
      </c>
      <c r="H2300" s="41" t="s">
        <v>18956</v>
      </c>
      <c r="I2300" s="41" t="s">
        <v>18957</v>
      </c>
      <c r="J2300" s="41" t="s">
        <v>18958</v>
      </c>
      <c r="K2300" s="41" t="s">
        <v>18959</v>
      </c>
      <c r="L2300" s="41" t="s">
        <v>1085</v>
      </c>
    </row>
    <row r="2301" spans="1:19" x14ac:dyDescent="0.25">
      <c r="A2301" s="41" t="s">
        <v>23</v>
      </c>
      <c r="B2301" s="41" t="s">
        <v>18960</v>
      </c>
      <c r="D2301" s="41" t="s">
        <v>18961</v>
      </c>
      <c r="F2301" s="41" t="s">
        <v>18962</v>
      </c>
      <c r="G2301" s="41" t="s">
        <v>18963</v>
      </c>
      <c r="H2301" s="41" t="s">
        <v>18964</v>
      </c>
      <c r="I2301" s="41" t="s">
        <v>18965</v>
      </c>
      <c r="J2301" s="41" t="s">
        <v>18966</v>
      </c>
      <c r="K2301" s="41" t="s">
        <v>18967</v>
      </c>
      <c r="L2301" s="41" t="s">
        <v>1094</v>
      </c>
    </row>
    <row r="2302" spans="1:19" x14ac:dyDescent="0.25">
      <c r="A2302" s="41" t="s">
        <v>908</v>
      </c>
      <c r="B2302" s="41" t="s">
        <v>18968</v>
      </c>
    </row>
    <row r="2303" spans="1:19" x14ac:dyDescent="0.25">
      <c r="A2303" s="41" t="s">
        <v>23</v>
      </c>
      <c r="B2303" s="41" t="s">
        <v>18969</v>
      </c>
      <c r="F2303" s="41" t="s">
        <v>18970</v>
      </c>
      <c r="G2303" s="41" t="s">
        <v>18971</v>
      </c>
      <c r="H2303" s="41" t="s">
        <v>18972</v>
      </c>
      <c r="I2303" s="41" t="s">
        <v>18973</v>
      </c>
      <c r="J2303" s="41" t="s">
        <v>18974</v>
      </c>
      <c r="L2303" s="41" t="s">
        <v>4</v>
      </c>
    </row>
    <row r="2304" spans="1:19" x14ac:dyDescent="0.25">
      <c r="A2304" s="41" t="s">
        <v>23</v>
      </c>
      <c r="B2304" s="41" t="s">
        <v>18975</v>
      </c>
      <c r="D2304" s="41" t="s">
        <v>18864</v>
      </c>
      <c r="E2304" s="41" t="s">
        <v>18977</v>
      </c>
      <c r="F2304" s="41" t="s">
        <v>18978</v>
      </c>
      <c r="G2304" s="41" t="s">
        <v>18979</v>
      </c>
      <c r="H2304" s="41" t="s">
        <v>18980</v>
      </c>
      <c r="I2304" s="41" t="s">
        <v>18981</v>
      </c>
      <c r="J2304" s="41" t="s">
        <v>18982</v>
      </c>
      <c r="K2304" s="41" t="s">
        <v>18983</v>
      </c>
      <c r="L2304" s="41" t="s">
        <v>18984</v>
      </c>
      <c r="M2304" s="41" t="s">
        <v>18985</v>
      </c>
      <c r="N2304" s="41" t="s">
        <v>18986</v>
      </c>
      <c r="O2304" s="41" t="s">
        <v>18987</v>
      </c>
      <c r="P2304" s="41" t="s">
        <v>18988</v>
      </c>
      <c r="Q2304" s="41" t="s">
        <v>18989</v>
      </c>
      <c r="R2304" s="41" t="s">
        <v>18990</v>
      </c>
      <c r="S2304" s="41" t="s">
        <v>18991</v>
      </c>
    </row>
    <row r="2305" spans="1:19" x14ac:dyDescent="0.25">
      <c r="A2305" s="41" t="s">
        <v>23</v>
      </c>
      <c r="B2305" s="41" t="s">
        <v>18992</v>
      </c>
      <c r="D2305" s="41" t="s">
        <v>18993</v>
      </c>
      <c r="F2305" s="41" t="s">
        <v>18994</v>
      </c>
      <c r="G2305" s="41" t="s">
        <v>18995</v>
      </c>
      <c r="H2305" s="41" t="s">
        <v>18996</v>
      </c>
      <c r="I2305" s="41" t="s">
        <v>18997</v>
      </c>
      <c r="J2305" s="41" t="s">
        <v>18998</v>
      </c>
      <c r="K2305" s="41" t="s">
        <v>18999</v>
      </c>
      <c r="L2305" s="41" t="s">
        <v>891</v>
      </c>
    </row>
    <row r="2306" spans="1:19" x14ac:dyDescent="0.25">
      <c r="A2306" s="41" t="s">
        <v>23</v>
      </c>
      <c r="B2306" s="41" t="s">
        <v>19000</v>
      </c>
      <c r="D2306" s="41" t="s">
        <v>19001</v>
      </c>
      <c r="F2306" s="41" t="s">
        <v>19002</v>
      </c>
      <c r="G2306" s="41" t="s">
        <v>19003</v>
      </c>
      <c r="H2306" s="41" t="s">
        <v>19004</v>
      </c>
      <c r="I2306" s="41" t="s">
        <v>19005</v>
      </c>
      <c r="J2306" s="41" t="s">
        <v>19006</v>
      </c>
      <c r="K2306" s="41" t="s">
        <v>19007</v>
      </c>
      <c r="L2306" s="41" t="s">
        <v>1076</v>
      </c>
    </row>
    <row r="2307" spans="1:19" x14ac:dyDescent="0.25">
      <c r="A2307" s="41" t="s">
        <v>23</v>
      </c>
      <c r="B2307" s="41" t="s">
        <v>19008</v>
      </c>
      <c r="D2307" s="41" t="s">
        <v>19009</v>
      </c>
      <c r="F2307" s="41" t="s">
        <v>19010</v>
      </c>
      <c r="G2307" s="41" t="s">
        <v>19011</v>
      </c>
      <c r="H2307" s="41" t="s">
        <v>19012</v>
      </c>
      <c r="I2307" s="41" t="s">
        <v>19013</v>
      </c>
      <c r="J2307" s="41" t="s">
        <v>19014</v>
      </c>
      <c r="K2307" s="41" t="s">
        <v>19015</v>
      </c>
      <c r="L2307" s="41" t="s">
        <v>1085</v>
      </c>
    </row>
    <row r="2308" spans="1:19" x14ac:dyDescent="0.25">
      <c r="A2308" s="41" t="s">
        <v>23</v>
      </c>
      <c r="B2308" s="41" t="s">
        <v>19016</v>
      </c>
      <c r="D2308" s="41" t="s">
        <v>19017</v>
      </c>
      <c r="F2308" s="41" t="s">
        <v>19018</v>
      </c>
      <c r="G2308" s="41" t="s">
        <v>19019</v>
      </c>
      <c r="H2308" s="41" t="s">
        <v>19020</v>
      </c>
      <c r="I2308" s="41" t="s">
        <v>19021</v>
      </c>
      <c r="J2308" s="41" t="s">
        <v>19022</v>
      </c>
      <c r="K2308" s="41" t="s">
        <v>19023</v>
      </c>
      <c r="L2308" s="41" t="s">
        <v>1094</v>
      </c>
    </row>
    <row r="2309" spans="1:19" x14ac:dyDescent="0.25">
      <c r="A2309" s="41" t="s">
        <v>908</v>
      </c>
      <c r="B2309" s="41" t="s">
        <v>19024</v>
      </c>
    </row>
    <row r="2310" spans="1:19" x14ac:dyDescent="0.25">
      <c r="A2310" s="41" t="s">
        <v>23</v>
      </c>
      <c r="B2310" s="41" t="s">
        <v>19025</v>
      </c>
      <c r="F2310" s="41" t="s">
        <v>19026</v>
      </c>
      <c r="G2310" s="41" t="s">
        <v>19027</v>
      </c>
      <c r="H2310" s="41" t="s">
        <v>19028</v>
      </c>
      <c r="I2310" s="41" t="s">
        <v>19029</v>
      </c>
      <c r="J2310" s="41" t="s">
        <v>19030</v>
      </c>
      <c r="L2310" s="41" t="s">
        <v>4</v>
      </c>
    </row>
    <row r="2311" spans="1:19" x14ac:dyDescent="0.25">
      <c r="A2311" s="41" t="s">
        <v>23</v>
      </c>
      <c r="B2311" s="41" t="s">
        <v>19031</v>
      </c>
      <c r="D2311" s="41" t="s">
        <v>18920</v>
      </c>
      <c r="E2311" s="41" t="s">
        <v>19033</v>
      </c>
      <c r="F2311" s="41" t="s">
        <v>19034</v>
      </c>
      <c r="G2311" s="41" t="s">
        <v>19035</v>
      </c>
      <c r="H2311" s="41" t="s">
        <v>19036</v>
      </c>
      <c r="I2311" s="41" t="s">
        <v>19037</v>
      </c>
      <c r="J2311" s="41" t="s">
        <v>19038</v>
      </c>
      <c r="K2311" s="41" t="s">
        <v>19039</v>
      </c>
      <c r="L2311" s="41" t="s">
        <v>19040</v>
      </c>
      <c r="M2311" s="41" t="s">
        <v>19041</v>
      </c>
      <c r="N2311" s="41" t="s">
        <v>19042</v>
      </c>
      <c r="O2311" s="41" t="s">
        <v>19043</v>
      </c>
      <c r="P2311" s="41" t="s">
        <v>19044</v>
      </c>
      <c r="Q2311" s="41" t="s">
        <v>19045</v>
      </c>
      <c r="R2311" s="41" t="s">
        <v>19046</v>
      </c>
      <c r="S2311" s="41" t="s">
        <v>19047</v>
      </c>
    </row>
    <row r="2312" spans="1:19" x14ac:dyDescent="0.25">
      <c r="A2312" s="41" t="s">
        <v>23</v>
      </c>
      <c r="B2312" s="41" t="s">
        <v>19048</v>
      </c>
      <c r="D2312" s="41" t="s">
        <v>19049</v>
      </c>
      <c r="F2312" s="41" t="s">
        <v>19050</v>
      </c>
      <c r="G2312" s="41" t="s">
        <v>19051</v>
      </c>
      <c r="H2312" s="41" t="s">
        <v>19052</v>
      </c>
      <c r="I2312" s="41" t="s">
        <v>19053</v>
      </c>
      <c r="J2312" s="41" t="s">
        <v>19054</v>
      </c>
      <c r="K2312" s="41" t="s">
        <v>19055</v>
      </c>
      <c r="L2312" s="41" t="s">
        <v>891</v>
      </c>
    </row>
    <row r="2313" spans="1:19" x14ac:dyDescent="0.25">
      <c r="A2313" s="41" t="s">
        <v>23</v>
      </c>
      <c r="B2313" s="41" t="s">
        <v>19056</v>
      </c>
      <c r="D2313" s="41" t="s">
        <v>19057</v>
      </c>
      <c r="F2313" s="41" t="s">
        <v>19058</v>
      </c>
      <c r="G2313" s="41" t="s">
        <v>19059</v>
      </c>
      <c r="H2313" s="41" t="s">
        <v>19060</v>
      </c>
      <c r="I2313" s="41" t="s">
        <v>19061</v>
      </c>
      <c r="J2313" s="41" t="s">
        <v>19062</v>
      </c>
      <c r="K2313" s="41" t="s">
        <v>19063</v>
      </c>
      <c r="L2313" s="41" t="s">
        <v>1076</v>
      </c>
    </row>
    <row r="2314" spans="1:19" x14ac:dyDescent="0.25">
      <c r="A2314" s="41" t="s">
        <v>23</v>
      </c>
      <c r="B2314" s="41" t="s">
        <v>19064</v>
      </c>
      <c r="D2314" s="41" t="s">
        <v>19065</v>
      </c>
      <c r="F2314" s="41" t="s">
        <v>19066</v>
      </c>
      <c r="G2314" s="41" t="s">
        <v>19067</v>
      </c>
      <c r="H2314" s="41" t="s">
        <v>19068</v>
      </c>
      <c r="I2314" s="41" t="s">
        <v>19069</v>
      </c>
      <c r="J2314" s="41" t="s">
        <v>19070</v>
      </c>
      <c r="K2314" s="41" t="s">
        <v>19071</v>
      </c>
      <c r="L2314" s="41" t="s">
        <v>1085</v>
      </c>
    </row>
    <row r="2315" spans="1:19" x14ac:dyDescent="0.25">
      <c r="A2315" s="41" t="s">
        <v>23</v>
      </c>
      <c r="B2315" s="41" t="s">
        <v>19072</v>
      </c>
      <c r="D2315" s="41" t="s">
        <v>19073</v>
      </c>
      <c r="F2315" s="41" t="s">
        <v>19074</v>
      </c>
      <c r="G2315" s="41" t="s">
        <v>19075</v>
      </c>
      <c r="H2315" s="41" t="s">
        <v>19076</v>
      </c>
      <c r="I2315" s="41" t="s">
        <v>19077</v>
      </c>
      <c r="J2315" s="41" t="s">
        <v>19078</v>
      </c>
      <c r="K2315" s="41" t="s">
        <v>19079</v>
      </c>
      <c r="L2315" s="41" t="s">
        <v>1094</v>
      </c>
    </row>
    <row r="2316" spans="1:19" x14ac:dyDescent="0.25">
      <c r="A2316" s="41" t="s">
        <v>908</v>
      </c>
      <c r="B2316" s="41" t="s">
        <v>19080</v>
      </c>
    </row>
    <row r="2317" spans="1:19" x14ac:dyDescent="0.25">
      <c r="A2317" s="41" t="s">
        <v>23</v>
      </c>
      <c r="B2317" s="41" t="s">
        <v>19081</v>
      </c>
      <c r="F2317" s="41" t="s">
        <v>19082</v>
      </c>
      <c r="G2317" s="41" t="s">
        <v>19083</v>
      </c>
      <c r="H2317" s="41" t="s">
        <v>19084</v>
      </c>
      <c r="I2317" s="41" t="s">
        <v>19085</v>
      </c>
      <c r="J2317" s="41" t="s">
        <v>19086</v>
      </c>
      <c r="L2317" s="41" t="s">
        <v>4</v>
      </c>
    </row>
    <row r="2318" spans="1:19" x14ac:dyDescent="0.25">
      <c r="A2318" s="41" t="s">
        <v>23</v>
      </c>
      <c r="B2318" s="41" t="s">
        <v>19087</v>
      </c>
      <c r="D2318" s="41" t="s">
        <v>18976</v>
      </c>
      <c r="E2318" s="41" t="s">
        <v>19089</v>
      </c>
      <c r="F2318" s="41" t="s">
        <v>19090</v>
      </c>
      <c r="G2318" s="41" t="s">
        <v>19091</v>
      </c>
      <c r="H2318" s="41" t="s">
        <v>19092</v>
      </c>
      <c r="I2318" s="41" t="s">
        <v>19093</v>
      </c>
      <c r="J2318" s="41" t="s">
        <v>19094</v>
      </c>
      <c r="K2318" s="41" t="s">
        <v>19095</v>
      </c>
      <c r="L2318" s="41" t="s">
        <v>19096</v>
      </c>
      <c r="M2318" s="41" t="s">
        <v>19097</v>
      </c>
      <c r="N2318" s="41" t="s">
        <v>19098</v>
      </c>
      <c r="O2318" s="41" t="s">
        <v>19099</v>
      </c>
      <c r="P2318" s="41" t="s">
        <v>19100</v>
      </c>
      <c r="Q2318" s="41" t="s">
        <v>19101</v>
      </c>
      <c r="R2318" s="41" t="s">
        <v>19102</v>
      </c>
      <c r="S2318" s="41" t="s">
        <v>19103</v>
      </c>
    </row>
    <row r="2319" spans="1:19" x14ac:dyDescent="0.25">
      <c r="A2319" s="41" t="s">
        <v>23</v>
      </c>
      <c r="B2319" s="41" t="s">
        <v>19104</v>
      </c>
      <c r="D2319" s="41" t="s">
        <v>19105</v>
      </c>
      <c r="F2319" s="41" t="s">
        <v>19106</v>
      </c>
      <c r="G2319" s="41" t="s">
        <v>19107</v>
      </c>
      <c r="H2319" s="41" t="s">
        <v>19108</v>
      </c>
      <c r="I2319" s="41" t="s">
        <v>19109</v>
      </c>
      <c r="J2319" s="41" t="s">
        <v>19110</v>
      </c>
      <c r="K2319" s="41" t="s">
        <v>19111</v>
      </c>
      <c r="L2319" s="41" t="s">
        <v>891</v>
      </c>
    </row>
    <row r="2320" spans="1:19" x14ac:dyDescent="0.25">
      <c r="A2320" s="41" t="s">
        <v>23</v>
      </c>
      <c r="B2320" s="41" t="s">
        <v>19112</v>
      </c>
      <c r="D2320" s="41" t="s">
        <v>19113</v>
      </c>
      <c r="F2320" s="41" t="s">
        <v>19114</v>
      </c>
      <c r="G2320" s="41" t="s">
        <v>19115</v>
      </c>
      <c r="H2320" s="41" t="s">
        <v>19116</v>
      </c>
      <c r="I2320" s="41" t="s">
        <v>19117</v>
      </c>
      <c r="J2320" s="41" t="s">
        <v>19118</v>
      </c>
      <c r="K2320" s="41" t="s">
        <v>19119</v>
      </c>
      <c r="L2320" s="41" t="s">
        <v>1076</v>
      </c>
    </row>
    <row r="2321" spans="1:19" x14ac:dyDescent="0.25">
      <c r="A2321" s="41" t="s">
        <v>23</v>
      </c>
      <c r="B2321" s="41" t="s">
        <v>19120</v>
      </c>
      <c r="D2321" s="41" t="s">
        <v>19121</v>
      </c>
      <c r="F2321" s="41" t="s">
        <v>19122</v>
      </c>
      <c r="G2321" s="41" t="s">
        <v>19123</v>
      </c>
      <c r="H2321" s="41" t="s">
        <v>19124</v>
      </c>
      <c r="I2321" s="41" t="s">
        <v>19125</v>
      </c>
      <c r="J2321" s="41" t="s">
        <v>19126</v>
      </c>
      <c r="K2321" s="41" t="s">
        <v>19127</v>
      </c>
      <c r="L2321" s="41" t="s">
        <v>1085</v>
      </c>
    </row>
    <row r="2322" spans="1:19" x14ac:dyDescent="0.25">
      <c r="A2322" s="41" t="s">
        <v>23</v>
      </c>
      <c r="B2322" s="41" t="s">
        <v>19128</v>
      </c>
      <c r="D2322" s="41" t="s">
        <v>19129</v>
      </c>
      <c r="F2322" s="41" t="s">
        <v>19130</v>
      </c>
      <c r="G2322" s="41" t="s">
        <v>19131</v>
      </c>
      <c r="H2322" s="41" t="s">
        <v>19132</v>
      </c>
      <c r="I2322" s="41" t="s">
        <v>19133</v>
      </c>
      <c r="J2322" s="41" t="s">
        <v>19134</v>
      </c>
      <c r="K2322" s="41" t="s">
        <v>19135</v>
      </c>
      <c r="L2322" s="41" t="s">
        <v>1094</v>
      </c>
    </row>
    <row r="2323" spans="1:19" x14ac:dyDescent="0.25">
      <c r="A2323" s="41" t="s">
        <v>908</v>
      </c>
      <c r="B2323" s="41" t="s">
        <v>19136</v>
      </c>
    </row>
    <row r="2324" spans="1:19" x14ac:dyDescent="0.25">
      <c r="A2324" s="41" t="s">
        <v>23</v>
      </c>
      <c r="B2324" s="41" t="s">
        <v>19137</v>
      </c>
      <c r="F2324" s="41" t="s">
        <v>19138</v>
      </c>
      <c r="G2324" s="41" t="s">
        <v>19139</v>
      </c>
      <c r="H2324" s="41" t="s">
        <v>19140</v>
      </c>
      <c r="I2324" s="41" t="s">
        <v>19141</v>
      </c>
      <c r="J2324" s="41" t="s">
        <v>19142</v>
      </c>
      <c r="L2324" s="41" t="s">
        <v>4</v>
      </c>
    </row>
    <row r="2325" spans="1:19" x14ac:dyDescent="0.25">
      <c r="A2325" s="41" t="s">
        <v>23</v>
      </c>
      <c r="B2325" s="41" t="s">
        <v>19143</v>
      </c>
      <c r="D2325" s="41" t="s">
        <v>19032</v>
      </c>
      <c r="E2325" s="41" t="s">
        <v>19145</v>
      </c>
      <c r="F2325" s="41" t="s">
        <v>19146</v>
      </c>
      <c r="G2325" s="41" t="s">
        <v>19147</v>
      </c>
      <c r="H2325" s="41" t="s">
        <v>19148</v>
      </c>
      <c r="I2325" s="41" t="s">
        <v>19149</v>
      </c>
      <c r="J2325" s="41" t="s">
        <v>19150</v>
      </c>
      <c r="K2325" s="41" t="s">
        <v>19151</v>
      </c>
      <c r="L2325" s="41" t="s">
        <v>19152</v>
      </c>
      <c r="M2325" s="41" t="s">
        <v>19153</v>
      </c>
      <c r="N2325" s="41" t="s">
        <v>19154</v>
      </c>
      <c r="O2325" s="41" t="s">
        <v>19155</v>
      </c>
      <c r="P2325" s="41" t="s">
        <v>19156</v>
      </c>
      <c r="Q2325" s="41" t="s">
        <v>19157</v>
      </c>
      <c r="R2325" s="41" t="s">
        <v>19158</v>
      </c>
      <c r="S2325" s="41" t="s">
        <v>19159</v>
      </c>
    </row>
    <row r="2326" spans="1:19" x14ac:dyDescent="0.25">
      <c r="A2326" s="41" t="s">
        <v>23</v>
      </c>
      <c r="B2326" s="41" t="s">
        <v>19160</v>
      </c>
      <c r="D2326" s="41" t="s">
        <v>19161</v>
      </c>
      <c r="F2326" s="41" t="s">
        <v>19162</v>
      </c>
      <c r="G2326" s="41" t="s">
        <v>19163</v>
      </c>
      <c r="H2326" s="41" t="s">
        <v>19164</v>
      </c>
      <c r="I2326" s="41" t="s">
        <v>19165</v>
      </c>
      <c r="J2326" s="41" t="s">
        <v>19166</v>
      </c>
      <c r="K2326" s="41" t="s">
        <v>19167</v>
      </c>
      <c r="L2326" s="41" t="s">
        <v>891</v>
      </c>
    </row>
    <row r="2327" spans="1:19" x14ac:dyDescent="0.25">
      <c r="A2327" s="41" t="s">
        <v>23</v>
      </c>
      <c r="B2327" s="41" t="s">
        <v>19168</v>
      </c>
      <c r="D2327" s="41" t="s">
        <v>19169</v>
      </c>
      <c r="F2327" s="41" t="s">
        <v>19170</v>
      </c>
      <c r="G2327" s="41" t="s">
        <v>19171</v>
      </c>
      <c r="H2327" s="41" t="s">
        <v>19172</v>
      </c>
      <c r="I2327" s="41" t="s">
        <v>19173</v>
      </c>
      <c r="J2327" s="41" t="s">
        <v>19174</v>
      </c>
      <c r="K2327" s="41" t="s">
        <v>19175</v>
      </c>
      <c r="L2327" s="41" t="s">
        <v>1076</v>
      </c>
    </row>
    <row r="2328" spans="1:19" x14ac:dyDescent="0.25">
      <c r="A2328" s="41" t="s">
        <v>23</v>
      </c>
      <c r="B2328" s="41" t="s">
        <v>19176</v>
      </c>
      <c r="D2328" s="41" t="s">
        <v>19177</v>
      </c>
      <c r="F2328" s="41" t="s">
        <v>19178</v>
      </c>
      <c r="G2328" s="41" t="s">
        <v>19179</v>
      </c>
      <c r="H2328" s="41" t="s">
        <v>19180</v>
      </c>
      <c r="I2328" s="41" t="s">
        <v>19181</v>
      </c>
      <c r="J2328" s="41" t="s">
        <v>19182</v>
      </c>
      <c r="K2328" s="41" t="s">
        <v>19183</v>
      </c>
      <c r="L2328" s="41" t="s">
        <v>1085</v>
      </c>
    </row>
    <row r="2329" spans="1:19" x14ac:dyDescent="0.25">
      <c r="A2329" s="41" t="s">
        <v>23</v>
      </c>
      <c r="B2329" s="41" t="s">
        <v>19184</v>
      </c>
      <c r="D2329" s="41" t="s">
        <v>19185</v>
      </c>
      <c r="F2329" s="41" t="s">
        <v>19186</v>
      </c>
      <c r="G2329" s="41" t="s">
        <v>19187</v>
      </c>
      <c r="H2329" s="41" t="s">
        <v>19188</v>
      </c>
      <c r="I2329" s="41" t="s">
        <v>19189</v>
      </c>
      <c r="J2329" s="41" t="s">
        <v>19190</v>
      </c>
      <c r="K2329" s="41" t="s">
        <v>19191</v>
      </c>
      <c r="L2329" s="41" t="s">
        <v>1094</v>
      </c>
    </row>
    <row r="2330" spans="1:19" x14ac:dyDescent="0.25">
      <c r="A2330" s="41" t="s">
        <v>908</v>
      </c>
      <c r="B2330" s="41" t="s">
        <v>19192</v>
      </c>
    </row>
    <row r="2331" spans="1:19" x14ac:dyDescent="0.25">
      <c r="A2331" s="41" t="s">
        <v>23</v>
      </c>
      <c r="B2331" s="41" t="s">
        <v>19193</v>
      </c>
      <c r="F2331" s="41" t="s">
        <v>19194</v>
      </c>
      <c r="G2331" s="41" t="s">
        <v>19195</v>
      </c>
      <c r="H2331" s="41" t="s">
        <v>19196</v>
      </c>
      <c r="I2331" s="41" t="s">
        <v>19197</v>
      </c>
      <c r="J2331" s="41" t="s">
        <v>19198</v>
      </c>
      <c r="L2331" s="41" t="s">
        <v>4</v>
      </c>
    </row>
    <row r="2332" spans="1:19" x14ac:dyDescent="0.25">
      <c r="A2332" s="41" t="s">
        <v>23</v>
      </c>
      <c r="B2332" s="41" t="s">
        <v>19199</v>
      </c>
      <c r="D2332" s="41" t="s">
        <v>19088</v>
      </c>
      <c r="E2332" s="41" t="s">
        <v>19201</v>
      </c>
      <c r="F2332" s="41" t="s">
        <v>19202</v>
      </c>
      <c r="G2332" s="41" t="s">
        <v>19203</v>
      </c>
      <c r="H2332" s="41" t="s">
        <v>19204</v>
      </c>
      <c r="I2332" s="41" t="s">
        <v>19205</v>
      </c>
      <c r="J2332" s="41" t="s">
        <v>19206</v>
      </c>
      <c r="K2332" s="41" t="s">
        <v>19207</v>
      </c>
      <c r="L2332" s="41" t="s">
        <v>19208</v>
      </c>
      <c r="M2332" s="41" t="s">
        <v>19209</v>
      </c>
      <c r="N2332" s="41" t="s">
        <v>19210</v>
      </c>
      <c r="O2332" s="41" t="s">
        <v>19211</v>
      </c>
      <c r="P2332" s="41" t="s">
        <v>19212</v>
      </c>
      <c r="Q2332" s="41" t="s">
        <v>19213</v>
      </c>
      <c r="R2332" s="41" t="s">
        <v>19214</v>
      </c>
      <c r="S2332" s="41" t="s">
        <v>19215</v>
      </c>
    </row>
    <row r="2333" spans="1:19" x14ac:dyDescent="0.25">
      <c r="A2333" s="41" t="s">
        <v>23</v>
      </c>
      <c r="B2333" s="41" t="s">
        <v>19216</v>
      </c>
      <c r="D2333" s="41" t="s">
        <v>19217</v>
      </c>
      <c r="F2333" s="41" t="s">
        <v>19218</v>
      </c>
      <c r="G2333" s="41" t="s">
        <v>19219</v>
      </c>
      <c r="H2333" s="41" t="s">
        <v>19220</v>
      </c>
      <c r="I2333" s="41" t="s">
        <v>19221</v>
      </c>
      <c r="J2333" s="41" t="s">
        <v>19222</v>
      </c>
      <c r="K2333" s="41" t="s">
        <v>19223</v>
      </c>
      <c r="L2333" s="41" t="s">
        <v>891</v>
      </c>
    </row>
    <row r="2334" spans="1:19" x14ac:dyDescent="0.25">
      <c r="A2334" s="41" t="s">
        <v>23</v>
      </c>
      <c r="B2334" s="41" t="s">
        <v>19224</v>
      </c>
      <c r="D2334" s="41" t="s">
        <v>19225</v>
      </c>
      <c r="F2334" s="41" t="s">
        <v>19226</v>
      </c>
      <c r="G2334" s="41" t="s">
        <v>19227</v>
      </c>
      <c r="H2334" s="41" t="s">
        <v>19228</v>
      </c>
      <c r="I2334" s="41" t="s">
        <v>19229</v>
      </c>
      <c r="J2334" s="41" t="s">
        <v>19230</v>
      </c>
      <c r="K2334" s="41" t="s">
        <v>19231</v>
      </c>
      <c r="L2334" s="41" t="s">
        <v>1076</v>
      </c>
    </row>
    <row r="2335" spans="1:19" x14ac:dyDescent="0.25">
      <c r="A2335" s="41" t="s">
        <v>23</v>
      </c>
      <c r="B2335" s="41" t="s">
        <v>19232</v>
      </c>
      <c r="D2335" s="41" t="s">
        <v>19233</v>
      </c>
      <c r="F2335" s="41" t="s">
        <v>19234</v>
      </c>
      <c r="G2335" s="41" t="s">
        <v>19235</v>
      </c>
      <c r="H2335" s="41" t="s">
        <v>19236</v>
      </c>
      <c r="I2335" s="41" t="s">
        <v>19237</v>
      </c>
      <c r="J2335" s="41" t="s">
        <v>19238</v>
      </c>
      <c r="K2335" s="41" t="s">
        <v>19239</v>
      </c>
      <c r="L2335" s="41" t="s">
        <v>1085</v>
      </c>
    </row>
    <row r="2336" spans="1:19" x14ac:dyDescent="0.25">
      <c r="A2336" s="41" t="s">
        <v>23</v>
      </c>
      <c r="B2336" s="41" t="s">
        <v>19240</v>
      </c>
      <c r="D2336" s="41" t="s">
        <v>19241</v>
      </c>
      <c r="F2336" s="41" t="s">
        <v>19242</v>
      </c>
      <c r="G2336" s="41" t="s">
        <v>19243</v>
      </c>
      <c r="H2336" s="41" t="s">
        <v>19244</v>
      </c>
      <c r="I2336" s="41" t="s">
        <v>19245</v>
      </c>
      <c r="J2336" s="41" t="s">
        <v>19246</v>
      </c>
      <c r="K2336" s="41" t="s">
        <v>19247</v>
      </c>
      <c r="L2336" s="41" t="s">
        <v>1094</v>
      </c>
    </row>
    <row r="2337" spans="1:19" x14ac:dyDescent="0.25">
      <c r="A2337" s="41" t="s">
        <v>908</v>
      </c>
      <c r="B2337" s="41" t="s">
        <v>19248</v>
      </c>
    </row>
    <row r="2338" spans="1:19" x14ac:dyDescent="0.25">
      <c r="A2338" s="41" t="s">
        <v>23</v>
      </c>
      <c r="B2338" s="41" t="s">
        <v>19249</v>
      </c>
      <c r="F2338" s="41" t="s">
        <v>19250</v>
      </c>
      <c r="G2338" s="41" t="s">
        <v>19251</v>
      </c>
      <c r="H2338" s="41" t="s">
        <v>19252</v>
      </c>
      <c r="I2338" s="41" t="s">
        <v>19253</v>
      </c>
      <c r="J2338" s="41" t="s">
        <v>19254</v>
      </c>
      <c r="L2338" s="41" t="s">
        <v>4</v>
      </c>
    </row>
    <row r="2339" spans="1:19" x14ac:dyDescent="0.25">
      <c r="A2339" s="41" t="s">
        <v>23</v>
      </c>
      <c r="B2339" s="41" t="s">
        <v>19255</v>
      </c>
      <c r="D2339" s="41" t="s">
        <v>19144</v>
      </c>
      <c r="E2339" s="41" t="s">
        <v>19257</v>
      </c>
      <c r="F2339" s="41" t="s">
        <v>19258</v>
      </c>
      <c r="G2339" s="41" t="s">
        <v>19259</v>
      </c>
      <c r="H2339" s="41" t="s">
        <v>19260</v>
      </c>
      <c r="I2339" s="41" t="s">
        <v>19261</v>
      </c>
      <c r="J2339" s="41" t="s">
        <v>19262</v>
      </c>
      <c r="K2339" s="41" t="s">
        <v>19263</v>
      </c>
      <c r="L2339" s="41" t="s">
        <v>19264</v>
      </c>
      <c r="M2339" s="41" t="s">
        <v>19265</v>
      </c>
      <c r="N2339" s="41" t="s">
        <v>19266</v>
      </c>
      <c r="O2339" s="41" t="s">
        <v>19267</v>
      </c>
      <c r="P2339" s="41" t="s">
        <v>19268</v>
      </c>
      <c r="Q2339" s="41" t="s">
        <v>19269</v>
      </c>
      <c r="R2339" s="41" t="s">
        <v>19270</v>
      </c>
      <c r="S2339" s="41" t="s">
        <v>19271</v>
      </c>
    </row>
    <row r="2340" spans="1:19" x14ac:dyDescent="0.25">
      <c r="A2340" s="41" t="s">
        <v>23</v>
      </c>
      <c r="B2340" s="41" t="s">
        <v>19272</v>
      </c>
      <c r="D2340" s="41" t="s">
        <v>19273</v>
      </c>
      <c r="F2340" s="41" t="s">
        <v>19274</v>
      </c>
      <c r="G2340" s="41" t="s">
        <v>19275</v>
      </c>
      <c r="H2340" s="41" t="s">
        <v>19276</v>
      </c>
      <c r="I2340" s="41" t="s">
        <v>19277</v>
      </c>
      <c r="J2340" s="41" t="s">
        <v>19278</v>
      </c>
      <c r="K2340" s="41" t="s">
        <v>19279</v>
      </c>
      <c r="L2340" s="41" t="s">
        <v>891</v>
      </c>
    </row>
    <row r="2341" spans="1:19" x14ac:dyDescent="0.25">
      <c r="A2341" s="41" t="s">
        <v>23</v>
      </c>
      <c r="B2341" s="41" t="s">
        <v>19280</v>
      </c>
      <c r="D2341" s="41" t="s">
        <v>19281</v>
      </c>
      <c r="F2341" s="41" t="s">
        <v>19282</v>
      </c>
      <c r="G2341" s="41" t="s">
        <v>19283</v>
      </c>
      <c r="H2341" s="41" t="s">
        <v>19284</v>
      </c>
      <c r="I2341" s="41" t="s">
        <v>19285</v>
      </c>
      <c r="J2341" s="41" t="s">
        <v>19286</v>
      </c>
      <c r="K2341" s="41" t="s">
        <v>19287</v>
      </c>
      <c r="L2341" s="41" t="s">
        <v>1076</v>
      </c>
    </row>
    <row r="2342" spans="1:19" x14ac:dyDescent="0.25">
      <c r="A2342" s="41" t="s">
        <v>23</v>
      </c>
      <c r="B2342" s="41" t="s">
        <v>19288</v>
      </c>
      <c r="D2342" s="41" t="s">
        <v>19289</v>
      </c>
      <c r="F2342" s="41" t="s">
        <v>19290</v>
      </c>
      <c r="G2342" s="41" t="s">
        <v>19291</v>
      </c>
      <c r="H2342" s="41" t="s">
        <v>19292</v>
      </c>
      <c r="I2342" s="41" t="s">
        <v>19293</v>
      </c>
      <c r="J2342" s="41" t="s">
        <v>19294</v>
      </c>
      <c r="K2342" s="41" t="s">
        <v>19295</v>
      </c>
      <c r="L2342" s="41" t="s">
        <v>1085</v>
      </c>
    </row>
    <row r="2343" spans="1:19" x14ac:dyDescent="0.25">
      <c r="A2343" s="41" t="s">
        <v>23</v>
      </c>
      <c r="B2343" s="41" t="s">
        <v>19296</v>
      </c>
      <c r="D2343" s="41" t="s">
        <v>19297</v>
      </c>
      <c r="F2343" s="41" t="s">
        <v>19298</v>
      </c>
      <c r="G2343" s="41" t="s">
        <v>19299</v>
      </c>
      <c r="H2343" s="41" t="s">
        <v>19300</v>
      </c>
      <c r="I2343" s="41" t="s">
        <v>19301</v>
      </c>
      <c r="J2343" s="41" t="s">
        <v>19302</v>
      </c>
      <c r="K2343" s="41" t="s">
        <v>19303</v>
      </c>
      <c r="L2343" s="41" t="s">
        <v>1094</v>
      </c>
    </row>
    <row r="2344" spans="1:19" x14ac:dyDescent="0.25">
      <c r="A2344" s="41" t="s">
        <v>908</v>
      </c>
      <c r="B2344" s="41" t="s">
        <v>19304</v>
      </c>
    </row>
    <row r="2345" spans="1:19" x14ac:dyDescent="0.25">
      <c r="A2345" s="41" t="s">
        <v>23</v>
      </c>
      <c r="B2345" s="41" t="s">
        <v>19305</v>
      </c>
      <c r="F2345" s="41" t="s">
        <v>19306</v>
      </c>
      <c r="G2345" s="41" t="s">
        <v>19307</v>
      </c>
      <c r="H2345" s="41" t="s">
        <v>19308</v>
      </c>
      <c r="I2345" s="41" t="s">
        <v>19309</v>
      </c>
      <c r="J2345" s="41" t="s">
        <v>19310</v>
      </c>
      <c r="L2345" s="41" t="s">
        <v>4</v>
      </c>
    </row>
    <row r="2346" spans="1:19" x14ac:dyDescent="0.25">
      <c r="A2346" s="41" t="s">
        <v>23</v>
      </c>
      <c r="B2346" s="41" t="s">
        <v>19311</v>
      </c>
      <c r="D2346" s="41" t="s">
        <v>19200</v>
      </c>
      <c r="E2346" s="41" t="s">
        <v>19313</v>
      </c>
      <c r="F2346" s="41" t="s">
        <v>19314</v>
      </c>
      <c r="G2346" s="41" t="s">
        <v>19315</v>
      </c>
      <c r="H2346" s="41" t="s">
        <v>19316</v>
      </c>
      <c r="I2346" s="41" t="s">
        <v>19317</v>
      </c>
      <c r="J2346" s="41" t="s">
        <v>19318</v>
      </c>
      <c r="K2346" s="41" t="s">
        <v>19319</v>
      </c>
      <c r="L2346" s="41" t="s">
        <v>19320</v>
      </c>
      <c r="M2346" s="41" t="s">
        <v>19321</v>
      </c>
      <c r="N2346" s="41" t="s">
        <v>19322</v>
      </c>
      <c r="O2346" s="41" t="s">
        <v>19323</v>
      </c>
      <c r="P2346" s="41" t="s">
        <v>19324</v>
      </c>
      <c r="Q2346" s="41" t="s">
        <v>19325</v>
      </c>
      <c r="R2346" s="41" t="s">
        <v>19326</v>
      </c>
      <c r="S2346" s="41" t="s">
        <v>19327</v>
      </c>
    </row>
    <row r="2347" spans="1:19" x14ac:dyDescent="0.25">
      <c r="A2347" s="41" t="s">
        <v>23</v>
      </c>
      <c r="B2347" s="41" t="s">
        <v>19328</v>
      </c>
      <c r="D2347" s="41" t="s">
        <v>19329</v>
      </c>
      <c r="F2347" s="41" t="s">
        <v>19330</v>
      </c>
      <c r="G2347" s="41" t="s">
        <v>19331</v>
      </c>
      <c r="H2347" s="41" t="s">
        <v>19332</v>
      </c>
      <c r="I2347" s="41" t="s">
        <v>19333</v>
      </c>
      <c r="J2347" s="41" t="s">
        <v>19334</v>
      </c>
      <c r="K2347" s="41" t="s">
        <v>19335</v>
      </c>
      <c r="L2347" s="41" t="s">
        <v>891</v>
      </c>
    </row>
    <row r="2348" spans="1:19" x14ac:dyDescent="0.25">
      <c r="A2348" s="41" t="s">
        <v>23</v>
      </c>
      <c r="B2348" s="41" t="s">
        <v>19336</v>
      </c>
      <c r="D2348" s="41" t="s">
        <v>19337</v>
      </c>
      <c r="F2348" s="41" t="s">
        <v>19338</v>
      </c>
      <c r="G2348" s="41" t="s">
        <v>19339</v>
      </c>
      <c r="H2348" s="41" t="s">
        <v>19340</v>
      </c>
      <c r="I2348" s="41" t="s">
        <v>19341</v>
      </c>
      <c r="J2348" s="41" t="s">
        <v>19342</v>
      </c>
      <c r="K2348" s="41" t="s">
        <v>19343</v>
      </c>
      <c r="L2348" s="41" t="s">
        <v>1076</v>
      </c>
    </row>
    <row r="2349" spans="1:19" x14ac:dyDescent="0.25">
      <c r="A2349" s="41" t="s">
        <v>23</v>
      </c>
      <c r="B2349" s="41" t="s">
        <v>19344</v>
      </c>
      <c r="D2349" s="41" t="s">
        <v>19345</v>
      </c>
      <c r="F2349" s="41" t="s">
        <v>19346</v>
      </c>
      <c r="G2349" s="41" t="s">
        <v>19347</v>
      </c>
      <c r="H2349" s="41" t="s">
        <v>19348</v>
      </c>
      <c r="I2349" s="41" t="s">
        <v>19349</v>
      </c>
      <c r="J2349" s="41" t="s">
        <v>19350</v>
      </c>
      <c r="K2349" s="41" t="s">
        <v>19351</v>
      </c>
      <c r="L2349" s="41" t="s">
        <v>1085</v>
      </c>
    </row>
    <row r="2350" spans="1:19" x14ac:dyDescent="0.25">
      <c r="A2350" s="41" t="s">
        <v>23</v>
      </c>
      <c r="B2350" s="41" t="s">
        <v>19352</v>
      </c>
      <c r="D2350" s="41" t="s">
        <v>19353</v>
      </c>
      <c r="F2350" s="41" t="s">
        <v>19354</v>
      </c>
      <c r="G2350" s="41" t="s">
        <v>19355</v>
      </c>
      <c r="H2350" s="41" t="s">
        <v>19356</v>
      </c>
      <c r="I2350" s="41" t="s">
        <v>19357</v>
      </c>
      <c r="J2350" s="41" t="s">
        <v>19358</v>
      </c>
      <c r="K2350" s="41" t="s">
        <v>19359</v>
      </c>
      <c r="L2350" s="41" t="s">
        <v>1094</v>
      </c>
    </row>
    <row r="2351" spans="1:19" x14ac:dyDescent="0.25">
      <c r="A2351" s="41" t="s">
        <v>908</v>
      </c>
      <c r="B2351" s="41" t="s">
        <v>19360</v>
      </c>
    </row>
    <row r="2352" spans="1:19" x14ac:dyDescent="0.25">
      <c r="A2352" s="41" t="s">
        <v>23</v>
      </c>
      <c r="B2352" s="41" t="s">
        <v>19361</v>
      </c>
      <c r="F2352" s="41" t="s">
        <v>19362</v>
      </c>
      <c r="G2352" s="41" t="s">
        <v>19363</v>
      </c>
      <c r="H2352" s="41" t="s">
        <v>19364</v>
      </c>
      <c r="I2352" s="41" t="s">
        <v>19365</v>
      </c>
      <c r="J2352" s="41" t="s">
        <v>19366</v>
      </c>
      <c r="L2352" s="41" t="s">
        <v>4</v>
      </c>
    </row>
    <row r="2353" spans="1:19" x14ac:dyDescent="0.25">
      <c r="A2353" s="41" t="s">
        <v>23</v>
      </c>
      <c r="B2353" s="41" t="s">
        <v>19367</v>
      </c>
      <c r="D2353" s="41" t="s">
        <v>19256</v>
      </c>
      <c r="E2353" s="41" t="s">
        <v>19369</v>
      </c>
      <c r="F2353" s="41" t="s">
        <v>19370</v>
      </c>
      <c r="G2353" s="41" t="s">
        <v>19371</v>
      </c>
      <c r="H2353" s="41" t="s">
        <v>19372</v>
      </c>
      <c r="I2353" s="41" t="s">
        <v>19373</v>
      </c>
      <c r="J2353" s="41" t="s">
        <v>19374</v>
      </c>
      <c r="K2353" s="41" t="s">
        <v>19375</v>
      </c>
      <c r="L2353" s="41" t="s">
        <v>19376</v>
      </c>
      <c r="M2353" s="41" t="s">
        <v>19377</v>
      </c>
      <c r="N2353" s="41" t="s">
        <v>19378</v>
      </c>
      <c r="O2353" s="41" t="s">
        <v>19379</v>
      </c>
      <c r="P2353" s="41" t="s">
        <v>19380</v>
      </c>
      <c r="Q2353" s="41" t="s">
        <v>19381</v>
      </c>
      <c r="R2353" s="41" t="s">
        <v>19382</v>
      </c>
      <c r="S2353" s="41" t="s">
        <v>19383</v>
      </c>
    </row>
    <row r="2354" spans="1:19" x14ac:dyDescent="0.25">
      <c r="A2354" s="41" t="s">
        <v>23</v>
      </c>
      <c r="B2354" s="41" t="s">
        <v>19384</v>
      </c>
      <c r="D2354" s="41" t="s">
        <v>19385</v>
      </c>
      <c r="F2354" s="41" t="s">
        <v>19386</v>
      </c>
      <c r="G2354" s="41" t="s">
        <v>19387</v>
      </c>
      <c r="H2354" s="41" t="s">
        <v>19388</v>
      </c>
      <c r="I2354" s="41" t="s">
        <v>19389</v>
      </c>
      <c r="J2354" s="41" t="s">
        <v>19390</v>
      </c>
      <c r="K2354" s="41" t="s">
        <v>19391</v>
      </c>
      <c r="L2354" s="41" t="s">
        <v>891</v>
      </c>
    </row>
    <row r="2355" spans="1:19" x14ac:dyDescent="0.25">
      <c r="A2355" s="41" t="s">
        <v>23</v>
      </c>
      <c r="B2355" s="41" t="s">
        <v>19392</v>
      </c>
      <c r="D2355" s="41" t="s">
        <v>19393</v>
      </c>
      <c r="F2355" s="41" t="s">
        <v>19394</v>
      </c>
      <c r="G2355" s="41" t="s">
        <v>19395</v>
      </c>
      <c r="H2355" s="41" t="s">
        <v>19396</v>
      </c>
      <c r="I2355" s="41" t="s">
        <v>19397</v>
      </c>
      <c r="J2355" s="41" t="s">
        <v>19398</v>
      </c>
      <c r="K2355" s="41" t="s">
        <v>19399</v>
      </c>
      <c r="L2355" s="41" t="s">
        <v>1076</v>
      </c>
    </row>
    <row r="2356" spans="1:19" x14ac:dyDescent="0.25">
      <c r="A2356" s="41" t="s">
        <v>23</v>
      </c>
      <c r="B2356" s="41" t="s">
        <v>19400</v>
      </c>
      <c r="D2356" s="41" t="s">
        <v>19401</v>
      </c>
      <c r="F2356" s="41" t="s">
        <v>19402</v>
      </c>
      <c r="G2356" s="41" t="s">
        <v>19403</v>
      </c>
      <c r="H2356" s="41" t="s">
        <v>19404</v>
      </c>
      <c r="I2356" s="41" t="s">
        <v>19405</v>
      </c>
      <c r="J2356" s="41" t="s">
        <v>19406</v>
      </c>
      <c r="K2356" s="41" t="s">
        <v>19407</v>
      </c>
      <c r="L2356" s="41" t="s">
        <v>1085</v>
      </c>
    </row>
    <row r="2357" spans="1:19" x14ac:dyDescent="0.25">
      <c r="A2357" s="41" t="s">
        <v>23</v>
      </c>
      <c r="B2357" s="41" t="s">
        <v>19408</v>
      </c>
      <c r="D2357" s="41" t="s">
        <v>19409</v>
      </c>
      <c r="F2357" s="41" t="s">
        <v>19410</v>
      </c>
      <c r="G2357" s="41" t="s">
        <v>19411</v>
      </c>
      <c r="H2357" s="41" t="s">
        <v>19412</v>
      </c>
      <c r="I2357" s="41" t="s">
        <v>19413</v>
      </c>
      <c r="J2357" s="41" t="s">
        <v>19414</v>
      </c>
      <c r="K2357" s="41" t="s">
        <v>19415</v>
      </c>
      <c r="L2357" s="41" t="s">
        <v>1094</v>
      </c>
    </row>
    <row r="2358" spans="1:19" x14ac:dyDescent="0.25">
      <c r="A2358" s="41" t="s">
        <v>908</v>
      </c>
      <c r="B2358" s="41" t="s">
        <v>19416</v>
      </c>
    </row>
    <row r="2359" spans="1:19" x14ac:dyDescent="0.25">
      <c r="A2359" s="41" t="s">
        <v>23</v>
      </c>
      <c r="B2359" s="41" t="s">
        <v>19417</v>
      </c>
      <c r="F2359" s="41" t="s">
        <v>19418</v>
      </c>
      <c r="G2359" s="41" t="s">
        <v>19419</v>
      </c>
      <c r="H2359" s="41" t="s">
        <v>19420</v>
      </c>
      <c r="I2359" s="41" t="s">
        <v>19421</v>
      </c>
      <c r="J2359" s="41" t="s">
        <v>19422</v>
      </c>
      <c r="L2359" s="41" t="s">
        <v>4</v>
      </c>
    </row>
    <row r="2360" spans="1:19" x14ac:dyDescent="0.25">
      <c r="A2360" s="41" t="s">
        <v>23</v>
      </c>
      <c r="B2360" s="41" t="s">
        <v>19423</v>
      </c>
      <c r="D2360" s="41" t="s">
        <v>19312</v>
      </c>
      <c r="E2360" s="41" t="s">
        <v>19425</v>
      </c>
      <c r="F2360" s="41" t="s">
        <v>19426</v>
      </c>
      <c r="G2360" s="41" t="s">
        <v>19427</v>
      </c>
      <c r="H2360" s="41" t="s">
        <v>19428</v>
      </c>
      <c r="I2360" s="41" t="s">
        <v>19429</v>
      </c>
      <c r="J2360" s="41" t="s">
        <v>19430</v>
      </c>
      <c r="K2360" s="41" t="s">
        <v>19431</v>
      </c>
      <c r="L2360" s="41" t="s">
        <v>19432</v>
      </c>
      <c r="M2360" s="41" t="s">
        <v>19433</v>
      </c>
      <c r="N2360" s="41" t="s">
        <v>19434</v>
      </c>
      <c r="O2360" s="41" t="s">
        <v>19435</v>
      </c>
      <c r="P2360" s="41" t="s">
        <v>19436</v>
      </c>
      <c r="Q2360" s="41" t="s">
        <v>19437</v>
      </c>
      <c r="R2360" s="41" t="s">
        <v>19438</v>
      </c>
      <c r="S2360" s="41" t="s">
        <v>19439</v>
      </c>
    </row>
    <row r="2361" spans="1:19" x14ac:dyDescent="0.25">
      <c r="A2361" s="41" t="s">
        <v>23</v>
      </c>
      <c r="B2361" s="41" t="s">
        <v>19440</v>
      </c>
      <c r="D2361" s="41" t="s">
        <v>19441</v>
      </c>
      <c r="F2361" s="41" t="s">
        <v>19442</v>
      </c>
      <c r="G2361" s="41" t="s">
        <v>19443</v>
      </c>
      <c r="H2361" s="41" t="s">
        <v>19444</v>
      </c>
      <c r="I2361" s="41" t="s">
        <v>19445</v>
      </c>
      <c r="J2361" s="41" t="s">
        <v>19446</v>
      </c>
      <c r="K2361" s="41" t="s">
        <v>19447</v>
      </c>
      <c r="L2361" s="41" t="s">
        <v>891</v>
      </c>
    </row>
    <row r="2362" spans="1:19" x14ac:dyDescent="0.25">
      <c r="A2362" s="41" t="s">
        <v>23</v>
      </c>
      <c r="B2362" s="41" t="s">
        <v>19448</v>
      </c>
      <c r="D2362" s="41" t="s">
        <v>19449</v>
      </c>
      <c r="F2362" s="41" t="s">
        <v>19450</v>
      </c>
      <c r="G2362" s="41" t="s">
        <v>19451</v>
      </c>
      <c r="H2362" s="41" t="s">
        <v>19452</v>
      </c>
      <c r="I2362" s="41" t="s">
        <v>19453</v>
      </c>
      <c r="J2362" s="41" t="s">
        <v>19454</v>
      </c>
      <c r="K2362" s="41" t="s">
        <v>19455</v>
      </c>
      <c r="L2362" s="41" t="s">
        <v>1076</v>
      </c>
    </row>
    <row r="2363" spans="1:19" x14ac:dyDescent="0.25">
      <c r="A2363" s="41" t="s">
        <v>23</v>
      </c>
      <c r="B2363" s="41" t="s">
        <v>19456</v>
      </c>
      <c r="D2363" s="41" t="s">
        <v>19457</v>
      </c>
      <c r="F2363" s="41" t="s">
        <v>19458</v>
      </c>
      <c r="G2363" s="41" t="s">
        <v>19459</v>
      </c>
      <c r="H2363" s="41" t="s">
        <v>19460</v>
      </c>
      <c r="I2363" s="41" t="s">
        <v>19461</v>
      </c>
      <c r="J2363" s="41" t="s">
        <v>19462</v>
      </c>
      <c r="K2363" s="41" t="s">
        <v>19463</v>
      </c>
      <c r="L2363" s="41" t="s">
        <v>1085</v>
      </c>
    </row>
    <row r="2364" spans="1:19" x14ac:dyDescent="0.25">
      <c r="A2364" s="41" t="s">
        <v>23</v>
      </c>
      <c r="B2364" s="41" t="s">
        <v>19464</v>
      </c>
      <c r="D2364" s="41" t="s">
        <v>19465</v>
      </c>
      <c r="F2364" s="41" t="s">
        <v>19466</v>
      </c>
      <c r="G2364" s="41" t="s">
        <v>19467</v>
      </c>
      <c r="H2364" s="41" t="s">
        <v>19468</v>
      </c>
      <c r="I2364" s="41" t="s">
        <v>19469</v>
      </c>
      <c r="J2364" s="41" t="s">
        <v>19470</v>
      </c>
      <c r="K2364" s="41" t="s">
        <v>19471</v>
      </c>
      <c r="L2364" s="41" t="s">
        <v>1094</v>
      </c>
    </row>
    <row r="2365" spans="1:19" x14ac:dyDescent="0.25">
      <c r="A2365" s="41" t="s">
        <v>908</v>
      </c>
      <c r="B2365" s="41" t="s">
        <v>19472</v>
      </c>
    </row>
    <row r="2366" spans="1:19" x14ac:dyDescent="0.25">
      <c r="A2366" s="41" t="s">
        <v>23</v>
      </c>
      <c r="B2366" s="41" t="s">
        <v>19473</v>
      </c>
      <c r="F2366" s="41" t="s">
        <v>19474</v>
      </c>
      <c r="G2366" s="41" t="s">
        <v>19475</v>
      </c>
      <c r="H2366" s="41" t="s">
        <v>19476</v>
      </c>
      <c r="I2366" s="41" t="s">
        <v>19477</v>
      </c>
      <c r="J2366" s="41" t="s">
        <v>19478</v>
      </c>
      <c r="L2366" s="41" t="s">
        <v>4</v>
      </c>
    </row>
    <row r="2367" spans="1:19" x14ac:dyDescent="0.25">
      <c r="A2367" s="41" t="s">
        <v>23</v>
      </c>
      <c r="B2367" s="41" t="s">
        <v>19479</v>
      </c>
      <c r="D2367" s="41" t="s">
        <v>19368</v>
      </c>
      <c r="E2367" s="41" t="s">
        <v>19481</v>
      </c>
      <c r="F2367" s="41" t="s">
        <v>19482</v>
      </c>
      <c r="G2367" s="41" t="s">
        <v>19483</v>
      </c>
      <c r="H2367" s="41" t="s">
        <v>19484</v>
      </c>
      <c r="I2367" s="41" t="s">
        <v>19485</v>
      </c>
      <c r="J2367" s="41" t="s">
        <v>19486</v>
      </c>
      <c r="K2367" s="41" t="s">
        <v>19487</v>
      </c>
      <c r="L2367" s="41" t="s">
        <v>19488</v>
      </c>
      <c r="M2367" s="41" t="s">
        <v>19489</v>
      </c>
      <c r="N2367" s="41" t="s">
        <v>19490</v>
      </c>
      <c r="O2367" s="41" t="s">
        <v>19491</v>
      </c>
      <c r="P2367" s="41" t="s">
        <v>19492</v>
      </c>
      <c r="Q2367" s="41" t="s">
        <v>19493</v>
      </c>
      <c r="R2367" s="41" t="s">
        <v>19494</v>
      </c>
      <c r="S2367" s="41" t="s">
        <v>19495</v>
      </c>
    </row>
    <row r="2368" spans="1:19" x14ac:dyDescent="0.25">
      <c r="A2368" s="41" t="s">
        <v>23</v>
      </c>
      <c r="B2368" s="41" t="s">
        <v>19496</v>
      </c>
      <c r="D2368" s="41" t="s">
        <v>19497</v>
      </c>
      <c r="F2368" s="41" t="s">
        <v>19498</v>
      </c>
      <c r="G2368" s="41" t="s">
        <v>19499</v>
      </c>
      <c r="H2368" s="41" t="s">
        <v>19500</v>
      </c>
      <c r="I2368" s="41" t="s">
        <v>19501</v>
      </c>
      <c r="J2368" s="41" t="s">
        <v>19502</v>
      </c>
      <c r="K2368" s="41" t="s">
        <v>19503</v>
      </c>
      <c r="L2368" s="41" t="s">
        <v>891</v>
      </c>
    </row>
    <row r="2369" spans="1:19" x14ac:dyDescent="0.25">
      <c r="A2369" s="41" t="s">
        <v>23</v>
      </c>
      <c r="B2369" s="41" t="s">
        <v>19504</v>
      </c>
      <c r="D2369" s="41" t="s">
        <v>19505</v>
      </c>
      <c r="F2369" s="41" t="s">
        <v>19506</v>
      </c>
      <c r="G2369" s="41" t="s">
        <v>19507</v>
      </c>
      <c r="H2369" s="41" t="s">
        <v>19508</v>
      </c>
      <c r="I2369" s="41" t="s">
        <v>19509</v>
      </c>
      <c r="J2369" s="41" t="s">
        <v>19510</v>
      </c>
      <c r="K2369" s="41" t="s">
        <v>19511</v>
      </c>
      <c r="L2369" s="41" t="s">
        <v>1076</v>
      </c>
    </row>
    <row r="2370" spans="1:19" x14ac:dyDescent="0.25">
      <c r="A2370" s="41" t="s">
        <v>23</v>
      </c>
      <c r="B2370" s="41" t="s">
        <v>19512</v>
      </c>
      <c r="D2370" s="41" t="s">
        <v>19513</v>
      </c>
      <c r="F2370" s="41" t="s">
        <v>19514</v>
      </c>
      <c r="G2370" s="41" t="s">
        <v>19515</v>
      </c>
      <c r="H2370" s="41" t="s">
        <v>19516</v>
      </c>
      <c r="I2370" s="41" t="s">
        <v>19517</v>
      </c>
      <c r="J2370" s="41" t="s">
        <v>19518</v>
      </c>
      <c r="K2370" s="41" t="s">
        <v>19519</v>
      </c>
      <c r="L2370" s="41" t="s">
        <v>1085</v>
      </c>
    </row>
    <row r="2371" spans="1:19" x14ac:dyDescent="0.25">
      <c r="A2371" s="41" t="s">
        <v>23</v>
      </c>
      <c r="B2371" s="41" t="s">
        <v>19520</v>
      </c>
      <c r="D2371" s="41" t="s">
        <v>19521</v>
      </c>
      <c r="F2371" s="41" t="s">
        <v>19522</v>
      </c>
      <c r="G2371" s="41" t="s">
        <v>19523</v>
      </c>
      <c r="H2371" s="41" t="s">
        <v>19524</v>
      </c>
      <c r="I2371" s="41" t="s">
        <v>19525</v>
      </c>
      <c r="J2371" s="41" t="s">
        <v>19526</v>
      </c>
      <c r="K2371" s="41" t="s">
        <v>19527</v>
      </c>
      <c r="L2371" s="41" t="s">
        <v>1094</v>
      </c>
    </row>
    <row r="2372" spans="1:19" x14ac:dyDescent="0.25">
      <c r="A2372" s="41" t="s">
        <v>908</v>
      </c>
      <c r="B2372" s="41" t="s">
        <v>19528</v>
      </c>
    </row>
    <row r="2373" spans="1:19" x14ac:dyDescent="0.25">
      <c r="A2373" s="41" t="s">
        <v>23</v>
      </c>
      <c r="B2373" s="41" t="s">
        <v>19529</v>
      </c>
      <c r="F2373" s="41" t="s">
        <v>19530</v>
      </c>
      <c r="G2373" s="41" t="s">
        <v>19531</v>
      </c>
      <c r="H2373" s="41" t="s">
        <v>19532</v>
      </c>
      <c r="I2373" s="41" t="s">
        <v>19533</v>
      </c>
      <c r="J2373" s="41" t="s">
        <v>19534</v>
      </c>
      <c r="L2373" s="41" t="s">
        <v>4</v>
      </c>
    </row>
    <row r="2374" spans="1:19" x14ac:dyDescent="0.25">
      <c r="A2374" s="41" t="s">
        <v>23</v>
      </c>
      <c r="B2374" s="41" t="s">
        <v>19535</v>
      </c>
      <c r="D2374" s="41" t="s">
        <v>19424</v>
      </c>
      <c r="E2374" s="41" t="s">
        <v>19537</v>
      </c>
      <c r="F2374" s="41" t="s">
        <v>19538</v>
      </c>
      <c r="G2374" s="41" t="s">
        <v>19539</v>
      </c>
      <c r="H2374" s="41" t="s">
        <v>19540</v>
      </c>
      <c r="I2374" s="41" t="s">
        <v>19541</v>
      </c>
      <c r="J2374" s="41" t="s">
        <v>19542</v>
      </c>
      <c r="K2374" s="41" t="s">
        <v>19543</v>
      </c>
      <c r="L2374" s="41" t="s">
        <v>19544</v>
      </c>
      <c r="M2374" s="41" t="s">
        <v>19545</v>
      </c>
      <c r="N2374" s="41" t="s">
        <v>19546</v>
      </c>
      <c r="O2374" s="41" t="s">
        <v>19547</v>
      </c>
      <c r="P2374" s="41" t="s">
        <v>19548</v>
      </c>
      <c r="Q2374" s="41" t="s">
        <v>19549</v>
      </c>
      <c r="R2374" s="41" t="s">
        <v>19550</v>
      </c>
      <c r="S2374" s="41" t="s">
        <v>19551</v>
      </c>
    </row>
    <row r="2375" spans="1:19" x14ac:dyDescent="0.25">
      <c r="A2375" s="41" t="s">
        <v>23</v>
      </c>
      <c r="B2375" s="41" t="s">
        <v>19552</v>
      </c>
      <c r="D2375" s="41" t="s">
        <v>19553</v>
      </c>
      <c r="F2375" s="41" t="s">
        <v>19554</v>
      </c>
      <c r="G2375" s="41" t="s">
        <v>19555</v>
      </c>
      <c r="H2375" s="41" t="s">
        <v>19556</v>
      </c>
      <c r="I2375" s="41" t="s">
        <v>19557</v>
      </c>
      <c r="J2375" s="41" t="s">
        <v>19558</v>
      </c>
      <c r="K2375" s="41" t="s">
        <v>19559</v>
      </c>
      <c r="L2375" s="41" t="s">
        <v>891</v>
      </c>
    </row>
    <row r="2376" spans="1:19" x14ac:dyDescent="0.25">
      <c r="A2376" s="41" t="s">
        <v>23</v>
      </c>
      <c r="B2376" s="41" t="s">
        <v>19560</v>
      </c>
      <c r="D2376" s="41" t="s">
        <v>19561</v>
      </c>
      <c r="F2376" s="41" t="s">
        <v>19562</v>
      </c>
      <c r="G2376" s="41" t="s">
        <v>19563</v>
      </c>
      <c r="H2376" s="41" t="s">
        <v>19564</v>
      </c>
      <c r="I2376" s="41" t="s">
        <v>19565</v>
      </c>
      <c r="J2376" s="41" t="s">
        <v>19566</v>
      </c>
      <c r="K2376" s="41" t="s">
        <v>19567</v>
      </c>
      <c r="L2376" s="41" t="s">
        <v>1076</v>
      </c>
    </row>
    <row r="2377" spans="1:19" x14ac:dyDescent="0.25">
      <c r="A2377" s="41" t="s">
        <v>23</v>
      </c>
      <c r="B2377" s="41" t="s">
        <v>19568</v>
      </c>
      <c r="D2377" s="41" t="s">
        <v>19569</v>
      </c>
      <c r="F2377" s="41" t="s">
        <v>19570</v>
      </c>
      <c r="G2377" s="41" t="s">
        <v>19571</v>
      </c>
      <c r="H2377" s="41" t="s">
        <v>19572</v>
      </c>
      <c r="I2377" s="41" t="s">
        <v>19573</v>
      </c>
      <c r="J2377" s="41" t="s">
        <v>19574</v>
      </c>
      <c r="K2377" s="41" t="s">
        <v>19575</v>
      </c>
      <c r="L2377" s="41" t="s">
        <v>1085</v>
      </c>
    </row>
    <row r="2378" spans="1:19" x14ac:dyDescent="0.25">
      <c r="A2378" s="41" t="s">
        <v>23</v>
      </c>
      <c r="B2378" s="41" t="s">
        <v>19576</v>
      </c>
      <c r="D2378" s="41" t="s">
        <v>19577</v>
      </c>
      <c r="F2378" s="41" t="s">
        <v>19578</v>
      </c>
      <c r="G2378" s="41" t="s">
        <v>19579</v>
      </c>
      <c r="H2378" s="41" t="s">
        <v>19580</v>
      </c>
      <c r="I2378" s="41" t="s">
        <v>19581</v>
      </c>
      <c r="J2378" s="41" t="s">
        <v>19582</v>
      </c>
      <c r="K2378" s="41" t="s">
        <v>19583</v>
      </c>
      <c r="L2378" s="41" t="s">
        <v>1094</v>
      </c>
    </row>
    <row r="2379" spans="1:19" x14ac:dyDescent="0.25">
      <c r="A2379" s="41" t="s">
        <v>908</v>
      </c>
      <c r="B2379" s="41" t="s">
        <v>19584</v>
      </c>
    </row>
    <row r="2380" spans="1:19" x14ac:dyDescent="0.25">
      <c r="A2380" s="41" t="s">
        <v>23</v>
      </c>
      <c r="B2380" s="41" t="s">
        <v>19585</v>
      </c>
      <c r="F2380" s="41" t="s">
        <v>19586</v>
      </c>
      <c r="G2380" s="41" t="s">
        <v>19587</v>
      </c>
      <c r="H2380" s="41" t="s">
        <v>19588</v>
      </c>
      <c r="I2380" s="41" t="s">
        <v>19589</v>
      </c>
      <c r="J2380" s="41" t="s">
        <v>19590</v>
      </c>
      <c r="L2380" s="41" t="s">
        <v>4</v>
      </c>
    </row>
    <row r="2381" spans="1:19" x14ac:dyDescent="0.25">
      <c r="A2381" s="41" t="s">
        <v>23</v>
      </c>
      <c r="B2381" s="41" t="s">
        <v>19591</v>
      </c>
      <c r="D2381" s="41" t="s">
        <v>19480</v>
      </c>
      <c r="E2381" s="41" t="s">
        <v>19593</v>
      </c>
      <c r="F2381" s="41" t="s">
        <v>19594</v>
      </c>
      <c r="G2381" s="41" t="s">
        <v>19595</v>
      </c>
      <c r="H2381" s="41" t="s">
        <v>19596</v>
      </c>
      <c r="I2381" s="41" t="s">
        <v>19597</v>
      </c>
      <c r="J2381" s="41" t="s">
        <v>19598</v>
      </c>
      <c r="K2381" s="41" t="s">
        <v>19599</v>
      </c>
      <c r="L2381" s="41" t="s">
        <v>19600</v>
      </c>
      <c r="M2381" s="41" t="s">
        <v>19601</v>
      </c>
      <c r="N2381" s="41" t="s">
        <v>19602</v>
      </c>
      <c r="O2381" s="41" t="s">
        <v>19603</v>
      </c>
      <c r="P2381" s="41" t="s">
        <v>19604</v>
      </c>
      <c r="Q2381" s="41" t="s">
        <v>19605</v>
      </c>
      <c r="R2381" s="41" t="s">
        <v>19606</v>
      </c>
      <c r="S2381" s="41" t="s">
        <v>19607</v>
      </c>
    </row>
    <row r="2382" spans="1:19" x14ac:dyDescent="0.25">
      <c r="A2382" s="41" t="s">
        <v>23</v>
      </c>
      <c r="B2382" s="41" t="s">
        <v>19608</v>
      </c>
      <c r="D2382" s="41" t="s">
        <v>19609</v>
      </c>
      <c r="F2382" s="41" t="s">
        <v>19610</v>
      </c>
      <c r="G2382" s="41" t="s">
        <v>19611</v>
      </c>
      <c r="H2382" s="41" t="s">
        <v>19612</v>
      </c>
      <c r="I2382" s="41" t="s">
        <v>19613</v>
      </c>
      <c r="J2382" s="41" t="s">
        <v>19614</v>
      </c>
      <c r="K2382" s="41" t="s">
        <v>19615</v>
      </c>
      <c r="L2382" s="41" t="s">
        <v>891</v>
      </c>
    </row>
    <row r="2383" spans="1:19" x14ac:dyDescent="0.25">
      <c r="A2383" s="41" t="s">
        <v>23</v>
      </c>
      <c r="B2383" s="41" t="s">
        <v>19616</v>
      </c>
      <c r="D2383" s="41" t="s">
        <v>19617</v>
      </c>
      <c r="F2383" s="41" t="s">
        <v>19618</v>
      </c>
      <c r="G2383" s="41" t="s">
        <v>19619</v>
      </c>
      <c r="H2383" s="41" t="s">
        <v>19620</v>
      </c>
      <c r="I2383" s="41" t="s">
        <v>19621</v>
      </c>
      <c r="J2383" s="41" t="s">
        <v>19622</v>
      </c>
      <c r="K2383" s="41" t="s">
        <v>19623</v>
      </c>
      <c r="L2383" s="41" t="s">
        <v>1076</v>
      </c>
    </row>
    <row r="2384" spans="1:19" x14ac:dyDescent="0.25">
      <c r="A2384" s="41" t="s">
        <v>23</v>
      </c>
      <c r="B2384" s="41" t="s">
        <v>19624</v>
      </c>
      <c r="D2384" s="41" t="s">
        <v>19625</v>
      </c>
      <c r="F2384" s="41" t="s">
        <v>19626</v>
      </c>
      <c r="G2384" s="41" t="s">
        <v>19627</v>
      </c>
      <c r="H2384" s="41" t="s">
        <v>19628</v>
      </c>
      <c r="I2384" s="41" t="s">
        <v>19629</v>
      </c>
      <c r="J2384" s="41" t="s">
        <v>19630</v>
      </c>
      <c r="K2384" s="41" t="s">
        <v>19631</v>
      </c>
      <c r="L2384" s="41" t="s">
        <v>1085</v>
      </c>
    </row>
    <row r="2385" spans="1:19" x14ac:dyDescent="0.25">
      <c r="A2385" s="41" t="s">
        <v>23</v>
      </c>
      <c r="B2385" s="41" t="s">
        <v>19632</v>
      </c>
      <c r="D2385" s="41" t="s">
        <v>19633</v>
      </c>
      <c r="F2385" s="41" t="s">
        <v>19634</v>
      </c>
      <c r="G2385" s="41" t="s">
        <v>19635</v>
      </c>
      <c r="H2385" s="41" t="s">
        <v>19636</v>
      </c>
      <c r="I2385" s="41" t="s">
        <v>19637</v>
      </c>
      <c r="J2385" s="41" t="s">
        <v>19638</v>
      </c>
      <c r="K2385" s="41" t="s">
        <v>19639</v>
      </c>
      <c r="L2385" s="41" t="s">
        <v>1094</v>
      </c>
    </row>
    <row r="2386" spans="1:19" x14ac:dyDescent="0.25">
      <c r="A2386" s="41" t="s">
        <v>908</v>
      </c>
      <c r="B2386" s="41" t="s">
        <v>19640</v>
      </c>
    </row>
    <row r="2387" spans="1:19" x14ac:dyDescent="0.25">
      <c r="A2387" s="41" t="s">
        <v>23</v>
      </c>
      <c r="B2387" s="41" t="s">
        <v>19641</v>
      </c>
      <c r="F2387" s="41" t="s">
        <v>19642</v>
      </c>
      <c r="G2387" s="41" t="s">
        <v>19643</v>
      </c>
      <c r="H2387" s="41" t="s">
        <v>19644</v>
      </c>
      <c r="I2387" s="41" t="s">
        <v>19645</v>
      </c>
      <c r="J2387" s="41" t="s">
        <v>19646</v>
      </c>
      <c r="L2387" s="41" t="s">
        <v>4</v>
      </c>
    </row>
    <row r="2388" spans="1:19" x14ac:dyDescent="0.25">
      <c r="A2388" s="41" t="s">
        <v>23</v>
      </c>
      <c r="B2388" s="41" t="s">
        <v>19647</v>
      </c>
      <c r="D2388" s="41" t="s">
        <v>44849</v>
      </c>
      <c r="E2388" s="41" t="s">
        <v>19649</v>
      </c>
      <c r="F2388" s="41" t="s">
        <v>19650</v>
      </c>
      <c r="G2388" s="41" t="s">
        <v>19651</v>
      </c>
      <c r="H2388" s="41" t="s">
        <v>19652</v>
      </c>
      <c r="I2388" s="41" t="s">
        <v>19653</v>
      </c>
      <c r="J2388" s="41" t="s">
        <v>19654</v>
      </c>
      <c r="K2388" s="41" t="s">
        <v>19655</v>
      </c>
      <c r="L2388" s="41" t="s">
        <v>19656</v>
      </c>
      <c r="M2388" s="41" t="s">
        <v>19657</v>
      </c>
      <c r="N2388" s="41" t="s">
        <v>19658</v>
      </c>
      <c r="O2388" s="41" t="s">
        <v>19659</v>
      </c>
      <c r="P2388" s="41" t="s">
        <v>19660</v>
      </c>
      <c r="Q2388" s="41" t="s">
        <v>19661</v>
      </c>
      <c r="R2388" s="41" t="s">
        <v>19662</v>
      </c>
      <c r="S2388" s="41" t="s">
        <v>19663</v>
      </c>
    </row>
    <row r="2389" spans="1:19" x14ac:dyDescent="0.25">
      <c r="A2389" s="41" t="s">
        <v>23</v>
      </c>
      <c r="B2389" s="41" t="s">
        <v>19664</v>
      </c>
      <c r="D2389" s="41" t="s">
        <v>19665</v>
      </c>
      <c r="F2389" s="41" t="s">
        <v>19666</v>
      </c>
      <c r="G2389" s="41" t="s">
        <v>19667</v>
      </c>
      <c r="H2389" s="41" t="s">
        <v>19668</v>
      </c>
      <c r="I2389" s="41" t="s">
        <v>19669</v>
      </c>
      <c r="J2389" s="41" t="s">
        <v>19670</v>
      </c>
      <c r="K2389" s="41" t="s">
        <v>19671</v>
      </c>
      <c r="L2389" s="41" t="s">
        <v>891</v>
      </c>
    </row>
    <row r="2390" spans="1:19" x14ac:dyDescent="0.25">
      <c r="A2390" s="41" t="s">
        <v>23</v>
      </c>
      <c r="B2390" s="41" t="s">
        <v>19672</v>
      </c>
      <c r="D2390" s="41" t="s">
        <v>19673</v>
      </c>
      <c r="F2390" s="41" t="s">
        <v>19674</v>
      </c>
      <c r="G2390" s="41" t="s">
        <v>19675</v>
      </c>
      <c r="H2390" s="41" t="s">
        <v>19676</v>
      </c>
      <c r="I2390" s="41" t="s">
        <v>19677</v>
      </c>
      <c r="J2390" s="41" t="s">
        <v>19678</v>
      </c>
      <c r="K2390" s="41" t="s">
        <v>19679</v>
      </c>
      <c r="L2390" s="41" t="s">
        <v>1076</v>
      </c>
    </row>
    <row r="2391" spans="1:19" x14ac:dyDescent="0.25">
      <c r="A2391" s="41" t="s">
        <v>23</v>
      </c>
      <c r="B2391" s="41" t="s">
        <v>19680</v>
      </c>
      <c r="D2391" s="41" t="s">
        <v>19681</v>
      </c>
      <c r="F2391" s="41" t="s">
        <v>19682</v>
      </c>
      <c r="G2391" s="41" t="s">
        <v>19683</v>
      </c>
      <c r="H2391" s="41" t="s">
        <v>19684</v>
      </c>
      <c r="I2391" s="41" t="s">
        <v>19685</v>
      </c>
      <c r="J2391" s="41" t="s">
        <v>19686</v>
      </c>
      <c r="K2391" s="41" t="s">
        <v>19687</v>
      </c>
      <c r="L2391" s="41" t="s">
        <v>1085</v>
      </c>
    </row>
    <row r="2392" spans="1:19" x14ac:dyDescent="0.25">
      <c r="A2392" s="41" t="s">
        <v>23</v>
      </c>
      <c r="B2392" s="41" t="s">
        <v>19688</v>
      </c>
      <c r="D2392" s="41" t="s">
        <v>19689</v>
      </c>
      <c r="F2392" s="41" t="s">
        <v>19690</v>
      </c>
      <c r="G2392" s="41" t="s">
        <v>19691</v>
      </c>
      <c r="H2392" s="41" t="s">
        <v>19692</v>
      </c>
      <c r="I2392" s="41" t="s">
        <v>19693</v>
      </c>
      <c r="J2392" s="41" t="s">
        <v>19694</v>
      </c>
      <c r="K2392" s="41" t="s">
        <v>19695</v>
      </c>
      <c r="L2392" s="41" t="s">
        <v>1094</v>
      </c>
    </row>
    <row r="2393" spans="1:19" x14ac:dyDescent="0.25">
      <c r="A2393" s="41" t="s">
        <v>908</v>
      </c>
      <c r="B2393" s="41" t="s">
        <v>19696</v>
      </c>
    </row>
    <row r="2394" spans="1:19" x14ac:dyDescent="0.25">
      <c r="A2394" s="41" t="s">
        <v>23</v>
      </c>
      <c r="B2394" s="41" t="s">
        <v>19697</v>
      </c>
      <c r="F2394" s="41" t="s">
        <v>19698</v>
      </c>
      <c r="G2394" s="41" t="s">
        <v>19699</v>
      </c>
      <c r="H2394" s="41" t="s">
        <v>19700</v>
      </c>
      <c r="I2394" s="41" t="s">
        <v>19701</v>
      </c>
      <c r="J2394" s="41" t="s">
        <v>19702</v>
      </c>
      <c r="L2394" s="41" t="s">
        <v>4</v>
      </c>
    </row>
    <row r="2395" spans="1:19" x14ac:dyDescent="0.25">
      <c r="A2395" s="41" t="s">
        <v>23</v>
      </c>
      <c r="B2395" s="41" t="s">
        <v>19703</v>
      </c>
      <c r="D2395" s="41" t="s">
        <v>19536</v>
      </c>
      <c r="E2395" s="41" t="s">
        <v>19705</v>
      </c>
      <c r="F2395" s="41" t="s">
        <v>19706</v>
      </c>
      <c r="G2395" s="41" t="s">
        <v>19707</v>
      </c>
      <c r="H2395" s="41" t="s">
        <v>19708</v>
      </c>
      <c r="I2395" s="41" t="s">
        <v>19709</v>
      </c>
      <c r="J2395" s="41" t="s">
        <v>19710</v>
      </c>
      <c r="K2395" s="41" t="s">
        <v>19711</v>
      </c>
      <c r="L2395" s="41" t="s">
        <v>19712</v>
      </c>
      <c r="M2395" s="41" t="s">
        <v>19713</v>
      </c>
      <c r="N2395" s="41" t="s">
        <v>19714</v>
      </c>
      <c r="O2395" s="41" t="s">
        <v>19715</v>
      </c>
      <c r="P2395" s="41" t="s">
        <v>19716</v>
      </c>
      <c r="Q2395" s="41" t="s">
        <v>19717</v>
      </c>
      <c r="R2395" s="41" t="s">
        <v>19718</v>
      </c>
      <c r="S2395" s="41" t="s">
        <v>19719</v>
      </c>
    </row>
    <row r="2396" spans="1:19" x14ac:dyDescent="0.25">
      <c r="A2396" s="41" t="s">
        <v>23</v>
      </c>
      <c r="B2396" s="41" t="s">
        <v>19720</v>
      </c>
      <c r="D2396" s="41" t="s">
        <v>19721</v>
      </c>
      <c r="F2396" s="41" t="s">
        <v>19722</v>
      </c>
      <c r="G2396" s="41" t="s">
        <v>19723</v>
      </c>
      <c r="H2396" s="41" t="s">
        <v>19724</v>
      </c>
      <c r="I2396" s="41" t="s">
        <v>19725</v>
      </c>
      <c r="J2396" s="41" t="s">
        <v>19726</v>
      </c>
      <c r="K2396" s="41" t="s">
        <v>19727</v>
      </c>
      <c r="L2396" s="41" t="s">
        <v>891</v>
      </c>
    </row>
    <row r="2397" spans="1:19" x14ac:dyDescent="0.25">
      <c r="A2397" s="41" t="s">
        <v>23</v>
      </c>
      <c r="B2397" s="41" t="s">
        <v>19728</v>
      </c>
      <c r="D2397" s="41" t="s">
        <v>19729</v>
      </c>
      <c r="F2397" s="41" t="s">
        <v>19730</v>
      </c>
      <c r="G2397" s="41" t="s">
        <v>19731</v>
      </c>
      <c r="H2397" s="41" t="s">
        <v>19732</v>
      </c>
      <c r="I2397" s="41" t="s">
        <v>19733</v>
      </c>
      <c r="J2397" s="41" t="s">
        <v>19734</v>
      </c>
      <c r="K2397" s="41" t="s">
        <v>19735</v>
      </c>
      <c r="L2397" s="41" t="s">
        <v>1076</v>
      </c>
    </row>
    <row r="2398" spans="1:19" x14ac:dyDescent="0.25">
      <c r="A2398" s="41" t="s">
        <v>23</v>
      </c>
      <c r="B2398" s="41" t="s">
        <v>19736</v>
      </c>
      <c r="D2398" s="41" t="s">
        <v>19737</v>
      </c>
      <c r="F2398" s="41" t="s">
        <v>19738</v>
      </c>
      <c r="G2398" s="41" t="s">
        <v>19739</v>
      </c>
      <c r="H2398" s="41" t="s">
        <v>19740</v>
      </c>
      <c r="I2398" s="41" t="s">
        <v>19741</v>
      </c>
      <c r="J2398" s="41" t="s">
        <v>19742</v>
      </c>
      <c r="K2398" s="41" t="s">
        <v>19743</v>
      </c>
      <c r="L2398" s="41" t="s">
        <v>1085</v>
      </c>
    </row>
    <row r="2399" spans="1:19" x14ac:dyDescent="0.25">
      <c r="A2399" s="41" t="s">
        <v>23</v>
      </c>
      <c r="B2399" s="41" t="s">
        <v>19744</v>
      </c>
      <c r="D2399" s="41" t="s">
        <v>19745</v>
      </c>
      <c r="F2399" s="41" t="s">
        <v>19746</v>
      </c>
      <c r="G2399" s="41" t="s">
        <v>19747</v>
      </c>
      <c r="H2399" s="41" t="s">
        <v>19748</v>
      </c>
      <c r="I2399" s="41" t="s">
        <v>19749</v>
      </c>
      <c r="J2399" s="41" t="s">
        <v>19750</v>
      </c>
      <c r="K2399" s="41" t="s">
        <v>19751</v>
      </c>
      <c r="L2399" s="41" t="s">
        <v>1094</v>
      </c>
    </row>
    <row r="2400" spans="1:19" x14ac:dyDescent="0.25">
      <c r="A2400" s="41" t="s">
        <v>908</v>
      </c>
      <c r="B2400" s="41" t="s">
        <v>19752</v>
      </c>
    </row>
    <row r="2401" spans="1:19" x14ac:dyDescent="0.25">
      <c r="A2401" s="41" t="s">
        <v>23</v>
      </c>
      <c r="B2401" s="41" t="s">
        <v>19753</v>
      </c>
      <c r="F2401" s="41" t="s">
        <v>19754</v>
      </c>
      <c r="G2401" s="41" t="s">
        <v>19755</v>
      </c>
      <c r="H2401" s="41" t="s">
        <v>19756</v>
      </c>
      <c r="I2401" s="41" t="s">
        <v>19757</v>
      </c>
      <c r="J2401" s="41" t="s">
        <v>19758</v>
      </c>
      <c r="L2401" s="41" t="s">
        <v>4</v>
      </c>
    </row>
    <row r="2402" spans="1:19" x14ac:dyDescent="0.25">
      <c r="A2402" s="41" t="s">
        <v>23</v>
      </c>
      <c r="B2402" s="41" t="s">
        <v>19759</v>
      </c>
      <c r="D2402" s="41" t="s">
        <v>19592</v>
      </c>
      <c r="E2402" s="41" t="s">
        <v>19761</v>
      </c>
      <c r="F2402" s="41" t="s">
        <v>19762</v>
      </c>
      <c r="G2402" s="41" t="s">
        <v>19763</v>
      </c>
      <c r="H2402" s="41" t="s">
        <v>19764</v>
      </c>
      <c r="I2402" s="41" t="s">
        <v>19765</v>
      </c>
      <c r="J2402" s="41" t="s">
        <v>19766</v>
      </c>
      <c r="K2402" s="41" t="s">
        <v>19767</v>
      </c>
      <c r="L2402" s="41" t="s">
        <v>19768</v>
      </c>
      <c r="M2402" s="41" t="s">
        <v>19769</v>
      </c>
      <c r="N2402" s="41" t="s">
        <v>19770</v>
      </c>
      <c r="O2402" s="41" t="s">
        <v>19771</v>
      </c>
      <c r="P2402" s="41" t="s">
        <v>19772</v>
      </c>
      <c r="Q2402" s="41" t="s">
        <v>19773</v>
      </c>
      <c r="R2402" s="41" t="s">
        <v>19774</v>
      </c>
      <c r="S2402" s="41" t="s">
        <v>19775</v>
      </c>
    </row>
    <row r="2403" spans="1:19" x14ac:dyDescent="0.25">
      <c r="A2403" s="41" t="s">
        <v>23</v>
      </c>
      <c r="B2403" s="41" t="s">
        <v>19776</v>
      </c>
      <c r="D2403" s="41" t="s">
        <v>19777</v>
      </c>
      <c r="F2403" s="41" t="s">
        <v>19778</v>
      </c>
      <c r="G2403" s="41" t="s">
        <v>19779</v>
      </c>
      <c r="H2403" s="41" t="s">
        <v>19780</v>
      </c>
      <c r="I2403" s="41" t="s">
        <v>19781</v>
      </c>
      <c r="J2403" s="41" t="s">
        <v>19782</v>
      </c>
      <c r="K2403" s="41" t="s">
        <v>19783</v>
      </c>
      <c r="L2403" s="41" t="s">
        <v>891</v>
      </c>
    </row>
    <row r="2404" spans="1:19" x14ac:dyDescent="0.25">
      <c r="A2404" s="41" t="s">
        <v>23</v>
      </c>
      <c r="B2404" s="41" t="s">
        <v>19784</v>
      </c>
      <c r="D2404" s="41" t="s">
        <v>19785</v>
      </c>
      <c r="F2404" s="41" t="s">
        <v>19786</v>
      </c>
      <c r="G2404" s="41" t="s">
        <v>19787</v>
      </c>
      <c r="H2404" s="41" t="s">
        <v>19788</v>
      </c>
      <c r="I2404" s="41" t="s">
        <v>19789</v>
      </c>
      <c r="J2404" s="41" t="s">
        <v>19790</v>
      </c>
      <c r="K2404" s="41" t="s">
        <v>19791</v>
      </c>
      <c r="L2404" s="41" t="s">
        <v>1076</v>
      </c>
    </row>
    <row r="2405" spans="1:19" x14ac:dyDescent="0.25">
      <c r="A2405" s="41" t="s">
        <v>23</v>
      </c>
      <c r="B2405" s="41" t="s">
        <v>19792</v>
      </c>
      <c r="D2405" s="41" t="s">
        <v>19793</v>
      </c>
      <c r="F2405" s="41" t="s">
        <v>19794</v>
      </c>
      <c r="G2405" s="41" t="s">
        <v>19795</v>
      </c>
      <c r="H2405" s="41" t="s">
        <v>19796</v>
      </c>
      <c r="I2405" s="41" t="s">
        <v>19797</v>
      </c>
      <c r="J2405" s="41" t="s">
        <v>19798</v>
      </c>
      <c r="K2405" s="41" t="s">
        <v>19799</v>
      </c>
      <c r="L2405" s="41" t="s">
        <v>1085</v>
      </c>
    </row>
    <row r="2406" spans="1:19" x14ac:dyDescent="0.25">
      <c r="A2406" s="41" t="s">
        <v>23</v>
      </c>
      <c r="B2406" s="41" t="s">
        <v>19800</v>
      </c>
      <c r="D2406" s="41" t="s">
        <v>19801</v>
      </c>
      <c r="F2406" s="41" t="s">
        <v>19802</v>
      </c>
      <c r="G2406" s="41" t="s">
        <v>19803</v>
      </c>
      <c r="H2406" s="41" t="s">
        <v>19804</v>
      </c>
      <c r="I2406" s="41" t="s">
        <v>19805</v>
      </c>
      <c r="J2406" s="41" t="s">
        <v>19806</v>
      </c>
      <c r="K2406" s="41" t="s">
        <v>19807</v>
      </c>
      <c r="L2406" s="41" t="s">
        <v>1094</v>
      </c>
    </row>
    <row r="2407" spans="1:19" x14ac:dyDescent="0.25">
      <c r="A2407" s="41" t="s">
        <v>908</v>
      </c>
      <c r="B2407" s="41" t="s">
        <v>19808</v>
      </c>
    </row>
    <row r="2408" spans="1:19" x14ac:dyDescent="0.25">
      <c r="A2408" s="41" t="s">
        <v>23</v>
      </c>
      <c r="B2408" s="41" t="s">
        <v>19809</v>
      </c>
      <c r="F2408" s="41" t="s">
        <v>19810</v>
      </c>
      <c r="G2408" s="41" t="s">
        <v>19811</v>
      </c>
      <c r="H2408" s="41" t="s">
        <v>19812</v>
      </c>
      <c r="I2408" s="41" t="s">
        <v>19813</v>
      </c>
      <c r="J2408" s="41" t="s">
        <v>19814</v>
      </c>
      <c r="L2408" s="41" t="s">
        <v>4</v>
      </c>
    </row>
    <row r="2409" spans="1:19" x14ac:dyDescent="0.25">
      <c r="A2409" s="41" t="s">
        <v>23</v>
      </c>
      <c r="B2409" s="41" t="s">
        <v>19815</v>
      </c>
      <c r="D2409" s="41" t="s">
        <v>19648</v>
      </c>
      <c r="E2409" s="41" t="s">
        <v>19817</v>
      </c>
      <c r="F2409" s="41" t="s">
        <v>19818</v>
      </c>
      <c r="G2409" s="41" t="s">
        <v>19819</v>
      </c>
      <c r="H2409" s="41" t="s">
        <v>19820</v>
      </c>
      <c r="I2409" s="41" t="s">
        <v>19821</v>
      </c>
      <c r="J2409" s="41" t="s">
        <v>19822</v>
      </c>
      <c r="K2409" s="41" t="s">
        <v>19823</v>
      </c>
      <c r="L2409" s="41" t="s">
        <v>19824</v>
      </c>
      <c r="M2409" s="41" t="s">
        <v>19825</v>
      </c>
      <c r="N2409" s="41" t="s">
        <v>19826</v>
      </c>
      <c r="O2409" s="41" t="s">
        <v>19827</v>
      </c>
      <c r="P2409" s="41" t="s">
        <v>19828</v>
      </c>
      <c r="Q2409" s="41" t="s">
        <v>19829</v>
      </c>
      <c r="R2409" s="41" t="s">
        <v>19830</v>
      </c>
      <c r="S2409" s="41" t="s">
        <v>19831</v>
      </c>
    </row>
    <row r="2410" spans="1:19" x14ac:dyDescent="0.25">
      <c r="A2410" s="41" t="s">
        <v>23</v>
      </c>
      <c r="B2410" s="41" t="s">
        <v>19832</v>
      </c>
      <c r="D2410" s="41" t="s">
        <v>19833</v>
      </c>
      <c r="F2410" s="41" t="s">
        <v>19834</v>
      </c>
      <c r="G2410" s="41" t="s">
        <v>19835</v>
      </c>
      <c r="H2410" s="41" t="s">
        <v>19836</v>
      </c>
      <c r="I2410" s="41" t="s">
        <v>19837</v>
      </c>
      <c r="J2410" s="41" t="s">
        <v>19838</v>
      </c>
      <c r="K2410" s="41" t="s">
        <v>19839</v>
      </c>
      <c r="L2410" s="41" t="s">
        <v>891</v>
      </c>
    </row>
    <row r="2411" spans="1:19" x14ac:dyDescent="0.25">
      <c r="A2411" s="41" t="s">
        <v>23</v>
      </c>
      <c r="B2411" s="41" t="s">
        <v>19840</v>
      </c>
      <c r="D2411" s="41" t="s">
        <v>19841</v>
      </c>
      <c r="F2411" s="41" t="s">
        <v>19842</v>
      </c>
      <c r="G2411" s="41" t="s">
        <v>19843</v>
      </c>
      <c r="H2411" s="41" t="s">
        <v>19844</v>
      </c>
      <c r="I2411" s="41" t="s">
        <v>19845</v>
      </c>
      <c r="J2411" s="41" t="s">
        <v>19846</v>
      </c>
      <c r="K2411" s="41" t="s">
        <v>19847</v>
      </c>
      <c r="L2411" s="41" t="s">
        <v>1076</v>
      </c>
    </row>
    <row r="2412" spans="1:19" x14ac:dyDescent="0.25">
      <c r="A2412" s="41" t="s">
        <v>23</v>
      </c>
      <c r="B2412" s="41" t="s">
        <v>19848</v>
      </c>
      <c r="D2412" s="41" t="s">
        <v>19849</v>
      </c>
      <c r="F2412" s="41" t="s">
        <v>19850</v>
      </c>
      <c r="G2412" s="41" t="s">
        <v>19851</v>
      </c>
      <c r="H2412" s="41" t="s">
        <v>19852</v>
      </c>
      <c r="I2412" s="41" t="s">
        <v>19853</v>
      </c>
      <c r="J2412" s="41" t="s">
        <v>19854</v>
      </c>
      <c r="K2412" s="41" t="s">
        <v>19855</v>
      </c>
      <c r="L2412" s="41" t="s">
        <v>1085</v>
      </c>
    </row>
    <row r="2413" spans="1:19" x14ac:dyDescent="0.25">
      <c r="A2413" s="41" t="s">
        <v>23</v>
      </c>
      <c r="B2413" s="41" t="s">
        <v>19856</v>
      </c>
      <c r="D2413" s="41" t="s">
        <v>19857</v>
      </c>
      <c r="F2413" s="41" t="s">
        <v>19858</v>
      </c>
      <c r="G2413" s="41" t="s">
        <v>19859</v>
      </c>
      <c r="H2413" s="41" t="s">
        <v>19860</v>
      </c>
      <c r="I2413" s="41" t="s">
        <v>19861</v>
      </c>
      <c r="J2413" s="41" t="s">
        <v>19862</v>
      </c>
      <c r="K2413" s="41" t="s">
        <v>19863</v>
      </c>
      <c r="L2413" s="41" t="s">
        <v>1094</v>
      </c>
    </row>
    <row r="2414" spans="1:19" x14ac:dyDescent="0.25">
      <c r="A2414" s="41" t="s">
        <v>908</v>
      </c>
      <c r="B2414" s="41" t="s">
        <v>19864</v>
      </c>
    </row>
    <row r="2415" spans="1:19" x14ac:dyDescent="0.25">
      <c r="A2415" s="41" t="s">
        <v>23</v>
      </c>
      <c r="B2415" s="41" t="s">
        <v>19865</v>
      </c>
      <c r="F2415" s="41" t="s">
        <v>19866</v>
      </c>
      <c r="G2415" s="41" t="s">
        <v>19867</v>
      </c>
      <c r="H2415" s="41" t="s">
        <v>19868</v>
      </c>
      <c r="I2415" s="41" t="s">
        <v>19869</v>
      </c>
      <c r="J2415" s="41" t="s">
        <v>19870</v>
      </c>
      <c r="L2415" s="41" t="s">
        <v>4</v>
      </c>
    </row>
    <row r="2416" spans="1:19" x14ac:dyDescent="0.25">
      <c r="A2416" s="41" t="s">
        <v>23</v>
      </c>
      <c r="B2416" s="41" t="s">
        <v>19871</v>
      </c>
      <c r="D2416" s="41" t="s">
        <v>19704</v>
      </c>
      <c r="E2416" s="41" t="s">
        <v>19873</v>
      </c>
      <c r="F2416" s="41" t="s">
        <v>19874</v>
      </c>
      <c r="G2416" s="41" t="s">
        <v>19875</v>
      </c>
      <c r="H2416" s="41" t="s">
        <v>19876</v>
      </c>
      <c r="I2416" s="41" t="s">
        <v>19877</v>
      </c>
      <c r="J2416" s="41" t="s">
        <v>19878</v>
      </c>
      <c r="K2416" s="41" t="s">
        <v>19879</v>
      </c>
      <c r="L2416" s="41" t="s">
        <v>19880</v>
      </c>
      <c r="M2416" s="41" t="s">
        <v>19881</v>
      </c>
      <c r="N2416" s="41" t="s">
        <v>19882</v>
      </c>
      <c r="O2416" s="41" t="s">
        <v>19883</v>
      </c>
      <c r="P2416" s="41" t="s">
        <v>19884</v>
      </c>
      <c r="Q2416" s="41" t="s">
        <v>19885</v>
      </c>
      <c r="R2416" s="41" t="s">
        <v>19886</v>
      </c>
      <c r="S2416" s="41" t="s">
        <v>19887</v>
      </c>
    </row>
    <row r="2417" spans="1:19" x14ac:dyDescent="0.25">
      <c r="A2417" s="41" t="s">
        <v>23</v>
      </c>
      <c r="B2417" s="41" t="s">
        <v>19888</v>
      </c>
      <c r="D2417" s="41" t="s">
        <v>19889</v>
      </c>
      <c r="F2417" s="41" t="s">
        <v>19890</v>
      </c>
      <c r="G2417" s="41" t="s">
        <v>19891</v>
      </c>
      <c r="H2417" s="41" t="s">
        <v>19892</v>
      </c>
      <c r="I2417" s="41" t="s">
        <v>19893</v>
      </c>
      <c r="J2417" s="41" t="s">
        <v>19894</v>
      </c>
      <c r="K2417" s="41" t="s">
        <v>19895</v>
      </c>
      <c r="L2417" s="41" t="s">
        <v>891</v>
      </c>
    </row>
    <row r="2418" spans="1:19" x14ac:dyDescent="0.25">
      <c r="A2418" s="41" t="s">
        <v>23</v>
      </c>
      <c r="B2418" s="41" t="s">
        <v>19896</v>
      </c>
      <c r="D2418" s="41" t="s">
        <v>19897</v>
      </c>
      <c r="F2418" s="41" t="s">
        <v>19898</v>
      </c>
      <c r="G2418" s="41" t="s">
        <v>19899</v>
      </c>
      <c r="H2418" s="41" t="s">
        <v>19900</v>
      </c>
      <c r="I2418" s="41" t="s">
        <v>19901</v>
      </c>
      <c r="J2418" s="41" t="s">
        <v>19902</v>
      </c>
      <c r="K2418" s="41" t="s">
        <v>19903</v>
      </c>
      <c r="L2418" s="41" t="s">
        <v>1076</v>
      </c>
    </row>
    <row r="2419" spans="1:19" x14ac:dyDescent="0.25">
      <c r="A2419" s="41" t="s">
        <v>23</v>
      </c>
      <c r="B2419" s="41" t="s">
        <v>19904</v>
      </c>
      <c r="D2419" s="41" t="s">
        <v>19905</v>
      </c>
      <c r="F2419" s="41" t="s">
        <v>19906</v>
      </c>
      <c r="G2419" s="41" t="s">
        <v>19907</v>
      </c>
      <c r="H2419" s="41" t="s">
        <v>19908</v>
      </c>
      <c r="I2419" s="41" t="s">
        <v>19909</v>
      </c>
      <c r="J2419" s="41" t="s">
        <v>19910</v>
      </c>
      <c r="K2419" s="41" t="s">
        <v>19911</v>
      </c>
      <c r="L2419" s="41" t="s">
        <v>1085</v>
      </c>
    </row>
    <row r="2420" spans="1:19" x14ac:dyDescent="0.25">
      <c r="A2420" s="41" t="s">
        <v>23</v>
      </c>
      <c r="B2420" s="41" t="s">
        <v>19912</v>
      </c>
      <c r="D2420" s="41" t="s">
        <v>19913</v>
      </c>
      <c r="F2420" s="41" t="s">
        <v>19914</v>
      </c>
      <c r="G2420" s="41" t="s">
        <v>19915</v>
      </c>
      <c r="H2420" s="41" t="s">
        <v>19916</v>
      </c>
      <c r="I2420" s="41" t="s">
        <v>19917</v>
      </c>
      <c r="J2420" s="41" t="s">
        <v>19918</v>
      </c>
      <c r="K2420" s="41" t="s">
        <v>19919</v>
      </c>
      <c r="L2420" s="41" t="s">
        <v>1094</v>
      </c>
    </row>
    <row r="2421" spans="1:19" x14ac:dyDescent="0.25">
      <c r="A2421" s="41" t="s">
        <v>908</v>
      </c>
      <c r="B2421" s="41" t="s">
        <v>19920</v>
      </c>
    </row>
    <row r="2422" spans="1:19" x14ac:dyDescent="0.25">
      <c r="A2422" s="41" t="s">
        <v>23</v>
      </c>
      <c r="B2422" s="41" t="s">
        <v>19921</v>
      </c>
      <c r="F2422" s="41" t="s">
        <v>19922</v>
      </c>
      <c r="G2422" s="41" t="s">
        <v>19923</v>
      </c>
      <c r="H2422" s="41" t="s">
        <v>19924</v>
      </c>
      <c r="I2422" s="41" t="s">
        <v>19925</v>
      </c>
      <c r="J2422" s="41" t="s">
        <v>19926</v>
      </c>
      <c r="L2422" s="41" t="s">
        <v>4</v>
      </c>
    </row>
    <row r="2423" spans="1:19" x14ac:dyDescent="0.25">
      <c r="A2423" s="41" t="s">
        <v>23</v>
      </c>
      <c r="B2423" s="41" t="s">
        <v>19927</v>
      </c>
      <c r="D2423" s="41" t="s">
        <v>19760</v>
      </c>
      <c r="E2423" s="41" t="s">
        <v>19928</v>
      </c>
      <c r="F2423" s="41" t="s">
        <v>19929</v>
      </c>
      <c r="G2423" s="41" t="s">
        <v>19930</v>
      </c>
      <c r="H2423" s="41" t="s">
        <v>19931</v>
      </c>
      <c r="I2423" s="41" t="s">
        <v>19932</v>
      </c>
      <c r="J2423" s="41" t="s">
        <v>19933</v>
      </c>
      <c r="K2423" s="41" t="s">
        <v>19934</v>
      </c>
      <c r="L2423" s="41" t="s">
        <v>19935</v>
      </c>
      <c r="M2423" s="41" t="s">
        <v>19936</v>
      </c>
      <c r="N2423" s="41" t="s">
        <v>19937</v>
      </c>
      <c r="O2423" s="41" t="s">
        <v>19938</v>
      </c>
      <c r="P2423" s="41" t="s">
        <v>19939</v>
      </c>
      <c r="Q2423" s="41" t="s">
        <v>19940</v>
      </c>
      <c r="R2423" s="41" t="s">
        <v>19941</v>
      </c>
      <c r="S2423" s="41" t="s">
        <v>19942</v>
      </c>
    </row>
    <row r="2424" spans="1:19" x14ac:dyDescent="0.25">
      <c r="A2424" s="41" t="s">
        <v>23</v>
      </c>
      <c r="B2424" s="41" t="s">
        <v>19943</v>
      </c>
      <c r="D2424" s="41" t="s">
        <v>19944</v>
      </c>
      <c r="F2424" s="41" t="s">
        <v>19945</v>
      </c>
      <c r="G2424" s="41" t="s">
        <v>19946</v>
      </c>
      <c r="H2424" s="41" t="s">
        <v>19947</v>
      </c>
      <c r="I2424" s="41" t="s">
        <v>19948</v>
      </c>
      <c r="J2424" s="41" t="s">
        <v>19949</v>
      </c>
      <c r="K2424" s="41" t="s">
        <v>19950</v>
      </c>
      <c r="L2424" s="41" t="s">
        <v>891</v>
      </c>
    </row>
    <row r="2425" spans="1:19" x14ac:dyDescent="0.25">
      <c r="A2425" s="41" t="s">
        <v>23</v>
      </c>
      <c r="B2425" s="41" t="s">
        <v>19951</v>
      </c>
      <c r="D2425" s="41" t="s">
        <v>19952</v>
      </c>
      <c r="F2425" s="41" t="s">
        <v>19953</v>
      </c>
      <c r="G2425" s="41" t="s">
        <v>19954</v>
      </c>
      <c r="H2425" s="41" t="s">
        <v>19955</v>
      </c>
      <c r="I2425" s="41" t="s">
        <v>19956</v>
      </c>
      <c r="J2425" s="41" t="s">
        <v>19957</v>
      </c>
      <c r="K2425" s="41" t="s">
        <v>19958</v>
      </c>
      <c r="L2425" s="41" t="s">
        <v>1076</v>
      </c>
    </row>
    <row r="2426" spans="1:19" x14ac:dyDescent="0.25">
      <c r="A2426" s="41" t="s">
        <v>23</v>
      </c>
      <c r="B2426" s="41" t="s">
        <v>19959</v>
      </c>
      <c r="D2426" s="41" t="s">
        <v>19960</v>
      </c>
      <c r="F2426" s="41" t="s">
        <v>19961</v>
      </c>
      <c r="G2426" s="41" t="s">
        <v>19962</v>
      </c>
      <c r="H2426" s="41" t="s">
        <v>19963</v>
      </c>
      <c r="I2426" s="41" t="s">
        <v>19964</v>
      </c>
      <c r="J2426" s="41" t="s">
        <v>19965</v>
      </c>
      <c r="K2426" s="41" t="s">
        <v>19966</v>
      </c>
      <c r="L2426" s="41" t="s">
        <v>1085</v>
      </c>
    </row>
    <row r="2427" spans="1:19" x14ac:dyDescent="0.25">
      <c r="A2427" s="41" t="s">
        <v>23</v>
      </c>
      <c r="B2427" s="41" t="s">
        <v>19967</v>
      </c>
      <c r="D2427" s="41" t="s">
        <v>19968</v>
      </c>
      <c r="F2427" s="41" t="s">
        <v>19969</v>
      </c>
      <c r="G2427" s="41" t="s">
        <v>19970</v>
      </c>
      <c r="H2427" s="41" t="s">
        <v>19971</v>
      </c>
      <c r="I2427" s="41" t="s">
        <v>19972</v>
      </c>
      <c r="J2427" s="41" t="s">
        <v>19973</v>
      </c>
      <c r="K2427" s="41" t="s">
        <v>19974</v>
      </c>
      <c r="L2427" s="41" t="s">
        <v>1094</v>
      </c>
    </row>
    <row r="2428" spans="1:19" x14ac:dyDescent="0.25">
      <c r="A2428" s="41" t="s">
        <v>908</v>
      </c>
      <c r="B2428" s="41" t="s">
        <v>19975</v>
      </c>
    </row>
    <row r="2429" spans="1:19" x14ac:dyDescent="0.25">
      <c r="A2429" s="41" t="s">
        <v>23</v>
      </c>
      <c r="B2429" s="41" t="s">
        <v>19976</v>
      </c>
      <c r="F2429" s="41" t="s">
        <v>19977</v>
      </c>
      <c r="G2429" s="41" t="s">
        <v>19978</v>
      </c>
      <c r="H2429" s="41" t="s">
        <v>19979</v>
      </c>
      <c r="I2429" s="41" t="s">
        <v>19980</v>
      </c>
      <c r="J2429" s="41" t="s">
        <v>19981</v>
      </c>
      <c r="L2429" s="41" t="s">
        <v>4</v>
      </c>
    </row>
    <row r="2430" spans="1:19" x14ac:dyDescent="0.25">
      <c r="A2430" s="41" t="s">
        <v>23</v>
      </c>
      <c r="B2430" s="41" t="s">
        <v>19982</v>
      </c>
      <c r="D2430" s="41" t="s">
        <v>19816</v>
      </c>
      <c r="E2430" s="41" t="s">
        <v>19983</v>
      </c>
      <c r="F2430" s="41" t="s">
        <v>19984</v>
      </c>
      <c r="G2430" s="41" t="s">
        <v>19985</v>
      </c>
      <c r="H2430" s="41" t="s">
        <v>19986</v>
      </c>
      <c r="I2430" s="41" t="s">
        <v>19987</v>
      </c>
      <c r="J2430" s="41" t="s">
        <v>19988</v>
      </c>
      <c r="K2430" s="41" t="s">
        <v>19989</v>
      </c>
      <c r="L2430" s="41" t="s">
        <v>19990</v>
      </c>
      <c r="M2430" s="41" t="s">
        <v>19991</v>
      </c>
      <c r="N2430" s="41" t="s">
        <v>19992</v>
      </c>
      <c r="O2430" s="41" t="s">
        <v>19993</v>
      </c>
      <c r="P2430" s="41" t="s">
        <v>19994</v>
      </c>
      <c r="Q2430" s="41" t="s">
        <v>19995</v>
      </c>
      <c r="R2430" s="41" t="s">
        <v>19996</v>
      </c>
      <c r="S2430" s="41" t="s">
        <v>19997</v>
      </c>
    </row>
    <row r="2431" spans="1:19" x14ac:dyDescent="0.25">
      <c r="A2431" s="41" t="s">
        <v>23</v>
      </c>
      <c r="B2431" s="41" t="s">
        <v>19998</v>
      </c>
      <c r="D2431" s="41" t="s">
        <v>19999</v>
      </c>
      <c r="F2431" s="41" t="s">
        <v>20000</v>
      </c>
      <c r="G2431" s="41" t="s">
        <v>20001</v>
      </c>
      <c r="H2431" s="41" t="s">
        <v>20002</v>
      </c>
      <c r="I2431" s="41" t="s">
        <v>20003</v>
      </c>
      <c r="J2431" s="41" t="s">
        <v>20004</v>
      </c>
      <c r="K2431" s="41" t="s">
        <v>20005</v>
      </c>
      <c r="L2431" s="41" t="s">
        <v>891</v>
      </c>
    </row>
    <row r="2432" spans="1:19" x14ac:dyDescent="0.25">
      <c r="A2432" s="41" t="s">
        <v>23</v>
      </c>
      <c r="B2432" s="41" t="s">
        <v>20006</v>
      </c>
      <c r="D2432" s="41" t="s">
        <v>20007</v>
      </c>
      <c r="F2432" s="41" t="s">
        <v>20008</v>
      </c>
      <c r="G2432" s="41" t="s">
        <v>20009</v>
      </c>
      <c r="H2432" s="41" t="s">
        <v>20010</v>
      </c>
      <c r="I2432" s="41" t="s">
        <v>20011</v>
      </c>
      <c r="J2432" s="41" t="s">
        <v>20012</v>
      </c>
      <c r="K2432" s="41" t="s">
        <v>20013</v>
      </c>
      <c r="L2432" s="41" t="s">
        <v>1076</v>
      </c>
    </row>
    <row r="2433" spans="1:19" x14ac:dyDescent="0.25">
      <c r="A2433" s="41" t="s">
        <v>23</v>
      </c>
      <c r="B2433" s="41" t="s">
        <v>20014</v>
      </c>
      <c r="D2433" s="41" t="s">
        <v>20015</v>
      </c>
      <c r="F2433" s="41" t="s">
        <v>20016</v>
      </c>
      <c r="G2433" s="41" t="s">
        <v>20017</v>
      </c>
      <c r="H2433" s="41" t="s">
        <v>20018</v>
      </c>
      <c r="I2433" s="41" t="s">
        <v>20019</v>
      </c>
      <c r="J2433" s="41" t="s">
        <v>20020</v>
      </c>
      <c r="K2433" s="41" t="s">
        <v>20021</v>
      </c>
      <c r="L2433" s="41" t="s">
        <v>1085</v>
      </c>
    </row>
    <row r="2434" spans="1:19" x14ac:dyDescent="0.25">
      <c r="A2434" s="41" t="s">
        <v>23</v>
      </c>
      <c r="B2434" s="41" t="s">
        <v>20022</v>
      </c>
      <c r="D2434" s="41" t="s">
        <v>20023</v>
      </c>
      <c r="F2434" s="41" t="s">
        <v>20024</v>
      </c>
      <c r="G2434" s="41" t="s">
        <v>20025</v>
      </c>
      <c r="H2434" s="41" t="s">
        <v>20026</v>
      </c>
      <c r="I2434" s="41" t="s">
        <v>20027</v>
      </c>
      <c r="J2434" s="41" t="s">
        <v>20028</v>
      </c>
      <c r="K2434" s="41" t="s">
        <v>20029</v>
      </c>
      <c r="L2434" s="41" t="s">
        <v>1094</v>
      </c>
    </row>
    <row r="2435" spans="1:19" x14ac:dyDescent="0.25">
      <c r="A2435" s="41" t="s">
        <v>908</v>
      </c>
      <c r="B2435" s="41" t="s">
        <v>20030</v>
      </c>
    </row>
    <row r="2436" spans="1:19" x14ac:dyDescent="0.25">
      <c r="A2436" s="41" t="s">
        <v>23</v>
      </c>
      <c r="B2436" s="41" t="s">
        <v>20031</v>
      </c>
      <c r="F2436" s="41" t="s">
        <v>20032</v>
      </c>
      <c r="G2436" s="41" t="s">
        <v>20033</v>
      </c>
      <c r="H2436" s="41" t="s">
        <v>20034</v>
      </c>
      <c r="I2436" s="41" t="s">
        <v>20035</v>
      </c>
      <c r="J2436" s="41" t="s">
        <v>20036</v>
      </c>
      <c r="L2436" s="41" t="s">
        <v>4</v>
      </c>
    </row>
    <row r="2437" spans="1:19" x14ac:dyDescent="0.25">
      <c r="A2437" s="41" t="s">
        <v>23</v>
      </c>
      <c r="B2437" s="41" t="s">
        <v>20037</v>
      </c>
      <c r="D2437" s="41" t="s">
        <v>19872</v>
      </c>
      <c r="E2437" s="41" t="s">
        <v>20038</v>
      </c>
      <c r="F2437" s="41" t="s">
        <v>20039</v>
      </c>
      <c r="G2437" s="41" t="s">
        <v>20040</v>
      </c>
      <c r="H2437" s="41" t="s">
        <v>20041</v>
      </c>
      <c r="I2437" s="41" t="s">
        <v>20042</v>
      </c>
      <c r="J2437" s="41" t="s">
        <v>20043</v>
      </c>
      <c r="K2437" s="41" t="s">
        <v>20044</v>
      </c>
      <c r="L2437" s="41" t="s">
        <v>20045</v>
      </c>
      <c r="M2437" s="41" t="s">
        <v>20046</v>
      </c>
      <c r="N2437" s="41" t="s">
        <v>20047</v>
      </c>
      <c r="O2437" s="41" t="s">
        <v>20048</v>
      </c>
      <c r="P2437" s="41" t="s">
        <v>20049</v>
      </c>
      <c r="Q2437" s="41" t="s">
        <v>20050</v>
      </c>
      <c r="R2437" s="41" t="s">
        <v>20051</v>
      </c>
      <c r="S2437" s="41" t="s">
        <v>20052</v>
      </c>
    </row>
    <row r="2438" spans="1:19" x14ac:dyDescent="0.25">
      <c r="A2438" s="41" t="s">
        <v>23</v>
      </c>
      <c r="B2438" s="41" t="s">
        <v>20053</v>
      </c>
      <c r="D2438" s="41" t="s">
        <v>20054</v>
      </c>
      <c r="F2438" s="41" t="s">
        <v>20055</v>
      </c>
      <c r="G2438" s="41" t="s">
        <v>20056</v>
      </c>
      <c r="H2438" s="41" t="s">
        <v>20057</v>
      </c>
      <c r="I2438" s="41" t="s">
        <v>20058</v>
      </c>
      <c r="J2438" s="41" t="s">
        <v>20059</v>
      </c>
      <c r="K2438" s="41" t="s">
        <v>20060</v>
      </c>
      <c r="L2438" s="41" t="s">
        <v>891</v>
      </c>
    </row>
    <row r="2439" spans="1:19" x14ac:dyDescent="0.25">
      <c r="A2439" s="41" t="s">
        <v>23</v>
      </c>
      <c r="B2439" s="41" t="s">
        <v>20061</v>
      </c>
      <c r="D2439" s="41" t="s">
        <v>20062</v>
      </c>
      <c r="F2439" s="41" t="s">
        <v>20063</v>
      </c>
      <c r="G2439" s="41" t="s">
        <v>20064</v>
      </c>
      <c r="H2439" s="41" t="s">
        <v>20065</v>
      </c>
      <c r="I2439" s="41" t="s">
        <v>20066</v>
      </c>
      <c r="J2439" s="41" t="s">
        <v>20067</v>
      </c>
      <c r="K2439" s="41" t="s">
        <v>20068</v>
      </c>
      <c r="L2439" s="41" t="s">
        <v>1076</v>
      </c>
    </row>
    <row r="2440" spans="1:19" x14ac:dyDescent="0.25">
      <c r="A2440" s="41" t="s">
        <v>23</v>
      </c>
      <c r="B2440" s="41" t="s">
        <v>20069</v>
      </c>
      <c r="D2440" s="41" t="s">
        <v>20070</v>
      </c>
      <c r="F2440" s="41" t="s">
        <v>20071</v>
      </c>
      <c r="G2440" s="41" t="s">
        <v>20072</v>
      </c>
      <c r="H2440" s="41" t="s">
        <v>20073</v>
      </c>
      <c r="I2440" s="41" t="s">
        <v>20074</v>
      </c>
      <c r="J2440" s="41" t="s">
        <v>20075</v>
      </c>
      <c r="K2440" s="41" t="s">
        <v>20076</v>
      </c>
      <c r="L2440" s="41" t="s">
        <v>1085</v>
      </c>
    </row>
    <row r="2441" spans="1:19" x14ac:dyDescent="0.25">
      <c r="A2441" s="41" t="s">
        <v>23</v>
      </c>
      <c r="B2441" s="41" t="s">
        <v>20077</v>
      </c>
      <c r="D2441" s="41" t="s">
        <v>20078</v>
      </c>
      <c r="F2441" s="41" t="s">
        <v>20079</v>
      </c>
      <c r="G2441" s="41" t="s">
        <v>20080</v>
      </c>
      <c r="H2441" s="41" t="s">
        <v>20081</v>
      </c>
      <c r="I2441" s="41" t="s">
        <v>20082</v>
      </c>
      <c r="J2441" s="41" t="s">
        <v>20083</v>
      </c>
      <c r="K2441" s="41" t="s">
        <v>20084</v>
      </c>
      <c r="L2441" s="41" t="s">
        <v>1094</v>
      </c>
    </row>
    <row r="2442" spans="1:19" x14ac:dyDescent="0.25">
      <c r="A2442" s="41" t="s">
        <v>908</v>
      </c>
      <c r="B2442" s="41" t="s">
        <v>20085</v>
      </c>
    </row>
    <row r="2443" spans="1:19" x14ac:dyDescent="0.25">
      <c r="A2443" s="41" t="s">
        <v>23</v>
      </c>
      <c r="B2443" s="41" t="s">
        <v>20086</v>
      </c>
      <c r="F2443" s="41" t="s">
        <v>20087</v>
      </c>
      <c r="G2443" s="41" t="s">
        <v>20088</v>
      </c>
      <c r="H2443" s="41" t="s">
        <v>20089</v>
      </c>
      <c r="I2443" s="41" t="s">
        <v>20090</v>
      </c>
      <c r="J2443" s="41" t="s">
        <v>20091</v>
      </c>
      <c r="L2443" s="41" t="s">
        <v>4</v>
      </c>
    </row>
    <row r="2444" spans="1:19" x14ac:dyDescent="0.25">
      <c r="A2444" s="41" t="s">
        <v>23</v>
      </c>
      <c r="B2444" s="41" t="s">
        <v>20092</v>
      </c>
      <c r="D2444" s="41" t="s">
        <v>442</v>
      </c>
      <c r="E2444" s="41" t="s">
        <v>20093</v>
      </c>
      <c r="F2444" s="41" t="s">
        <v>20094</v>
      </c>
      <c r="G2444" s="41" t="s">
        <v>20095</v>
      </c>
      <c r="H2444" s="41" t="s">
        <v>20096</v>
      </c>
      <c r="I2444" s="41" t="s">
        <v>20097</v>
      </c>
      <c r="J2444" s="41" t="s">
        <v>20098</v>
      </c>
      <c r="K2444" s="41" t="s">
        <v>20099</v>
      </c>
      <c r="L2444" s="41" t="s">
        <v>20100</v>
      </c>
      <c r="M2444" s="41" t="s">
        <v>20101</v>
      </c>
      <c r="N2444" s="41" t="s">
        <v>20102</v>
      </c>
      <c r="O2444" s="41" t="s">
        <v>20103</v>
      </c>
      <c r="P2444" s="41" t="s">
        <v>20104</v>
      </c>
      <c r="Q2444" s="41" t="s">
        <v>20105</v>
      </c>
      <c r="R2444" s="41" t="s">
        <v>20106</v>
      </c>
      <c r="S2444" s="41" t="s">
        <v>20107</v>
      </c>
    </row>
    <row r="2445" spans="1:19" x14ac:dyDescent="0.25">
      <c r="A2445" s="41" t="s">
        <v>23</v>
      </c>
      <c r="B2445" s="41" t="s">
        <v>20108</v>
      </c>
      <c r="D2445" s="41" t="s">
        <v>20109</v>
      </c>
      <c r="F2445" s="41" t="s">
        <v>20110</v>
      </c>
      <c r="G2445" s="41" t="s">
        <v>20111</v>
      </c>
      <c r="H2445" s="41" t="s">
        <v>20112</v>
      </c>
      <c r="I2445" s="41" t="s">
        <v>20113</v>
      </c>
      <c r="J2445" s="41" t="s">
        <v>20114</v>
      </c>
      <c r="K2445" s="41" t="s">
        <v>20115</v>
      </c>
      <c r="L2445" s="41" t="s">
        <v>891</v>
      </c>
    </row>
    <row r="2446" spans="1:19" x14ac:dyDescent="0.25">
      <c r="A2446" s="41" t="s">
        <v>23</v>
      </c>
      <c r="B2446" s="41" t="s">
        <v>20116</v>
      </c>
      <c r="D2446" s="41" t="s">
        <v>20117</v>
      </c>
      <c r="F2446" s="41" t="s">
        <v>20118</v>
      </c>
      <c r="G2446" s="41" t="s">
        <v>20119</v>
      </c>
      <c r="H2446" s="41" t="s">
        <v>20120</v>
      </c>
      <c r="I2446" s="41" t="s">
        <v>20121</v>
      </c>
      <c r="J2446" s="41" t="s">
        <v>20122</v>
      </c>
      <c r="K2446" s="41" t="s">
        <v>20123</v>
      </c>
      <c r="L2446" s="41" t="s">
        <v>1076</v>
      </c>
    </row>
    <row r="2447" spans="1:19" x14ac:dyDescent="0.25">
      <c r="A2447" s="41" t="s">
        <v>23</v>
      </c>
      <c r="B2447" s="41" t="s">
        <v>20124</v>
      </c>
      <c r="D2447" s="41" t="s">
        <v>20125</v>
      </c>
      <c r="F2447" s="41" t="s">
        <v>20126</v>
      </c>
      <c r="G2447" s="41" t="s">
        <v>20127</v>
      </c>
      <c r="H2447" s="41" t="s">
        <v>20128</v>
      </c>
      <c r="I2447" s="41" t="s">
        <v>20129</v>
      </c>
      <c r="J2447" s="41" t="s">
        <v>20130</v>
      </c>
      <c r="K2447" s="41" t="s">
        <v>20131</v>
      </c>
      <c r="L2447" s="41" t="s">
        <v>1085</v>
      </c>
    </row>
    <row r="2448" spans="1:19" x14ac:dyDescent="0.25">
      <c r="A2448" s="41" t="s">
        <v>23</v>
      </c>
      <c r="B2448" s="41" t="s">
        <v>20132</v>
      </c>
      <c r="D2448" s="41" t="s">
        <v>20133</v>
      </c>
      <c r="F2448" s="41" t="s">
        <v>20134</v>
      </c>
      <c r="G2448" s="41" t="s">
        <v>20135</v>
      </c>
      <c r="H2448" s="41" t="s">
        <v>20136</v>
      </c>
      <c r="I2448" s="41" t="s">
        <v>20137</v>
      </c>
      <c r="J2448" s="41" t="s">
        <v>20138</v>
      </c>
      <c r="K2448" s="41" t="s">
        <v>20139</v>
      </c>
      <c r="L2448" s="41" t="s">
        <v>1094</v>
      </c>
    </row>
    <row r="2449" spans="1:19" x14ac:dyDescent="0.25">
      <c r="A2449" s="41" t="s">
        <v>908</v>
      </c>
      <c r="B2449" s="41" t="s">
        <v>20140</v>
      </c>
    </row>
    <row r="2450" spans="1:19" x14ac:dyDescent="0.25">
      <c r="A2450" s="41" t="s">
        <v>23</v>
      </c>
      <c r="B2450" s="41" t="s">
        <v>20141</v>
      </c>
      <c r="F2450" s="41" t="s">
        <v>20142</v>
      </c>
      <c r="G2450" s="41" t="s">
        <v>20143</v>
      </c>
      <c r="H2450" s="41" t="s">
        <v>20144</v>
      </c>
      <c r="I2450" s="41" t="s">
        <v>20145</v>
      </c>
      <c r="J2450" s="41" t="s">
        <v>20146</v>
      </c>
      <c r="L2450" s="41" t="s">
        <v>4</v>
      </c>
    </row>
    <row r="2451" spans="1:19" x14ac:dyDescent="0.25">
      <c r="A2451" s="41" t="s">
        <v>23</v>
      </c>
      <c r="B2451" s="41" t="s">
        <v>20147</v>
      </c>
      <c r="D2451" s="41" t="s">
        <v>443</v>
      </c>
      <c r="E2451" s="41" t="s">
        <v>20148</v>
      </c>
      <c r="F2451" s="41" t="s">
        <v>20149</v>
      </c>
      <c r="G2451" s="41" t="s">
        <v>20150</v>
      </c>
      <c r="H2451" s="41" t="s">
        <v>20151</v>
      </c>
      <c r="I2451" s="41" t="s">
        <v>20152</v>
      </c>
      <c r="J2451" s="41" t="s">
        <v>20153</v>
      </c>
      <c r="K2451" s="41" t="s">
        <v>20154</v>
      </c>
      <c r="L2451" s="41" t="s">
        <v>20155</v>
      </c>
      <c r="M2451" s="41" t="s">
        <v>20156</v>
      </c>
      <c r="N2451" s="41" t="s">
        <v>20157</v>
      </c>
      <c r="O2451" s="41" t="s">
        <v>20158</v>
      </c>
      <c r="P2451" s="41" t="s">
        <v>20159</v>
      </c>
      <c r="Q2451" s="41" t="s">
        <v>20160</v>
      </c>
      <c r="R2451" s="41" t="s">
        <v>20161</v>
      </c>
      <c r="S2451" s="41" t="s">
        <v>20162</v>
      </c>
    </row>
    <row r="2452" spans="1:19" x14ac:dyDescent="0.25">
      <c r="A2452" s="41" t="s">
        <v>23</v>
      </c>
      <c r="B2452" s="41" t="s">
        <v>20163</v>
      </c>
      <c r="D2452" s="41" t="s">
        <v>20164</v>
      </c>
      <c r="F2452" s="41" t="s">
        <v>20165</v>
      </c>
      <c r="G2452" s="41" t="s">
        <v>20166</v>
      </c>
      <c r="H2452" s="41" t="s">
        <v>20167</v>
      </c>
      <c r="I2452" s="41" t="s">
        <v>20168</v>
      </c>
      <c r="J2452" s="41" t="s">
        <v>20169</v>
      </c>
      <c r="K2452" s="41" t="s">
        <v>20170</v>
      </c>
      <c r="L2452" s="41" t="s">
        <v>891</v>
      </c>
    </row>
    <row r="2453" spans="1:19" x14ac:dyDescent="0.25">
      <c r="A2453" s="41" t="s">
        <v>23</v>
      </c>
      <c r="B2453" s="41" t="s">
        <v>20171</v>
      </c>
      <c r="D2453" s="41" t="s">
        <v>20172</v>
      </c>
      <c r="F2453" s="41" t="s">
        <v>20173</v>
      </c>
      <c r="G2453" s="41" t="s">
        <v>20174</v>
      </c>
      <c r="H2453" s="41" t="s">
        <v>20175</v>
      </c>
      <c r="I2453" s="41" t="s">
        <v>20176</v>
      </c>
      <c r="J2453" s="41" t="s">
        <v>20177</v>
      </c>
      <c r="K2453" s="41" t="s">
        <v>20178</v>
      </c>
      <c r="L2453" s="41" t="s">
        <v>1076</v>
      </c>
    </row>
    <row r="2454" spans="1:19" x14ac:dyDescent="0.25">
      <c r="A2454" s="41" t="s">
        <v>23</v>
      </c>
      <c r="B2454" s="41" t="s">
        <v>20179</v>
      </c>
      <c r="D2454" s="41" t="s">
        <v>20180</v>
      </c>
      <c r="F2454" s="41" t="s">
        <v>20181</v>
      </c>
      <c r="G2454" s="41" t="s">
        <v>20182</v>
      </c>
      <c r="H2454" s="41" t="s">
        <v>20183</v>
      </c>
      <c r="I2454" s="41" t="s">
        <v>20184</v>
      </c>
      <c r="J2454" s="41" t="s">
        <v>20185</v>
      </c>
      <c r="K2454" s="41" t="s">
        <v>20186</v>
      </c>
      <c r="L2454" s="41" t="s">
        <v>1085</v>
      </c>
    </row>
    <row r="2455" spans="1:19" x14ac:dyDescent="0.25">
      <c r="A2455" s="41" t="s">
        <v>23</v>
      </c>
      <c r="B2455" s="41" t="s">
        <v>20187</v>
      </c>
      <c r="D2455" s="41" t="s">
        <v>20188</v>
      </c>
      <c r="F2455" s="41" t="s">
        <v>20189</v>
      </c>
      <c r="G2455" s="41" t="s">
        <v>20190</v>
      </c>
      <c r="H2455" s="41" t="s">
        <v>20191</v>
      </c>
      <c r="I2455" s="41" t="s">
        <v>20192</v>
      </c>
      <c r="J2455" s="41" t="s">
        <v>20193</v>
      </c>
      <c r="K2455" s="41" t="s">
        <v>20194</v>
      </c>
      <c r="L2455" s="41" t="s">
        <v>1094</v>
      </c>
    </row>
    <row r="2456" spans="1:19" x14ac:dyDescent="0.25">
      <c r="A2456" s="41" t="s">
        <v>908</v>
      </c>
      <c r="B2456" s="41" t="s">
        <v>20195</v>
      </c>
    </row>
    <row r="2457" spans="1:19" x14ac:dyDescent="0.25">
      <c r="A2457" s="41" t="s">
        <v>23</v>
      </c>
      <c r="B2457" s="41" t="s">
        <v>20196</v>
      </c>
      <c r="F2457" s="41" t="s">
        <v>20197</v>
      </c>
      <c r="G2457" s="41" t="s">
        <v>20198</v>
      </c>
      <c r="H2457" s="41" t="s">
        <v>20199</v>
      </c>
      <c r="I2457" s="41" t="s">
        <v>20200</v>
      </c>
      <c r="J2457" s="41" t="s">
        <v>20201</v>
      </c>
      <c r="L2457" s="41" t="s">
        <v>4</v>
      </c>
    </row>
    <row r="2458" spans="1:19" x14ac:dyDescent="0.25">
      <c r="A2458" s="41" t="s">
        <v>23</v>
      </c>
      <c r="B2458" s="41" t="s">
        <v>20202</v>
      </c>
      <c r="D2458" s="41" t="s">
        <v>444</v>
      </c>
      <c r="E2458" s="41" t="s">
        <v>20203</v>
      </c>
      <c r="F2458" s="41" t="s">
        <v>20204</v>
      </c>
      <c r="G2458" s="41" t="s">
        <v>20205</v>
      </c>
      <c r="H2458" s="41" t="s">
        <v>20206</v>
      </c>
      <c r="I2458" s="41" t="s">
        <v>20207</v>
      </c>
      <c r="J2458" s="41" t="s">
        <v>20208</v>
      </c>
      <c r="K2458" s="41" t="s">
        <v>20209</v>
      </c>
      <c r="L2458" s="41" t="s">
        <v>20210</v>
      </c>
      <c r="M2458" s="41" t="s">
        <v>20211</v>
      </c>
      <c r="N2458" s="41" t="s">
        <v>20212</v>
      </c>
      <c r="O2458" s="41" t="s">
        <v>20213</v>
      </c>
      <c r="P2458" s="41" t="s">
        <v>20214</v>
      </c>
      <c r="Q2458" s="41" t="s">
        <v>20215</v>
      </c>
      <c r="R2458" s="41" t="s">
        <v>20216</v>
      </c>
      <c r="S2458" s="41" t="s">
        <v>20217</v>
      </c>
    </row>
    <row r="2459" spans="1:19" x14ac:dyDescent="0.25">
      <c r="A2459" s="41" t="s">
        <v>23</v>
      </c>
      <c r="B2459" s="41" t="s">
        <v>20218</v>
      </c>
      <c r="D2459" s="41" t="s">
        <v>20219</v>
      </c>
      <c r="F2459" s="41" t="s">
        <v>20220</v>
      </c>
      <c r="G2459" s="41" t="s">
        <v>20221</v>
      </c>
      <c r="H2459" s="41" t="s">
        <v>20222</v>
      </c>
      <c r="I2459" s="41" t="s">
        <v>20223</v>
      </c>
      <c r="J2459" s="41" t="s">
        <v>20224</v>
      </c>
      <c r="K2459" s="41" t="s">
        <v>20225</v>
      </c>
      <c r="L2459" s="41" t="s">
        <v>891</v>
      </c>
    </row>
    <row r="2460" spans="1:19" x14ac:dyDescent="0.25">
      <c r="A2460" s="41" t="s">
        <v>23</v>
      </c>
      <c r="B2460" s="41" t="s">
        <v>20226</v>
      </c>
      <c r="D2460" s="41" t="s">
        <v>20227</v>
      </c>
      <c r="F2460" s="41" t="s">
        <v>20228</v>
      </c>
      <c r="G2460" s="41" t="s">
        <v>20229</v>
      </c>
      <c r="H2460" s="41" t="s">
        <v>20230</v>
      </c>
      <c r="I2460" s="41" t="s">
        <v>20231</v>
      </c>
      <c r="J2460" s="41" t="s">
        <v>20232</v>
      </c>
      <c r="K2460" s="41" t="s">
        <v>20233</v>
      </c>
      <c r="L2460" s="41" t="s">
        <v>1076</v>
      </c>
    </row>
    <row r="2461" spans="1:19" x14ac:dyDescent="0.25">
      <c r="A2461" s="41" t="s">
        <v>23</v>
      </c>
      <c r="B2461" s="41" t="s">
        <v>20234</v>
      </c>
      <c r="D2461" s="41" t="s">
        <v>20235</v>
      </c>
      <c r="F2461" s="41" t="s">
        <v>20236</v>
      </c>
      <c r="G2461" s="41" t="s">
        <v>20237</v>
      </c>
      <c r="H2461" s="41" t="s">
        <v>20238</v>
      </c>
      <c r="I2461" s="41" t="s">
        <v>20239</v>
      </c>
      <c r="J2461" s="41" t="s">
        <v>20240</v>
      </c>
      <c r="K2461" s="41" t="s">
        <v>20241</v>
      </c>
      <c r="L2461" s="41" t="s">
        <v>1085</v>
      </c>
    </row>
    <row r="2462" spans="1:19" x14ac:dyDescent="0.25">
      <c r="A2462" s="41" t="s">
        <v>23</v>
      </c>
      <c r="B2462" s="41" t="s">
        <v>20242</v>
      </c>
      <c r="D2462" s="41" t="s">
        <v>20243</v>
      </c>
      <c r="F2462" s="41" t="s">
        <v>20244</v>
      </c>
      <c r="G2462" s="41" t="s">
        <v>20245</v>
      </c>
      <c r="H2462" s="41" t="s">
        <v>20246</v>
      </c>
      <c r="I2462" s="41" t="s">
        <v>20247</v>
      </c>
      <c r="J2462" s="41" t="s">
        <v>20248</v>
      </c>
      <c r="K2462" s="41" t="s">
        <v>20249</v>
      </c>
      <c r="L2462" s="41" t="s">
        <v>1094</v>
      </c>
    </row>
    <row r="2463" spans="1:19" x14ac:dyDescent="0.25">
      <c r="A2463" s="41" t="s">
        <v>908</v>
      </c>
      <c r="B2463" s="41" t="s">
        <v>20250</v>
      </c>
    </row>
    <row r="2464" spans="1:19" x14ac:dyDescent="0.25">
      <c r="A2464" s="41" t="s">
        <v>23</v>
      </c>
      <c r="B2464" s="41" t="s">
        <v>20251</v>
      </c>
      <c r="F2464" s="41" t="s">
        <v>20252</v>
      </c>
      <c r="G2464" s="41" t="s">
        <v>20253</v>
      </c>
      <c r="H2464" s="41" t="s">
        <v>20254</v>
      </c>
      <c r="I2464" s="41" t="s">
        <v>20255</v>
      </c>
      <c r="J2464" s="41" t="s">
        <v>20256</v>
      </c>
      <c r="L2464" s="41" t="s">
        <v>4</v>
      </c>
    </row>
    <row r="2465" spans="1:19" x14ac:dyDescent="0.25">
      <c r="A2465" s="41" t="s">
        <v>23</v>
      </c>
      <c r="B2465" s="41" t="s">
        <v>20257</v>
      </c>
      <c r="D2465" s="41" t="s">
        <v>554</v>
      </c>
      <c r="E2465" s="41" t="s">
        <v>20258</v>
      </c>
      <c r="F2465" s="41" t="s">
        <v>20259</v>
      </c>
      <c r="G2465" s="41" t="s">
        <v>20260</v>
      </c>
      <c r="H2465" s="41" t="s">
        <v>20261</v>
      </c>
      <c r="I2465" s="41" t="s">
        <v>20262</v>
      </c>
      <c r="J2465" s="41" t="s">
        <v>20263</v>
      </c>
      <c r="K2465" s="41" t="s">
        <v>20264</v>
      </c>
      <c r="L2465" s="41" t="s">
        <v>20265</v>
      </c>
      <c r="M2465" s="41" t="s">
        <v>20266</v>
      </c>
      <c r="N2465" s="41" t="s">
        <v>20267</v>
      </c>
      <c r="O2465" s="41" t="s">
        <v>20268</v>
      </c>
      <c r="P2465" s="41" t="s">
        <v>20269</v>
      </c>
      <c r="Q2465" s="41" t="s">
        <v>20270</v>
      </c>
      <c r="R2465" s="41" t="s">
        <v>20271</v>
      </c>
      <c r="S2465" s="41" t="s">
        <v>20272</v>
      </c>
    </row>
    <row r="2466" spans="1:19" x14ac:dyDescent="0.25">
      <c r="A2466" s="41" t="s">
        <v>23</v>
      </c>
      <c r="B2466" s="41" t="s">
        <v>20273</v>
      </c>
      <c r="D2466" s="41" t="s">
        <v>20274</v>
      </c>
      <c r="F2466" s="41" t="s">
        <v>20275</v>
      </c>
      <c r="G2466" s="41" t="s">
        <v>20276</v>
      </c>
      <c r="H2466" s="41" t="s">
        <v>20277</v>
      </c>
      <c r="I2466" s="41" t="s">
        <v>20278</v>
      </c>
      <c r="J2466" s="41" t="s">
        <v>20279</v>
      </c>
      <c r="K2466" s="41" t="s">
        <v>20280</v>
      </c>
      <c r="L2466" s="41" t="s">
        <v>891</v>
      </c>
    </row>
    <row r="2467" spans="1:19" x14ac:dyDescent="0.25">
      <c r="A2467" s="41" t="s">
        <v>23</v>
      </c>
      <c r="B2467" s="41" t="s">
        <v>20281</v>
      </c>
      <c r="D2467" s="41" t="s">
        <v>20282</v>
      </c>
      <c r="F2467" s="41" t="s">
        <v>20283</v>
      </c>
      <c r="G2467" s="41" t="s">
        <v>20284</v>
      </c>
      <c r="H2467" s="41" t="s">
        <v>20285</v>
      </c>
      <c r="I2467" s="41" t="s">
        <v>20286</v>
      </c>
      <c r="J2467" s="41" t="s">
        <v>20287</v>
      </c>
      <c r="K2467" s="41" t="s">
        <v>20288</v>
      </c>
      <c r="L2467" s="41" t="s">
        <v>1076</v>
      </c>
    </row>
    <row r="2468" spans="1:19" x14ac:dyDescent="0.25">
      <c r="A2468" s="41" t="s">
        <v>23</v>
      </c>
      <c r="B2468" s="41" t="s">
        <v>20289</v>
      </c>
      <c r="D2468" s="41" t="s">
        <v>20290</v>
      </c>
      <c r="F2468" s="41" t="s">
        <v>20291</v>
      </c>
      <c r="G2468" s="41" t="s">
        <v>20292</v>
      </c>
      <c r="H2468" s="41" t="s">
        <v>20293</v>
      </c>
      <c r="I2468" s="41" t="s">
        <v>20294</v>
      </c>
      <c r="J2468" s="41" t="s">
        <v>20295</v>
      </c>
      <c r="K2468" s="41" t="s">
        <v>20296</v>
      </c>
      <c r="L2468" s="41" t="s">
        <v>1085</v>
      </c>
    </row>
    <row r="2469" spans="1:19" x14ac:dyDescent="0.25">
      <c r="A2469" s="41" t="s">
        <v>23</v>
      </c>
      <c r="B2469" s="41" t="s">
        <v>20297</v>
      </c>
      <c r="D2469" s="41" t="s">
        <v>20298</v>
      </c>
      <c r="F2469" s="41" t="s">
        <v>20299</v>
      </c>
      <c r="G2469" s="41" t="s">
        <v>20300</v>
      </c>
      <c r="H2469" s="41" t="s">
        <v>20301</v>
      </c>
      <c r="I2469" s="41" t="s">
        <v>20302</v>
      </c>
      <c r="J2469" s="41" t="s">
        <v>20303</v>
      </c>
      <c r="K2469" s="41" t="s">
        <v>20304</v>
      </c>
      <c r="L2469" s="41" t="s">
        <v>1094</v>
      </c>
    </row>
    <row r="2470" spans="1:19" x14ac:dyDescent="0.25">
      <c r="A2470" s="41" t="s">
        <v>908</v>
      </c>
      <c r="B2470" s="41" t="s">
        <v>20305</v>
      </c>
    </row>
    <row r="2471" spans="1:19" x14ac:dyDescent="0.25">
      <c r="A2471" s="41" t="s">
        <v>23</v>
      </c>
      <c r="B2471" s="41" t="s">
        <v>20306</v>
      </c>
      <c r="F2471" s="41" t="s">
        <v>20307</v>
      </c>
      <c r="G2471" s="41" t="s">
        <v>20308</v>
      </c>
      <c r="H2471" s="41" t="s">
        <v>20309</v>
      </c>
      <c r="I2471" s="41" t="s">
        <v>20310</v>
      </c>
      <c r="J2471" s="41" t="s">
        <v>20311</v>
      </c>
      <c r="L2471" s="41" t="s">
        <v>4</v>
      </c>
    </row>
    <row r="2472" spans="1:19" x14ac:dyDescent="0.25">
      <c r="A2472" s="41" t="s">
        <v>23</v>
      </c>
      <c r="B2472" s="41" t="s">
        <v>20312</v>
      </c>
      <c r="D2472" s="41" t="s">
        <v>555</v>
      </c>
      <c r="E2472" s="41" t="s">
        <v>20313</v>
      </c>
      <c r="F2472" s="41" t="s">
        <v>20314</v>
      </c>
      <c r="G2472" s="41" t="s">
        <v>20315</v>
      </c>
      <c r="H2472" s="41" t="s">
        <v>20316</v>
      </c>
      <c r="I2472" s="41" t="s">
        <v>20317</v>
      </c>
      <c r="J2472" s="41" t="s">
        <v>20318</v>
      </c>
      <c r="K2472" s="41" t="s">
        <v>20319</v>
      </c>
      <c r="L2472" s="41" t="s">
        <v>20320</v>
      </c>
      <c r="M2472" s="41" t="s">
        <v>20321</v>
      </c>
      <c r="N2472" s="41" t="s">
        <v>20322</v>
      </c>
      <c r="O2472" s="41" t="s">
        <v>20323</v>
      </c>
      <c r="P2472" s="41" t="s">
        <v>20324</v>
      </c>
      <c r="Q2472" s="41" t="s">
        <v>20325</v>
      </c>
      <c r="R2472" s="41" t="s">
        <v>20326</v>
      </c>
      <c r="S2472" s="41" t="s">
        <v>20327</v>
      </c>
    </row>
    <row r="2473" spans="1:19" x14ac:dyDescent="0.25">
      <c r="A2473" s="41" t="s">
        <v>23</v>
      </c>
      <c r="B2473" s="41" t="s">
        <v>20328</v>
      </c>
      <c r="D2473" s="41" t="s">
        <v>20329</v>
      </c>
      <c r="F2473" s="41" t="s">
        <v>20330</v>
      </c>
      <c r="G2473" s="41" t="s">
        <v>20331</v>
      </c>
      <c r="H2473" s="41" t="s">
        <v>20332</v>
      </c>
      <c r="I2473" s="41" t="s">
        <v>20333</v>
      </c>
      <c r="J2473" s="41" t="s">
        <v>20334</v>
      </c>
      <c r="K2473" s="41" t="s">
        <v>20335</v>
      </c>
      <c r="L2473" s="41" t="s">
        <v>891</v>
      </c>
    </row>
    <row r="2474" spans="1:19" x14ac:dyDescent="0.25">
      <c r="A2474" s="41" t="s">
        <v>23</v>
      </c>
      <c r="B2474" s="41" t="s">
        <v>20336</v>
      </c>
      <c r="D2474" s="41" t="s">
        <v>20337</v>
      </c>
      <c r="F2474" s="41" t="s">
        <v>20338</v>
      </c>
      <c r="G2474" s="41" t="s">
        <v>20339</v>
      </c>
      <c r="H2474" s="41" t="s">
        <v>20340</v>
      </c>
      <c r="I2474" s="41" t="s">
        <v>20341</v>
      </c>
      <c r="J2474" s="41" t="s">
        <v>20342</v>
      </c>
      <c r="K2474" s="41" t="s">
        <v>20343</v>
      </c>
      <c r="L2474" s="41" t="s">
        <v>1076</v>
      </c>
    </row>
    <row r="2475" spans="1:19" x14ac:dyDescent="0.25">
      <c r="A2475" s="41" t="s">
        <v>23</v>
      </c>
      <c r="B2475" s="41" t="s">
        <v>20344</v>
      </c>
      <c r="D2475" s="41" t="s">
        <v>20345</v>
      </c>
      <c r="F2475" s="41" t="s">
        <v>20346</v>
      </c>
      <c r="G2475" s="41" t="s">
        <v>20347</v>
      </c>
      <c r="H2475" s="41" t="s">
        <v>20348</v>
      </c>
      <c r="I2475" s="41" t="s">
        <v>20349</v>
      </c>
      <c r="J2475" s="41" t="s">
        <v>20350</v>
      </c>
      <c r="K2475" s="41" t="s">
        <v>20351</v>
      </c>
      <c r="L2475" s="41" t="s">
        <v>1085</v>
      </c>
    </row>
    <row r="2476" spans="1:19" x14ac:dyDescent="0.25">
      <c r="A2476" s="41" t="s">
        <v>23</v>
      </c>
      <c r="B2476" s="41" t="s">
        <v>20352</v>
      </c>
      <c r="D2476" s="41" t="s">
        <v>20353</v>
      </c>
      <c r="F2476" s="41" t="s">
        <v>20354</v>
      </c>
      <c r="G2476" s="41" t="s">
        <v>20355</v>
      </c>
      <c r="H2476" s="41" t="s">
        <v>20356</v>
      </c>
      <c r="I2476" s="41" t="s">
        <v>20357</v>
      </c>
      <c r="J2476" s="41" t="s">
        <v>20358</v>
      </c>
      <c r="K2476" s="41" t="s">
        <v>20359</v>
      </c>
      <c r="L2476" s="41" t="s">
        <v>1094</v>
      </c>
    </row>
    <row r="2477" spans="1:19" x14ac:dyDescent="0.25">
      <c r="A2477" s="41" t="s">
        <v>908</v>
      </c>
      <c r="B2477" s="41" t="s">
        <v>20360</v>
      </c>
    </row>
    <row r="2478" spans="1:19" x14ac:dyDescent="0.25">
      <c r="A2478" s="41" t="s">
        <v>23</v>
      </c>
      <c r="B2478" s="41" t="s">
        <v>20361</v>
      </c>
      <c r="F2478" s="41" t="s">
        <v>20362</v>
      </c>
      <c r="G2478" s="41" t="s">
        <v>20363</v>
      </c>
      <c r="H2478" s="41" t="s">
        <v>20364</v>
      </c>
      <c r="I2478" s="41" t="s">
        <v>20365</v>
      </c>
      <c r="J2478" s="41" t="s">
        <v>20366</v>
      </c>
      <c r="L2478" s="41" t="s">
        <v>4</v>
      </c>
    </row>
    <row r="2479" spans="1:19" x14ac:dyDescent="0.25">
      <c r="A2479" s="41" t="s">
        <v>23</v>
      </c>
      <c r="B2479" s="41" t="s">
        <v>20367</v>
      </c>
      <c r="D2479" s="41" t="s">
        <v>556</v>
      </c>
      <c r="E2479" s="41" t="s">
        <v>20368</v>
      </c>
      <c r="F2479" s="41" t="s">
        <v>20369</v>
      </c>
      <c r="G2479" s="41" t="s">
        <v>20370</v>
      </c>
      <c r="H2479" s="41" t="s">
        <v>20371</v>
      </c>
      <c r="I2479" s="41" t="s">
        <v>20372</v>
      </c>
      <c r="J2479" s="41" t="s">
        <v>20373</v>
      </c>
      <c r="K2479" s="41" t="s">
        <v>20374</v>
      </c>
      <c r="L2479" s="41" t="s">
        <v>20375</v>
      </c>
      <c r="M2479" s="41" t="s">
        <v>20376</v>
      </c>
      <c r="N2479" s="41" t="s">
        <v>20377</v>
      </c>
      <c r="O2479" s="41" t="s">
        <v>20378</v>
      </c>
      <c r="P2479" s="41" t="s">
        <v>20379</v>
      </c>
      <c r="Q2479" s="41" t="s">
        <v>20380</v>
      </c>
      <c r="R2479" s="41" t="s">
        <v>20381</v>
      </c>
      <c r="S2479" s="41" t="s">
        <v>20382</v>
      </c>
    </row>
    <row r="2480" spans="1:19" x14ac:dyDescent="0.25">
      <c r="A2480" s="41" t="s">
        <v>23</v>
      </c>
      <c r="B2480" s="41" t="s">
        <v>20383</v>
      </c>
      <c r="D2480" s="41" t="s">
        <v>20384</v>
      </c>
      <c r="F2480" s="41" t="s">
        <v>20385</v>
      </c>
      <c r="G2480" s="41" t="s">
        <v>20386</v>
      </c>
      <c r="H2480" s="41" t="s">
        <v>20387</v>
      </c>
      <c r="I2480" s="41" t="s">
        <v>20388</v>
      </c>
      <c r="J2480" s="41" t="s">
        <v>20389</v>
      </c>
      <c r="K2480" s="41" t="s">
        <v>20390</v>
      </c>
      <c r="L2480" s="41" t="s">
        <v>891</v>
      </c>
    </row>
    <row r="2481" spans="1:19" x14ac:dyDescent="0.25">
      <c r="A2481" s="41" t="s">
        <v>23</v>
      </c>
      <c r="B2481" s="41" t="s">
        <v>20391</v>
      </c>
      <c r="D2481" s="41" t="s">
        <v>20392</v>
      </c>
      <c r="F2481" s="41" t="s">
        <v>20393</v>
      </c>
      <c r="G2481" s="41" t="s">
        <v>20394</v>
      </c>
      <c r="H2481" s="41" t="s">
        <v>20395</v>
      </c>
      <c r="I2481" s="41" t="s">
        <v>20396</v>
      </c>
      <c r="J2481" s="41" t="s">
        <v>20397</v>
      </c>
      <c r="K2481" s="41" t="s">
        <v>20398</v>
      </c>
      <c r="L2481" s="41" t="s">
        <v>1076</v>
      </c>
    </row>
    <row r="2482" spans="1:19" x14ac:dyDescent="0.25">
      <c r="A2482" s="41" t="s">
        <v>23</v>
      </c>
      <c r="B2482" s="41" t="s">
        <v>20399</v>
      </c>
      <c r="D2482" s="41" t="s">
        <v>20400</v>
      </c>
      <c r="F2482" s="41" t="s">
        <v>20401</v>
      </c>
      <c r="G2482" s="41" t="s">
        <v>20402</v>
      </c>
      <c r="H2482" s="41" t="s">
        <v>20403</v>
      </c>
      <c r="I2482" s="41" t="s">
        <v>20404</v>
      </c>
      <c r="J2482" s="41" t="s">
        <v>20405</v>
      </c>
      <c r="K2482" s="41" t="s">
        <v>20406</v>
      </c>
      <c r="L2482" s="41" t="s">
        <v>1085</v>
      </c>
    </row>
    <row r="2483" spans="1:19" x14ac:dyDescent="0.25">
      <c r="A2483" s="41" t="s">
        <v>23</v>
      </c>
      <c r="B2483" s="41" t="s">
        <v>20407</v>
      </c>
      <c r="D2483" s="41" t="s">
        <v>20408</v>
      </c>
      <c r="F2483" s="41" t="s">
        <v>20409</v>
      </c>
      <c r="G2483" s="41" t="s">
        <v>20410</v>
      </c>
      <c r="H2483" s="41" t="s">
        <v>20411</v>
      </c>
      <c r="I2483" s="41" t="s">
        <v>20412</v>
      </c>
      <c r="J2483" s="41" t="s">
        <v>20413</v>
      </c>
      <c r="K2483" s="41" t="s">
        <v>20414</v>
      </c>
      <c r="L2483" s="41" t="s">
        <v>1094</v>
      </c>
    </row>
    <row r="2484" spans="1:19" x14ac:dyDescent="0.25">
      <c r="A2484" s="41" t="s">
        <v>908</v>
      </c>
      <c r="B2484" s="41" t="s">
        <v>20415</v>
      </c>
    </row>
    <row r="2485" spans="1:19" x14ac:dyDescent="0.25">
      <c r="A2485" s="41" t="s">
        <v>23</v>
      </c>
      <c r="B2485" s="41" t="s">
        <v>20416</v>
      </c>
      <c r="F2485" s="41" t="s">
        <v>20417</v>
      </c>
      <c r="G2485" s="41" t="s">
        <v>20418</v>
      </c>
      <c r="H2485" s="41" t="s">
        <v>20419</v>
      </c>
      <c r="I2485" s="41" t="s">
        <v>20420</v>
      </c>
      <c r="J2485" s="41" t="s">
        <v>20421</v>
      </c>
      <c r="L2485" s="41" t="s">
        <v>4</v>
      </c>
    </row>
    <row r="2486" spans="1:19" x14ac:dyDescent="0.25">
      <c r="A2486" s="41" t="s">
        <v>23</v>
      </c>
      <c r="B2486" s="41" t="s">
        <v>20422</v>
      </c>
      <c r="D2486" s="41" t="s">
        <v>557</v>
      </c>
      <c r="E2486" s="41" t="s">
        <v>20423</v>
      </c>
      <c r="F2486" s="41" t="s">
        <v>20424</v>
      </c>
      <c r="G2486" s="41" t="s">
        <v>20425</v>
      </c>
      <c r="H2486" s="41" t="s">
        <v>20426</v>
      </c>
      <c r="I2486" s="41" t="s">
        <v>20427</v>
      </c>
      <c r="J2486" s="41" t="s">
        <v>20428</v>
      </c>
      <c r="K2486" s="41" t="s">
        <v>20429</v>
      </c>
      <c r="L2486" s="41" t="s">
        <v>20430</v>
      </c>
      <c r="M2486" s="41" t="s">
        <v>20431</v>
      </c>
      <c r="N2486" s="41" t="s">
        <v>20432</v>
      </c>
      <c r="O2486" s="41" t="s">
        <v>20433</v>
      </c>
      <c r="P2486" s="41" t="s">
        <v>20434</v>
      </c>
      <c r="Q2486" s="41" t="s">
        <v>20435</v>
      </c>
      <c r="R2486" s="41" t="s">
        <v>20436</v>
      </c>
      <c r="S2486" s="41" t="s">
        <v>20437</v>
      </c>
    </row>
    <row r="2487" spans="1:19" x14ac:dyDescent="0.25">
      <c r="A2487" s="41" t="s">
        <v>23</v>
      </c>
      <c r="B2487" s="41" t="s">
        <v>20438</v>
      </c>
      <c r="D2487" s="41" t="s">
        <v>20439</v>
      </c>
      <c r="F2487" s="41" t="s">
        <v>20440</v>
      </c>
      <c r="G2487" s="41" t="s">
        <v>20441</v>
      </c>
      <c r="H2487" s="41" t="s">
        <v>20442</v>
      </c>
      <c r="I2487" s="41" t="s">
        <v>20443</v>
      </c>
      <c r="J2487" s="41" t="s">
        <v>20444</v>
      </c>
      <c r="K2487" s="41" t="s">
        <v>20445</v>
      </c>
      <c r="L2487" s="41" t="s">
        <v>891</v>
      </c>
    </row>
    <row r="2488" spans="1:19" x14ac:dyDescent="0.25">
      <c r="A2488" s="41" t="s">
        <v>23</v>
      </c>
      <c r="B2488" s="41" t="s">
        <v>20446</v>
      </c>
      <c r="D2488" s="41" t="s">
        <v>20447</v>
      </c>
      <c r="F2488" s="41" t="s">
        <v>20448</v>
      </c>
      <c r="G2488" s="41" t="s">
        <v>20449</v>
      </c>
      <c r="H2488" s="41" t="s">
        <v>20450</v>
      </c>
      <c r="I2488" s="41" t="s">
        <v>20451</v>
      </c>
      <c r="J2488" s="41" t="s">
        <v>20452</v>
      </c>
      <c r="K2488" s="41" t="s">
        <v>20453</v>
      </c>
      <c r="L2488" s="41" t="s">
        <v>1076</v>
      </c>
    </row>
    <row r="2489" spans="1:19" x14ac:dyDescent="0.25">
      <c r="A2489" s="41" t="s">
        <v>23</v>
      </c>
      <c r="B2489" s="41" t="s">
        <v>20454</v>
      </c>
      <c r="D2489" s="41" t="s">
        <v>20455</v>
      </c>
      <c r="F2489" s="41" t="s">
        <v>20456</v>
      </c>
      <c r="G2489" s="41" t="s">
        <v>20457</v>
      </c>
      <c r="H2489" s="41" t="s">
        <v>20458</v>
      </c>
      <c r="I2489" s="41" t="s">
        <v>20459</v>
      </c>
      <c r="J2489" s="41" t="s">
        <v>20460</v>
      </c>
      <c r="K2489" s="41" t="s">
        <v>20461</v>
      </c>
      <c r="L2489" s="41" t="s">
        <v>1085</v>
      </c>
    </row>
    <row r="2490" spans="1:19" x14ac:dyDescent="0.25">
      <c r="A2490" s="41" t="s">
        <v>23</v>
      </c>
      <c r="B2490" s="41" t="s">
        <v>20462</v>
      </c>
      <c r="D2490" s="41" t="s">
        <v>20463</v>
      </c>
      <c r="F2490" s="41" t="s">
        <v>20464</v>
      </c>
      <c r="G2490" s="41" t="s">
        <v>20465</v>
      </c>
      <c r="H2490" s="41" t="s">
        <v>20466</v>
      </c>
      <c r="I2490" s="41" t="s">
        <v>20467</v>
      </c>
      <c r="J2490" s="41" t="s">
        <v>20468</v>
      </c>
      <c r="K2490" s="41" t="s">
        <v>20469</v>
      </c>
      <c r="L2490" s="41" t="s">
        <v>1094</v>
      </c>
    </row>
    <row r="2491" spans="1:19" x14ac:dyDescent="0.25">
      <c r="A2491" s="41" t="s">
        <v>908</v>
      </c>
      <c r="B2491" s="41" t="s">
        <v>20470</v>
      </c>
    </row>
    <row r="2492" spans="1:19" x14ac:dyDescent="0.25">
      <c r="A2492" s="41" t="s">
        <v>23</v>
      </c>
      <c r="B2492" s="41" t="s">
        <v>20471</v>
      </c>
      <c r="F2492" s="41" t="s">
        <v>20472</v>
      </c>
      <c r="G2492" s="41" t="s">
        <v>20473</v>
      </c>
      <c r="H2492" s="41" t="s">
        <v>20474</v>
      </c>
      <c r="I2492" s="41" t="s">
        <v>20475</v>
      </c>
      <c r="J2492" s="41" t="s">
        <v>20476</v>
      </c>
      <c r="L2492" s="41" t="s">
        <v>4</v>
      </c>
    </row>
    <row r="2493" spans="1:19" x14ac:dyDescent="0.25">
      <c r="A2493" s="41" t="s">
        <v>23</v>
      </c>
      <c r="B2493" s="41" t="s">
        <v>20477</v>
      </c>
      <c r="D2493" s="41" t="s">
        <v>558</v>
      </c>
      <c r="E2493" s="41" t="s">
        <v>20478</v>
      </c>
      <c r="F2493" s="41" t="s">
        <v>20479</v>
      </c>
      <c r="G2493" s="41" t="s">
        <v>20480</v>
      </c>
      <c r="H2493" s="41" t="s">
        <v>20481</v>
      </c>
      <c r="I2493" s="41" t="s">
        <v>20482</v>
      </c>
      <c r="J2493" s="41" t="s">
        <v>20483</v>
      </c>
      <c r="K2493" s="41" t="s">
        <v>20484</v>
      </c>
      <c r="L2493" s="41" t="s">
        <v>20485</v>
      </c>
      <c r="M2493" s="41" t="s">
        <v>20486</v>
      </c>
      <c r="N2493" s="41" t="s">
        <v>20487</v>
      </c>
      <c r="O2493" s="41" t="s">
        <v>20488</v>
      </c>
      <c r="P2493" s="41" t="s">
        <v>20489</v>
      </c>
      <c r="Q2493" s="41" t="s">
        <v>20490</v>
      </c>
      <c r="R2493" s="41" t="s">
        <v>20491</v>
      </c>
      <c r="S2493" s="41" t="s">
        <v>20492</v>
      </c>
    </row>
    <row r="2494" spans="1:19" x14ac:dyDescent="0.25">
      <c r="A2494" s="41" t="s">
        <v>23</v>
      </c>
      <c r="B2494" s="41" t="s">
        <v>20493</v>
      </c>
      <c r="D2494" s="41" t="s">
        <v>20494</v>
      </c>
      <c r="F2494" s="41" t="s">
        <v>20495</v>
      </c>
      <c r="G2494" s="41" t="s">
        <v>20496</v>
      </c>
      <c r="H2494" s="41" t="s">
        <v>20497</v>
      </c>
      <c r="I2494" s="41" t="s">
        <v>20498</v>
      </c>
      <c r="J2494" s="41" t="s">
        <v>20499</v>
      </c>
      <c r="K2494" s="41" t="s">
        <v>20500</v>
      </c>
      <c r="L2494" s="41" t="s">
        <v>891</v>
      </c>
    </row>
    <row r="2495" spans="1:19" x14ac:dyDescent="0.25">
      <c r="A2495" s="41" t="s">
        <v>23</v>
      </c>
      <c r="B2495" s="41" t="s">
        <v>20501</v>
      </c>
      <c r="D2495" s="41" t="s">
        <v>20502</v>
      </c>
      <c r="F2495" s="41" t="s">
        <v>20503</v>
      </c>
      <c r="G2495" s="41" t="s">
        <v>20504</v>
      </c>
      <c r="H2495" s="41" t="s">
        <v>20505</v>
      </c>
      <c r="I2495" s="41" t="s">
        <v>20506</v>
      </c>
      <c r="J2495" s="41" t="s">
        <v>20507</v>
      </c>
      <c r="K2495" s="41" t="s">
        <v>20508</v>
      </c>
      <c r="L2495" s="41" t="s">
        <v>1076</v>
      </c>
    </row>
    <row r="2496" spans="1:19" x14ac:dyDescent="0.25">
      <c r="A2496" s="41" t="s">
        <v>23</v>
      </c>
      <c r="B2496" s="41" t="s">
        <v>20509</v>
      </c>
      <c r="D2496" s="41" t="s">
        <v>20510</v>
      </c>
      <c r="F2496" s="41" t="s">
        <v>20511</v>
      </c>
      <c r="G2496" s="41" t="s">
        <v>20512</v>
      </c>
      <c r="H2496" s="41" t="s">
        <v>20513</v>
      </c>
      <c r="I2496" s="41" t="s">
        <v>20514</v>
      </c>
      <c r="J2496" s="41" t="s">
        <v>20515</v>
      </c>
      <c r="K2496" s="41" t="s">
        <v>20516</v>
      </c>
      <c r="L2496" s="41" t="s">
        <v>1085</v>
      </c>
    </row>
    <row r="2497" spans="1:19" x14ac:dyDescent="0.25">
      <c r="A2497" s="41" t="s">
        <v>23</v>
      </c>
      <c r="B2497" s="41" t="s">
        <v>20517</v>
      </c>
      <c r="D2497" s="41" t="s">
        <v>20518</v>
      </c>
      <c r="F2497" s="41" t="s">
        <v>20519</v>
      </c>
      <c r="G2497" s="41" t="s">
        <v>20520</v>
      </c>
      <c r="H2497" s="41" t="s">
        <v>20521</v>
      </c>
      <c r="I2497" s="41" t="s">
        <v>20522</v>
      </c>
      <c r="J2497" s="41" t="s">
        <v>20523</v>
      </c>
      <c r="K2497" s="41" t="s">
        <v>20524</v>
      </c>
      <c r="L2497" s="41" t="s">
        <v>1094</v>
      </c>
    </row>
    <row r="2498" spans="1:19" x14ac:dyDescent="0.25">
      <c r="A2498" s="41" t="s">
        <v>908</v>
      </c>
      <c r="B2498" s="41" t="s">
        <v>20525</v>
      </c>
    </row>
    <row r="2499" spans="1:19" x14ac:dyDescent="0.25">
      <c r="A2499" s="41" t="s">
        <v>23</v>
      </c>
      <c r="B2499" s="41" t="s">
        <v>20526</v>
      </c>
      <c r="F2499" s="41" t="s">
        <v>20527</v>
      </c>
      <c r="G2499" s="41" t="s">
        <v>20528</v>
      </c>
      <c r="H2499" s="41" t="s">
        <v>20529</v>
      </c>
      <c r="I2499" s="41" t="s">
        <v>20530</v>
      </c>
      <c r="J2499" s="41" t="s">
        <v>20531</v>
      </c>
      <c r="L2499" s="41" t="s">
        <v>4</v>
      </c>
    </row>
    <row r="2500" spans="1:19" x14ac:dyDescent="0.25">
      <c r="A2500" s="41" t="s">
        <v>23</v>
      </c>
      <c r="B2500" s="41" t="s">
        <v>20532</v>
      </c>
      <c r="D2500" s="41" t="s">
        <v>445</v>
      </c>
      <c r="E2500" s="41" t="s">
        <v>20533</v>
      </c>
      <c r="F2500" s="41" t="s">
        <v>20534</v>
      </c>
      <c r="G2500" s="41" t="s">
        <v>20535</v>
      </c>
      <c r="H2500" s="41" t="s">
        <v>20536</v>
      </c>
      <c r="I2500" s="41" t="s">
        <v>20537</v>
      </c>
      <c r="J2500" s="41" t="s">
        <v>20538</v>
      </c>
      <c r="K2500" s="41" t="s">
        <v>20539</v>
      </c>
      <c r="L2500" s="41" t="s">
        <v>20540</v>
      </c>
      <c r="M2500" s="41" t="s">
        <v>20541</v>
      </c>
      <c r="N2500" s="41" t="s">
        <v>20542</v>
      </c>
      <c r="O2500" s="41" t="s">
        <v>20543</v>
      </c>
      <c r="P2500" s="41" t="s">
        <v>20544</v>
      </c>
      <c r="Q2500" s="41" t="s">
        <v>20545</v>
      </c>
      <c r="R2500" s="41" t="s">
        <v>20546</v>
      </c>
      <c r="S2500" s="41" t="s">
        <v>20547</v>
      </c>
    </row>
    <row r="2501" spans="1:19" x14ac:dyDescent="0.25">
      <c r="A2501" s="41" t="s">
        <v>23</v>
      </c>
      <c r="B2501" s="41" t="s">
        <v>20548</v>
      </c>
      <c r="D2501" s="41" t="s">
        <v>20549</v>
      </c>
      <c r="F2501" s="41" t="s">
        <v>20550</v>
      </c>
      <c r="G2501" s="41" t="s">
        <v>20551</v>
      </c>
      <c r="H2501" s="41" t="s">
        <v>20552</v>
      </c>
      <c r="I2501" s="41" t="s">
        <v>20553</v>
      </c>
      <c r="J2501" s="41" t="s">
        <v>20554</v>
      </c>
      <c r="K2501" s="41" t="s">
        <v>20555</v>
      </c>
      <c r="L2501" s="41" t="s">
        <v>891</v>
      </c>
    </row>
    <row r="2502" spans="1:19" x14ac:dyDescent="0.25">
      <c r="A2502" s="41" t="s">
        <v>23</v>
      </c>
      <c r="B2502" s="41" t="s">
        <v>20556</v>
      </c>
      <c r="D2502" s="41" t="s">
        <v>20557</v>
      </c>
      <c r="F2502" s="41" t="s">
        <v>20558</v>
      </c>
      <c r="G2502" s="41" t="s">
        <v>20559</v>
      </c>
      <c r="H2502" s="41" t="s">
        <v>20560</v>
      </c>
      <c r="I2502" s="41" t="s">
        <v>20561</v>
      </c>
      <c r="J2502" s="41" t="s">
        <v>20562</v>
      </c>
      <c r="K2502" s="41" t="s">
        <v>20563</v>
      </c>
      <c r="L2502" s="41" t="s">
        <v>1076</v>
      </c>
    </row>
    <row r="2503" spans="1:19" x14ac:dyDescent="0.25">
      <c r="A2503" s="41" t="s">
        <v>23</v>
      </c>
      <c r="B2503" s="41" t="s">
        <v>20564</v>
      </c>
      <c r="D2503" s="41" t="s">
        <v>20565</v>
      </c>
      <c r="F2503" s="41" t="s">
        <v>20566</v>
      </c>
      <c r="G2503" s="41" t="s">
        <v>20567</v>
      </c>
      <c r="H2503" s="41" t="s">
        <v>20568</v>
      </c>
      <c r="I2503" s="41" t="s">
        <v>20569</v>
      </c>
      <c r="J2503" s="41" t="s">
        <v>20570</v>
      </c>
      <c r="K2503" s="41" t="s">
        <v>20571</v>
      </c>
      <c r="L2503" s="41" t="s">
        <v>1085</v>
      </c>
    </row>
    <row r="2504" spans="1:19" x14ac:dyDescent="0.25">
      <c r="A2504" s="41" t="s">
        <v>23</v>
      </c>
      <c r="B2504" s="41" t="s">
        <v>20572</v>
      </c>
      <c r="D2504" s="41" t="s">
        <v>20573</v>
      </c>
      <c r="F2504" s="41" t="s">
        <v>20574</v>
      </c>
      <c r="G2504" s="41" t="s">
        <v>20575</v>
      </c>
      <c r="H2504" s="41" t="s">
        <v>20576</v>
      </c>
      <c r="I2504" s="41" t="s">
        <v>20577</v>
      </c>
      <c r="J2504" s="41" t="s">
        <v>20578</v>
      </c>
      <c r="K2504" s="41" t="s">
        <v>20579</v>
      </c>
      <c r="L2504" s="41" t="s">
        <v>1094</v>
      </c>
    </row>
    <row r="2505" spans="1:19" x14ac:dyDescent="0.25">
      <c r="A2505" s="41" t="s">
        <v>908</v>
      </c>
      <c r="B2505" s="41" t="s">
        <v>20580</v>
      </c>
    </row>
    <row r="2506" spans="1:19" x14ac:dyDescent="0.25">
      <c r="A2506" s="41" t="s">
        <v>23</v>
      </c>
      <c r="B2506" s="41" t="s">
        <v>20581</v>
      </c>
      <c r="F2506" s="41" t="s">
        <v>20582</v>
      </c>
      <c r="G2506" s="41" t="s">
        <v>20583</v>
      </c>
      <c r="H2506" s="41" t="s">
        <v>20584</v>
      </c>
      <c r="I2506" s="41" t="s">
        <v>20585</v>
      </c>
      <c r="J2506" s="41" t="s">
        <v>20586</v>
      </c>
      <c r="L2506" s="41" t="s">
        <v>4</v>
      </c>
    </row>
    <row r="2507" spans="1:19" x14ac:dyDescent="0.25">
      <c r="A2507" s="41" t="s">
        <v>23</v>
      </c>
      <c r="B2507" s="41" t="s">
        <v>20587</v>
      </c>
      <c r="D2507" s="41" t="s">
        <v>446</v>
      </c>
      <c r="E2507" s="41" t="s">
        <v>20589</v>
      </c>
      <c r="F2507" s="41" t="s">
        <v>20590</v>
      </c>
      <c r="G2507" s="41" t="s">
        <v>20591</v>
      </c>
      <c r="H2507" s="41" t="s">
        <v>20592</v>
      </c>
      <c r="I2507" s="41" t="s">
        <v>20593</v>
      </c>
      <c r="J2507" s="41" t="s">
        <v>20594</v>
      </c>
      <c r="K2507" s="41" t="s">
        <v>20595</v>
      </c>
      <c r="L2507" s="41" t="s">
        <v>20596</v>
      </c>
      <c r="M2507" s="41" t="s">
        <v>20597</v>
      </c>
      <c r="N2507" s="41" t="s">
        <v>20598</v>
      </c>
      <c r="O2507" s="41" t="s">
        <v>20599</v>
      </c>
      <c r="P2507" s="41" t="s">
        <v>20600</v>
      </c>
      <c r="Q2507" s="41" t="s">
        <v>20601</v>
      </c>
      <c r="R2507" s="41" t="s">
        <v>20602</v>
      </c>
      <c r="S2507" s="41" t="s">
        <v>20603</v>
      </c>
    </row>
    <row r="2508" spans="1:19" x14ac:dyDescent="0.25">
      <c r="A2508" s="41" t="s">
        <v>23</v>
      </c>
      <c r="B2508" s="41" t="s">
        <v>20604</v>
      </c>
      <c r="D2508" s="41" t="s">
        <v>20605</v>
      </c>
      <c r="F2508" s="41" t="s">
        <v>20606</v>
      </c>
      <c r="G2508" s="41" t="s">
        <v>20607</v>
      </c>
      <c r="H2508" s="41" t="s">
        <v>20608</v>
      </c>
      <c r="I2508" s="41" t="s">
        <v>20609</v>
      </c>
      <c r="J2508" s="41" t="s">
        <v>20610</v>
      </c>
      <c r="K2508" s="41" t="s">
        <v>20611</v>
      </c>
      <c r="L2508" s="41" t="s">
        <v>891</v>
      </c>
    </row>
    <row r="2509" spans="1:19" x14ac:dyDescent="0.25">
      <c r="A2509" s="41" t="s">
        <v>23</v>
      </c>
      <c r="B2509" s="41" t="s">
        <v>20612</v>
      </c>
      <c r="D2509" s="41" t="s">
        <v>20613</v>
      </c>
      <c r="F2509" s="41" t="s">
        <v>20614</v>
      </c>
      <c r="G2509" s="41" t="s">
        <v>20615</v>
      </c>
      <c r="H2509" s="41" t="s">
        <v>20616</v>
      </c>
      <c r="I2509" s="41" t="s">
        <v>20617</v>
      </c>
      <c r="J2509" s="41" t="s">
        <v>20618</v>
      </c>
      <c r="K2509" s="41" t="s">
        <v>20619</v>
      </c>
      <c r="L2509" s="41" t="s">
        <v>1076</v>
      </c>
    </row>
    <row r="2510" spans="1:19" x14ac:dyDescent="0.25">
      <c r="A2510" s="41" t="s">
        <v>23</v>
      </c>
      <c r="B2510" s="41" t="s">
        <v>20620</v>
      </c>
      <c r="D2510" s="41" t="s">
        <v>20621</v>
      </c>
      <c r="F2510" s="41" t="s">
        <v>20622</v>
      </c>
      <c r="G2510" s="41" t="s">
        <v>20623</v>
      </c>
      <c r="H2510" s="41" t="s">
        <v>20624</v>
      </c>
      <c r="I2510" s="41" t="s">
        <v>20625</v>
      </c>
      <c r="J2510" s="41" t="s">
        <v>20626</v>
      </c>
      <c r="K2510" s="41" t="s">
        <v>20627</v>
      </c>
      <c r="L2510" s="41" t="s">
        <v>1085</v>
      </c>
    </row>
    <row r="2511" spans="1:19" x14ac:dyDescent="0.25">
      <c r="A2511" s="41" t="s">
        <v>23</v>
      </c>
      <c r="B2511" s="41" t="s">
        <v>20628</v>
      </c>
      <c r="D2511" s="41" t="s">
        <v>20629</v>
      </c>
      <c r="F2511" s="41" t="s">
        <v>20630</v>
      </c>
      <c r="G2511" s="41" t="s">
        <v>20631</v>
      </c>
      <c r="H2511" s="41" t="s">
        <v>20632</v>
      </c>
      <c r="I2511" s="41" t="s">
        <v>20633</v>
      </c>
      <c r="J2511" s="41" t="s">
        <v>20634</v>
      </c>
      <c r="K2511" s="41" t="s">
        <v>20635</v>
      </c>
      <c r="L2511" s="41" t="s">
        <v>1094</v>
      </c>
    </row>
    <row r="2512" spans="1:19" x14ac:dyDescent="0.25">
      <c r="A2512" s="41" t="s">
        <v>908</v>
      </c>
      <c r="B2512" s="41" t="s">
        <v>20636</v>
      </c>
    </row>
    <row r="2513" spans="1:19" x14ac:dyDescent="0.25">
      <c r="A2513" s="41" t="s">
        <v>23</v>
      </c>
      <c r="B2513" s="41" t="s">
        <v>20637</v>
      </c>
      <c r="F2513" s="41" t="s">
        <v>20638</v>
      </c>
      <c r="G2513" s="41" t="s">
        <v>20639</v>
      </c>
      <c r="H2513" s="41" t="s">
        <v>20640</v>
      </c>
      <c r="I2513" s="41" t="s">
        <v>20641</v>
      </c>
      <c r="J2513" s="41" t="s">
        <v>20642</v>
      </c>
      <c r="L2513" s="41" t="s">
        <v>4</v>
      </c>
    </row>
    <row r="2514" spans="1:19" x14ac:dyDescent="0.25">
      <c r="A2514" s="41" t="s">
        <v>23</v>
      </c>
      <c r="B2514" s="41" t="s">
        <v>20643</v>
      </c>
      <c r="D2514" s="41" t="s">
        <v>447</v>
      </c>
      <c r="E2514" s="41" t="s">
        <v>20645</v>
      </c>
      <c r="F2514" s="41" t="s">
        <v>20646</v>
      </c>
      <c r="G2514" s="41" t="s">
        <v>20647</v>
      </c>
      <c r="H2514" s="41" t="s">
        <v>20648</v>
      </c>
      <c r="I2514" s="41" t="s">
        <v>20649</v>
      </c>
      <c r="J2514" s="41" t="s">
        <v>20650</v>
      </c>
      <c r="K2514" s="41" t="s">
        <v>20651</v>
      </c>
      <c r="L2514" s="41" t="s">
        <v>20652</v>
      </c>
      <c r="M2514" s="41" t="s">
        <v>20653</v>
      </c>
      <c r="N2514" s="41" t="s">
        <v>20654</v>
      </c>
      <c r="O2514" s="41" t="s">
        <v>20655</v>
      </c>
      <c r="P2514" s="41" t="s">
        <v>20656</v>
      </c>
      <c r="Q2514" s="41" t="s">
        <v>20657</v>
      </c>
      <c r="R2514" s="41" t="s">
        <v>20658</v>
      </c>
      <c r="S2514" s="41" t="s">
        <v>20659</v>
      </c>
    </row>
    <row r="2515" spans="1:19" x14ac:dyDescent="0.25">
      <c r="A2515" s="41" t="s">
        <v>23</v>
      </c>
      <c r="B2515" s="41" t="s">
        <v>20660</v>
      </c>
      <c r="D2515" s="41" t="s">
        <v>20661</v>
      </c>
      <c r="F2515" s="41" t="s">
        <v>20662</v>
      </c>
      <c r="G2515" s="41" t="s">
        <v>20663</v>
      </c>
      <c r="H2515" s="41" t="s">
        <v>20664</v>
      </c>
      <c r="I2515" s="41" t="s">
        <v>20665</v>
      </c>
      <c r="J2515" s="41" t="s">
        <v>20666</v>
      </c>
      <c r="K2515" s="41" t="s">
        <v>20667</v>
      </c>
      <c r="L2515" s="41" t="s">
        <v>891</v>
      </c>
    </row>
    <row r="2516" spans="1:19" x14ac:dyDescent="0.25">
      <c r="A2516" s="41" t="s">
        <v>23</v>
      </c>
      <c r="B2516" s="41" t="s">
        <v>20668</v>
      </c>
      <c r="D2516" s="41" t="s">
        <v>20669</v>
      </c>
      <c r="F2516" s="41" t="s">
        <v>20670</v>
      </c>
      <c r="G2516" s="41" t="s">
        <v>20671</v>
      </c>
      <c r="H2516" s="41" t="s">
        <v>20672</v>
      </c>
      <c r="I2516" s="41" t="s">
        <v>20673</v>
      </c>
      <c r="J2516" s="41" t="s">
        <v>20674</v>
      </c>
      <c r="K2516" s="41" t="s">
        <v>20675</v>
      </c>
      <c r="L2516" s="41" t="s">
        <v>1076</v>
      </c>
    </row>
    <row r="2517" spans="1:19" x14ac:dyDescent="0.25">
      <c r="A2517" s="41" t="s">
        <v>23</v>
      </c>
      <c r="B2517" s="41" t="s">
        <v>20676</v>
      </c>
      <c r="D2517" s="41" t="s">
        <v>20677</v>
      </c>
      <c r="F2517" s="41" t="s">
        <v>20678</v>
      </c>
      <c r="G2517" s="41" t="s">
        <v>20679</v>
      </c>
      <c r="H2517" s="41" t="s">
        <v>20680</v>
      </c>
      <c r="I2517" s="41" t="s">
        <v>20681</v>
      </c>
      <c r="J2517" s="41" t="s">
        <v>20682</v>
      </c>
      <c r="K2517" s="41" t="s">
        <v>20683</v>
      </c>
      <c r="L2517" s="41" t="s">
        <v>1085</v>
      </c>
    </row>
    <row r="2518" spans="1:19" x14ac:dyDescent="0.25">
      <c r="A2518" s="41" t="s">
        <v>23</v>
      </c>
      <c r="B2518" s="41" t="s">
        <v>20684</v>
      </c>
      <c r="D2518" s="41" t="s">
        <v>20685</v>
      </c>
      <c r="F2518" s="41" t="s">
        <v>20686</v>
      </c>
      <c r="G2518" s="41" t="s">
        <v>20687</v>
      </c>
      <c r="H2518" s="41" t="s">
        <v>20688</v>
      </c>
      <c r="I2518" s="41" t="s">
        <v>20689</v>
      </c>
      <c r="J2518" s="41" t="s">
        <v>20690</v>
      </c>
      <c r="K2518" s="41" t="s">
        <v>20691</v>
      </c>
      <c r="L2518" s="41" t="s">
        <v>1094</v>
      </c>
    </row>
    <row r="2519" spans="1:19" x14ac:dyDescent="0.25">
      <c r="A2519" s="41" t="s">
        <v>908</v>
      </c>
      <c r="B2519" s="41" t="s">
        <v>20692</v>
      </c>
    </row>
    <row r="2520" spans="1:19" x14ac:dyDescent="0.25">
      <c r="A2520" s="41" t="s">
        <v>23</v>
      </c>
      <c r="B2520" s="41" t="s">
        <v>20693</v>
      </c>
      <c r="F2520" s="41" t="s">
        <v>20694</v>
      </c>
      <c r="G2520" s="41" t="s">
        <v>20695</v>
      </c>
      <c r="H2520" s="41" t="s">
        <v>20696</v>
      </c>
      <c r="I2520" s="41" t="s">
        <v>20697</v>
      </c>
      <c r="J2520" s="41" t="s">
        <v>20698</v>
      </c>
      <c r="L2520" s="41" t="s">
        <v>4</v>
      </c>
    </row>
    <row r="2521" spans="1:19" x14ac:dyDescent="0.25">
      <c r="A2521" s="41" t="s">
        <v>23</v>
      </c>
      <c r="B2521" s="41" t="s">
        <v>20699</v>
      </c>
      <c r="D2521" s="41" t="s">
        <v>448</v>
      </c>
      <c r="E2521" s="41" t="s">
        <v>20701</v>
      </c>
      <c r="F2521" s="41" t="s">
        <v>20702</v>
      </c>
      <c r="G2521" s="41" t="s">
        <v>20703</v>
      </c>
      <c r="H2521" s="41" t="s">
        <v>20704</v>
      </c>
      <c r="I2521" s="41" t="s">
        <v>20705</v>
      </c>
      <c r="J2521" s="41" t="s">
        <v>20706</v>
      </c>
      <c r="K2521" s="41" t="s">
        <v>20707</v>
      </c>
      <c r="L2521" s="41" t="s">
        <v>20708</v>
      </c>
      <c r="M2521" s="41" t="s">
        <v>20709</v>
      </c>
      <c r="N2521" s="41" t="s">
        <v>20710</v>
      </c>
      <c r="O2521" s="41" t="s">
        <v>20711</v>
      </c>
      <c r="P2521" s="41" t="s">
        <v>20712</v>
      </c>
      <c r="Q2521" s="41" t="s">
        <v>20713</v>
      </c>
      <c r="R2521" s="41" t="s">
        <v>20714</v>
      </c>
      <c r="S2521" s="41" t="s">
        <v>20715</v>
      </c>
    </row>
    <row r="2522" spans="1:19" x14ac:dyDescent="0.25">
      <c r="A2522" s="41" t="s">
        <v>23</v>
      </c>
      <c r="B2522" s="41" t="s">
        <v>20716</v>
      </c>
      <c r="D2522" s="41" t="s">
        <v>20717</v>
      </c>
      <c r="F2522" s="41" t="s">
        <v>20718</v>
      </c>
      <c r="G2522" s="41" t="s">
        <v>20719</v>
      </c>
      <c r="H2522" s="41" t="s">
        <v>20720</v>
      </c>
      <c r="I2522" s="41" t="s">
        <v>20721</v>
      </c>
      <c r="J2522" s="41" t="s">
        <v>20722</v>
      </c>
      <c r="K2522" s="41" t="s">
        <v>20723</v>
      </c>
      <c r="L2522" s="41" t="s">
        <v>891</v>
      </c>
    </row>
    <row r="2523" spans="1:19" x14ac:dyDescent="0.25">
      <c r="A2523" s="41" t="s">
        <v>23</v>
      </c>
      <c r="B2523" s="41" t="s">
        <v>20724</v>
      </c>
      <c r="D2523" s="41" t="s">
        <v>20725</v>
      </c>
      <c r="F2523" s="41" t="s">
        <v>20726</v>
      </c>
      <c r="G2523" s="41" t="s">
        <v>20727</v>
      </c>
      <c r="H2523" s="41" t="s">
        <v>20728</v>
      </c>
      <c r="I2523" s="41" t="s">
        <v>20729</v>
      </c>
      <c r="J2523" s="41" t="s">
        <v>20730</v>
      </c>
      <c r="K2523" s="41" t="s">
        <v>20731</v>
      </c>
      <c r="L2523" s="41" t="s">
        <v>1076</v>
      </c>
    </row>
    <row r="2524" spans="1:19" x14ac:dyDescent="0.25">
      <c r="A2524" s="41" t="s">
        <v>23</v>
      </c>
      <c r="B2524" s="41" t="s">
        <v>20732</v>
      </c>
      <c r="D2524" s="41" t="s">
        <v>20733</v>
      </c>
      <c r="F2524" s="41" t="s">
        <v>20734</v>
      </c>
      <c r="G2524" s="41" t="s">
        <v>20735</v>
      </c>
      <c r="H2524" s="41" t="s">
        <v>20736</v>
      </c>
      <c r="I2524" s="41" t="s">
        <v>20737</v>
      </c>
      <c r="J2524" s="41" t="s">
        <v>20738</v>
      </c>
      <c r="K2524" s="41" t="s">
        <v>20739</v>
      </c>
      <c r="L2524" s="41" t="s">
        <v>1085</v>
      </c>
    </row>
    <row r="2525" spans="1:19" x14ac:dyDescent="0.25">
      <c r="A2525" s="41" t="s">
        <v>23</v>
      </c>
      <c r="B2525" s="41" t="s">
        <v>20740</v>
      </c>
      <c r="D2525" s="41" t="s">
        <v>20741</v>
      </c>
      <c r="F2525" s="41" t="s">
        <v>20742</v>
      </c>
      <c r="G2525" s="41" t="s">
        <v>20743</v>
      </c>
      <c r="H2525" s="41" t="s">
        <v>20744</v>
      </c>
      <c r="I2525" s="41" t="s">
        <v>20745</v>
      </c>
      <c r="J2525" s="41" t="s">
        <v>20746</v>
      </c>
      <c r="K2525" s="41" t="s">
        <v>20747</v>
      </c>
      <c r="L2525" s="41" t="s">
        <v>1094</v>
      </c>
    </row>
    <row r="2526" spans="1:19" x14ac:dyDescent="0.25">
      <c r="A2526" s="41" t="s">
        <v>908</v>
      </c>
      <c r="B2526" s="41" t="s">
        <v>20748</v>
      </c>
    </row>
    <row r="2527" spans="1:19" x14ac:dyDescent="0.25">
      <c r="A2527" s="41" t="s">
        <v>23</v>
      </c>
      <c r="B2527" s="41" t="s">
        <v>20749</v>
      </c>
      <c r="F2527" s="41" t="s">
        <v>20750</v>
      </c>
      <c r="G2527" s="41" t="s">
        <v>20751</v>
      </c>
      <c r="H2527" s="41" t="s">
        <v>20752</v>
      </c>
      <c r="I2527" s="41" t="s">
        <v>20753</v>
      </c>
      <c r="J2527" s="41" t="s">
        <v>20754</v>
      </c>
      <c r="L2527" s="41" t="s">
        <v>4</v>
      </c>
    </row>
    <row r="2528" spans="1:19" x14ac:dyDescent="0.25">
      <c r="A2528" s="41" t="s">
        <v>23</v>
      </c>
      <c r="B2528" s="41" t="s">
        <v>20755</v>
      </c>
      <c r="D2528" s="41" t="s">
        <v>20588</v>
      </c>
      <c r="E2528" s="41" t="s">
        <v>20757</v>
      </c>
      <c r="F2528" s="41" t="s">
        <v>20758</v>
      </c>
      <c r="G2528" s="41" t="s">
        <v>20759</v>
      </c>
      <c r="H2528" s="41" t="s">
        <v>20760</v>
      </c>
      <c r="I2528" s="41" t="s">
        <v>20761</v>
      </c>
      <c r="J2528" s="41" t="s">
        <v>20762</v>
      </c>
      <c r="K2528" s="41" t="s">
        <v>20763</v>
      </c>
      <c r="L2528" s="41" t="s">
        <v>20764</v>
      </c>
      <c r="M2528" s="41" t="s">
        <v>20765</v>
      </c>
      <c r="N2528" s="41" t="s">
        <v>20766</v>
      </c>
      <c r="O2528" s="41" t="s">
        <v>20767</v>
      </c>
      <c r="P2528" s="41" t="s">
        <v>20768</v>
      </c>
      <c r="Q2528" s="41" t="s">
        <v>20769</v>
      </c>
      <c r="R2528" s="41" t="s">
        <v>20770</v>
      </c>
      <c r="S2528" s="41" t="s">
        <v>20771</v>
      </c>
    </row>
    <row r="2529" spans="1:19" x14ac:dyDescent="0.25">
      <c r="A2529" s="41" t="s">
        <v>23</v>
      </c>
      <c r="B2529" s="41" t="s">
        <v>20772</v>
      </c>
      <c r="D2529" s="41" t="s">
        <v>20773</v>
      </c>
      <c r="F2529" s="41" t="s">
        <v>20774</v>
      </c>
      <c r="G2529" s="41" t="s">
        <v>20775</v>
      </c>
      <c r="H2529" s="41" t="s">
        <v>20776</v>
      </c>
      <c r="I2529" s="41" t="s">
        <v>20777</v>
      </c>
      <c r="J2529" s="41" t="s">
        <v>20778</v>
      </c>
      <c r="K2529" s="41" t="s">
        <v>20779</v>
      </c>
      <c r="L2529" s="41" t="s">
        <v>891</v>
      </c>
    </row>
    <row r="2530" spans="1:19" x14ac:dyDescent="0.25">
      <c r="A2530" s="41" t="s">
        <v>23</v>
      </c>
      <c r="B2530" s="41" t="s">
        <v>20780</v>
      </c>
      <c r="D2530" s="41" t="s">
        <v>20781</v>
      </c>
      <c r="F2530" s="41" t="s">
        <v>20782</v>
      </c>
      <c r="G2530" s="41" t="s">
        <v>20783</v>
      </c>
      <c r="H2530" s="41" t="s">
        <v>20784</v>
      </c>
      <c r="I2530" s="41" t="s">
        <v>20785</v>
      </c>
      <c r="J2530" s="41" t="s">
        <v>20786</v>
      </c>
      <c r="K2530" s="41" t="s">
        <v>20787</v>
      </c>
      <c r="L2530" s="41" t="s">
        <v>1076</v>
      </c>
    </row>
    <row r="2531" spans="1:19" x14ac:dyDescent="0.25">
      <c r="A2531" s="41" t="s">
        <v>23</v>
      </c>
      <c r="B2531" s="41" t="s">
        <v>20788</v>
      </c>
      <c r="D2531" s="41" t="s">
        <v>20789</v>
      </c>
      <c r="F2531" s="41" t="s">
        <v>20790</v>
      </c>
      <c r="G2531" s="41" t="s">
        <v>20791</v>
      </c>
      <c r="H2531" s="41" t="s">
        <v>20792</v>
      </c>
      <c r="I2531" s="41" t="s">
        <v>20793</v>
      </c>
      <c r="J2531" s="41" t="s">
        <v>20794</v>
      </c>
      <c r="K2531" s="41" t="s">
        <v>20795</v>
      </c>
      <c r="L2531" s="41" t="s">
        <v>1085</v>
      </c>
    </row>
    <row r="2532" spans="1:19" x14ac:dyDescent="0.25">
      <c r="A2532" s="41" t="s">
        <v>23</v>
      </c>
      <c r="B2532" s="41" t="s">
        <v>20796</v>
      </c>
      <c r="D2532" s="41" t="s">
        <v>20797</v>
      </c>
      <c r="F2532" s="41" t="s">
        <v>20798</v>
      </c>
      <c r="G2532" s="41" t="s">
        <v>20799</v>
      </c>
      <c r="H2532" s="41" t="s">
        <v>20800</v>
      </c>
      <c r="I2532" s="41" t="s">
        <v>20801</v>
      </c>
      <c r="J2532" s="41" t="s">
        <v>20802</v>
      </c>
      <c r="K2532" s="41" t="s">
        <v>20803</v>
      </c>
      <c r="L2532" s="41" t="s">
        <v>1094</v>
      </c>
    </row>
    <row r="2533" spans="1:19" x14ac:dyDescent="0.25">
      <c r="A2533" s="41" t="s">
        <v>908</v>
      </c>
      <c r="B2533" s="41" t="s">
        <v>20804</v>
      </c>
    </row>
    <row r="2534" spans="1:19" x14ac:dyDescent="0.25">
      <c r="A2534" s="41" t="s">
        <v>23</v>
      </c>
      <c r="B2534" s="41" t="s">
        <v>20805</v>
      </c>
      <c r="F2534" s="41" t="s">
        <v>20806</v>
      </c>
      <c r="G2534" s="41" t="s">
        <v>20807</v>
      </c>
      <c r="H2534" s="41" t="s">
        <v>20808</v>
      </c>
      <c r="I2534" s="41" t="s">
        <v>20809</v>
      </c>
      <c r="J2534" s="41" t="s">
        <v>20810</v>
      </c>
      <c r="L2534" s="41" t="s">
        <v>4</v>
      </c>
    </row>
    <row r="2535" spans="1:19" x14ac:dyDescent="0.25">
      <c r="A2535" s="41" t="s">
        <v>23</v>
      </c>
      <c r="B2535" s="41" t="s">
        <v>20811</v>
      </c>
      <c r="D2535" s="41" t="s">
        <v>20644</v>
      </c>
      <c r="E2535" s="41" t="s">
        <v>20813</v>
      </c>
      <c r="F2535" s="41" t="s">
        <v>20814</v>
      </c>
      <c r="G2535" s="41" t="s">
        <v>20815</v>
      </c>
      <c r="H2535" s="41" t="s">
        <v>20816</v>
      </c>
      <c r="I2535" s="41" t="s">
        <v>20817</v>
      </c>
      <c r="J2535" s="41" t="s">
        <v>20818</v>
      </c>
      <c r="K2535" s="41" t="s">
        <v>20819</v>
      </c>
      <c r="L2535" s="41" t="s">
        <v>20820</v>
      </c>
      <c r="M2535" s="41" t="s">
        <v>20821</v>
      </c>
      <c r="N2535" s="41" t="s">
        <v>20822</v>
      </c>
      <c r="O2535" s="41" t="s">
        <v>20823</v>
      </c>
      <c r="P2535" s="41" t="s">
        <v>20824</v>
      </c>
      <c r="Q2535" s="41" t="s">
        <v>20825</v>
      </c>
      <c r="R2535" s="41" t="s">
        <v>20826</v>
      </c>
      <c r="S2535" s="41" t="s">
        <v>20827</v>
      </c>
    </row>
    <row r="2536" spans="1:19" x14ac:dyDescent="0.25">
      <c r="A2536" s="41" t="s">
        <v>23</v>
      </c>
      <c r="B2536" s="41" t="s">
        <v>20828</v>
      </c>
      <c r="D2536" s="41" t="s">
        <v>20829</v>
      </c>
      <c r="F2536" s="41" t="s">
        <v>20830</v>
      </c>
      <c r="G2536" s="41" t="s">
        <v>20831</v>
      </c>
      <c r="H2536" s="41" t="s">
        <v>20832</v>
      </c>
      <c r="I2536" s="41" t="s">
        <v>20833</v>
      </c>
      <c r="J2536" s="41" t="s">
        <v>20834</v>
      </c>
      <c r="K2536" s="41" t="s">
        <v>20835</v>
      </c>
      <c r="L2536" s="41" t="s">
        <v>891</v>
      </c>
    </row>
    <row r="2537" spans="1:19" x14ac:dyDescent="0.25">
      <c r="A2537" s="41" t="s">
        <v>23</v>
      </c>
      <c r="B2537" s="41" t="s">
        <v>20836</v>
      </c>
      <c r="D2537" s="41" t="s">
        <v>20837</v>
      </c>
      <c r="F2537" s="41" t="s">
        <v>20838</v>
      </c>
      <c r="G2537" s="41" t="s">
        <v>20839</v>
      </c>
      <c r="H2537" s="41" t="s">
        <v>20840</v>
      </c>
      <c r="I2537" s="41" t="s">
        <v>20841</v>
      </c>
      <c r="J2537" s="41" t="s">
        <v>20842</v>
      </c>
      <c r="K2537" s="41" t="s">
        <v>20843</v>
      </c>
      <c r="L2537" s="41" t="s">
        <v>1076</v>
      </c>
    </row>
    <row r="2538" spans="1:19" x14ac:dyDescent="0.25">
      <c r="A2538" s="41" t="s">
        <v>23</v>
      </c>
      <c r="B2538" s="41" t="s">
        <v>20844</v>
      </c>
      <c r="D2538" s="41" t="s">
        <v>20845</v>
      </c>
      <c r="F2538" s="41" t="s">
        <v>20846</v>
      </c>
      <c r="G2538" s="41" t="s">
        <v>20847</v>
      </c>
      <c r="H2538" s="41" t="s">
        <v>20848</v>
      </c>
      <c r="I2538" s="41" t="s">
        <v>20849</v>
      </c>
      <c r="J2538" s="41" t="s">
        <v>20850</v>
      </c>
      <c r="K2538" s="41" t="s">
        <v>20851</v>
      </c>
      <c r="L2538" s="41" t="s">
        <v>1085</v>
      </c>
    </row>
    <row r="2539" spans="1:19" x14ac:dyDescent="0.25">
      <c r="A2539" s="41" t="s">
        <v>23</v>
      </c>
      <c r="B2539" s="41" t="s">
        <v>20852</v>
      </c>
      <c r="D2539" s="41" t="s">
        <v>20853</v>
      </c>
      <c r="F2539" s="41" t="s">
        <v>20854</v>
      </c>
      <c r="G2539" s="41" t="s">
        <v>20855</v>
      </c>
      <c r="H2539" s="41" t="s">
        <v>20856</v>
      </c>
      <c r="I2539" s="41" t="s">
        <v>20857</v>
      </c>
      <c r="J2539" s="41" t="s">
        <v>20858</v>
      </c>
      <c r="K2539" s="41" t="s">
        <v>20859</v>
      </c>
      <c r="L2539" s="41" t="s">
        <v>1094</v>
      </c>
    </row>
    <row r="2540" spans="1:19" x14ac:dyDescent="0.25">
      <c r="A2540" s="41" t="s">
        <v>908</v>
      </c>
      <c r="B2540" s="41" t="s">
        <v>20860</v>
      </c>
    </row>
    <row r="2541" spans="1:19" x14ac:dyDescent="0.25">
      <c r="A2541" s="41" t="s">
        <v>23</v>
      </c>
      <c r="B2541" s="41" t="s">
        <v>20861</v>
      </c>
      <c r="F2541" s="41" t="s">
        <v>20862</v>
      </c>
      <c r="G2541" s="41" t="s">
        <v>20863</v>
      </c>
      <c r="H2541" s="41" t="s">
        <v>20864</v>
      </c>
      <c r="I2541" s="41" t="s">
        <v>20865</v>
      </c>
      <c r="J2541" s="41" t="s">
        <v>20866</v>
      </c>
      <c r="L2541" s="41" t="s">
        <v>4</v>
      </c>
    </row>
    <row r="2542" spans="1:19" x14ac:dyDescent="0.25">
      <c r="A2542" s="41" t="s">
        <v>23</v>
      </c>
      <c r="B2542" s="41" t="s">
        <v>20867</v>
      </c>
      <c r="D2542" s="41" t="s">
        <v>20700</v>
      </c>
      <c r="E2542" s="41" t="s">
        <v>20868</v>
      </c>
      <c r="F2542" s="41" t="s">
        <v>20869</v>
      </c>
      <c r="G2542" s="41" t="s">
        <v>20870</v>
      </c>
      <c r="H2542" s="41" t="s">
        <v>20871</v>
      </c>
      <c r="I2542" s="41" t="s">
        <v>20872</v>
      </c>
      <c r="J2542" s="41" t="s">
        <v>20873</v>
      </c>
      <c r="K2542" s="41" t="s">
        <v>20874</v>
      </c>
      <c r="L2542" s="41" t="s">
        <v>20875</v>
      </c>
      <c r="M2542" s="41" t="s">
        <v>20876</v>
      </c>
      <c r="N2542" s="41" t="s">
        <v>20877</v>
      </c>
      <c r="O2542" s="41" t="s">
        <v>20878</v>
      </c>
      <c r="P2542" s="41" t="s">
        <v>20879</v>
      </c>
      <c r="Q2542" s="41" t="s">
        <v>20880</v>
      </c>
      <c r="R2542" s="41" t="s">
        <v>20881</v>
      </c>
      <c r="S2542" s="41" t="s">
        <v>20882</v>
      </c>
    </row>
    <row r="2543" spans="1:19" x14ac:dyDescent="0.25">
      <c r="A2543" s="41" t="s">
        <v>23</v>
      </c>
      <c r="B2543" s="41" t="s">
        <v>20883</v>
      </c>
      <c r="D2543" s="41" t="s">
        <v>20884</v>
      </c>
      <c r="F2543" s="41" t="s">
        <v>20885</v>
      </c>
      <c r="G2543" s="41" t="s">
        <v>20886</v>
      </c>
      <c r="H2543" s="41" t="s">
        <v>20887</v>
      </c>
      <c r="I2543" s="41" t="s">
        <v>20888</v>
      </c>
      <c r="J2543" s="41" t="s">
        <v>20889</v>
      </c>
      <c r="K2543" s="41" t="s">
        <v>20890</v>
      </c>
      <c r="L2543" s="41" t="s">
        <v>891</v>
      </c>
    </row>
    <row r="2544" spans="1:19" x14ac:dyDescent="0.25">
      <c r="A2544" s="41" t="s">
        <v>23</v>
      </c>
      <c r="B2544" s="41" t="s">
        <v>20891</v>
      </c>
      <c r="D2544" s="41" t="s">
        <v>20892</v>
      </c>
      <c r="F2544" s="41" t="s">
        <v>20893</v>
      </c>
      <c r="G2544" s="41" t="s">
        <v>20894</v>
      </c>
      <c r="H2544" s="41" t="s">
        <v>20895</v>
      </c>
      <c r="I2544" s="41" t="s">
        <v>20896</v>
      </c>
      <c r="J2544" s="41" t="s">
        <v>20897</v>
      </c>
      <c r="K2544" s="41" t="s">
        <v>20898</v>
      </c>
      <c r="L2544" s="41" t="s">
        <v>1076</v>
      </c>
    </row>
    <row r="2545" spans="1:19" x14ac:dyDescent="0.25">
      <c r="A2545" s="41" t="s">
        <v>23</v>
      </c>
      <c r="B2545" s="41" t="s">
        <v>20899</v>
      </c>
      <c r="D2545" s="41" t="s">
        <v>20900</v>
      </c>
      <c r="F2545" s="41" t="s">
        <v>20901</v>
      </c>
      <c r="G2545" s="41" t="s">
        <v>20902</v>
      </c>
      <c r="H2545" s="41" t="s">
        <v>20903</v>
      </c>
      <c r="I2545" s="41" t="s">
        <v>20904</v>
      </c>
      <c r="J2545" s="41" t="s">
        <v>20905</v>
      </c>
      <c r="K2545" s="41" t="s">
        <v>20906</v>
      </c>
      <c r="L2545" s="41" t="s">
        <v>1085</v>
      </c>
    </row>
    <row r="2546" spans="1:19" x14ac:dyDescent="0.25">
      <c r="A2546" s="41" t="s">
        <v>23</v>
      </c>
      <c r="B2546" s="41" t="s">
        <v>20907</v>
      </c>
      <c r="D2546" s="41" t="s">
        <v>20908</v>
      </c>
      <c r="F2546" s="41" t="s">
        <v>20909</v>
      </c>
      <c r="G2546" s="41" t="s">
        <v>20910</v>
      </c>
      <c r="H2546" s="41" t="s">
        <v>20911</v>
      </c>
      <c r="I2546" s="41" t="s">
        <v>20912</v>
      </c>
      <c r="J2546" s="41" t="s">
        <v>20913</v>
      </c>
      <c r="K2546" s="41" t="s">
        <v>20914</v>
      </c>
      <c r="L2546" s="41" t="s">
        <v>1094</v>
      </c>
    </row>
    <row r="2547" spans="1:19" x14ac:dyDescent="0.25">
      <c r="A2547" s="41" t="s">
        <v>908</v>
      </c>
      <c r="B2547" s="41" t="s">
        <v>20915</v>
      </c>
    </row>
    <row r="2548" spans="1:19" x14ac:dyDescent="0.25">
      <c r="A2548" s="41" t="s">
        <v>23</v>
      </c>
      <c r="B2548" s="41" t="s">
        <v>20916</v>
      </c>
      <c r="F2548" s="41" t="s">
        <v>20917</v>
      </c>
      <c r="G2548" s="41" t="s">
        <v>20918</v>
      </c>
      <c r="H2548" s="41" t="s">
        <v>20919</v>
      </c>
      <c r="I2548" s="41" t="s">
        <v>20920</v>
      </c>
      <c r="J2548" s="41" t="s">
        <v>20921</v>
      </c>
      <c r="L2548" s="41" t="s">
        <v>4</v>
      </c>
    </row>
    <row r="2549" spans="1:19" x14ac:dyDescent="0.25">
      <c r="A2549" s="41" t="s">
        <v>23</v>
      </c>
      <c r="B2549" s="41" t="s">
        <v>20922</v>
      </c>
      <c r="D2549" s="41" t="s">
        <v>20756</v>
      </c>
      <c r="E2549" s="41" t="s">
        <v>20924</v>
      </c>
      <c r="F2549" s="41" t="s">
        <v>20925</v>
      </c>
      <c r="G2549" s="41" t="s">
        <v>20926</v>
      </c>
      <c r="H2549" s="41" t="s">
        <v>20927</v>
      </c>
      <c r="I2549" s="41" t="s">
        <v>20928</v>
      </c>
      <c r="J2549" s="41" t="s">
        <v>20929</v>
      </c>
      <c r="K2549" s="41" t="s">
        <v>20930</v>
      </c>
      <c r="L2549" s="41" t="s">
        <v>20931</v>
      </c>
      <c r="M2549" s="41" t="s">
        <v>20932</v>
      </c>
      <c r="N2549" s="41" t="s">
        <v>20933</v>
      </c>
      <c r="O2549" s="41" t="s">
        <v>20934</v>
      </c>
      <c r="P2549" s="41" t="s">
        <v>20935</v>
      </c>
      <c r="Q2549" s="41" t="s">
        <v>20936</v>
      </c>
      <c r="R2549" s="41" t="s">
        <v>20937</v>
      </c>
      <c r="S2549" s="41" t="s">
        <v>20938</v>
      </c>
    </row>
    <row r="2550" spans="1:19" x14ac:dyDescent="0.25">
      <c r="A2550" s="41" t="s">
        <v>23</v>
      </c>
      <c r="B2550" s="41" t="s">
        <v>20939</v>
      </c>
      <c r="D2550" s="41" t="s">
        <v>20940</v>
      </c>
      <c r="F2550" s="41" t="s">
        <v>20941</v>
      </c>
      <c r="G2550" s="41" t="s">
        <v>20942</v>
      </c>
      <c r="H2550" s="41" t="s">
        <v>20943</v>
      </c>
      <c r="I2550" s="41" t="s">
        <v>20944</v>
      </c>
      <c r="J2550" s="41" t="s">
        <v>20945</v>
      </c>
      <c r="K2550" s="41" t="s">
        <v>20946</v>
      </c>
      <c r="L2550" s="41" t="s">
        <v>891</v>
      </c>
    </row>
    <row r="2551" spans="1:19" x14ac:dyDescent="0.25">
      <c r="A2551" s="41" t="s">
        <v>23</v>
      </c>
      <c r="B2551" s="41" t="s">
        <v>20947</v>
      </c>
      <c r="D2551" s="41" t="s">
        <v>20948</v>
      </c>
      <c r="F2551" s="41" t="s">
        <v>20949</v>
      </c>
      <c r="G2551" s="41" t="s">
        <v>20950</v>
      </c>
      <c r="H2551" s="41" t="s">
        <v>20951</v>
      </c>
      <c r="I2551" s="41" t="s">
        <v>20952</v>
      </c>
      <c r="J2551" s="41" t="s">
        <v>20953</v>
      </c>
      <c r="K2551" s="41" t="s">
        <v>20954</v>
      </c>
      <c r="L2551" s="41" t="s">
        <v>1076</v>
      </c>
    </row>
    <row r="2552" spans="1:19" x14ac:dyDescent="0.25">
      <c r="A2552" s="41" t="s">
        <v>23</v>
      </c>
      <c r="B2552" s="41" t="s">
        <v>20955</v>
      </c>
      <c r="D2552" s="41" t="s">
        <v>20956</v>
      </c>
      <c r="F2552" s="41" t="s">
        <v>20957</v>
      </c>
      <c r="G2552" s="41" t="s">
        <v>20958</v>
      </c>
      <c r="H2552" s="41" t="s">
        <v>20959</v>
      </c>
      <c r="I2552" s="41" t="s">
        <v>20960</v>
      </c>
      <c r="J2552" s="41" t="s">
        <v>20961</v>
      </c>
      <c r="K2552" s="41" t="s">
        <v>20962</v>
      </c>
      <c r="L2552" s="41" t="s">
        <v>1085</v>
      </c>
    </row>
    <row r="2553" spans="1:19" x14ac:dyDescent="0.25">
      <c r="A2553" s="41" t="s">
        <v>23</v>
      </c>
      <c r="B2553" s="41" t="s">
        <v>20963</v>
      </c>
      <c r="D2553" s="41" t="s">
        <v>20964</v>
      </c>
      <c r="F2553" s="41" t="s">
        <v>20965</v>
      </c>
      <c r="G2553" s="41" t="s">
        <v>20966</v>
      </c>
      <c r="H2553" s="41" t="s">
        <v>20967</v>
      </c>
      <c r="I2553" s="41" t="s">
        <v>20968</v>
      </c>
      <c r="J2553" s="41" t="s">
        <v>20969</v>
      </c>
      <c r="K2553" s="41" t="s">
        <v>20970</v>
      </c>
      <c r="L2553" s="41" t="s">
        <v>1094</v>
      </c>
    </row>
    <row r="2554" spans="1:19" x14ac:dyDescent="0.25">
      <c r="A2554" s="41" t="s">
        <v>908</v>
      </c>
      <c r="B2554" s="41" t="s">
        <v>20971</v>
      </c>
    </row>
    <row r="2555" spans="1:19" x14ac:dyDescent="0.25">
      <c r="A2555" s="41" t="s">
        <v>23</v>
      </c>
      <c r="B2555" s="41" t="s">
        <v>20972</v>
      </c>
      <c r="F2555" s="41" t="s">
        <v>20973</v>
      </c>
      <c r="G2555" s="41" t="s">
        <v>20974</v>
      </c>
      <c r="H2555" s="41" t="s">
        <v>20975</v>
      </c>
      <c r="I2555" s="41" t="s">
        <v>20976</v>
      </c>
      <c r="J2555" s="41" t="s">
        <v>20977</v>
      </c>
      <c r="L2555" s="41" t="s">
        <v>4</v>
      </c>
    </row>
    <row r="2556" spans="1:19" x14ac:dyDescent="0.25">
      <c r="A2556" s="41" t="s">
        <v>23</v>
      </c>
      <c r="B2556" s="41" t="s">
        <v>20978</v>
      </c>
      <c r="D2556" s="41" t="s">
        <v>20812</v>
      </c>
      <c r="E2556" s="41" t="s">
        <v>20980</v>
      </c>
      <c r="F2556" s="41" t="s">
        <v>20981</v>
      </c>
      <c r="G2556" s="41" t="s">
        <v>20982</v>
      </c>
      <c r="H2556" s="41" t="s">
        <v>20983</v>
      </c>
      <c r="I2556" s="41" t="s">
        <v>20984</v>
      </c>
      <c r="J2556" s="41" t="s">
        <v>20985</v>
      </c>
      <c r="K2556" s="41" t="s">
        <v>20986</v>
      </c>
      <c r="L2556" s="41" t="s">
        <v>20987</v>
      </c>
      <c r="M2556" s="41" t="s">
        <v>20988</v>
      </c>
      <c r="N2556" s="41" t="s">
        <v>20989</v>
      </c>
      <c r="O2556" s="41" t="s">
        <v>20990</v>
      </c>
      <c r="P2556" s="41" t="s">
        <v>20991</v>
      </c>
      <c r="Q2556" s="41" t="s">
        <v>20992</v>
      </c>
      <c r="R2556" s="41" t="s">
        <v>20993</v>
      </c>
      <c r="S2556" s="41" t="s">
        <v>20994</v>
      </c>
    </row>
    <row r="2557" spans="1:19" x14ac:dyDescent="0.25">
      <c r="A2557" s="41" t="s">
        <v>23</v>
      </c>
      <c r="B2557" s="41" t="s">
        <v>20995</v>
      </c>
      <c r="D2557" s="41" t="s">
        <v>20996</v>
      </c>
      <c r="F2557" s="41" t="s">
        <v>20997</v>
      </c>
      <c r="G2557" s="41" t="s">
        <v>20998</v>
      </c>
      <c r="H2557" s="41" t="s">
        <v>20999</v>
      </c>
      <c r="I2557" s="41" t="s">
        <v>21000</v>
      </c>
      <c r="J2557" s="41" t="s">
        <v>21001</v>
      </c>
      <c r="K2557" s="41" t="s">
        <v>21002</v>
      </c>
      <c r="L2557" s="41" t="s">
        <v>891</v>
      </c>
    </row>
    <row r="2558" spans="1:19" x14ac:dyDescent="0.25">
      <c r="A2558" s="41" t="s">
        <v>23</v>
      </c>
      <c r="B2558" s="41" t="s">
        <v>21003</v>
      </c>
      <c r="D2558" s="41" t="s">
        <v>21004</v>
      </c>
      <c r="F2558" s="41" t="s">
        <v>21005</v>
      </c>
      <c r="G2558" s="41" t="s">
        <v>21006</v>
      </c>
      <c r="H2558" s="41" t="s">
        <v>21007</v>
      </c>
      <c r="I2558" s="41" t="s">
        <v>21008</v>
      </c>
      <c r="J2558" s="41" t="s">
        <v>21009</v>
      </c>
      <c r="K2558" s="41" t="s">
        <v>21010</v>
      </c>
      <c r="L2558" s="41" t="s">
        <v>1076</v>
      </c>
    </row>
    <row r="2559" spans="1:19" x14ac:dyDescent="0.25">
      <c r="A2559" s="41" t="s">
        <v>23</v>
      </c>
      <c r="B2559" s="41" t="s">
        <v>21011</v>
      </c>
      <c r="D2559" s="41" t="s">
        <v>21012</v>
      </c>
      <c r="F2559" s="41" t="s">
        <v>21013</v>
      </c>
      <c r="G2559" s="41" t="s">
        <v>21014</v>
      </c>
      <c r="H2559" s="41" t="s">
        <v>21015</v>
      </c>
      <c r="I2559" s="41" t="s">
        <v>21016</v>
      </c>
      <c r="J2559" s="41" t="s">
        <v>21017</v>
      </c>
      <c r="K2559" s="41" t="s">
        <v>21018</v>
      </c>
      <c r="L2559" s="41" t="s">
        <v>1085</v>
      </c>
    </row>
    <row r="2560" spans="1:19" x14ac:dyDescent="0.25">
      <c r="A2560" s="41" t="s">
        <v>23</v>
      </c>
      <c r="B2560" s="41" t="s">
        <v>21019</v>
      </c>
      <c r="D2560" s="41" t="s">
        <v>21020</v>
      </c>
      <c r="F2560" s="41" t="s">
        <v>21021</v>
      </c>
      <c r="G2560" s="41" t="s">
        <v>21022</v>
      </c>
      <c r="H2560" s="41" t="s">
        <v>21023</v>
      </c>
      <c r="I2560" s="41" t="s">
        <v>21024</v>
      </c>
      <c r="J2560" s="41" t="s">
        <v>21025</v>
      </c>
      <c r="K2560" s="41" t="s">
        <v>21026</v>
      </c>
      <c r="L2560" s="41" t="s">
        <v>1094</v>
      </c>
    </row>
    <row r="2561" spans="1:19" x14ac:dyDescent="0.25">
      <c r="A2561" s="41" t="s">
        <v>908</v>
      </c>
      <c r="B2561" s="41" t="s">
        <v>21027</v>
      </c>
    </row>
    <row r="2562" spans="1:19" x14ac:dyDescent="0.25">
      <c r="A2562" s="41" t="s">
        <v>23</v>
      </c>
      <c r="B2562" s="41" t="s">
        <v>21028</v>
      </c>
      <c r="F2562" s="41" t="s">
        <v>21029</v>
      </c>
      <c r="G2562" s="41" t="s">
        <v>21030</v>
      </c>
      <c r="H2562" s="41" t="s">
        <v>21031</v>
      </c>
      <c r="I2562" s="41" t="s">
        <v>21032</v>
      </c>
      <c r="J2562" s="41" t="s">
        <v>21033</v>
      </c>
      <c r="L2562" s="41" t="s">
        <v>4</v>
      </c>
    </row>
    <row r="2563" spans="1:19" x14ac:dyDescent="0.25">
      <c r="A2563" s="41" t="s">
        <v>23</v>
      </c>
      <c r="B2563" s="41" t="s">
        <v>21034</v>
      </c>
      <c r="D2563" s="41" t="s">
        <v>449</v>
      </c>
      <c r="E2563" s="41" t="s">
        <v>21036</v>
      </c>
      <c r="F2563" s="41" t="s">
        <v>21037</v>
      </c>
      <c r="G2563" s="41" t="s">
        <v>21038</v>
      </c>
      <c r="H2563" s="41" t="s">
        <v>21039</v>
      </c>
      <c r="I2563" s="41" t="s">
        <v>21040</v>
      </c>
      <c r="J2563" s="41" t="s">
        <v>21041</v>
      </c>
      <c r="K2563" s="41" t="s">
        <v>21042</v>
      </c>
      <c r="L2563" s="41" t="s">
        <v>21043</v>
      </c>
      <c r="M2563" s="41" t="s">
        <v>21044</v>
      </c>
      <c r="N2563" s="41" t="s">
        <v>21045</v>
      </c>
      <c r="O2563" s="41" t="s">
        <v>21046</v>
      </c>
      <c r="P2563" s="41" t="s">
        <v>21047</v>
      </c>
      <c r="Q2563" s="41" t="s">
        <v>21048</v>
      </c>
      <c r="R2563" s="41" t="s">
        <v>21049</v>
      </c>
      <c r="S2563" s="41" t="s">
        <v>21050</v>
      </c>
    </row>
    <row r="2564" spans="1:19" x14ac:dyDescent="0.25">
      <c r="A2564" s="41" t="s">
        <v>23</v>
      </c>
      <c r="B2564" s="41" t="s">
        <v>21051</v>
      </c>
      <c r="D2564" s="41" t="s">
        <v>21052</v>
      </c>
      <c r="F2564" s="41" t="s">
        <v>21053</v>
      </c>
      <c r="G2564" s="41" t="s">
        <v>21054</v>
      </c>
      <c r="H2564" s="41" t="s">
        <v>21055</v>
      </c>
      <c r="I2564" s="41" t="s">
        <v>21056</v>
      </c>
      <c r="J2564" s="41" t="s">
        <v>21057</v>
      </c>
      <c r="K2564" s="41" t="s">
        <v>21058</v>
      </c>
      <c r="L2564" s="41" t="s">
        <v>891</v>
      </c>
    </row>
    <row r="2565" spans="1:19" x14ac:dyDescent="0.25">
      <c r="A2565" s="41" t="s">
        <v>23</v>
      </c>
      <c r="B2565" s="41" t="s">
        <v>21059</v>
      </c>
      <c r="D2565" s="41" t="s">
        <v>21060</v>
      </c>
      <c r="F2565" s="41" t="s">
        <v>21061</v>
      </c>
      <c r="G2565" s="41" t="s">
        <v>21062</v>
      </c>
      <c r="H2565" s="41" t="s">
        <v>21063</v>
      </c>
      <c r="I2565" s="41" t="s">
        <v>21064</v>
      </c>
      <c r="J2565" s="41" t="s">
        <v>21065</v>
      </c>
      <c r="K2565" s="41" t="s">
        <v>21066</v>
      </c>
      <c r="L2565" s="41" t="s">
        <v>1076</v>
      </c>
    </row>
    <row r="2566" spans="1:19" x14ac:dyDescent="0.25">
      <c r="A2566" s="41" t="s">
        <v>23</v>
      </c>
      <c r="B2566" s="41" t="s">
        <v>21067</v>
      </c>
      <c r="D2566" s="41" t="s">
        <v>21068</v>
      </c>
      <c r="F2566" s="41" t="s">
        <v>21069</v>
      </c>
      <c r="G2566" s="41" t="s">
        <v>21070</v>
      </c>
      <c r="H2566" s="41" t="s">
        <v>21071</v>
      </c>
      <c r="I2566" s="41" t="s">
        <v>21072</v>
      </c>
      <c r="J2566" s="41" t="s">
        <v>21073</v>
      </c>
      <c r="K2566" s="41" t="s">
        <v>21074</v>
      </c>
      <c r="L2566" s="41" t="s">
        <v>1085</v>
      </c>
    </row>
    <row r="2567" spans="1:19" x14ac:dyDescent="0.25">
      <c r="A2567" s="41" t="s">
        <v>23</v>
      </c>
      <c r="B2567" s="41" t="s">
        <v>21075</v>
      </c>
      <c r="D2567" s="41" t="s">
        <v>21076</v>
      </c>
      <c r="F2567" s="41" t="s">
        <v>21077</v>
      </c>
      <c r="G2567" s="41" t="s">
        <v>21078</v>
      </c>
      <c r="H2567" s="41" t="s">
        <v>21079</v>
      </c>
      <c r="I2567" s="41" t="s">
        <v>21080</v>
      </c>
      <c r="J2567" s="41" t="s">
        <v>21081</v>
      </c>
      <c r="K2567" s="41" t="s">
        <v>21082</v>
      </c>
      <c r="L2567" s="41" t="s">
        <v>1094</v>
      </c>
    </row>
    <row r="2568" spans="1:19" x14ac:dyDescent="0.25">
      <c r="A2568" s="41" t="s">
        <v>908</v>
      </c>
      <c r="B2568" s="41" t="s">
        <v>21083</v>
      </c>
    </row>
    <row r="2569" spans="1:19" x14ac:dyDescent="0.25">
      <c r="A2569" s="41" t="s">
        <v>23</v>
      </c>
      <c r="B2569" s="41" t="s">
        <v>21084</v>
      </c>
      <c r="F2569" s="41" t="s">
        <v>21085</v>
      </c>
      <c r="G2569" s="41" t="s">
        <v>21086</v>
      </c>
      <c r="H2569" s="41" t="s">
        <v>21087</v>
      </c>
      <c r="I2569" s="41" t="s">
        <v>21088</v>
      </c>
      <c r="J2569" s="41" t="s">
        <v>21089</v>
      </c>
      <c r="L2569" s="41" t="s">
        <v>4</v>
      </c>
    </row>
    <row r="2570" spans="1:19" x14ac:dyDescent="0.25">
      <c r="A2570" s="41" t="s">
        <v>23</v>
      </c>
      <c r="B2570" s="41" t="s">
        <v>21090</v>
      </c>
      <c r="D2570" s="41" t="s">
        <v>20923</v>
      </c>
      <c r="E2570" s="41" t="s">
        <v>21092</v>
      </c>
      <c r="F2570" s="41" t="s">
        <v>21093</v>
      </c>
      <c r="G2570" s="41" t="s">
        <v>21094</v>
      </c>
      <c r="H2570" s="41" t="s">
        <v>21095</v>
      </c>
      <c r="I2570" s="41" t="s">
        <v>21096</v>
      </c>
      <c r="J2570" s="41" t="s">
        <v>21097</v>
      </c>
      <c r="K2570" s="41" t="s">
        <v>21098</v>
      </c>
      <c r="L2570" s="41" t="s">
        <v>21099</v>
      </c>
      <c r="M2570" s="41" t="s">
        <v>21100</v>
      </c>
      <c r="N2570" s="41" t="s">
        <v>21101</v>
      </c>
      <c r="O2570" s="41" t="s">
        <v>21102</v>
      </c>
      <c r="P2570" s="41" t="s">
        <v>21103</v>
      </c>
      <c r="Q2570" s="41" t="s">
        <v>21104</v>
      </c>
      <c r="R2570" s="41" t="s">
        <v>21105</v>
      </c>
      <c r="S2570" s="41" t="s">
        <v>21106</v>
      </c>
    </row>
    <row r="2571" spans="1:19" x14ac:dyDescent="0.25">
      <c r="A2571" s="41" t="s">
        <v>23</v>
      </c>
      <c r="B2571" s="41" t="s">
        <v>21107</v>
      </c>
      <c r="D2571" s="41" t="s">
        <v>21108</v>
      </c>
      <c r="F2571" s="41" t="s">
        <v>21109</v>
      </c>
      <c r="G2571" s="41" t="s">
        <v>21110</v>
      </c>
      <c r="H2571" s="41" t="s">
        <v>21111</v>
      </c>
      <c r="I2571" s="41" t="s">
        <v>21112</v>
      </c>
      <c r="J2571" s="41" t="s">
        <v>21113</v>
      </c>
      <c r="K2571" s="41" t="s">
        <v>21114</v>
      </c>
      <c r="L2571" s="41" t="s">
        <v>891</v>
      </c>
    </row>
    <row r="2572" spans="1:19" x14ac:dyDescent="0.25">
      <c r="A2572" s="41" t="s">
        <v>23</v>
      </c>
      <c r="B2572" s="41" t="s">
        <v>21115</v>
      </c>
      <c r="D2572" s="41" t="s">
        <v>21116</v>
      </c>
      <c r="F2572" s="41" t="s">
        <v>21117</v>
      </c>
      <c r="G2572" s="41" t="s">
        <v>21118</v>
      </c>
      <c r="H2572" s="41" t="s">
        <v>21119</v>
      </c>
      <c r="I2572" s="41" t="s">
        <v>21120</v>
      </c>
      <c r="J2572" s="41" t="s">
        <v>21121</v>
      </c>
      <c r="K2572" s="41" t="s">
        <v>21122</v>
      </c>
      <c r="L2572" s="41" t="s">
        <v>1076</v>
      </c>
    </row>
    <row r="2573" spans="1:19" x14ac:dyDescent="0.25">
      <c r="A2573" s="41" t="s">
        <v>23</v>
      </c>
      <c r="B2573" s="41" t="s">
        <v>21123</v>
      </c>
      <c r="D2573" s="41" t="s">
        <v>21124</v>
      </c>
      <c r="F2573" s="41" t="s">
        <v>21125</v>
      </c>
      <c r="G2573" s="41" t="s">
        <v>21126</v>
      </c>
      <c r="H2573" s="41" t="s">
        <v>21127</v>
      </c>
      <c r="I2573" s="41" t="s">
        <v>21128</v>
      </c>
      <c r="J2573" s="41" t="s">
        <v>21129</v>
      </c>
      <c r="K2573" s="41" t="s">
        <v>21130</v>
      </c>
      <c r="L2573" s="41" t="s">
        <v>1085</v>
      </c>
    </row>
    <row r="2574" spans="1:19" x14ac:dyDescent="0.25">
      <c r="A2574" s="41" t="s">
        <v>23</v>
      </c>
      <c r="B2574" s="41" t="s">
        <v>21131</v>
      </c>
      <c r="D2574" s="41" t="s">
        <v>21132</v>
      </c>
      <c r="F2574" s="41" t="s">
        <v>21133</v>
      </c>
      <c r="G2574" s="41" t="s">
        <v>21134</v>
      </c>
      <c r="H2574" s="41" t="s">
        <v>21135</v>
      </c>
      <c r="I2574" s="41" t="s">
        <v>21136</v>
      </c>
      <c r="J2574" s="41" t="s">
        <v>21137</v>
      </c>
      <c r="K2574" s="41" t="s">
        <v>21138</v>
      </c>
      <c r="L2574" s="41" t="s">
        <v>1094</v>
      </c>
    </row>
    <row r="2575" spans="1:19" x14ac:dyDescent="0.25">
      <c r="A2575" s="41" t="s">
        <v>908</v>
      </c>
      <c r="B2575" s="41" t="s">
        <v>21139</v>
      </c>
    </row>
    <row r="2576" spans="1:19" x14ac:dyDescent="0.25">
      <c r="A2576" s="41" t="s">
        <v>23</v>
      </c>
      <c r="B2576" s="41" t="s">
        <v>21140</v>
      </c>
      <c r="F2576" s="41" t="s">
        <v>21141</v>
      </c>
      <c r="G2576" s="41" t="s">
        <v>21142</v>
      </c>
      <c r="H2576" s="41" t="s">
        <v>21143</v>
      </c>
      <c r="I2576" s="41" t="s">
        <v>21144</v>
      </c>
      <c r="J2576" s="41" t="s">
        <v>21145</v>
      </c>
      <c r="L2576" s="41" t="s">
        <v>4</v>
      </c>
    </row>
    <row r="2577" spans="1:19" x14ac:dyDescent="0.25">
      <c r="A2577" s="41" t="s">
        <v>23</v>
      </c>
      <c r="B2577" s="41" t="s">
        <v>21146</v>
      </c>
      <c r="D2577" s="41" t="s">
        <v>20979</v>
      </c>
      <c r="E2577" s="41" t="s">
        <v>21148</v>
      </c>
      <c r="F2577" s="41" t="s">
        <v>21149</v>
      </c>
      <c r="G2577" s="41" t="s">
        <v>21150</v>
      </c>
      <c r="H2577" s="41" t="s">
        <v>21151</v>
      </c>
      <c r="I2577" s="41" t="s">
        <v>21152</v>
      </c>
      <c r="J2577" s="41" t="s">
        <v>21153</v>
      </c>
      <c r="K2577" s="41" t="s">
        <v>21154</v>
      </c>
      <c r="L2577" s="41" t="s">
        <v>21155</v>
      </c>
      <c r="M2577" s="41" t="s">
        <v>21156</v>
      </c>
      <c r="N2577" s="41" t="s">
        <v>21157</v>
      </c>
      <c r="O2577" s="41" t="s">
        <v>21158</v>
      </c>
      <c r="P2577" s="41" t="s">
        <v>21159</v>
      </c>
      <c r="Q2577" s="41" t="s">
        <v>21160</v>
      </c>
      <c r="R2577" s="41" t="s">
        <v>21161</v>
      </c>
      <c r="S2577" s="41" t="s">
        <v>21162</v>
      </c>
    </row>
    <row r="2578" spans="1:19" x14ac:dyDescent="0.25">
      <c r="A2578" s="41" t="s">
        <v>23</v>
      </c>
      <c r="B2578" s="41" t="s">
        <v>21163</v>
      </c>
      <c r="D2578" s="41" t="s">
        <v>21164</v>
      </c>
      <c r="F2578" s="41" t="s">
        <v>21165</v>
      </c>
      <c r="G2578" s="41" t="s">
        <v>21166</v>
      </c>
      <c r="H2578" s="41" t="s">
        <v>21167</v>
      </c>
      <c r="I2578" s="41" t="s">
        <v>21168</v>
      </c>
      <c r="J2578" s="41" t="s">
        <v>21169</v>
      </c>
      <c r="K2578" s="41" t="s">
        <v>21170</v>
      </c>
      <c r="L2578" s="41" t="s">
        <v>891</v>
      </c>
    </row>
    <row r="2579" spans="1:19" x14ac:dyDescent="0.25">
      <c r="A2579" s="41" t="s">
        <v>23</v>
      </c>
      <c r="B2579" s="41" t="s">
        <v>21171</v>
      </c>
      <c r="D2579" s="41" t="s">
        <v>21172</v>
      </c>
      <c r="F2579" s="41" t="s">
        <v>21173</v>
      </c>
      <c r="G2579" s="41" t="s">
        <v>21174</v>
      </c>
      <c r="H2579" s="41" t="s">
        <v>21175</v>
      </c>
      <c r="I2579" s="41" t="s">
        <v>21176</v>
      </c>
      <c r="J2579" s="41" t="s">
        <v>21177</v>
      </c>
      <c r="K2579" s="41" t="s">
        <v>21178</v>
      </c>
      <c r="L2579" s="41" t="s">
        <v>1076</v>
      </c>
    </row>
    <row r="2580" spans="1:19" x14ac:dyDescent="0.25">
      <c r="A2580" s="41" t="s">
        <v>23</v>
      </c>
      <c r="B2580" s="41" t="s">
        <v>21179</v>
      </c>
      <c r="D2580" s="41" t="s">
        <v>21180</v>
      </c>
      <c r="F2580" s="41" t="s">
        <v>21181</v>
      </c>
      <c r="G2580" s="41" t="s">
        <v>21182</v>
      </c>
      <c r="H2580" s="41" t="s">
        <v>21183</v>
      </c>
      <c r="I2580" s="41" t="s">
        <v>21184</v>
      </c>
      <c r="J2580" s="41" t="s">
        <v>21185</v>
      </c>
      <c r="K2580" s="41" t="s">
        <v>21186</v>
      </c>
      <c r="L2580" s="41" t="s">
        <v>1085</v>
      </c>
    </row>
    <row r="2581" spans="1:19" x14ac:dyDescent="0.25">
      <c r="A2581" s="41" t="s">
        <v>23</v>
      </c>
      <c r="B2581" s="41" t="s">
        <v>21187</v>
      </c>
      <c r="D2581" s="41" t="s">
        <v>21188</v>
      </c>
      <c r="F2581" s="41" t="s">
        <v>21189</v>
      </c>
      <c r="G2581" s="41" t="s">
        <v>21190</v>
      </c>
      <c r="H2581" s="41" t="s">
        <v>21191</v>
      </c>
      <c r="I2581" s="41" t="s">
        <v>21192</v>
      </c>
      <c r="J2581" s="41" t="s">
        <v>21193</v>
      </c>
      <c r="K2581" s="41" t="s">
        <v>21194</v>
      </c>
      <c r="L2581" s="41" t="s">
        <v>1094</v>
      </c>
    </row>
    <row r="2582" spans="1:19" x14ac:dyDescent="0.25">
      <c r="A2582" s="41" t="s">
        <v>908</v>
      </c>
      <c r="B2582" s="41" t="s">
        <v>21195</v>
      </c>
    </row>
    <row r="2583" spans="1:19" x14ac:dyDescent="0.25">
      <c r="A2583" s="41" t="s">
        <v>23</v>
      </c>
      <c r="B2583" s="41" t="s">
        <v>21196</v>
      </c>
      <c r="F2583" s="41" t="s">
        <v>21197</v>
      </c>
      <c r="G2583" s="41" t="s">
        <v>21198</v>
      </c>
      <c r="H2583" s="41" t="s">
        <v>21199</v>
      </c>
      <c r="I2583" s="41" t="s">
        <v>21200</v>
      </c>
      <c r="J2583" s="41" t="s">
        <v>21201</v>
      </c>
      <c r="L2583" s="41" t="s">
        <v>4</v>
      </c>
    </row>
    <row r="2584" spans="1:19" x14ac:dyDescent="0.25">
      <c r="A2584" s="41" t="s">
        <v>23</v>
      </c>
      <c r="B2584" s="41" t="s">
        <v>21202</v>
      </c>
      <c r="D2584" s="41" t="s">
        <v>21035</v>
      </c>
      <c r="E2584" s="41" t="s">
        <v>21204</v>
      </c>
      <c r="F2584" s="41" t="s">
        <v>21205</v>
      </c>
      <c r="G2584" s="41" t="s">
        <v>21206</v>
      </c>
      <c r="H2584" s="41" t="s">
        <v>21207</v>
      </c>
      <c r="I2584" s="41" t="s">
        <v>21208</v>
      </c>
      <c r="J2584" s="41" t="s">
        <v>21209</v>
      </c>
      <c r="K2584" s="41" t="s">
        <v>21210</v>
      </c>
      <c r="L2584" s="41" t="s">
        <v>21211</v>
      </c>
      <c r="M2584" s="41" t="s">
        <v>21212</v>
      </c>
      <c r="N2584" s="41" t="s">
        <v>21213</v>
      </c>
      <c r="O2584" s="41" t="s">
        <v>21214</v>
      </c>
      <c r="P2584" s="41" t="s">
        <v>21215</v>
      </c>
      <c r="Q2584" s="41" t="s">
        <v>21216</v>
      </c>
      <c r="R2584" s="41" t="s">
        <v>21217</v>
      </c>
      <c r="S2584" s="41" t="s">
        <v>21218</v>
      </c>
    </row>
    <row r="2585" spans="1:19" x14ac:dyDescent="0.25">
      <c r="A2585" s="41" t="s">
        <v>23</v>
      </c>
      <c r="B2585" s="41" t="s">
        <v>21219</v>
      </c>
      <c r="D2585" s="41" t="s">
        <v>21220</v>
      </c>
      <c r="F2585" s="41" t="s">
        <v>21221</v>
      </c>
      <c r="G2585" s="41" t="s">
        <v>21222</v>
      </c>
      <c r="H2585" s="41" t="s">
        <v>21223</v>
      </c>
      <c r="I2585" s="41" t="s">
        <v>21224</v>
      </c>
      <c r="J2585" s="41" t="s">
        <v>21225</v>
      </c>
      <c r="K2585" s="41" t="s">
        <v>21226</v>
      </c>
      <c r="L2585" s="41" t="s">
        <v>891</v>
      </c>
    </row>
    <row r="2586" spans="1:19" x14ac:dyDescent="0.25">
      <c r="A2586" s="41" t="s">
        <v>23</v>
      </c>
      <c r="B2586" s="41" t="s">
        <v>21227</v>
      </c>
      <c r="D2586" s="41" t="s">
        <v>21228</v>
      </c>
      <c r="F2586" s="41" t="s">
        <v>21229</v>
      </c>
      <c r="G2586" s="41" t="s">
        <v>21230</v>
      </c>
      <c r="H2586" s="41" t="s">
        <v>21231</v>
      </c>
      <c r="I2586" s="41" t="s">
        <v>21232</v>
      </c>
      <c r="J2586" s="41" t="s">
        <v>21233</v>
      </c>
      <c r="K2586" s="41" t="s">
        <v>21234</v>
      </c>
      <c r="L2586" s="41" t="s">
        <v>1076</v>
      </c>
    </row>
    <row r="2587" spans="1:19" x14ac:dyDescent="0.25">
      <c r="A2587" s="41" t="s">
        <v>23</v>
      </c>
      <c r="B2587" s="41" t="s">
        <v>21235</v>
      </c>
      <c r="D2587" s="41" t="s">
        <v>21236</v>
      </c>
      <c r="F2587" s="41" t="s">
        <v>21237</v>
      </c>
      <c r="G2587" s="41" t="s">
        <v>21238</v>
      </c>
      <c r="H2587" s="41" t="s">
        <v>21239</v>
      </c>
      <c r="I2587" s="41" t="s">
        <v>21240</v>
      </c>
      <c r="J2587" s="41" t="s">
        <v>21241</v>
      </c>
      <c r="K2587" s="41" t="s">
        <v>21242</v>
      </c>
      <c r="L2587" s="41" t="s">
        <v>1085</v>
      </c>
    </row>
    <row r="2588" spans="1:19" x14ac:dyDescent="0.25">
      <c r="A2588" s="41" t="s">
        <v>23</v>
      </c>
      <c r="B2588" s="41" t="s">
        <v>21243</v>
      </c>
      <c r="D2588" s="41" t="s">
        <v>21244</v>
      </c>
      <c r="F2588" s="41" t="s">
        <v>21245</v>
      </c>
      <c r="G2588" s="41" t="s">
        <v>21246</v>
      </c>
      <c r="H2588" s="41" t="s">
        <v>21247</v>
      </c>
      <c r="I2588" s="41" t="s">
        <v>21248</v>
      </c>
      <c r="J2588" s="41" t="s">
        <v>21249</v>
      </c>
      <c r="K2588" s="41" t="s">
        <v>21250</v>
      </c>
      <c r="L2588" s="41" t="s">
        <v>1094</v>
      </c>
    </row>
    <row r="2589" spans="1:19" x14ac:dyDescent="0.25">
      <c r="A2589" s="41" t="s">
        <v>908</v>
      </c>
      <c r="B2589" s="41" t="s">
        <v>21251</v>
      </c>
    </row>
    <row r="2590" spans="1:19" x14ac:dyDescent="0.25">
      <c r="A2590" s="41" t="s">
        <v>23</v>
      </c>
      <c r="B2590" s="41" t="s">
        <v>21252</v>
      </c>
      <c r="F2590" s="41" t="s">
        <v>21253</v>
      </c>
      <c r="G2590" s="41" t="s">
        <v>21254</v>
      </c>
      <c r="H2590" s="41" t="s">
        <v>21255</v>
      </c>
      <c r="I2590" s="41" t="s">
        <v>21256</v>
      </c>
      <c r="J2590" s="41" t="s">
        <v>21257</v>
      </c>
      <c r="L2590" s="41" t="s">
        <v>4</v>
      </c>
    </row>
    <row r="2591" spans="1:19" x14ac:dyDescent="0.25">
      <c r="A2591" s="41" t="s">
        <v>23</v>
      </c>
      <c r="B2591" s="41" t="s">
        <v>21258</v>
      </c>
      <c r="D2591" s="41" t="s">
        <v>21091</v>
      </c>
      <c r="E2591" s="41" t="s">
        <v>21260</v>
      </c>
      <c r="F2591" s="41" t="s">
        <v>21261</v>
      </c>
      <c r="G2591" s="41" t="s">
        <v>21262</v>
      </c>
      <c r="H2591" s="41" t="s">
        <v>21263</v>
      </c>
      <c r="I2591" s="41" t="s">
        <v>21264</v>
      </c>
      <c r="J2591" s="41" t="s">
        <v>21265</v>
      </c>
      <c r="K2591" s="41" t="s">
        <v>21266</v>
      </c>
      <c r="L2591" s="41" t="s">
        <v>21267</v>
      </c>
      <c r="M2591" s="41" t="s">
        <v>21268</v>
      </c>
      <c r="N2591" s="41" t="s">
        <v>21269</v>
      </c>
      <c r="O2591" s="41" t="s">
        <v>21270</v>
      </c>
      <c r="P2591" s="41" t="s">
        <v>21271</v>
      </c>
      <c r="Q2591" s="41" t="s">
        <v>21272</v>
      </c>
      <c r="R2591" s="41" t="s">
        <v>21273</v>
      </c>
      <c r="S2591" s="41" t="s">
        <v>21274</v>
      </c>
    </row>
    <row r="2592" spans="1:19" x14ac:dyDescent="0.25">
      <c r="A2592" s="41" t="s">
        <v>23</v>
      </c>
      <c r="B2592" s="41" t="s">
        <v>21275</v>
      </c>
      <c r="D2592" s="41" t="s">
        <v>21276</v>
      </c>
      <c r="F2592" s="41" t="s">
        <v>21277</v>
      </c>
      <c r="G2592" s="41" t="s">
        <v>21278</v>
      </c>
      <c r="H2592" s="41" t="s">
        <v>21279</v>
      </c>
      <c r="I2592" s="41" t="s">
        <v>21280</v>
      </c>
      <c r="J2592" s="41" t="s">
        <v>21281</v>
      </c>
      <c r="K2592" s="41" t="s">
        <v>21282</v>
      </c>
      <c r="L2592" s="41" t="s">
        <v>891</v>
      </c>
    </row>
    <row r="2593" spans="1:19" x14ac:dyDescent="0.25">
      <c r="A2593" s="41" t="s">
        <v>23</v>
      </c>
      <c r="B2593" s="41" t="s">
        <v>21283</v>
      </c>
      <c r="D2593" s="41" t="s">
        <v>21284</v>
      </c>
      <c r="F2593" s="41" t="s">
        <v>21285</v>
      </c>
      <c r="G2593" s="41" t="s">
        <v>21286</v>
      </c>
      <c r="H2593" s="41" t="s">
        <v>21287</v>
      </c>
      <c r="I2593" s="41" t="s">
        <v>21288</v>
      </c>
      <c r="J2593" s="41" t="s">
        <v>21289</v>
      </c>
      <c r="K2593" s="41" t="s">
        <v>21290</v>
      </c>
      <c r="L2593" s="41" t="s">
        <v>1076</v>
      </c>
    </row>
    <row r="2594" spans="1:19" x14ac:dyDescent="0.25">
      <c r="A2594" s="41" t="s">
        <v>23</v>
      </c>
      <c r="B2594" s="41" t="s">
        <v>21291</v>
      </c>
      <c r="D2594" s="41" t="s">
        <v>21292</v>
      </c>
      <c r="F2594" s="41" t="s">
        <v>21293</v>
      </c>
      <c r="G2594" s="41" t="s">
        <v>21294</v>
      </c>
      <c r="H2594" s="41" t="s">
        <v>21295</v>
      </c>
      <c r="I2594" s="41" t="s">
        <v>21296</v>
      </c>
      <c r="J2594" s="41" t="s">
        <v>21297</v>
      </c>
      <c r="K2594" s="41" t="s">
        <v>21298</v>
      </c>
      <c r="L2594" s="41" t="s">
        <v>1085</v>
      </c>
    </row>
    <row r="2595" spans="1:19" x14ac:dyDescent="0.25">
      <c r="A2595" s="41" t="s">
        <v>23</v>
      </c>
      <c r="B2595" s="41" t="s">
        <v>21299</v>
      </c>
      <c r="D2595" s="41" t="s">
        <v>21300</v>
      </c>
      <c r="F2595" s="41" t="s">
        <v>21301</v>
      </c>
      <c r="G2595" s="41" t="s">
        <v>21302</v>
      </c>
      <c r="H2595" s="41" t="s">
        <v>21303</v>
      </c>
      <c r="I2595" s="41" t="s">
        <v>21304</v>
      </c>
      <c r="J2595" s="41" t="s">
        <v>21305</v>
      </c>
      <c r="K2595" s="41" t="s">
        <v>21306</v>
      </c>
      <c r="L2595" s="41" t="s">
        <v>1094</v>
      </c>
    </row>
    <row r="2596" spans="1:19" x14ac:dyDescent="0.25">
      <c r="A2596" s="41" t="s">
        <v>908</v>
      </c>
      <c r="B2596" s="41" t="s">
        <v>21307</v>
      </c>
    </row>
    <row r="2597" spans="1:19" x14ac:dyDescent="0.25">
      <c r="A2597" s="41" t="s">
        <v>23</v>
      </c>
      <c r="B2597" s="41" t="s">
        <v>21308</v>
      </c>
      <c r="F2597" s="41" t="s">
        <v>21309</v>
      </c>
      <c r="G2597" s="41" t="s">
        <v>21310</v>
      </c>
      <c r="H2597" s="41" t="s">
        <v>21311</v>
      </c>
      <c r="I2597" s="41" t="s">
        <v>21312</v>
      </c>
      <c r="J2597" s="41" t="s">
        <v>21313</v>
      </c>
      <c r="L2597" s="41" t="s">
        <v>4</v>
      </c>
    </row>
    <row r="2598" spans="1:19" x14ac:dyDescent="0.25">
      <c r="A2598" s="41" t="s">
        <v>23</v>
      </c>
      <c r="B2598" s="41" t="s">
        <v>21314</v>
      </c>
      <c r="D2598" s="41" t="s">
        <v>21147</v>
      </c>
      <c r="E2598" s="41" t="s">
        <v>21316</v>
      </c>
      <c r="F2598" s="41" t="s">
        <v>21317</v>
      </c>
      <c r="G2598" s="41" t="s">
        <v>21318</v>
      </c>
      <c r="H2598" s="41" t="s">
        <v>21319</v>
      </c>
      <c r="I2598" s="41" t="s">
        <v>21320</v>
      </c>
      <c r="J2598" s="41" t="s">
        <v>21321</v>
      </c>
      <c r="K2598" s="41" t="s">
        <v>21322</v>
      </c>
      <c r="L2598" s="41" t="s">
        <v>21323</v>
      </c>
      <c r="M2598" s="41" t="s">
        <v>21324</v>
      </c>
      <c r="N2598" s="41" t="s">
        <v>21325</v>
      </c>
      <c r="O2598" s="41" t="s">
        <v>21326</v>
      </c>
      <c r="P2598" s="41" t="s">
        <v>21327</v>
      </c>
      <c r="Q2598" s="41" t="s">
        <v>21328</v>
      </c>
      <c r="R2598" s="41" t="s">
        <v>21329</v>
      </c>
      <c r="S2598" s="41" t="s">
        <v>21330</v>
      </c>
    </row>
    <row r="2599" spans="1:19" x14ac:dyDescent="0.25">
      <c r="A2599" s="41" t="s">
        <v>23</v>
      </c>
      <c r="B2599" s="41" t="s">
        <v>21331</v>
      </c>
      <c r="D2599" s="41" t="s">
        <v>21332</v>
      </c>
      <c r="F2599" s="41" t="s">
        <v>21333</v>
      </c>
      <c r="G2599" s="41" t="s">
        <v>21334</v>
      </c>
      <c r="H2599" s="41" t="s">
        <v>21335</v>
      </c>
      <c r="I2599" s="41" t="s">
        <v>21336</v>
      </c>
      <c r="J2599" s="41" t="s">
        <v>21337</v>
      </c>
      <c r="K2599" s="41" t="s">
        <v>21338</v>
      </c>
      <c r="L2599" s="41" t="s">
        <v>891</v>
      </c>
    </row>
    <row r="2600" spans="1:19" x14ac:dyDescent="0.25">
      <c r="A2600" s="41" t="s">
        <v>23</v>
      </c>
      <c r="B2600" s="41" t="s">
        <v>21339</v>
      </c>
      <c r="D2600" s="41" t="s">
        <v>21340</v>
      </c>
      <c r="F2600" s="41" t="s">
        <v>21341</v>
      </c>
      <c r="G2600" s="41" t="s">
        <v>21342</v>
      </c>
      <c r="H2600" s="41" t="s">
        <v>21343</v>
      </c>
      <c r="I2600" s="41" t="s">
        <v>21344</v>
      </c>
      <c r="J2600" s="41" t="s">
        <v>21345</v>
      </c>
      <c r="K2600" s="41" t="s">
        <v>21346</v>
      </c>
      <c r="L2600" s="41" t="s">
        <v>1076</v>
      </c>
    </row>
    <row r="2601" spans="1:19" x14ac:dyDescent="0.25">
      <c r="A2601" s="41" t="s">
        <v>23</v>
      </c>
      <c r="B2601" s="41" t="s">
        <v>21347</v>
      </c>
      <c r="D2601" s="41" t="s">
        <v>21348</v>
      </c>
      <c r="F2601" s="41" t="s">
        <v>21349</v>
      </c>
      <c r="G2601" s="41" t="s">
        <v>21350</v>
      </c>
      <c r="H2601" s="41" t="s">
        <v>21351</v>
      </c>
      <c r="I2601" s="41" t="s">
        <v>21352</v>
      </c>
      <c r="J2601" s="41" t="s">
        <v>21353</v>
      </c>
      <c r="K2601" s="41" t="s">
        <v>21354</v>
      </c>
      <c r="L2601" s="41" t="s">
        <v>1085</v>
      </c>
    </row>
    <row r="2602" spans="1:19" x14ac:dyDescent="0.25">
      <c r="A2602" s="41" t="s">
        <v>23</v>
      </c>
      <c r="B2602" s="41" t="s">
        <v>21355</v>
      </c>
      <c r="D2602" s="41" t="s">
        <v>21356</v>
      </c>
      <c r="F2602" s="41" t="s">
        <v>21357</v>
      </c>
      <c r="G2602" s="41" t="s">
        <v>21358</v>
      </c>
      <c r="H2602" s="41" t="s">
        <v>21359</v>
      </c>
      <c r="I2602" s="41" t="s">
        <v>21360</v>
      </c>
      <c r="J2602" s="41" t="s">
        <v>21361</v>
      </c>
      <c r="K2602" s="41" t="s">
        <v>21362</v>
      </c>
      <c r="L2602" s="41" t="s">
        <v>1094</v>
      </c>
    </row>
    <row r="2603" spans="1:19" x14ac:dyDescent="0.25">
      <c r="A2603" s="41" t="s">
        <v>908</v>
      </c>
      <c r="B2603" s="41" t="s">
        <v>21363</v>
      </c>
    </row>
    <row r="2604" spans="1:19" x14ac:dyDescent="0.25">
      <c r="A2604" s="41" t="s">
        <v>23</v>
      </c>
      <c r="B2604" s="41" t="s">
        <v>21364</v>
      </c>
      <c r="F2604" s="41" t="s">
        <v>21365</v>
      </c>
      <c r="G2604" s="41" t="s">
        <v>21366</v>
      </c>
      <c r="H2604" s="41" t="s">
        <v>21367</v>
      </c>
      <c r="I2604" s="41" t="s">
        <v>21368</v>
      </c>
      <c r="J2604" s="41" t="s">
        <v>21369</v>
      </c>
      <c r="L2604" s="41" t="s">
        <v>4</v>
      </c>
    </row>
    <row r="2605" spans="1:19" x14ac:dyDescent="0.25">
      <c r="A2605" s="41" t="s">
        <v>23</v>
      </c>
      <c r="B2605" s="41" t="s">
        <v>21370</v>
      </c>
      <c r="D2605" s="41" t="s">
        <v>21203</v>
      </c>
      <c r="E2605" s="41" t="s">
        <v>21372</v>
      </c>
      <c r="F2605" s="41" t="s">
        <v>21373</v>
      </c>
      <c r="G2605" s="41" t="s">
        <v>21374</v>
      </c>
      <c r="H2605" s="41" t="s">
        <v>21375</v>
      </c>
      <c r="I2605" s="41" t="s">
        <v>21376</v>
      </c>
      <c r="J2605" s="41" t="s">
        <v>21377</v>
      </c>
      <c r="K2605" s="41" t="s">
        <v>21378</v>
      </c>
      <c r="L2605" s="41" t="s">
        <v>21379</v>
      </c>
      <c r="M2605" s="41" t="s">
        <v>21380</v>
      </c>
      <c r="N2605" s="41" t="s">
        <v>21381</v>
      </c>
      <c r="O2605" s="41" t="s">
        <v>21382</v>
      </c>
      <c r="P2605" s="41" t="s">
        <v>21383</v>
      </c>
      <c r="Q2605" s="41" t="s">
        <v>21384</v>
      </c>
      <c r="R2605" s="41" t="s">
        <v>21385</v>
      </c>
      <c r="S2605" s="41" t="s">
        <v>21386</v>
      </c>
    </row>
    <row r="2606" spans="1:19" x14ac:dyDescent="0.25">
      <c r="A2606" s="41" t="s">
        <v>23</v>
      </c>
      <c r="B2606" s="41" t="s">
        <v>21387</v>
      </c>
      <c r="D2606" s="41" t="s">
        <v>21388</v>
      </c>
      <c r="F2606" s="41" t="s">
        <v>21389</v>
      </c>
      <c r="G2606" s="41" t="s">
        <v>21390</v>
      </c>
      <c r="H2606" s="41" t="s">
        <v>21391</v>
      </c>
      <c r="I2606" s="41" t="s">
        <v>21392</v>
      </c>
      <c r="J2606" s="41" t="s">
        <v>21393</v>
      </c>
      <c r="K2606" s="41" t="s">
        <v>21394</v>
      </c>
      <c r="L2606" s="41" t="s">
        <v>891</v>
      </c>
    </row>
    <row r="2607" spans="1:19" x14ac:dyDescent="0.25">
      <c r="A2607" s="41" t="s">
        <v>23</v>
      </c>
      <c r="B2607" s="41" t="s">
        <v>21395</v>
      </c>
      <c r="D2607" s="41" t="s">
        <v>21396</v>
      </c>
      <c r="F2607" s="41" t="s">
        <v>21397</v>
      </c>
      <c r="G2607" s="41" t="s">
        <v>21398</v>
      </c>
      <c r="H2607" s="41" t="s">
        <v>21399</v>
      </c>
      <c r="I2607" s="41" t="s">
        <v>21400</v>
      </c>
      <c r="J2607" s="41" t="s">
        <v>21401</v>
      </c>
      <c r="K2607" s="41" t="s">
        <v>21402</v>
      </c>
      <c r="L2607" s="41" t="s">
        <v>1076</v>
      </c>
    </row>
    <row r="2608" spans="1:19" x14ac:dyDescent="0.25">
      <c r="A2608" s="41" t="s">
        <v>23</v>
      </c>
      <c r="B2608" s="41" t="s">
        <v>21403</v>
      </c>
      <c r="D2608" s="41" t="s">
        <v>21404</v>
      </c>
      <c r="F2608" s="41" t="s">
        <v>21405</v>
      </c>
      <c r="G2608" s="41" t="s">
        <v>21406</v>
      </c>
      <c r="H2608" s="41" t="s">
        <v>21407</v>
      </c>
      <c r="I2608" s="41" t="s">
        <v>21408</v>
      </c>
      <c r="J2608" s="41" t="s">
        <v>21409</v>
      </c>
      <c r="K2608" s="41" t="s">
        <v>21410</v>
      </c>
      <c r="L2608" s="41" t="s">
        <v>1085</v>
      </c>
    </row>
    <row r="2609" spans="1:19" x14ac:dyDescent="0.25">
      <c r="A2609" s="41" t="s">
        <v>23</v>
      </c>
      <c r="B2609" s="41" t="s">
        <v>21411</v>
      </c>
      <c r="D2609" s="41" t="s">
        <v>21412</v>
      </c>
      <c r="F2609" s="41" t="s">
        <v>21413</v>
      </c>
      <c r="G2609" s="41" t="s">
        <v>21414</v>
      </c>
      <c r="H2609" s="41" t="s">
        <v>21415</v>
      </c>
      <c r="I2609" s="41" t="s">
        <v>21416</v>
      </c>
      <c r="J2609" s="41" t="s">
        <v>21417</v>
      </c>
      <c r="K2609" s="41" t="s">
        <v>21418</v>
      </c>
      <c r="L2609" s="41" t="s">
        <v>1094</v>
      </c>
    </row>
    <row r="2610" spans="1:19" x14ac:dyDescent="0.25">
      <c r="A2610" s="41" t="s">
        <v>908</v>
      </c>
      <c r="B2610" s="41" t="s">
        <v>21419</v>
      </c>
    </row>
    <row r="2611" spans="1:19" x14ac:dyDescent="0.25">
      <c r="A2611" s="41" t="s">
        <v>23</v>
      </c>
      <c r="B2611" s="41" t="s">
        <v>21420</v>
      </c>
      <c r="F2611" s="41" t="s">
        <v>21421</v>
      </c>
      <c r="G2611" s="41" t="s">
        <v>21422</v>
      </c>
      <c r="H2611" s="41" t="s">
        <v>21423</v>
      </c>
      <c r="I2611" s="41" t="s">
        <v>21424</v>
      </c>
      <c r="J2611" s="41" t="s">
        <v>21425</v>
      </c>
      <c r="L2611" s="41" t="s">
        <v>4</v>
      </c>
    </row>
    <row r="2612" spans="1:19" x14ac:dyDescent="0.25">
      <c r="A2612" s="41" t="s">
        <v>23</v>
      </c>
      <c r="B2612" s="41" t="s">
        <v>21426</v>
      </c>
      <c r="D2612" s="41" t="s">
        <v>21259</v>
      </c>
      <c r="E2612" s="41" t="s">
        <v>21428</v>
      </c>
      <c r="F2612" s="41" t="s">
        <v>21429</v>
      </c>
      <c r="G2612" s="41" t="s">
        <v>21430</v>
      </c>
      <c r="H2612" s="41" t="s">
        <v>21431</v>
      </c>
      <c r="I2612" s="41" t="s">
        <v>21432</v>
      </c>
      <c r="J2612" s="41" t="s">
        <v>21433</v>
      </c>
      <c r="K2612" s="41" t="s">
        <v>21434</v>
      </c>
      <c r="L2612" s="41" t="s">
        <v>21435</v>
      </c>
      <c r="M2612" s="41" t="s">
        <v>21436</v>
      </c>
      <c r="N2612" s="41" t="s">
        <v>21437</v>
      </c>
      <c r="O2612" s="41" t="s">
        <v>21438</v>
      </c>
      <c r="P2612" s="41" t="s">
        <v>21439</v>
      </c>
      <c r="Q2612" s="41" t="s">
        <v>21440</v>
      </c>
      <c r="R2612" s="41" t="s">
        <v>21441</v>
      </c>
      <c r="S2612" s="41" t="s">
        <v>21442</v>
      </c>
    </row>
    <row r="2613" spans="1:19" x14ac:dyDescent="0.25">
      <c r="A2613" s="41" t="s">
        <v>23</v>
      </c>
      <c r="B2613" s="41" t="s">
        <v>21443</v>
      </c>
      <c r="D2613" s="41" t="s">
        <v>21444</v>
      </c>
      <c r="F2613" s="41" t="s">
        <v>21445</v>
      </c>
      <c r="G2613" s="41" t="s">
        <v>21446</v>
      </c>
      <c r="H2613" s="41" t="s">
        <v>21447</v>
      </c>
      <c r="I2613" s="41" t="s">
        <v>21448</v>
      </c>
      <c r="J2613" s="41" t="s">
        <v>21449</v>
      </c>
      <c r="K2613" s="41" t="s">
        <v>21450</v>
      </c>
      <c r="L2613" s="41" t="s">
        <v>891</v>
      </c>
    </row>
    <row r="2614" spans="1:19" x14ac:dyDescent="0.25">
      <c r="A2614" s="41" t="s">
        <v>23</v>
      </c>
      <c r="B2614" s="41" t="s">
        <v>21451</v>
      </c>
      <c r="D2614" s="41" t="s">
        <v>21452</v>
      </c>
      <c r="F2614" s="41" t="s">
        <v>21453</v>
      </c>
      <c r="G2614" s="41" t="s">
        <v>21454</v>
      </c>
      <c r="H2614" s="41" t="s">
        <v>21455</v>
      </c>
      <c r="I2614" s="41" t="s">
        <v>21456</v>
      </c>
      <c r="J2614" s="41" t="s">
        <v>21457</v>
      </c>
      <c r="K2614" s="41" t="s">
        <v>21458</v>
      </c>
      <c r="L2614" s="41" t="s">
        <v>1076</v>
      </c>
    </row>
    <row r="2615" spans="1:19" x14ac:dyDescent="0.25">
      <c r="A2615" s="41" t="s">
        <v>23</v>
      </c>
      <c r="B2615" s="41" t="s">
        <v>21459</v>
      </c>
      <c r="D2615" s="41" t="s">
        <v>21460</v>
      </c>
      <c r="F2615" s="41" t="s">
        <v>21461</v>
      </c>
      <c r="G2615" s="41" t="s">
        <v>21462</v>
      </c>
      <c r="H2615" s="41" t="s">
        <v>21463</v>
      </c>
      <c r="I2615" s="41" t="s">
        <v>21464</v>
      </c>
      <c r="J2615" s="41" t="s">
        <v>21465</v>
      </c>
      <c r="K2615" s="41" t="s">
        <v>21466</v>
      </c>
      <c r="L2615" s="41" t="s">
        <v>1085</v>
      </c>
    </row>
    <row r="2616" spans="1:19" x14ac:dyDescent="0.25">
      <c r="A2616" s="41" t="s">
        <v>23</v>
      </c>
      <c r="B2616" s="41" t="s">
        <v>21467</v>
      </c>
      <c r="D2616" s="41" t="s">
        <v>21468</v>
      </c>
      <c r="F2616" s="41" t="s">
        <v>21469</v>
      </c>
      <c r="G2616" s="41" t="s">
        <v>21470</v>
      </c>
      <c r="H2616" s="41" t="s">
        <v>21471</v>
      </c>
      <c r="I2616" s="41" t="s">
        <v>21472</v>
      </c>
      <c r="J2616" s="41" t="s">
        <v>21473</v>
      </c>
      <c r="K2616" s="41" t="s">
        <v>21474</v>
      </c>
      <c r="L2616" s="41" t="s">
        <v>1094</v>
      </c>
    </row>
    <row r="2617" spans="1:19" x14ac:dyDescent="0.25">
      <c r="A2617" s="41" t="s">
        <v>908</v>
      </c>
      <c r="B2617" s="41" t="s">
        <v>21475</v>
      </c>
    </row>
    <row r="2618" spans="1:19" x14ac:dyDescent="0.25">
      <c r="A2618" s="41" t="s">
        <v>23</v>
      </c>
      <c r="B2618" s="41" t="s">
        <v>21476</v>
      </c>
      <c r="F2618" s="41" t="s">
        <v>21477</v>
      </c>
      <c r="G2618" s="41" t="s">
        <v>21478</v>
      </c>
      <c r="H2618" s="41" t="s">
        <v>21479</v>
      </c>
      <c r="I2618" s="41" t="s">
        <v>21480</v>
      </c>
      <c r="J2618" s="41" t="s">
        <v>21481</v>
      </c>
      <c r="L2618" s="41" t="s">
        <v>4</v>
      </c>
    </row>
    <row r="2619" spans="1:19" x14ac:dyDescent="0.25">
      <c r="A2619" s="41" t="s">
        <v>23</v>
      </c>
      <c r="B2619" s="41" t="s">
        <v>21482</v>
      </c>
      <c r="D2619" s="41" t="s">
        <v>21315</v>
      </c>
      <c r="E2619" s="41" t="s">
        <v>21484</v>
      </c>
      <c r="F2619" s="41" t="s">
        <v>21485</v>
      </c>
      <c r="G2619" s="41" t="s">
        <v>21486</v>
      </c>
      <c r="H2619" s="41" t="s">
        <v>21487</v>
      </c>
      <c r="I2619" s="41" t="s">
        <v>21488</v>
      </c>
      <c r="J2619" s="41" t="s">
        <v>21489</v>
      </c>
      <c r="K2619" s="41" t="s">
        <v>21490</v>
      </c>
      <c r="L2619" s="41" t="s">
        <v>21491</v>
      </c>
      <c r="M2619" s="41" t="s">
        <v>21492</v>
      </c>
      <c r="N2619" s="41" t="s">
        <v>21493</v>
      </c>
      <c r="O2619" s="41" t="s">
        <v>21494</v>
      </c>
      <c r="P2619" s="41" t="s">
        <v>21495</v>
      </c>
      <c r="Q2619" s="41" t="s">
        <v>21496</v>
      </c>
      <c r="R2619" s="41" t="s">
        <v>21497</v>
      </c>
      <c r="S2619" s="41" t="s">
        <v>21498</v>
      </c>
    </row>
    <row r="2620" spans="1:19" x14ac:dyDescent="0.25">
      <c r="A2620" s="41" t="s">
        <v>23</v>
      </c>
      <c r="B2620" s="41" t="s">
        <v>21499</v>
      </c>
      <c r="D2620" s="41" t="s">
        <v>21500</v>
      </c>
      <c r="F2620" s="41" t="s">
        <v>21501</v>
      </c>
      <c r="G2620" s="41" t="s">
        <v>21502</v>
      </c>
      <c r="H2620" s="41" t="s">
        <v>21503</v>
      </c>
      <c r="I2620" s="41" t="s">
        <v>21504</v>
      </c>
      <c r="J2620" s="41" t="s">
        <v>21505</v>
      </c>
      <c r="K2620" s="41" t="s">
        <v>21506</v>
      </c>
      <c r="L2620" s="41" t="s">
        <v>891</v>
      </c>
    </row>
    <row r="2621" spans="1:19" x14ac:dyDescent="0.25">
      <c r="A2621" s="41" t="s">
        <v>23</v>
      </c>
      <c r="B2621" s="41" t="s">
        <v>21507</v>
      </c>
      <c r="D2621" s="41" t="s">
        <v>21508</v>
      </c>
      <c r="F2621" s="41" t="s">
        <v>21509</v>
      </c>
      <c r="G2621" s="41" t="s">
        <v>21510</v>
      </c>
      <c r="H2621" s="41" t="s">
        <v>21511</v>
      </c>
      <c r="I2621" s="41" t="s">
        <v>21512</v>
      </c>
      <c r="J2621" s="41" t="s">
        <v>21513</v>
      </c>
      <c r="K2621" s="41" t="s">
        <v>21514</v>
      </c>
      <c r="L2621" s="41" t="s">
        <v>1076</v>
      </c>
    </row>
    <row r="2622" spans="1:19" x14ac:dyDescent="0.25">
      <c r="A2622" s="41" t="s">
        <v>23</v>
      </c>
      <c r="B2622" s="41" t="s">
        <v>21515</v>
      </c>
      <c r="D2622" s="41" t="s">
        <v>21516</v>
      </c>
      <c r="F2622" s="41" t="s">
        <v>21517</v>
      </c>
      <c r="G2622" s="41" t="s">
        <v>21518</v>
      </c>
      <c r="H2622" s="41" t="s">
        <v>21519</v>
      </c>
      <c r="I2622" s="41" t="s">
        <v>21520</v>
      </c>
      <c r="J2622" s="41" t="s">
        <v>21521</v>
      </c>
      <c r="K2622" s="41" t="s">
        <v>21522</v>
      </c>
      <c r="L2622" s="41" t="s">
        <v>1085</v>
      </c>
    </row>
    <row r="2623" spans="1:19" x14ac:dyDescent="0.25">
      <c r="A2623" s="41" t="s">
        <v>23</v>
      </c>
      <c r="B2623" s="41" t="s">
        <v>21523</v>
      </c>
      <c r="D2623" s="41" t="s">
        <v>21524</v>
      </c>
      <c r="F2623" s="41" t="s">
        <v>21525</v>
      </c>
      <c r="G2623" s="41" t="s">
        <v>21526</v>
      </c>
      <c r="H2623" s="41" t="s">
        <v>21527</v>
      </c>
      <c r="I2623" s="41" t="s">
        <v>21528</v>
      </c>
      <c r="J2623" s="41" t="s">
        <v>21529</v>
      </c>
      <c r="K2623" s="41" t="s">
        <v>21530</v>
      </c>
      <c r="L2623" s="41" t="s">
        <v>1094</v>
      </c>
    </row>
    <row r="2624" spans="1:19" x14ac:dyDescent="0.25">
      <c r="A2624" s="41" t="s">
        <v>908</v>
      </c>
      <c r="B2624" s="41" t="s">
        <v>21531</v>
      </c>
    </row>
    <row r="2625" spans="1:19" x14ac:dyDescent="0.25">
      <c r="A2625" s="41" t="s">
        <v>23</v>
      </c>
      <c r="B2625" s="41" t="s">
        <v>21532</v>
      </c>
      <c r="F2625" s="41" t="s">
        <v>21533</v>
      </c>
      <c r="G2625" s="41" t="s">
        <v>21534</v>
      </c>
      <c r="H2625" s="41" t="s">
        <v>21535</v>
      </c>
      <c r="I2625" s="41" t="s">
        <v>21536</v>
      </c>
      <c r="J2625" s="41" t="s">
        <v>21537</v>
      </c>
      <c r="L2625" s="41" t="s">
        <v>4</v>
      </c>
    </row>
    <row r="2626" spans="1:19" x14ac:dyDescent="0.25">
      <c r="A2626" s="41" t="s">
        <v>23</v>
      </c>
      <c r="B2626" s="41" t="s">
        <v>21538</v>
      </c>
      <c r="D2626" s="41" t="s">
        <v>21371</v>
      </c>
      <c r="E2626" s="41" t="s">
        <v>21540</v>
      </c>
      <c r="F2626" s="41" t="s">
        <v>21541</v>
      </c>
      <c r="G2626" s="41" t="s">
        <v>21542</v>
      </c>
      <c r="H2626" s="41" t="s">
        <v>21543</v>
      </c>
      <c r="I2626" s="41" t="s">
        <v>21544</v>
      </c>
      <c r="J2626" s="41" t="s">
        <v>21545</v>
      </c>
      <c r="K2626" s="41" t="s">
        <v>21546</v>
      </c>
      <c r="L2626" s="41" t="s">
        <v>21547</v>
      </c>
      <c r="M2626" s="41" t="s">
        <v>21548</v>
      </c>
      <c r="N2626" s="41" t="s">
        <v>21549</v>
      </c>
      <c r="O2626" s="41" t="s">
        <v>21550</v>
      </c>
      <c r="P2626" s="41" t="s">
        <v>21551</v>
      </c>
      <c r="Q2626" s="41" t="s">
        <v>21552</v>
      </c>
      <c r="R2626" s="41" t="s">
        <v>21553</v>
      </c>
      <c r="S2626" s="41" t="s">
        <v>21554</v>
      </c>
    </row>
    <row r="2627" spans="1:19" x14ac:dyDescent="0.25">
      <c r="A2627" s="41" t="s">
        <v>23</v>
      </c>
      <c r="B2627" s="41" t="s">
        <v>21555</v>
      </c>
      <c r="D2627" s="41" t="s">
        <v>21556</v>
      </c>
      <c r="F2627" s="41" t="s">
        <v>21557</v>
      </c>
      <c r="G2627" s="41" t="s">
        <v>21558</v>
      </c>
      <c r="H2627" s="41" t="s">
        <v>21559</v>
      </c>
      <c r="I2627" s="41" t="s">
        <v>21560</v>
      </c>
      <c r="J2627" s="41" t="s">
        <v>21561</v>
      </c>
      <c r="K2627" s="41" t="s">
        <v>21562</v>
      </c>
      <c r="L2627" s="41" t="s">
        <v>891</v>
      </c>
    </row>
    <row r="2628" spans="1:19" x14ac:dyDescent="0.25">
      <c r="A2628" s="41" t="s">
        <v>23</v>
      </c>
      <c r="B2628" s="41" t="s">
        <v>21563</v>
      </c>
      <c r="D2628" s="41" t="s">
        <v>21564</v>
      </c>
      <c r="F2628" s="41" t="s">
        <v>21565</v>
      </c>
      <c r="G2628" s="41" t="s">
        <v>21566</v>
      </c>
      <c r="H2628" s="41" t="s">
        <v>21567</v>
      </c>
      <c r="I2628" s="41" t="s">
        <v>21568</v>
      </c>
      <c r="J2628" s="41" t="s">
        <v>21569</v>
      </c>
      <c r="K2628" s="41" t="s">
        <v>21570</v>
      </c>
      <c r="L2628" s="41" t="s">
        <v>1076</v>
      </c>
    </row>
    <row r="2629" spans="1:19" x14ac:dyDescent="0.25">
      <c r="A2629" s="41" t="s">
        <v>23</v>
      </c>
      <c r="B2629" s="41" t="s">
        <v>21571</v>
      </c>
      <c r="D2629" s="41" t="s">
        <v>21572</v>
      </c>
      <c r="F2629" s="41" t="s">
        <v>21573</v>
      </c>
      <c r="G2629" s="41" t="s">
        <v>21574</v>
      </c>
      <c r="H2629" s="41" t="s">
        <v>21575</v>
      </c>
      <c r="I2629" s="41" t="s">
        <v>21576</v>
      </c>
      <c r="J2629" s="41" t="s">
        <v>21577</v>
      </c>
      <c r="K2629" s="41" t="s">
        <v>21578</v>
      </c>
      <c r="L2629" s="41" t="s">
        <v>1085</v>
      </c>
    </row>
    <row r="2630" spans="1:19" x14ac:dyDescent="0.25">
      <c r="A2630" s="41" t="s">
        <v>23</v>
      </c>
      <c r="B2630" s="41" t="s">
        <v>21579</v>
      </c>
      <c r="D2630" s="41" t="s">
        <v>21580</v>
      </c>
      <c r="F2630" s="41" t="s">
        <v>21581</v>
      </c>
      <c r="G2630" s="41" t="s">
        <v>21582</v>
      </c>
      <c r="H2630" s="41" t="s">
        <v>21583</v>
      </c>
      <c r="I2630" s="41" t="s">
        <v>21584</v>
      </c>
      <c r="J2630" s="41" t="s">
        <v>21585</v>
      </c>
      <c r="K2630" s="41" t="s">
        <v>21586</v>
      </c>
      <c r="L2630" s="41" t="s">
        <v>1094</v>
      </c>
    </row>
    <row r="2631" spans="1:19" x14ac:dyDescent="0.25">
      <c r="A2631" s="41" t="s">
        <v>908</v>
      </c>
      <c r="B2631" s="41" t="s">
        <v>21587</v>
      </c>
    </row>
    <row r="2632" spans="1:19" x14ac:dyDescent="0.25">
      <c r="A2632" s="41" t="s">
        <v>23</v>
      </c>
      <c r="B2632" s="41" t="s">
        <v>21588</v>
      </c>
      <c r="F2632" s="41" t="s">
        <v>21589</v>
      </c>
      <c r="G2632" s="41" t="s">
        <v>21590</v>
      </c>
      <c r="H2632" s="41" t="s">
        <v>21591</v>
      </c>
      <c r="I2632" s="41" t="s">
        <v>21592</v>
      </c>
      <c r="J2632" s="41" t="s">
        <v>21593</v>
      </c>
      <c r="L2632" s="41" t="s">
        <v>4</v>
      </c>
    </row>
    <row r="2633" spans="1:19" x14ac:dyDescent="0.25">
      <c r="A2633" s="41" t="s">
        <v>23</v>
      </c>
      <c r="B2633" s="41" t="s">
        <v>21594</v>
      </c>
      <c r="D2633" s="41" t="s">
        <v>21427</v>
      </c>
      <c r="E2633" s="41" t="s">
        <v>21596</v>
      </c>
      <c r="F2633" s="41" t="s">
        <v>21597</v>
      </c>
      <c r="G2633" s="41" t="s">
        <v>21598</v>
      </c>
      <c r="H2633" s="41" t="s">
        <v>21599</v>
      </c>
      <c r="I2633" s="41" t="s">
        <v>21600</v>
      </c>
      <c r="J2633" s="41" t="s">
        <v>21601</v>
      </c>
      <c r="K2633" s="41" t="s">
        <v>21602</v>
      </c>
      <c r="L2633" s="41" t="s">
        <v>21603</v>
      </c>
      <c r="M2633" s="41" t="s">
        <v>21604</v>
      </c>
      <c r="N2633" s="41" t="s">
        <v>21605</v>
      </c>
      <c r="O2633" s="41" t="s">
        <v>21606</v>
      </c>
      <c r="P2633" s="41" t="s">
        <v>21607</v>
      </c>
      <c r="Q2633" s="41" t="s">
        <v>21608</v>
      </c>
      <c r="R2633" s="41" t="s">
        <v>21609</v>
      </c>
      <c r="S2633" s="41" t="s">
        <v>21610</v>
      </c>
    </row>
    <row r="2634" spans="1:19" x14ac:dyDescent="0.25">
      <c r="A2634" s="41" t="s">
        <v>23</v>
      </c>
      <c r="B2634" s="41" t="s">
        <v>21611</v>
      </c>
      <c r="D2634" s="41" t="s">
        <v>21612</v>
      </c>
      <c r="F2634" s="41" t="s">
        <v>21613</v>
      </c>
      <c r="G2634" s="41" t="s">
        <v>21614</v>
      </c>
      <c r="H2634" s="41" t="s">
        <v>21615</v>
      </c>
      <c r="I2634" s="41" t="s">
        <v>21616</v>
      </c>
      <c r="J2634" s="41" t="s">
        <v>21617</v>
      </c>
      <c r="K2634" s="41" t="s">
        <v>21618</v>
      </c>
      <c r="L2634" s="41" t="s">
        <v>891</v>
      </c>
    </row>
    <row r="2635" spans="1:19" x14ac:dyDescent="0.25">
      <c r="A2635" s="41" t="s">
        <v>23</v>
      </c>
      <c r="B2635" s="41" t="s">
        <v>21619</v>
      </c>
      <c r="D2635" s="41" t="s">
        <v>21620</v>
      </c>
      <c r="F2635" s="41" t="s">
        <v>21621</v>
      </c>
      <c r="G2635" s="41" t="s">
        <v>21622</v>
      </c>
      <c r="H2635" s="41" t="s">
        <v>21623</v>
      </c>
      <c r="I2635" s="41" t="s">
        <v>21624</v>
      </c>
      <c r="J2635" s="41" t="s">
        <v>21625</v>
      </c>
      <c r="K2635" s="41" t="s">
        <v>21626</v>
      </c>
      <c r="L2635" s="41" t="s">
        <v>1076</v>
      </c>
    </row>
    <row r="2636" spans="1:19" x14ac:dyDescent="0.25">
      <c r="A2636" s="41" t="s">
        <v>23</v>
      </c>
      <c r="B2636" s="41" t="s">
        <v>21627</v>
      </c>
      <c r="D2636" s="41" t="s">
        <v>21628</v>
      </c>
      <c r="F2636" s="41" t="s">
        <v>21629</v>
      </c>
      <c r="G2636" s="41" t="s">
        <v>21630</v>
      </c>
      <c r="H2636" s="41" t="s">
        <v>21631</v>
      </c>
      <c r="I2636" s="41" t="s">
        <v>21632</v>
      </c>
      <c r="J2636" s="41" t="s">
        <v>21633</v>
      </c>
      <c r="K2636" s="41" t="s">
        <v>21634</v>
      </c>
      <c r="L2636" s="41" t="s">
        <v>1085</v>
      </c>
    </row>
    <row r="2637" spans="1:19" x14ac:dyDescent="0.25">
      <c r="A2637" s="41" t="s">
        <v>23</v>
      </c>
      <c r="B2637" s="41" t="s">
        <v>21635</v>
      </c>
      <c r="D2637" s="41" t="s">
        <v>21636</v>
      </c>
      <c r="F2637" s="41" t="s">
        <v>21637</v>
      </c>
      <c r="G2637" s="41" t="s">
        <v>21638</v>
      </c>
      <c r="H2637" s="41" t="s">
        <v>21639</v>
      </c>
      <c r="I2637" s="41" t="s">
        <v>21640</v>
      </c>
      <c r="J2637" s="41" t="s">
        <v>21641</v>
      </c>
      <c r="K2637" s="41" t="s">
        <v>21642</v>
      </c>
      <c r="L2637" s="41" t="s">
        <v>1094</v>
      </c>
    </row>
    <row r="2638" spans="1:19" x14ac:dyDescent="0.25">
      <c r="A2638" s="41" t="s">
        <v>908</v>
      </c>
      <c r="B2638" s="41" t="s">
        <v>21643</v>
      </c>
    </row>
    <row r="2639" spans="1:19" x14ac:dyDescent="0.25">
      <c r="A2639" s="41" t="s">
        <v>23</v>
      </c>
      <c r="B2639" s="41" t="s">
        <v>21644</v>
      </c>
      <c r="F2639" s="41" t="s">
        <v>21645</v>
      </c>
      <c r="G2639" s="41" t="s">
        <v>21646</v>
      </c>
      <c r="H2639" s="41" t="s">
        <v>21647</v>
      </c>
      <c r="I2639" s="41" t="s">
        <v>21648</v>
      </c>
      <c r="J2639" s="41" t="s">
        <v>21649</v>
      </c>
      <c r="L2639" s="41" t="s">
        <v>4</v>
      </c>
    </row>
    <row r="2640" spans="1:19" x14ac:dyDescent="0.25">
      <c r="A2640" s="41" t="s">
        <v>23</v>
      </c>
      <c r="B2640" s="41" t="s">
        <v>21650</v>
      </c>
      <c r="D2640" s="41" t="s">
        <v>21483</v>
      </c>
      <c r="E2640" s="41" t="s">
        <v>21652</v>
      </c>
      <c r="F2640" s="41" t="s">
        <v>21653</v>
      </c>
      <c r="G2640" s="41" t="s">
        <v>21654</v>
      </c>
      <c r="H2640" s="41" t="s">
        <v>21655</v>
      </c>
      <c r="I2640" s="41" t="s">
        <v>21656</v>
      </c>
      <c r="J2640" s="41" t="s">
        <v>21657</v>
      </c>
      <c r="K2640" s="41" t="s">
        <v>21658</v>
      </c>
      <c r="L2640" s="41" t="s">
        <v>21659</v>
      </c>
      <c r="M2640" s="41" t="s">
        <v>21660</v>
      </c>
      <c r="N2640" s="41" t="s">
        <v>21661</v>
      </c>
      <c r="O2640" s="41" t="s">
        <v>21662</v>
      </c>
      <c r="P2640" s="41" t="s">
        <v>21663</v>
      </c>
      <c r="Q2640" s="41" t="s">
        <v>21664</v>
      </c>
      <c r="R2640" s="41" t="s">
        <v>21665</v>
      </c>
      <c r="S2640" s="41" t="s">
        <v>21666</v>
      </c>
    </row>
    <row r="2641" spans="1:19" x14ac:dyDescent="0.25">
      <c r="A2641" s="41" t="s">
        <v>23</v>
      </c>
      <c r="B2641" s="41" t="s">
        <v>21667</v>
      </c>
      <c r="D2641" s="41" t="s">
        <v>21668</v>
      </c>
      <c r="F2641" s="41" t="s">
        <v>21669</v>
      </c>
      <c r="G2641" s="41" t="s">
        <v>21670</v>
      </c>
      <c r="H2641" s="41" t="s">
        <v>21671</v>
      </c>
      <c r="I2641" s="41" t="s">
        <v>21672</v>
      </c>
      <c r="J2641" s="41" t="s">
        <v>21673</v>
      </c>
      <c r="K2641" s="41" t="s">
        <v>21674</v>
      </c>
      <c r="L2641" s="41" t="s">
        <v>891</v>
      </c>
    </row>
    <row r="2642" spans="1:19" x14ac:dyDescent="0.25">
      <c r="A2642" s="41" t="s">
        <v>23</v>
      </c>
      <c r="B2642" s="41" t="s">
        <v>21675</v>
      </c>
      <c r="D2642" s="41" t="s">
        <v>21676</v>
      </c>
      <c r="F2642" s="41" t="s">
        <v>21677</v>
      </c>
      <c r="G2642" s="41" t="s">
        <v>21678</v>
      </c>
      <c r="H2642" s="41" t="s">
        <v>21679</v>
      </c>
      <c r="I2642" s="41" t="s">
        <v>21680</v>
      </c>
      <c r="J2642" s="41" t="s">
        <v>21681</v>
      </c>
      <c r="K2642" s="41" t="s">
        <v>21682</v>
      </c>
      <c r="L2642" s="41" t="s">
        <v>1076</v>
      </c>
    </row>
    <row r="2643" spans="1:19" x14ac:dyDescent="0.25">
      <c r="A2643" s="41" t="s">
        <v>23</v>
      </c>
      <c r="B2643" s="41" t="s">
        <v>21683</v>
      </c>
      <c r="D2643" s="41" t="s">
        <v>21684</v>
      </c>
      <c r="F2643" s="41" t="s">
        <v>21685</v>
      </c>
      <c r="G2643" s="41" t="s">
        <v>21686</v>
      </c>
      <c r="H2643" s="41" t="s">
        <v>21687</v>
      </c>
      <c r="I2643" s="41" t="s">
        <v>21688</v>
      </c>
      <c r="J2643" s="41" t="s">
        <v>21689</v>
      </c>
      <c r="K2643" s="41" t="s">
        <v>21690</v>
      </c>
      <c r="L2643" s="41" t="s">
        <v>1085</v>
      </c>
    </row>
    <row r="2644" spans="1:19" x14ac:dyDescent="0.25">
      <c r="A2644" s="41" t="s">
        <v>23</v>
      </c>
      <c r="B2644" s="41" t="s">
        <v>21691</v>
      </c>
      <c r="D2644" s="41" t="s">
        <v>21692</v>
      </c>
      <c r="F2644" s="41" t="s">
        <v>21693</v>
      </c>
      <c r="G2644" s="41" t="s">
        <v>21694</v>
      </c>
      <c r="H2644" s="41" t="s">
        <v>21695</v>
      </c>
      <c r="I2644" s="41" t="s">
        <v>21696</v>
      </c>
      <c r="J2644" s="41" t="s">
        <v>21697</v>
      </c>
      <c r="K2644" s="41" t="s">
        <v>21698</v>
      </c>
      <c r="L2644" s="41" t="s">
        <v>1094</v>
      </c>
    </row>
    <row r="2645" spans="1:19" x14ac:dyDescent="0.25">
      <c r="A2645" s="41" t="s">
        <v>908</v>
      </c>
      <c r="B2645" s="41" t="s">
        <v>21699</v>
      </c>
    </row>
    <row r="2646" spans="1:19" x14ac:dyDescent="0.25">
      <c r="A2646" s="41" t="s">
        <v>23</v>
      </c>
      <c r="B2646" s="41" t="s">
        <v>21700</v>
      </c>
      <c r="F2646" s="41" t="s">
        <v>21701</v>
      </c>
      <c r="G2646" s="41" t="s">
        <v>21702</v>
      </c>
      <c r="H2646" s="41" t="s">
        <v>21703</v>
      </c>
      <c r="I2646" s="41" t="s">
        <v>21704</v>
      </c>
      <c r="J2646" s="41" t="s">
        <v>21705</v>
      </c>
      <c r="L2646" s="41" t="s">
        <v>4</v>
      </c>
    </row>
    <row r="2647" spans="1:19" x14ac:dyDescent="0.25">
      <c r="A2647" s="41" t="s">
        <v>23</v>
      </c>
      <c r="B2647" s="41" t="s">
        <v>21706</v>
      </c>
      <c r="D2647" s="41" t="s">
        <v>21539</v>
      </c>
      <c r="E2647" s="41" t="s">
        <v>21708</v>
      </c>
      <c r="F2647" s="41" t="s">
        <v>21709</v>
      </c>
      <c r="G2647" s="41" t="s">
        <v>21710</v>
      </c>
      <c r="H2647" s="41" t="s">
        <v>21711</v>
      </c>
      <c r="I2647" s="41" t="s">
        <v>21712</v>
      </c>
      <c r="J2647" s="41" t="s">
        <v>21713</v>
      </c>
      <c r="K2647" s="41" t="s">
        <v>21714</v>
      </c>
      <c r="L2647" s="41" t="s">
        <v>21715</v>
      </c>
      <c r="M2647" s="41" t="s">
        <v>21716</v>
      </c>
      <c r="N2647" s="41" t="s">
        <v>21717</v>
      </c>
      <c r="O2647" s="41" t="s">
        <v>21718</v>
      </c>
      <c r="P2647" s="41" t="s">
        <v>21719</v>
      </c>
      <c r="Q2647" s="41" t="s">
        <v>21720</v>
      </c>
      <c r="R2647" s="41" t="s">
        <v>21721</v>
      </c>
      <c r="S2647" s="41" t="s">
        <v>21722</v>
      </c>
    </row>
    <row r="2648" spans="1:19" x14ac:dyDescent="0.25">
      <c r="A2648" s="41" t="s">
        <v>23</v>
      </c>
      <c r="B2648" s="41" t="s">
        <v>21723</v>
      </c>
      <c r="D2648" s="41" t="s">
        <v>21724</v>
      </c>
      <c r="F2648" s="41" t="s">
        <v>21725</v>
      </c>
      <c r="G2648" s="41" t="s">
        <v>21726</v>
      </c>
      <c r="H2648" s="41" t="s">
        <v>21727</v>
      </c>
      <c r="I2648" s="41" t="s">
        <v>21728</v>
      </c>
      <c r="J2648" s="41" t="s">
        <v>21729</v>
      </c>
      <c r="K2648" s="41" t="s">
        <v>21730</v>
      </c>
      <c r="L2648" s="41" t="s">
        <v>891</v>
      </c>
    </row>
    <row r="2649" spans="1:19" x14ac:dyDescent="0.25">
      <c r="A2649" s="41" t="s">
        <v>23</v>
      </c>
      <c r="B2649" s="41" t="s">
        <v>21731</v>
      </c>
      <c r="D2649" s="41" t="s">
        <v>21732</v>
      </c>
      <c r="F2649" s="41" t="s">
        <v>21733</v>
      </c>
      <c r="G2649" s="41" t="s">
        <v>21734</v>
      </c>
      <c r="H2649" s="41" t="s">
        <v>21735</v>
      </c>
      <c r="I2649" s="41" t="s">
        <v>21736</v>
      </c>
      <c r="J2649" s="41" t="s">
        <v>21737</v>
      </c>
      <c r="K2649" s="41" t="s">
        <v>21738</v>
      </c>
      <c r="L2649" s="41" t="s">
        <v>1076</v>
      </c>
    </row>
    <row r="2650" spans="1:19" x14ac:dyDescent="0.25">
      <c r="A2650" s="41" t="s">
        <v>23</v>
      </c>
      <c r="B2650" s="41" t="s">
        <v>21739</v>
      </c>
      <c r="D2650" s="41" t="s">
        <v>21740</v>
      </c>
      <c r="F2650" s="41" t="s">
        <v>21741</v>
      </c>
      <c r="G2650" s="41" t="s">
        <v>21742</v>
      </c>
      <c r="H2650" s="41" t="s">
        <v>21743</v>
      </c>
      <c r="I2650" s="41" t="s">
        <v>21744</v>
      </c>
      <c r="J2650" s="41" t="s">
        <v>21745</v>
      </c>
      <c r="K2650" s="41" t="s">
        <v>21746</v>
      </c>
      <c r="L2650" s="41" t="s">
        <v>1085</v>
      </c>
    </row>
    <row r="2651" spans="1:19" x14ac:dyDescent="0.25">
      <c r="A2651" s="41" t="s">
        <v>23</v>
      </c>
      <c r="B2651" s="41" t="s">
        <v>21747</v>
      </c>
      <c r="D2651" s="41" t="s">
        <v>21748</v>
      </c>
      <c r="F2651" s="41" t="s">
        <v>21749</v>
      </c>
      <c r="G2651" s="41" t="s">
        <v>21750</v>
      </c>
      <c r="H2651" s="41" t="s">
        <v>21751</v>
      </c>
      <c r="I2651" s="41" t="s">
        <v>21752</v>
      </c>
      <c r="J2651" s="41" t="s">
        <v>21753</v>
      </c>
      <c r="K2651" s="41" t="s">
        <v>21754</v>
      </c>
      <c r="L2651" s="41" t="s">
        <v>1094</v>
      </c>
    </row>
    <row r="2652" spans="1:19" x14ac:dyDescent="0.25">
      <c r="A2652" s="41" t="s">
        <v>908</v>
      </c>
      <c r="B2652" s="41" t="s">
        <v>21755</v>
      </c>
    </row>
    <row r="2653" spans="1:19" x14ac:dyDescent="0.25">
      <c r="A2653" s="41" t="s">
        <v>23</v>
      </c>
      <c r="B2653" s="41" t="s">
        <v>21756</v>
      </c>
      <c r="F2653" s="41" t="s">
        <v>21757</v>
      </c>
      <c r="G2653" s="41" t="s">
        <v>21758</v>
      </c>
      <c r="H2653" s="41" t="s">
        <v>21759</v>
      </c>
      <c r="I2653" s="41" t="s">
        <v>21760</v>
      </c>
      <c r="J2653" s="41" t="s">
        <v>21761</v>
      </c>
      <c r="L2653" s="41" t="s">
        <v>4</v>
      </c>
    </row>
    <row r="2654" spans="1:19" x14ac:dyDescent="0.25">
      <c r="A2654" s="41" t="s">
        <v>23</v>
      </c>
      <c r="B2654" s="41" t="s">
        <v>21762</v>
      </c>
      <c r="D2654" s="41" t="s">
        <v>21595</v>
      </c>
      <c r="E2654" s="41" t="s">
        <v>21764</v>
      </c>
      <c r="F2654" s="41" t="s">
        <v>21765</v>
      </c>
      <c r="G2654" s="41" t="s">
        <v>21766</v>
      </c>
      <c r="H2654" s="41" t="s">
        <v>21767</v>
      </c>
      <c r="I2654" s="41" t="s">
        <v>21768</v>
      </c>
      <c r="J2654" s="41" t="s">
        <v>21769</v>
      </c>
      <c r="K2654" s="41" t="s">
        <v>21770</v>
      </c>
      <c r="L2654" s="41" t="s">
        <v>21771</v>
      </c>
      <c r="M2654" s="41" t="s">
        <v>21772</v>
      </c>
      <c r="N2654" s="41" t="s">
        <v>21773</v>
      </c>
      <c r="O2654" s="41" t="s">
        <v>21774</v>
      </c>
      <c r="P2654" s="41" t="s">
        <v>21775</v>
      </c>
      <c r="Q2654" s="41" t="s">
        <v>21776</v>
      </c>
      <c r="R2654" s="41" t="s">
        <v>21777</v>
      </c>
      <c r="S2654" s="41" t="s">
        <v>21778</v>
      </c>
    </row>
    <row r="2655" spans="1:19" x14ac:dyDescent="0.25">
      <c r="A2655" s="41" t="s">
        <v>23</v>
      </c>
      <c r="B2655" s="41" t="s">
        <v>21779</v>
      </c>
      <c r="D2655" s="41" t="s">
        <v>21780</v>
      </c>
      <c r="F2655" s="41" t="s">
        <v>21781</v>
      </c>
      <c r="G2655" s="41" t="s">
        <v>21782</v>
      </c>
      <c r="H2655" s="41" t="s">
        <v>21783</v>
      </c>
      <c r="I2655" s="41" t="s">
        <v>21784</v>
      </c>
      <c r="J2655" s="41" t="s">
        <v>21785</v>
      </c>
      <c r="K2655" s="41" t="s">
        <v>21786</v>
      </c>
      <c r="L2655" s="41" t="s">
        <v>891</v>
      </c>
    </row>
    <row r="2656" spans="1:19" x14ac:dyDescent="0.25">
      <c r="A2656" s="41" t="s">
        <v>23</v>
      </c>
      <c r="B2656" s="41" t="s">
        <v>21787</v>
      </c>
      <c r="D2656" s="41" t="s">
        <v>21788</v>
      </c>
      <c r="F2656" s="41" t="s">
        <v>21789</v>
      </c>
      <c r="G2656" s="41" t="s">
        <v>21790</v>
      </c>
      <c r="H2656" s="41" t="s">
        <v>21791</v>
      </c>
      <c r="I2656" s="41" t="s">
        <v>21792</v>
      </c>
      <c r="J2656" s="41" t="s">
        <v>21793</v>
      </c>
      <c r="K2656" s="41" t="s">
        <v>21794</v>
      </c>
      <c r="L2656" s="41" t="s">
        <v>1076</v>
      </c>
    </row>
    <row r="2657" spans="1:19" x14ac:dyDescent="0.25">
      <c r="A2657" s="41" t="s">
        <v>23</v>
      </c>
      <c r="B2657" s="41" t="s">
        <v>21795</v>
      </c>
      <c r="D2657" s="41" t="s">
        <v>21796</v>
      </c>
      <c r="F2657" s="41" t="s">
        <v>21797</v>
      </c>
      <c r="G2657" s="41" t="s">
        <v>21798</v>
      </c>
      <c r="H2657" s="41" t="s">
        <v>21799</v>
      </c>
      <c r="I2657" s="41" t="s">
        <v>21800</v>
      </c>
      <c r="J2657" s="41" t="s">
        <v>21801</v>
      </c>
      <c r="K2657" s="41" t="s">
        <v>21802</v>
      </c>
      <c r="L2657" s="41" t="s">
        <v>1085</v>
      </c>
    </row>
    <row r="2658" spans="1:19" x14ac:dyDescent="0.25">
      <c r="A2658" s="41" t="s">
        <v>23</v>
      </c>
      <c r="B2658" s="41" t="s">
        <v>21803</v>
      </c>
      <c r="D2658" s="41" t="s">
        <v>21804</v>
      </c>
      <c r="F2658" s="41" t="s">
        <v>21805</v>
      </c>
      <c r="G2658" s="41" t="s">
        <v>21806</v>
      </c>
      <c r="H2658" s="41" t="s">
        <v>21807</v>
      </c>
      <c r="I2658" s="41" t="s">
        <v>21808</v>
      </c>
      <c r="J2658" s="41" t="s">
        <v>21809</v>
      </c>
      <c r="K2658" s="41" t="s">
        <v>21810</v>
      </c>
      <c r="L2658" s="41" t="s">
        <v>1094</v>
      </c>
    </row>
    <row r="2659" spans="1:19" x14ac:dyDescent="0.25">
      <c r="A2659" s="41" t="s">
        <v>908</v>
      </c>
      <c r="B2659" s="41" t="s">
        <v>21811</v>
      </c>
    </row>
    <row r="2660" spans="1:19" x14ac:dyDescent="0.25">
      <c r="A2660" s="41" t="s">
        <v>23</v>
      </c>
      <c r="B2660" s="41" t="s">
        <v>21812</v>
      </c>
      <c r="F2660" s="41" t="s">
        <v>21813</v>
      </c>
      <c r="G2660" s="41" t="s">
        <v>21814</v>
      </c>
      <c r="H2660" s="41" t="s">
        <v>21815</v>
      </c>
      <c r="I2660" s="41" t="s">
        <v>21816</v>
      </c>
      <c r="J2660" s="41" t="s">
        <v>21817</v>
      </c>
      <c r="L2660" s="41" t="s">
        <v>4</v>
      </c>
    </row>
    <row r="2661" spans="1:19" x14ac:dyDescent="0.25">
      <c r="A2661" s="41" t="s">
        <v>23</v>
      </c>
      <c r="B2661" s="41" t="s">
        <v>21818</v>
      </c>
      <c r="D2661" s="41" t="s">
        <v>21651</v>
      </c>
      <c r="E2661" s="41" t="s">
        <v>21820</v>
      </c>
      <c r="F2661" s="41" t="s">
        <v>21821</v>
      </c>
      <c r="G2661" s="41" t="s">
        <v>21822</v>
      </c>
      <c r="H2661" s="41" t="s">
        <v>21823</v>
      </c>
      <c r="I2661" s="41" t="s">
        <v>21824</v>
      </c>
      <c r="J2661" s="41" t="s">
        <v>21825</v>
      </c>
      <c r="K2661" s="41" t="s">
        <v>21826</v>
      </c>
      <c r="L2661" s="41" t="s">
        <v>21827</v>
      </c>
      <c r="M2661" s="41" t="s">
        <v>21828</v>
      </c>
      <c r="N2661" s="41" t="s">
        <v>21829</v>
      </c>
      <c r="O2661" s="41" t="s">
        <v>21830</v>
      </c>
      <c r="P2661" s="41" t="s">
        <v>21831</v>
      </c>
      <c r="Q2661" s="41" t="s">
        <v>21832</v>
      </c>
      <c r="R2661" s="41" t="s">
        <v>21833</v>
      </c>
      <c r="S2661" s="41" t="s">
        <v>21834</v>
      </c>
    </row>
    <row r="2662" spans="1:19" x14ac:dyDescent="0.25">
      <c r="A2662" s="41" t="s">
        <v>23</v>
      </c>
      <c r="B2662" s="41" t="s">
        <v>21835</v>
      </c>
      <c r="D2662" s="41" t="s">
        <v>21836</v>
      </c>
      <c r="F2662" s="41" t="s">
        <v>21837</v>
      </c>
      <c r="G2662" s="41" t="s">
        <v>21838</v>
      </c>
      <c r="H2662" s="41" t="s">
        <v>21839</v>
      </c>
      <c r="I2662" s="41" t="s">
        <v>21840</v>
      </c>
      <c r="J2662" s="41" t="s">
        <v>21841</v>
      </c>
      <c r="K2662" s="41" t="s">
        <v>21842</v>
      </c>
      <c r="L2662" s="41" t="s">
        <v>891</v>
      </c>
    </row>
    <row r="2663" spans="1:19" x14ac:dyDescent="0.25">
      <c r="A2663" s="41" t="s">
        <v>23</v>
      </c>
      <c r="B2663" s="41" t="s">
        <v>21843</v>
      </c>
      <c r="D2663" s="41" t="s">
        <v>21844</v>
      </c>
      <c r="F2663" s="41" t="s">
        <v>21845</v>
      </c>
      <c r="G2663" s="41" t="s">
        <v>21846</v>
      </c>
      <c r="H2663" s="41" t="s">
        <v>21847</v>
      </c>
      <c r="I2663" s="41" t="s">
        <v>21848</v>
      </c>
      <c r="J2663" s="41" t="s">
        <v>21849</v>
      </c>
      <c r="K2663" s="41" t="s">
        <v>21850</v>
      </c>
      <c r="L2663" s="41" t="s">
        <v>1076</v>
      </c>
    </row>
    <row r="2664" spans="1:19" x14ac:dyDescent="0.25">
      <c r="A2664" s="41" t="s">
        <v>23</v>
      </c>
      <c r="B2664" s="41" t="s">
        <v>21851</v>
      </c>
      <c r="D2664" s="41" t="s">
        <v>21852</v>
      </c>
      <c r="F2664" s="41" t="s">
        <v>21853</v>
      </c>
      <c r="G2664" s="41" t="s">
        <v>21854</v>
      </c>
      <c r="H2664" s="41" t="s">
        <v>21855</v>
      </c>
      <c r="I2664" s="41" t="s">
        <v>21856</v>
      </c>
      <c r="J2664" s="41" t="s">
        <v>21857</v>
      </c>
      <c r="K2664" s="41" t="s">
        <v>21858</v>
      </c>
      <c r="L2664" s="41" t="s">
        <v>1085</v>
      </c>
    </row>
    <row r="2665" spans="1:19" x14ac:dyDescent="0.25">
      <c r="A2665" s="41" t="s">
        <v>23</v>
      </c>
      <c r="B2665" s="41" t="s">
        <v>21859</v>
      </c>
      <c r="D2665" s="41" t="s">
        <v>21860</v>
      </c>
      <c r="F2665" s="41" t="s">
        <v>21861</v>
      </c>
      <c r="G2665" s="41" t="s">
        <v>21862</v>
      </c>
      <c r="H2665" s="41" t="s">
        <v>21863</v>
      </c>
      <c r="I2665" s="41" t="s">
        <v>21864</v>
      </c>
      <c r="J2665" s="41" t="s">
        <v>21865</v>
      </c>
      <c r="K2665" s="41" t="s">
        <v>21866</v>
      </c>
      <c r="L2665" s="41" t="s">
        <v>1094</v>
      </c>
    </row>
    <row r="2666" spans="1:19" x14ac:dyDescent="0.25">
      <c r="A2666" s="41" t="s">
        <v>908</v>
      </c>
      <c r="B2666" s="41" t="s">
        <v>21867</v>
      </c>
    </row>
    <row r="2667" spans="1:19" x14ac:dyDescent="0.25">
      <c r="A2667" s="41" t="s">
        <v>23</v>
      </c>
      <c r="B2667" s="41" t="s">
        <v>21868</v>
      </c>
      <c r="F2667" s="41" t="s">
        <v>21869</v>
      </c>
      <c r="G2667" s="41" t="s">
        <v>21870</v>
      </c>
      <c r="H2667" s="41" t="s">
        <v>21871</v>
      </c>
      <c r="I2667" s="41" t="s">
        <v>21872</v>
      </c>
      <c r="J2667" s="41" t="s">
        <v>21873</v>
      </c>
      <c r="L2667" s="41" t="s">
        <v>4</v>
      </c>
    </row>
    <row r="2668" spans="1:19" x14ac:dyDescent="0.25">
      <c r="A2668" s="41" t="s">
        <v>23</v>
      </c>
      <c r="B2668" s="41" t="s">
        <v>21874</v>
      </c>
      <c r="D2668" s="41" t="s">
        <v>21707</v>
      </c>
      <c r="E2668" s="41" t="s">
        <v>21876</v>
      </c>
      <c r="F2668" s="41" t="s">
        <v>21877</v>
      </c>
      <c r="G2668" s="41" t="s">
        <v>21878</v>
      </c>
      <c r="H2668" s="41" t="s">
        <v>21879</v>
      </c>
      <c r="I2668" s="41" t="s">
        <v>21880</v>
      </c>
      <c r="J2668" s="41" t="s">
        <v>21881</v>
      </c>
      <c r="K2668" s="41" t="s">
        <v>21882</v>
      </c>
      <c r="L2668" s="41" t="s">
        <v>21883</v>
      </c>
      <c r="M2668" s="41" t="s">
        <v>21884</v>
      </c>
      <c r="N2668" s="41" t="s">
        <v>21885</v>
      </c>
      <c r="O2668" s="41" t="s">
        <v>21886</v>
      </c>
      <c r="P2668" s="41" t="s">
        <v>21887</v>
      </c>
      <c r="Q2668" s="41" t="s">
        <v>21888</v>
      </c>
      <c r="R2668" s="41" t="s">
        <v>21889</v>
      </c>
      <c r="S2668" s="41" t="s">
        <v>21890</v>
      </c>
    </row>
    <row r="2669" spans="1:19" x14ac:dyDescent="0.25">
      <c r="A2669" s="41" t="s">
        <v>23</v>
      </c>
      <c r="B2669" s="41" t="s">
        <v>21891</v>
      </c>
      <c r="D2669" s="41" t="s">
        <v>21892</v>
      </c>
      <c r="F2669" s="41" t="s">
        <v>21893</v>
      </c>
      <c r="G2669" s="41" t="s">
        <v>21894</v>
      </c>
      <c r="H2669" s="41" t="s">
        <v>21895</v>
      </c>
      <c r="I2669" s="41" t="s">
        <v>21896</v>
      </c>
      <c r="J2669" s="41" t="s">
        <v>21897</v>
      </c>
      <c r="K2669" s="41" t="s">
        <v>21898</v>
      </c>
      <c r="L2669" s="41" t="s">
        <v>891</v>
      </c>
    </row>
    <row r="2670" spans="1:19" x14ac:dyDescent="0.25">
      <c r="A2670" s="41" t="s">
        <v>23</v>
      </c>
      <c r="B2670" s="41" t="s">
        <v>21899</v>
      </c>
      <c r="D2670" s="41" t="s">
        <v>21900</v>
      </c>
      <c r="F2670" s="41" t="s">
        <v>21901</v>
      </c>
      <c r="G2670" s="41" t="s">
        <v>21902</v>
      </c>
      <c r="H2670" s="41" t="s">
        <v>21903</v>
      </c>
      <c r="I2670" s="41" t="s">
        <v>21904</v>
      </c>
      <c r="J2670" s="41" t="s">
        <v>21905</v>
      </c>
      <c r="K2670" s="41" t="s">
        <v>21906</v>
      </c>
      <c r="L2670" s="41" t="s">
        <v>1076</v>
      </c>
    </row>
    <row r="2671" spans="1:19" x14ac:dyDescent="0.25">
      <c r="A2671" s="41" t="s">
        <v>23</v>
      </c>
      <c r="B2671" s="41" t="s">
        <v>21907</v>
      </c>
      <c r="D2671" s="41" t="s">
        <v>21908</v>
      </c>
      <c r="F2671" s="41" t="s">
        <v>21909</v>
      </c>
      <c r="G2671" s="41" t="s">
        <v>21910</v>
      </c>
      <c r="H2671" s="41" t="s">
        <v>21911</v>
      </c>
      <c r="I2671" s="41" t="s">
        <v>21912</v>
      </c>
      <c r="J2671" s="41" t="s">
        <v>21913</v>
      </c>
      <c r="K2671" s="41" t="s">
        <v>21914</v>
      </c>
      <c r="L2671" s="41" t="s">
        <v>1085</v>
      </c>
    </row>
    <row r="2672" spans="1:19" x14ac:dyDescent="0.25">
      <c r="A2672" s="41" t="s">
        <v>23</v>
      </c>
      <c r="B2672" s="41" t="s">
        <v>21915</v>
      </c>
      <c r="D2672" s="41" t="s">
        <v>21916</v>
      </c>
      <c r="F2672" s="41" t="s">
        <v>21917</v>
      </c>
      <c r="G2672" s="41" t="s">
        <v>21918</v>
      </c>
      <c r="H2672" s="41" t="s">
        <v>21919</v>
      </c>
      <c r="I2672" s="41" t="s">
        <v>21920</v>
      </c>
      <c r="J2672" s="41" t="s">
        <v>21921</v>
      </c>
      <c r="K2672" s="41" t="s">
        <v>21922</v>
      </c>
      <c r="L2672" s="41" t="s">
        <v>1094</v>
      </c>
    </row>
    <row r="2673" spans="1:19" x14ac:dyDescent="0.25">
      <c r="A2673" s="41" t="s">
        <v>908</v>
      </c>
      <c r="B2673" s="41" t="s">
        <v>21923</v>
      </c>
    </row>
    <row r="2674" spans="1:19" x14ac:dyDescent="0.25">
      <c r="A2674" s="41" t="s">
        <v>23</v>
      </c>
      <c r="B2674" s="41" t="s">
        <v>21924</v>
      </c>
      <c r="F2674" s="41" t="s">
        <v>21925</v>
      </c>
      <c r="G2674" s="41" t="s">
        <v>21926</v>
      </c>
      <c r="H2674" s="41" t="s">
        <v>21927</v>
      </c>
      <c r="I2674" s="41" t="s">
        <v>21928</v>
      </c>
      <c r="J2674" s="41" t="s">
        <v>21929</v>
      </c>
      <c r="L2674" s="41" t="s">
        <v>4</v>
      </c>
    </row>
    <row r="2675" spans="1:19" x14ac:dyDescent="0.25">
      <c r="A2675" s="41" t="s">
        <v>23</v>
      </c>
      <c r="B2675" s="41" t="s">
        <v>21930</v>
      </c>
      <c r="D2675" s="41" t="s">
        <v>21763</v>
      </c>
      <c r="E2675" s="41" t="s">
        <v>21932</v>
      </c>
      <c r="F2675" s="41" t="s">
        <v>21933</v>
      </c>
      <c r="G2675" s="41" t="s">
        <v>21934</v>
      </c>
      <c r="H2675" s="41" t="s">
        <v>21935</v>
      </c>
      <c r="I2675" s="41" t="s">
        <v>21936</v>
      </c>
      <c r="J2675" s="41" t="s">
        <v>21937</v>
      </c>
      <c r="K2675" s="41" t="s">
        <v>21938</v>
      </c>
      <c r="L2675" s="41" t="s">
        <v>21939</v>
      </c>
      <c r="M2675" s="41" t="s">
        <v>21940</v>
      </c>
      <c r="N2675" s="41" t="s">
        <v>21941</v>
      </c>
      <c r="O2675" s="41" t="s">
        <v>21942</v>
      </c>
      <c r="P2675" s="41" t="s">
        <v>21943</v>
      </c>
      <c r="Q2675" s="41" t="s">
        <v>21944</v>
      </c>
      <c r="R2675" s="41" t="s">
        <v>21945</v>
      </c>
      <c r="S2675" s="41" t="s">
        <v>21946</v>
      </c>
    </row>
    <row r="2676" spans="1:19" x14ac:dyDescent="0.25">
      <c r="A2676" s="41" t="s">
        <v>23</v>
      </c>
      <c r="B2676" s="41" t="s">
        <v>21947</v>
      </c>
      <c r="D2676" s="41" t="s">
        <v>21948</v>
      </c>
      <c r="F2676" s="41" t="s">
        <v>21949</v>
      </c>
      <c r="G2676" s="41" t="s">
        <v>21950</v>
      </c>
      <c r="H2676" s="41" t="s">
        <v>21951</v>
      </c>
      <c r="I2676" s="41" t="s">
        <v>21952</v>
      </c>
      <c r="J2676" s="41" t="s">
        <v>21953</v>
      </c>
      <c r="K2676" s="41" t="s">
        <v>21954</v>
      </c>
      <c r="L2676" s="41" t="s">
        <v>891</v>
      </c>
    </row>
    <row r="2677" spans="1:19" x14ac:dyDescent="0.25">
      <c r="A2677" s="41" t="s">
        <v>23</v>
      </c>
      <c r="B2677" s="41" t="s">
        <v>21955</v>
      </c>
      <c r="D2677" s="41" t="s">
        <v>21956</v>
      </c>
      <c r="F2677" s="41" t="s">
        <v>21957</v>
      </c>
      <c r="G2677" s="41" t="s">
        <v>21958</v>
      </c>
      <c r="H2677" s="41" t="s">
        <v>21959</v>
      </c>
      <c r="I2677" s="41" t="s">
        <v>21960</v>
      </c>
      <c r="J2677" s="41" t="s">
        <v>21961</v>
      </c>
      <c r="K2677" s="41" t="s">
        <v>21962</v>
      </c>
      <c r="L2677" s="41" t="s">
        <v>1076</v>
      </c>
    </row>
    <row r="2678" spans="1:19" x14ac:dyDescent="0.25">
      <c r="A2678" s="41" t="s">
        <v>23</v>
      </c>
      <c r="B2678" s="41" t="s">
        <v>21963</v>
      </c>
      <c r="D2678" s="41" t="s">
        <v>21964</v>
      </c>
      <c r="F2678" s="41" t="s">
        <v>21965</v>
      </c>
      <c r="G2678" s="41" t="s">
        <v>21966</v>
      </c>
      <c r="H2678" s="41" t="s">
        <v>21967</v>
      </c>
      <c r="I2678" s="41" t="s">
        <v>21968</v>
      </c>
      <c r="J2678" s="41" t="s">
        <v>21969</v>
      </c>
      <c r="K2678" s="41" t="s">
        <v>21970</v>
      </c>
      <c r="L2678" s="41" t="s">
        <v>1085</v>
      </c>
    </row>
    <row r="2679" spans="1:19" x14ac:dyDescent="0.25">
      <c r="A2679" s="41" t="s">
        <v>23</v>
      </c>
      <c r="B2679" s="41" t="s">
        <v>21971</v>
      </c>
      <c r="D2679" s="41" t="s">
        <v>21972</v>
      </c>
      <c r="F2679" s="41" t="s">
        <v>21973</v>
      </c>
      <c r="G2679" s="41" t="s">
        <v>21974</v>
      </c>
      <c r="H2679" s="41" t="s">
        <v>21975</v>
      </c>
      <c r="I2679" s="41" t="s">
        <v>21976</v>
      </c>
      <c r="J2679" s="41" t="s">
        <v>21977</v>
      </c>
      <c r="K2679" s="41" t="s">
        <v>21978</v>
      </c>
      <c r="L2679" s="41" t="s">
        <v>1094</v>
      </c>
    </row>
    <row r="2680" spans="1:19" x14ac:dyDescent="0.25">
      <c r="A2680" s="41" t="s">
        <v>908</v>
      </c>
      <c r="B2680" s="41" t="s">
        <v>21979</v>
      </c>
    </row>
    <row r="2681" spans="1:19" x14ac:dyDescent="0.25">
      <c r="A2681" s="41" t="s">
        <v>23</v>
      </c>
      <c r="B2681" s="41" t="s">
        <v>21980</v>
      </c>
      <c r="F2681" s="41" t="s">
        <v>21981</v>
      </c>
      <c r="G2681" s="41" t="s">
        <v>21982</v>
      </c>
      <c r="H2681" s="41" t="s">
        <v>21983</v>
      </c>
      <c r="I2681" s="41" t="s">
        <v>21984</v>
      </c>
      <c r="J2681" s="41" t="s">
        <v>21985</v>
      </c>
      <c r="L2681" s="41" t="s">
        <v>4</v>
      </c>
    </row>
    <row r="2682" spans="1:19" x14ac:dyDescent="0.25">
      <c r="A2682" s="41" t="s">
        <v>23</v>
      </c>
      <c r="B2682" s="41" t="s">
        <v>21986</v>
      </c>
      <c r="D2682" s="41" t="s">
        <v>21819</v>
      </c>
      <c r="E2682" s="41" t="s">
        <v>21988</v>
      </c>
      <c r="F2682" s="41" t="s">
        <v>21989</v>
      </c>
      <c r="G2682" s="41" t="s">
        <v>21990</v>
      </c>
      <c r="H2682" s="41" t="s">
        <v>21991</v>
      </c>
      <c r="I2682" s="41" t="s">
        <v>21992</v>
      </c>
      <c r="J2682" s="41" t="s">
        <v>21993</v>
      </c>
      <c r="K2682" s="41" t="s">
        <v>21994</v>
      </c>
      <c r="L2682" s="41" t="s">
        <v>21995</v>
      </c>
      <c r="M2682" s="41" t="s">
        <v>21996</v>
      </c>
      <c r="N2682" s="41" t="s">
        <v>21997</v>
      </c>
      <c r="O2682" s="41" t="s">
        <v>21998</v>
      </c>
      <c r="P2682" s="41" t="s">
        <v>21999</v>
      </c>
      <c r="Q2682" s="41" t="s">
        <v>22000</v>
      </c>
      <c r="R2682" s="41" t="s">
        <v>22001</v>
      </c>
      <c r="S2682" s="41" t="s">
        <v>22002</v>
      </c>
    </row>
    <row r="2683" spans="1:19" x14ac:dyDescent="0.25">
      <c r="A2683" s="41" t="s">
        <v>23</v>
      </c>
      <c r="B2683" s="41" t="s">
        <v>22003</v>
      </c>
      <c r="D2683" s="41" t="s">
        <v>22004</v>
      </c>
      <c r="F2683" s="41" t="s">
        <v>22005</v>
      </c>
      <c r="G2683" s="41" t="s">
        <v>22006</v>
      </c>
      <c r="H2683" s="41" t="s">
        <v>22007</v>
      </c>
      <c r="I2683" s="41" t="s">
        <v>22008</v>
      </c>
      <c r="J2683" s="41" t="s">
        <v>22009</v>
      </c>
      <c r="K2683" s="41" t="s">
        <v>22010</v>
      </c>
      <c r="L2683" s="41" t="s">
        <v>891</v>
      </c>
    </row>
    <row r="2684" spans="1:19" x14ac:dyDescent="0.25">
      <c r="A2684" s="41" t="s">
        <v>23</v>
      </c>
      <c r="B2684" s="41" t="s">
        <v>22011</v>
      </c>
      <c r="D2684" s="41" t="s">
        <v>22012</v>
      </c>
      <c r="F2684" s="41" t="s">
        <v>22013</v>
      </c>
      <c r="G2684" s="41" t="s">
        <v>22014</v>
      </c>
      <c r="H2684" s="41" t="s">
        <v>22015</v>
      </c>
      <c r="I2684" s="41" t="s">
        <v>22016</v>
      </c>
      <c r="J2684" s="41" t="s">
        <v>22017</v>
      </c>
      <c r="K2684" s="41" t="s">
        <v>22018</v>
      </c>
      <c r="L2684" s="41" t="s">
        <v>1076</v>
      </c>
    </row>
    <row r="2685" spans="1:19" x14ac:dyDescent="0.25">
      <c r="A2685" s="41" t="s">
        <v>23</v>
      </c>
      <c r="B2685" s="41" t="s">
        <v>22019</v>
      </c>
      <c r="D2685" s="41" t="s">
        <v>22020</v>
      </c>
      <c r="F2685" s="41" t="s">
        <v>22021</v>
      </c>
      <c r="G2685" s="41" t="s">
        <v>22022</v>
      </c>
      <c r="H2685" s="41" t="s">
        <v>22023</v>
      </c>
      <c r="I2685" s="41" t="s">
        <v>22024</v>
      </c>
      <c r="J2685" s="41" t="s">
        <v>22025</v>
      </c>
      <c r="K2685" s="41" t="s">
        <v>22026</v>
      </c>
      <c r="L2685" s="41" t="s">
        <v>1085</v>
      </c>
    </row>
    <row r="2686" spans="1:19" x14ac:dyDescent="0.25">
      <c r="A2686" s="41" t="s">
        <v>23</v>
      </c>
      <c r="B2686" s="41" t="s">
        <v>22027</v>
      </c>
      <c r="D2686" s="41" t="s">
        <v>22028</v>
      </c>
      <c r="F2686" s="41" t="s">
        <v>22029</v>
      </c>
      <c r="G2686" s="41" t="s">
        <v>22030</v>
      </c>
      <c r="H2686" s="41" t="s">
        <v>22031</v>
      </c>
      <c r="I2686" s="41" t="s">
        <v>22032</v>
      </c>
      <c r="J2686" s="41" t="s">
        <v>22033</v>
      </c>
      <c r="K2686" s="41" t="s">
        <v>22034</v>
      </c>
      <c r="L2686" s="41" t="s">
        <v>1094</v>
      </c>
    </row>
    <row r="2687" spans="1:19" x14ac:dyDescent="0.25">
      <c r="A2687" s="41" t="s">
        <v>908</v>
      </c>
      <c r="B2687" s="41" t="s">
        <v>22035</v>
      </c>
    </row>
    <row r="2688" spans="1:19" x14ac:dyDescent="0.25">
      <c r="A2688" s="41" t="s">
        <v>23</v>
      </c>
      <c r="B2688" s="41" t="s">
        <v>22036</v>
      </c>
      <c r="F2688" s="41" t="s">
        <v>22037</v>
      </c>
      <c r="G2688" s="41" t="s">
        <v>22038</v>
      </c>
      <c r="H2688" s="41" t="s">
        <v>22039</v>
      </c>
      <c r="I2688" s="41" t="s">
        <v>22040</v>
      </c>
      <c r="J2688" s="41" t="s">
        <v>22041</v>
      </c>
      <c r="L2688" s="41" t="s">
        <v>4</v>
      </c>
    </row>
    <row r="2689" spans="1:19" x14ac:dyDescent="0.25">
      <c r="A2689" s="41" t="s">
        <v>23</v>
      </c>
      <c r="B2689" s="41" t="s">
        <v>22042</v>
      </c>
      <c r="D2689" s="41" t="s">
        <v>21875</v>
      </c>
      <c r="E2689" s="41" t="s">
        <v>22044</v>
      </c>
      <c r="F2689" s="41" t="s">
        <v>22045</v>
      </c>
      <c r="G2689" s="41" t="s">
        <v>22046</v>
      </c>
      <c r="H2689" s="41" t="s">
        <v>22047</v>
      </c>
      <c r="I2689" s="41" t="s">
        <v>22048</v>
      </c>
      <c r="J2689" s="41" t="s">
        <v>22049</v>
      </c>
      <c r="K2689" s="41" t="s">
        <v>22050</v>
      </c>
      <c r="L2689" s="41" t="s">
        <v>22051</v>
      </c>
      <c r="M2689" s="41" t="s">
        <v>22052</v>
      </c>
      <c r="N2689" s="41" t="s">
        <v>22053</v>
      </c>
      <c r="O2689" s="41" t="s">
        <v>22054</v>
      </c>
      <c r="P2689" s="41" t="s">
        <v>22055</v>
      </c>
      <c r="Q2689" s="41" t="s">
        <v>22056</v>
      </c>
      <c r="R2689" s="41" t="s">
        <v>22057</v>
      </c>
      <c r="S2689" s="41" t="s">
        <v>22058</v>
      </c>
    </row>
    <row r="2690" spans="1:19" x14ac:dyDescent="0.25">
      <c r="A2690" s="41" t="s">
        <v>23</v>
      </c>
      <c r="B2690" s="41" t="s">
        <v>22059</v>
      </c>
      <c r="D2690" s="41" t="s">
        <v>22060</v>
      </c>
      <c r="F2690" s="41" t="s">
        <v>22061</v>
      </c>
      <c r="G2690" s="41" t="s">
        <v>22062</v>
      </c>
      <c r="H2690" s="41" t="s">
        <v>22063</v>
      </c>
      <c r="I2690" s="41" t="s">
        <v>22064</v>
      </c>
      <c r="J2690" s="41" t="s">
        <v>22065</v>
      </c>
      <c r="K2690" s="41" t="s">
        <v>22066</v>
      </c>
      <c r="L2690" s="41" t="s">
        <v>891</v>
      </c>
    </row>
    <row r="2691" spans="1:19" x14ac:dyDescent="0.25">
      <c r="A2691" s="41" t="s">
        <v>23</v>
      </c>
      <c r="B2691" s="41" t="s">
        <v>22067</v>
      </c>
      <c r="D2691" s="41" t="s">
        <v>22068</v>
      </c>
      <c r="F2691" s="41" t="s">
        <v>22069</v>
      </c>
      <c r="G2691" s="41" t="s">
        <v>22070</v>
      </c>
      <c r="H2691" s="41" t="s">
        <v>22071</v>
      </c>
      <c r="I2691" s="41" t="s">
        <v>22072</v>
      </c>
      <c r="J2691" s="41" t="s">
        <v>22073</v>
      </c>
      <c r="K2691" s="41" t="s">
        <v>22074</v>
      </c>
      <c r="L2691" s="41" t="s">
        <v>1076</v>
      </c>
    </row>
    <row r="2692" spans="1:19" x14ac:dyDescent="0.25">
      <c r="A2692" s="41" t="s">
        <v>23</v>
      </c>
      <c r="B2692" s="41" t="s">
        <v>22075</v>
      </c>
      <c r="D2692" s="41" t="s">
        <v>22076</v>
      </c>
      <c r="F2692" s="41" t="s">
        <v>22077</v>
      </c>
      <c r="G2692" s="41" t="s">
        <v>22078</v>
      </c>
      <c r="H2692" s="41" t="s">
        <v>22079</v>
      </c>
      <c r="I2692" s="41" t="s">
        <v>22080</v>
      </c>
      <c r="J2692" s="41" t="s">
        <v>22081</v>
      </c>
      <c r="K2692" s="41" t="s">
        <v>22082</v>
      </c>
      <c r="L2692" s="41" t="s">
        <v>1085</v>
      </c>
    </row>
    <row r="2693" spans="1:19" x14ac:dyDescent="0.25">
      <c r="A2693" s="41" t="s">
        <v>23</v>
      </c>
      <c r="B2693" s="41" t="s">
        <v>22083</v>
      </c>
      <c r="D2693" s="41" t="s">
        <v>22084</v>
      </c>
      <c r="F2693" s="41" t="s">
        <v>22085</v>
      </c>
      <c r="G2693" s="41" t="s">
        <v>22086</v>
      </c>
      <c r="H2693" s="41" t="s">
        <v>22087</v>
      </c>
      <c r="I2693" s="41" t="s">
        <v>22088</v>
      </c>
      <c r="J2693" s="41" t="s">
        <v>22089</v>
      </c>
      <c r="K2693" s="41" t="s">
        <v>22090</v>
      </c>
      <c r="L2693" s="41" t="s">
        <v>1094</v>
      </c>
    </row>
    <row r="2694" spans="1:19" x14ac:dyDescent="0.25">
      <c r="A2694" s="41" t="s">
        <v>908</v>
      </c>
      <c r="B2694" s="41" t="s">
        <v>22091</v>
      </c>
    </row>
    <row r="2695" spans="1:19" x14ac:dyDescent="0.25">
      <c r="A2695" s="41" t="s">
        <v>23</v>
      </c>
      <c r="B2695" s="41" t="s">
        <v>22092</v>
      </c>
      <c r="F2695" s="41" t="s">
        <v>22093</v>
      </c>
      <c r="G2695" s="41" t="s">
        <v>22094</v>
      </c>
      <c r="H2695" s="41" t="s">
        <v>22095</v>
      </c>
      <c r="I2695" s="41" t="s">
        <v>22096</v>
      </c>
      <c r="J2695" s="41" t="s">
        <v>22097</v>
      </c>
      <c r="L2695" s="41" t="s">
        <v>4</v>
      </c>
    </row>
    <row r="2696" spans="1:19" x14ac:dyDescent="0.25">
      <c r="A2696" s="41" t="s">
        <v>23</v>
      </c>
      <c r="B2696" s="41" t="s">
        <v>22098</v>
      </c>
      <c r="D2696" s="41" t="s">
        <v>21931</v>
      </c>
      <c r="E2696" s="41" t="s">
        <v>22100</v>
      </c>
      <c r="F2696" s="41" t="s">
        <v>22101</v>
      </c>
      <c r="G2696" s="41" t="s">
        <v>22102</v>
      </c>
      <c r="H2696" s="41" t="s">
        <v>22103</v>
      </c>
      <c r="I2696" s="41" t="s">
        <v>22104</v>
      </c>
      <c r="J2696" s="41" t="s">
        <v>22105</v>
      </c>
      <c r="K2696" s="41" t="s">
        <v>22106</v>
      </c>
      <c r="L2696" s="41" t="s">
        <v>22107</v>
      </c>
      <c r="M2696" s="41" t="s">
        <v>22108</v>
      </c>
      <c r="N2696" s="41" t="s">
        <v>22109</v>
      </c>
      <c r="O2696" s="41" t="s">
        <v>22110</v>
      </c>
      <c r="P2696" s="41" t="s">
        <v>22111</v>
      </c>
      <c r="Q2696" s="41" t="s">
        <v>22112</v>
      </c>
      <c r="R2696" s="41" t="s">
        <v>22113</v>
      </c>
      <c r="S2696" s="41" t="s">
        <v>22114</v>
      </c>
    </row>
    <row r="2697" spans="1:19" x14ac:dyDescent="0.25">
      <c r="A2697" s="41" t="s">
        <v>23</v>
      </c>
      <c r="B2697" s="41" t="s">
        <v>22115</v>
      </c>
      <c r="D2697" s="41" t="s">
        <v>22116</v>
      </c>
      <c r="F2697" s="41" t="s">
        <v>22117</v>
      </c>
      <c r="G2697" s="41" t="s">
        <v>22118</v>
      </c>
      <c r="H2697" s="41" t="s">
        <v>22119</v>
      </c>
      <c r="I2697" s="41" t="s">
        <v>22120</v>
      </c>
      <c r="J2697" s="41" t="s">
        <v>22121</v>
      </c>
      <c r="K2697" s="41" t="s">
        <v>22122</v>
      </c>
      <c r="L2697" s="41" t="s">
        <v>891</v>
      </c>
    </row>
    <row r="2698" spans="1:19" x14ac:dyDescent="0.25">
      <c r="A2698" s="41" t="s">
        <v>23</v>
      </c>
      <c r="B2698" s="41" t="s">
        <v>22123</v>
      </c>
      <c r="D2698" s="41" t="s">
        <v>22124</v>
      </c>
      <c r="F2698" s="41" t="s">
        <v>22125</v>
      </c>
      <c r="G2698" s="41" t="s">
        <v>22126</v>
      </c>
      <c r="H2698" s="41" t="s">
        <v>22127</v>
      </c>
      <c r="I2698" s="41" t="s">
        <v>22128</v>
      </c>
      <c r="J2698" s="41" t="s">
        <v>22129</v>
      </c>
      <c r="K2698" s="41" t="s">
        <v>22130</v>
      </c>
      <c r="L2698" s="41" t="s">
        <v>1076</v>
      </c>
    </row>
    <row r="2699" spans="1:19" x14ac:dyDescent="0.25">
      <c r="A2699" s="41" t="s">
        <v>23</v>
      </c>
      <c r="B2699" s="41" t="s">
        <v>22131</v>
      </c>
      <c r="D2699" s="41" t="s">
        <v>22132</v>
      </c>
      <c r="F2699" s="41" t="s">
        <v>22133</v>
      </c>
      <c r="G2699" s="41" t="s">
        <v>22134</v>
      </c>
      <c r="H2699" s="41" t="s">
        <v>22135</v>
      </c>
      <c r="I2699" s="41" t="s">
        <v>22136</v>
      </c>
      <c r="J2699" s="41" t="s">
        <v>22137</v>
      </c>
      <c r="K2699" s="41" t="s">
        <v>22138</v>
      </c>
      <c r="L2699" s="41" t="s">
        <v>1085</v>
      </c>
    </row>
    <row r="2700" spans="1:19" x14ac:dyDescent="0.25">
      <c r="A2700" s="41" t="s">
        <v>23</v>
      </c>
      <c r="B2700" s="41" t="s">
        <v>22139</v>
      </c>
      <c r="D2700" s="41" t="s">
        <v>22140</v>
      </c>
      <c r="F2700" s="41" t="s">
        <v>22141</v>
      </c>
      <c r="G2700" s="41" t="s">
        <v>22142</v>
      </c>
      <c r="H2700" s="41" t="s">
        <v>22143</v>
      </c>
      <c r="I2700" s="41" t="s">
        <v>22144</v>
      </c>
      <c r="J2700" s="41" t="s">
        <v>22145</v>
      </c>
      <c r="K2700" s="41" t="s">
        <v>22146</v>
      </c>
      <c r="L2700" s="41" t="s">
        <v>1094</v>
      </c>
    </row>
    <row r="2701" spans="1:19" x14ac:dyDescent="0.25">
      <c r="A2701" s="41" t="s">
        <v>908</v>
      </c>
      <c r="B2701" s="41" t="s">
        <v>22147</v>
      </c>
    </row>
    <row r="2702" spans="1:19" x14ac:dyDescent="0.25">
      <c r="A2702" s="41" t="s">
        <v>23</v>
      </c>
      <c r="B2702" s="41" t="s">
        <v>22148</v>
      </c>
      <c r="F2702" s="41" t="s">
        <v>22149</v>
      </c>
      <c r="G2702" s="41" t="s">
        <v>22150</v>
      </c>
      <c r="H2702" s="41" t="s">
        <v>22151</v>
      </c>
      <c r="I2702" s="41" t="s">
        <v>22152</v>
      </c>
      <c r="J2702" s="41" t="s">
        <v>22153</v>
      </c>
      <c r="L2702" s="41" t="s">
        <v>4</v>
      </c>
    </row>
    <row r="2703" spans="1:19" x14ac:dyDescent="0.25">
      <c r="A2703" s="41" t="s">
        <v>23</v>
      </c>
      <c r="B2703" s="41" t="s">
        <v>22154</v>
      </c>
      <c r="D2703" s="41" t="s">
        <v>21987</v>
      </c>
      <c r="E2703" s="41" t="s">
        <v>22156</v>
      </c>
      <c r="F2703" s="41" t="s">
        <v>22157</v>
      </c>
      <c r="G2703" s="41" t="s">
        <v>22158</v>
      </c>
      <c r="H2703" s="41" t="s">
        <v>22159</v>
      </c>
      <c r="I2703" s="41" t="s">
        <v>22160</v>
      </c>
      <c r="J2703" s="41" t="s">
        <v>22161</v>
      </c>
      <c r="K2703" s="41" t="s">
        <v>22162</v>
      </c>
      <c r="L2703" s="41" t="s">
        <v>22163</v>
      </c>
      <c r="M2703" s="41" t="s">
        <v>22164</v>
      </c>
      <c r="N2703" s="41" t="s">
        <v>22165</v>
      </c>
      <c r="O2703" s="41" t="s">
        <v>22166</v>
      </c>
      <c r="P2703" s="41" t="s">
        <v>22167</v>
      </c>
      <c r="Q2703" s="41" t="s">
        <v>22168</v>
      </c>
      <c r="R2703" s="41" t="s">
        <v>22169</v>
      </c>
      <c r="S2703" s="41" t="s">
        <v>22170</v>
      </c>
    </row>
    <row r="2704" spans="1:19" x14ac:dyDescent="0.25">
      <c r="A2704" s="41" t="s">
        <v>23</v>
      </c>
      <c r="B2704" s="41" t="s">
        <v>22171</v>
      </c>
      <c r="D2704" s="41" t="s">
        <v>22172</v>
      </c>
      <c r="F2704" s="41" t="s">
        <v>22173</v>
      </c>
      <c r="G2704" s="41" t="s">
        <v>22174</v>
      </c>
      <c r="H2704" s="41" t="s">
        <v>22175</v>
      </c>
      <c r="I2704" s="41" t="s">
        <v>22176</v>
      </c>
      <c r="J2704" s="41" t="s">
        <v>22177</v>
      </c>
      <c r="K2704" s="41" t="s">
        <v>22178</v>
      </c>
      <c r="L2704" s="41" t="s">
        <v>891</v>
      </c>
    </row>
    <row r="2705" spans="1:19" x14ac:dyDescent="0.25">
      <c r="A2705" s="41" t="s">
        <v>23</v>
      </c>
      <c r="B2705" s="41" t="s">
        <v>22179</v>
      </c>
      <c r="D2705" s="41" t="s">
        <v>22180</v>
      </c>
      <c r="F2705" s="41" t="s">
        <v>22181</v>
      </c>
      <c r="G2705" s="41" t="s">
        <v>22182</v>
      </c>
      <c r="H2705" s="41" t="s">
        <v>22183</v>
      </c>
      <c r="I2705" s="41" t="s">
        <v>22184</v>
      </c>
      <c r="J2705" s="41" t="s">
        <v>22185</v>
      </c>
      <c r="K2705" s="41" t="s">
        <v>22186</v>
      </c>
      <c r="L2705" s="41" t="s">
        <v>1076</v>
      </c>
    </row>
    <row r="2706" spans="1:19" x14ac:dyDescent="0.25">
      <c r="A2706" s="41" t="s">
        <v>23</v>
      </c>
      <c r="B2706" s="41" t="s">
        <v>22187</v>
      </c>
      <c r="D2706" s="41" t="s">
        <v>22188</v>
      </c>
      <c r="F2706" s="41" t="s">
        <v>22189</v>
      </c>
      <c r="G2706" s="41" t="s">
        <v>22190</v>
      </c>
      <c r="H2706" s="41" t="s">
        <v>22191</v>
      </c>
      <c r="I2706" s="41" t="s">
        <v>22192</v>
      </c>
      <c r="J2706" s="41" t="s">
        <v>22193</v>
      </c>
      <c r="K2706" s="41" t="s">
        <v>22194</v>
      </c>
      <c r="L2706" s="41" t="s">
        <v>1085</v>
      </c>
    </row>
    <row r="2707" spans="1:19" x14ac:dyDescent="0.25">
      <c r="A2707" s="41" t="s">
        <v>23</v>
      </c>
      <c r="B2707" s="41" t="s">
        <v>22195</v>
      </c>
      <c r="D2707" s="41" t="s">
        <v>22196</v>
      </c>
      <c r="F2707" s="41" t="s">
        <v>22197</v>
      </c>
      <c r="G2707" s="41" t="s">
        <v>22198</v>
      </c>
      <c r="H2707" s="41" t="s">
        <v>22199</v>
      </c>
      <c r="I2707" s="41" t="s">
        <v>22200</v>
      </c>
      <c r="J2707" s="41" t="s">
        <v>22201</v>
      </c>
      <c r="K2707" s="41" t="s">
        <v>22202</v>
      </c>
      <c r="L2707" s="41" t="s">
        <v>1094</v>
      </c>
    </row>
    <row r="2708" spans="1:19" x14ac:dyDescent="0.25">
      <c r="A2708" s="41" t="s">
        <v>908</v>
      </c>
      <c r="B2708" s="41" t="s">
        <v>22203</v>
      </c>
    </row>
    <row r="2709" spans="1:19" x14ac:dyDescent="0.25">
      <c r="A2709" s="41" t="s">
        <v>23</v>
      </c>
      <c r="B2709" s="41" t="s">
        <v>22204</v>
      </c>
      <c r="F2709" s="41" t="s">
        <v>22205</v>
      </c>
      <c r="G2709" s="41" t="s">
        <v>22206</v>
      </c>
      <c r="H2709" s="41" t="s">
        <v>22207</v>
      </c>
      <c r="I2709" s="41" t="s">
        <v>22208</v>
      </c>
      <c r="J2709" s="41" t="s">
        <v>22209</v>
      </c>
      <c r="L2709" s="41" t="s">
        <v>4</v>
      </c>
    </row>
    <row r="2710" spans="1:19" x14ac:dyDescent="0.25">
      <c r="A2710" s="41" t="s">
        <v>23</v>
      </c>
      <c r="B2710" s="41" t="s">
        <v>22210</v>
      </c>
      <c r="D2710" s="41" t="s">
        <v>22043</v>
      </c>
      <c r="E2710" s="41" t="s">
        <v>22212</v>
      </c>
      <c r="F2710" s="41" t="s">
        <v>22213</v>
      </c>
      <c r="G2710" s="41" t="s">
        <v>22214</v>
      </c>
      <c r="H2710" s="41" t="s">
        <v>22215</v>
      </c>
      <c r="I2710" s="41" t="s">
        <v>22216</v>
      </c>
      <c r="J2710" s="41" t="s">
        <v>22217</v>
      </c>
      <c r="K2710" s="41" t="s">
        <v>22218</v>
      </c>
      <c r="L2710" s="41" t="s">
        <v>22219</v>
      </c>
      <c r="M2710" s="41" t="s">
        <v>22220</v>
      </c>
      <c r="N2710" s="41" t="s">
        <v>22221</v>
      </c>
      <c r="O2710" s="41" t="s">
        <v>22222</v>
      </c>
      <c r="P2710" s="41" t="s">
        <v>22223</v>
      </c>
      <c r="Q2710" s="41" t="s">
        <v>22224</v>
      </c>
      <c r="R2710" s="41" t="s">
        <v>22225</v>
      </c>
      <c r="S2710" s="41" t="s">
        <v>22226</v>
      </c>
    </row>
    <row r="2711" spans="1:19" x14ac:dyDescent="0.25">
      <c r="A2711" s="41" t="s">
        <v>23</v>
      </c>
      <c r="B2711" s="41" t="s">
        <v>22227</v>
      </c>
      <c r="D2711" s="41" t="s">
        <v>22228</v>
      </c>
      <c r="F2711" s="41" t="s">
        <v>22229</v>
      </c>
      <c r="G2711" s="41" t="s">
        <v>22230</v>
      </c>
      <c r="H2711" s="41" t="s">
        <v>22231</v>
      </c>
      <c r="I2711" s="41" t="s">
        <v>22232</v>
      </c>
      <c r="J2711" s="41" t="s">
        <v>22233</v>
      </c>
      <c r="K2711" s="41" t="s">
        <v>22234</v>
      </c>
      <c r="L2711" s="41" t="s">
        <v>891</v>
      </c>
    </row>
    <row r="2712" spans="1:19" x14ac:dyDescent="0.25">
      <c r="A2712" s="41" t="s">
        <v>23</v>
      </c>
      <c r="B2712" s="41" t="s">
        <v>22235</v>
      </c>
      <c r="D2712" s="41" t="s">
        <v>22236</v>
      </c>
      <c r="F2712" s="41" t="s">
        <v>22237</v>
      </c>
      <c r="G2712" s="41" t="s">
        <v>22238</v>
      </c>
      <c r="H2712" s="41" t="s">
        <v>22239</v>
      </c>
      <c r="I2712" s="41" t="s">
        <v>22240</v>
      </c>
      <c r="J2712" s="41" t="s">
        <v>22241</v>
      </c>
      <c r="K2712" s="41" t="s">
        <v>22242</v>
      </c>
      <c r="L2712" s="41" t="s">
        <v>1076</v>
      </c>
    </row>
    <row r="2713" spans="1:19" x14ac:dyDescent="0.25">
      <c r="A2713" s="41" t="s">
        <v>23</v>
      </c>
      <c r="B2713" s="41" t="s">
        <v>22243</v>
      </c>
      <c r="D2713" s="41" t="s">
        <v>22244</v>
      </c>
      <c r="F2713" s="41" t="s">
        <v>22245</v>
      </c>
      <c r="G2713" s="41" t="s">
        <v>22246</v>
      </c>
      <c r="H2713" s="41" t="s">
        <v>22247</v>
      </c>
      <c r="I2713" s="41" t="s">
        <v>22248</v>
      </c>
      <c r="J2713" s="41" t="s">
        <v>22249</v>
      </c>
      <c r="K2713" s="41" t="s">
        <v>22250</v>
      </c>
      <c r="L2713" s="41" t="s">
        <v>1085</v>
      </c>
    </row>
    <row r="2714" spans="1:19" x14ac:dyDescent="0.25">
      <c r="A2714" s="41" t="s">
        <v>23</v>
      </c>
      <c r="B2714" s="41" t="s">
        <v>22251</v>
      </c>
      <c r="D2714" s="41" t="s">
        <v>22252</v>
      </c>
      <c r="F2714" s="41" t="s">
        <v>22253</v>
      </c>
      <c r="G2714" s="41" t="s">
        <v>22254</v>
      </c>
      <c r="H2714" s="41" t="s">
        <v>22255</v>
      </c>
      <c r="I2714" s="41" t="s">
        <v>22256</v>
      </c>
      <c r="J2714" s="41" t="s">
        <v>22257</v>
      </c>
      <c r="K2714" s="41" t="s">
        <v>22258</v>
      </c>
      <c r="L2714" s="41" t="s">
        <v>1094</v>
      </c>
    </row>
    <row r="2715" spans="1:19" x14ac:dyDescent="0.25">
      <c r="A2715" s="41" t="s">
        <v>908</v>
      </c>
      <c r="B2715" s="41" t="s">
        <v>22259</v>
      </c>
    </row>
    <row r="2716" spans="1:19" x14ac:dyDescent="0.25">
      <c r="A2716" s="41" t="s">
        <v>23</v>
      </c>
      <c r="B2716" s="41" t="s">
        <v>22260</v>
      </c>
      <c r="F2716" s="41" t="s">
        <v>22261</v>
      </c>
      <c r="G2716" s="41" t="s">
        <v>22262</v>
      </c>
      <c r="H2716" s="41" t="s">
        <v>22263</v>
      </c>
      <c r="I2716" s="41" t="s">
        <v>22264</v>
      </c>
      <c r="J2716" s="41" t="s">
        <v>22265</v>
      </c>
      <c r="L2716" s="41" t="s">
        <v>4</v>
      </c>
    </row>
    <row r="2717" spans="1:19" x14ac:dyDescent="0.25">
      <c r="A2717" s="41" t="s">
        <v>23</v>
      </c>
      <c r="B2717" s="41" t="s">
        <v>22266</v>
      </c>
      <c r="D2717" s="41" t="s">
        <v>22099</v>
      </c>
      <c r="E2717" s="41" t="s">
        <v>22267</v>
      </c>
      <c r="F2717" s="41" t="s">
        <v>22268</v>
      </c>
      <c r="G2717" s="41" t="s">
        <v>22269</v>
      </c>
      <c r="H2717" s="41" t="s">
        <v>22270</v>
      </c>
      <c r="I2717" s="41" t="s">
        <v>22271</v>
      </c>
      <c r="J2717" s="41" t="s">
        <v>22272</v>
      </c>
      <c r="K2717" s="41" t="s">
        <v>22273</v>
      </c>
      <c r="L2717" s="41" t="s">
        <v>22274</v>
      </c>
      <c r="M2717" s="41" t="s">
        <v>22275</v>
      </c>
      <c r="N2717" s="41" t="s">
        <v>22276</v>
      </c>
      <c r="O2717" s="41" t="s">
        <v>22277</v>
      </c>
      <c r="P2717" s="41" t="s">
        <v>22278</v>
      </c>
      <c r="Q2717" s="41" t="s">
        <v>22279</v>
      </c>
      <c r="R2717" s="41" t="s">
        <v>22280</v>
      </c>
      <c r="S2717" s="41" t="s">
        <v>22281</v>
      </c>
    </row>
    <row r="2718" spans="1:19" x14ac:dyDescent="0.25">
      <c r="A2718" s="41" t="s">
        <v>23</v>
      </c>
      <c r="B2718" s="41" t="s">
        <v>22282</v>
      </c>
      <c r="D2718" s="41" t="s">
        <v>22285</v>
      </c>
      <c r="F2718" s="41" t="s">
        <v>44850</v>
      </c>
      <c r="G2718" s="41" t="s">
        <v>44851</v>
      </c>
      <c r="H2718" s="41" t="s">
        <v>44852</v>
      </c>
      <c r="I2718" s="41" t="s">
        <v>44853</v>
      </c>
      <c r="J2718" s="41" t="s">
        <v>44854</v>
      </c>
      <c r="K2718" s="41" t="s">
        <v>22283</v>
      </c>
      <c r="L2718" s="41" t="s">
        <v>891</v>
      </c>
    </row>
    <row r="2719" spans="1:19" x14ac:dyDescent="0.25">
      <c r="A2719" s="41" t="s">
        <v>23</v>
      </c>
      <c r="B2719" s="41" t="s">
        <v>22284</v>
      </c>
      <c r="D2719" s="41" t="s">
        <v>22293</v>
      </c>
      <c r="F2719" s="41" t="s">
        <v>22286</v>
      </c>
      <c r="G2719" s="41" t="s">
        <v>22287</v>
      </c>
      <c r="H2719" s="41" t="s">
        <v>22288</v>
      </c>
      <c r="I2719" s="41" t="s">
        <v>22289</v>
      </c>
      <c r="J2719" s="41" t="s">
        <v>22290</v>
      </c>
      <c r="K2719" s="41" t="s">
        <v>22291</v>
      </c>
      <c r="L2719" s="41" t="s">
        <v>1076</v>
      </c>
    </row>
    <row r="2720" spans="1:19" x14ac:dyDescent="0.25">
      <c r="A2720" s="41" t="s">
        <v>23</v>
      </c>
      <c r="B2720" s="41" t="s">
        <v>22292</v>
      </c>
      <c r="D2720" s="41" t="s">
        <v>22301</v>
      </c>
      <c r="F2720" s="41" t="s">
        <v>22294</v>
      </c>
      <c r="G2720" s="41" t="s">
        <v>22295</v>
      </c>
      <c r="H2720" s="41" t="s">
        <v>22296</v>
      </c>
      <c r="I2720" s="41" t="s">
        <v>22297</v>
      </c>
      <c r="J2720" s="41" t="s">
        <v>22298</v>
      </c>
      <c r="K2720" s="41" t="s">
        <v>22299</v>
      </c>
      <c r="L2720" s="41" t="s">
        <v>1085</v>
      </c>
    </row>
    <row r="2721" spans="1:19" x14ac:dyDescent="0.25">
      <c r="A2721" s="41" t="s">
        <v>23</v>
      </c>
      <c r="B2721" s="41" t="s">
        <v>22300</v>
      </c>
      <c r="D2721" s="41" t="s">
        <v>22308</v>
      </c>
      <c r="F2721" s="41" t="s">
        <v>22302</v>
      </c>
      <c r="G2721" s="41" t="s">
        <v>22303</v>
      </c>
      <c r="H2721" s="41" t="s">
        <v>22304</v>
      </c>
      <c r="I2721" s="41" t="s">
        <v>22305</v>
      </c>
      <c r="J2721" s="41" t="s">
        <v>22306</v>
      </c>
      <c r="K2721" s="41" t="s">
        <v>22307</v>
      </c>
      <c r="L2721" s="41" t="s">
        <v>1094</v>
      </c>
    </row>
    <row r="2722" spans="1:19" x14ac:dyDescent="0.25">
      <c r="A2722" s="41" t="s">
        <v>908</v>
      </c>
      <c r="B2722" s="41" t="s">
        <v>44855</v>
      </c>
    </row>
    <row r="2723" spans="1:19" x14ac:dyDescent="0.25">
      <c r="A2723" s="41" t="s">
        <v>23</v>
      </c>
      <c r="B2723" s="41" t="s">
        <v>44856</v>
      </c>
      <c r="F2723" s="41" t="s">
        <v>44857</v>
      </c>
      <c r="G2723" s="41" t="s">
        <v>44858</v>
      </c>
      <c r="H2723" s="41" t="s">
        <v>44859</v>
      </c>
      <c r="I2723" s="41" t="s">
        <v>44860</v>
      </c>
      <c r="J2723" s="41" t="s">
        <v>44861</v>
      </c>
      <c r="L2723" s="41" t="s">
        <v>4</v>
      </c>
    </row>
    <row r="2724" spans="1:19" x14ac:dyDescent="0.25">
      <c r="A2724" s="41" t="s">
        <v>23</v>
      </c>
      <c r="B2724" s="41" t="s">
        <v>44862</v>
      </c>
      <c r="D2724" s="41" t="s">
        <v>22155</v>
      </c>
      <c r="E2724" s="41" t="s">
        <v>44863</v>
      </c>
      <c r="F2724" s="41" t="s">
        <v>44864</v>
      </c>
      <c r="G2724" s="41" t="s">
        <v>44865</v>
      </c>
      <c r="H2724" s="41" t="s">
        <v>44866</v>
      </c>
      <c r="I2724" s="41" t="s">
        <v>44867</v>
      </c>
      <c r="J2724" s="41" t="s">
        <v>44868</v>
      </c>
      <c r="K2724" s="41" t="s">
        <v>44869</v>
      </c>
      <c r="L2724" s="41" t="s">
        <v>44870</v>
      </c>
      <c r="M2724" s="41" t="s">
        <v>44871</v>
      </c>
      <c r="N2724" s="41" t="s">
        <v>44872</v>
      </c>
      <c r="O2724" s="41" t="s">
        <v>44873</v>
      </c>
      <c r="P2724" s="41" t="s">
        <v>44874</v>
      </c>
      <c r="Q2724" s="41" t="s">
        <v>44875</v>
      </c>
      <c r="R2724" s="41" t="s">
        <v>44876</v>
      </c>
      <c r="S2724" s="41" t="s">
        <v>44877</v>
      </c>
    </row>
    <row r="2725" spans="1:19" x14ac:dyDescent="0.25">
      <c r="A2725" s="41" t="s">
        <v>23</v>
      </c>
      <c r="B2725" s="41" t="s">
        <v>22309</v>
      </c>
      <c r="D2725" s="41" t="s">
        <v>44878</v>
      </c>
      <c r="F2725" s="41" t="s">
        <v>44879</v>
      </c>
      <c r="G2725" s="41" t="s">
        <v>44880</v>
      </c>
      <c r="H2725" s="41" t="s">
        <v>44881</v>
      </c>
      <c r="I2725" s="41" t="s">
        <v>44882</v>
      </c>
      <c r="J2725" s="41" t="s">
        <v>44883</v>
      </c>
      <c r="K2725" s="41" t="s">
        <v>22311</v>
      </c>
      <c r="L2725" s="41" t="s">
        <v>891</v>
      </c>
    </row>
    <row r="2726" spans="1:19" x14ac:dyDescent="0.25">
      <c r="A2726" s="41" t="s">
        <v>23</v>
      </c>
      <c r="B2726" s="41" t="s">
        <v>22312</v>
      </c>
      <c r="D2726" s="41" t="s">
        <v>22313</v>
      </c>
      <c r="F2726" s="41" t="s">
        <v>22314</v>
      </c>
      <c r="G2726" s="41" t="s">
        <v>22315</v>
      </c>
      <c r="H2726" s="41" t="s">
        <v>22316</v>
      </c>
      <c r="I2726" s="41" t="s">
        <v>22317</v>
      </c>
      <c r="J2726" s="41" t="s">
        <v>22318</v>
      </c>
      <c r="K2726" s="41" t="s">
        <v>22319</v>
      </c>
      <c r="L2726" s="41" t="s">
        <v>1076</v>
      </c>
    </row>
    <row r="2727" spans="1:19" x14ac:dyDescent="0.25">
      <c r="A2727" s="41" t="s">
        <v>23</v>
      </c>
      <c r="B2727" s="41" t="s">
        <v>22320</v>
      </c>
      <c r="D2727" s="41" t="s">
        <v>22321</v>
      </c>
      <c r="F2727" s="41" t="s">
        <v>22322</v>
      </c>
      <c r="G2727" s="41" t="s">
        <v>22323</v>
      </c>
      <c r="H2727" s="41" t="s">
        <v>22324</v>
      </c>
      <c r="I2727" s="41" t="s">
        <v>22325</v>
      </c>
      <c r="J2727" s="41" t="s">
        <v>22326</v>
      </c>
      <c r="K2727" s="41" t="s">
        <v>22327</v>
      </c>
      <c r="L2727" s="41" t="s">
        <v>1085</v>
      </c>
    </row>
    <row r="2728" spans="1:19" x14ac:dyDescent="0.25">
      <c r="A2728" s="41" t="s">
        <v>23</v>
      </c>
      <c r="B2728" s="41" t="s">
        <v>22328</v>
      </c>
      <c r="D2728" s="41" t="s">
        <v>22329</v>
      </c>
      <c r="F2728" s="41" t="s">
        <v>22330</v>
      </c>
      <c r="G2728" s="41" t="s">
        <v>22331</v>
      </c>
      <c r="H2728" s="41" t="s">
        <v>22332</v>
      </c>
      <c r="I2728" s="41" t="s">
        <v>22333</v>
      </c>
      <c r="J2728" s="41" t="s">
        <v>22334</v>
      </c>
      <c r="K2728" s="41" t="s">
        <v>22335</v>
      </c>
      <c r="L2728" s="41" t="s">
        <v>1094</v>
      </c>
    </row>
    <row r="2729" spans="1:19" x14ac:dyDescent="0.25">
      <c r="A2729" s="41" t="s">
        <v>908</v>
      </c>
      <c r="B2729" s="41" t="s">
        <v>44884</v>
      </c>
    </row>
    <row r="2730" spans="1:19" x14ac:dyDescent="0.25">
      <c r="A2730" s="41" t="s">
        <v>23</v>
      </c>
      <c r="B2730" s="41" t="s">
        <v>44885</v>
      </c>
      <c r="F2730" s="41" t="s">
        <v>44886</v>
      </c>
      <c r="G2730" s="41" t="s">
        <v>44887</v>
      </c>
      <c r="H2730" s="41" t="s">
        <v>44888</v>
      </c>
      <c r="I2730" s="41" t="s">
        <v>44889</v>
      </c>
      <c r="J2730" s="41" t="s">
        <v>44890</v>
      </c>
      <c r="L2730" s="41" t="s">
        <v>4</v>
      </c>
    </row>
    <row r="2731" spans="1:19" x14ac:dyDescent="0.25">
      <c r="A2731" s="41" t="s">
        <v>23</v>
      </c>
      <c r="B2731" s="41" t="s">
        <v>44891</v>
      </c>
      <c r="D2731" s="41" t="s">
        <v>22211</v>
      </c>
      <c r="E2731" s="41" t="s">
        <v>44892</v>
      </c>
      <c r="F2731" s="41" t="s">
        <v>44893</v>
      </c>
      <c r="G2731" s="41" t="s">
        <v>44894</v>
      </c>
      <c r="H2731" s="41" t="s">
        <v>44895</v>
      </c>
      <c r="I2731" s="41" t="s">
        <v>44896</v>
      </c>
      <c r="J2731" s="41" t="s">
        <v>44897</v>
      </c>
      <c r="K2731" s="41" t="s">
        <v>44898</v>
      </c>
      <c r="L2731" s="41" t="s">
        <v>44899</v>
      </c>
      <c r="M2731" s="41" t="s">
        <v>44900</v>
      </c>
      <c r="N2731" s="41" t="s">
        <v>44901</v>
      </c>
      <c r="O2731" s="41" t="s">
        <v>44902</v>
      </c>
      <c r="P2731" s="41" t="s">
        <v>44903</v>
      </c>
      <c r="Q2731" s="41" t="s">
        <v>44904</v>
      </c>
      <c r="R2731" s="41" t="s">
        <v>44905</v>
      </c>
      <c r="S2731" s="41" t="s">
        <v>44906</v>
      </c>
    </row>
    <row r="2732" spans="1:19" x14ac:dyDescent="0.25">
      <c r="A2732" s="41" t="s">
        <v>23</v>
      </c>
      <c r="B2732" s="41" t="s">
        <v>22336</v>
      </c>
      <c r="D2732" s="41" t="s">
        <v>44907</v>
      </c>
      <c r="F2732" s="41" t="s">
        <v>44908</v>
      </c>
      <c r="G2732" s="41" t="s">
        <v>44909</v>
      </c>
      <c r="H2732" s="41" t="s">
        <v>44910</v>
      </c>
      <c r="I2732" s="41" t="s">
        <v>44911</v>
      </c>
      <c r="J2732" s="41" t="s">
        <v>44912</v>
      </c>
      <c r="K2732" s="41" t="s">
        <v>22338</v>
      </c>
      <c r="L2732" s="41" t="s">
        <v>891</v>
      </c>
    </row>
    <row r="2733" spans="1:19" x14ac:dyDescent="0.25">
      <c r="A2733" s="41" t="s">
        <v>23</v>
      </c>
      <c r="B2733" s="41" t="s">
        <v>22339</v>
      </c>
      <c r="D2733" s="41" t="s">
        <v>22340</v>
      </c>
      <c r="F2733" s="41" t="s">
        <v>22341</v>
      </c>
      <c r="G2733" s="41" t="s">
        <v>22342</v>
      </c>
      <c r="H2733" s="41" t="s">
        <v>22343</v>
      </c>
      <c r="I2733" s="41" t="s">
        <v>22344</v>
      </c>
      <c r="J2733" s="41" t="s">
        <v>22345</v>
      </c>
      <c r="K2733" s="41" t="s">
        <v>22346</v>
      </c>
      <c r="L2733" s="41" t="s">
        <v>1076</v>
      </c>
    </row>
    <row r="2734" spans="1:19" x14ac:dyDescent="0.25">
      <c r="A2734" s="41" t="s">
        <v>23</v>
      </c>
      <c r="B2734" s="41" t="s">
        <v>22347</v>
      </c>
      <c r="D2734" s="41" t="s">
        <v>22348</v>
      </c>
      <c r="F2734" s="41" t="s">
        <v>22349</v>
      </c>
      <c r="G2734" s="41" t="s">
        <v>22350</v>
      </c>
      <c r="H2734" s="41" t="s">
        <v>22351</v>
      </c>
      <c r="I2734" s="41" t="s">
        <v>22352</v>
      </c>
      <c r="J2734" s="41" t="s">
        <v>22353</v>
      </c>
      <c r="K2734" s="41" t="s">
        <v>22354</v>
      </c>
      <c r="L2734" s="41" t="s">
        <v>1085</v>
      </c>
    </row>
    <row r="2735" spans="1:19" x14ac:dyDescent="0.25">
      <c r="A2735" s="41" t="s">
        <v>23</v>
      </c>
      <c r="B2735" s="41" t="s">
        <v>22355</v>
      </c>
      <c r="D2735" s="41" t="s">
        <v>22356</v>
      </c>
      <c r="F2735" s="41" t="s">
        <v>22357</v>
      </c>
      <c r="G2735" s="41" t="s">
        <v>22358</v>
      </c>
      <c r="H2735" s="41" t="s">
        <v>22359</v>
      </c>
      <c r="I2735" s="41" t="s">
        <v>22360</v>
      </c>
      <c r="J2735" s="41" t="s">
        <v>22361</v>
      </c>
      <c r="K2735" s="41" t="s">
        <v>22362</v>
      </c>
      <c r="L2735" s="41" t="s">
        <v>1094</v>
      </c>
    </row>
    <row r="2736" spans="1:19" x14ac:dyDescent="0.25">
      <c r="A2736" s="41" t="s">
        <v>908</v>
      </c>
      <c r="B2736" s="41" t="s">
        <v>44913</v>
      </c>
    </row>
    <row r="2737" spans="1:19" x14ac:dyDescent="0.25">
      <c r="A2737" s="41" t="s">
        <v>23</v>
      </c>
      <c r="B2737" s="41" t="s">
        <v>44914</v>
      </c>
      <c r="F2737" s="41" t="s">
        <v>44915</v>
      </c>
      <c r="G2737" s="41" t="s">
        <v>44916</v>
      </c>
      <c r="H2737" s="41" t="s">
        <v>44917</v>
      </c>
      <c r="I2737" s="41" t="s">
        <v>44918</v>
      </c>
      <c r="J2737" s="41" t="s">
        <v>44919</v>
      </c>
      <c r="L2737" s="41" t="s">
        <v>4</v>
      </c>
    </row>
    <row r="2738" spans="1:19" x14ac:dyDescent="0.25">
      <c r="A2738" s="41" t="s">
        <v>23</v>
      </c>
      <c r="B2738" s="41" t="s">
        <v>44920</v>
      </c>
      <c r="D2738" s="41" t="s">
        <v>450</v>
      </c>
      <c r="E2738" s="41" t="s">
        <v>44921</v>
      </c>
      <c r="F2738" s="41" t="s">
        <v>44922</v>
      </c>
      <c r="G2738" s="41" t="s">
        <v>44923</v>
      </c>
      <c r="H2738" s="41" t="s">
        <v>44924</v>
      </c>
      <c r="I2738" s="41" t="s">
        <v>44925</v>
      </c>
      <c r="J2738" s="41" t="s">
        <v>44926</v>
      </c>
      <c r="K2738" s="41" t="s">
        <v>44927</v>
      </c>
      <c r="L2738" s="41" t="s">
        <v>44928</v>
      </c>
      <c r="M2738" s="41" t="s">
        <v>44929</v>
      </c>
      <c r="N2738" s="41" t="s">
        <v>44930</v>
      </c>
      <c r="O2738" s="41" t="s">
        <v>44931</v>
      </c>
      <c r="P2738" s="41" t="s">
        <v>44932</v>
      </c>
      <c r="Q2738" s="41" t="s">
        <v>44933</v>
      </c>
      <c r="R2738" s="41" t="s">
        <v>44934</v>
      </c>
      <c r="S2738" s="41" t="s">
        <v>44935</v>
      </c>
    </row>
    <row r="2739" spans="1:19" x14ac:dyDescent="0.25">
      <c r="A2739" s="41" t="s">
        <v>23</v>
      </c>
      <c r="B2739" s="41" t="s">
        <v>22363</v>
      </c>
      <c r="D2739" s="41" t="s">
        <v>450</v>
      </c>
      <c r="E2739" s="41" t="s">
        <v>863</v>
      </c>
      <c r="F2739" s="41" t="s">
        <v>22364</v>
      </c>
      <c r="G2739" s="41" t="s">
        <v>22365</v>
      </c>
      <c r="H2739" s="41" t="s">
        <v>22366</v>
      </c>
      <c r="I2739" s="41" t="s">
        <v>22367</v>
      </c>
      <c r="J2739" s="41" t="s">
        <v>22368</v>
      </c>
      <c r="K2739" s="41" t="s">
        <v>22369</v>
      </c>
      <c r="L2739" s="41" t="s">
        <v>22370</v>
      </c>
      <c r="M2739" s="41" t="s">
        <v>22371</v>
      </c>
      <c r="N2739" s="41" t="s">
        <v>22372</v>
      </c>
      <c r="O2739" s="41" t="s">
        <v>22373</v>
      </c>
      <c r="P2739" s="41" t="s">
        <v>22374</v>
      </c>
      <c r="Q2739" s="41" t="s">
        <v>22375</v>
      </c>
      <c r="R2739" s="41" t="s">
        <v>22376</v>
      </c>
      <c r="S2739" s="41" t="s">
        <v>22377</v>
      </c>
    </row>
    <row r="2740" spans="1:19" x14ac:dyDescent="0.25">
      <c r="A2740" s="41" t="s">
        <v>23</v>
      </c>
      <c r="B2740" s="41" t="s">
        <v>22378</v>
      </c>
      <c r="D2740" s="41" t="s">
        <v>44936</v>
      </c>
      <c r="F2740" s="41" t="s">
        <v>44937</v>
      </c>
      <c r="G2740" s="41" t="s">
        <v>44938</v>
      </c>
      <c r="H2740" s="41" t="s">
        <v>44939</v>
      </c>
      <c r="I2740" s="41" t="s">
        <v>44940</v>
      </c>
      <c r="J2740" s="41" t="s">
        <v>44941</v>
      </c>
      <c r="K2740" s="41" t="s">
        <v>22379</v>
      </c>
      <c r="L2740" s="41" t="s">
        <v>891</v>
      </c>
    </row>
    <row r="2741" spans="1:19" x14ac:dyDescent="0.25">
      <c r="A2741" s="41" t="s">
        <v>23</v>
      </c>
      <c r="B2741" s="41" t="s">
        <v>22380</v>
      </c>
      <c r="D2741" s="41" t="s">
        <v>22381</v>
      </c>
      <c r="F2741" s="41" t="s">
        <v>22382</v>
      </c>
      <c r="G2741" s="41" t="s">
        <v>22383</v>
      </c>
      <c r="H2741" s="41" t="s">
        <v>22384</v>
      </c>
      <c r="I2741" s="41" t="s">
        <v>22385</v>
      </c>
      <c r="J2741" s="41" t="s">
        <v>22386</v>
      </c>
      <c r="K2741" s="41" t="s">
        <v>22387</v>
      </c>
      <c r="L2741" s="41" t="s">
        <v>1076</v>
      </c>
    </row>
    <row r="2742" spans="1:19" x14ac:dyDescent="0.25">
      <c r="A2742" s="41" t="s">
        <v>23</v>
      </c>
      <c r="B2742" s="41" t="s">
        <v>22388</v>
      </c>
      <c r="D2742" s="41" t="s">
        <v>22389</v>
      </c>
      <c r="F2742" s="41" t="s">
        <v>22390</v>
      </c>
      <c r="G2742" s="41" t="s">
        <v>22391</v>
      </c>
      <c r="H2742" s="41" t="s">
        <v>22392</v>
      </c>
      <c r="I2742" s="41" t="s">
        <v>22393</v>
      </c>
      <c r="J2742" s="41" t="s">
        <v>22394</v>
      </c>
      <c r="K2742" s="41" t="s">
        <v>22395</v>
      </c>
      <c r="L2742" s="41" t="s">
        <v>1085</v>
      </c>
    </row>
    <row r="2743" spans="1:19" x14ac:dyDescent="0.25">
      <c r="A2743" s="41" t="s">
        <v>23</v>
      </c>
      <c r="B2743" s="41" t="s">
        <v>22396</v>
      </c>
      <c r="D2743" s="41" t="s">
        <v>22397</v>
      </c>
      <c r="F2743" s="41" t="s">
        <v>22398</v>
      </c>
      <c r="G2743" s="41" t="s">
        <v>22399</v>
      </c>
      <c r="H2743" s="41" t="s">
        <v>22400</v>
      </c>
      <c r="I2743" s="41" t="s">
        <v>22401</v>
      </c>
      <c r="J2743" s="41" t="s">
        <v>22402</v>
      </c>
      <c r="K2743" s="41" t="s">
        <v>22403</v>
      </c>
      <c r="L2743" s="41" t="s">
        <v>1094</v>
      </c>
    </row>
    <row r="2744" spans="1:19" x14ac:dyDescent="0.25">
      <c r="A2744" s="41" t="s">
        <v>908</v>
      </c>
      <c r="B2744" s="41" t="s">
        <v>44942</v>
      </c>
    </row>
    <row r="2745" spans="1:19" x14ac:dyDescent="0.25">
      <c r="A2745" s="41" t="s">
        <v>23</v>
      </c>
      <c r="B2745" s="41" t="s">
        <v>44943</v>
      </c>
      <c r="F2745" s="41" t="s">
        <v>44944</v>
      </c>
      <c r="G2745" s="41" t="s">
        <v>44945</v>
      </c>
      <c r="H2745" s="41" t="s">
        <v>44946</v>
      </c>
      <c r="I2745" s="41" t="s">
        <v>44947</v>
      </c>
      <c r="J2745" s="41" t="s">
        <v>44948</v>
      </c>
      <c r="L2745" s="41" t="s">
        <v>4</v>
      </c>
    </row>
    <row r="2746" spans="1:19" x14ac:dyDescent="0.25">
      <c r="A2746" s="41" t="s">
        <v>23</v>
      </c>
      <c r="B2746" s="41" t="s">
        <v>44949</v>
      </c>
      <c r="D2746" s="41" t="s">
        <v>22310</v>
      </c>
      <c r="E2746" s="41" t="s">
        <v>44950</v>
      </c>
      <c r="F2746" s="41" t="s">
        <v>44951</v>
      </c>
      <c r="G2746" s="41" t="s">
        <v>44952</v>
      </c>
      <c r="H2746" s="41" t="s">
        <v>44953</v>
      </c>
      <c r="I2746" s="41" t="s">
        <v>44954</v>
      </c>
      <c r="J2746" s="41" t="s">
        <v>44955</v>
      </c>
      <c r="K2746" s="41" t="s">
        <v>44956</v>
      </c>
      <c r="L2746" s="41" t="s">
        <v>44957</v>
      </c>
      <c r="M2746" s="41" t="s">
        <v>44958</v>
      </c>
      <c r="N2746" s="41" t="s">
        <v>44959</v>
      </c>
      <c r="O2746" s="41" t="s">
        <v>44960</v>
      </c>
      <c r="P2746" s="41" t="s">
        <v>44961</v>
      </c>
      <c r="Q2746" s="41" t="s">
        <v>44962</v>
      </c>
      <c r="R2746" s="41" t="s">
        <v>44963</v>
      </c>
      <c r="S2746" s="41" t="s">
        <v>44964</v>
      </c>
    </row>
    <row r="2747" spans="1:19" x14ac:dyDescent="0.25">
      <c r="A2747" s="41" t="s">
        <v>23</v>
      </c>
      <c r="B2747" s="41" t="s">
        <v>22404</v>
      </c>
      <c r="D2747" s="41" t="s">
        <v>44965</v>
      </c>
      <c r="F2747" s="41" t="s">
        <v>44966</v>
      </c>
      <c r="G2747" s="41" t="s">
        <v>44967</v>
      </c>
      <c r="H2747" s="41" t="s">
        <v>44968</v>
      </c>
      <c r="I2747" s="41" t="s">
        <v>44969</v>
      </c>
      <c r="J2747" s="41" t="s">
        <v>44970</v>
      </c>
      <c r="K2747" s="41" t="s">
        <v>22406</v>
      </c>
      <c r="L2747" s="41" t="s">
        <v>891</v>
      </c>
    </row>
    <row r="2748" spans="1:19" x14ac:dyDescent="0.25">
      <c r="A2748" s="41" t="s">
        <v>23</v>
      </c>
      <c r="B2748" s="41" t="s">
        <v>22407</v>
      </c>
      <c r="D2748" s="41" t="s">
        <v>22408</v>
      </c>
      <c r="F2748" s="41" t="s">
        <v>22409</v>
      </c>
      <c r="G2748" s="41" t="s">
        <v>22410</v>
      </c>
      <c r="H2748" s="41" t="s">
        <v>22411</v>
      </c>
      <c r="I2748" s="41" t="s">
        <v>22412</v>
      </c>
      <c r="J2748" s="41" t="s">
        <v>22413</v>
      </c>
      <c r="K2748" s="41" t="s">
        <v>22414</v>
      </c>
      <c r="L2748" s="41" t="s">
        <v>1076</v>
      </c>
    </row>
    <row r="2749" spans="1:19" x14ac:dyDescent="0.25">
      <c r="A2749" s="41" t="s">
        <v>23</v>
      </c>
      <c r="B2749" s="41" t="s">
        <v>22415</v>
      </c>
      <c r="D2749" s="41" t="s">
        <v>22416</v>
      </c>
      <c r="F2749" s="41" t="s">
        <v>22417</v>
      </c>
      <c r="G2749" s="41" t="s">
        <v>22418</v>
      </c>
      <c r="H2749" s="41" t="s">
        <v>22419</v>
      </c>
      <c r="I2749" s="41" t="s">
        <v>22420</v>
      </c>
      <c r="J2749" s="41" t="s">
        <v>22421</v>
      </c>
      <c r="K2749" s="41" t="s">
        <v>22422</v>
      </c>
      <c r="L2749" s="41" t="s">
        <v>1085</v>
      </c>
    </row>
    <row r="2750" spans="1:19" x14ac:dyDescent="0.25">
      <c r="A2750" s="41" t="s">
        <v>23</v>
      </c>
      <c r="B2750" s="41" t="s">
        <v>22423</v>
      </c>
      <c r="D2750" s="41" t="s">
        <v>22424</v>
      </c>
      <c r="F2750" s="41" t="s">
        <v>22425</v>
      </c>
      <c r="G2750" s="41" t="s">
        <v>22426</v>
      </c>
      <c r="H2750" s="41" t="s">
        <v>22427</v>
      </c>
      <c r="I2750" s="41" t="s">
        <v>22428</v>
      </c>
      <c r="J2750" s="41" t="s">
        <v>22429</v>
      </c>
      <c r="K2750" s="41" t="s">
        <v>22430</v>
      </c>
      <c r="L2750" s="41" t="s">
        <v>1094</v>
      </c>
    </row>
    <row r="2751" spans="1:19" x14ac:dyDescent="0.25">
      <c r="A2751" s="41" t="s">
        <v>908</v>
      </c>
      <c r="B2751" s="41" t="s">
        <v>44971</v>
      </c>
    </row>
    <row r="2752" spans="1:19" x14ac:dyDescent="0.25">
      <c r="A2752" s="41" t="s">
        <v>23</v>
      </c>
      <c r="B2752" s="41" t="s">
        <v>44972</v>
      </c>
      <c r="F2752" s="41" t="s">
        <v>44973</v>
      </c>
      <c r="G2752" s="41" t="s">
        <v>44974</v>
      </c>
      <c r="H2752" s="41" t="s">
        <v>44975</v>
      </c>
      <c r="I2752" s="41" t="s">
        <v>44976</v>
      </c>
      <c r="J2752" s="41" t="s">
        <v>44977</v>
      </c>
      <c r="L2752" s="41" t="s">
        <v>4</v>
      </c>
    </row>
    <row r="2753" spans="1:19" x14ac:dyDescent="0.25">
      <c r="A2753" s="41" t="s">
        <v>23</v>
      </c>
      <c r="B2753" s="41" t="s">
        <v>44978</v>
      </c>
      <c r="D2753" s="41" t="s">
        <v>22337</v>
      </c>
      <c r="E2753" s="41" t="s">
        <v>44979</v>
      </c>
      <c r="F2753" s="41" t="s">
        <v>44980</v>
      </c>
      <c r="G2753" s="41" t="s">
        <v>44981</v>
      </c>
      <c r="H2753" s="41" t="s">
        <v>44982</v>
      </c>
      <c r="I2753" s="41" t="s">
        <v>44983</v>
      </c>
      <c r="J2753" s="41" t="s">
        <v>44984</v>
      </c>
      <c r="K2753" s="41" t="s">
        <v>44985</v>
      </c>
      <c r="L2753" s="41" t="s">
        <v>44986</v>
      </c>
      <c r="M2753" s="41" t="s">
        <v>44987</v>
      </c>
      <c r="N2753" s="41" t="s">
        <v>44988</v>
      </c>
      <c r="O2753" s="41" t="s">
        <v>44989</v>
      </c>
      <c r="P2753" s="41" t="s">
        <v>44990</v>
      </c>
      <c r="Q2753" s="41" t="s">
        <v>44991</v>
      </c>
      <c r="R2753" s="41" t="s">
        <v>44992</v>
      </c>
      <c r="S2753" s="41" t="s">
        <v>44993</v>
      </c>
    </row>
    <row r="2754" spans="1:19" x14ac:dyDescent="0.25">
      <c r="A2754" s="41" t="s">
        <v>23</v>
      </c>
      <c r="B2754" s="41" t="s">
        <v>22431</v>
      </c>
      <c r="D2754" s="41" t="s">
        <v>44994</v>
      </c>
      <c r="F2754" s="41" t="s">
        <v>44995</v>
      </c>
      <c r="G2754" s="41" t="s">
        <v>44996</v>
      </c>
      <c r="H2754" s="41" t="s">
        <v>44997</v>
      </c>
      <c r="I2754" s="41" t="s">
        <v>44998</v>
      </c>
      <c r="J2754" s="41" t="s">
        <v>44999</v>
      </c>
      <c r="K2754" s="41" t="s">
        <v>22433</v>
      </c>
      <c r="L2754" s="41" t="s">
        <v>891</v>
      </c>
    </row>
    <row r="2755" spans="1:19" x14ac:dyDescent="0.25">
      <c r="A2755" s="41" t="s">
        <v>23</v>
      </c>
      <c r="B2755" s="41" t="s">
        <v>22434</v>
      </c>
      <c r="D2755" s="41" t="s">
        <v>22435</v>
      </c>
      <c r="F2755" s="41" t="s">
        <v>22436</v>
      </c>
      <c r="G2755" s="41" t="s">
        <v>22437</v>
      </c>
      <c r="H2755" s="41" t="s">
        <v>22438</v>
      </c>
      <c r="I2755" s="41" t="s">
        <v>22439</v>
      </c>
      <c r="J2755" s="41" t="s">
        <v>22440</v>
      </c>
      <c r="K2755" s="41" t="s">
        <v>22441</v>
      </c>
      <c r="L2755" s="41" t="s">
        <v>1076</v>
      </c>
    </row>
    <row r="2756" spans="1:19" x14ac:dyDescent="0.25">
      <c r="A2756" s="41" t="s">
        <v>23</v>
      </c>
      <c r="B2756" s="41" t="s">
        <v>22442</v>
      </c>
      <c r="D2756" s="41" t="s">
        <v>22443</v>
      </c>
      <c r="F2756" s="41" t="s">
        <v>22444</v>
      </c>
      <c r="G2756" s="41" t="s">
        <v>22445</v>
      </c>
      <c r="H2756" s="41" t="s">
        <v>22446</v>
      </c>
      <c r="I2756" s="41" t="s">
        <v>22447</v>
      </c>
      <c r="J2756" s="41" t="s">
        <v>22448</v>
      </c>
      <c r="K2756" s="41" t="s">
        <v>22449</v>
      </c>
      <c r="L2756" s="41" t="s">
        <v>1085</v>
      </c>
    </row>
    <row r="2757" spans="1:19" x14ac:dyDescent="0.25">
      <c r="A2757" s="41" t="s">
        <v>23</v>
      </c>
      <c r="B2757" s="41" t="s">
        <v>22450</v>
      </c>
      <c r="D2757" s="41" t="s">
        <v>22451</v>
      </c>
      <c r="F2757" s="41" t="s">
        <v>22452</v>
      </c>
      <c r="G2757" s="41" t="s">
        <v>22453</v>
      </c>
      <c r="H2757" s="41" t="s">
        <v>22454</v>
      </c>
      <c r="I2757" s="41" t="s">
        <v>22455</v>
      </c>
      <c r="J2757" s="41" t="s">
        <v>22456</v>
      </c>
      <c r="K2757" s="41" t="s">
        <v>22457</v>
      </c>
      <c r="L2757" s="41" t="s">
        <v>1094</v>
      </c>
    </row>
    <row r="2758" spans="1:19" x14ac:dyDescent="0.25">
      <c r="A2758" s="41" t="s">
        <v>908</v>
      </c>
      <c r="B2758" s="41" t="s">
        <v>45000</v>
      </c>
    </row>
    <row r="2759" spans="1:19" x14ac:dyDescent="0.25">
      <c r="A2759" s="41" t="s">
        <v>23</v>
      </c>
      <c r="B2759" s="41" t="s">
        <v>45001</v>
      </c>
      <c r="F2759" s="41" t="s">
        <v>45002</v>
      </c>
      <c r="G2759" s="41" t="s">
        <v>45003</v>
      </c>
      <c r="H2759" s="41" t="s">
        <v>45004</v>
      </c>
      <c r="I2759" s="41" t="s">
        <v>45005</v>
      </c>
      <c r="J2759" s="41" t="s">
        <v>45006</v>
      </c>
      <c r="L2759" s="41" t="s">
        <v>4</v>
      </c>
    </row>
    <row r="2760" spans="1:19" x14ac:dyDescent="0.25">
      <c r="A2760" s="41" t="s">
        <v>23</v>
      </c>
      <c r="B2760" s="41" t="s">
        <v>45007</v>
      </c>
      <c r="D2760" s="41" t="s">
        <v>451</v>
      </c>
      <c r="E2760" s="41" t="s">
        <v>45008</v>
      </c>
      <c r="F2760" s="41" t="s">
        <v>45009</v>
      </c>
      <c r="G2760" s="41" t="s">
        <v>45010</v>
      </c>
      <c r="H2760" s="41" t="s">
        <v>45011</v>
      </c>
      <c r="I2760" s="41" t="s">
        <v>45012</v>
      </c>
      <c r="J2760" s="41" t="s">
        <v>45013</v>
      </c>
      <c r="K2760" s="41" t="s">
        <v>45014</v>
      </c>
      <c r="L2760" s="41" t="s">
        <v>45015</v>
      </c>
      <c r="M2760" s="41" t="s">
        <v>45016</v>
      </c>
      <c r="N2760" s="41" t="s">
        <v>45017</v>
      </c>
      <c r="O2760" s="41" t="s">
        <v>45018</v>
      </c>
      <c r="P2760" s="41" t="s">
        <v>45019</v>
      </c>
      <c r="Q2760" s="41" t="s">
        <v>45020</v>
      </c>
      <c r="R2760" s="41" t="s">
        <v>45021</v>
      </c>
      <c r="S2760" s="41" t="s">
        <v>45022</v>
      </c>
    </row>
    <row r="2761" spans="1:19" x14ac:dyDescent="0.25">
      <c r="A2761" s="41" t="s">
        <v>23</v>
      </c>
      <c r="B2761" s="41" t="s">
        <v>22458</v>
      </c>
      <c r="D2761" s="41" t="s">
        <v>451</v>
      </c>
      <c r="E2761" s="41" t="s">
        <v>864</v>
      </c>
      <c r="F2761" s="41" t="s">
        <v>22459</v>
      </c>
      <c r="G2761" s="41" t="s">
        <v>22460</v>
      </c>
      <c r="H2761" s="41" t="s">
        <v>22461</v>
      </c>
      <c r="I2761" s="41" t="s">
        <v>22462</v>
      </c>
      <c r="J2761" s="41" t="s">
        <v>22463</v>
      </c>
      <c r="K2761" s="41" t="s">
        <v>22464</v>
      </c>
      <c r="L2761" s="41" t="s">
        <v>22465</v>
      </c>
      <c r="M2761" s="41" t="s">
        <v>22466</v>
      </c>
      <c r="N2761" s="41" t="s">
        <v>22467</v>
      </c>
      <c r="O2761" s="41" t="s">
        <v>22468</v>
      </c>
      <c r="P2761" s="41" t="s">
        <v>22469</v>
      </c>
      <c r="Q2761" s="41" t="s">
        <v>22470</v>
      </c>
      <c r="R2761" s="41" t="s">
        <v>22471</v>
      </c>
      <c r="S2761" s="41" t="s">
        <v>22472</v>
      </c>
    </row>
    <row r="2762" spans="1:19" x14ac:dyDescent="0.25">
      <c r="A2762" s="41" t="s">
        <v>23</v>
      </c>
      <c r="B2762" s="41" t="s">
        <v>22473</v>
      </c>
      <c r="D2762" s="41" t="s">
        <v>45023</v>
      </c>
      <c r="F2762" s="41" t="s">
        <v>22475</v>
      </c>
      <c r="G2762" s="41" t="s">
        <v>22476</v>
      </c>
      <c r="H2762" s="41" t="s">
        <v>22477</v>
      </c>
      <c r="I2762" s="41" t="s">
        <v>22478</v>
      </c>
      <c r="J2762" s="41" t="s">
        <v>22479</v>
      </c>
      <c r="K2762" s="41" t="s">
        <v>22480</v>
      </c>
      <c r="L2762" s="41" t="s">
        <v>891</v>
      </c>
    </row>
    <row r="2763" spans="1:19" x14ac:dyDescent="0.25">
      <c r="A2763" s="41" t="s">
        <v>23</v>
      </c>
      <c r="B2763" s="41" t="s">
        <v>22481</v>
      </c>
      <c r="D2763" s="41" t="s">
        <v>22474</v>
      </c>
      <c r="F2763" s="41" t="s">
        <v>22483</v>
      </c>
      <c r="G2763" s="41" t="s">
        <v>22484</v>
      </c>
      <c r="H2763" s="41" t="s">
        <v>22485</v>
      </c>
      <c r="I2763" s="41" t="s">
        <v>22486</v>
      </c>
      <c r="J2763" s="41" t="s">
        <v>22487</v>
      </c>
      <c r="K2763" s="41" t="s">
        <v>22488</v>
      </c>
      <c r="L2763" s="41" t="s">
        <v>1076</v>
      </c>
    </row>
    <row r="2764" spans="1:19" x14ac:dyDescent="0.25">
      <c r="A2764" s="41" t="s">
        <v>23</v>
      </c>
      <c r="B2764" s="41" t="s">
        <v>22489</v>
      </c>
      <c r="D2764" s="41" t="s">
        <v>22482</v>
      </c>
      <c r="F2764" s="41" t="s">
        <v>22491</v>
      </c>
      <c r="G2764" s="41" t="s">
        <v>22492</v>
      </c>
      <c r="H2764" s="41" t="s">
        <v>22493</v>
      </c>
      <c r="I2764" s="41" t="s">
        <v>22494</v>
      </c>
      <c r="J2764" s="41" t="s">
        <v>22495</v>
      </c>
      <c r="K2764" s="41" t="s">
        <v>22496</v>
      </c>
      <c r="L2764" s="41" t="s">
        <v>1085</v>
      </c>
    </row>
    <row r="2765" spans="1:19" x14ac:dyDescent="0.25">
      <c r="A2765" s="41" t="s">
        <v>23</v>
      </c>
      <c r="B2765" s="41" t="s">
        <v>22497</v>
      </c>
      <c r="D2765" s="41" t="s">
        <v>22490</v>
      </c>
      <c r="F2765" s="41" t="s">
        <v>22498</v>
      </c>
      <c r="G2765" s="41" t="s">
        <v>22499</v>
      </c>
      <c r="H2765" s="41" t="s">
        <v>22500</v>
      </c>
      <c r="I2765" s="41" t="s">
        <v>22501</v>
      </c>
      <c r="J2765" s="41" t="s">
        <v>22502</v>
      </c>
      <c r="K2765" s="41" t="s">
        <v>22503</v>
      </c>
      <c r="L2765" s="41" t="s">
        <v>1094</v>
      </c>
    </row>
    <row r="2766" spans="1:19" x14ac:dyDescent="0.25">
      <c r="A2766" s="41" t="s">
        <v>908</v>
      </c>
      <c r="B2766" s="41" t="s">
        <v>22504</v>
      </c>
    </row>
    <row r="2767" spans="1:19" x14ac:dyDescent="0.25">
      <c r="A2767" s="41" t="s">
        <v>23</v>
      </c>
      <c r="B2767" s="41" t="s">
        <v>22505</v>
      </c>
      <c r="F2767" s="41" t="s">
        <v>22506</v>
      </c>
      <c r="G2767" s="41" t="s">
        <v>22507</v>
      </c>
      <c r="H2767" s="41" t="s">
        <v>22508</v>
      </c>
      <c r="I2767" s="41" t="s">
        <v>22509</v>
      </c>
      <c r="J2767" s="41" t="s">
        <v>22510</v>
      </c>
      <c r="L2767" s="41" t="s">
        <v>4</v>
      </c>
    </row>
    <row r="2768" spans="1:19" x14ac:dyDescent="0.25">
      <c r="A2768" s="41" t="s">
        <v>23</v>
      </c>
      <c r="B2768" s="41" t="s">
        <v>22511</v>
      </c>
      <c r="D2768" s="41" t="s">
        <v>22405</v>
      </c>
      <c r="E2768" s="41" t="s">
        <v>22513</v>
      </c>
      <c r="F2768" s="41" t="s">
        <v>22514</v>
      </c>
      <c r="G2768" s="41" t="s">
        <v>22515</v>
      </c>
      <c r="H2768" s="41" t="s">
        <v>22516</v>
      </c>
      <c r="I2768" s="41" t="s">
        <v>22517</v>
      </c>
      <c r="J2768" s="41" t="s">
        <v>22518</v>
      </c>
      <c r="K2768" s="41" t="s">
        <v>22519</v>
      </c>
      <c r="L2768" s="41" t="s">
        <v>22520</v>
      </c>
      <c r="M2768" s="41" t="s">
        <v>22521</v>
      </c>
      <c r="N2768" s="41" t="s">
        <v>22522</v>
      </c>
      <c r="O2768" s="41" t="s">
        <v>22523</v>
      </c>
      <c r="P2768" s="41" t="s">
        <v>22524</v>
      </c>
      <c r="Q2768" s="41" t="s">
        <v>22525</v>
      </c>
      <c r="R2768" s="41" t="s">
        <v>22526</v>
      </c>
      <c r="S2768" s="41" t="s">
        <v>22527</v>
      </c>
    </row>
    <row r="2769" spans="1:19" x14ac:dyDescent="0.25">
      <c r="A2769" s="41" t="s">
        <v>23</v>
      </c>
      <c r="B2769" s="41" t="s">
        <v>22528</v>
      </c>
      <c r="D2769" s="41" t="s">
        <v>22529</v>
      </c>
      <c r="F2769" s="41" t="s">
        <v>22530</v>
      </c>
      <c r="G2769" s="41" t="s">
        <v>22531</v>
      </c>
      <c r="H2769" s="41" t="s">
        <v>22532</v>
      </c>
      <c r="I2769" s="41" t="s">
        <v>22533</v>
      </c>
      <c r="J2769" s="41" t="s">
        <v>22534</v>
      </c>
      <c r="K2769" s="41" t="s">
        <v>22535</v>
      </c>
      <c r="L2769" s="41" t="s">
        <v>891</v>
      </c>
    </row>
    <row r="2770" spans="1:19" x14ac:dyDescent="0.25">
      <c r="A2770" s="41" t="s">
        <v>23</v>
      </c>
      <c r="B2770" s="41" t="s">
        <v>22536</v>
      </c>
      <c r="D2770" s="41" t="s">
        <v>22537</v>
      </c>
      <c r="F2770" s="41" t="s">
        <v>22538</v>
      </c>
      <c r="G2770" s="41" t="s">
        <v>22539</v>
      </c>
      <c r="H2770" s="41" t="s">
        <v>22540</v>
      </c>
      <c r="I2770" s="41" t="s">
        <v>22541</v>
      </c>
      <c r="J2770" s="41" t="s">
        <v>22542</v>
      </c>
      <c r="K2770" s="41" t="s">
        <v>22543</v>
      </c>
      <c r="L2770" s="41" t="s">
        <v>1076</v>
      </c>
    </row>
    <row r="2771" spans="1:19" x14ac:dyDescent="0.25">
      <c r="A2771" s="41" t="s">
        <v>23</v>
      </c>
      <c r="B2771" s="41" t="s">
        <v>22544</v>
      </c>
      <c r="D2771" s="41" t="s">
        <v>22545</v>
      </c>
      <c r="F2771" s="41" t="s">
        <v>22546</v>
      </c>
      <c r="G2771" s="41" t="s">
        <v>22547</v>
      </c>
      <c r="H2771" s="41" t="s">
        <v>22548</v>
      </c>
      <c r="I2771" s="41" t="s">
        <v>22549</v>
      </c>
      <c r="J2771" s="41" t="s">
        <v>22550</v>
      </c>
      <c r="K2771" s="41" t="s">
        <v>22551</v>
      </c>
      <c r="L2771" s="41" t="s">
        <v>1085</v>
      </c>
    </row>
    <row r="2772" spans="1:19" x14ac:dyDescent="0.25">
      <c r="A2772" s="41" t="s">
        <v>23</v>
      </c>
      <c r="B2772" s="41" t="s">
        <v>22552</v>
      </c>
      <c r="D2772" s="41" t="s">
        <v>22553</v>
      </c>
      <c r="F2772" s="41" t="s">
        <v>22554</v>
      </c>
      <c r="G2772" s="41" t="s">
        <v>22555</v>
      </c>
      <c r="H2772" s="41" t="s">
        <v>22556</v>
      </c>
      <c r="I2772" s="41" t="s">
        <v>22557</v>
      </c>
      <c r="J2772" s="41" t="s">
        <v>22558</v>
      </c>
      <c r="K2772" s="41" t="s">
        <v>22559</v>
      </c>
      <c r="L2772" s="41" t="s">
        <v>1094</v>
      </c>
    </row>
    <row r="2773" spans="1:19" x14ac:dyDescent="0.25">
      <c r="A2773" s="41" t="s">
        <v>908</v>
      </c>
      <c r="B2773" s="41" t="s">
        <v>22560</v>
      </c>
    </row>
    <row r="2774" spans="1:19" x14ac:dyDescent="0.25">
      <c r="A2774" s="41" t="s">
        <v>23</v>
      </c>
      <c r="B2774" s="41" t="s">
        <v>22561</v>
      </c>
      <c r="F2774" s="41" t="s">
        <v>22562</v>
      </c>
      <c r="G2774" s="41" t="s">
        <v>22563</v>
      </c>
      <c r="H2774" s="41" t="s">
        <v>22564</v>
      </c>
      <c r="I2774" s="41" t="s">
        <v>22565</v>
      </c>
      <c r="J2774" s="41" t="s">
        <v>22566</v>
      </c>
      <c r="L2774" s="41" t="s">
        <v>4</v>
      </c>
    </row>
    <row r="2775" spans="1:19" x14ac:dyDescent="0.25">
      <c r="A2775" s="41" t="s">
        <v>23</v>
      </c>
      <c r="B2775" s="41" t="s">
        <v>22567</v>
      </c>
      <c r="D2775" s="41" t="s">
        <v>22432</v>
      </c>
      <c r="E2775" s="41" t="s">
        <v>22569</v>
      </c>
      <c r="F2775" s="41" t="s">
        <v>22570</v>
      </c>
      <c r="G2775" s="41" t="s">
        <v>22571</v>
      </c>
      <c r="H2775" s="41" t="s">
        <v>22572</v>
      </c>
      <c r="I2775" s="41" t="s">
        <v>22573</v>
      </c>
      <c r="J2775" s="41" t="s">
        <v>22574</v>
      </c>
      <c r="K2775" s="41" t="s">
        <v>22575</v>
      </c>
      <c r="L2775" s="41" t="s">
        <v>22576</v>
      </c>
      <c r="M2775" s="41" t="s">
        <v>22577</v>
      </c>
      <c r="N2775" s="41" t="s">
        <v>22578</v>
      </c>
      <c r="O2775" s="41" t="s">
        <v>22579</v>
      </c>
      <c r="P2775" s="41" t="s">
        <v>22580</v>
      </c>
      <c r="Q2775" s="41" t="s">
        <v>22581</v>
      </c>
      <c r="R2775" s="41" t="s">
        <v>22582</v>
      </c>
      <c r="S2775" s="41" t="s">
        <v>22583</v>
      </c>
    </row>
    <row r="2776" spans="1:19" x14ac:dyDescent="0.25">
      <c r="A2776" s="41" t="s">
        <v>23</v>
      </c>
      <c r="B2776" s="41" t="s">
        <v>22584</v>
      </c>
      <c r="D2776" s="41" t="s">
        <v>22585</v>
      </c>
      <c r="F2776" s="41" t="s">
        <v>22586</v>
      </c>
      <c r="G2776" s="41" t="s">
        <v>22587</v>
      </c>
      <c r="H2776" s="41" t="s">
        <v>22588</v>
      </c>
      <c r="I2776" s="41" t="s">
        <v>22589</v>
      </c>
      <c r="J2776" s="41" t="s">
        <v>22590</v>
      </c>
      <c r="K2776" s="41" t="s">
        <v>22591</v>
      </c>
      <c r="L2776" s="41" t="s">
        <v>891</v>
      </c>
    </row>
    <row r="2777" spans="1:19" x14ac:dyDescent="0.25">
      <c r="A2777" s="41" t="s">
        <v>23</v>
      </c>
      <c r="B2777" s="41" t="s">
        <v>22592</v>
      </c>
      <c r="D2777" s="41" t="s">
        <v>22593</v>
      </c>
      <c r="F2777" s="41" t="s">
        <v>22594</v>
      </c>
      <c r="G2777" s="41" t="s">
        <v>22595</v>
      </c>
      <c r="H2777" s="41" t="s">
        <v>22596</v>
      </c>
      <c r="I2777" s="41" t="s">
        <v>22597</v>
      </c>
      <c r="J2777" s="41" t="s">
        <v>22598</v>
      </c>
      <c r="K2777" s="41" t="s">
        <v>22599</v>
      </c>
      <c r="L2777" s="41" t="s">
        <v>1076</v>
      </c>
    </row>
    <row r="2778" spans="1:19" x14ac:dyDescent="0.25">
      <c r="A2778" s="41" t="s">
        <v>23</v>
      </c>
      <c r="B2778" s="41" t="s">
        <v>22600</v>
      </c>
      <c r="D2778" s="41" t="s">
        <v>22601</v>
      </c>
      <c r="F2778" s="41" t="s">
        <v>22602</v>
      </c>
      <c r="G2778" s="41" t="s">
        <v>22603</v>
      </c>
      <c r="H2778" s="41" t="s">
        <v>22604</v>
      </c>
      <c r="I2778" s="41" t="s">
        <v>22605</v>
      </c>
      <c r="J2778" s="41" t="s">
        <v>22606</v>
      </c>
      <c r="K2778" s="41" t="s">
        <v>22607</v>
      </c>
      <c r="L2778" s="41" t="s">
        <v>1085</v>
      </c>
    </row>
    <row r="2779" spans="1:19" x14ac:dyDescent="0.25">
      <c r="A2779" s="41" t="s">
        <v>23</v>
      </c>
      <c r="B2779" s="41" t="s">
        <v>22608</v>
      </c>
      <c r="D2779" s="41" t="s">
        <v>22609</v>
      </c>
      <c r="F2779" s="41" t="s">
        <v>22610</v>
      </c>
      <c r="G2779" s="41" t="s">
        <v>22611</v>
      </c>
      <c r="H2779" s="41" t="s">
        <v>22612</v>
      </c>
      <c r="I2779" s="41" t="s">
        <v>22613</v>
      </c>
      <c r="J2779" s="41" t="s">
        <v>22614</v>
      </c>
      <c r="K2779" s="41" t="s">
        <v>22615</v>
      </c>
      <c r="L2779" s="41" t="s">
        <v>1094</v>
      </c>
    </row>
    <row r="2780" spans="1:19" x14ac:dyDescent="0.25">
      <c r="A2780" s="41" t="s">
        <v>908</v>
      </c>
      <c r="B2780" s="41" t="s">
        <v>22616</v>
      </c>
    </row>
    <row r="2781" spans="1:19" x14ac:dyDescent="0.25">
      <c r="A2781" s="41" t="s">
        <v>23</v>
      </c>
      <c r="B2781" s="41" t="s">
        <v>22617</v>
      </c>
      <c r="F2781" s="41" t="s">
        <v>22618</v>
      </c>
      <c r="G2781" s="41" t="s">
        <v>22619</v>
      </c>
      <c r="H2781" s="41" t="s">
        <v>22620</v>
      </c>
      <c r="I2781" s="41" t="s">
        <v>22621</v>
      </c>
      <c r="J2781" s="41" t="s">
        <v>22622</v>
      </c>
      <c r="L2781" s="41" t="s">
        <v>4</v>
      </c>
    </row>
    <row r="2782" spans="1:19" x14ac:dyDescent="0.25">
      <c r="A2782" s="41" t="s">
        <v>23</v>
      </c>
      <c r="B2782" s="41" t="s">
        <v>22623</v>
      </c>
      <c r="D2782" s="41" t="s">
        <v>452</v>
      </c>
      <c r="E2782" s="41" t="s">
        <v>22625</v>
      </c>
      <c r="F2782" s="41" t="s">
        <v>22626</v>
      </c>
      <c r="G2782" s="41" t="s">
        <v>22627</v>
      </c>
      <c r="H2782" s="41" t="s">
        <v>22628</v>
      </c>
      <c r="I2782" s="41" t="s">
        <v>22629</v>
      </c>
      <c r="J2782" s="41" t="s">
        <v>22630</v>
      </c>
      <c r="K2782" s="41" t="s">
        <v>22631</v>
      </c>
      <c r="L2782" s="41" t="s">
        <v>22632</v>
      </c>
      <c r="M2782" s="41" t="s">
        <v>22633</v>
      </c>
      <c r="N2782" s="41" t="s">
        <v>22634</v>
      </c>
      <c r="O2782" s="41" t="s">
        <v>22635</v>
      </c>
      <c r="P2782" s="41" t="s">
        <v>22636</v>
      </c>
      <c r="Q2782" s="41" t="s">
        <v>22637</v>
      </c>
      <c r="R2782" s="41" t="s">
        <v>22638</v>
      </c>
      <c r="S2782" s="41" t="s">
        <v>22639</v>
      </c>
    </row>
    <row r="2783" spans="1:19" x14ac:dyDescent="0.25">
      <c r="A2783" s="41" t="s">
        <v>23</v>
      </c>
      <c r="B2783" s="41" t="s">
        <v>22640</v>
      </c>
      <c r="D2783" s="41" t="s">
        <v>22643</v>
      </c>
      <c r="F2783" s="41" t="s">
        <v>45024</v>
      </c>
      <c r="G2783" s="41" t="s">
        <v>45025</v>
      </c>
      <c r="H2783" s="41" t="s">
        <v>45026</v>
      </c>
      <c r="I2783" s="41" t="s">
        <v>45027</v>
      </c>
      <c r="J2783" s="41" t="s">
        <v>45028</v>
      </c>
      <c r="K2783" s="41" t="s">
        <v>22641</v>
      </c>
      <c r="L2783" s="41" t="s">
        <v>891</v>
      </c>
    </row>
    <row r="2784" spans="1:19" x14ac:dyDescent="0.25">
      <c r="A2784" s="41" t="s">
        <v>23</v>
      </c>
      <c r="B2784" s="41" t="s">
        <v>22642</v>
      </c>
      <c r="D2784" s="41" t="s">
        <v>22651</v>
      </c>
      <c r="F2784" s="41" t="s">
        <v>22644</v>
      </c>
      <c r="G2784" s="41" t="s">
        <v>22645</v>
      </c>
      <c r="H2784" s="41" t="s">
        <v>22646</v>
      </c>
      <c r="I2784" s="41" t="s">
        <v>22647</v>
      </c>
      <c r="J2784" s="41" t="s">
        <v>22648</v>
      </c>
      <c r="K2784" s="41" t="s">
        <v>22649</v>
      </c>
      <c r="L2784" s="41" t="s">
        <v>1076</v>
      </c>
    </row>
    <row r="2785" spans="1:19" x14ac:dyDescent="0.25">
      <c r="A2785" s="41" t="s">
        <v>23</v>
      </c>
      <c r="B2785" s="41" t="s">
        <v>22650</v>
      </c>
      <c r="D2785" s="41" t="s">
        <v>22659</v>
      </c>
      <c r="F2785" s="41" t="s">
        <v>22652</v>
      </c>
      <c r="G2785" s="41" t="s">
        <v>22653</v>
      </c>
      <c r="H2785" s="41" t="s">
        <v>22654</v>
      </c>
      <c r="I2785" s="41" t="s">
        <v>22655</v>
      </c>
      <c r="J2785" s="41" t="s">
        <v>22656</v>
      </c>
      <c r="K2785" s="41" t="s">
        <v>22657</v>
      </c>
      <c r="L2785" s="41" t="s">
        <v>1085</v>
      </c>
    </row>
    <row r="2786" spans="1:19" x14ac:dyDescent="0.25">
      <c r="A2786" s="41" t="s">
        <v>23</v>
      </c>
      <c r="B2786" s="41" t="s">
        <v>22658</v>
      </c>
      <c r="D2786" s="41" t="s">
        <v>22666</v>
      </c>
      <c r="F2786" s="41" t="s">
        <v>22660</v>
      </c>
      <c r="G2786" s="41" t="s">
        <v>22661</v>
      </c>
      <c r="H2786" s="41" t="s">
        <v>22662</v>
      </c>
      <c r="I2786" s="41" t="s">
        <v>22663</v>
      </c>
      <c r="J2786" s="41" t="s">
        <v>22664</v>
      </c>
      <c r="K2786" s="41" t="s">
        <v>22665</v>
      </c>
      <c r="L2786" s="41" t="s">
        <v>1094</v>
      </c>
    </row>
    <row r="2787" spans="1:19" x14ac:dyDescent="0.25">
      <c r="A2787" s="41" t="s">
        <v>908</v>
      </c>
      <c r="B2787" s="41" t="s">
        <v>45029</v>
      </c>
    </row>
    <row r="2788" spans="1:19" x14ac:dyDescent="0.25">
      <c r="A2788" s="41" t="s">
        <v>23</v>
      </c>
      <c r="B2788" s="41" t="s">
        <v>45030</v>
      </c>
      <c r="F2788" s="41" t="s">
        <v>45031</v>
      </c>
      <c r="G2788" s="41" t="s">
        <v>45032</v>
      </c>
      <c r="H2788" s="41" t="s">
        <v>45033</v>
      </c>
      <c r="I2788" s="41" t="s">
        <v>45034</v>
      </c>
      <c r="J2788" s="41" t="s">
        <v>45035</v>
      </c>
      <c r="L2788" s="41" t="s">
        <v>4</v>
      </c>
    </row>
    <row r="2789" spans="1:19" x14ac:dyDescent="0.25">
      <c r="A2789" s="41" t="s">
        <v>23</v>
      </c>
      <c r="B2789" s="41" t="s">
        <v>45036</v>
      </c>
      <c r="D2789" s="41" t="s">
        <v>22512</v>
      </c>
      <c r="E2789" s="41" t="s">
        <v>45037</v>
      </c>
      <c r="F2789" s="41" t="s">
        <v>45038</v>
      </c>
      <c r="G2789" s="41" t="s">
        <v>45039</v>
      </c>
      <c r="H2789" s="41" t="s">
        <v>45040</v>
      </c>
      <c r="I2789" s="41" t="s">
        <v>45041</v>
      </c>
      <c r="J2789" s="41" t="s">
        <v>45042</v>
      </c>
      <c r="K2789" s="41" t="s">
        <v>45043</v>
      </c>
      <c r="L2789" s="41" t="s">
        <v>45044</v>
      </c>
      <c r="M2789" s="41" t="s">
        <v>45045</v>
      </c>
      <c r="N2789" s="41" t="s">
        <v>45046</v>
      </c>
      <c r="O2789" s="41" t="s">
        <v>45047</v>
      </c>
      <c r="P2789" s="41" t="s">
        <v>45048</v>
      </c>
      <c r="Q2789" s="41" t="s">
        <v>45049</v>
      </c>
      <c r="R2789" s="41" t="s">
        <v>45050</v>
      </c>
      <c r="S2789" s="41" t="s">
        <v>45051</v>
      </c>
    </row>
    <row r="2790" spans="1:19" x14ac:dyDescent="0.25">
      <c r="A2790" s="41" t="s">
        <v>23</v>
      </c>
      <c r="B2790" s="41" t="s">
        <v>22667</v>
      </c>
      <c r="D2790" s="41" t="s">
        <v>45052</v>
      </c>
      <c r="F2790" s="41" t="s">
        <v>45053</v>
      </c>
      <c r="G2790" s="41" t="s">
        <v>45054</v>
      </c>
      <c r="H2790" s="41" t="s">
        <v>45055</v>
      </c>
      <c r="I2790" s="41" t="s">
        <v>45056</v>
      </c>
      <c r="J2790" s="41" t="s">
        <v>45057</v>
      </c>
      <c r="K2790" s="41" t="s">
        <v>22669</v>
      </c>
      <c r="L2790" s="41" t="s">
        <v>891</v>
      </c>
    </row>
    <row r="2791" spans="1:19" x14ac:dyDescent="0.25">
      <c r="A2791" s="41" t="s">
        <v>23</v>
      </c>
      <c r="B2791" s="41" t="s">
        <v>22670</v>
      </c>
      <c r="D2791" s="41" t="s">
        <v>22671</v>
      </c>
      <c r="F2791" s="41" t="s">
        <v>22672</v>
      </c>
      <c r="G2791" s="41" t="s">
        <v>22673</v>
      </c>
      <c r="H2791" s="41" t="s">
        <v>22674</v>
      </c>
      <c r="I2791" s="41" t="s">
        <v>22675</v>
      </c>
      <c r="J2791" s="41" t="s">
        <v>22676</v>
      </c>
      <c r="K2791" s="41" t="s">
        <v>22677</v>
      </c>
      <c r="L2791" s="41" t="s">
        <v>1076</v>
      </c>
    </row>
    <row r="2792" spans="1:19" x14ac:dyDescent="0.25">
      <c r="A2792" s="41" t="s">
        <v>23</v>
      </c>
      <c r="B2792" s="41" t="s">
        <v>22678</v>
      </c>
      <c r="D2792" s="41" t="s">
        <v>22679</v>
      </c>
      <c r="F2792" s="41" t="s">
        <v>22680</v>
      </c>
      <c r="G2792" s="41" t="s">
        <v>22681</v>
      </c>
      <c r="H2792" s="41" t="s">
        <v>22682</v>
      </c>
      <c r="I2792" s="41" t="s">
        <v>22683</v>
      </c>
      <c r="J2792" s="41" t="s">
        <v>22684</v>
      </c>
      <c r="K2792" s="41" t="s">
        <v>22685</v>
      </c>
      <c r="L2792" s="41" t="s">
        <v>1085</v>
      </c>
    </row>
    <row r="2793" spans="1:19" x14ac:dyDescent="0.25">
      <c r="A2793" s="41" t="s">
        <v>23</v>
      </c>
      <c r="B2793" s="41" t="s">
        <v>22686</v>
      </c>
      <c r="D2793" s="41" t="s">
        <v>22687</v>
      </c>
      <c r="F2793" s="41" t="s">
        <v>22688</v>
      </c>
      <c r="G2793" s="41" t="s">
        <v>22689</v>
      </c>
      <c r="H2793" s="41" t="s">
        <v>22690</v>
      </c>
      <c r="I2793" s="41" t="s">
        <v>22691</v>
      </c>
      <c r="J2793" s="41" t="s">
        <v>22692</v>
      </c>
      <c r="K2793" s="41" t="s">
        <v>22693</v>
      </c>
      <c r="L2793" s="41" t="s">
        <v>1094</v>
      </c>
    </row>
    <row r="2794" spans="1:19" x14ac:dyDescent="0.25">
      <c r="A2794" s="41" t="s">
        <v>908</v>
      </c>
      <c r="B2794" s="41" t="s">
        <v>45058</v>
      </c>
    </row>
    <row r="2795" spans="1:19" x14ac:dyDescent="0.25">
      <c r="A2795" s="41" t="s">
        <v>23</v>
      </c>
      <c r="B2795" s="41" t="s">
        <v>45059</v>
      </c>
      <c r="F2795" s="41" t="s">
        <v>45060</v>
      </c>
      <c r="G2795" s="41" t="s">
        <v>45061</v>
      </c>
      <c r="H2795" s="41" t="s">
        <v>45062</v>
      </c>
      <c r="I2795" s="41" t="s">
        <v>45063</v>
      </c>
      <c r="J2795" s="41" t="s">
        <v>45064</v>
      </c>
      <c r="L2795" s="41" t="s">
        <v>4</v>
      </c>
    </row>
    <row r="2796" spans="1:19" x14ac:dyDescent="0.25">
      <c r="A2796" s="41" t="s">
        <v>23</v>
      </c>
      <c r="B2796" s="41" t="s">
        <v>45065</v>
      </c>
      <c r="D2796" s="41" t="s">
        <v>22568</v>
      </c>
      <c r="E2796" s="41" t="s">
        <v>45066</v>
      </c>
      <c r="F2796" s="41" t="s">
        <v>45067</v>
      </c>
      <c r="G2796" s="41" t="s">
        <v>45068</v>
      </c>
      <c r="H2796" s="41" t="s">
        <v>45069</v>
      </c>
      <c r="I2796" s="41" t="s">
        <v>45070</v>
      </c>
      <c r="J2796" s="41" t="s">
        <v>45071</v>
      </c>
      <c r="K2796" s="41" t="s">
        <v>45072</v>
      </c>
      <c r="L2796" s="41" t="s">
        <v>45073</v>
      </c>
      <c r="M2796" s="41" t="s">
        <v>45074</v>
      </c>
      <c r="N2796" s="41" t="s">
        <v>45075</v>
      </c>
      <c r="O2796" s="41" t="s">
        <v>45076</v>
      </c>
      <c r="P2796" s="41" t="s">
        <v>45077</v>
      </c>
      <c r="Q2796" s="41" t="s">
        <v>45078</v>
      </c>
      <c r="R2796" s="41" t="s">
        <v>45079</v>
      </c>
      <c r="S2796" s="41" t="s">
        <v>45080</v>
      </c>
    </row>
    <row r="2797" spans="1:19" x14ac:dyDescent="0.25">
      <c r="A2797" s="41" t="s">
        <v>23</v>
      </c>
      <c r="B2797" s="41" t="s">
        <v>22694</v>
      </c>
      <c r="D2797" s="41" t="s">
        <v>45081</v>
      </c>
      <c r="F2797" s="41" t="s">
        <v>45082</v>
      </c>
      <c r="G2797" s="41" t="s">
        <v>45083</v>
      </c>
      <c r="H2797" s="41" t="s">
        <v>45084</v>
      </c>
      <c r="I2797" s="41" t="s">
        <v>45085</v>
      </c>
      <c r="J2797" s="41" t="s">
        <v>45086</v>
      </c>
      <c r="K2797" s="41" t="s">
        <v>22696</v>
      </c>
      <c r="L2797" s="41" t="s">
        <v>891</v>
      </c>
    </row>
    <row r="2798" spans="1:19" x14ac:dyDescent="0.25">
      <c r="A2798" s="41" t="s">
        <v>23</v>
      </c>
      <c r="B2798" s="41" t="s">
        <v>22697</v>
      </c>
      <c r="D2798" s="41" t="s">
        <v>22698</v>
      </c>
      <c r="F2798" s="41" t="s">
        <v>22699</v>
      </c>
      <c r="G2798" s="41" t="s">
        <v>22700</v>
      </c>
      <c r="H2798" s="41" t="s">
        <v>22701</v>
      </c>
      <c r="I2798" s="41" t="s">
        <v>22702</v>
      </c>
      <c r="J2798" s="41" t="s">
        <v>22703</v>
      </c>
      <c r="K2798" s="41" t="s">
        <v>22704</v>
      </c>
      <c r="L2798" s="41" t="s">
        <v>1076</v>
      </c>
    </row>
    <row r="2799" spans="1:19" x14ac:dyDescent="0.25">
      <c r="A2799" s="41" t="s">
        <v>23</v>
      </c>
      <c r="B2799" s="41" t="s">
        <v>22705</v>
      </c>
      <c r="D2799" s="41" t="s">
        <v>22706</v>
      </c>
      <c r="F2799" s="41" t="s">
        <v>22707</v>
      </c>
      <c r="G2799" s="41" t="s">
        <v>22708</v>
      </c>
      <c r="H2799" s="41" t="s">
        <v>22709</v>
      </c>
      <c r="I2799" s="41" t="s">
        <v>22710</v>
      </c>
      <c r="J2799" s="41" t="s">
        <v>22711</v>
      </c>
      <c r="K2799" s="41" t="s">
        <v>22712</v>
      </c>
      <c r="L2799" s="41" t="s">
        <v>1085</v>
      </c>
    </row>
    <row r="2800" spans="1:19" x14ac:dyDescent="0.25">
      <c r="A2800" s="41" t="s">
        <v>23</v>
      </c>
      <c r="B2800" s="41" t="s">
        <v>22713</v>
      </c>
      <c r="D2800" s="41" t="s">
        <v>22714</v>
      </c>
      <c r="F2800" s="41" t="s">
        <v>22715</v>
      </c>
      <c r="G2800" s="41" t="s">
        <v>22716</v>
      </c>
      <c r="H2800" s="41" t="s">
        <v>22717</v>
      </c>
      <c r="I2800" s="41" t="s">
        <v>22718</v>
      </c>
      <c r="J2800" s="41" t="s">
        <v>22719</v>
      </c>
      <c r="K2800" s="41" t="s">
        <v>22720</v>
      </c>
      <c r="L2800" s="41" t="s">
        <v>1094</v>
      </c>
    </row>
    <row r="2801" spans="1:19" x14ac:dyDescent="0.25">
      <c r="A2801" s="41" t="s">
        <v>908</v>
      </c>
      <c r="B2801" s="41" t="s">
        <v>45087</v>
      </c>
    </row>
    <row r="2802" spans="1:19" x14ac:dyDescent="0.25">
      <c r="A2802" s="41" t="s">
        <v>23</v>
      </c>
      <c r="B2802" s="41" t="s">
        <v>45088</v>
      </c>
      <c r="F2802" s="41" t="s">
        <v>45089</v>
      </c>
      <c r="G2802" s="41" t="s">
        <v>45090</v>
      </c>
      <c r="H2802" s="41" t="s">
        <v>45091</v>
      </c>
      <c r="I2802" s="41" t="s">
        <v>45092</v>
      </c>
      <c r="J2802" s="41" t="s">
        <v>45093</v>
      </c>
      <c r="L2802" s="41" t="s">
        <v>4</v>
      </c>
    </row>
    <row r="2803" spans="1:19" x14ac:dyDescent="0.25">
      <c r="A2803" s="41" t="s">
        <v>23</v>
      </c>
      <c r="B2803" s="41" t="s">
        <v>45094</v>
      </c>
      <c r="D2803" s="41" t="s">
        <v>22624</v>
      </c>
      <c r="E2803" s="41" t="s">
        <v>45095</v>
      </c>
      <c r="F2803" s="41" t="s">
        <v>45096</v>
      </c>
      <c r="G2803" s="41" t="s">
        <v>45097</v>
      </c>
      <c r="H2803" s="41" t="s">
        <v>45098</v>
      </c>
      <c r="I2803" s="41" t="s">
        <v>45099</v>
      </c>
      <c r="J2803" s="41" t="s">
        <v>45100</v>
      </c>
      <c r="K2803" s="41" t="s">
        <v>45101</v>
      </c>
      <c r="L2803" s="41" t="s">
        <v>45102</v>
      </c>
      <c r="M2803" s="41" t="s">
        <v>45103</v>
      </c>
      <c r="N2803" s="41" t="s">
        <v>45104</v>
      </c>
      <c r="O2803" s="41" t="s">
        <v>45105</v>
      </c>
      <c r="P2803" s="41" t="s">
        <v>45106</v>
      </c>
      <c r="Q2803" s="41" t="s">
        <v>45107</v>
      </c>
      <c r="R2803" s="41" t="s">
        <v>45108</v>
      </c>
      <c r="S2803" s="41" t="s">
        <v>45109</v>
      </c>
    </row>
    <row r="2804" spans="1:19" x14ac:dyDescent="0.25">
      <c r="A2804" s="41" t="s">
        <v>23</v>
      </c>
      <c r="B2804" s="41" t="s">
        <v>22721</v>
      </c>
      <c r="D2804" s="41" t="s">
        <v>22624</v>
      </c>
      <c r="E2804" s="41" t="s">
        <v>453</v>
      </c>
      <c r="F2804" s="41" t="s">
        <v>22723</v>
      </c>
      <c r="G2804" s="41" t="s">
        <v>22724</v>
      </c>
      <c r="H2804" s="41" t="s">
        <v>22725</v>
      </c>
      <c r="I2804" s="41" t="s">
        <v>22726</v>
      </c>
      <c r="J2804" s="41" t="s">
        <v>22727</v>
      </c>
      <c r="K2804" s="41" t="s">
        <v>22728</v>
      </c>
      <c r="L2804" s="41" t="s">
        <v>22729</v>
      </c>
      <c r="M2804" s="41" t="s">
        <v>22730</v>
      </c>
      <c r="N2804" s="41" t="s">
        <v>22731</v>
      </c>
      <c r="O2804" s="41" t="s">
        <v>22732</v>
      </c>
      <c r="P2804" s="41" t="s">
        <v>22733</v>
      </c>
      <c r="Q2804" s="41" t="s">
        <v>22734</v>
      </c>
      <c r="R2804" s="41" t="s">
        <v>22735</v>
      </c>
      <c r="S2804" s="41" t="s">
        <v>22736</v>
      </c>
    </row>
    <row r="2805" spans="1:19" x14ac:dyDescent="0.25">
      <c r="A2805" s="41" t="s">
        <v>23</v>
      </c>
      <c r="B2805" s="41" t="s">
        <v>22737</v>
      </c>
      <c r="D2805" s="41" t="s">
        <v>45110</v>
      </c>
      <c r="F2805" s="41" t="s">
        <v>22739</v>
      </c>
      <c r="G2805" s="41" t="s">
        <v>22740</v>
      </c>
      <c r="H2805" s="41" t="s">
        <v>22741</v>
      </c>
      <c r="I2805" s="41" t="s">
        <v>22742</v>
      </c>
      <c r="J2805" s="41" t="s">
        <v>22743</v>
      </c>
      <c r="K2805" s="41" t="s">
        <v>22744</v>
      </c>
      <c r="L2805" s="41" t="s">
        <v>891</v>
      </c>
    </row>
    <row r="2806" spans="1:19" x14ac:dyDescent="0.25">
      <c r="A2806" s="41" t="s">
        <v>23</v>
      </c>
      <c r="B2806" s="41" t="s">
        <v>22745</v>
      </c>
      <c r="D2806" s="41" t="s">
        <v>22738</v>
      </c>
      <c r="F2806" s="41" t="s">
        <v>22747</v>
      </c>
      <c r="G2806" s="41" t="s">
        <v>22748</v>
      </c>
      <c r="H2806" s="41" t="s">
        <v>22749</v>
      </c>
      <c r="I2806" s="41" t="s">
        <v>22750</v>
      </c>
      <c r="J2806" s="41" t="s">
        <v>22751</v>
      </c>
      <c r="K2806" s="41" t="s">
        <v>22752</v>
      </c>
      <c r="L2806" s="41" t="s">
        <v>1076</v>
      </c>
    </row>
    <row r="2807" spans="1:19" x14ac:dyDescent="0.25">
      <c r="A2807" s="41" t="s">
        <v>23</v>
      </c>
      <c r="B2807" s="41" t="s">
        <v>22753</v>
      </c>
      <c r="D2807" s="41" t="s">
        <v>22746</v>
      </c>
      <c r="F2807" s="41" t="s">
        <v>22755</v>
      </c>
      <c r="G2807" s="41" t="s">
        <v>22756</v>
      </c>
      <c r="H2807" s="41" t="s">
        <v>22757</v>
      </c>
      <c r="I2807" s="41" t="s">
        <v>22758</v>
      </c>
      <c r="J2807" s="41" t="s">
        <v>22759</v>
      </c>
      <c r="K2807" s="41" t="s">
        <v>22760</v>
      </c>
      <c r="L2807" s="41" t="s">
        <v>1085</v>
      </c>
    </row>
    <row r="2808" spans="1:19" x14ac:dyDescent="0.25">
      <c r="A2808" s="41" t="s">
        <v>23</v>
      </c>
      <c r="B2808" s="41" t="s">
        <v>22761</v>
      </c>
      <c r="D2808" s="41" t="s">
        <v>22754</v>
      </c>
      <c r="F2808" s="41" t="s">
        <v>22762</v>
      </c>
      <c r="G2808" s="41" t="s">
        <v>22763</v>
      </c>
      <c r="H2808" s="41" t="s">
        <v>22764</v>
      </c>
      <c r="I2808" s="41" t="s">
        <v>22765</v>
      </c>
      <c r="J2808" s="41" t="s">
        <v>22766</v>
      </c>
      <c r="K2808" s="41" t="s">
        <v>22767</v>
      </c>
      <c r="L2808" s="41" t="s">
        <v>1094</v>
      </c>
    </row>
    <row r="2809" spans="1:19" x14ac:dyDescent="0.25">
      <c r="A2809" s="41" t="s">
        <v>908</v>
      </c>
      <c r="B2809" s="41" t="s">
        <v>22768</v>
      </c>
    </row>
    <row r="2810" spans="1:19" x14ac:dyDescent="0.25">
      <c r="A2810" s="41" t="s">
        <v>23</v>
      </c>
      <c r="B2810" s="41" t="s">
        <v>22769</v>
      </c>
      <c r="F2810" s="41" t="s">
        <v>22770</v>
      </c>
      <c r="G2810" s="41" t="s">
        <v>22771</v>
      </c>
      <c r="H2810" s="41" t="s">
        <v>22772</v>
      </c>
      <c r="I2810" s="41" t="s">
        <v>22773</v>
      </c>
      <c r="J2810" s="41" t="s">
        <v>22774</v>
      </c>
      <c r="L2810" s="41" t="s">
        <v>4</v>
      </c>
    </row>
    <row r="2811" spans="1:19" x14ac:dyDescent="0.25">
      <c r="A2811" s="41" t="s">
        <v>23</v>
      </c>
      <c r="B2811" s="41" t="s">
        <v>22775</v>
      </c>
      <c r="D2811" s="41" t="s">
        <v>22668</v>
      </c>
      <c r="E2811" s="41" t="s">
        <v>22777</v>
      </c>
      <c r="F2811" s="41" t="s">
        <v>22778</v>
      </c>
      <c r="G2811" s="41" t="s">
        <v>22779</v>
      </c>
      <c r="H2811" s="41" t="s">
        <v>22780</v>
      </c>
      <c r="I2811" s="41" t="s">
        <v>22781</v>
      </c>
      <c r="J2811" s="41" t="s">
        <v>22782</v>
      </c>
      <c r="K2811" s="41" t="s">
        <v>22783</v>
      </c>
      <c r="L2811" s="41" t="s">
        <v>22784</v>
      </c>
      <c r="M2811" s="41" t="s">
        <v>22785</v>
      </c>
      <c r="N2811" s="41" t="s">
        <v>22786</v>
      </c>
      <c r="O2811" s="41" t="s">
        <v>22787</v>
      </c>
      <c r="P2811" s="41" t="s">
        <v>22788</v>
      </c>
      <c r="Q2811" s="41" t="s">
        <v>22789</v>
      </c>
      <c r="R2811" s="41" t="s">
        <v>22790</v>
      </c>
      <c r="S2811" s="41" t="s">
        <v>22791</v>
      </c>
    </row>
    <row r="2812" spans="1:19" x14ac:dyDescent="0.25">
      <c r="A2812" s="41" t="s">
        <v>23</v>
      </c>
      <c r="B2812" s="41" t="s">
        <v>22792</v>
      </c>
      <c r="D2812" s="41" t="s">
        <v>22793</v>
      </c>
      <c r="F2812" s="41" t="s">
        <v>22794</v>
      </c>
      <c r="G2812" s="41" t="s">
        <v>22795</v>
      </c>
      <c r="H2812" s="41" t="s">
        <v>22796</v>
      </c>
      <c r="I2812" s="41" t="s">
        <v>22797</v>
      </c>
      <c r="J2812" s="41" t="s">
        <v>22798</v>
      </c>
      <c r="K2812" s="41" t="s">
        <v>22799</v>
      </c>
      <c r="L2812" s="41" t="s">
        <v>891</v>
      </c>
    </row>
    <row r="2813" spans="1:19" x14ac:dyDescent="0.25">
      <c r="A2813" s="41" t="s">
        <v>23</v>
      </c>
      <c r="B2813" s="41" t="s">
        <v>22800</v>
      </c>
      <c r="D2813" s="41" t="s">
        <v>22801</v>
      </c>
      <c r="F2813" s="41" t="s">
        <v>22802</v>
      </c>
      <c r="G2813" s="41" t="s">
        <v>22803</v>
      </c>
      <c r="H2813" s="41" t="s">
        <v>22804</v>
      </c>
      <c r="I2813" s="41" t="s">
        <v>22805</v>
      </c>
      <c r="J2813" s="41" t="s">
        <v>22806</v>
      </c>
      <c r="K2813" s="41" t="s">
        <v>22807</v>
      </c>
      <c r="L2813" s="41" t="s">
        <v>1076</v>
      </c>
    </row>
    <row r="2814" spans="1:19" x14ac:dyDescent="0.25">
      <c r="A2814" s="41" t="s">
        <v>23</v>
      </c>
      <c r="B2814" s="41" t="s">
        <v>22808</v>
      </c>
      <c r="D2814" s="41" t="s">
        <v>22809</v>
      </c>
      <c r="F2814" s="41" t="s">
        <v>22810</v>
      </c>
      <c r="G2814" s="41" t="s">
        <v>22811</v>
      </c>
      <c r="H2814" s="41" t="s">
        <v>22812</v>
      </c>
      <c r="I2814" s="41" t="s">
        <v>22813</v>
      </c>
      <c r="J2814" s="41" t="s">
        <v>22814</v>
      </c>
      <c r="K2814" s="41" t="s">
        <v>22815</v>
      </c>
      <c r="L2814" s="41" t="s">
        <v>1085</v>
      </c>
    </row>
    <row r="2815" spans="1:19" x14ac:dyDescent="0.25">
      <c r="A2815" s="41" t="s">
        <v>23</v>
      </c>
      <c r="B2815" s="41" t="s">
        <v>22816</v>
      </c>
      <c r="D2815" s="41" t="s">
        <v>22817</v>
      </c>
      <c r="F2815" s="41" t="s">
        <v>22818</v>
      </c>
      <c r="G2815" s="41" t="s">
        <v>22819</v>
      </c>
      <c r="H2815" s="41" t="s">
        <v>22820</v>
      </c>
      <c r="I2815" s="41" t="s">
        <v>22821</v>
      </c>
      <c r="J2815" s="41" t="s">
        <v>22822</v>
      </c>
      <c r="K2815" s="41" t="s">
        <v>22823</v>
      </c>
      <c r="L2815" s="41" t="s">
        <v>1094</v>
      </c>
    </row>
    <row r="2816" spans="1:19" x14ac:dyDescent="0.25">
      <c r="A2816" s="41" t="s">
        <v>908</v>
      </c>
      <c r="B2816" s="41" t="s">
        <v>22824</v>
      </c>
    </row>
    <row r="2817" spans="1:19" x14ac:dyDescent="0.25">
      <c r="A2817" s="41" t="s">
        <v>23</v>
      </c>
      <c r="B2817" s="41" t="s">
        <v>22825</v>
      </c>
      <c r="F2817" s="41" t="s">
        <v>22826</v>
      </c>
      <c r="G2817" s="41" t="s">
        <v>22827</v>
      </c>
      <c r="H2817" s="41" t="s">
        <v>22828</v>
      </c>
      <c r="I2817" s="41" t="s">
        <v>22829</v>
      </c>
      <c r="J2817" s="41" t="s">
        <v>22830</v>
      </c>
      <c r="L2817" s="41" t="s">
        <v>4</v>
      </c>
    </row>
    <row r="2818" spans="1:19" x14ac:dyDescent="0.25">
      <c r="A2818" s="41" t="s">
        <v>23</v>
      </c>
      <c r="B2818" s="41" t="s">
        <v>22831</v>
      </c>
      <c r="D2818" s="41" t="s">
        <v>22695</v>
      </c>
      <c r="E2818" s="41" t="s">
        <v>22833</v>
      </c>
      <c r="F2818" s="41" t="s">
        <v>22834</v>
      </c>
      <c r="G2818" s="41" t="s">
        <v>22835</v>
      </c>
      <c r="H2818" s="41" t="s">
        <v>22836</v>
      </c>
      <c r="I2818" s="41" t="s">
        <v>22837</v>
      </c>
      <c r="J2818" s="41" t="s">
        <v>22838</v>
      </c>
      <c r="K2818" s="41" t="s">
        <v>22839</v>
      </c>
      <c r="L2818" s="41" t="s">
        <v>22840</v>
      </c>
      <c r="M2818" s="41" t="s">
        <v>22841</v>
      </c>
      <c r="N2818" s="41" t="s">
        <v>22842</v>
      </c>
      <c r="O2818" s="41" t="s">
        <v>22843</v>
      </c>
      <c r="P2818" s="41" t="s">
        <v>22844</v>
      </c>
      <c r="Q2818" s="41" t="s">
        <v>22845</v>
      </c>
      <c r="R2818" s="41" t="s">
        <v>22846</v>
      </c>
      <c r="S2818" s="41" t="s">
        <v>22847</v>
      </c>
    </row>
    <row r="2819" spans="1:19" x14ac:dyDescent="0.25">
      <c r="A2819" s="41" t="s">
        <v>23</v>
      </c>
      <c r="B2819" s="41" t="s">
        <v>22848</v>
      </c>
      <c r="D2819" s="41" t="s">
        <v>22849</v>
      </c>
      <c r="F2819" s="41" t="s">
        <v>22850</v>
      </c>
      <c r="G2819" s="41" t="s">
        <v>22851</v>
      </c>
      <c r="H2819" s="41" t="s">
        <v>22852</v>
      </c>
      <c r="I2819" s="41" t="s">
        <v>22853</v>
      </c>
      <c r="J2819" s="41" t="s">
        <v>22854</v>
      </c>
      <c r="K2819" s="41" t="s">
        <v>22855</v>
      </c>
      <c r="L2819" s="41" t="s">
        <v>891</v>
      </c>
    </row>
    <row r="2820" spans="1:19" x14ac:dyDescent="0.25">
      <c r="A2820" s="41" t="s">
        <v>23</v>
      </c>
      <c r="B2820" s="41" t="s">
        <v>22856</v>
      </c>
      <c r="D2820" s="41" t="s">
        <v>22857</v>
      </c>
      <c r="F2820" s="41" t="s">
        <v>22858</v>
      </c>
      <c r="G2820" s="41" t="s">
        <v>22859</v>
      </c>
      <c r="H2820" s="41" t="s">
        <v>22860</v>
      </c>
      <c r="I2820" s="41" t="s">
        <v>22861</v>
      </c>
      <c r="J2820" s="41" t="s">
        <v>22862</v>
      </c>
      <c r="K2820" s="41" t="s">
        <v>22863</v>
      </c>
      <c r="L2820" s="41" t="s">
        <v>1076</v>
      </c>
    </row>
    <row r="2821" spans="1:19" x14ac:dyDescent="0.25">
      <c r="A2821" s="41" t="s">
        <v>23</v>
      </c>
      <c r="B2821" s="41" t="s">
        <v>22864</v>
      </c>
      <c r="D2821" s="41" t="s">
        <v>22865</v>
      </c>
      <c r="F2821" s="41" t="s">
        <v>22866</v>
      </c>
      <c r="G2821" s="41" t="s">
        <v>22867</v>
      </c>
      <c r="H2821" s="41" t="s">
        <v>22868</v>
      </c>
      <c r="I2821" s="41" t="s">
        <v>22869</v>
      </c>
      <c r="J2821" s="41" t="s">
        <v>22870</v>
      </c>
      <c r="K2821" s="41" t="s">
        <v>22871</v>
      </c>
      <c r="L2821" s="41" t="s">
        <v>1085</v>
      </c>
    </row>
    <row r="2822" spans="1:19" x14ac:dyDescent="0.25">
      <c r="A2822" s="41" t="s">
        <v>23</v>
      </c>
      <c r="B2822" s="41" t="s">
        <v>22872</v>
      </c>
      <c r="D2822" s="41" t="s">
        <v>22873</v>
      </c>
      <c r="F2822" s="41" t="s">
        <v>22874</v>
      </c>
      <c r="G2822" s="41" t="s">
        <v>22875</v>
      </c>
      <c r="H2822" s="41" t="s">
        <v>22876</v>
      </c>
      <c r="I2822" s="41" t="s">
        <v>22877</v>
      </c>
      <c r="J2822" s="41" t="s">
        <v>22878</v>
      </c>
      <c r="K2822" s="41" t="s">
        <v>22879</v>
      </c>
      <c r="L2822" s="41" t="s">
        <v>1094</v>
      </c>
    </row>
    <row r="2823" spans="1:19" x14ac:dyDescent="0.25">
      <c r="A2823" s="41" t="s">
        <v>908</v>
      </c>
      <c r="B2823" s="41" t="s">
        <v>22880</v>
      </c>
    </row>
    <row r="2824" spans="1:19" x14ac:dyDescent="0.25">
      <c r="A2824" s="41" t="s">
        <v>23</v>
      </c>
      <c r="B2824" s="41" t="s">
        <v>22881</v>
      </c>
      <c r="F2824" s="41" t="s">
        <v>22882</v>
      </c>
      <c r="G2824" s="41" t="s">
        <v>22883</v>
      </c>
      <c r="H2824" s="41" t="s">
        <v>22884</v>
      </c>
      <c r="I2824" s="41" t="s">
        <v>22885</v>
      </c>
      <c r="J2824" s="41" t="s">
        <v>22886</v>
      </c>
      <c r="L2824" s="41" t="s">
        <v>4</v>
      </c>
    </row>
    <row r="2825" spans="1:19" x14ac:dyDescent="0.25">
      <c r="A2825" s="41" t="s">
        <v>23</v>
      </c>
      <c r="B2825" s="41" t="s">
        <v>22887</v>
      </c>
      <c r="D2825" s="41" t="s">
        <v>22722</v>
      </c>
      <c r="E2825" s="41" t="s">
        <v>22889</v>
      </c>
      <c r="F2825" s="41" t="s">
        <v>22890</v>
      </c>
      <c r="G2825" s="41" t="s">
        <v>22891</v>
      </c>
      <c r="H2825" s="41" t="s">
        <v>22892</v>
      </c>
      <c r="I2825" s="41" t="s">
        <v>22893</v>
      </c>
      <c r="J2825" s="41" t="s">
        <v>22894</v>
      </c>
      <c r="K2825" s="41" t="s">
        <v>22895</v>
      </c>
      <c r="L2825" s="41" t="s">
        <v>22896</v>
      </c>
      <c r="M2825" s="41" t="s">
        <v>22897</v>
      </c>
      <c r="N2825" s="41" t="s">
        <v>22898</v>
      </c>
      <c r="O2825" s="41" t="s">
        <v>22899</v>
      </c>
      <c r="P2825" s="41" t="s">
        <v>22900</v>
      </c>
      <c r="Q2825" s="41" t="s">
        <v>22901</v>
      </c>
      <c r="R2825" s="41" t="s">
        <v>22902</v>
      </c>
      <c r="S2825" s="41" t="s">
        <v>22903</v>
      </c>
    </row>
    <row r="2826" spans="1:19" x14ac:dyDescent="0.25">
      <c r="A2826" s="41" t="s">
        <v>23</v>
      </c>
      <c r="B2826" s="41" t="s">
        <v>22904</v>
      </c>
      <c r="D2826" s="41" t="s">
        <v>22905</v>
      </c>
      <c r="F2826" s="41" t="s">
        <v>22906</v>
      </c>
      <c r="G2826" s="41" t="s">
        <v>22907</v>
      </c>
      <c r="H2826" s="41" t="s">
        <v>22908</v>
      </c>
      <c r="I2826" s="41" t="s">
        <v>22909</v>
      </c>
      <c r="J2826" s="41" t="s">
        <v>22910</v>
      </c>
      <c r="K2826" s="41" t="s">
        <v>22911</v>
      </c>
      <c r="L2826" s="41" t="s">
        <v>891</v>
      </c>
    </row>
    <row r="2827" spans="1:19" x14ac:dyDescent="0.25">
      <c r="A2827" s="41" t="s">
        <v>23</v>
      </c>
      <c r="B2827" s="41" t="s">
        <v>22912</v>
      </c>
      <c r="D2827" s="41" t="s">
        <v>22913</v>
      </c>
      <c r="F2827" s="41" t="s">
        <v>22914</v>
      </c>
      <c r="G2827" s="41" t="s">
        <v>22915</v>
      </c>
      <c r="H2827" s="41" t="s">
        <v>22916</v>
      </c>
      <c r="I2827" s="41" t="s">
        <v>22917</v>
      </c>
      <c r="J2827" s="41" t="s">
        <v>22918</v>
      </c>
      <c r="K2827" s="41" t="s">
        <v>22919</v>
      </c>
      <c r="L2827" s="41" t="s">
        <v>1076</v>
      </c>
    </row>
    <row r="2828" spans="1:19" x14ac:dyDescent="0.25">
      <c r="A2828" s="41" t="s">
        <v>23</v>
      </c>
      <c r="B2828" s="41" t="s">
        <v>22920</v>
      </c>
      <c r="D2828" s="41" t="s">
        <v>22921</v>
      </c>
      <c r="F2828" s="41" t="s">
        <v>22922</v>
      </c>
      <c r="G2828" s="41" t="s">
        <v>22923</v>
      </c>
      <c r="H2828" s="41" t="s">
        <v>22924</v>
      </c>
      <c r="I2828" s="41" t="s">
        <v>22925</v>
      </c>
      <c r="J2828" s="41" t="s">
        <v>22926</v>
      </c>
      <c r="K2828" s="41" t="s">
        <v>22927</v>
      </c>
      <c r="L2828" s="41" t="s">
        <v>1085</v>
      </c>
    </row>
    <row r="2829" spans="1:19" x14ac:dyDescent="0.25">
      <c r="A2829" s="41" t="s">
        <v>23</v>
      </c>
      <c r="B2829" s="41" t="s">
        <v>22928</v>
      </c>
      <c r="D2829" s="41" t="s">
        <v>22929</v>
      </c>
      <c r="F2829" s="41" t="s">
        <v>22930</v>
      </c>
      <c r="G2829" s="41" t="s">
        <v>22931</v>
      </c>
      <c r="H2829" s="41" t="s">
        <v>22932</v>
      </c>
      <c r="I2829" s="41" t="s">
        <v>22933</v>
      </c>
      <c r="J2829" s="41" t="s">
        <v>22934</v>
      </c>
      <c r="K2829" s="41" t="s">
        <v>22935</v>
      </c>
      <c r="L2829" s="41" t="s">
        <v>1094</v>
      </c>
    </row>
    <row r="2830" spans="1:19" x14ac:dyDescent="0.25">
      <c r="A2830" s="41" t="s">
        <v>908</v>
      </c>
      <c r="B2830" s="41" t="s">
        <v>22936</v>
      </c>
    </row>
    <row r="2831" spans="1:19" x14ac:dyDescent="0.25">
      <c r="A2831" s="41" t="s">
        <v>23</v>
      </c>
      <c r="B2831" s="41" t="s">
        <v>22937</v>
      </c>
      <c r="F2831" s="41" t="s">
        <v>22938</v>
      </c>
      <c r="G2831" s="41" t="s">
        <v>22939</v>
      </c>
      <c r="H2831" s="41" t="s">
        <v>22940</v>
      </c>
      <c r="I2831" s="41" t="s">
        <v>22941</v>
      </c>
      <c r="J2831" s="41" t="s">
        <v>22942</v>
      </c>
      <c r="L2831" s="41" t="s">
        <v>4</v>
      </c>
    </row>
    <row r="2832" spans="1:19" x14ac:dyDescent="0.25">
      <c r="A2832" s="41" t="s">
        <v>23</v>
      </c>
      <c r="B2832" s="41" t="s">
        <v>22943</v>
      </c>
      <c r="D2832" s="41" t="s">
        <v>22776</v>
      </c>
      <c r="E2832" s="41" t="s">
        <v>22945</v>
      </c>
      <c r="F2832" s="41" t="s">
        <v>22946</v>
      </c>
      <c r="G2832" s="41" t="s">
        <v>22947</v>
      </c>
      <c r="H2832" s="41" t="s">
        <v>22948</v>
      </c>
      <c r="I2832" s="41" t="s">
        <v>22949</v>
      </c>
      <c r="J2832" s="41" t="s">
        <v>22950</v>
      </c>
      <c r="K2832" s="41" t="s">
        <v>22951</v>
      </c>
      <c r="L2832" s="41" t="s">
        <v>22952</v>
      </c>
      <c r="M2832" s="41" t="s">
        <v>22953</v>
      </c>
      <c r="N2832" s="41" t="s">
        <v>22954</v>
      </c>
      <c r="O2832" s="41" t="s">
        <v>22955</v>
      </c>
      <c r="P2832" s="41" t="s">
        <v>22956</v>
      </c>
      <c r="Q2832" s="41" t="s">
        <v>22957</v>
      </c>
      <c r="R2832" s="41" t="s">
        <v>22958</v>
      </c>
      <c r="S2832" s="41" t="s">
        <v>22959</v>
      </c>
    </row>
    <row r="2833" spans="1:19" x14ac:dyDescent="0.25">
      <c r="A2833" s="41" t="s">
        <v>23</v>
      </c>
      <c r="B2833" s="41" t="s">
        <v>22960</v>
      </c>
      <c r="D2833" s="41" t="s">
        <v>22961</v>
      </c>
      <c r="F2833" s="41" t="s">
        <v>22962</v>
      </c>
      <c r="G2833" s="41" t="s">
        <v>22963</v>
      </c>
      <c r="H2833" s="41" t="s">
        <v>22964</v>
      </c>
      <c r="I2833" s="41" t="s">
        <v>22965</v>
      </c>
      <c r="J2833" s="41" t="s">
        <v>22966</v>
      </c>
      <c r="K2833" s="41" t="s">
        <v>22967</v>
      </c>
      <c r="L2833" s="41" t="s">
        <v>891</v>
      </c>
    </row>
    <row r="2834" spans="1:19" x14ac:dyDescent="0.25">
      <c r="A2834" s="41" t="s">
        <v>23</v>
      </c>
      <c r="B2834" s="41" t="s">
        <v>22968</v>
      </c>
      <c r="D2834" s="41" t="s">
        <v>22969</v>
      </c>
      <c r="F2834" s="41" t="s">
        <v>22970</v>
      </c>
      <c r="G2834" s="41" t="s">
        <v>22971</v>
      </c>
      <c r="H2834" s="41" t="s">
        <v>22972</v>
      </c>
      <c r="I2834" s="41" t="s">
        <v>22973</v>
      </c>
      <c r="J2834" s="41" t="s">
        <v>22974</v>
      </c>
      <c r="K2834" s="41" t="s">
        <v>22975</v>
      </c>
      <c r="L2834" s="41" t="s">
        <v>1076</v>
      </c>
    </row>
    <row r="2835" spans="1:19" x14ac:dyDescent="0.25">
      <c r="A2835" s="41" t="s">
        <v>23</v>
      </c>
      <c r="B2835" s="41" t="s">
        <v>22976</v>
      </c>
      <c r="D2835" s="41" t="s">
        <v>22977</v>
      </c>
      <c r="F2835" s="41" t="s">
        <v>22978</v>
      </c>
      <c r="G2835" s="41" t="s">
        <v>22979</v>
      </c>
      <c r="H2835" s="41" t="s">
        <v>22980</v>
      </c>
      <c r="I2835" s="41" t="s">
        <v>22981</v>
      </c>
      <c r="J2835" s="41" t="s">
        <v>22982</v>
      </c>
      <c r="K2835" s="41" t="s">
        <v>22983</v>
      </c>
      <c r="L2835" s="41" t="s">
        <v>1085</v>
      </c>
    </row>
    <row r="2836" spans="1:19" x14ac:dyDescent="0.25">
      <c r="A2836" s="41" t="s">
        <v>23</v>
      </c>
      <c r="B2836" s="41" t="s">
        <v>22984</v>
      </c>
      <c r="D2836" s="41" t="s">
        <v>22985</v>
      </c>
      <c r="F2836" s="41" t="s">
        <v>22986</v>
      </c>
      <c r="G2836" s="41" t="s">
        <v>22987</v>
      </c>
      <c r="H2836" s="41" t="s">
        <v>22988</v>
      </c>
      <c r="I2836" s="41" t="s">
        <v>22989</v>
      </c>
      <c r="J2836" s="41" t="s">
        <v>22990</v>
      </c>
      <c r="K2836" s="41" t="s">
        <v>22991</v>
      </c>
      <c r="L2836" s="41" t="s">
        <v>1094</v>
      </c>
    </row>
    <row r="2837" spans="1:19" x14ac:dyDescent="0.25">
      <c r="A2837" s="41" t="s">
        <v>908</v>
      </c>
      <c r="B2837" s="41" t="s">
        <v>22992</v>
      </c>
    </row>
    <row r="2838" spans="1:19" x14ac:dyDescent="0.25">
      <c r="A2838" s="41" t="s">
        <v>23</v>
      </c>
      <c r="B2838" s="41" t="s">
        <v>22993</v>
      </c>
      <c r="F2838" s="41" t="s">
        <v>22994</v>
      </c>
      <c r="G2838" s="41" t="s">
        <v>22995</v>
      </c>
      <c r="H2838" s="41" t="s">
        <v>22996</v>
      </c>
      <c r="I2838" s="41" t="s">
        <v>22997</v>
      </c>
      <c r="J2838" s="41" t="s">
        <v>22998</v>
      </c>
      <c r="L2838" s="41" t="s">
        <v>4</v>
      </c>
    </row>
    <row r="2839" spans="1:19" x14ac:dyDescent="0.25">
      <c r="A2839" s="41" t="s">
        <v>23</v>
      </c>
      <c r="B2839" s="41" t="s">
        <v>22999</v>
      </c>
      <c r="D2839" s="41" t="s">
        <v>22832</v>
      </c>
      <c r="E2839" s="41" t="s">
        <v>23001</v>
      </c>
      <c r="F2839" s="41" t="s">
        <v>23002</v>
      </c>
      <c r="G2839" s="41" t="s">
        <v>23003</v>
      </c>
      <c r="H2839" s="41" t="s">
        <v>23004</v>
      </c>
      <c r="I2839" s="41" t="s">
        <v>23005</v>
      </c>
      <c r="J2839" s="41" t="s">
        <v>23006</v>
      </c>
      <c r="K2839" s="41" t="s">
        <v>23007</v>
      </c>
      <c r="L2839" s="41" t="s">
        <v>23008</v>
      </c>
      <c r="M2839" s="41" t="s">
        <v>23009</v>
      </c>
      <c r="N2839" s="41" t="s">
        <v>23010</v>
      </c>
      <c r="O2839" s="41" t="s">
        <v>23011</v>
      </c>
      <c r="P2839" s="41" t="s">
        <v>23012</v>
      </c>
      <c r="Q2839" s="41" t="s">
        <v>23013</v>
      </c>
      <c r="R2839" s="41" t="s">
        <v>23014</v>
      </c>
      <c r="S2839" s="41" t="s">
        <v>23015</v>
      </c>
    </row>
    <row r="2840" spans="1:19" x14ac:dyDescent="0.25">
      <c r="A2840" s="41" t="s">
        <v>23</v>
      </c>
      <c r="B2840" s="41" t="s">
        <v>23016</v>
      </c>
      <c r="D2840" s="41" t="s">
        <v>23017</v>
      </c>
      <c r="F2840" s="41" t="s">
        <v>23018</v>
      </c>
      <c r="G2840" s="41" t="s">
        <v>23019</v>
      </c>
      <c r="H2840" s="41" t="s">
        <v>23020</v>
      </c>
      <c r="I2840" s="41" t="s">
        <v>23021</v>
      </c>
      <c r="J2840" s="41" t="s">
        <v>23022</v>
      </c>
      <c r="K2840" s="41" t="s">
        <v>23023</v>
      </c>
      <c r="L2840" s="41" t="s">
        <v>891</v>
      </c>
    </row>
    <row r="2841" spans="1:19" x14ac:dyDescent="0.25">
      <c r="A2841" s="41" t="s">
        <v>23</v>
      </c>
      <c r="B2841" s="41" t="s">
        <v>23024</v>
      </c>
      <c r="D2841" s="41" t="s">
        <v>23025</v>
      </c>
      <c r="F2841" s="41" t="s">
        <v>23026</v>
      </c>
      <c r="G2841" s="41" t="s">
        <v>23027</v>
      </c>
      <c r="H2841" s="41" t="s">
        <v>23028</v>
      </c>
      <c r="I2841" s="41" t="s">
        <v>23029</v>
      </c>
      <c r="J2841" s="41" t="s">
        <v>23030</v>
      </c>
      <c r="K2841" s="41" t="s">
        <v>23031</v>
      </c>
      <c r="L2841" s="41" t="s">
        <v>1076</v>
      </c>
    </row>
    <row r="2842" spans="1:19" x14ac:dyDescent="0.25">
      <c r="A2842" s="41" t="s">
        <v>23</v>
      </c>
      <c r="B2842" s="41" t="s">
        <v>23032</v>
      </c>
      <c r="D2842" s="41" t="s">
        <v>23033</v>
      </c>
      <c r="F2842" s="41" t="s">
        <v>23034</v>
      </c>
      <c r="G2842" s="41" t="s">
        <v>23035</v>
      </c>
      <c r="H2842" s="41" t="s">
        <v>23036</v>
      </c>
      <c r="I2842" s="41" t="s">
        <v>23037</v>
      </c>
      <c r="J2842" s="41" t="s">
        <v>23038</v>
      </c>
      <c r="K2842" s="41" t="s">
        <v>23039</v>
      </c>
      <c r="L2842" s="41" t="s">
        <v>1085</v>
      </c>
    </row>
    <row r="2843" spans="1:19" x14ac:dyDescent="0.25">
      <c r="A2843" s="41" t="s">
        <v>23</v>
      </c>
      <c r="B2843" s="41" t="s">
        <v>23040</v>
      </c>
      <c r="D2843" s="41" t="s">
        <v>23041</v>
      </c>
      <c r="F2843" s="41" t="s">
        <v>23042</v>
      </c>
      <c r="G2843" s="41" t="s">
        <v>23043</v>
      </c>
      <c r="H2843" s="41" t="s">
        <v>23044</v>
      </c>
      <c r="I2843" s="41" t="s">
        <v>23045</v>
      </c>
      <c r="J2843" s="41" t="s">
        <v>23046</v>
      </c>
      <c r="K2843" s="41" t="s">
        <v>23047</v>
      </c>
      <c r="L2843" s="41" t="s">
        <v>1094</v>
      </c>
    </row>
    <row r="2844" spans="1:19" x14ac:dyDescent="0.25">
      <c r="A2844" s="41" t="s">
        <v>908</v>
      </c>
      <c r="B2844" s="41" t="s">
        <v>23048</v>
      </c>
    </row>
    <row r="2845" spans="1:19" x14ac:dyDescent="0.25">
      <c r="A2845" s="41" t="s">
        <v>23</v>
      </c>
      <c r="B2845" s="41" t="s">
        <v>23049</v>
      </c>
      <c r="F2845" s="41" t="s">
        <v>23050</v>
      </c>
      <c r="G2845" s="41" t="s">
        <v>23051</v>
      </c>
      <c r="H2845" s="41" t="s">
        <v>23052</v>
      </c>
      <c r="I2845" s="41" t="s">
        <v>23053</v>
      </c>
      <c r="J2845" s="41" t="s">
        <v>23054</v>
      </c>
      <c r="L2845" s="41" t="s">
        <v>4</v>
      </c>
    </row>
    <row r="2846" spans="1:19" x14ac:dyDescent="0.25">
      <c r="A2846" s="41" t="s">
        <v>23</v>
      </c>
      <c r="B2846" s="41" t="s">
        <v>23055</v>
      </c>
      <c r="D2846" s="41" t="s">
        <v>22888</v>
      </c>
      <c r="E2846" s="41" t="s">
        <v>23057</v>
      </c>
      <c r="F2846" s="41" t="s">
        <v>23058</v>
      </c>
      <c r="G2846" s="41" t="s">
        <v>23059</v>
      </c>
      <c r="H2846" s="41" t="s">
        <v>23060</v>
      </c>
      <c r="I2846" s="41" t="s">
        <v>23061</v>
      </c>
      <c r="J2846" s="41" t="s">
        <v>23062</v>
      </c>
      <c r="K2846" s="41" t="s">
        <v>23063</v>
      </c>
      <c r="L2846" s="41" t="s">
        <v>23064</v>
      </c>
      <c r="M2846" s="41" t="s">
        <v>23065</v>
      </c>
      <c r="N2846" s="41" t="s">
        <v>23066</v>
      </c>
      <c r="O2846" s="41" t="s">
        <v>23067</v>
      </c>
      <c r="P2846" s="41" t="s">
        <v>23068</v>
      </c>
      <c r="Q2846" s="41" t="s">
        <v>23069</v>
      </c>
      <c r="R2846" s="41" t="s">
        <v>23070</v>
      </c>
      <c r="S2846" s="41" t="s">
        <v>23071</v>
      </c>
    </row>
    <row r="2847" spans="1:19" x14ac:dyDescent="0.25">
      <c r="A2847" s="41" t="s">
        <v>23</v>
      </c>
      <c r="B2847" s="41" t="s">
        <v>23072</v>
      </c>
      <c r="D2847" s="41" t="s">
        <v>23073</v>
      </c>
      <c r="F2847" s="41" t="s">
        <v>23074</v>
      </c>
      <c r="G2847" s="41" t="s">
        <v>23075</v>
      </c>
      <c r="H2847" s="41" t="s">
        <v>23076</v>
      </c>
      <c r="I2847" s="41" t="s">
        <v>23077</v>
      </c>
      <c r="J2847" s="41" t="s">
        <v>23078</v>
      </c>
      <c r="K2847" s="41" t="s">
        <v>23079</v>
      </c>
      <c r="L2847" s="41" t="s">
        <v>891</v>
      </c>
    </row>
    <row r="2848" spans="1:19" x14ac:dyDescent="0.25">
      <c r="A2848" s="41" t="s">
        <v>23</v>
      </c>
      <c r="B2848" s="41" t="s">
        <v>23080</v>
      </c>
      <c r="D2848" s="41" t="s">
        <v>23081</v>
      </c>
      <c r="F2848" s="41" t="s">
        <v>23082</v>
      </c>
      <c r="G2848" s="41" t="s">
        <v>23083</v>
      </c>
      <c r="H2848" s="41" t="s">
        <v>23084</v>
      </c>
      <c r="I2848" s="41" t="s">
        <v>23085</v>
      </c>
      <c r="J2848" s="41" t="s">
        <v>23086</v>
      </c>
      <c r="K2848" s="41" t="s">
        <v>23087</v>
      </c>
      <c r="L2848" s="41" t="s">
        <v>1076</v>
      </c>
    </row>
    <row r="2849" spans="1:19" x14ac:dyDescent="0.25">
      <c r="A2849" s="41" t="s">
        <v>23</v>
      </c>
      <c r="B2849" s="41" t="s">
        <v>23088</v>
      </c>
      <c r="D2849" s="41" t="s">
        <v>23089</v>
      </c>
      <c r="F2849" s="41" t="s">
        <v>23090</v>
      </c>
      <c r="G2849" s="41" t="s">
        <v>23091</v>
      </c>
      <c r="H2849" s="41" t="s">
        <v>23092</v>
      </c>
      <c r="I2849" s="41" t="s">
        <v>23093</v>
      </c>
      <c r="J2849" s="41" t="s">
        <v>23094</v>
      </c>
      <c r="K2849" s="41" t="s">
        <v>23095</v>
      </c>
      <c r="L2849" s="41" t="s">
        <v>1085</v>
      </c>
    </row>
    <row r="2850" spans="1:19" x14ac:dyDescent="0.25">
      <c r="A2850" s="41" t="s">
        <v>23</v>
      </c>
      <c r="B2850" s="41" t="s">
        <v>23096</v>
      </c>
      <c r="D2850" s="41" t="s">
        <v>23097</v>
      </c>
      <c r="F2850" s="41" t="s">
        <v>23098</v>
      </c>
      <c r="G2850" s="41" t="s">
        <v>23099</v>
      </c>
      <c r="H2850" s="41" t="s">
        <v>23100</v>
      </c>
      <c r="I2850" s="41" t="s">
        <v>23101</v>
      </c>
      <c r="J2850" s="41" t="s">
        <v>23102</v>
      </c>
      <c r="K2850" s="41" t="s">
        <v>23103</v>
      </c>
      <c r="L2850" s="41" t="s">
        <v>1094</v>
      </c>
    </row>
    <row r="2851" spans="1:19" x14ac:dyDescent="0.25">
      <c r="A2851" s="41" t="s">
        <v>908</v>
      </c>
      <c r="B2851" s="41" t="s">
        <v>23104</v>
      </c>
    </row>
    <row r="2852" spans="1:19" x14ac:dyDescent="0.25">
      <c r="A2852" s="41" t="s">
        <v>23</v>
      </c>
      <c r="B2852" s="41" t="s">
        <v>23105</v>
      </c>
      <c r="F2852" s="41" t="s">
        <v>23106</v>
      </c>
      <c r="G2852" s="41" t="s">
        <v>23107</v>
      </c>
      <c r="H2852" s="41" t="s">
        <v>23108</v>
      </c>
      <c r="I2852" s="41" t="s">
        <v>23109</v>
      </c>
      <c r="J2852" s="41" t="s">
        <v>23110</v>
      </c>
      <c r="L2852" s="41" t="s">
        <v>4</v>
      </c>
    </row>
    <row r="2853" spans="1:19" x14ac:dyDescent="0.25">
      <c r="A2853" s="41" t="s">
        <v>23</v>
      </c>
      <c r="B2853" s="41" t="s">
        <v>23111</v>
      </c>
      <c r="D2853" s="41" t="s">
        <v>22944</v>
      </c>
      <c r="E2853" s="41" t="s">
        <v>23113</v>
      </c>
      <c r="F2853" s="41" t="s">
        <v>23114</v>
      </c>
      <c r="G2853" s="41" t="s">
        <v>23115</v>
      </c>
      <c r="H2853" s="41" t="s">
        <v>23116</v>
      </c>
      <c r="I2853" s="41" t="s">
        <v>23117</v>
      </c>
      <c r="J2853" s="41" t="s">
        <v>23118</v>
      </c>
      <c r="K2853" s="41" t="s">
        <v>23119</v>
      </c>
      <c r="L2853" s="41" t="s">
        <v>23120</v>
      </c>
      <c r="M2853" s="41" t="s">
        <v>23121</v>
      </c>
      <c r="N2853" s="41" t="s">
        <v>23122</v>
      </c>
      <c r="O2853" s="41" t="s">
        <v>23123</v>
      </c>
      <c r="P2853" s="41" t="s">
        <v>23124</v>
      </c>
      <c r="Q2853" s="41" t="s">
        <v>23125</v>
      </c>
      <c r="R2853" s="41" t="s">
        <v>23126</v>
      </c>
      <c r="S2853" s="41" t="s">
        <v>23127</v>
      </c>
    </row>
    <row r="2854" spans="1:19" x14ac:dyDescent="0.25">
      <c r="A2854" s="41" t="s">
        <v>23</v>
      </c>
      <c r="B2854" s="41" t="s">
        <v>23128</v>
      </c>
      <c r="D2854" s="41" t="s">
        <v>23129</v>
      </c>
      <c r="F2854" s="41" t="s">
        <v>23130</v>
      </c>
      <c r="G2854" s="41" t="s">
        <v>23131</v>
      </c>
      <c r="H2854" s="41" t="s">
        <v>23132</v>
      </c>
      <c r="I2854" s="41" t="s">
        <v>23133</v>
      </c>
      <c r="J2854" s="41" t="s">
        <v>23134</v>
      </c>
      <c r="K2854" s="41" t="s">
        <v>23135</v>
      </c>
      <c r="L2854" s="41" t="s">
        <v>891</v>
      </c>
    </row>
    <row r="2855" spans="1:19" x14ac:dyDescent="0.25">
      <c r="A2855" s="41" t="s">
        <v>23</v>
      </c>
      <c r="B2855" s="41" t="s">
        <v>23136</v>
      </c>
      <c r="D2855" s="41" t="s">
        <v>23137</v>
      </c>
      <c r="F2855" s="41" t="s">
        <v>23138</v>
      </c>
      <c r="G2855" s="41" t="s">
        <v>23139</v>
      </c>
      <c r="H2855" s="41" t="s">
        <v>23140</v>
      </c>
      <c r="I2855" s="41" t="s">
        <v>23141</v>
      </c>
      <c r="J2855" s="41" t="s">
        <v>23142</v>
      </c>
      <c r="K2855" s="41" t="s">
        <v>23143</v>
      </c>
      <c r="L2855" s="41" t="s">
        <v>1076</v>
      </c>
    </row>
    <row r="2856" spans="1:19" x14ac:dyDescent="0.25">
      <c r="A2856" s="41" t="s">
        <v>23</v>
      </c>
      <c r="B2856" s="41" t="s">
        <v>23144</v>
      </c>
      <c r="D2856" s="41" t="s">
        <v>23145</v>
      </c>
      <c r="F2856" s="41" t="s">
        <v>23146</v>
      </c>
      <c r="G2856" s="41" t="s">
        <v>23147</v>
      </c>
      <c r="H2856" s="41" t="s">
        <v>23148</v>
      </c>
      <c r="I2856" s="41" t="s">
        <v>23149</v>
      </c>
      <c r="J2856" s="41" t="s">
        <v>23150</v>
      </c>
      <c r="K2856" s="41" t="s">
        <v>23151</v>
      </c>
      <c r="L2856" s="41" t="s">
        <v>1085</v>
      </c>
    </row>
    <row r="2857" spans="1:19" x14ac:dyDescent="0.25">
      <c r="A2857" s="41" t="s">
        <v>23</v>
      </c>
      <c r="B2857" s="41" t="s">
        <v>23152</v>
      </c>
      <c r="D2857" s="41" t="s">
        <v>23153</v>
      </c>
      <c r="F2857" s="41" t="s">
        <v>23154</v>
      </c>
      <c r="G2857" s="41" t="s">
        <v>23155</v>
      </c>
      <c r="H2857" s="41" t="s">
        <v>23156</v>
      </c>
      <c r="I2857" s="41" t="s">
        <v>23157</v>
      </c>
      <c r="J2857" s="41" t="s">
        <v>23158</v>
      </c>
      <c r="K2857" s="41" t="s">
        <v>23159</v>
      </c>
      <c r="L2857" s="41" t="s">
        <v>1094</v>
      </c>
    </row>
    <row r="2858" spans="1:19" x14ac:dyDescent="0.25">
      <c r="A2858" s="41" t="s">
        <v>908</v>
      </c>
      <c r="B2858" s="41" t="s">
        <v>23160</v>
      </c>
    </row>
    <row r="2859" spans="1:19" x14ac:dyDescent="0.25">
      <c r="A2859" s="41" t="s">
        <v>23</v>
      </c>
      <c r="B2859" s="41" t="s">
        <v>23161</v>
      </c>
      <c r="F2859" s="41" t="s">
        <v>23162</v>
      </c>
      <c r="G2859" s="41" t="s">
        <v>23163</v>
      </c>
      <c r="H2859" s="41" t="s">
        <v>23164</v>
      </c>
      <c r="I2859" s="41" t="s">
        <v>23165</v>
      </c>
      <c r="J2859" s="41" t="s">
        <v>23166</v>
      </c>
      <c r="L2859" s="41" t="s">
        <v>4</v>
      </c>
    </row>
    <row r="2860" spans="1:19" x14ac:dyDescent="0.25">
      <c r="A2860" s="41" t="s">
        <v>23</v>
      </c>
      <c r="B2860" s="41" t="s">
        <v>23167</v>
      </c>
      <c r="D2860" s="41" t="s">
        <v>23000</v>
      </c>
      <c r="E2860" s="41" t="s">
        <v>23169</v>
      </c>
      <c r="F2860" s="41" t="s">
        <v>23170</v>
      </c>
      <c r="G2860" s="41" t="s">
        <v>23171</v>
      </c>
      <c r="H2860" s="41" t="s">
        <v>23172</v>
      </c>
      <c r="I2860" s="41" t="s">
        <v>23173</v>
      </c>
      <c r="J2860" s="41" t="s">
        <v>23174</v>
      </c>
      <c r="K2860" s="41" t="s">
        <v>23175</v>
      </c>
      <c r="L2860" s="41" t="s">
        <v>23176</v>
      </c>
      <c r="M2860" s="41" t="s">
        <v>23177</v>
      </c>
      <c r="N2860" s="41" t="s">
        <v>23178</v>
      </c>
      <c r="O2860" s="41" t="s">
        <v>23179</v>
      </c>
      <c r="P2860" s="41" t="s">
        <v>23180</v>
      </c>
      <c r="Q2860" s="41" t="s">
        <v>23181</v>
      </c>
      <c r="R2860" s="41" t="s">
        <v>23182</v>
      </c>
      <c r="S2860" s="41" t="s">
        <v>23183</v>
      </c>
    </row>
    <row r="2861" spans="1:19" x14ac:dyDescent="0.25">
      <c r="A2861" s="41" t="s">
        <v>23</v>
      </c>
      <c r="B2861" s="41" t="s">
        <v>23184</v>
      </c>
      <c r="D2861" s="41" t="s">
        <v>23185</v>
      </c>
      <c r="F2861" s="41" t="s">
        <v>23186</v>
      </c>
      <c r="G2861" s="41" t="s">
        <v>23187</v>
      </c>
      <c r="H2861" s="41" t="s">
        <v>23188</v>
      </c>
      <c r="I2861" s="41" t="s">
        <v>23189</v>
      </c>
      <c r="J2861" s="41" t="s">
        <v>23190</v>
      </c>
      <c r="K2861" s="41" t="s">
        <v>23191</v>
      </c>
      <c r="L2861" s="41" t="s">
        <v>891</v>
      </c>
    </row>
    <row r="2862" spans="1:19" x14ac:dyDescent="0.25">
      <c r="A2862" s="41" t="s">
        <v>23</v>
      </c>
      <c r="B2862" s="41" t="s">
        <v>23192</v>
      </c>
      <c r="D2862" s="41" t="s">
        <v>23193</v>
      </c>
      <c r="F2862" s="41" t="s">
        <v>23194</v>
      </c>
      <c r="G2862" s="41" t="s">
        <v>23195</v>
      </c>
      <c r="H2862" s="41" t="s">
        <v>23196</v>
      </c>
      <c r="I2862" s="41" t="s">
        <v>23197</v>
      </c>
      <c r="J2862" s="41" t="s">
        <v>23198</v>
      </c>
      <c r="K2862" s="41" t="s">
        <v>23199</v>
      </c>
      <c r="L2862" s="41" t="s">
        <v>1076</v>
      </c>
    </row>
    <row r="2863" spans="1:19" x14ac:dyDescent="0.25">
      <c r="A2863" s="41" t="s">
        <v>23</v>
      </c>
      <c r="B2863" s="41" t="s">
        <v>23200</v>
      </c>
      <c r="D2863" s="41" t="s">
        <v>23201</v>
      </c>
      <c r="F2863" s="41" t="s">
        <v>23202</v>
      </c>
      <c r="G2863" s="41" t="s">
        <v>23203</v>
      </c>
      <c r="H2863" s="41" t="s">
        <v>23204</v>
      </c>
      <c r="I2863" s="41" t="s">
        <v>23205</v>
      </c>
      <c r="J2863" s="41" t="s">
        <v>23206</v>
      </c>
      <c r="K2863" s="41" t="s">
        <v>23207</v>
      </c>
      <c r="L2863" s="41" t="s">
        <v>1085</v>
      </c>
    </row>
    <row r="2864" spans="1:19" x14ac:dyDescent="0.25">
      <c r="A2864" s="41" t="s">
        <v>23</v>
      </c>
      <c r="B2864" s="41" t="s">
        <v>23208</v>
      </c>
      <c r="D2864" s="41" t="s">
        <v>23209</v>
      </c>
      <c r="F2864" s="41" t="s">
        <v>23210</v>
      </c>
      <c r="G2864" s="41" t="s">
        <v>23211</v>
      </c>
      <c r="H2864" s="41" t="s">
        <v>23212</v>
      </c>
      <c r="I2864" s="41" t="s">
        <v>23213</v>
      </c>
      <c r="J2864" s="41" t="s">
        <v>23214</v>
      </c>
      <c r="K2864" s="41" t="s">
        <v>23215</v>
      </c>
      <c r="L2864" s="41" t="s">
        <v>1094</v>
      </c>
    </row>
    <row r="2865" spans="1:19" x14ac:dyDescent="0.25">
      <c r="A2865" s="41" t="s">
        <v>908</v>
      </c>
      <c r="B2865" s="41" t="s">
        <v>23216</v>
      </c>
    </row>
    <row r="2866" spans="1:19" x14ac:dyDescent="0.25">
      <c r="A2866" s="41" t="s">
        <v>23</v>
      </c>
      <c r="B2866" s="41" t="s">
        <v>23217</v>
      </c>
      <c r="F2866" s="41" t="s">
        <v>23218</v>
      </c>
      <c r="G2866" s="41" t="s">
        <v>23219</v>
      </c>
      <c r="H2866" s="41" t="s">
        <v>23220</v>
      </c>
      <c r="I2866" s="41" t="s">
        <v>23221</v>
      </c>
      <c r="J2866" s="41" t="s">
        <v>23222</v>
      </c>
      <c r="L2866" s="41" t="s">
        <v>4</v>
      </c>
    </row>
    <row r="2867" spans="1:19" x14ac:dyDescent="0.25">
      <c r="A2867" s="41" t="s">
        <v>23</v>
      </c>
      <c r="B2867" s="41" t="s">
        <v>23223</v>
      </c>
      <c r="D2867" s="41" t="s">
        <v>23056</v>
      </c>
      <c r="E2867" s="41" t="s">
        <v>23225</v>
      </c>
      <c r="F2867" s="41" t="s">
        <v>23226</v>
      </c>
      <c r="G2867" s="41" t="s">
        <v>23227</v>
      </c>
      <c r="H2867" s="41" t="s">
        <v>23228</v>
      </c>
      <c r="I2867" s="41" t="s">
        <v>23229</v>
      </c>
      <c r="J2867" s="41" t="s">
        <v>23230</v>
      </c>
      <c r="K2867" s="41" t="s">
        <v>23231</v>
      </c>
      <c r="L2867" s="41" t="s">
        <v>23232</v>
      </c>
      <c r="M2867" s="41" t="s">
        <v>23233</v>
      </c>
      <c r="N2867" s="41" t="s">
        <v>23234</v>
      </c>
      <c r="O2867" s="41" t="s">
        <v>23235</v>
      </c>
      <c r="P2867" s="41" t="s">
        <v>23236</v>
      </c>
      <c r="Q2867" s="41" t="s">
        <v>23237</v>
      </c>
      <c r="R2867" s="41" t="s">
        <v>23238</v>
      </c>
      <c r="S2867" s="41" t="s">
        <v>23239</v>
      </c>
    </row>
    <row r="2868" spans="1:19" x14ac:dyDescent="0.25">
      <c r="A2868" s="41" t="s">
        <v>23</v>
      </c>
      <c r="B2868" s="41" t="s">
        <v>23240</v>
      </c>
      <c r="D2868" s="41" t="s">
        <v>23241</v>
      </c>
      <c r="F2868" s="41" t="s">
        <v>23242</v>
      </c>
      <c r="G2868" s="41" t="s">
        <v>23243</v>
      </c>
      <c r="H2868" s="41" t="s">
        <v>23244</v>
      </c>
      <c r="I2868" s="41" t="s">
        <v>23245</v>
      </c>
      <c r="J2868" s="41" t="s">
        <v>23246</v>
      </c>
      <c r="K2868" s="41" t="s">
        <v>23247</v>
      </c>
      <c r="L2868" s="41" t="s">
        <v>891</v>
      </c>
    </row>
    <row r="2869" spans="1:19" x14ac:dyDescent="0.25">
      <c r="A2869" s="41" t="s">
        <v>23</v>
      </c>
      <c r="B2869" s="41" t="s">
        <v>23248</v>
      </c>
      <c r="D2869" s="41" t="s">
        <v>23249</v>
      </c>
      <c r="F2869" s="41" t="s">
        <v>23250</v>
      </c>
      <c r="G2869" s="41" t="s">
        <v>23251</v>
      </c>
      <c r="H2869" s="41" t="s">
        <v>23252</v>
      </c>
      <c r="I2869" s="41" t="s">
        <v>23253</v>
      </c>
      <c r="J2869" s="41" t="s">
        <v>23254</v>
      </c>
      <c r="K2869" s="41" t="s">
        <v>23255</v>
      </c>
      <c r="L2869" s="41" t="s">
        <v>1076</v>
      </c>
    </row>
    <row r="2870" spans="1:19" x14ac:dyDescent="0.25">
      <c r="A2870" s="41" t="s">
        <v>23</v>
      </c>
      <c r="B2870" s="41" t="s">
        <v>23256</v>
      </c>
      <c r="D2870" s="41" t="s">
        <v>23257</v>
      </c>
      <c r="F2870" s="41" t="s">
        <v>23258</v>
      </c>
      <c r="G2870" s="41" t="s">
        <v>23259</v>
      </c>
      <c r="H2870" s="41" t="s">
        <v>23260</v>
      </c>
      <c r="I2870" s="41" t="s">
        <v>23261</v>
      </c>
      <c r="J2870" s="41" t="s">
        <v>23262</v>
      </c>
      <c r="K2870" s="41" t="s">
        <v>23263</v>
      </c>
      <c r="L2870" s="41" t="s">
        <v>1085</v>
      </c>
    </row>
    <row r="2871" spans="1:19" x14ac:dyDescent="0.25">
      <c r="A2871" s="41" t="s">
        <v>23</v>
      </c>
      <c r="B2871" s="41" t="s">
        <v>23264</v>
      </c>
      <c r="D2871" s="41" t="s">
        <v>23265</v>
      </c>
      <c r="F2871" s="41" t="s">
        <v>23266</v>
      </c>
      <c r="G2871" s="41" t="s">
        <v>23267</v>
      </c>
      <c r="H2871" s="41" t="s">
        <v>23268</v>
      </c>
      <c r="I2871" s="41" t="s">
        <v>23269</v>
      </c>
      <c r="J2871" s="41" t="s">
        <v>23270</v>
      </c>
      <c r="K2871" s="41" t="s">
        <v>23271</v>
      </c>
      <c r="L2871" s="41" t="s">
        <v>1094</v>
      </c>
    </row>
    <row r="2872" spans="1:19" x14ac:dyDescent="0.25">
      <c r="A2872" s="41" t="s">
        <v>908</v>
      </c>
      <c r="B2872" s="41" t="s">
        <v>23272</v>
      </c>
    </row>
    <row r="2873" spans="1:19" x14ac:dyDescent="0.25">
      <c r="A2873" s="41" t="s">
        <v>23</v>
      </c>
      <c r="B2873" s="41" t="s">
        <v>23273</v>
      </c>
      <c r="F2873" s="41" t="s">
        <v>23274</v>
      </c>
      <c r="G2873" s="41" t="s">
        <v>23275</v>
      </c>
      <c r="H2873" s="41" t="s">
        <v>23276</v>
      </c>
      <c r="I2873" s="41" t="s">
        <v>23277</v>
      </c>
      <c r="J2873" s="41" t="s">
        <v>23278</v>
      </c>
      <c r="L2873" s="41" t="s">
        <v>4</v>
      </c>
    </row>
    <row r="2874" spans="1:19" x14ac:dyDescent="0.25">
      <c r="A2874" s="41" t="s">
        <v>23</v>
      </c>
      <c r="B2874" s="41" t="s">
        <v>23279</v>
      </c>
      <c r="D2874" s="41" t="s">
        <v>23112</v>
      </c>
      <c r="E2874" s="41" t="s">
        <v>23281</v>
      </c>
      <c r="F2874" s="41" t="s">
        <v>23282</v>
      </c>
      <c r="G2874" s="41" t="s">
        <v>23283</v>
      </c>
      <c r="H2874" s="41" t="s">
        <v>23284</v>
      </c>
      <c r="I2874" s="41" t="s">
        <v>23285</v>
      </c>
      <c r="J2874" s="41" t="s">
        <v>23286</v>
      </c>
      <c r="K2874" s="41" t="s">
        <v>23287</v>
      </c>
      <c r="L2874" s="41" t="s">
        <v>23288</v>
      </c>
      <c r="M2874" s="41" t="s">
        <v>23289</v>
      </c>
      <c r="N2874" s="41" t="s">
        <v>23290</v>
      </c>
      <c r="O2874" s="41" t="s">
        <v>23291</v>
      </c>
      <c r="P2874" s="41" t="s">
        <v>23292</v>
      </c>
      <c r="Q2874" s="41" t="s">
        <v>23293</v>
      </c>
      <c r="R2874" s="41" t="s">
        <v>23294</v>
      </c>
      <c r="S2874" s="41" t="s">
        <v>23295</v>
      </c>
    </row>
    <row r="2875" spans="1:19" x14ac:dyDescent="0.25">
      <c r="A2875" s="41" t="s">
        <v>23</v>
      </c>
      <c r="B2875" s="41" t="s">
        <v>23296</v>
      </c>
      <c r="D2875" s="41" t="s">
        <v>23297</v>
      </c>
      <c r="F2875" s="41" t="s">
        <v>23298</v>
      </c>
      <c r="G2875" s="41" t="s">
        <v>23299</v>
      </c>
      <c r="H2875" s="41" t="s">
        <v>23300</v>
      </c>
      <c r="I2875" s="41" t="s">
        <v>23301</v>
      </c>
      <c r="J2875" s="41" t="s">
        <v>23302</v>
      </c>
      <c r="K2875" s="41" t="s">
        <v>23303</v>
      </c>
      <c r="L2875" s="41" t="s">
        <v>891</v>
      </c>
    </row>
    <row r="2876" spans="1:19" x14ac:dyDescent="0.25">
      <c r="A2876" s="41" t="s">
        <v>23</v>
      </c>
      <c r="B2876" s="41" t="s">
        <v>23304</v>
      </c>
      <c r="D2876" s="41" t="s">
        <v>23305</v>
      </c>
      <c r="F2876" s="41" t="s">
        <v>23306</v>
      </c>
      <c r="G2876" s="41" t="s">
        <v>23307</v>
      </c>
      <c r="H2876" s="41" t="s">
        <v>23308</v>
      </c>
      <c r="I2876" s="41" t="s">
        <v>23309</v>
      </c>
      <c r="J2876" s="41" t="s">
        <v>23310</v>
      </c>
      <c r="K2876" s="41" t="s">
        <v>23311</v>
      </c>
      <c r="L2876" s="41" t="s">
        <v>1076</v>
      </c>
    </row>
    <row r="2877" spans="1:19" x14ac:dyDescent="0.25">
      <c r="A2877" s="41" t="s">
        <v>23</v>
      </c>
      <c r="B2877" s="41" t="s">
        <v>23312</v>
      </c>
      <c r="D2877" s="41" t="s">
        <v>23313</v>
      </c>
      <c r="F2877" s="41" t="s">
        <v>23314</v>
      </c>
      <c r="G2877" s="41" t="s">
        <v>23315</v>
      </c>
      <c r="H2877" s="41" t="s">
        <v>23316</v>
      </c>
      <c r="I2877" s="41" t="s">
        <v>23317</v>
      </c>
      <c r="J2877" s="41" t="s">
        <v>23318</v>
      </c>
      <c r="K2877" s="41" t="s">
        <v>23319</v>
      </c>
      <c r="L2877" s="41" t="s">
        <v>1085</v>
      </c>
    </row>
    <row r="2878" spans="1:19" x14ac:dyDescent="0.25">
      <c r="A2878" s="41" t="s">
        <v>23</v>
      </c>
      <c r="B2878" s="41" t="s">
        <v>23320</v>
      </c>
      <c r="D2878" s="41" t="s">
        <v>23321</v>
      </c>
      <c r="F2878" s="41" t="s">
        <v>23322</v>
      </c>
      <c r="G2878" s="41" t="s">
        <v>23323</v>
      </c>
      <c r="H2878" s="41" t="s">
        <v>23324</v>
      </c>
      <c r="I2878" s="41" t="s">
        <v>23325</v>
      </c>
      <c r="J2878" s="41" t="s">
        <v>23326</v>
      </c>
      <c r="K2878" s="41" t="s">
        <v>23327</v>
      </c>
      <c r="L2878" s="41" t="s">
        <v>1094</v>
      </c>
    </row>
    <row r="2879" spans="1:19" x14ac:dyDescent="0.25">
      <c r="A2879" s="41" t="s">
        <v>908</v>
      </c>
      <c r="B2879" s="41" t="s">
        <v>23328</v>
      </c>
    </row>
    <row r="2880" spans="1:19" x14ac:dyDescent="0.25">
      <c r="A2880" s="41" t="s">
        <v>23</v>
      </c>
      <c r="B2880" s="41" t="s">
        <v>23329</v>
      </c>
      <c r="F2880" s="41" t="s">
        <v>23330</v>
      </c>
      <c r="G2880" s="41" t="s">
        <v>23331</v>
      </c>
      <c r="H2880" s="41" t="s">
        <v>23332</v>
      </c>
      <c r="I2880" s="41" t="s">
        <v>23333</v>
      </c>
      <c r="J2880" s="41" t="s">
        <v>23334</v>
      </c>
      <c r="L2880" s="41" t="s">
        <v>4</v>
      </c>
    </row>
    <row r="2881" spans="1:19" x14ac:dyDescent="0.25">
      <c r="A2881" s="41" t="s">
        <v>23</v>
      </c>
      <c r="B2881" s="41" t="s">
        <v>23335</v>
      </c>
      <c r="D2881" s="41" t="s">
        <v>23168</v>
      </c>
      <c r="E2881" s="41" t="s">
        <v>23337</v>
      </c>
      <c r="F2881" s="41" t="s">
        <v>23338</v>
      </c>
      <c r="G2881" s="41" t="s">
        <v>23339</v>
      </c>
      <c r="H2881" s="41" t="s">
        <v>23340</v>
      </c>
      <c r="I2881" s="41" t="s">
        <v>23341</v>
      </c>
      <c r="J2881" s="41" t="s">
        <v>23342</v>
      </c>
      <c r="K2881" s="41" t="s">
        <v>23343</v>
      </c>
      <c r="L2881" s="41" t="s">
        <v>23344</v>
      </c>
      <c r="M2881" s="41" t="s">
        <v>23345</v>
      </c>
      <c r="N2881" s="41" t="s">
        <v>23346</v>
      </c>
      <c r="O2881" s="41" t="s">
        <v>23347</v>
      </c>
      <c r="P2881" s="41" t="s">
        <v>23348</v>
      </c>
      <c r="Q2881" s="41" t="s">
        <v>23349</v>
      </c>
      <c r="R2881" s="41" t="s">
        <v>23350</v>
      </c>
      <c r="S2881" s="41" t="s">
        <v>23351</v>
      </c>
    </row>
    <row r="2882" spans="1:19" x14ac:dyDescent="0.25">
      <c r="A2882" s="41" t="s">
        <v>23</v>
      </c>
      <c r="B2882" s="41" t="s">
        <v>23352</v>
      </c>
      <c r="D2882" s="41" t="s">
        <v>23353</v>
      </c>
      <c r="F2882" s="41" t="s">
        <v>23354</v>
      </c>
      <c r="G2882" s="41" t="s">
        <v>23355</v>
      </c>
      <c r="H2882" s="41" t="s">
        <v>23356</v>
      </c>
      <c r="I2882" s="41" t="s">
        <v>23357</v>
      </c>
      <c r="J2882" s="41" t="s">
        <v>23358</v>
      </c>
      <c r="K2882" s="41" t="s">
        <v>23359</v>
      </c>
      <c r="L2882" s="41" t="s">
        <v>891</v>
      </c>
    </row>
    <row r="2883" spans="1:19" x14ac:dyDescent="0.25">
      <c r="A2883" s="41" t="s">
        <v>23</v>
      </c>
      <c r="B2883" s="41" t="s">
        <v>23360</v>
      </c>
      <c r="D2883" s="41" t="s">
        <v>23361</v>
      </c>
      <c r="F2883" s="41" t="s">
        <v>23362</v>
      </c>
      <c r="G2883" s="41" t="s">
        <v>23363</v>
      </c>
      <c r="H2883" s="41" t="s">
        <v>23364</v>
      </c>
      <c r="I2883" s="41" t="s">
        <v>23365</v>
      </c>
      <c r="J2883" s="41" t="s">
        <v>23366</v>
      </c>
      <c r="K2883" s="41" t="s">
        <v>23367</v>
      </c>
      <c r="L2883" s="41" t="s">
        <v>1076</v>
      </c>
    </row>
    <row r="2884" spans="1:19" x14ac:dyDescent="0.25">
      <c r="A2884" s="41" t="s">
        <v>23</v>
      </c>
      <c r="B2884" s="41" t="s">
        <v>23368</v>
      </c>
      <c r="D2884" s="41" t="s">
        <v>23369</v>
      </c>
      <c r="F2884" s="41" t="s">
        <v>23370</v>
      </c>
      <c r="G2884" s="41" t="s">
        <v>23371</v>
      </c>
      <c r="H2884" s="41" t="s">
        <v>23372</v>
      </c>
      <c r="I2884" s="41" t="s">
        <v>23373</v>
      </c>
      <c r="J2884" s="41" t="s">
        <v>23374</v>
      </c>
      <c r="K2884" s="41" t="s">
        <v>23375</v>
      </c>
      <c r="L2884" s="41" t="s">
        <v>1085</v>
      </c>
    </row>
    <row r="2885" spans="1:19" x14ac:dyDescent="0.25">
      <c r="A2885" s="41" t="s">
        <v>23</v>
      </c>
      <c r="B2885" s="41" t="s">
        <v>23376</v>
      </c>
      <c r="D2885" s="41" t="s">
        <v>23377</v>
      </c>
      <c r="F2885" s="41" t="s">
        <v>23378</v>
      </c>
      <c r="G2885" s="41" t="s">
        <v>23379</v>
      </c>
      <c r="H2885" s="41" t="s">
        <v>23380</v>
      </c>
      <c r="I2885" s="41" t="s">
        <v>23381</v>
      </c>
      <c r="J2885" s="41" t="s">
        <v>23382</v>
      </c>
      <c r="K2885" s="41" t="s">
        <v>23383</v>
      </c>
      <c r="L2885" s="41" t="s">
        <v>1094</v>
      </c>
    </row>
    <row r="2886" spans="1:19" x14ac:dyDescent="0.25">
      <c r="A2886" s="41" t="s">
        <v>908</v>
      </c>
      <c r="B2886" s="41" t="s">
        <v>23384</v>
      </c>
    </row>
    <row r="2887" spans="1:19" x14ac:dyDescent="0.25">
      <c r="A2887" s="41" t="s">
        <v>23</v>
      </c>
      <c r="B2887" s="41" t="s">
        <v>23385</v>
      </c>
      <c r="F2887" s="41" t="s">
        <v>23386</v>
      </c>
      <c r="G2887" s="41" t="s">
        <v>23387</v>
      </c>
      <c r="H2887" s="41" t="s">
        <v>23388</v>
      </c>
      <c r="I2887" s="41" t="s">
        <v>23389</v>
      </c>
      <c r="J2887" s="41" t="s">
        <v>23390</v>
      </c>
      <c r="L2887" s="41" t="s">
        <v>4</v>
      </c>
    </row>
    <row r="2888" spans="1:19" x14ac:dyDescent="0.25">
      <c r="A2888" s="41" t="s">
        <v>23</v>
      </c>
      <c r="B2888" s="41" t="s">
        <v>23391</v>
      </c>
      <c r="D2888" s="41" t="s">
        <v>23224</v>
      </c>
      <c r="E2888" s="41" t="s">
        <v>23393</v>
      </c>
      <c r="F2888" s="41" t="s">
        <v>23394</v>
      </c>
      <c r="G2888" s="41" t="s">
        <v>23395</v>
      </c>
      <c r="H2888" s="41" t="s">
        <v>23396</v>
      </c>
      <c r="I2888" s="41" t="s">
        <v>23397</v>
      </c>
      <c r="J2888" s="41" t="s">
        <v>23398</v>
      </c>
      <c r="K2888" s="41" t="s">
        <v>23399</v>
      </c>
      <c r="L2888" s="41" t="s">
        <v>23400</v>
      </c>
      <c r="M2888" s="41" t="s">
        <v>23401</v>
      </c>
      <c r="N2888" s="41" t="s">
        <v>23402</v>
      </c>
      <c r="O2888" s="41" t="s">
        <v>23403</v>
      </c>
      <c r="P2888" s="41" t="s">
        <v>23404</v>
      </c>
      <c r="Q2888" s="41" t="s">
        <v>23405</v>
      </c>
      <c r="R2888" s="41" t="s">
        <v>23406</v>
      </c>
      <c r="S2888" s="41" t="s">
        <v>23407</v>
      </c>
    </row>
    <row r="2889" spans="1:19" x14ac:dyDescent="0.25">
      <c r="A2889" s="41" t="s">
        <v>23</v>
      </c>
      <c r="B2889" s="41" t="s">
        <v>23408</v>
      </c>
      <c r="D2889" s="41" t="s">
        <v>23409</v>
      </c>
      <c r="F2889" s="41" t="s">
        <v>23410</v>
      </c>
      <c r="G2889" s="41" t="s">
        <v>23411</v>
      </c>
      <c r="H2889" s="41" t="s">
        <v>23412</v>
      </c>
      <c r="I2889" s="41" t="s">
        <v>23413</v>
      </c>
      <c r="J2889" s="41" t="s">
        <v>23414</v>
      </c>
      <c r="K2889" s="41" t="s">
        <v>23415</v>
      </c>
      <c r="L2889" s="41" t="s">
        <v>891</v>
      </c>
    </row>
    <row r="2890" spans="1:19" x14ac:dyDescent="0.25">
      <c r="A2890" s="41" t="s">
        <v>23</v>
      </c>
      <c r="B2890" s="41" t="s">
        <v>23416</v>
      </c>
      <c r="D2890" s="41" t="s">
        <v>23417</v>
      </c>
      <c r="F2890" s="41" t="s">
        <v>23418</v>
      </c>
      <c r="G2890" s="41" t="s">
        <v>23419</v>
      </c>
      <c r="H2890" s="41" t="s">
        <v>23420</v>
      </c>
      <c r="I2890" s="41" t="s">
        <v>23421</v>
      </c>
      <c r="J2890" s="41" t="s">
        <v>23422</v>
      </c>
      <c r="K2890" s="41" t="s">
        <v>23423</v>
      </c>
      <c r="L2890" s="41" t="s">
        <v>1076</v>
      </c>
    </row>
    <row r="2891" spans="1:19" x14ac:dyDescent="0.25">
      <c r="A2891" s="41" t="s">
        <v>23</v>
      </c>
      <c r="B2891" s="41" t="s">
        <v>23424</v>
      </c>
      <c r="D2891" s="41" t="s">
        <v>23425</v>
      </c>
      <c r="F2891" s="41" t="s">
        <v>23426</v>
      </c>
      <c r="G2891" s="41" t="s">
        <v>23427</v>
      </c>
      <c r="H2891" s="41" t="s">
        <v>23428</v>
      </c>
      <c r="I2891" s="41" t="s">
        <v>23429</v>
      </c>
      <c r="J2891" s="41" t="s">
        <v>23430</v>
      </c>
      <c r="K2891" s="41" t="s">
        <v>23431</v>
      </c>
      <c r="L2891" s="41" t="s">
        <v>1085</v>
      </c>
    </row>
    <row r="2892" spans="1:19" x14ac:dyDescent="0.25">
      <c r="A2892" s="41" t="s">
        <v>23</v>
      </c>
      <c r="B2892" s="41" t="s">
        <v>23432</v>
      </c>
      <c r="D2892" s="41" t="s">
        <v>23433</v>
      </c>
      <c r="F2892" s="41" t="s">
        <v>23434</v>
      </c>
      <c r="G2892" s="41" t="s">
        <v>23435</v>
      </c>
      <c r="H2892" s="41" t="s">
        <v>23436</v>
      </c>
      <c r="I2892" s="41" t="s">
        <v>23437</v>
      </c>
      <c r="J2892" s="41" t="s">
        <v>23438</v>
      </c>
      <c r="K2892" s="41" t="s">
        <v>23439</v>
      </c>
      <c r="L2892" s="41" t="s">
        <v>1094</v>
      </c>
    </row>
    <row r="2893" spans="1:19" x14ac:dyDescent="0.25">
      <c r="A2893" s="41" t="s">
        <v>908</v>
      </c>
      <c r="B2893" s="41" t="s">
        <v>23440</v>
      </c>
    </row>
    <row r="2894" spans="1:19" x14ac:dyDescent="0.25">
      <c r="A2894" s="41" t="s">
        <v>23</v>
      </c>
      <c r="B2894" s="41" t="s">
        <v>23441</v>
      </c>
      <c r="F2894" s="41" t="s">
        <v>23442</v>
      </c>
      <c r="G2894" s="41" t="s">
        <v>23443</v>
      </c>
      <c r="H2894" s="41" t="s">
        <v>23444</v>
      </c>
      <c r="I2894" s="41" t="s">
        <v>23445</v>
      </c>
      <c r="J2894" s="41" t="s">
        <v>23446</v>
      </c>
      <c r="L2894" s="41" t="s">
        <v>4</v>
      </c>
    </row>
    <row r="2895" spans="1:19" x14ac:dyDescent="0.25">
      <c r="A2895" s="41" t="s">
        <v>23</v>
      </c>
      <c r="B2895" s="41" t="s">
        <v>23447</v>
      </c>
      <c r="D2895" s="41" t="s">
        <v>23280</v>
      </c>
      <c r="E2895" s="41" t="s">
        <v>23449</v>
      </c>
      <c r="F2895" s="41" t="s">
        <v>23450</v>
      </c>
      <c r="G2895" s="41" t="s">
        <v>23451</v>
      </c>
      <c r="H2895" s="41" t="s">
        <v>23452</v>
      </c>
      <c r="I2895" s="41" t="s">
        <v>23453</v>
      </c>
      <c r="J2895" s="41" t="s">
        <v>23454</v>
      </c>
      <c r="K2895" s="41" t="s">
        <v>23455</v>
      </c>
      <c r="L2895" s="41" t="s">
        <v>23456</v>
      </c>
      <c r="M2895" s="41" t="s">
        <v>23457</v>
      </c>
      <c r="N2895" s="41" t="s">
        <v>23458</v>
      </c>
      <c r="O2895" s="41" t="s">
        <v>23459</v>
      </c>
      <c r="P2895" s="41" t="s">
        <v>23460</v>
      </c>
      <c r="Q2895" s="41" t="s">
        <v>23461</v>
      </c>
      <c r="R2895" s="41" t="s">
        <v>23462</v>
      </c>
      <c r="S2895" s="41" t="s">
        <v>23463</v>
      </c>
    </row>
    <row r="2896" spans="1:19" x14ac:dyDescent="0.25">
      <c r="A2896" s="41" t="s">
        <v>23</v>
      </c>
      <c r="B2896" s="41" t="s">
        <v>23464</v>
      </c>
      <c r="D2896" s="41" t="s">
        <v>23465</v>
      </c>
      <c r="F2896" s="41" t="s">
        <v>23466</v>
      </c>
      <c r="G2896" s="41" t="s">
        <v>23467</v>
      </c>
      <c r="H2896" s="41" t="s">
        <v>23468</v>
      </c>
      <c r="I2896" s="41" t="s">
        <v>23469</v>
      </c>
      <c r="J2896" s="41" t="s">
        <v>23470</v>
      </c>
      <c r="K2896" s="41" t="s">
        <v>23471</v>
      </c>
      <c r="L2896" s="41" t="s">
        <v>891</v>
      </c>
    </row>
    <row r="2897" spans="1:19" x14ac:dyDescent="0.25">
      <c r="A2897" s="41" t="s">
        <v>23</v>
      </c>
      <c r="B2897" s="41" t="s">
        <v>23472</v>
      </c>
      <c r="D2897" s="41" t="s">
        <v>23473</v>
      </c>
      <c r="F2897" s="41" t="s">
        <v>23474</v>
      </c>
      <c r="G2897" s="41" t="s">
        <v>23475</v>
      </c>
      <c r="H2897" s="41" t="s">
        <v>23476</v>
      </c>
      <c r="I2897" s="41" t="s">
        <v>23477</v>
      </c>
      <c r="J2897" s="41" t="s">
        <v>23478</v>
      </c>
      <c r="K2897" s="41" t="s">
        <v>23479</v>
      </c>
      <c r="L2897" s="41" t="s">
        <v>1076</v>
      </c>
    </row>
    <row r="2898" spans="1:19" x14ac:dyDescent="0.25">
      <c r="A2898" s="41" t="s">
        <v>23</v>
      </c>
      <c r="B2898" s="41" t="s">
        <v>23480</v>
      </c>
      <c r="D2898" s="41" t="s">
        <v>23481</v>
      </c>
      <c r="F2898" s="41" t="s">
        <v>23482</v>
      </c>
      <c r="G2898" s="41" t="s">
        <v>23483</v>
      </c>
      <c r="H2898" s="41" t="s">
        <v>23484</v>
      </c>
      <c r="I2898" s="41" t="s">
        <v>23485</v>
      </c>
      <c r="J2898" s="41" t="s">
        <v>23486</v>
      </c>
      <c r="K2898" s="41" t="s">
        <v>23487</v>
      </c>
      <c r="L2898" s="41" t="s">
        <v>1085</v>
      </c>
    </row>
    <row r="2899" spans="1:19" x14ac:dyDescent="0.25">
      <c r="A2899" s="41" t="s">
        <v>23</v>
      </c>
      <c r="B2899" s="41" t="s">
        <v>23488</v>
      </c>
      <c r="D2899" s="41" t="s">
        <v>23489</v>
      </c>
      <c r="F2899" s="41" t="s">
        <v>23490</v>
      </c>
      <c r="G2899" s="41" t="s">
        <v>23491</v>
      </c>
      <c r="H2899" s="41" t="s">
        <v>23492</v>
      </c>
      <c r="I2899" s="41" t="s">
        <v>23493</v>
      </c>
      <c r="J2899" s="41" t="s">
        <v>23494</v>
      </c>
      <c r="K2899" s="41" t="s">
        <v>23495</v>
      </c>
      <c r="L2899" s="41" t="s">
        <v>1094</v>
      </c>
    </row>
    <row r="2900" spans="1:19" x14ac:dyDescent="0.25">
      <c r="A2900" s="41" t="s">
        <v>908</v>
      </c>
      <c r="B2900" s="41" t="s">
        <v>23496</v>
      </c>
    </row>
    <row r="2901" spans="1:19" x14ac:dyDescent="0.25">
      <c r="A2901" s="41" t="s">
        <v>23</v>
      </c>
      <c r="B2901" s="41" t="s">
        <v>23497</v>
      </c>
      <c r="F2901" s="41" t="s">
        <v>23498</v>
      </c>
      <c r="G2901" s="41" t="s">
        <v>23499</v>
      </c>
      <c r="H2901" s="41" t="s">
        <v>23500</v>
      </c>
      <c r="I2901" s="41" t="s">
        <v>23501</v>
      </c>
      <c r="J2901" s="41" t="s">
        <v>23502</v>
      </c>
      <c r="L2901" s="41" t="s">
        <v>4</v>
      </c>
    </row>
    <row r="2902" spans="1:19" x14ac:dyDescent="0.25">
      <c r="A2902" s="41" t="s">
        <v>23</v>
      </c>
      <c r="B2902" s="41" t="s">
        <v>23503</v>
      </c>
      <c r="D2902" s="41" t="s">
        <v>23336</v>
      </c>
      <c r="E2902" s="41" t="s">
        <v>23505</v>
      </c>
      <c r="F2902" s="41" t="s">
        <v>23506</v>
      </c>
      <c r="G2902" s="41" t="s">
        <v>23507</v>
      </c>
      <c r="H2902" s="41" t="s">
        <v>23508</v>
      </c>
      <c r="I2902" s="41" t="s">
        <v>23509</v>
      </c>
      <c r="J2902" s="41" t="s">
        <v>23510</v>
      </c>
      <c r="K2902" s="41" t="s">
        <v>23511</v>
      </c>
      <c r="L2902" s="41" t="s">
        <v>23512</v>
      </c>
      <c r="M2902" s="41" t="s">
        <v>23513</v>
      </c>
      <c r="N2902" s="41" t="s">
        <v>23514</v>
      </c>
      <c r="O2902" s="41" t="s">
        <v>23515</v>
      </c>
      <c r="P2902" s="41" t="s">
        <v>23516</v>
      </c>
      <c r="Q2902" s="41" t="s">
        <v>23517</v>
      </c>
      <c r="R2902" s="41" t="s">
        <v>23518</v>
      </c>
      <c r="S2902" s="41" t="s">
        <v>23519</v>
      </c>
    </row>
    <row r="2903" spans="1:19" x14ac:dyDescent="0.25">
      <c r="A2903" s="41" t="s">
        <v>23</v>
      </c>
      <c r="B2903" s="41" t="s">
        <v>23520</v>
      </c>
      <c r="D2903" s="41" t="s">
        <v>23521</v>
      </c>
      <c r="F2903" s="41" t="s">
        <v>23522</v>
      </c>
      <c r="G2903" s="41" t="s">
        <v>23523</v>
      </c>
      <c r="H2903" s="41" t="s">
        <v>23524</v>
      </c>
      <c r="I2903" s="41" t="s">
        <v>23525</v>
      </c>
      <c r="J2903" s="41" t="s">
        <v>23526</v>
      </c>
      <c r="K2903" s="41" t="s">
        <v>23527</v>
      </c>
      <c r="L2903" s="41" t="s">
        <v>891</v>
      </c>
    </row>
    <row r="2904" spans="1:19" x14ac:dyDescent="0.25">
      <c r="A2904" s="41" t="s">
        <v>23</v>
      </c>
      <c r="B2904" s="41" t="s">
        <v>23528</v>
      </c>
      <c r="D2904" s="41" t="s">
        <v>23529</v>
      </c>
      <c r="F2904" s="41" t="s">
        <v>23530</v>
      </c>
      <c r="G2904" s="41" t="s">
        <v>23531</v>
      </c>
      <c r="H2904" s="41" t="s">
        <v>23532</v>
      </c>
      <c r="I2904" s="41" t="s">
        <v>23533</v>
      </c>
      <c r="J2904" s="41" t="s">
        <v>23534</v>
      </c>
      <c r="K2904" s="41" t="s">
        <v>23535</v>
      </c>
      <c r="L2904" s="41" t="s">
        <v>1076</v>
      </c>
    </row>
    <row r="2905" spans="1:19" x14ac:dyDescent="0.25">
      <c r="A2905" s="41" t="s">
        <v>23</v>
      </c>
      <c r="B2905" s="41" t="s">
        <v>23536</v>
      </c>
      <c r="D2905" s="41" t="s">
        <v>23537</v>
      </c>
      <c r="F2905" s="41" t="s">
        <v>23538</v>
      </c>
      <c r="G2905" s="41" t="s">
        <v>23539</v>
      </c>
      <c r="H2905" s="41" t="s">
        <v>23540</v>
      </c>
      <c r="I2905" s="41" t="s">
        <v>23541</v>
      </c>
      <c r="J2905" s="41" t="s">
        <v>23542</v>
      </c>
      <c r="K2905" s="41" t="s">
        <v>23543</v>
      </c>
      <c r="L2905" s="41" t="s">
        <v>1085</v>
      </c>
    </row>
    <row r="2906" spans="1:19" x14ac:dyDescent="0.25">
      <c r="A2906" s="41" t="s">
        <v>23</v>
      </c>
      <c r="B2906" s="41" t="s">
        <v>23544</v>
      </c>
      <c r="D2906" s="41" t="s">
        <v>23545</v>
      </c>
      <c r="F2906" s="41" t="s">
        <v>23546</v>
      </c>
      <c r="G2906" s="41" t="s">
        <v>23547</v>
      </c>
      <c r="H2906" s="41" t="s">
        <v>23548</v>
      </c>
      <c r="I2906" s="41" t="s">
        <v>23549</v>
      </c>
      <c r="J2906" s="41" t="s">
        <v>23550</v>
      </c>
      <c r="K2906" s="41" t="s">
        <v>23551</v>
      </c>
      <c r="L2906" s="41" t="s">
        <v>1094</v>
      </c>
    </row>
    <row r="2907" spans="1:19" x14ac:dyDescent="0.25">
      <c r="A2907" s="41" t="s">
        <v>908</v>
      </c>
      <c r="B2907" s="41" t="s">
        <v>23552</v>
      </c>
    </row>
    <row r="2908" spans="1:19" x14ac:dyDescent="0.25">
      <c r="A2908" s="41" t="s">
        <v>23</v>
      </c>
      <c r="B2908" s="41" t="s">
        <v>23553</v>
      </c>
      <c r="F2908" s="41" t="s">
        <v>23554</v>
      </c>
      <c r="G2908" s="41" t="s">
        <v>23555</v>
      </c>
      <c r="H2908" s="41" t="s">
        <v>23556</v>
      </c>
      <c r="I2908" s="41" t="s">
        <v>23557</v>
      </c>
      <c r="J2908" s="41" t="s">
        <v>23558</v>
      </c>
      <c r="L2908" s="41" t="s">
        <v>4</v>
      </c>
    </row>
    <row r="2909" spans="1:19" x14ac:dyDescent="0.25">
      <c r="A2909" s="41" t="s">
        <v>23</v>
      </c>
      <c r="B2909" s="41" t="s">
        <v>23559</v>
      </c>
      <c r="D2909" s="41" t="s">
        <v>23392</v>
      </c>
      <c r="E2909" s="41" t="s">
        <v>23561</v>
      </c>
      <c r="F2909" s="41" t="s">
        <v>23562</v>
      </c>
      <c r="G2909" s="41" t="s">
        <v>23563</v>
      </c>
      <c r="H2909" s="41" t="s">
        <v>23564</v>
      </c>
      <c r="I2909" s="41" t="s">
        <v>23565</v>
      </c>
      <c r="J2909" s="41" t="s">
        <v>23566</v>
      </c>
      <c r="K2909" s="41" t="s">
        <v>23567</v>
      </c>
      <c r="L2909" s="41" t="s">
        <v>23568</v>
      </c>
      <c r="M2909" s="41" t="s">
        <v>23569</v>
      </c>
      <c r="N2909" s="41" t="s">
        <v>23570</v>
      </c>
      <c r="O2909" s="41" t="s">
        <v>23571</v>
      </c>
      <c r="P2909" s="41" t="s">
        <v>23572</v>
      </c>
      <c r="Q2909" s="41" t="s">
        <v>23573</v>
      </c>
      <c r="R2909" s="41" t="s">
        <v>23574</v>
      </c>
      <c r="S2909" s="41" t="s">
        <v>23575</v>
      </c>
    </row>
    <row r="2910" spans="1:19" x14ac:dyDescent="0.25">
      <c r="A2910" s="41" t="s">
        <v>23</v>
      </c>
      <c r="B2910" s="41" t="s">
        <v>23576</v>
      </c>
      <c r="D2910" s="41" t="s">
        <v>23577</v>
      </c>
      <c r="F2910" s="41" t="s">
        <v>23578</v>
      </c>
      <c r="G2910" s="41" t="s">
        <v>23579</v>
      </c>
      <c r="H2910" s="41" t="s">
        <v>23580</v>
      </c>
      <c r="I2910" s="41" t="s">
        <v>23581</v>
      </c>
      <c r="J2910" s="41" t="s">
        <v>23582</v>
      </c>
      <c r="K2910" s="41" t="s">
        <v>23583</v>
      </c>
      <c r="L2910" s="41" t="s">
        <v>891</v>
      </c>
    </row>
    <row r="2911" spans="1:19" x14ac:dyDescent="0.25">
      <c r="A2911" s="41" t="s">
        <v>23</v>
      </c>
      <c r="B2911" s="41" t="s">
        <v>23584</v>
      </c>
      <c r="D2911" s="41" t="s">
        <v>23585</v>
      </c>
      <c r="F2911" s="41" t="s">
        <v>23586</v>
      </c>
      <c r="G2911" s="41" t="s">
        <v>23587</v>
      </c>
      <c r="H2911" s="41" t="s">
        <v>23588</v>
      </c>
      <c r="I2911" s="41" t="s">
        <v>23589</v>
      </c>
      <c r="J2911" s="41" t="s">
        <v>23590</v>
      </c>
      <c r="K2911" s="41" t="s">
        <v>23591</v>
      </c>
      <c r="L2911" s="41" t="s">
        <v>1076</v>
      </c>
    </row>
    <row r="2912" spans="1:19" x14ac:dyDescent="0.25">
      <c r="A2912" s="41" t="s">
        <v>23</v>
      </c>
      <c r="B2912" s="41" t="s">
        <v>23592</v>
      </c>
      <c r="D2912" s="41" t="s">
        <v>23593</v>
      </c>
      <c r="F2912" s="41" t="s">
        <v>23594</v>
      </c>
      <c r="G2912" s="41" t="s">
        <v>23595</v>
      </c>
      <c r="H2912" s="41" t="s">
        <v>23596</v>
      </c>
      <c r="I2912" s="41" t="s">
        <v>23597</v>
      </c>
      <c r="J2912" s="41" t="s">
        <v>23598</v>
      </c>
      <c r="K2912" s="41" t="s">
        <v>23599</v>
      </c>
      <c r="L2912" s="41" t="s">
        <v>1085</v>
      </c>
    </row>
    <row r="2913" spans="1:19" x14ac:dyDescent="0.25">
      <c r="A2913" s="41" t="s">
        <v>23</v>
      </c>
      <c r="B2913" s="41" t="s">
        <v>23600</v>
      </c>
      <c r="D2913" s="41" t="s">
        <v>23601</v>
      </c>
      <c r="F2913" s="41" t="s">
        <v>23602</v>
      </c>
      <c r="G2913" s="41" t="s">
        <v>23603</v>
      </c>
      <c r="H2913" s="41" t="s">
        <v>23604</v>
      </c>
      <c r="I2913" s="41" t="s">
        <v>23605</v>
      </c>
      <c r="J2913" s="41" t="s">
        <v>23606</v>
      </c>
      <c r="K2913" s="41" t="s">
        <v>23607</v>
      </c>
      <c r="L2913" s="41" t="s">
        <v>1094</v>
      </c>
    </row>
    <row r="2914" spans="1:19" x14ac:dyDescent="0.25">
      <c r="A2914" s="41" t="s">
        <v>908</v>
      </c>
      <c r="B2914" s="41" t="s">
        <v>23608</v>
      </c>
    </row>
    <row r="2915" spans="1:19" x14ac:dyDescent="0.25">
      <c r="A2915" s="41" t="s">
        <v>23</v>
      </c>
      <c r="B2915" s="41" t="s">
        <v>23609</v>
      </c>
      <c r="F2915" s="41" t="s">
        <v>23610</v>
      </c>
      <c r="G2915" s="41" t="s">
        <v>23611</v>
      </c>
      <c r="H2915" s="41" t="s">
        <v>23612</v>
      </c>
      <c r="I2915" s="41" t="s">
        <v>23613</v>
      </c>
      <c r="J2915" s="41" t="s">
        <v>23614</v>
      </c>
      <c r="L2915" s="41" t="s">
        <v>4</v>
      </c>
    </row>
    <row r="2916" spans="1:19" x14ac:dyDescent="0.25">
      <c r="A2916" s="41" t="s">
        <v>23</v>
      </c>
      <c r="B2916" s="41" t="s">
        <v>23615</v>
      </c>
      <c r="D2916" s="41" t="s">
        <v>23448</v>
      </c>
      <c r="E2916" s="41" t="s">
        <v>23617</v>
      </c>
      <c r="F2916" s="41" t="s">
        <v>23618</v>
      </c>
      <c r="G2916" s="41" t="s">
        <v>23619</v>
      </c>
      <c r="H2916" s="41" t="s">
        <v>23620</v>
      </c>
      <c r="I2916" s="41" t="s">
        <v>23621</v>
      </c>
      <c r="J2916" s="41" t="s">
        <v>23622</v>
      </c>
      <c r="K2916" s="41" t="s">
        <v>23623</v>
      </c>
      <c r="L2916" s="41" t="s">
        <v>23624</v>
      </c>
      <c r="M2916" s="41" t="s">
        <v>23625</v>
      </c>
      <c r="N2916" s="41" t="s">
        <v>23626</v>
      </c>
      <c r="O2916" s="41" t="s">
        <v>23627</v>
      </c>
      <c r="P2916" s="41" t="s">
        <v>23628</v>
      </c>
      <c r="Q2916" s="41" t="s">
        <v>23629</v>
      </c>
      <c r="R2916" s="41" t="s">
        <v>23630</v>
      </c>
      <c r="S2916" s="41" t="s">
        <v>23631</v>
      </c>
    </row>
    <row r="2917" spans="1:19" x14ac:dyDescent="0.25">
      <c r="A2917" s="41" t="s">
        <v>23</v>
      </c>
      <c r="B2917" s="41" t="s">
        <v>23632</v>
      </c>
      <c r="D2917" s="41" t="s">
        <v>23633</v>
      </c>
      <c r="F2917" s="41" t="s">
        <v>23634</v>
      </c>
      <c r="G2917" s="41" t="s">
        <v>23635</v>
      </c>
      <c r="H2917" s="41" t="s">
        <v>23636</v>
      </c>
      <c r="I2917" s="41" t="s">
        <v>23637</v>
      </c>
      <c r="J2917" s="41" t="s">
        <v>23638</v>
      </c>
      <c r="K2917" s="41" t="s">
        <v>23639</v>
      </c>
      <c r="L2917" s="41" t="s">
        <v>891</v>
      </c>
    </row>
    <row r="2918" spans="1:19" x14ac:dyDescent="0.25">
      <c r="A2918" s="41" t="s">
        <v>23</v>
      </c>
      <c r="B2918" s="41" t="s">
        <v>23640</v>
      </c>
      <c r="D2918" s="41" t="s">
        <v>23641</v>
      </c>
      <c r="F2918" s="41" t="s">
        <v>23642</v>
      </c>
      <c r="G2918" s="41" t="s">
        <v>23643</v>
      </c>
      <c r="H2918" s="41" t="s">
        <v>23644</v>
      </c>
      <c r="I2918" s="41" t="s">
        <v>23645</v>
      </c>
      <c r="J2918" s="41" t="s">
        <v>23646</v>
      </c>
      <c r="K2918" s="41" t="s">
        <v>23647</v>
      </c>
      <c r="L2918" s="41" t="s">
        <v>1076</v>
      </c>
    </row>
    <row r="2919" spans="1:19" x14ac:dyDescent="0.25">
      <c r="A2919" s="41" t="s">
        <v>23</v>
      </c>
      <c r="B2919" s="41" t="s">
        <v>23648</v>
      </c>
      <c r="D2919" s="41" t="s">
        <v>23649</v>
      </c>
      <c r="F2919" s="41" t="s">
        <v>23650</v>
      </c>
      <c r="G2919" s="41" t="s">
        <v>23651</v>
      </c>
      <c r="H2919" s="41" t="s">
        <v>23652</v>
      </c>
      <c r="I2919" s="41" t="s">
        <v>23653</v>
      </c>
      <c r="J2919" s="41" t="s">
        <v>23654</v>
      </c>
      <c r="K2919" s="41" t="s">
        <v>23655</v>
      </c>
      <c r="L2919" s="41" t="s">
        <v>1085</v>
      </c>
    </row>
    <row r="2920" spans="1:19" x14ac:dyDescent="0.25">
      <c r="A2920" s="41" t="s">
        <v>23</v>
      </c>
      <c r="B2920" s="41" t="s">
        <v>23656</v>
      </c>
      <c r="D2920" s="41" t="s">
        <v>23657</v>
      </c>
      <c r="F2920" s="41" t="s">
        <v>23658</v>
      </c>
      <c r="G2920" s="41" t="s">
        <v>23659</v>
      </c>
      <c r="H2920" s="41" t="s">
        <v>23660</v>
      </c>
      <c r="I2920" s="41" t="s">
        <v>23661</v>
      </c>
      <c r="J2920" s="41" t="s">
        <v>23662</v>
      </c>
      <c r="K2920" s="41" t="s">
        <v>23663</v>
      </c>
      <c r="L2920" s="41" t="s">
        <v>1094</v>
      </c>
    </row>
    <row r="2921" spans="1:19" x14ac:dyDescent="0.25">
      <c r="A2921" s="41" t="s">
        <v>908</v>
      </c>
      <c r="B2921" s="41" t="s">
        <v>23664</v>
      </c>
    </row>
    <row r="2922" spans="1:19" x14ac:dyDescent="0.25">
      <c r="A2922" s="41" t="s">
        <v>23</v>
      </c>
      <c r="B2922" s="41" t="s">
        <v>23665</v>
      </c>
      <c r="F2922" s="41" t="s">
        <v>23666</v>
      </c>
      <c r="G2922" s="41" t="s">
        <v>23667</v>
      </c>
      <c r="H2922" s="41" t="s">
        <v>23668</v>
      </c>
      <c r="I2922" s="41" t="s">
        <v>23669</v>
      </c>
      <c r="J2922" s="41" t="s">
        <v>23670</v>
      </c>
      <c r="L2922" s="41" t="s">
        <v>4</v>
      </c>
    </row>
    <row r="2923" spans="1:19" x14ac:dyDescent="0.25">
      <c r="A2923" s="41" t="s">
        <v>23</v>
      </c>
      <c r="B2923" s="41" t="s">
        <v>23671</v>
      </c>
      <c r="D2923" s="41" t="s">
        <v>23504</v>
      </c>
      <c r="E2923" s="41" t="s">
        <v>23673</v>
      </c>
      <c r="F2923" s="41" t="s">
        <v>23674</v>
      </c>
      <c r="G2923" s="41" t="s">
        <v>23675</v>
      </c>
      <c r="H2923" s="41" t="s">
        <v>23676</v>
      </c>
      <c r="I2923" s="41" t="s">
        <v>23677</v>
      </c>
      <c r="J2923" s="41" t="s">
        <v>23678</v>
      </c>
      <c r="K2923" s="41" t="s">
        <v>23679</v>
      </c>
      <c r="L2923" s="41" t="s">
        <v>23680</v>
      </c>
      <c r="M2923" s="41" t="s">
        <v>23681</v>
      </c>
      <c r="N2923" s="41" t="s">
        <v>23682</v>
      </c>
      <c r="O2923" s="41" t="s">
        <v>23683</v>
      </c>
      <c r="P2923" s="41" t="s">
        <v>23684</v>
      </c>
      <c r="Q2923" s="41" t="s">
        <v>23685</v>
      </c>
      <c r="R2923" s="41" t="s">
        <v>23686</v>
      </c>
      <c r="S2923" s="41" t="s">
        <v>23687</v>
      </c>
    </row>
    <row r="2924" spans="1:19" x14ac:dyDescent="0.25">
      <c r="A2924" s="41" t="s">
        <v>23</v>
      </c>
      <c r="B2924" s="41" t="s">
        <v>23688</v>
      </c>
      <c r="D2924" s="41" t="s">
        <v>23689</v>
      </c>
      <c r="F2924" s="41" t="s">
        <v>23690</v>
      </c>
      <c r="G2924" s="41" t="s">
        <v>23691</v>
      </c>
      <c r="H2924" s="41" t="s">
        <v>23692</v>
      </c>
      <c r="I2924" s="41" t="s">
        <v>23693</v>
      </c>
      <c r="J2924" s="41" t="s">
        <v>23694</v>
      </c>
      <c r="K2924" s="41" t="s">
        <v>23695</v>
      </c>
      <c r="L2924" s="41" t="s">
        <v>891</v>
      </c>
    </row>
    <row r="2925" spans="1:19" x14ac:dyDescent="0.25">
      <c r="A2925" s="41" t="s">
        <v>23</v>
      </c>
      <c r="B2925" s="41" t="s">
        <v>23696</v>
      </c>
      <c r="D2925" s="41" t="s">
        <v>23697</v>
      </c>
      <c r="F2925" s="41" t="s">
        <v>23698</v>
      </c>
      <c r="G2925" s="41" t="s">
        <v>23699</v>
      </c>
      <c r="H2925" s="41" t="s">
        <v>23700</v>
      </c>
      <c r="I2925" s="41" t="s">
        <v>23701</v>
      </c>
      <c r="J2925" s="41" t="s">
        <v>23702</v>
      </c>
      <c r="K2925" s="41" t="s">
        <v>23703</v>
      </c>
      <c r="L2925" s="41" t="s">
        <v>1076</v>
      </c>
    </row>
    <row r="2926" spans="1:19" x14ac:dyDescent="0.25">
      <c r="A2926" s="41" t="s">
        <v>23</v>
      </c>
      <c r="B2926" s="41" t="s">
        <v>23704</v>
      </c>
      <c r="D2926" s="41" t="s">
        <v>23705</v>
      </c>
      <c r="F2926" s="41" t="s">
        <v>23706</v>
      </c>
      <c r="G2926" s="41" t="s">
        <v>23707</v>
      </c>
      <c r="H2926" s="41" t="s">
        <v>23708</v>
      </c>
      <c r="I2926" s="41" t="s">
        <v>23709</v>
      </c>
      <c r="J2926" s="41" t="s">
        <v>23710</v>
      </c>
      <c r="K2926" s="41" t="s">
        <v>23711</v>
      </c>
      <c r="L2926" s="41" t="s">
        <v>1085</v>
      </c>
    </row>
    <row r="2927" spans="1:19" x14ac:dyDescent="0.25">
      <c r="A2927" s="41" t="s">
        <v>23</v>
      </c>
      <c r="B2927" s="41" t="s">
        <v>23712</v>
      </c>
      <c r="D2927" s="41" t="s">
        <v>23713</v>
      </c>
      <c r="F2927" s="41" t="s">
        <v>23714</v>
      </c>
      <c r="G2927" s="41" t="s">
        <v>23715</v>
      </c>
      <c r="H2927" s="41" t="s">
        <v>23716</v>
      </c>
      <c r="I2927" s="41" t="s">
        <v>23717</v>
      </c>
      <c r="J2927" s="41" t="s">
        <v>23718</v>
      </c>
      <c r="K2927" s="41" t="s">
        <v>23719</v>
      </c>
      <c r="L2927" s="41" t="s">
        <v>1094</v>
      </c>
    </row>
    <row r="2928" spans="1:19" x14ac:dyDescent="0.25">
      <c r="A2928" s="41" t="s">
        <v>908</v>
      </c>
      <c r="B2928" s="41" t="s">
        <v>23720</v>
      </c>
    </row>
    <row r="2929" spans="1:19" x14ac:dyDescent="0.25">
      <c r="A2929" s="41" t="s">
        <v>23</v>
      </c>
      <c r="B2929" s="41" t="s">
        <v>23721</v>
      </c>
      <c r="F2929" s="41" t="s">
        <v>23722</v>
      </c>
      <c r="G2929" s="41" t="s">
        <v>23723</v>
      </c>
      <c r="H2929" s="41" t="s">
        <v>23724</v>
      </c>
      <c r="I2929" s="41" t="s">
        <v>23725</v>
      </c>
      <c r="J2929" s="41" t="s">
        <v>23726</v>
      </c>
      <c r="L2929" s="41" t="s">
        <v>4</v>
      </c>
    </row>
    <row r="2930" spans="1:19" x14ac:dyDescent="0.25">
      <c r="A2930" s="41" t="s">
        <v>23</v>
      </c>
      <c r="B2930" s="41" t="s">
        <v>23727</v>
      </c>
      <c r="D2930" s="41" t="s">
        <v>23560</v>
      </c>
      <c r="E2930" s="41" t="s">
        <v>23728</v>
      </c>
      <c r="F2930" s="41" t="s">
        <v>23729</v>
      </c>
      <c r="G2930" s="41" t="s">
        <v>23730</v>
      </c>
      <c r="H2930" s="41" t="s">
        <v>23731</v>
      </c>
      <c r="I2930" s="41" t="s">
        <v>23732</v>
      </c>
      <c r="J2930" s="41" t="s">
        <v>23733</v>
      </c>
      <c r="K2930" s="41" t="s">
        <v>23734</v>
      </c>
      <c r="L2930" s="41" t="s">
        <v>23735</v>
      </c>
      <c r="M2930" s="41" t="s">
        <v>23736</v>
      </c>
      <c r="N2930" s="41" t="s">
        <v>23737</v>
      </c>
      <c r="O2930" s="41" t="s">
        <v>23738</v>
      </c>
      <c r="P2930" s="41" t="s">
        <v>23739</v>
      </c>
      <c r="Q2930" s="41" t="s">
        <v>23740</v>
      </c>
      <c r="R2930" s="41" t="s">
        <v>23741</v>
      </c>
      <c r="S2930" s="41" t="s">
        <v>23742</v>
      </c>
    </row>
    <row r="2931" spans="1:19" x14ac:dyDescent="0.25">
      <c r="A2931" s="41" t="s">
        <v>23</v>
      </c>
      <c r="B2931" s="41" t="s">
        <v>23743</v>
      </c>
      <c r="D2931" s="41" t="s">
        <v>23744</v>
      </c>
      <c r="F2931" s="41" t="s">
        <v>23745</v>
      </c>
      <c r="G2931" s="41" t="s">
        <v>23746</v>
      </c>
      <c r="H2931" s="41" t="s">
        <v>23747</v>
      </c>
      <c r="I2931" s="41" t="s">
        <v>23748</v>
      </c>
      <c r="J2931" s="41" t="s">
        <v>23749</v>
      </c>
      <c r="K2931" s="41" t="s">
        <v>23750</v>
      </c>
      <c r="L2931" s="41" t="s">
        <v>891</v>
      </c>
    </row>
    <row r="2932" spans="1:19" x14ac:dyDescent="0.25">
      <c r="A2932" s="41" t="s">
        <v>23</v>
      </c>
      <c r="B2932" s="41" t="s">
        <v>23751</v>
      </c>
      <c r="D2932" s="41" t="s">
        <v>23752</v>
      </c>
      <c r="F2932" s="41" t="s">
        <v>23753</v>
      </c>
      <c r="G2932" s="41" t="s">
        <v>23754</v>
      </c>
      <c r="H2932" s="41" t="s">
        <v>23755</v>
      </c>
      <c r="I2932" s="41" t="s">
        <v>23756</v>
      </c>
      <c r="J2932" s="41" t="s">
        <v>23757</v>
      </c>
      <c r="K2932" s="41" t="s">
        <v>23758</v>
      </c>
      <c r="L2932" s="41" t="s">
        <v>1076</v>
      </c>
    </row>
    <row r="2933" spans="1:19" x14ac:dyDescent="0.25">
      <c r="A2933" s="41" t="s">
        <v>23</v>
      </c>
      <c r="B2933" s="41" t="s">
        <v>23759</v>
      </c>
      <c r="D2933" s="41" t="s">
        <v>23760</v>
      </c>
      <c r="F2933" s="41" t="s">
        <v>23761</v>
      </c>
      <c r="G2933" s="41" t="s">
        <v>23762</v>
      </c>
      <c r="H2933" s="41" t="s">
        <v>23763</v>
      </c>
      <c r="I2933" s="41" t="s">
        <v>23764</v>
      </c>
      <c r="J2933" s="41" t="s">
        <v>23765</v>
      </c>
      <c r="K2933" s="41" t="s">
        <v>23766</v>
      </c>
      <c r="L2933" s="41" t="s">
        <v>1085</v>
      </c>
    </row>
    <row r="2934" spans="1:19" x14ac:dyDescent="0.25">
      <c r="A2934" s="41" t="s">
        <v>23</v>
      </c>
      <c r="B2934" s="41" t="s">
        <v>23767</v>
      </c>
      <c r="D2934" s="41" t="s">
        <v>23768</v>
      </c>
      <c r="F2934" s="41" t="s">
        <v>23769</v>
      </c>
      <c r="G2934" s="41" t="s">
        <v>23770</v>
      </c>
      <c r="H2934" s="41" t="s">
        <v>23771</v>
      </c>
      <c r="I2934" s="41" t="s">
        <v>23772</v>
      </c>
      <c r="J2934" s="41" t="s">
        <v>23773</v>
      </c>
      <c r="K2934" s="41" t="s">
        <v>23774</v>
      </c>
      <c r="L2934" s="41" t="s">
        <v>1094</v>
      </c>
    </row>
    <row r="2935" spans="1:19" x14ac:dyDescent="0.25">
      <c r="A2935" s="41" t="s">
        <v>908</v>
      </c>
      <c r="B2935" s="41" t="s">
        <v>23775</v>
      </c>
    </row>
    <row r="2936" spans="1:19" x14ac:dyDescent="0.25">
      <c r="A2936" s="41" t="s">
        <v>23</v>
      </c>
      <c r="B2936" s="41" t="s">
        <v>23776</v>
      </c>
      <c r="F2936" s="41" t="s">
        <v>23777</v>
      </c>
      <c r="G2936" s="41" t="s">
        <v>23778</v>
      </c>
      <c r="H2936" s="41" t="s">
        <v>23779</v>
      </c>
      <c r="I2936" s="41" t="s">
        <v>23780</v>
      </c>
      <c r="J2936" s="41" t="s">
        <v>23781</v>
      </c>
      <c r="L2936" s="41" t="s">
        <v>4</v>
      </c>
    </row>
    <row r="2937" spans="1:19" x14ac:dyDescent="0.25">
      <c r="A2937" s="41" t="s">
        <v>23</v>
      </c>
      <c r="B2937" s="41" t="s">
        <v>23782</v>
      </c>
      <c r="D2937" s="41" t="s">
        <v>23616</v>
      </c>
      <c r="E2937" s="41" t="s">
        <v>23784</v>
      </c>
      <c r="F2937" s="41" t="s">
        <v>23785</v>
      </c>
      <c r="G2937" s="41" t="s">
        <v>23786</v>
      </c>
      <c r="H2937" s="41" t="s">
        <v>23787</v>
      </c>
      <c r="I2937" s="41" t="s">
        <v>23788</v>
      </c>
      <c r="J2937" s="41" t="s">
        <v>23789</v>
      </c>
      <c r="K2937" s="41" t="s">
        <v>23790</v>
      </c>
      <c r="L2937" s="41" t="s">
        <v>23791</v>
      </c>
      <c r="M2937" s="41" t="s">
        <v>23792</v>
      </c>
      <c r="N2937" s="41" t="s">
        <v>23793</v>
      </c>
      <c r="O2937" s="41" t="s">
        <v>23794</v>
      </c>
      <c r="P2937" s="41" t="s">
        <v>23795</v>
      </c>
      <c r="Q2937" s="41" t="s">
        <v>23796</v>
      </c>
      <c r="R2937" s="41" t="s">
        <v>23797</v>
      </c>
      <c r="S2937" s="41" t="s">
        <v>23798</v>
      </c>
    </row>
    <row r="2938" spans="1:19" x14ac:dyDescent="0.25">
      <c r="A2938" s="41" t="s">
        <v>23</v>
      </c>
      <c r="B2938" s="41" t="s">
        <v>23799</v>
      </c>
      <c r="D2938" s="41" t="s">
        <v>23800</v>
      </c>
      <c r="F2938" s="41" t="s">
        <v>23801</v>
      </c>
      <c r="G2938" s="41" t="s">
        <v>23802</v>
      </c>
      <c r="H2938" s="41" t="s">
        <v>23803</v>
      </c>
      <c r="I2938" s="41" t="s">
        <v>23804</v>
      </c>
      <c r="J2938" s="41" t="s">
        <v>23805</v>
      </c>
      <c r="K2938" s="41" t="s">
        <v>23806</v>
      </c>
      <c r="L2938" s="41" t="s">
        <v>891</v>
      </c>
    </row>
    <row r="2939" spans="1:19" x14ac:dyDescent="0.25">
      <c r="A2939" s="41" t="s">
        <v>23</v>
      </c>
      <c r="B2939" s="41" t="s">
        <v>23807</v>
      </c>
      <c r="D2939" s="41" t="s">
        <v>23808</v>
      </c>
      <c r="F2939" s="41" t="s">
        <v>23809</v>
      </c>
      <c r="G2939" s="41" t="s">
        <v>23810</v>
      </c>
      <c r="H2939" s="41" t="s">
        <v>23811</v>
      </c>
      <c r="I2939" s="41" t="s">
        <v>23812</v>
      </c>
      <c r="J2939" s="41" t="s">
        <v>23813</v>
      </c>
      <c r="K2939" s="41" t="s">
        <v>23814</v>
      </c>
      <c r="L2939" s="41" t="s">
        <v>1076</v>
      </c>
    </row>
    <row r="2940" spans="1:19" x14ac:dyDescent="0.25">
      <c r="A2940" s="41" t="s">
        <v>23</v>
      </c>
      <c r="B2940" s="41" t="s">
        <v>23815</v>
      </c>
      <c r="D2940" s="41" t="s">
        <v>23816</v>
      </c>
      <c r="F2940" s="41" t="s">
        <v>23817</v>
      </c>
      <c r="G2940" s="41" t="s">
        <v>23818</v>
      </c>
      <c r="H2940" s="41" t="s">
        <v>23819</v>
      </c>
      <c r="I2940" s="41" t="s">
        <v>23820</v>
      </c>
      <c r="J2940" s="41" t="s">
        <v>23821</v>
      </c>
      <c r="K2940" s="41" t="s">
        <v>23822</v>
      </c>
      <c r="L2940" s="41" t="s">
        <v>1085</v>
      </c>
    </row>
    <row r="2941" spans="1:19" x14ac:dyDescent="0.25">
      <c r="A2941" s="41" t="s">
        <v>23</v>
      </c>
      <c r="B2941" s="41" t="s">
        <v>23823</v>
      </c>
      <c r="D2941" s="41" t="s">
        <v>23824</v>
      </c>
      <c r="F2941" s="41" t="s">
        <v>23825</v>
      </c>
      <c r="G2941" s="41" t="s">
        <v>23826</v>
      </c>
      <c r="H2941" s="41" t="s">
        <v>23827</v>
      </c>
      <c r="I2941" s="41" t="s">
        <v>23828</v>
      </c>
      <c r="J2941" s="41" t="s">
        <v>23829</v>
      </c>
      <c r="K2941" s="41" t="s">
        <v>23830</v>
      </c>
      <c r="L2941" s="41" t="s">
        <v>1094</v>
      </c>
    </row>
    <row r="2942" spans="1:19" x14ac:dyDescent="0.25">
      <c r="A2942" s="41" t="s">
        <v>908</v>
      </c>
      <c r="B2942" s="41" t="s">
        <v>23831</v>
      </c>
    </row>
    <row r="2943" spans="1:19" x14ac:dyDescent="0.25">
      <c r="A2943" s="41" t="s">
        <v>23</v>
      </c>
      <c r="B2943" s="41" t="s">
        <v>23832</v>
      </c>
      <c r="F2943" s="41" t="s">
        <v>23833</v>
      </c>
      <c r="G2943" s="41" t="s">
        <v>23834</v>
      </c>
      <c r="H2943" s="41" t="s">
        <v>23835</v>
      </c>
      <c r="I2943" s="41" t="s">
        <v>23836</v>
      </c>
      <c r="J2943" s="41" t="s">
        <v>23837</v>
      </c>
      <c r="L2943" s="41" t="s">
        <v>4</v>
      </c>
    </row>
    <row r="2944" spans="1:19" x14ac:dyDescent="0.25">
      <c r="A2944" s="41" t="s">
        <v>23</v>
      </c>
      <c r="B2944" s="41" t="s">
        <v>23838</v>
      </c>
      <c r="D2944" s="41" t="s">
        <v>23672</v>
      </c>
      <c r="E2944" s="41" t="s">
        <v>23840</v>
      </c>
      <c r="F2944" s="41" t="s">
        <v>23841</v>
      </c>
      <c r="G2944" s="41" t="s">
        <v>23842</v>
      </c>
      <c r="H2944" s="41" t="s">
        <v>23843</v>
      </c>
      <c r="I2944" s="41" t="s">
        <v>23844</v>
      </c>
      <c r="J2944" s="41" t="s">
        <v>23845</v>
      </c>
      <c r="K2944" s="41" t="s">
        <v>23846</v>
      </c>
      <c r="L2944" s="41" t="s">
        <v>23847</v>
      </c>
      <c r="M2944" s="41" t="s">
        <v>23848</v>
      </c>
      <c r="N2944" s="41" t="s">
        <v>23849</v>
      </c>
      <c r="O2944" s="41" t="s">
        <v>23850</v>
      </c>
      <c r="P2944" s="41" t="s">
        <v>23851</v>
      </c>
      <c r="Q2944" s="41" t="s">
        <v>23852</v>
      </c>
      <c r="R2944" s="41" t="s">
        <v>23853</v>
      </c>
      <c r="S2944" s="41" t="s">
        <v>23854</v>
      </c>
    </row>
    <row r="2945" spans="1:19" x14ac:dyDescent="0.25">
      <c r="A2945" s="41" t="s">
        <v>23</v>
      </c>
      <c r="B2945" s="41" t="s">
        <v>23855</v>
      </c>
      <c r="D2945" s="41" t="s">
        <v>23856</v>
      </c>
      <c r="F2945" s="41" t="s">
        <v>23857</v>
      </c>
      <c r="G2945" s="41" t="s">
        <v>23858</v>
      </c>
      <c r="H2945" s="41" t="s">
        <v>23859</v>
      </c>
      <c r="I2945" s="41" t="s">
        <v>23860</v>
      </c>
      <c r="J2945" s="41" t="s">
        <v>23861</v>
      </c>
      <c r="K2945" s="41" t="s">
        <v>23862</v>
      </c>
      <c r="L2945" s="41" t="s">
        <v>891</v>
      </c>
    </row>
    <row r="2946" spans="1:19" x14ac:dyDescent="0.25">
      <c r="A2946" s="41" t="s">
        <v>23</v>
      </c>
      <c r="B2946" s="41" t="s">
        <v>23863</v>
      </c>
      <c r="D2946" s="41" t="s">
        <v>23864</v>
      </c>
      <c r="F2946" s="41" t="s">
        <v>23865</v>
      </c>
      <c r="G2946" s="41" t="s">
        <v>23866</v>
      </c>
      <c r="H2946" s="41" t="s">
        <v>23867</v>
      </c>
      <c r="I2946" s="41" t="s">
        <v>23868</v>
      </c>
      <c r="J2946" s="41" t="s">
        <v>23869</v>
      </c>
      <c r="K2946" s="41" t="s">
        <v>23870</v>
      </c>
      <c r="L2946" s="41" t="s">
        <v>1076</v>
      </c>
    </row>
    <row r="2947" spans="1:19" x14ac:dyDescent="0.25">
      <c r="A2947" s="41" t="s">
        <v>23</v>
      </c>
      <c r="B2947" s="41" t="s">
        <v>23871</v>
      </c>
      <c r="D2947" s="41" t="s">
        <v>23872</v>
      </c>
      <c r="F2947" s="41" t="s">
        <v>23873</v>
      </c>
      <c r="G2947" s="41" t="s">
        <v>23874</v>
      </c>
      <c r="H2947" s="41" t="s">
        <v>23875</v>
      </c>
      <c r="I2947" s="41" t="s">
        <v>23876</v>
      </c>
      <c r="J2947" s="41" t="s">
        <v>23877</v>
      </c>
      <c r="K2947" s="41" t="s">
        <v>23878</v>
      </c>
      <c r="L2947" s="41" t="s">
        <v>1085</v>
      </c>
    </row>
    <row r="2948" spans="1:19" x14ac:dyDescent="0.25">
      <c r="A2948" s="41" t="s">
        <v>23</v>
      </c>
      <c r="B2948" s="41" t="s">
        <v>23879</v>
      </c>
      <c r="D2948" s="41" t="s">
        <v>23880</v>
      </c>
      <c r="F2948" s="41" t="s">
        <v>23881</v>
      </c>
      <c r="G2948" s="41" t="s">
        <v>23882</v>
      </c>
      <c r="H2948" s="41" t="s">
        <v>23883</v>
      </c>
      <c r="I2948" s="41" t="s">
        <v>23884</v>
      </c>
      <c r="J2948" s="41" t="s">
        <v>23885</v>
      </c>
      <c r="K2948" s="41" t="s">
        <v>23886</v>
      </c>
      <c r="L2948" s="41" t="s">
        <v>1094</v>
      </c>
    </row>
    <row r="2949" spans="1:19" x14ac:dyDescent="0.25">
      <c r="A2949" s="41" t="s">
        <v>908</v>
      </c>
      <c r="B2949" s="41" t="s">
        <v>23887</v>
      </c>
    </row>
    <row r="2950" spans="1:19" x14ac:dyDescent="0.25">
      <c r="A2950" s="41" t="s">
        <v>23</v>
      </c>
      <c r="B2950" s="41" t="s">
        <v>23888</v>
      </c>
      <c r="F2950" s="41" t="s">
        <v>23889</v>
      </c>
      <c r="G2950" s="41" t="s">
        <v>23890</v>
      </c>
      <c r="H2950" s="41" t="s">
        <v>23891</v>
      </c>
      <c r="I2950" s="41" t="s">
        <v>23892</v>
      </c>
      <c r="J2950" s="41" t="s">
        <v>23893</v>
      </c>
      <c r="L2950" s="41" t="s">
        <v>4</v>
      </c>
    </row>
    <row r="2951" spans="1:19" x14ac:dyDescent="0.25">
      <c r="A2951" s="41" t="s">
        <v>23</v>
      </c>
      <c r="B2951" s="41" t="s">
        <v>23894</v>
      </c>
      <c r="D2951" s="41" t="s">
        <v>454</v>
      </c>
      <c r="E2951" s="41" t="s">
        <v>23896</v>
      </c>
      <c r="F2951" s="41" t="s">
        <v>23897</v>
      </c>
      <c r="G2951" s="41" t="s">
        <v>23898</v>
      </c>
      <c r="H2951" s="41" t="s">
        <v>23899</v>
      </c>
      <c r="I2951" s="41" t="s">
        <v>23900</v>
      </c>
      <c r="J2951" s="41" t="s">
        <v>23901</v>
      </c>
      <c r="K2951" s="41" t="s">
        <v>23902</v>
      </c>
      <c r="L2951" s="41" t="s">
        <v>23903</v>
      </c>
      <c r="M2951" s="41" t="s">
        <v>23904</v>
      </c>
      <c r="N2951" s="41" t="s">
        <v>23905</v>
      </c>
      <c r="O2951" s="41" t="s">
        <v>23906</v>
      </c>
      <c r="P2951" s="41" t="s">
        <v>23907</v>
      </c>
      <c r="Q2951" s="41" t="s">
        <v>23908</v>
      </c>
      <c r="R2951" s="41" t="s">
        <v>23909</v>
      </c>
      <c r="S2951" s="41" t="s">
        <v>23910</v>
      </c>
    </row>
    <row r="2952" spans="1:19" x14ac:dyDescent="0.25">
      <c r="A2952" s="41" t="s">
        <v>23</v>
      </c>
      <c r="B2952" s="41" t="s">
        <v>23911</v>
      </c>
      <c r="D2952" s="41" t="s">
        <v>23912</v>
      </c>
      <c r="F2952" s="41" t="s">
        <v>23913</v>
      </c>
      <c r="G2952" s="41" t="s">
        <v>23914</v>
      </c>
      <c r="H2952" s="41" t="s">
        <v>23915</v>
      </c>
      <c r="I2952" s="41" t="s">
        <v>23916</v>
      </c>
      <c r="J2952" s="41" t="s">
        <v>23917</v>
      </c>
      <c r="K2952" s="41" t="s">
        <v>23918</v>
      </c>
      <c r="L2952" s="41" t="s">
        <v>891</v>
      </c>
    </row>
    <row r="2953" spans="1:19" x14ac:dyDescent="0.25">
      <c r="A2953" s="41" t="s">
        <v>23</v>
      </c>
      <c r="B2953" s="41" t="s">
        <v>23919</v>
      </c>
      <c r="D2953" s="41" t="s">
        <v>23920</v>
      </c>
      <c r="F2953" s="41" t="s">
        <v>23921</v>
      </c>
      <c r="G2953" s="41" t="s">
        <v>23922</v>
      </c>
      <c r="H2953" s="41" t="s">
        <v>23923</v>
      </c>
      <c r="I2953" s="41" t="s">
        <v>23924</v>
      </c>
      <c r="J2953" s="41" t="s">
        <v>23925</v>
      </c>
      <c r="K2953" s="41" t="s">
        <v>23926</v>
      </c>
      <c r="L2953" s="41" t="s">
        <v>1076</v>
      </c>
    </row>
    <row r="2954" spans="1:19" x14ac:dyDescent="0.25">
      <c r="A2954" s="41" t="s">
        <v>23</v>
      </c>
      <c r="B2954" s="41" t="s">
        <v>23927</v>
      </c>
      <c r="D2954" s="41" t="s">
        <v>23928</v>
      </c>
      <c r="F2954" s="41" t="s">
        <v>23929</v>
      </c>
      <c r="G2954" s="41" t="s">
        <v>23930</v>
      </c>
      <c r="H2954" s="41" t="s">
        <v>23931</v>
      </c>
      <c r="I2954" s="41" t="s">
        <v>23932</v>
      </c>
      <c r="J2954" s="41" t="s">
        <v>23933</v>
      </c>
      <c r="K2954" s="41" t="s">
        <v>23934</v>
      </c>
      <c r="L2954" s="41" t="s">
        <v>1085</v>
      </c>
    </row>
    <row r="2955" spans="1:19" x14ac:dyDescent="0.25">
      <c r="A2955" s="41" t="s">
        <v>23</v>
      </c>
      <c r="B2955" s="41" t="s">
        <v>23935</v>
      </c>
      <c r="D2955" s="41" t="s">
        <v>23936</v>
      </c>
      <c r="F2955" s="41" t="s">
        <v>23937</v>
      </c>
      <c r="G2955" s="41" t="s">
        <v>23938</v>
      </c>
      <c r="H2955" s="41" t="s">
        <v>23939</v>
      </c>
      <c r="I2955" s="41" t="s">
        <v>23940</v>
      </c>
      <c r="J2955" s="41" t="s">
        <v>23941</v>
      </c>
      <c r="K2955" s="41" t="s">
        <v>23942</v>
      </c>
      <c r="L2955" s="41" t="s">
        <v>1094</v>
      </c>
    </row>
    <row r="2956" spans="1:19" x14ac:dyDescent="0.25">
      <c r="A2956" s="41" t="s">
        <v>908</v>
      </c>
      <c r="B2956" s="41" t="s">
        <v>23943</v>
      </c>
    </row>
    <row r="2957" spans="1:19" x14ac:dyDescent="0.25">
      <c r="A2957" s="41" t="s">
        <v>23</v>
      </c>
      <c r="B2957" s="41" t="s">
        <v>23944</v>
      </c>
      <c r="F2957" s="41" t="s">
        <v>23945</v>
      </c>
      <c r="G2957" s="41" t="s">
        <v>23946</v>
      </c>
      <c r="H2957" s="41" t="s">
        <v>23947</v>
      </c>
      <c r="I2957" s="41" t="s">
        <v>23948</v>
      </c>
      <c r="J2957" s="41" t="s">
        <v>23949</v>
      </c>
      <c r="L2957" s="41" t="s">
        <v>4</v>
      </c>
    </row>
    <row r="2958" spans="1:19" x14ac:dyDescent="0.25">
      <c r="A2958" s="41" t="s">
        <v>23</v>
      </c>
      <c r="B2958" s="41" t="s">
        <v>23950</v>
      </c>
      <c r="D2958" s="41" t="s">
        <v>23783</v>
      </c>
      <c r="E2958" s="41" t="s">
        <v>23951</v>
      </c>
      <c r="F2958" s="41" t="s">
        <v>23952</v>
      </c>
      <c r="G2958" s="41" t="s">
        <v>23953</v>
      </c>
      <c r="H2958" s="41" t="s">
        <v>23954</v>
      </c>
      <c r="I2958" s="41" t="s">
        <v>23955</v>
      </c>
      <c r="J2958" s="41" t="s">
        <v>23956</v>
      </c>
      <c r="K2958" s="41" t="s">
        <v>23957</v>
      </c>
      <c r="L2958" s="41" t="s">
        <v>23958</v>
      </c>
      <c r="M2958" s="41" t="s">
        <v>23959</v>
      </c>
      <c r="N2958" s="41" t="s">
        <v>23960</v>
      </c>
      <c r="O2958" s="41" t="s">
        <v>23961</v>
      </c>
      <c r="P2958" s="41" t="s">
        <v>23962</v>
      </c>
      <c r="Q2958" s="41" t="s">
        <v>23963</v>
      </c>
      <c r="R2958" s="41" t="s">
        <v>23964</v>
      </c>
      <c r="S2958" s="41" t="s">
        <v>23965</v>
      </c>
    </row>
    <row r="2959" spans="1:19" x14ac:dyDescent="0.25">
      <c r="A2959" s="41" t="s">
        <v>23</v>
      </c>
      <c r="B2959" s="41" t="s">
        <v>23966</v>
      </c>
      <c r="D2959" s="41" t="s">
        <v>23967</v>
      </c>
      <c r="F2959" s="41" t="s">
        <v>23968</v>
      </c>
      <c r="G2959" s="41" t="s">
        <v>23969</v>
      </c>
      <c r="H2959" s="41" t="s">
        <v>23970</v>
      </c>
      <c r="I2959" s="41" t="s">
        <v>23971</v>
      </c>
      <c r="J2959" s="41" t="s">
        <v>23972</v>
      </c>
      <c r="K2959" s="41" t="s">
        <v>23973</v>
      </c>
      <c r="L2959" s="41" t="s">
        <v>891</v>
      </c>
    </row>
    <row r="2960" spans="1:19" x14ac:dyDescent="0.25">
      <c r="A2960" s="41" t="s">
        <v>23</v>
      </c>
      <c r="B2960" s="41" t="s">
        <v>23974</v>
      </c>
      <c r="D2960" s="41" t="s">
        <v>23975</v>
      </c>
      <c r="F2960" s="41" t="s">
        <v>23976</v>
      </c>
      <c r="G2960" s="41" t="s">
        <v>23977</v>
      </c>
      <c r="H2960" s="41" t="s">
        <v>23978</v>
      </c>
      <c r="I2960" s="41" t="s">
        <v>23979</v>
      </c>
      <c r="J2960" s="41" t="s">
        <v>23980</v>
      </c>
      <c r="K2960" s="41" t="s">
        <v>23981</v>
      </c>
      <c r="L2960" s="41" t="s">
        <v>1076</v>
      </c>
    </row>
    <row r="2961" spans="1:19" x14ac:dyDescent="0.25">
      <c r="A2961" s="41" t="s">
        <v>23</v>
      </c>
      <c r="B2961" s="41" t="s">
        <v>23982</v>
      </c>
      <c r="D2961" s="41" t="s">
        <v>23983</v>
      </c>
      <c r="F2961" s="41" t="s">
        <v>23984</v>
      </c>
      <c r="G2961" s="41" t="s">
        <v>23985</v>
      </c>
      <c r="H2961" s="41" t="s">
        <v>23986</v>
      </c>
      <c r="I2961" s="41" t="s">
        <v>23987</v>
      </c>
      <c r="J2961" s="41" t="s">
        <v>23988</v>
      </c>
      <c r="K2961" s="41" t="s">
        <v>23989</v>
      </c>
      <c r="L2961" s="41" t="s">
        <v>1085</v>
      </c>
    </row>
    <row r="2962" spans="1:19" x14ac:dyDescent="0.25">
      <c r="A2962" s="41" t="s">
        <v>23</v>
      </c>
      <c r="B2962" s="41" t="s">
        <v>23990</v>
      </c>
      <c r="D2962" s="41" t="s">
        <v>23991</v>
      </c>
      <c r="F2962" s="41" t="s">
        <v>23992</v>
      </c>
      <c r="G2962" s="41" t="s">
        <v>23993</v>
      </c>
      <c r="H2962" s="41" t="s">
        <v>23994</v>
      </c>
      <c r="I2962" s="41" t="s">
        <v>23995</v>
      </c>
      <c r="J2962" s="41" t="s">
        <v>23996</v>
      </c>
      <c r="K2962" s="41" t="s">
        <v>23997</v>
      </c>
      <c r="L2962" s="41" t="s">
        <v>1094</v>
      </c>
    </row>
    <row r="2963" spans="1:19" x14ac:dyDescent="0.25">
      <c r="A2963" s="41" t="s">
        <v>908</v>
      </c>
      <c r="B2963" s="41" t="s">
        <v>23998</v>
      </c>
    </row>
    <row r="2964" spans="1:19" x14ac:dyDescent="0.25">
      <c r="A2964" s="41" t="s">
        <v>23</v>
      </c>
      <c r="B2964" s="41" t="s">
        <v>23999</v>
      </c>
      <c r="F2964" s="41" t="s">
        <v>24000</v>
      </c>
      <c r="G2964" s="41" t="s">
        <v>24001</v>
      </c>
      <c r="H2964" s="41" t="s">
        <v>24002</v>
      </c>
      <c r="I2964" s="41" t="s">
        <v>24003</v>
      </c>
      <c r="J2964" s="41" t="s">
        <v>24004</v>
      </c>
      <c r="L2964" s="41" t="s">
        <v>4</v>
      </c>
    </row>
    <row r="2965" spans="1:19" x14ac:dyDescent="0.25">
      <c r="A2965" s="41" t="s">
        <v>23</v>
      </c>
      <c r="B2965" s="41" t="s">
        <v>24005</v>
      </c>
      <c r="D2965" s="41" t="s">
        <v>23839</v>
      </c>
      <c r="E2965" s="41" t="s">
        <v>24007</v>
      </c>
      <c r="F2965" s="41" t="s">
        <v>24008</v>
      </c>
      <c r="G2965" s="41" t="s">
        <v>24009</v>
      </c>
      <c r="H2965" s="41" t="s">
        <v>24010</v>
      </c>
      <c r="I2965" s="41" t="s">
        <v>24011</v>
      </c>
      <c r="J2965" s="41" t="s">
        <v>24012</v>
      </c>
      <c r="K2965" s="41" t="s">
        <v>24013</v>
      </c>
      <c r="L2965" s="41" t="s">
        <v>24014</v>
      </c>
      <c r="M2965" s="41" t="s">
        <v>24015</v>
      </c>
      <c r="N2965" s="41" t="s">
        <v>24016</v>
      </c>
      <c r="O2965" s="41" t="s">
        <v>24017</v>
      </c>
      <c r="P2965" s="41" t="s">
        <v>24018</v>
      </c>
      <c r="Q2965" s="41" t="s">
        <v>24019</v>
      </c>
      <c r="R2965" s="41" t="s">
        <v>24020</v>
      </c>
      <c r="S2965" s="41" t="s">
        <v>24021</v>
      </c>
    </row>
    <row r="2966" spans="1:19" x14ac:dyDescent="0.25">
      <c r="A2966" s="41" t="s">
        <v>23</v>
      </c>
      <c r="B2966" s="41" t="s">
        <v>24022</v>
      </c>
      <c r="D2966" s="41" t="s">
        <v>24023</v>
      </c>
      <c r="F2966" s="41" t="s">
        <v>24024</v>
      </c>
      <c r="G2966" s="41" t="s">
        <v>24025</v>
      </c>
      <c r="H2966" s="41" t="s">
        <v>24026</v>
      </c>
      <c r="I2966" s="41" t="s">
        <v>24027</v>
      </c>
      <c r="J2966" s="41" t="s">
        <v>24028</v>
      </c>
      <c r="K2966" s="41" t="s">
        <v>24029</v>
      </c>
      <c r="L2966" s="41" t="s">
        <v>891</v>
      </c>
    </row>
    <row r="2967" spans="1:19" x14ac:dyDescent="0.25">
      <c r="A2967" s="41" t="s">
        <v>23</v>
      </c>
      <c r="B2967" s="41" t="s">
        <v>24030</v>
      </c>
      <c r="D2967" s="41" t="s">
        <v>24031</v>
      </c>
      <c r="F2967" s="41" t="s">
        <v>24032</v>
      </c>
      <c r="G2967" s="41" t="s">
        <v>24033</v>
      </c>
      <c r="H2967" s="41" t="s">
        <v>24034</v>
      </c>
      <c r="I2967" s="41" t="s">
        <v>24035</v>
      </c>
      <c r="J2967" s="41" t="s">
        <v>24036</v>
      </c>
      <c r="K2967" s="41" t="s">
        <v>24037</v>
      </c>
      <c r="L2967" s="41" t="s">
        <v>1076</v>
      </c>
    </row>
    <row r="2968" spans="1:19" x14ac:dyDescent="0.25">
      <c r="A2968" s="41" t="s">
        <v>23</v>
      </c>
      <c r="B2968" s="41" t="s">
        <v>24038</v>
      </c>
      <c r="D2968" s="41" t="s">
        <v>24039</v>
      </c>
      <c r="F2968" s="41" t="s">
        <v>24040</v>
      </c>
      <c r="G2968" s="41" t="s">
        <v>24041</v>
      </c>
      <c r="H2968" s="41" t="s">
        <v>24042</v>
      </c>
      <c r="I2968" s="41" t="s">
        <v>24043</v>
      </c>
      <c r="J2968" s="41" t="s">
        <v>24044</v>
      </c>
      <c r="K2968" s="41" t="s">
        <v>24045</v>
      </c>
      <c r="L2968" s="41" t="s">
        <v>1085</v>
      </c>
    </row>
    <row r="2969" spans="1:19" x14ac:dyDescent="0.25">
      <c r="A2969" s="41" t="s">
        <v>23</v>
      </c>
      <c r="B2969" s="41" t="s">
        <v>24046</v>
      </c>
      <c r="D2969" s="41" t="s">
        <v>24047</v>
      </c>
      <c r="F2969" s="41" t="s">
        <v>24048</v>
      </c>
      <c r="G2969" s="41" t="s">
        <v>24049</v>
      </c>
      <c r="H2969" s="41" t="s">
        <v>24050</v>
      </c>
      <c r="I2969" s="41" t="s">
        <v>24051</v>
      </c>
      <c r="J2969" s="41" t="s">
        <v>24052</v>
      </c>
      <c r="K2969" s="41" t="s">
        <v>24053</v>
      </c>
      <c r="L2969" s="41" t="s">
        <v>1094</v>
      </c>
    </row>
    <row r="2970" spans="1:19" x14ac:dyDescent="0.25">
      <c r="A2970" s="41" t="s">
        <v>908</v>
      </c>
      <c r="B2970" s="41" t="s">
        <v>24054</v>
      </c>
    </row>
    <row r="2971" spans="1:19" x14ac:dyDescent="0.25">
      <c r="A2971" s="41" t="s">
        <v>23</v>
      </c>
      <c r="B2971" s="41" t="s">
        <v>24055</v>
      </c>
      <c r="F2971" s="41" t="s">
        <v>24056</v>
      </c>
      <c r="G2971" s="41" t="s">
        <v>24057</v>
      </c>
      <c r="H2971" s="41" t="s">
        <v>24058</v>
      </c>
      <c r="I2971" s="41" t="s">
        <v>24059</v>
      </c>
      <c r="J2971" s="41" t="s">
        <v>24060</v>
      </c>
      <c r="L2971" s="41" t="s">
        <v>4</v>
      </c>
    </row>
    <row r="2972" spans="1:19" x14ac:dyDescent="0.25">
      <c r="A2972" s="41" t="s">
        <v>23</v>
      </c>
      <c r="B2972" s="41" t="s">
        <v>24061</v>
      </c>
      <c r="D2972" s="41" t="s">
        <v>23895</v>
      </c>
      <c r="E2972" s="41" t="s">
        <v>24063</v>
      </c>
      <c r="F2972" s="41" t="s">
        <v>24064</v>
      </c>
      <c r="G2972" s="41" t="s">
        <v>24065</v>
      </c>
      <c r="H2972" s="41" t="s">
        <v>24066</v>
      </c>
      <c r="I2972" s="41" t="s">
        <v>24067</v>
      </c>
      <c r="J2972" s="41" t="s">
        <v>24068</v>
      </c>
      <c r="K2972" s="41" t="s">
        <v>24069</v>
      </c>
      <c r="L2972" s="41" t="s">
        <v>24070</v>
      </c>
      <c r="M2972" s="41" t="s">
        <v>24071</v>
      </c>
      <c r="N2972" s="41" t="s">
        <v>24072</v>
      </c>
      <c r="O2972" s="41" t="s">
        <v>24073</v>
      </c>
      <c r="P2972" s="41" t="s">
        <v>24074</v>
      </c>
      <c r="Q2972" s="41" t="s">
        <v>24075</v>
      </c>
      <c r="R2972" s="41" t="s">
        <v>24076</v>
      </c>
      <c r="S2972" s="41" t="s">
        <v>24077</v>
      </c>
    </row>
    <row r="2973" spans="1:19" x14ac:dyDescent="0.25">
      <c r="A2973" s="41" t="s">
        <v>23</v>
      </c>
      <c r="B2973" s="41" t="s">
        <v>24078</v>
      </c>
      <c r="D2973" s="41" t="s">
        <v>24079</v>
      </c>
      <c r="F2973" s="41" t="s">
        <v>24080</v>
      </c>
      <c r="G2973" s="41" t="s">
        <v>24081</v>
      </c>
      <c r="H2973" s="41" t="s">
        <v>24082</v>
      </c>
      <c r="I2973" s="41" t="s">
        <v>24083</v>
      </c>
      <c r="J2973" s="41" t="s">
        <v>24084</v>
      </c>
      <c r="K2973" s="41" t="s">
        <v>24085</v>
      </c>
      <c r="L2973" s="41" t="s">
        <v>891</v>
      </c>
    </row>
    <row r="2974" spans="1:19" x14ac:dyDescent="0.25">
      <c r="A2974" s="41" t="s">
        <v>23</v>
      </c>
      <c r="B2974" s="41" t="s">
        <v>24086</v>
      </c>
      <c r="D2974" s="41" t="s">
        <v>24087</v>
      </c>
      <c r="F2974" s="41" t="s">
        <v>24088</v>
      </c>
      <c r="G2974" s="41" t="s">
        <v>24089</v>
      </c>
      <c r="H2974" s="41" t="s">
        <v>24090</v>
      </c>
      <c r="I2974" s="41" t="s">
        <v>24091</v>
      </c>
      <c r="J2974" s="41" t="s">
        <v>24092</v>
      </c>
      <c r="K2974" s="41" t="s">
        <v>24093</v>
      </c>
      <c r="L2974" s="41" t="s">
        <v>1076</v>
      </c>
    </row>
    <row r="2975" spans="1:19" x14ac:dyDescent="0.25">
      <c r="A2975" s="41" t="s">
        <v>23</v>
      </c>
      <c r="B2975" s="41" t="s">
        <v>24094</v>
      </c>
      <c r="D2975" s="41" t="s">
        <v>24095</v>
      </c>
      <c r="F2975" s="41" t="s">
        <v>24096</v>
      </c>
      <c r="G2975" s="41" t="s">
        <v>24097</v>
      </c>
      <c r="H2975" s="41" t="s">
        <v>24098</v>
      </c>
      <c r="I2975" s="41" t="s">
        <v>24099</v>
      </c>
      <c r="J2975" s="41" t="s">
        <v>24100</v>
      </c>
      <c r="K2975" s="41" t="s">
        <v>24101</v>
      </c>
      <c r="L2975" s="41" t="s">
        <v>1085</v>
      </c>
    </row>
    <row r="2976" spans="1:19" x14ac:dyDescent="0.25">
      <c r="A2976" s="41" t="s">
        <v>23</v>
      </c>
      <c r="B2976" s="41" t="s">
        <v>24102</v>
      </c>
      <c r="D2976" s="41" t="s">
        <v>24103</v>
      </c>
      <c r="F2976" s="41" t="s">
        <v>24104</v>
      </c>
      <c r="G2976" s="41" t="s">
        <v>24105</v>
      </c>
      <c r="H2976" s="41" t="s">
        <v>24106</v>
      </c>
      <c r="I2976" s="41" t="s">
        <v>24107</v>
      </c>
      <c r="J2976" s="41" t="s">
        <v>24108</v>
      </c>
      <c r="K2976" s="41" t="s">
        <v>24109</v>
      </c>
      <c r="L2976" s="41" t="s">
        <v>1094</v>
      </c>
    </row>
    <row r="2977" spans="1:19" x14ac:dyDescent="0.25">
      <c r="A2977" s="41" t="s">
        <v>908</v>
      </c>
      <c r="B2977" s="41" t="s">
        <v>24110</v>
      </c>
    </row>
    <row r="2978" spans="1:19" x14ac:dyDescent="0.25">
      <c r="A2978" s="41" t="s">
        <v>23</v>
      </c>
      <c r="B2978" s="41" t="s">
        <v>24111</v>
      </c>
      <c r="F2978" s="41" t="s">
        <v>24112</v>
      </c>
      <c r="G2978" s="41" t="s">
        <v>24113</v>
      </c>
      <c r="H2978" s="41" t="s">
        <v>24114</v>
      </c>
      <c r="I2978" s="41" t="s">
        <v>24115</v>
      </c>
      <c r="J2978" s="41" t="s">
        <v>24116</v>
      </c>
      <c r="L2978" s="41" t="s">
        <v>4</v>
      </c>
    </row>
    <row r="2979" spans="1:19" x14ac:dyDescent="0.25">
      <c r="A2979" s="41" t="s">
        <v>23</v>
      </c>
      <c r="B2979" s="41" t="s">
        <v>24117</v>
      </c>
      <c r="D2979" s="41" t="s">
        <v>534</v>
      </c>
      <c r="E2979" s="41" t="s">
        <v>24119</v>
      </c>
      <c r="F2979" s="41" t="s">
        <v>24120</v>
      </c>
      <c r="G2979" s="41" t="s">
        <v>24121</v>
      </c>
      <c r="H2979" s="41" t="s">
        <v>24122</v>
      </c>
      <c r="I2979" s="41" t="s">
        <v>24123</v>
      </c>
      <c r="J2979" s="41" t="s">
        <v>24124</v>
      </c>
      <c r="K2979" s="41" t="s">
        <v>24125</v>
      </c>
      <c r="L2979" s="41" t="s">
        <v>24126</v>
      </c>
      <c r="M2979" s="41" t="s">
        <v>24127</v>
      </c>
      <c r="N2979" s="41" t="s">
        <v>24128</v>
      </c>
      <c r="O2979" s="41" t="s">
        <v>24129</v>
      </c>
      <c r="P2979" s="41" t="s">
        <v>24130</v>
      </c>
      <c r="Q2979" s="41" t="s">
        <v>24131</v>
      </c>
      <c r="R2979" s="41" t="s">
        <v>24132</v>
      </c>
      <c r="S2979" s="41" t="s">
        <v>24133</v>
      </c>
    </row>
    <row r="2980" spans="1:19" x14ac:dyDescent="0.25">
      <c r="A2980" s="41" t="s">
        <v>23</v>
      </c>
      <c r="B2980" s="41" t="s">
        <v>24134</v>
      </c>
      <c r="D2980" s="41" t="s">
        <v>24135</v>
      </c>
      <c r="F2980" s="41" t="s">
        <v>24136</v>
      </c>
      <c r="G2980" s="41" t="s">
        <v>24137</v>
      </c>
      <c r="H2980" s="41" t="s">
        <v>24138</v>
      </c>
      <c r="I2980" s="41" t="s">
        <v>24139</v>
      </c>
      <c r="J2980" s="41" t="s">
        <v>24140</v>
      </c>
      <c r="K2980" s="41" t="s">
        <v>24141</v>
      </c>
      <c r="L2980" s="41" t="s">
        <v>891</v>
      </c>
    </row>
    <row r="2981" spans="1:19" x14ac:dyDescent="0.25">
      <c r="A2981" s="41" t="s">
        <v>23</v>
      </c>
      <c r="B2981" s="41" t="s">
        <v>24142</v>
      </c>
      <c r="D2981" s="41" t="s">
        <v>24143</v>
      </c>
      <c r="F2981" s="41" t="s">
        <v>24144</v>
      </c>
      <c r="G2981" s="41" t="s">
        <v>24145</v>
      </c>
      <c r="H2981" s="41" t="s">
        <v>24146</v>
      </c>
      <c r="I2981" s="41" t="s">
        <v>24147</v>
      </c>
      <c r="J2981" s="41" t="s">
        <v>24148</v>
      </c>
      <c r="K2981" s="41" t="s">
        <v>24149</v>
      </c>
      <c r="L2981" s="41" t="s">
        <v>1076</v>
      </c>
    </row>
    <row r="2982" spans="1:19" x14ac:dyDescent="0.25">
      <c r="A2982" s="41" t="s">
        <v>23</v>
      </c>
      <c r="B2982" s="41" t="s">
        <v>24150</v>
      </c>
      <c r="D2982" s="41" t="s">
        <v>24151</v>
      </c>
      <c r="F2982" s="41" t="s">
        <v>24152</v>
      </c>
      <c r="G2982" s="41" t="s">
        <v>24153</v>
      </c>
      <c r="H2982" s="41" t="s">
        <v>24154</v>
      </c>
      <c r="I2982" s="41" t="s">
        <v>24155</v>
      </c>
      <c r="J2982" s="41" t="s">
        <v>24156</v>
      </c>
      <c r="K2982" s="41" t="s">
        <v>24157</v>
      </c>
      <c r="L2982" s="41" t="s">
        <v>1085</v>
      </c>
    </row>
    <row r="2983" spans="1:19" x14ac:dyDescent="0.25">
      <c r="A2983" s="41" t="s">
        <v>23</v>
      </c>
      <c r="B2983" s="41" t="s">
        <v>24158</v>
      </c>
      <c r="D2983" s="41" t="s">
        <v>24159</v>
      </c>
      <c r="F2983" s="41" t="s">
        <v>24160</v>
      </c>
      <c r="G2983" s="41" t="s">
        <v>24161</v>
      </c>
      <c r="H2983" s="41" t="s">
        <v>24162</v>
      </c>
      <c r="I2983" s="41" t="s">
        <v>24163</v>
      </c>
      <c r="J2983" s="41" t="s">
        <v>24164</v>
      </c>
      <c r="K2983" s="41" t="s">
        <v>24165</v>
      </c>
      <c r="L2983" s="41" t="s">
        <v>1094</v>
      </c>
    </row>
    <row r="2984" spans="1:19" x14ac:dyDescent="0.25">
      <c r="A2984" s="41" t="s">
        <v>908</v>
      </c>
      <c r="B2984" s="41" t="s">
        <v>24166</v>
      </c>
    </row>
    <row r="2985" spans="1:19" x14ac:dyDescent="0.25">
      <c r="A2985" s="41" t="s">
        <v>23</v>
      </c>
      <c r="B2985" s="41" t="s">
        <v>24167</v>
      </c>
      <c r="F2985" s="41" t="s">
        <v>24168</v>
      </c>
      <c r="G2985" s="41" t="s">
        <v>24169</v>
      </c>
      <c r="H2985" s="41" t="s">
        <v>24170</v>
      </c>
      <c r="I2985" s="41" t="s">
        <v>24171</v>
      </c>
      <c r="J2985" s="41" t="s">
        <v>24172</v>
      </c>
      <c r="L2985" s="41" t="s">
        <v>4</v>
      </c>
    </row>
    <row r="2986" spans="1:19" x14ac:dyDescent="0.25">
      <c r="A2986" s="41" t="s">
        <v>23</v>
      </c>
      <c r="B2986" s="41" t="s">
        <v>24173</v>
      </c>
      <c r="D2986" s="41" t="s">
        <v>24006</v>
      </c>
      <c r="E2986" s="41" t="s">
        <v>24175</v>
      </c>
      <c r="F2986" s="41" t="s">
        <v>24176</v>
      </c>
      <c r="G2986" s="41" t="s">
        <v>24177</v>
      </c>
      <c r="H2986" s="41" t="s">
        <v>24178</v>
      </c>
      <c r="I2986" s="41" t="s">
        <v>24179</v>
      </c>
      <c r="J2986" s="41" t="s">
        <v>24180</v>
      </c>
      <c r="K2986" s="41" t="s">
        <v>24181</v>
      </c>
      <c r="L2986" s="41" t="s">
        <v>24182</v>
      </c>
      <c r="M2986" s="41" t="s">
        <v>24183</v>
      </c>
      <c r="N2986" s="41" t="s">
        <v>24184</v>
      </c>
      <c r="O2986" s="41" t="s">
        <v>24185</v>
      </c>
      <c r="P2986" s="41" t="s">
        <v>24186</v>
      </c>
      <c r="Q2986" s="41" t="s">
        <v>24187</v>
      </c>
      <c r="R2986" s="41" t="s">
        <v>24188</v>
      </c>
      <c r="S2986" s="41" t="s">
        <v>24189</v>
      </c>
    </row>
    <row r="2987" spans="1:19" x14ac:dyDescent="0.25">
      <c r="A2987" s="41" t="s">
        <v>23</v>
      </c>
      <c r="B2987" s="41" t="s">
        <v>24190</v>
      </c>
      <c r="D2987" s="41" t="s">
        <v>24191</v>
      </c>
      <c r="F2987" s="41" t="s">
        <v>24192</v>
      </c>
      <c r="G2987" s="41" t="s">
        <v>24193</v>
      </c>
      <c r="H2987" s="41" t="s">
        <v>24194</v>
      </c>
      <c r="I2987" s="41" t="s">
        <v>24195</v>
      </c>
      <c r="J2987" s="41" t="s">
        <v>24196</v>
      </c>
      <c r="K2987" s="41" t="s">
        <v>24197</v>
      </c>
      <c r="L2987" s="41" t="s">
        <v>891</v>
      </c>
    </row>
    <row r="2988" spans="1:19" x14ac:dyDescent="0.25">
      <c r="A2988" s="41" t="s">
        <v>23</v>
      </c>
      <c r="B2988" s="41" t="s">
        <v>24198</v>
      </c>
      <c r="D2988" s="41" t="s">
        <v>24199</v>
      </c>
      <c r="F2988" s="41" t="s">
        <v>24200</v>
      </c>
      <c r="G2988" s="41" t="s">
        <v>24201</v>
      </c>
      <c r="H2988" s="41" t="s">
        <v>24202</v>
      </c>
      <c r="I2988" s="41" t="s">
        <v>24203</v>
      </c>
      <c r="J2988" s="41" t="s">
        <v>24204</v>
      </c>
      <c r="K2988" s="41" t="s">
        <v>24205</v>
      </c>
      <c r="L2988" s="41" t="s">
        <v>1076</v>
      </c>
    </row>
    <row r="2989" spans="1:19" x14ac:dyDescent="0.25">
      <c r="A2989" s="41" t="s">
        <v>23</v>
      </c>
      <c r="B2989" s="41" t="s">
        <v>24206</v>
      </c>
      <c r="D2989" s="41" t="s">
        <v>24207</v>
      </c>
      <c r="F2989" s="41" t="s">
        <v>24208</v>
      </c>
      <c r="G2989" s="41" t="s">
        <v>24209</v>
      </c>
      <c r="H2989" s="41" t="s">
        <v>24210</v>
      </c>
      <c r="I2989" s="41" t="s">
        <v>24211</v>
      </c>
      <c r="J2989" s="41" t="s">
        <v>24212</v>
      </c>
      <c r="K2989" s="41" t="s">
        <v>24213</v>
      </c>
      <c r="L2989" s="41" t="s">
        <v>1085</v>
      </c>
    </row>
    <row r="2990" spans="1:19" x14ac:dyDescent="0.25">
      <c r="A2990" s="41" t="s">
        <v>23</v>
      </c>
      <c r="B2990" s="41" t="s">
        <v>24214</v>
      </c>
      <c r="D2990" s="41" t="s">
        <v>24215</v>
      </c>
      <c r="F2990" s="41" t="s">
        <v>24216</v>
      </c>
      <c r="G2990" s="41" t="s">
        <v>24217</v>
      </c>
      <c r="H2990" s="41" t="s">
        <v>24218</v>
      </c>
      <c r="I2990" s="41" t="s">
        <v>24219</v>
      </c>
      <c r="J2990" s="41" t="s">
        <v>24220</v>
      </c>
      <c r="K2990" s="41" t="s">
        <v>24221</v>
      </c>
      <c r="L2990" s="41" t="s">
        <v>1094</v>
      </c>
    </row>
    <row r="2991" spans="1:19" x14ac:dyDescent="0.25">
      <c r="A2991" s="41" t="s">
        <v>908</v>
      </c>
      <c r="B2991" s="41" t="s">
        <v>24222</v>
      </c>
    </row>
    <row r="2992" spans="1:19" x14ac:dyDescent="0.25">
      <c r="A2992" s="41" t="s">
        <v>23</v>
      </c>
      <c r="B2992" s="41" t="s">
        <v>24223</v>
      </c>
      <c r="F2992" s="41" t="s">
        <v>24224</v>
      </c>
      <c r="G2992" s="41" t="s">
        <v>24225</v>
      </c>
      <c r="H2992" s="41" t="s">
        <v>24226</v>
      </c>
      <c r="I2992" s="41" t="s">
        <v>24227</v>
      </c>
      <c r="J2992" s="41" t="s">
        <v>24228</v>
      </c>
      <c r="L2992" s="41" t="s">
        <v>4</v>
      </c>
    </row>
    <row r="2993" spans="1:19" x14ac:dyDescent="0.25">
      <c r="A2993" s="41" t="s">
        <v>23</v>
      </c>
      <c r="B2993" s="41" t="s">
        <v>24229</v>
      </c>
      <c r="D2993" s="41" t="s">
        <v>24062</v>
      </c>
      <c r="E2993" s="41" t="s">
        <v>24231</v>
      </c>
      <c r="F2993" s="41" t="s">
        <v>24232</v>
      </c>
      <c r="G2993" s="41" t="s">
        <v>24233</v>
      </c>
      <c r="H2993" s="41" t="s">
        <v>24234</v>
      </c>
      <c r="I2993" s="41" t="s">
        <v>24235</v>
      </c>
      <c r="J2993" s="41" t="s">
        <v>24236</v>
      </c>
      <c r="K2993" s="41" t="s">
        <v>24237</v>
      </c>
      <c r="L2993" s="41" t="s">
        <v>24238</v>
      </c>
      <c r="M2993" s="41" t="s">
        <v>24239</v>
      </c>
      <c r="N2993" s="41" t="s">
        <v>24240</v>
      </c>
      <c r="O2993" s="41" t="s">
        <v>24241</v>
      </c>
      <c r="P2993" s="41" t="s">
        <v>24242</v>
      </c>
      <c r="Q2993" s="41" t="s">
        <v>24243</v>
      </c>
      <c r="R2993" s="41" t="s">
        <v>24244</v>
      </c>
      <c r="S2993" s="41" t="s">
        <v>24245</v>
      </c>
    </row>
    <row r="2994" spans="1:19" x14ac:dyDescent="0.25">
      <c r="A2994" s="41" t="s">
        <v>23</v>
      </c>
      <c r="B2994" s="41" t="s">
        <v>24246</v>
      </c>
      <c r="D2994" s="41" t="s">
        <v>24247</v>
      </c>
      <c r="F2994" s="41" t="s">
        <v>24248</v>
      </c>
      <c r="G2994" s="41" t="s">
        <v>24249</v>
      </c>
      <c r="H2994" s="41" t="s">
        <v>24250</v>
      </c>
      <c r="I2994" s="41" t="s">
        <v>24251</v>
      </c>
      <c r="J2994" s="41" t="s">
        <v>24252</v>
      </c>
      <c r="K2994" s="41" t="s">
        <v>24253</v>
      </c>
      <c r="L2994" s="41" t="s">
        <v>891</v>
      </c>
    </row>
    <row r="2995" spans="1:19" x14ac:dyDescent="0.25">
      <c r="A2995" s="41" t="s">
        <v>23</v>
      </c>
      <c r="B2995" s="41" t="s">
        <v>24254</v>
      </c>
      <c r="D2995" s="41" t="s">
        <v>24255</v>
      </c>
      <c r="F2995" s="41" t="s">
        <v>24256</v>
      </c>
      <c r="G2995" s="41" t="s">
        <v>24257</v>
      </c>
      <c r="H2995" s="41" t="s">
        <v>24258</v>
      </c>
      <c r="I2995" s="41" t="s">
        <v>24259</v>
      </c>
      <c r="J2995" s="41" t="s">
        <v>24260</v>
      </c>
      <c r="K2995" s="41" t="s">
        <v>24261</v>
      </c>
      <c r="L2995" s="41" t="s">
        <v>1076</v>
      </c>
    </row>
    <row r="2996" spans="1:19" x14ac:dyDescent="0.25">
      <c r="A2996" s="41" t="s">
        <v>23</v>
      </c>
      <c r="B2996" s="41" t="s">
        <v>24262</v>
      </c>
      <c r="D2996" s="41" t="s">
        <v>24263</v>
      </c>
      <c r="F2996" s="41" t="s">
        <v>24264</v>
      </c>
      <c r="G2996" s="41" t="s">
        <v>24265</v>
      </c>
      <c r="H2996" s="41" t="s">
        <v>24266</v>
      </c>
      <c r="I2996" s="41" t="s">
        <v>24267</v>
      </c>
      <c r="J2996" s="41" t="s">
        <v>24268</v>
      </c>
      <c r="K2996" s="41" t="s">
        <v>24269</v>
      </c>
      <c r="L2996" s="41" t="s">
        <v>1085</v>
      </c>
    </row>
    <row r="2997" spans="1:19" x14ac:dyDescent="0.25">
      <c r="A2997" s="41" t="s">
        <v>23</v>
      </c>
      <c r="B2997" s="41" t="s">
        <v>24270</v>
      </c>
      <c r="D2997" s="41" t="s">
        <v>24271</v>
      </c>
      <c r="F2997" s="41" t="s">
        <v>24272</v>
      </c>
      <c r="G2997" s="41" t="s">
        <v>24273</v>
      </c>
      <c r="H2997" s="41" t="s">
        <v>24274</v>
      </c>
      <c r="I2997" s="41" t="s">
        <v>24275</v>
      </c>
      <c r="J2997" s="41" t="s">
        <v>24276</v>
      </c>
      <c r="K2997" s="41" t="s">
        <v>24277</v>
      </c>
      <c r="L2997" s="41" t="s">
        <v>1094</v>
      </c>
    </row>
    <row r="2998" spans="1:19" x14ac:dyDescent="0.25">
      <c r="A2998" s="41" t="s">
        <v>908</v>
      </c>
      <c r="B2998" s="41" t="s">
        <v>24278</v>
      </c>
    </row>
    <row r="2999" spans="1:19" x14ac:dyDescent="0.25">
      <c r="A2999" s="41" t="s">
        <v>23</v>
      </c>
      <c r="B2999" s="41" t="s">
        <v>24279</v>
      </c>
      <c r="F2999" s="41" t="s">
        <v>24280</v>
      </c>
      <c r="G2999" s="41" t="s">
        <v>24281</v>
      </c>
      <c r="H2999" s="41" t="s">
        <v>24282</v>
      </c>
      <c r="I2999" s="41" t="s">
        <v>24283</v>
      </c>
      <c r="J2999" s="41" t="s">
        <v>24284</v>
      </c>
      <c r="L2999" s="41" t="s">
        <v>4</v>
      </c>
    </row>
    <row r="3000" spans="1:19" x14ac:dyDescent="0.25">
      <c r="A3000" s="41" t="s">
        <v>23</v>
      </c>
      <c r="B3000" s="41" t="s">
        <v>24285</v>
      </c>
      <c r="D3000" s="41" t="s">
        <v>24118</v>
      </c>
      <c r="E3000" s="41" t="s">
        <v>24287</v>
      </c>
      <c r="F3000" s="41" t="s">
        <v>24288</v>
      </c>
      <c r="G3000" s="41" t="s">
        <v>24289</v>
      </c>
      <c r="H3000" s="41" t="s">
        <v>24290</v>
      </c>
      <c r="I3000" s="41" t="s">
        <v>24291</v>
      </c>
      <c r="J3000" s="41" t="s">
        <v>24292</v>
      </c>
      <c r="K3000" s="41" t="s">
        <v>24293</v>
      </c>
      <c r="L3000" s="41" t="s">
        <v>24294</v>
      </c>
      <c r="M3000" s="41" t="s">
        <v>24295</v>
      </c>
      <c r="N3000" s="41" t="s">
        <v>24296</v>
      </c>
      <c r="O3000" s="41" t="s">
        <v>24297</v>
      </c>
      <c r="P3000" s="41" t="s">
        <v>24298</v>
      </c>
      <c r="Q3000" s="41" t="s">
        <v>24299</v>
      </c>
      <c r="R3000" s="41" t="s">
        <v>24300</v>
      </c>
      <c r="S3000" s="41" t="s">
        <v>24301</v>
      </c>
    </row>
    <row r="3001" spans="1:19" x14ac:dyDescent="0.25">
      <c r="A3001" s="41" t="s">
        <v>23</v>
      </c>
      <c r="B3001" s="41" t="s">
        <v>24302</v>
      </c>
      <c r="D3001" s="41" t="s">
        <v>24303</v>
      </c>
      <c r="F3001" s="41" t="s">
        <v>24304</v>
      </c>
      <c r="G3001" s="41" t="s">
        <v>24305</v>
      </c>
      <c r="H3001" s="41" t="s">
        <v>24306</v>
      </c>
      <c r="I3001" s="41" t="s">
        <v>24307</v>
      </c>
      <c r="J3001" s="41" t="s">
        <v>24308</v>
      </c>
      <c r="K3001" s="41" t="s">
        <v>24309</v>
      </c>
      <c r="L3001" s="41" t="s">
        <v>891</v>
      </c>
    </row>
    <row r="3002" spans="1:19" x14ac:dyDescent="0.25">
      <c r="A3002" s="41" t="s">
        <v>23</v>
      </c>
      <c r="B3002" s="41" t="s">
        <v>24310</v>
      </c>
      <c r="D3002" s="41" t="s">
        <v>24311</v>
      </c>
      <c r="F3002" s="41" t="s">
        <v>24312</v>
      </c>
      <c r="G3002" s="41" t="s">
        <v>24313</v>
      </c>
      <c r="H3002" s="41" t="s">
        <v>24314</v>
      </c>
      <c r="I3002" s="41" t="s">
        <v>24315</v>
      </c>
      <c r="J3002" s="41" t="s">
        <v>24316</v>
      </c>
      <c r="K3002" s="41" t="s">
        <v>24317</v>
      </c>
      <c r="L3002" s="41" t="s">
        <v>1076</v>
      </c>
    </row>
    <row r="3003" spans="1:19" x14ac:dyDescent="0.25">
      <c r="A3003" s="41" t="s">
        <v>23</v>
      </c>
      <c r="B3003" s="41" t="s">
        <v>24318</v>
      </c>
      <c r="D3003" s="41" t="s">
        <v>24319</v>
      </c>
      <c r="F3003" s="41" t="s">
        <v>24320</v>
      </c>
      <c r="G3003" s="41" t="s">
        <v>24321</v>
      </c>
      <c r="H3003" s="41" t="s">
        <v>24322</v>
      </c>
      <c r="I3003" s="41" t="s">
        <v>24323</v>
      </c>
      <c r="J3003" s="41" t="s">
        <v>24324</v>
      </c>
      <c r="K3003" s="41" t="s">
        <v>24325</v>
      </c>
      <c r="L3003" s="41" t="s">
        <v>1085</v>
      </c>
    </row>
    <row r="3004" spans="1:19" x14ac:dyDescent="0.25">
      <c r="A3004" s="41" t="s">
        <v>23</v>
      </c>
      <c r="B3004" s="41" t="s">
        <v>24326</v>
      </c>
      <c r="D3004" s="41" t="s">
        <v>24327</v>
      </c>
      <c r="F3004" s="41" t="s">
        <v>24328</v>
      </c>
      <c r="G3004" s="41" t="s">
        <v>24329</v>
      </c>
      <c r="H3004" s="41" t="s">
        <v>24330</v>
      </c>
      <c r="I3004" s="41" t="s">
        <v>24331</v>
      </c>
      <c r="J3004" s="41" t="s">
        <v>24332</v>
      </c>
      <c r="K3004" s="41" t="s">
        <v>24333</v>
      </c>
      <c r="L3004" s="41" t="s">
        <v>1094</v>
      </c>
    </row>
    <row r="3005" spans="1:19" x14ac:dyDescent="0.25">
      <c r="A3005" s="41" t="s">
        <v>908</v>
      </c>
      <c r="B3005" s="41" t="s">
        <v>24334</v>
      </c>
    </row>
    <row r="3006" spans="1:19" x14ac:dyDescent="0.25">
      <c r="A3006" s="41" t="s">
        <v>23</v>
      </c>
      <c r="B3006" s="41" t="s">
        <v>24335</v>
      </c>
      <c r="F3006" s="41" t="s">
        <v>24336</v>
      </c>
      <c r="G3006" s="41" t="s">
        <v>24337</v>
      </c>
      <c r="H3006" s="41" t="s">
        <v>24338</v>
      </c>
      <c r="I3006" s="41" t="s">
        <v>24339</v>
      </c>
      <c r="J3006" s="41" t="s">
        <v>24340</v>
      </c>
      <c r="L3006" s="41" t="s">
        <v>4</v>
      </c>
    </row>
    <row r="3007" spans="1:19" x14ac:dyDescent="0.25">
      <c r="A3007" s="41" t="s">
        <v>23</v>
      </c>
      <c r="B3007" s="41" t="s">
        <v>24341</v>
      </c>
      <c r="D3007" s="41" t="s">
        <v>24174</v>
      </c>
      <c r="E3007" s="41" t="s">
        <v>24343</v>
      </c>
      <c r="F3007" s="41" t="s">
        <v>24344</v>
      </c>
      <c r="G3007" s="41" t="s">
        <v>24345</v>
      </c>
      <c r="H3007" s="41" t="s">
        <v>24346</v>
      </c>
      <c r="I3007" s="41" t="s">
        <v>24347</v>
      </c>
      <c r="J3007" s="41" t="s">
        <v>24348</v>
      </c>
      <c r="K3007" s="41" t="s">
        <v>24349</v>
      </c>
      <c r="L3007" s="41" t="s">
        <v>24350</v>
      </c>
      <c r="M3007" s="41" t="s">
        <v>24351</v>
      </c>
      <c r="N3007" s="41" t="s">
        <v>24352</v>
      </c>
      <c r="O3007" s="41" t="s">
        <v>24353</v>
      </c>
      <c r="P3007" s="41" t="s">
        <v>24354</v>
      </c>
      <c r="Q3007" s="41" t="s">
        <v>24355</v>
      </c>
      <c r="R3007" s="41" t="s">
        <v>24356</v>
      </c>
      <c r="S3007" s="41" t="s">
        <v>24357</v>
      </c>
    </row>
    <row r="3008" spans="1:19" x14ac:dyDescent="0.25">
      <c r="A3008" s="41" t="s">
        <v>23</v>
      </c>
      <c r="B3008" s="41" t="s">
        <v>24358</v>
      </c>
      <c r="D3008" s="41" t="s">
        <v>24359</v>
      </c>
      <c r="F3008" s="41" t="s">
        <v>24360</v>
      </c>
      <c r="G3008" s="41" t="s">
        <v>24361</v>
      </c>
      <c r="H3008" s="41" t="s">
        <v>24362</v>
      </c>
      <c r="I3008" s="41" t="s">
        <v>24363</v>
      </c>
      <c r="J3008" s="41" t="s">
        <v>24364</v>
      </c>
      <c r="K3008" s="41" t="s">
        <v>24365</v>
      </c>
      <c r="L3008" s="41" t="s">
        <v>891</v>
      </c>
    </row>
    <row r="3009" spans="1:19" x14ac:dyDescent="0.25">
      <c r="A3009" s="41" t="s">
        <v>23</v>
      </c>
      <c r="B3009" s="41" t="s">
        <v>24366</v>
      </c>
      <c r="D3009" s="41" t="s">
        <v>24367</v>
      </c>
      <c r="F3009" s="41" t="s">
        <v>24368</v>
      </c>
      <c r="G3009" s="41" t="s">
        <v>24369</v>
      </c>
      <c r="H3009" s="41" t="s">
        <v>24370</v>
      </c>
      <c r="I3009" s="41" t="s">
        <v>24371</v>
      </c>
      <c r="J3009" s="41" t="s">
        <v>24372</v>
      </c>
      <c r="K3009" s="41" t="s">
        <v>24373</v>
      </c>
      <c r="L3009" s="41" t="s">
        <v>1076</v>
      </c>
    </row>
    <row r="3010" spans="1:19" x14ac:dyDescent="0.25">
      <c r="A3010" s="41" t="s">
        <v>23</v>
      </c>
      <c r="B3010" s="41" t="s">
        <v>24374</v>
      </c>
      <c r="D3010" s="41" t="s">
        <v>24375</v>
      </c>
      <c r="F3010" s="41" t="s">
        <v>24376</v>
      </c>
      <c r="G3010" s="41" t="s">
        <v>24377</v>
      </c>
      <c r="H3010" s="41" t="s">
        <v>24378</v>
      </c>
      <c r="I3010" s="41" t="s">
        <v>24379</v>
      </c>
      <c r="J3010" s="41" t="s">
        <v>24380</v>
      </c>
      <c r="K3010" s="41" t="s">
        <v>24381</v>
      </c>
      <c r="L3010" s="41" t="s">
        <v>1085</v>
      </c>
    </row>
    <row r="3011" spans="1:19" x14ac:dyDescent="0.25">
      <c r="A3011" s="41" t="s">
        <v>23</v>
      </c>
      <c r="B3011" s="41" t="s">
        <v>24382</v>
      </c>
      <c r="D3011" s="41" t="s">
        <v>24383</v>
      </c>
      <c r="F3011" s="41" t="s">
        <v>24384</v>
      </c>
      <c r="G3011" s="41" t="s">
        <v>24385</v>
      </c>
      <c r="H3011" s="41" t="s">
        <v>24386</v>
      </c>
      <c r="I3011" s="41" t="s">
        <v>24387</v>
      </c>
      <c r="J3011" s="41" t="s">
        <v>24388</v>
      </c>
      <c r="K3011" s="41" t="s">
        <v>24389</v>
      </c>
      <c r="L3011" s="41" t="s">
        <v>1094</v>
      </c>
    </row>
    <row r="3012" spans="1:19" x14ac:dyDescent="0.25">
      <c r="A3012" s="41" t="s">
        <v>908</v>
      </c>
      <c r="B3012" s="41" t="s">
        <v>24390</v>
      </c>
    </row>
    <row r="3013" spans="1:19" x14ac:dyDescent="0.25">
      <c r="A3013" s="41" t="s">
        <v>23</v>
      </c>
      <c r="B3013" s="41" t="s">
        <v>24391</v>
      </c>
      <c r="F3013" s="41" t="s">
        <v>24392</v>
      </c>
      <c r="G3013" s="41" t="s">
        <v>24393</v>
      </c>
      <c r="H3013" s="41" t="s">
        <v>24394</v>
      </c>
      <c r="I3013" s="41" t="s">
        <v>24395</v>
      </c>
      <c r="J3013" s="41" t="s">
        <v>24396</v>
      </c>
      <c r="L3013" s="41" t="s">
        <v>4</v>
      </c>
    </row>
    <row r="3014" spans="1:19" x14ac:dyDescent="0.25">
      <c r="A3014" s="41" t="s">
        <v>23</v>
      </c>
      <c r="B3014" s="41" t="s">
        <v>24397</v>
      </c>
      <c r="D3014" s="41" t="s">
        <v>24230</v>
      </c>
      <c r="E3014" s="41" t="s">
        <v>24399</v>
      </c>
      <c r="F3014" s="41" t="s">
        <v>24400</v>
      </c>
      <c r="G3014" s="41" t="s">
        <v>24401</v>
      </c>
      <c r="H3014" s="41" t="s">
        <v>24402</v>
      </c>
      <c r="I3014" s="41" t="s">
        <v>24403</v>
      </c>
      <c r="J3014" s="41" t="s">
        <v>24404</v>
      </c>
      <c r="K3014" s="41" t="s">
        <v>24405</v>
      </c>
      <c r="L3014" s="41" t="s">
        <v>24406</v>
      </c>
      <c r="M3014" s="41" t="s">
        <v>24407</v>
      </c>
      <c r="N3014" s="41" t="s">
        <v>24408</v>
      </c>
      <c r="O3014" s="41" t="s">
        <v>24409</v>
      </c>
      <c r="P3014" s="41" t="s">
        <v>24410</v>
      </c>
      <c r="Q3014" s="41" t="s">
        <v>24411</v>
      </c>
      <c r="R3014" s="41" t="s">
        <v>24412</v>
      </c>
      <c r="S3014" s="41" t="s">
        <v>24413</v>
      </c>
    </row>
    <row r="3015" spans="1:19" x14ac:dyDescent="0.25">
      <c r="A3015" s="41" t="s">
        <v>23</v>
      </c>
      <c r="B3015" s="41" t="s">
        <v>24414</v>
      </c>
      <c r="D3015" s="41" t="s">
        <v>24415</v>
      </c>
      <c r="F3015" s="41" t="s">
        <v>24416</v>
      </c>
      <c r="G3015" s="41" t="s">
        <v>24417</v>
      </c>
      <c r="H3015" s="41" t="s">
        <v>24418</v>
      </c>
      <c r="I3015" s="41" t="s">
        <v>24419</v>
      </c>
      <c r="J3015" s="41" t="s">
        <v>24420</v>
      </c>
      <c r="K3015" s="41" t="s">
        <v>24421</v>
      </c>
      <c r="L3015" s="41" t="s">
        <v>891</v>
      </c>
    </row>
    <row r="3016" spans="1:19" x14ac:dyDescent="0.25">
      <c r="A3016" s="41" t="s">
        <v>23</v>
      </c>
      <c r="B3016" s="41" t="s">
        <v>24422</v>
      </c>
      <c r="D3016" s="41" t="s">
        <v>24423</v>
      </c>
      <c r="F3016" s="41" t="s">
        <v>24424</v>
      </c>
      <c r="G3016" s="41" t="s">
        <v>24425</v>
      </c>
      <c r="H3016" s="41" t="s">
        <v>24426</v>
      </c>
      <c r="I3016" s="41" t="s">
        <v>24427</v>
      </c>
      <c r="J3016" s="41" t="s">
        <v>24428</v>
      </c>
      <c r="K3016" s="41" t="s">
        <v>24429</v>
      </c>
      <c r="L3016" s="41" t="s">
        <v>1076</v>
      </c>
    </row>
    <row r="3017" spans="1:19" x14ac:dyDescent="0.25">
      <c r="A3017" s="41" t="s">
        <v>23</v>
      </c>
      <c r="B3017" s="41" t="s">
        <v>24430</v>
      </c>
      <c r="D3017" s="41" t="s">
        <v>24431</v>
      </c>
      <c r="F3017" s="41" t="s">
        <v>24432</v>
      </c>
      <c r="G3017" s="41" t="s">
        <v>24433</v>
      </c>
      <c r="H3017" s="41" t="s">
        <v>24434</v>
      </c>
      <c r="I3017" s="41" t="s">
        <v>24435</v>
      </c>
      <c r="J3017" s="41" t="s">
        <v>24436</v>
      </c>
      <c r="K3017" s="41" t="s">
        <v>24437</v>
      </c>
      <c r="L3017" s="41" t="s">
        <v>1085</v>
      </c>
    </row>
    <row r="3018" spans="1:19" x14ac:dyDescent="0.25">
      <c r="A3018" s="41" t="s">
        <v>23</v>
      </c>
      <c r="B3018" s="41" t="s">
        <v>24438</v>
      </c>
      <c r="D3018" s="41" t="s">
        <v>24439</v>
      </c>
      <c r="F3018" s="41" t="s">
        <v>24440</v>
      </c>
      <c r="G3018" s="41" t="s">
        <v>24441</v>
      </c>
      <c r="H3018" s="41" t="s">
        <v>24442</v>
      </c>
      <c r="I3018" s="41" t="s">
        <v>24443</v>
      </c>
      <c r="J3018" s="41" t="s">
        <v>24444</v>
      </c>
      <c r="K3018" s="41" t="s">
        <v>24445</v>
      </c>
      <c r="L3018" s="41" t="s">
        <v>1094</v>
      </c>
    </row>
    <row r="3019" spans="1:19" x14ac:dyDescent="0.25">
      <c r="A3019" s="41" t="s">
        <v>908</v>
      </c>
      <c r="B3019" s="41" t="s">
        <v>24446</v>
      </c>
    </row>
    <row r="3020" spans="1:19" x14ac:dyDescent="0.25">
      <c r="A3020" s="41" t="s">
        <v>23</v>
      </c>
      <c r="B3020" s="41" t="s">
        <v>24447</v>
      </c>
      <c r="F3020" s="41" t="s">
        <v>24448</v>
      </c>
      <c r="G3020" s="41" t="s">
        <v>24449</v>
      </c>
      <c r="H3020" s="41" t="s">
        <v>24450</v>
      </c>
      <c r="I3020" s="41" t="s">
        <v>24451</v>
      </c>
      <c r="J3020" s="41" t="s">
        <v>24452</v>
      </c>
      <c r="L3020" s="41" t="s">
        <v>4</v>
      </c>
    </row>
    <row r="3021" spans="1:19" x14ac:dyDescent="0.25">
      <c r="A3021" s="41" t="s">
        <v>23</v>
      </c>
      <c r="B3021" s="41" t="s">
        <v>24453</v>
      </c>
      <c r="D3021" s="41" t="s">
        <v>24286</v>
      </c>
      <c r="E3021" s="41" t="s">
        <v>24455</v>
      </c>
      <c r="F3021" s="41" t="s">
        <v>24456</v>
      </c>
      <c r="G3021" s="41" t="s">
        <v>24457</v>
      </c>
      <c r="H3021" s="41" t="s">
        <v>24458</v>
      </c>
      <c r="I3021" s="41" t="s">
        <v>24459</v>
      </c>
      <c r="J3021" s="41" t="s">
        <v>24460</v>
      </c>
      <c r="K3021" s="41" t="s">
        <v>24461</v>
      </c>
      <c r="L3021" s="41" t="s">
        <v>24462</v>
      </c>
      <c r="M3021" s="41" t="s">
        <v>24463</v>
      </c>
      <c r="N3021" s="41" t="s">
        <v>24464</v>
      </c>
      <c r="O3021" s="41" t="s">
        <v>24465</v>
      </c>
      <c r="P3021" s="41" t="s">
        <v>24466</v>
      </c>
      <c r="Q3021" s="41" t="s">
        <v>24467</v>
      </c>
      <c r="R3021" s="41" t="s">
        <v>24468</v>
      </c>
      <c r="S3021" s="41" t="s">
        <v>24469</v>
      </c>
    </row>
    <row r="3022" spans="1:19" x14ac:dyDescent="0.25">
      <c r="A3022" s="41" t="s">
        <v>23</v>
      </c>
      <c r="B3022" s="41" t="s">
        <v>24470</v>
      </c>
      <c r="D3022" s="41" t="s">
        <v>24471</v>
      </c>
      <c r="F3022" s="41" t="s">
        <v>24472</v>
      </c>
      <c r="G3022" s="41" t="s">
        <v>24473</v>
      </c>
      <c r="H3022" s="41" t="s">
        <v>24474</v>
      </c>
      <c r="I3022" s="41" t="s">
        <v>24475</v>
      </c>
      <c r="J3022" s="41" t="s">
        <v>24476</v>
      </c>
      <c r="K3022" s="41" t="s">
        <v>24477</v>
      </c>
      <c r="L3022" s="41" t="s">
        <v>891</v>
      </c>
    </row>
    <row r="3023" spans="1:19" x14ac:dyDescent="0.25">
      <c r="A3023" s="41" t="s">
        <v>23</v>
      </c>
      <c r="B3023" s="41" t="s">
        <v>24478</v>
      </c>
      <c r="D3023" s="41" t="s">
        <v>24479</v>
      </c>
      <c r="F3023" s="41" t="s">
        <v>24480</v>
      </c>
      <c r="G3023" s="41" t="s">
        <v>24481</v>
      </c>
      <c r="H3023" s="41" t="s">
        <v>24482</v>
      </c>
      <c r="I3023" s="41" t="s">
        <v>24483</v>
      </c>
      <c r="J3023" s="41" t="s">
        <v>24484</v>
      </c>
      <c r="K3023" s="41" t="s">
        <v>24485</v>
      </c>
      <c r="L3023" s="41" t="s">
        <v>1076</v>
      </c>
    </row>
    <row r="3024" spans="1:19" x14ac:dyDescent="0.25">
      <c r="A3024" s="41" t="s">
        <v>23</v>
      </c>
      <c r="B3024" s="41" t="s">
        <v>24486</v>
      </c>
      <c r="D3024" s="41" t="s">
        <v>24487</v>
      </c>
      <c r="F3024" s="41" t="s">
        <v>24488</v>
      </c>
      <c r="G3024" s="41" t="s">
        <v>24489</v>
      </c>
      <c r="H3024" s="41" t="s">
        <v>24490</v>
      </c>
      <c r="I3024" s="41" t="s">
        <v>24491</v>
      </c>
      <c r="J3024" s="41" t="s">
        <v>24492</v>
      </c>
      <c r="K3024" s="41" t="s">
        <v>24493</v>
      </c>
      <c r="L3024" s="41" t="s">
        <v>1085</v>
      </c>
    </row>
    <row r="3025" spans="1:19" x14ac:dyDescent="0.25">
      <c r="A3025" s="41" t="s">
        <v>23</v>
      </c>
      <c r="B3025" s="41" t="s">
        <v>24494</v>
      </c>
      <c r="D3025" s="41" t="s">
        <v>24495</v>
      </c>
      <c r="F3025" s="41" t="s">
        <v>24496</v>
      </c>
      <c r="G3025" s="41" t="s">
        <v>24497</v>
      </c>
      <c r="H3025" s="41" t="s">
        <v>24498</v>
      </c>
      <c r="I3025" s="41" t="s">
        <v>24499</v>
      </c>
      <c r="J3025" s="41" t="s">
        <v>24500</v>
      </c>
      <c r="K3025" s="41" t="s">
        <v>24501</v>
      </c>
      <c r="L3025" s="41" t="s">
        <v>1094</v>
      </c>
    </row>
    <row r="3026" spans="1:19" x14ac:dyDescent="0.25">
      <c r="A3026" s="41" t="s">
        <v>908</v>
      </c>
      <c r="B3026" s="41" t="s">
        <v>24502</v>
      </c>
    </row>
    <row r="3027" spans="1:19" x14ac:dyDescent="0.25">
      <c r="A3027" s="41" t="s">
        <v>23</v>
      </c>
      <c r="B3027" s="41" t="s">
        <v>24503</v>
      </c>
      <c r="F3027" s="41" t="s">
        <v>24504</v>
      </c>
      <c r="G3027" s="41" t="s">
        <v>24505</v>
      </c>
      <c r="H3027" s="41" t="s">
        <v>24506</v>
      </c>
      <c r="I3027" s="41" t="s">
        <v>24507</v>
      </c>
      <c r="J3027" s="41" t="s">
        <v>24508</v>
      </c>
      <c r="L3027" s="41" t="s">
        <v>4</v>
      </c>
    </row>
    <row r="3028" spans="1:19" x14ac:dyDescent="0.25">
      <c r="A3028" s="41" t="s">
        <v>23</v>
      </c>
      <c r="B3028" s="41" t="s">
        <v>24509</v>
      </c>
      <c r="D3028" s="41" t="s">
        <v>24342</v>
      </c>
      <c r="E3028" s="41" t="s">
        <v>24511</v>
      </c>
      <c r="F3028" s="41" t="s">
        <v>24512</v>
      </c>
      <c r="G3028" s="41" t="s">
        <v>24513</v>
      </c>
      <c r="H3028" s="41" t="s">
        <v>24514</v>
      </c>
      <c r="I3028" s="41" t="s">
        <v>24515</v>
      </c>
      <c r="J3028" s="41" t="s">
        <v>24516</v>
      </c>
      <c r="K3028" s="41" t="s">
        <v>24517</v>
      </c>
      <c r="L3028" s="41" t="s">
        <v>24518</v>
      </c>
      <c r="M3028" s="41" t="s">
        <v>24519</v>
      </c>
      <c r="N3028" s="41" t="s">
        <v>24520</v>
      </c>
      <c r="O3028" s="41" t="s">
        <v>24521</v>
      </c>
      <c r="P3028" s="41" t="s">
        <v>24522</v>
      </c>
      <c r="Q3028" s="41" t="s">
        <v>24523</v>
      </c>
      <c r="R3028" s="41" t="s">
        <v>24524</v>
      </c>
      <c r="S3028" s="41" t="s">
        <v>24525</v>
      </c>
    </row>
    <row r="3029" spans="1:19" x14ac:dyDescent="0.25">
      <c r="A3029" s="41" t="s">
        <v>23</v>
      </c>
      <c r="B3029" s="41" t="s">
        <v>24526</v>
      </c>
      <c r="D3029" s="41" t="s">
        <v>24527</v>
      </c>
      <c r="F3029" s="41" t="s">
        <v>24528</v>
      </c>
      <c r="G3029" s="41" t="s">
        <v>24529</v>
      </c>
      <c r="H3029" s="41" t="s">
        <v>24530</v>
      </c>
      <c r="I3029" s="41" t="s">
        <v>24531</v>
      </c>
      <c r="J3029" s="41" t="s">
        <v>24532</v>
      </c>
      <c r="K3029" s="41" t="s">
        <v>24533</v>
      </c>
      <c r="L3029" s="41" t="s">
        <v>891</v>
      </c>
    </row>
    <row r="3030" spans="1:19" x14ac:dyDescent="0.25">
      <c r="A3030" s="41" t="s">
        <v>23</v>
      </c>
      <c r="B3030" s="41" t="s">
        <v>24534</v>
      </c>
      <c r="D3030" s="41" t="s">
        <v>24535</v>
      </c>
      <c r="F3030" s="41" t="s">
        <v>24536</v>
      </c>
      <c r="G3030" s="41" t="s">
        <v>24537</v>
      </c>
      <c r="H3030" s="41" t="s">
        <v>24538</v>
      </c>
      <c r="I3030" s="41" t="s">
        <v>24539</v>
      </c>
      <c r="J3030" s="41" t="s">
        <v>24540</v>
      </c>
      <c r="K3030" s="41" t="s">
        <v>24541</v>
      </c>
      <c r="L3030" s="41" t="s">
        <v>1076</v>
      </c>
    </row>
    <row r="3031" spans="1:19" x14ac:dyDescent="0.25">
      <c r="A3031" s="41" t="s">
        <v>23</v>
      </c>
      <c r="B3031" s="41" t="s">
        <v>24542</v>
      </c>
      <c r="D3031" s="41" t="s">
        <v>24543</v>
      </c>
      <c r="F3031" s="41" t="s">
        <v>24544</v>
      </c>
      <c r="G3031" s="41" t="s">
        <v>24545</v>
      </c>
      <c r="H3031" s="41" t="s">
        <v>24546</v>
      </c>
      <c r="I3031" s="41" t="s">
        <v>24547</v>
      </c>
      <c r="J3031" s="41" t="s">
        <v>24548</v>
      </c>
      <c r="K3031" s="41" t="s">
        <v>24549</v>
      </c>
      <c r="L3031" s="41" t="s">
        <v>1085</v>
      </c>
    </row>
    <row r="3032" spans="1:19" x14ac:dyDescent="0.25">
      <c r="A3032" s="41" t="s">
        <v>23</v>
      </c>
      <c r="B3032" s="41" t="s">
        <v>24550</v>
      </c>
      <c r="D3032" s="41" t="s">
        <v>24551</v>
      </c>
      <c r="F3032" s="41" t="s">
        <v>24552</v>
      </c>
      <c r="G3032" s="41" t="s">
        <v>24553</v>
      </c>
      <c r="H3032" s="41" t="s">
        <v>24554</v>
      </c>
      <c r="I3032" s="41" t="s">
        <v>24555</v>
      </c>
      <c r="J3032" s="41" t="s">
        <v>24556</v>
      </c>
      <c r="K3032" s="41" t="s">
        <v>24557</v>
      </c>
      <c r="L3032" s="41" t="s">
        <v>1094</v>
      </c>
    </row>
    <row r="3033" spans="1:19" x14ac:dyDescent="0.25">
      <c r="A3033" s="41" t="s">
        <v>908</v>
      </c>
      <c r="B3033" s="41" t="s">
        <v>24558</v>
      </c>
    </row>
    <row r="3034" spans="1:19" x14ac:dyDescent="0.25">
      <c r="A3034" s="41" t="s">
        <v>23</v>
      </c>
      <c r="B3034" s="41" t="s">
        <v>24559</v>
      </c>
      <c r="F3034" s="41" t="s">
        <v>24560</v>
      </c>
      <c r="G3034" s="41" t="s">
        <v>24561</v>
      </c>
      <c r="H3034" s="41" t="s">
        <v>24562</v>
      </c>
      <c r="I3034" s="41" t="s">
        <v>24563</v>
      </c>
      <c r="J3034" s="41" t="s">
        <v>24564</v>
      </c>
      <c r="L3034" s="41" t="s">
        <v>4</v>
      </c>
    </row>
    <row r="3035" spans="1:19" x14ac:dyDescent="0.25">
      <c r="A3035" s="41" t="s">
        <v>23</v>
      </c>
      <c r="B3035" s="41" t="s">
        <v>24565</v>
      </c>
      <c r="D3035" s="41" t="s">
        <v>24398</v>
      </c>
      <c r="E3035" s="41" t="s">
        <v>24567</v>
      </c>
      <c r="F3035" s="41" t="s">
        <v>24568</v>
      </c>
      <c r="G3035" s="41" t="s">
        <v>24569</v>
      </c>
      <c r="H3035" s="41" t="s">
        <v>24570</v>
      </c>
      <c r="I3035" s="41" t="s">
        <v>24571</v>
      </c>
      <c r="J3035" s="41" t="s">
        <v>24572</v>
      </c>
      <c r="K3035" s="41" t="s">
        <v>24573</v>
      </c>
      <c r="L3035" s="41" t="s">
        <v>24574</v>
      </c>
      <c r="M3035" s="41" t="s">
        <v>24575</v>
      </c>
      <c r="N3035" s="41" t="s">
        <v>24576</v>
      </c>
      <c r="O3035" s="41" t="s">
        <v>24577</v>
      </c>
      <c r="P3035" s="41" t="s">
        <v>24578</v>
      </c>
      <c r="Q3035" s="41" t="s">
        <v>24579</v>
      </c>
      <c r="R3035" s="41" t="s">
        <v>24580</v>
      </c>
      <c r="S3035" s="41" t="s">
        <v>24581</v>
      </c>
    </row>
    <row r="3036" spans="1:19" x14ac:dyDescent="0.25">
      <c r="A3036" s="41" t="s">
        <v>23</v>
      </c>
      <c r="B3036" s="41" t="s">
        <v>24582</v>
      </c>
      <c r="D3036" s="41" t="s">
        <v>24583</v>
      </c>
      <c r="F3036" s="41" t="s">
        <v>24584</v>
      </c>
      <c r="G3036" s="41" t="s">
        <v>24585</v>
      </c>
      <c r="H3036" s="41" t="s">
        <v>24586</v>
      </c>
      <c r="I3036" s="41" t="s">
        <v>24587</v>
      </c>
      <c r="J3036" s="41" t="s">
        <v>24588</v>
      </c>
      <c r="K3036" s="41" t="s">
        <v>24589</v>
      </c>
      <c r="L3036" s="41" t="s">
        <v>891</v>
      </c>
    </row>
    <row r="3037" spans="1:19" x14ac:dyDescent="0.25">
      <c r="A3037" s="41" t="s">
        <v>23</v>
      </c>
      <c r="B3037" s="41" t="s">
        <v>24590</v>
      </c>
      <c r="D3037" s="41" t="s">
        <v>24591</v>
      </c>
      <c r="F3037" s="41" t="s">
        <v>24592</v>
      </c>
      <c r="G3037" s="41" t="s">
        <v>24593</v>
      </c>
      <c r="H3037" s="41" t="s">
        <v>24594</v>
      </c>
      <c r="I3037" s="41" t="s">
        <v>24595</v>
      </c>
      <c r="J3037" s="41" t="s">
        <v>24596</v>
      </c>
      <c r="K3037" s="41" t="s">
        <v>24597</v>
      </c>
      <c r="L3037" s="41" t="s">
        <v>1076</v>
      </c>
    </row>
    <row r="3038" spans="1:19" x14ac:dyDescent="0.25">
      <c r="A3038" s="41" t="s">
        <v>23</v>
      </c>
      <c r="B3038" s="41" t="s">
        <v>24598</v>
      </c>
      <c r="D3038" s="41" t="s">
        <v>24599</v>
      </c>
      <c r="F3038" s="41" t="s">
        <v>24600</v>
      </c>
      <c r="G3038" s="41" t="s">
        <v>24601</v>
      </c>
      <c r="H3038" s="41" t="s">
        <v>24602</v>
      </c>
      <c r="I3038" s="41" t="s">
        <v>24603</v>
      </c>
      <c r="J3038" s="41" t="s">
        <v>24604</v>
      </c>
      <c r="K3038" s="41" t="s">
        <v>24605</v>
      </c>
      <c r="L3038" s="41" t="s">
        <v>1085</v>
      </c>
    </row>
    <row r="3039" spans="1:19" x14ac:dyDescent="0.25">
      <c r="A3039" s="41" t="s">
        <v>23</v>
      </c>
      <c r="B3039" s="41" t="s">
        <v>24606</v>
      </c>
      <c r="D3039" s="41" t="s">
        <v>24607</v>
      </c>
      <c r="F3039" s="41" t="s">
        <v>24608</v>
      </c>
      <c r="G3039" s="41" t="s">
        <v>24609</v>
      </c>
      <c r="H3039" s="41" t="s">
        <v>24610</v>
      </c>
      <c r="I3039" s="41" t="s">
        <v>24611</v>
      </c>
      <c r="J3039" s="41" t="s">
        <v>24612</v>
      </c>
      <c r="K3039" s="41" t="s">
        <v>24613</v>
      </c>
      <c r="L3039" s="41" t="s">
        <v>1094</v>
      </c>
    </row>
    <row r="3040" spans="1:19" x14ac:dyDescent="0.25">
      <c r="A3040" s="41" t="s">
        <v>908</v>
      </c>
      <c r="B3040" s="41" t="s">
        <v>24614</v>
      </c>
    </row>
    <row r="3041" spans="1:19" x14ac:dyDescent="0.25">
      <c r="A3041" s="41" t="s">
        <v>23</v>
      </c>
      <c r="B3041" s="41" t="s">
        <v>24615</v>
      </c>
      <c r="F3041" s="41" t="s">
        <v>24616</v>
      </c>
      <c r="G3041" s="41" t="s">
        <v>24617</v>
      </c>
      <c r="H3041" s="41" t="s">
        <v>24618</v>
      </c>
      <c r="I3041" s="41" t="s">
        <v>24619</v>
      </c>
      <c r="J3041" s="41" t="s">
        <v>24620</v>
      </c>
      <c r="L3041" s="41" t="s">
        <v>4</v>
      </c>
    </row>
    <row r="3042" spans="1:19" x14ac:dyDescent="0.25">
      <c r="A3042" s="41" t="s">
        <v>23</v>
      </c>
      <c r="B3042" s="41" t="s">
        <v>24621</v>
      </c>
      <c r="D3042" s="41" t="s">
        <v>24454</v>
      </c>
      <c r="E3042" s="41" t="s">
        <v>24623</v>
      </c>
      <c r="F3042" s="41" t="s">
        <v>24624</v>
      </c>
      <c r="G3042" s="41" t="s">
        <v>24625</v>
      </c>
      <c r="H3042" s="41" t="s">
        <v>24626</v>
      </c>
      <c r="I3042" s="41" t="s">
        <v>24627</v>
      </c>
      <c r="J3042" s="41" t="s">
        <v>24628</v>
      </c>
      <c r="K3042" s="41" t="s">
        <v>24629</v>
      </c>
      <c r="L3042" s="41" t="s">
        <v>24630</v>
      </c>
      <c r="M3042" s="41" t="s">
        <v>24631</v>
      </c>
      <c r="N3042" s="41" t="s">
        <v>24632</v>
      </c>
      <c r="O3042" s="41" t="s">
        <v>24633</v>
      </c>
      <c r="P3042" s="41" t="s">
        <v>24634</v>
      </c>
      <c r="Q3042" s="41" t="s">
        <v>24635</v>
      </c>
      <c r="R3042" s="41" t="s">
        <v>24636</v>
      </c>
      <c r="S3042" s="41" t="s">
        <v>24637</v>
      </c>
    </row>
    <row r="3043" spans="1:19" x14ac:dyDescent="0.25">
      <c r="A3043" s="41" t="s">
        <v>23</v>
      </c>
      <c r="B3043" s="41" t="s">
        <v>24638</v>
      </c>
      <c r="D3043" s="41" t="s">
        <v>24639</v>
      </c>
      <c r="F3043" s="41" t="s">
        <v>24640</v>
      </c>
      <c r="G3043" s="41" t="s">
        <v>24641</v>
      </c>
      <c r="H3043" s="41" t="s">
        <v>24642</v>
      </c>
      <c r="I3043" s="41" t="s">
        <v>24643</v>
      </c>
      <c r="J3043" s="41" t="s">
        <v>24644</v>
      </c>
      <c r="K3043" s="41" t="s">
        <v>24645</v>
      </c>
      <c r="L3043" s="41" t="s">
        <v>891</v>
      </c>
    </row>
    <row r="3044" spans="1:19" x14ac:dyDescent="0.25">
      <c r="A3044" s="41" t="s">
        <v>23</v>
      </c>
      <c r="B3044" s="41" t="s">
        <v>24646</v>
      </c>
      <c r="D3044" s="41" t="s">
        <v>24647</v>
      </c>
      <c r="F3044" s="41" t="s">
        <v>24648</v>
      </c>
      <c r="G3044" s="41" t="s">
        <v>24649</v>
      </c>
      <c r="H3044" s="41" t="s">
        <v>24650</v>
      </c>
      <c r="I3044" s="41" t="s">
        <v>24651</v>
      </c>
      <c r="J3044" s="41" t="s">
        <v>24652</v>
      </c>
      <c r="K3044" s="41" t="s">
        <v>24653</v>
      </c>
      <c r="L3044" s="41" t="s">
        <v>1076</v>
      </c>
    </row>
    <row r="3045" spans="1:19" x14ac:dyDescent="0.25">
      <c r="A3045" s="41" t="s">
        <v>23</v>
      </c>
      <c r="B3045" s="41" t="s">
        <v>24654</v>
      </c>
      <c r="D3045" s="41" t="s">
        <v>24655</v>
      </c>
      <c r="F3045" s="41" t="s">
        <v>24656</v>
      </c>
      <c r="G3045" s="41" t="s">
        <v>24657</v>
      </c>
      <c r="H3045" s="41" t="s">
        <v>24658</v>
      </c>
      <c r="I3045" s="41" t="s">
        <v>24659</v>
      </c>
      <c r="J3045" s="41" t="s">
        <v>24660</v>
      </c>
      <c r="K3045" s="41" t="s">
        <v>24661</v>
      </c>
      <c r="L3045" s="41" t="s">
        <v>1085</v>
      </c>
    </row>
    <row r="3046" spans="1:19" x14ac:dyDescent="0.25">
      <c r="A3046" s="41" t="s">
        <v>23</v>
      </c>
      <c r="B3046" s="41" t="s">
        <v>24662</v>
      </c>
      <c r="D3046" s="41" t="s">
        <v>24663</v>
      </c>
      <c r="F3046" s="41" t="s">
        <v>24664</v>
      </c>
      <c r="G3046" s="41" t="s">
        <v>24665</v>
      </c>
      <c r="H3046" s="41" t="s">
        <v>24666</v>
      </c>
      <c r="I3046" s="41" t="s">
        <v>24667</v>
      </c>
      <c r="J3046" s="41" t="s">
        <v>24668</v>
      </c>
      <c r="K3046" s="41" t="s">
        <v>24669</v>
      </c>
      <c r="L3046" s="41" t="s">
        <v>1094</v>
      </c>
    </row>
    <row r="3047" spans="1:19" x14ac:dyDescent="0.25">
      <c r="A3047" s="41" t="s">
        <v>908</v>
      </c>
      <c r="B3047" s="41" t="s">
        <v>24670</v>
      </c>
    </row>
    <row r="3048" spans="1:19" x14ac:dyDescent="0.25">
      <c r="A3048" s="41" t="s">
        <v>23</v>
      </c>
      <c r="B3048" s="41" t="s">
        <v>24671</v>
      </c>
      <c r="F3048" s="41" t="s">
        <v>24672</v>
      </c>
      <c r="G3048" s="41" t="s">
        <v>24673</v>
      </c>
      <c r="H3048" s="41" t="s">
        <v>24674</v>
      </c>
      <c r="I3048" s="41" t="s">
        <v>24675</v>
      </c>
      <c r="J3048" s="41" t="s">
        <v>24676</v>
      </c>
      <c r="L3048" s="41" t="s">
        <v>4</v>
      </c>
    </row>
    <row r="3049" spans="1:19" x14ac:dyDescent="0.25">
      <c r="A3049" s="41" t="s">
        <v>23</v>
      </c>
      <c r="B3049" s="41" t="s">
        <v>24677</v>
      </c>
      <c r="D3049" s="41" t="s">
        <v>24510</v>
      </c>
      <c r="E3049" s="41" t="s">
        <v>24679</v>
      </c>
      <c r="F3049" s="41" t="s">
        <v>24680</v>
      </c>
      <c r="G3049" s="41" t="s">
        <v>24681</v>
      </c>
      <c r="H3049" s="41" t="s">
        <v>24682</v>
      </c>
      <c r="I3049" s="41" t="s">
        <v>24683</v>
      </c>
      <c r="J3049" s="41" t="s">
        <v>24684</v>
      </c>
      <c r="K3049" s="41" t="s">
        <v>24685</v>
      </c>
      <c r="L3049" s="41" t="s">
        <v>24686</v>
      </c>
      <c r="M3049" s="41" t="s">
        <v>24687</v>
      </c>
      <c r="N3049" s="41" t="s">
        <v>24688</v>
      </c>
      <c r="O3049" s="41" t="s">
        <v>24689</v>
      </c>
      <c r="P3049" s="41" t="s">
        <v>24690</v>
      </c>
      <c r="Q3049" s="41" t="s">
        <v>24691</v>
      </c>
      <c r="R3049" s="41" t="s">
        <v>24692</v>
      </c>
      <c r="S3049" s="41" t="s">
        <v>24693</v>
      </c>
    </row>
    <row r="3050" spans="1:19" x14ac:dyDescent="0.25">
      <c r="A3050" s="41" t="s">
        <v>23</v>
      </c>
      <c r="B3050" s="41" t="s">
        <v>24694</v>
      </c>
      <c r="D3050" s="41" t="s">
        <v>24695</v>
      </c>
      <c r="F3050" s="41" t="s">
        <v>24696</v>
      </c>
      <c r="G3050" s="41" t="s">
        <v>24697</v>
      </c>
      <c r="H3050" s="41" t="s">
        <v>24698</v>
      </c>
      <c r="I3050" s="41" t="s">
        <v>24699</v>
      </c>
      <c r="J3050" s="41" t="s">
        <v>24700</v>
      </c>
      <c r="K3050" s="41" t="s">
        <v>24701</v>
      </c>
      <c r="L3050" s="41" t="s">
        <v>891</v>
      </c>
    </row>
    <row r="3051" spans="1:19" x14ac:dyDescent="0.25">
      <c r="A3051" s="41" t="s">
        <v>23</v>
      </c>
      <c r="B3051" s="41" t="s">
        <v>24702</v>
      </c>
      <c r="D3051" s="41" t="s">
        <v>24703</v>
      </c>
      <c r="F3051" s="41" t="s">
        <v>24704</v>
      </c>
      <c r="G3051" s="41" t="s">
        <v>24705</v>
      </c>
      <c r="H3051" s="41" t="s">
        <v>24706</v>
      </c>
      <c r="I3051" s="41" t="s">
        <v>24707</v>
      </c>
      <c r="J3051" s="41" t="s">
        <v>24708</v>
      </c>
      <c r="K3051" s="41" t="s">
        <v>24709</v>
      </c>
      <c r="L3051" s="41" t="s">
        <v>1076</v>
      </c>
    </row>
    <row r="3052" spans="1:19" x14ac:dyDescent="0.25">
      <c r="A3052" s="41" t="s">
        <v>23</v>
      </c>
      <c r="B3052" s="41" t="s">
        <v>24710</v>
      </c>
      <c r="D3052" s="41" t="s">
        <v>24711</v>
      </c>
      <c r="F3052" s="41" t="s">
        <v>24712</v>
      </c>
      <c r="G3052" s="41" t="s">
        <v>24713</v>
      </c>
      <c r="H3052" s="41" t="s">
        <v>24714</v>
      </c>
      <c r="I3052" s="41" t="s">
        <v>24715</v>
      </c>
      <c r="J3052" s="41" t="s">
        <v>24716</v>
      </c>
      <c r="K3052" s="41" t="s">
        <v>24717</v>
      </c>
      <c r="L3052" s="41" t="s">
        <v>1085</v>
      </c>
    </row>
    <row r="3053" spans="1:19" x14ac:dyDescent="0.25">
      <c r="A3053" s="41" t="s">
        <v>23</v>
      </c>
      <c r="B3053" s="41" t="s">
        <v>24718</v>
      </c>
      <c r="D3053" s="41" t="s">
        <v>24719</v>
      </c>
      <c r="F3053" s="41" t="s">
        <v>24720</v>
      </c>
      <c r="G3053" s="41" t="s">
        <v>24721</v>
      </c>
      <c r="H3053" s="41" t="s">
        <v>24722</v>
      </c>
      <c r="I3053" s="41" t="s">
        <v>24723</v>
      </c>
      <c r="J3053" s="41" t="s">
        <v>24724</v>
      </c>
      <c r="K3053" s="41" t="s">
        <v>24725</v>
      </c>
      <c r="L3053" s="41" t="s">
        <v>1094</v>
      </c>
    </row>
    <row r="3054" spans="1:19" x14ac:dyDescent="0.25">
      <c r="A3054" s="41" t="s">
        <v>908</v>
      </c>
      <c r="B3054" s="41" t="s">
        <v>24726</v>
      </c>
    </row>
    <row r="3055" spans="1:19" x14ac:dyDescent="0.25">
      <c r="A3055" s="41" t="s">
        <v>23</v>
      </c>
      <c r="B3055" s="41" t="s">
        <v>24727</v>
      </c>
      <c r="F3055" s="41" t="s">
        <v>24728</v>
      </c>
      <c r="G3055" s="41" t="s">
        <v>24729</v>
      </c>
      <c r="H3055" s="41" t="s">
        <v>24730</v>
      </c>
      <c r="I3055" s="41" t="s">
        <v>24731</v>
      </c>
      <c r="J3055" s="41" t="s">
        <v>24732</v>
      </c>
      <c r="L3055" s="41" t="s">
        <v>4</v>
      </c>
    </row>
    <row r="3056" spans="1:19" x14ac:dyDescent="0.25">
      <c r="A3056" s="41" t="s">
        <v>23</v>
      </c>
      <c r="B3056" s="41" t="s">
        <v>24733</v>
      </c>
      <c r="D3056" s="41" t="s">
        <v>24566</v>
      </c>
      <c r="E3056" s="41" t="s">
        <v>24735</v>
      </c>
      <c r="F3056" s="41" t="s">
        <v>24736</v>
      </c>
      <c r="G3056" s="41" t="s">
        <v>24737</v>
      </c>
      <c r="H3056" s="41" t="s">
        <v>24738</v>
      </c>
      <c r="I3056" s="41" t="s">
        <v>24739</v>
      </c>
      <c r="J3056" s="41" t="s">
        <v>24740</v>
      </c>
      <c r="K3056" s="41" t="s">
        <v>24741</v>
      </c>
      <c r="L3056" s="41" t="s">
        <v>24742</v>
      </c>
      <c r="M3056" s="41" t="s">
        <v>24743</v>
      </c>
      <c r="N3056" s="41" t="s">
        <v>24744</v>
      </c>
      <c r="O3056" s="41" t="s">
        <v>24745</v>
      </c>
      <c r="P3056" s="41" t="s">
        <v>24746</v>
      </c>
      <c r="Q3056" s="41" t="s">
        <v>24747</v>
      </c>
      <c r="R3056" s="41" t="s">
        <v>24748</v>
      </c>
      <c r="S3056" s="41" t="s">
        <v>24749</v>
      </c>
    </row>
    <row r="3057" spans="1:19" x14ac:dyDescent="0.25">
      <c r="A3057" s="41" t="s">
        <v>23</v>
      </c>
      <c r="B3057" s="41" t="s">
        <v>24750</v>
      </c>
      <c r="D3057" s="41" t="s">
        <v>24751</v>
      </c>
      <c r="F3057" s="41" t="s">
        <v>24752</v>
      </c>
      <c r="G3057" s="41" t="s">
        <v>24753</v>
      </c>
      <c r="H3057" s="41" t="s">
        <v>24754</v>
      </c>
      <c r="I3057" s="41" t="s">
        <v>24755</v>
      </c>
      <c r="J3057" s="41" t="s">
        <v>24756</v>
      </c>
      <c r="K3057" s="41" t="s">
        <v>24757</v>
      </c>
      <c r="L3057" s="41" t="s">
        <v>891</v>
      </c>
    </row>
    <row r="3058" spans="1:19" x14ac:dyDescent="0.25">
      <c r="A3058" s="41" t="s">
        <v>23</v>
      </c>
      <c r="B3058" s="41" t="s">
        <v>24758</v>
      </c>
      <c r="D3058" s="41" t="s">
        <v>24759</v>
      </c>
      <c r="F3058" s="41" t="s">
        <v>24760</v>
      </c>
      <c r="G3058" s="41" t="s">
        <v>24761</v>
      </c>
      <c r="H3058" s="41" t="s">
        <v>24762</v>
      </c>
      <c r="I3058" s="41" t="s">
        <v>24763</v>
      </c>
      <c r="J3058" s="41" t="s">
        <v>24764</v>
      </c>
      <c r="K3058" s="41" t="s">
        <v>24765</v>
      </c>
      <c r="L3058" s="41" t="s">
        <v>1076</v>
      </c>
    </row>
    <row r="3059" spans="1:19" x14ac:dyDescent="0.25">
      <c r="A3059" s="41" t="s">
        <v>23</v>
      </c>
      <c r="B3059" s="41" t="s">
        <v>24766</v>
      </c>
      <c r="D3059" s="41" t="s">
        <v>24767</v>
      </c>
      <c r="F3059" s="41" t="s">
        <v>24768</v>
      </c>
      <c r="G3059" s="41" t="s">
        <v>24769</v>
      </c>
      <c r="H3059" s="41" t="s">
        <v>24770</v>
      </c>
      <c r="I3059" s="41" t="s">
        <v>24771</v>
      </c>
      <c r="J3059" s="41" t="s">
        <v>24772</v>
      </c>
      <c r="K3059" s="41" t="s">
        <v>24773</v>
      </c>
      <c r="L3059" s="41" t="s">
        <v>1085</v>
      </c>
    </row>
    <row r="3060" spans="1:19" x14ac:dyDescent="0.25">
      <c r="A3060" s="41" t="s">
        <v>23</v>
      </c>
      <c r="B3060" s="41" t="s">
        <v>24774</v>
      </c>
      <c r="D3060" s="41" t="s">
        <v>24775</v>
      </c>
      <c r="F3060" s="41" t="s">
        <v>24776</v>
      </c>
      <c r="G3060" s="41" t="s">
        <v>24777</v>
      </c>
      <c r="H3060" s="41" t="s">
        <v>24778</v>
      </c>
      <c r="I3060" s="41" t="s">
        <v>24779</v>
      </c>
      <c r="J3060" s="41" t="s">
        <v>24780</v>
      </c>
      <c r="K3060" s="41" t="s">
        <v>24781</v>
      </c>
      <c r="L3060" s="41" t="s">
        <v>1094</v>
      </c>
    </row>
    <row r="3061" spans="1:19" x14ac:dyDescent="0.25">
      <c r="A3061" s="41" t="s">
        <v>908</v>
      </c>
      <c r="B3061" s="41" t="s">
        <v>24782</v>
      </c>
    </row>
    <row r="3062" spans="1:19" x14ac:dyDescent="0.25">
      <c r="A3062" s="41" t="s">
        <v>23</v>
      </c>
      <c r="B3062" s="41" t="s">
        <v>24783</v>
      </c>
      <c r="F3062" s="41" t="s">
        <v>24784</v>
      </c>
      <c r="G3062" s="41" t="s">
        <v>24785</v>
      </c>
      <c r="H3062" s="41" t="s">
        <v>24786</v>
      </c>
      <c r="I3062" s="41" t="s">
        <v>24787</v>
      </c>
      <c r="J3062" s="41" t="s">
        <v>24788</v>
      </c>
      <c r="L3062" s="41" t="s">
        <v>4</v>
      </c>
    </row>
    <row r="3063" spans="1:19" x14ac:dyDescent="0.25">
      <c r="A3063" s="41" t="s">
        <v>23</v>
      </c>
      <c r="B3063" s="41" t="s">
        <v>24789</v>
      </c>
      <c r="D3063" s="41" t="s">
        <v>24622</v>
      </c>
      <c r="E3063" s="41" t="s">
        <v>24791</v>
      </c>
      <c r="F3063" s="41" t="s">
        <v>24792</v>
      </c>
      <c r="G3063" s="41" t="s">
        <v>24793</v>
      </c>
      <c r="H3063" s="41" t="s">
        <v>24794</v>
      </c>
      <c r="I3063" s="41" t="s">
        <v>24795</v>
      </c>
      <c r="J3063" s="41" t="s">
        <v>24796</v>
      </c>
      <c r="K3063" s="41" t="s">
        <v>24797</v>
      </c>
      <c r="L3063" s="41" t="s">
        <v>24798</v>
      </c>
      <c r="M3063" s="41" t="s">
        <v>24799</v>
      </c>
      <c r="N3063" s="41" t="s">
        <v>24800</v>
      </c>
      <c r="O3063" s="41" t="s">
        <v>24801</v>
      </c>
      <c r="P3063" s="41" t="s">
        <v>24802</v>
      </c>
      <c r="Q3063" s="41" t="s">
        <v>24803</v>
      </c>
      <c r="R3063" s="41" t="s">
        <v>24804</v>
      </c>
      <c r="S3063" s="41" t="s">
        <v>24805</v>
      </c>
    </row>
    <row r="3064" spans="1:19" x14ac:dyDescent="0.25">
      <c r="A3064" s="41" t="s">
        <v>23</v>
      </c>
      <c r="B3064" s="41" t="s">
        <v>24806</v>
      </c>
      <c r="D3064" s="41" t="s">
        <v>24807</v>
      </c>
      <c r="F3064" s="41" t="s">
        <v>24808</v>
      </c>
      <c r="G3064" s="41" t="s">
        <v>24809</v>
      </c>
      <c r="H3064" s="41" t="s">
        <v>24810</v>
      </c>
      <c r="I3064" s="41" t="s">
        <v>24811</v>
      </c>
      <c r="J3064" s="41" t="s">
        <v>24812</v>
      </c>
      <c r="K3064" s="41" t="s">
        <v>24813</v>
      </c>
      <c r="L3064" s="41" t="s">
        <v>891</v>
      </c>
    </row>
    <row r="3065" spans="1:19" x14ac:dyDescent="0.25">
      <c r="A3065" s="41" t="s">
        <v>23</v>
      </c>
      <c r="B3065" s="41" t="s">
        <v>24814</v>
      </c>
      <c r="D3065" s="41" t="s">
        <v>24815</v>
      </c>
      <c r="F3065" s="41" t="s">
        <v>24816</v>
      </c>
      <c r="G3065" s="41" t="s">
        <v>24817</v>
      </c>
      <c r="H3065" s="41" t="s">
        <v>24818</v>
      </c>
      <c r="I3065" s="41" t="s">
        <v>24819</v>
      </c>
      <c r="J3065" s="41" t="s">
        <v>24820</v>
      </c>
      <c r="K3065" s="41" t="s">
        <v>24821</v>
      </c>
      <c r="L3065" s="41" t="s">
        <v>1076</v>
      </c>
    </row>
    <row r="3066" spans="1:19" x14ac:dyDescent="0.25">
      <c r="A3066" s="41" t="s">
        <v>23</v>
      </c>
      <c r="B3066" s="41" t="s">
        <v>24822</v>
      </c>
      <c r="D3066" s="41" t="s">
        <v>24823</v>
      </c>
      <c r="F3066" s="41" t="s">
        <v>24824</v>
      </c>
      <c r="G3066" s="41" t="s">
        <v>24825</v>
      </c>
      <c r="H3066" s="41" t="s">
        <v>24826</v>
      </c>
      <c r="I3066" s="41" t="s">
        <v>24827</v>
      </c>
      <c r="J3066" s="41" t="s">
        <v>24828</v>
      </c>
      <c r="K3066" s="41" t="s">
        <v>24829</v>
      </c>
      <c r="L3066" s="41" t="s">
        <v>1085</v>
      </c>
    </row>
    <row r="3067" spans="1:19" x14ac:dyDescent="0.25">
      <c r="A3067" s="41" t="s">
        <v>23</v>
      </c>
      <c r="B3067" s="41" t="s">
        <v>24830</v>
      </c>
      <c r="D3067" s="41" t="s">
        <v>24831</v>
      </c>
      <c r="F3067" s="41" t="s">
        <v>24832</v>
      </c>
      <c r="G3067" s="41" t="s">
        <v>24833</v>
      </c>
      <c r="H3067" s="41" t="s">
        <v>24834</v>
      </c>
      <c r="I3067" s="41" t="s">
        <v>24835</v>
      </c>
      <c r="J3067" s="41" t="s">
        <v>24836</v>
      </c>
      <c r="K3067" s="41" t="s">
        <v>24837</v>
      </c>
      <c r="L3067" s="41" t="s">
        <v>1094</v>
      </c>
    </row>
    <row r="3068" spans="1:19" x14ac:dyDescent="0.25">
      <c r="A3068" s="41" t="s">
        <v>908</v>
      </c>
      <c r="B3068" s="41" t="s">
        <v>24838</v>
      </c>
    </row>
    <row r="3069" spans="1:19" x14ac:dyDescent="0.25">
      <c r="A3069" s="41" t="s">
        <v>23</v>
      </c>
      <c r="B3069" s="41" t="s">
        <v>24839</v>
      </c>
      <c r="F3069" s="41" t="s">
        <v>24840</v>
      </c>
      <c r="G3069" s="41" t="s">
        <v>24841</v>
      </c>
      <c r="H3069" s="41" t="s">
        <v>24842</v>
      </c>
      <c r="I3069" s="41" t="s">
        <v>24843</v>
      </c>
      <c r="J3069" s="41" t="s">
        <v>24844</v>
      </c>
      <c r="L3069" s="41" t="s">
        <v>4</v>
      </c>
    </row>
    <row r="3070" spans="1:19" x14ac:dyDescent="0.25">
      <c r="A3070" s="41" t="s">
        <v>23</v>
      </c>
      <c r="B3070" s="41" t="s">
        <v>24845</v>
      </c>
      <c r="D3070" s="41" t="s">
        <v>24678</v>
      </c>
      <c r="E3070" s="41" t="s">
        <v>24847</v>
      </c>
      <c r="F3070" s="41" t="s">
        <v>24848</v>
      </c>
      <c r="G3070" s="41" t="s">
        <v>24849</v>
      </c>
      <c r="H3070" s="41" t="s">
        <v>24850</v>
      </c>
      <c r="I3070" s="41" t="s">
        <v>24851</v>
      </c>
      <c r="J3070" s="41" t="s">
        <v>24852</v>
      </c>
      <c r="K3070" s="41" t="s">
        <v>24853</v>
      </c>
      <c r="L3070" s="41" t="s">
        <v>24854</v>
      </c>
      <c r="M3070" s="41" t="s">
        <v>24855</v>
      </c>
      <c r="N3070" s="41" t="s">
        <v>24856</v>
      </c>
      <c r="O3070" s="41" t="s">
        <v>24857</v>
      </c>
      <c r="P3070" s="41" t="s">
        <v>24858</v>
      </c>
      <c r="Q3070" s="41" t="s">
        <v>24859</v>
      </c>
      <c r="R3070" s="41" t="s">
        <v>24860</v>
      </c>
      <c r="S3070" s="41" t="s">
        <v>24861</v>
      </c>
    </row>
    <row r="3071" spans="1:19" x14ac:dyDescent="0.25">
      <c r="A3071" s="41" t="s">
        <v>23</v>
      </c>
      <c r="B3071" s="41" t="s">
        <v>24862</v>
      </c>
      <c r="D3071" s="41" t="s">
        <v>24863</v>
      </c>
      <c r="F3071" s="41" t="s">
        <v>24864</v>
      </c>
      <c r="G3071" s="41" t="s">
        <v>24865</v>
      </c>
      <c r="H3071" s="41" t="s">
        <v>24866</v>
      </c>
      <c r="I3071" s="41" t="s">
        <v>24867</v>
      </c>
      <c r="J3071" s="41" t="s">
        <v>24868</v>
      </c>
      <c r="K3071" s="41" t="s">
        <v>24869</v>
      </c>
      <c r="L3071" s="41" t="s">
        <v>891</v>
      </c>
    </row>
    <row r="3072" spans="1:19" x14ac:dyDescent="0.25">
      <c r="A3072" s="41" t="s">
        <v>23</v>
      </c>
      <c r="B3072" s="41" t="s">
        <v>24870</v>
      </c>
      <c r="D3072" s="41" t="s">
        <v>24871</v>
      </c>
      <c r="F3072" s="41" t="s">
        <v>24872</v>
      </c>
      <c r="G3072" s="41" t="s">
        <v>24873</v>
      </c>
      <c r="H3072" s="41" t="s">
        <v>24874</v>
      </c>
      <c r="I3072" s="41" t="s">
        <v>24875</v>
      </c>
      <c r="J3072" s="41" t="s">
        <v>24876</v>
      </c>
      <c r="K3072" s="41" t="s">
        <v>24877</v>
      </c>
      <c r="L3072" s="41" t="s">
        <v>1076</v>
      </c>
    </row>
    <row r="3073" spans="1:19" x14ac:dyDescent="0.25">
      <c r="A3073" s="41" t="s">
        <v>23</v>
      </c>
      <c r="B3073" s="41" t="s">
        <v>24878</v>
      </c>
      <c r="D3073" s="41" t="s">
        <v>24879</v>
      </c>
      <c r="F3073" s="41" t="s">
        <v>24880</v>
      </c>
      <c r="G3073" s="41" t="s">
        <v>24881</v>
      </c>
      <c r="H3073" s="41" t="s">
        <v>24882</v>
      </c>
      <c r="I3073" s="41" t="s">
        <v>24883</v>
      </c>
      <c r="J3073" s="41" t="s">
        <v>24884</v>
      </c>
      <c r="K3073" s="41" t="s">
        <v>24885</v>
      </c>
      <c r="L3073" s="41" t="s">
        <v>1085</v>
      </c>
    </row>
    <row r="3074" spans="1:19" x14ac:dyDescent="0.25">
      <c r="A3074" s="41" t="s">
        <v>23</v>
      </c>
      <c r="B3074" s="41" t="s">
        <v>24886</v>
      </c>
      <c r="D3074" s="41" t="s">
        <v>24887</v>
      </c>
      <c r="F3074" s="41" t="s">
        <v>24888</v>
      </c>
      <c r="G3074" s="41" t="s">
        <v>24889</v>
      </c>
      <c r="H3074" s="41" t="s">
        <v>24890</v>
      </c>
      <c r="I3074" s="41" t="s">
        <v>24891</v>
      </c>
      <c r="J3074" s="41" t="s">
        <v>24892</v>
      </c>
      <c r="K3074" s="41" t="s">
        <v>24893</v>
      </c>
      <c r="L3074" s="41" t="s">
        <v>1094</v>
      </c>
    </row>
    <row r="3075" spans="1:19" x14ac:dyDescent="0.25">
      <c r="A3075" s="41" t="s">
        <v>908</v>
      </c>
      <c r="B3075" s="41" t="s">
        <v>24894</v>
      </c>
    </row>
    <row r="3076" spans="1:19" x14ac:dyDescent="0.25">
      <c r="A3076" s="41" t="s">
        <v>23</v>
      </c>
      <c r="B3076" s="41" t="s">
        <v>24895</v>
      </c>
      <c r="F3076" s="41" t="s">
        <v>24896</v>
      </c>
      <c r="G3076" s="41" t="s">
        <v>24897</v>
      </c>
      <c r="H3076" s="41" t="s">
        <v>24898</v>
      </c>
      <c r="I3076" s="41" t="s">
        <v>24899</v>
      </c>
      <c r="J3076" s="41" t="s">
        <v>24900</v>
      </c>
      <c r="L3076" s="41" t="s">
        <v>4</v>
      </c>
    </row>
    <row r="3077" spans="1:19" x14ac:dyDescent="0.25">
      <c r="A3077" s="41" t="s">
        <v>23</v>
      </c>
      <c r="B3077" s="41" t="s">
        <v>24901</v>
      </c>
      <c r="D3077" s="41" t="s">
        <v>24734</v>
      </c>
      <c r="E3077" s="41" t="s">
        <v>24903</v>
      </c>
      <c r="F3077" s="41" t="s">
        <v>24904</v>
      </c>
      <c r="G3077" s="41" t="s">
        <v>24905</v>
      </c>
      <c r="H3077" s="41" t="s">
        <v>24906</v>
      </c>
      <c r="I3077" s="41" t="s">
        <v>24907</v>
      </c>
      <c r="J3077" s="41" t="s">
        <v>24908</v>
      </c>
      <c r="K3077" s="41" t="s">
        <v>24909</v>
      </c>
      <c r="L3077" s="41" t="s">
        <v>24910</v>
      </c>
      <c r="M3077" s="41" t="s">
        <v>24911</v>
      </c>
      <c r="N3077" s="41" t="s">
        <v>24912</v>
      </c>
      <c r="O3077" s="41" t="s">
        <v>24913</v>
      </c>
      <c r="P3077" s="41" t="s">
        <v>24914</v>
      </c>
      <c r="Q3077" s="41" t="s">
        <v>24915</v>
      </c>
      <c r="R3077" s="41" t="s">
        <v>24916</v>
      </c>
      <c r="S3077" s="41" t="s">
        <v>24917</v>
      </c>
    </row>
    <row r="3078" spans="1:19" x14ac:dyDescent="0.25">
      <c r="A3078" s="41" t="s">
        <v>23</v>
      </c>
      <c r="B3078" s="41" t="s">
        <v>24918</v>
      </c>
      <c r="D3078" s="41" t="s">
        <v>24919</v>
      </c>
      <c r="F3078" s="41" t="s">
        <v>24920</v>
      </c>
      <c r="G3078" s="41" t="s">
        <v>24921</v>
      </c>
      <c r="H3078" s="41" t="s">
        <v>24922</v>
      </c>
      <c r="I3078" s="41" t="s">
        <v>24923</v>
      </c>
      <c r="J3078" s="41" t="s">
        <v>24924</v>
      </c>
      <c r="K3078" s="41" t="s">
        <v>24925</v>
      </c>
      <c r="L3078" s="41" t="s">
        <v>891</v>
      </c>
    </row>
    <row r="3079" spans="1:19" x14ac:dyDescent="0.25">
      <c r="A3079" s="41" t="s">
        <v>23</v>
      </c>
      <c r="B3079" s="41" t="s">
        <v>24926</v>
      </c>
      <c r="D3079" s="41" t="s">
        <v>24927</v>
      </c>
      <c r="F3079" s="41" t="s">
        <v>24928</v>
      </c>
      <c r="G3079" s="41" t="s">
        <v>24929</v>
      </c>
      <c r="H3079" s="41" t="s">
        <v>24930</v>
      </c>
      <c r="I3079" s="41" t="s">
        <v>24931</v>
      </c>
      <c r="J3079" s="41" t="s">
        <v>24932</v>
      </c>
      <c r="K3079" s="41" t="s">
        <v>24933</v>
      </c>
      <c r="L3079" s="41" t="s">
        <v>1076</v>
      </c>
    </row>
    <row r="3080" spans="1:19" x14ac:dyDescent="0.25">
      <c r="A3080" s="41" t="s">
        <v>23</v>
      </c>
      <c r="B3080" s="41" t="s">
        <v>24934</v>
      </c>
      <c r="D3080" s="41" t="s">
        <v>24935</v>
      </c>
      <c r="F3080" s="41" t="s">
        <v>24936</v>
      </c>
      <c r="G3080" s="41" t="s">
        <v>24937</v>
      </c>
      <c r="H3080" s="41" t="s">
        <v>24938</v>
      </c>
      <c r="I3080" s="41" t="s">
        <v>24939</v>
      </c>
      <c r="J3080" s="41" t="s">
        <v>24940</v>
      </c>
      <c r="K3080" s="41" t="s">
        <v>24941</v>
      </c>
      <c r="L3080" s="41" t="s">
        <v>1085</v>
      </c>
    </row>
    <row r="3081" spans="1:19" x14ac:dyDescent="0.25">
      <c r="A3081" s="41" t="s">
        <v>23</v>
      </c>
      <c r="B3081" s="41" t="s">
        <v>24942</v>
      </c>
      <c r="D3081" s="41" t="s">
        <v>24943</v>
      </c>
      <c r="F3081" s="41" t="s">
        <v>24944</v>
      </c>
      <c r="G3081" s="41" t="s">
        <v>24945</v>
      </c>
      <c r="H3081" s="41" t="s">
        <v>24946</v>
      </c>
      <c r="I3081" s="41" t="s">
        <v>24947</v>
      </c>
      <c r="J3081" s="41" t="s">
        <v>24948</v>
      </c>
      <c r="K3081" s="41" t="s">
        <v>24949</v>
      </c>
      <c r="L3081" s="41" t="s">
        <v>1094</v>
      </c>
    </row>
    <row r="3082" spans="1:19" x14ac:dyDescent="0.25">
      <c r="A3082" s="41" t="s">
        <v>908</v>
      </c>
      <c r="B3082" s="41" t="s">
        <v>24950</v>
      </c>
    </row>
    <row r="3083" spans="1:19" x14ac:dyDescent="0.25">
      <c r="A3083" s="41" t="s">
        <v>23</v>
      </c>
      <c r="B3083" s="41" t="s">
        <v>24951</v>
      </c>
      <c r="F3083" s="41" t="s">
        <v>24952</v>
      </c>
      <c r="G3083" s="41" t="s">
        <v>24953</v>
      </c>
      <c r="H3083" s="41" t="s">
        <v>24954</v>
      </c>
      <c r="I3083" s="41" t="s">
        <v>24955</v>
      </c>
      <c r="J3083" s="41" t="s">
        <v>24956</v>
      </c>
      <c r="L3083" s="41" t="s">
        <v>4</v>
      </c>
    </row>
    <row r="3084" spans="1:19" x14ac:dyDescent="0.25">
      <c r="A3084" s="41" t="s">
        <v>23</v>
      </c>
      <c r="B3084" s="41" t="s">
        <v>24957</v>
      </c>
      <c r="D3084" s="41" t="s">
        <v>24790</v>
      </c>
      <c r="E3084" s="41" t="s">
        <v>24959</v>
      </c>
      <c r="F3084" s="41" t="s">
        <v>24960</v>
      </c>
      <c r="G3084" s="41" t="s">
        <v>24961</v>
      </c>
      <c r="H3084" s="41" t="s">
        <v>24962</v>
      </c>
      <c r="I3084" s="41" t="s">
        <v>24963</v>
      </c>
      <c r="J3084" s="41" t="s">
        <v>24964</v>
      </c>
      <c r="K3084" s="41" t="s">
        <v>24965</v>
      </c>
      <c r="L3084" s="41" t="s">
        <v>24966</v>
      </c>
      <c r="M3084" s="41" t="s">
        <v>24967</v>
      </c>
      <c r="N3084" s="41" t="s">
        <v>24968</v>
      </c>
      <c r="O3084" s="41" t="s">
        <v>24969</v>
      </c>
      <c r="P3084" s="41" t="s">
        <v>24970</v>
      </c>
      <c r="Q3084" s="41" t="s">
        <v>24971</v>
      </c>
      <c r="R3084" s="41" t="s">
        <v>24972</v>
      </c>
      <c r="S3084" s="41" t="s">
        <v>24973</v>
      </c>
    </row>
    <row r="3085" spans="1:19" x14ac:dyDescent="0.25">
      <c r="A3085" s="41" t="s">
        <v>23</v>
      </c>
      <c r="B3085" s="41" t="s">
        <v>24974</v>
      </c>
      <c r="D3085" s="41" t="s">
        <v>24975</v>
      </c>
      <c r="F3085" s="41" t="s">
        <v>24976</v>
      </c>
      <c r="G3085" s="41" t="s">
        <v>24977</v>
      </c>
      <c r="H3085" s="41" t="s">
        <v>24978</v>
      </c>
      <c r="I3085" s="41" t="s">
        <v>24979</v>
      </c>
      <c r="J3085" s="41" t="s">
        <v>24980</v>
      </c>
      <c r="K3085" s="41" t="s">
        <v>24981</v>
      </c>
      <c r="L3085" s="41" t="s">
        <v>891</v>
      </c>
    </row>
    <row r="3086" spans="1:19" x14ac:dyDescent="0.25">
      <c r="A3086" s="41" t="s">
        <v>23</v>
      </c>
      <c r="B3086" s="41" t="s">
        <v>24982</v>
      </c>
      <c r="D3086" s="41" t="s">
        <v>24983</v>
      </c>
      <c r="F3086" s="41" t="s">
        <v>24984</v>
      </c>
      <c r="G3086" s="41" t="s">
        <v>24985</v>
      </c>
      <c r="H3086" s="41" t="s">
        <v>24986</v>
      </c>
      <c r="I3086" s="41" t="s">
        <v>24987</v>
      </c>
      <c r="J3086" s="41" t="s">
        <v>24988</v>
      </c>
      <c r="K3086" s="41" t="s">
        <v>24989</v>
      </c>
      <c r="L3086" s="41" t="s">
        <v>1076</v>
      </c>
    </row>
    <row r="3087" spans="1:19" x14ac:dyDescent="0.25">
      <c r="A3087" s="41" t="s">
        <v>23</v>
      </c>
      <c r="B3087" s="41" t="s">
        <v>24990</v>
      </c>
      <c r="D3087" s="41" t="s">
        <v>24991</v>
      </c>
      <c r="F3087" s="41" t="s">
        <v>24992</v>
      </c>
      <c r="G3087" s="41" t="s">
        <v>24993</v>
      </c>
      <c r="H3087" s="41" t="s">
        <v>24994</v>
      </c>
      <c r="I3087" s="41" t="s">
        <v>24995</v>
      </c>
      <c r="J3087" s="41" t="s">
        <v>24996</v>
      </c>
      <c r="K3087" s="41" t="s">
        <v>24997</v>
      </c>
      <c r="L3087" s="41" t="s">
        <v>1085</v>
      </c>
    </row>
    <row r="3088" spans="1:19" x14ac:dyDescent="0.25">
      <c r="A3088" s="41" t="s">
        <v>23</v>
      </c>
      <c r="B3088" s="41" t="s">
        <v>24998</v>
      </c>
      <c r="D3088" s="41" t="s">
        <v>24999</v>
      </c>
      <c r="F3088" s="41" t="s">
        <v>25000</v>
      </c>
      <c r="G3088" s="41" t="s">
        <v>25001</v>
      </c>
      <c r="H3088" s="41" t="s">
        <v>25002</v>
      </c>
      <c r="I3088" s="41" t="s">
        <v>25003</v>
      </c>
      <c r="J3088" s="41" t="s">
        <v>25004</v>
      </c>
      <c r="K3088" s="41" t="s">
        <v>25005</v>
      </c>
      <c r="L3088" s="41" t="s">
        <v>1094</v>
      </c>
    </row>
    <row r="3089" spans="1:19" x14ac:dyDescent="0.25">
      <c r="A3089" s="41" t="s">
        <v>908</v>
      </c>
      <c r="B3089" s="41" t="s">
        <v>25006</v>
      </c>
    </row>
    <row r="3090" spans="1:19" x14ac:dyDescent="0.25">
      <c r="A3090" s="41" t="s">
        <v>23</v>
      </c>
      <c r="B3090" s="41" t="s">
        <v>25007</v>
      </c>
      <c r="F3090" s="41" t="s">
        <v>25008</v>
      </c>
      <c r="G3090" s="41" t="s">
        <v>25009</v>
      </c>
      <c r="H3090" s="41" t="s">
        <v>25010</v>
      </c>
      <c r="I3090" s="41" t="s">
        <v>25011</v>
      </c>
      <c r="J3090" s="41" t="s">
        <v>25012</v>
      </c>
      <c r="L3090" s="41" t="s">
        <v>4</v>
      </c>
    </row>
    <row r="3091" spans="1:19" x14ac:dyDescent="0.25">
      <c r="A3091" s="41" t="s">
        <v>23</v>
      </c>
      <c r="B3091" s="41" t="s">
        <v>25013</v>
      </c>
      <c r="D3091" s="41" t="s">
        <v>24846</v>
      </c>
      <c r="E3091" s="41" t="s">
        <v>25015</v>
      </c>
      <c r="F3091" s="41" t="s">
        <v>25016</v>
      </c>
      <c r="G3091" s="41" t="s">
        <v>25017</v>
      </c>
      <c r="H3091" s="41" t="s">
        <v>25018</v>
      </c>
      <c r="I3091" s="41" t="s">
        <v>25019</v>
      </c>
      <c r="J3091" s="41" t="s">
        <v>25020</v>
      </c>
      <c r="K3091" s="41" t="s">
        <v>25021</v>
      </c>
      <c r="L3091" s="41" t="s">
        <v>25022</v>
      </c>
      <c r="M3091" s="41" t="s">
        <v>25023</v>
      </c>
      <c r="N3091" s="41" t="s">
        <v>25024</v>
      </c>
      <c r="O3091" s="41" t="s">
        <v>25025</v>
      </c>
      <c r="P3091" s="41" t="s">
        <v>25026</v>
      </c>
      <c r="Q3091" s="41" t="s">
        <v>25027</v>
      </c>
      <c r="R3091" s="41" t="s">
        <v>25028</v>
      </c>
      <c r="S3091" s="41" t="s">
        <v>25029</v>
      </c>
    </row>
    <row r="3092" spans="1:19" x14ac:dyDescent="0.25">
      <c r="A3092" s="41" t="s">
        <v>23</v>
      </c>
      <c r="B3092" s="41" t="s">
        <v>25030</v>
      </c>
      <c r="D3092" s="41" t="s">
        <v>25031</v>
      </c>
      <c r="F3092" s="41" t="s">
        <v>25032</v>
      </c>
      <c r="G3092" s="41" t="s">
        <v>25033</v>
      </c>
      <c r="H3092" s="41" t="s">
        <v>25034</v>
      </c>
      <c r="I3092" s="41" t="s">
        <v>25035</v>
      </c>
      <c r="J3092" s="41" t="s">
        <v>25036</v>
      </c>
      <c r="K3092" s="41" t="s">
        <v>25037</v>
      </c>
      <c r="L3092" s="41" t="s">
        <v>891</v>
      </c>
    </row>
    <row r="3093" spans="1:19" x14ac:dyDescent="0.25">
      <c r="A3093" s="41" t="s">
        <v>23</v>
      </c>
      <c r="B3093" s="41" t="s">
        <v>25038</v>
      </c>
      <c r="D3093" s="41" t="s">
        <v>25039</v>
      </c>
      <c r="F3093" s="41" t="s">
        <v>25040</v>
      </c>
      <c r="G3093" s="41" t="s">
        <v>25041</v>
      </c>
      <c r="H3093" s="41" t="s">
        <v>25042</v>
      </c>
      <c r="I3093" s="41" t="s">
        <v>25043</v>
      </c>
      <c r="J3093" s="41" t="s">
        <v>25044</v>
      </c>
      <c r="K3093" s="41" t="s">
        <v>25045</v>
      </c>
      <c r="L3093" s="41" t="s">
        <v>1076</v>
      </c>
    </row>
    <row r="3094" spans="1:19" x14ac:dyDescent="0.25">
      <c r="A3094" s="41" t="s">
        <v>23</v>
      </c>
      <c r="B3094" s="41" t="s">
        <v>25046</v>
      </c>
      <c r="D3094" s="41" t="s">
        <v>25047</v>
      </c>
      <c r="F3094" s="41" t="s">
        <v>25048</v>
      </c>
      <c r="G3094" s="41" t="s">
        <v>25049</v>
      </c>
      <c r="H3094" s="41" t="s">
        <v>25050</v>
      </c>
      <c r="I3094" s="41" t="s">
        <v>25051</v>
      </c>
      <c r="J3094" s="41" t="s">
        <v>25052</v>
      </c>
      <c r="K3094" s="41" t="s">
        <v>25053</v>
      </c>
      <c r="L3094" s="41" t="s">
        <v>1085</v>
      </c>
    </row>
    <row r="3095" spans="1:19" x14ac:dyDescent="0.25">
      <c r="A3095" s="41" t="s">
        <v>23</v>
      </c>
      <c r="B3095" s="41" t="s">
        <v>25054</v>
      </c>
      <c r="D3095" s="41" t="s">
        <v>25055</v>
      </c>
      <c r="F3095" s="41" t="s">
        <v>25056</v>
      </c>
      <c r="G3095" s="41" t="s">
        <v>25057</v>
      </c>
      <c r="H3095" s="41" t="s">
        <v>25058</v>
      </c>
      <c r="I3095" s="41" t="s">
        <v>25059</v>
      </c>
      <c r="J3095" s="41" t="s">
        <v>25060</v>
      </c>
      <c r="K3095" s="41" t="s">
        <v>25061</v>
      </c>
      <c r="L3095" s="41" t="s">
        <v>1094</v>
      </c>
    </row>
    <row r="3096" spans="1:19" x14ac:dyDescent="0.25">
      <c r="A3096" s="41" t="s">
        <v>908</v>
      </c>
      <c r="B3096" s="41" t="s">
        <v>25062</v>
      </c>
    </row>
    <row r="3097" spans="1:19" x14ac:dyDescent="0.25">
      <c r="A3097" s="41" t="s">
        <v>23</v>
      </c>
      <c r="B3097" s="41" t="s">
        <v>25063</v>
      </c>
      <c r="F3097" s="41" t="s">
        <v>25064</v>
      </c>
      <c r="G3097" s="41" t="s">
        <v>25065</v>
      </c>
      <c r="H3097" s="41" t="s">
        <v>25066</v>
      </c>
      <c r="I3097" s="41" t="s">
        <v>25067</v>
      </c>
      <c r="J3097" s="41" t="s">
        <v>25068</v>
      </c>
      <c r="L3097" s="41" t="s">
        <v>4</v>
      </c>
    </row>
    <row r="3098" spans="1:19" x14ac:dyDescent="0.25">
      <c r="A3098" s="41" t="s">
        <v>23</v>
      </c>
      <c r="B3098" s="41" t="s">
        <v>25069</v>
      </c>
      <c r="D3098" s="41" t="s">
        <v>24902</v>
      </c>
      <c r="E3098" s="41" t="s">
        <v>25071</v>
      </c>
      <c r="F3098" s="41" t="s">
        <v>25072</v>
      </c>
      <c r="G3098" s="41" t="s">
        <v>25073</v>
      </c>
      <c r="H3098" s="41" t="s">
        <v>25074</v>
      </c>
      <c r="I3098" s="41" t="s">
        <v>25075</v>
      </c>
      <c r="J3098" s="41" t="s">
        <v>25076</v>
      </c>
      <c r="K3098" s="41" t="s">
        <v>25077</v>
      </c>
      <c r="L3098" s="41" t="s">
        <v>25078</v>
      </c>
      <c r="M3098" s="41" t="s">
        <v>25079</v>
      </c>
      <c r="N3098" s="41" t="s">
        <v>25080</v>
      </c>
      <c r="O3098" s="41" t="s">
        <v>25081</v>
      </c>
      <c r="P3098" s="41" t="s">
        <v>25082</v>
      </c>
      <c r="Q3098" s="41" t="s">
        <v>25083</v>
      </c>
      <c r="R3098" s="41" t="s">
        <v>25084</v>
      </c>
      <c r="S3098" s="41" t="s">
        <v>25085</v>
      </c>
    </row>
    <row r="3099" spans="1:19" x14ac:dyDescent="0.25">
      <c r="A3099" s="41" t="s">
        <v>23</v>
      </c>
      <c r="B3099" s="41" t="s">
        <v>25086</v>
      </c>
      <c r="D3099" s="41" t="s">
        <v>25087</v>
      </c>
      <c r="F3099" s="41" t="s">
        <v>25088</v>
      </c>
      <c r="G3099" s="41" t="s">
        <v>25089</v>
      </c>
      <c r="H3099" s="41" t="s">
        <v>25090</v>
      </c>
      <c r="I3099" s="41" t="s">
        <v>25091</v>
      </c>
      <c r="J3099" s="41" t="s">
        <v>25092</v>
      </c>
      <c r="K3099" s="41" t="s">
        <v>25093</v>
      </c>
      <c r="L3099" s="41" t="s">
        <v>891</v>
      </c>
    </row>
    <row r="3100" spans="1:19" x14ac:dyDescent="0.25">
      <c r="A3100" s="41" t="s">
        <v>23</v>
      </c>
      <c r="B3100" s="41" t="s">
        <v>25094</v>
      </c>
      <c r="D3100" s="41" t="s">
        <v>25095</v>
      </c>
      <c r="F3100" s="41" t="s">
        <v>25096</v>
      </c>
      <c r="G3100" s="41" t="s">
        <v>25097</v>
      </c>
      <c r="H3100" s="41" t="s">
        <v>25098</v>
      </c>
      <c r="I3100" s="41" t="s">
        <v>25099</v>
      </c>
      <c r="J3100" s="41" t="s">
        <v>25100</v>
      </c>
      <c r="K3100" s="41" t="s">
        <v>25101</v>
      </c>
      <c r="L3100" s="41" t="s">
        <v>1076</v>
      </c>
    </row>
    <row r="3101" spans="1:19" x14ac:dyDescent="0.25">
      <c r="A3101" s="41" t="s">
        <v>23</v>
      </c>
      <c r="B3101" s="41" t="s">
        <v>25102</v>
      </c>
      <c r="D3101" s="41" t="s">
        <v>25103</v>
      </c>
      <c r="F3101" s="41" t="s">
        <v>25104</v>
      </c>
      <c r="G3101" s="41" t="s">
        <v>25105</v>
      </c>
      <c r="H3101" s="41" t="s">
        <v>25106</v>
      </c>
      <c r="I3101" s="41" t="s">
        <v>25107</v>
      </c>
      <c r="J3101" s="41" t="s">
        <v>25108</v>
      </c>
      <c r="K3101" s="41" t="s">
        <v>25109</v>
      </c>
      <c r="L3101" s="41" t="s">
        <v>1085</v>
      </c>
    </row>
    <row r="3102" spans="1:19" x14ac:dyDescent="0.25">
      <c r="A3102" s="41" t="s">
        <v>23</v>
      </c>
      <c r="B3102" s="41" t="s">
        <v>25110</v>
      </c>
      <c r="D3102" s="41" t="s">
        <v>25111</v>
      </c>
      <c r="F3102" s="41" t="s">
        <v>25112</v>
      </c>
      <c r="G3102" s="41" t="s">
        <v>25113</v>
      </c>
      <c r="H3102" s="41" t="s">
        <v>25114</v>
      </c>
      <c r="I3102" s="41" t="s">
        <v>25115</v>
      </c>
      <c r="J3102" s="41" t="s">
        <v>25116</v>
      </c>
      <c r="K3102" s="41" t="s">
        <v>25117</v>
      </c>
      <c r="L3102" s="41" t="s">
        <v>1094</v>
      </c>
    </row>
    <row r="3103" spans="1:19" x14ac:dyDescent="0.25">
      <c r="A3103" s="41" t="s">
        <v>908</v>
      </c>
      <c r="B3103" s="41" t="s">
        <v>25118</v>
      </c>
    </row>
    <row r="3104" spans="1:19" x14ac:dyDescent="0.25">
      <c r="A3104" s="41" t="s">
        <v>23</v>
      </c>
      <c r="B3104" s="41" t="s">
        <v>25119</v>
      </c>
      <c r="F3104" s="41" t="s">
        <v>25120</v>
      </c>
      <c r="G3104" s="41" t="s">
        <v>25121</v>
      </c>
      <c r="H3104" s="41" t="s">
        <v>25122</v>
      </c>
      <c r="I3104" s="41" t="s">
        <v>25123</v>
      </c>
      <c r="J3104" s="41" t="s">
        <v>25124</v>
      </c>
      <c r="L3104" s="41" t="s">
        <v>4</v>
      </c>
    </row>
    <row r="3105" spans="1:19" x14ac:dyDescent="0.25">
      <c r="A3105" s="41" t="s">
        <v>23</v>
      </c>
      <c r="B3105" s="41" t="s">
        <v>25125</v>
      </c>
      <c r="D3105" s="41" t="s">
        <v>24958</v>
      </c>
      <c r="E3105" s="41" t="s">
        <v>25127</v>
      </c>
      <c r="F3105" s="41" t="s">
        <v>25128</v>
      </c>
      <c r="G3105" s="41" t="s">
        <v>25129</v>
      </c>
      <c r="H3105" s="41" t="s">
        <v>25130</v>
      </c>
      <c r="I3105" s="41" t="s">
        <v>25131</v>
      </c>
      <c r="J3105" s="41" t="s">
        <v>25132</v>
      </c>
      <c r="K3105" s="41" t="s">
        <v>25133</v>
      </c>
      <c r="L3105" s="41" t="s">
        <v>25134</v>
      </c>
      <c r="M3105" s="41" t="s">
        <v>25135</v>
      </c>
      <c r="N3105" s="41" t="s">
        <v>25136</v>
      </c>
      <c r="O3105" s="41" t="s">
        <v>25137</v>
      </c>
      <c r="P3105" s="41" t="s">
        <v>25138</v>
      </c>
      <c r="Q3105" s="41" t="s">
        <v>25139</v>
      </c>
      <c r="R3105" s="41" t="s">
        <v>25140</v>
      </c>
      <c r="S3105" s="41" t="s">
        <v>25141</v>
      </c>
    </row>
    <row r="3106" spans="1:19" x14ac:dyDescent="0.25">
      <c r="A3106" s="41" t="s">
        <v>23</v>
      </c>
      <c r="B3106" s="41" t="s">
        <v>25142</v>
      </c>
      <c r="D3106" s="41" t="s">
        <v>25143</v>
      </c>
      <c r="F3106" s="41" t="s">
        <v>25144</v>
      </c>
      <c r="G3106" s="41" t="s">
        <v>25145</v>
      </c>
      <c r="H3106" s="41" t="s">
        <v>25146</v>
      </c>
      <c r="I3106" s="41" t="s">
        <v>25147</v>
      </c>
      <c r="J3106" s="41" t="s">
        <v>25148</v>
      </c>
      <c r="K3106" s="41" t="s">
        <v>25149</v>
      </c>
      <c r="L3106" s="41" t="s">
        <v>891</v>
      </c>
    </row>
    <row r="3107" spans="1:19" x14ac:dyDescent="0.25">
      <c r="A3107" s="41" t="s">
        <v>23</v>
      </c>
      <c r="B3107" s="41" t="s">
        <v>25150</v>
      </c>
      <c r="D3107" s="41" t="s">
        <v>25151</v>
      </c>
      <c r="F3107" s="41" t="s">
        <v>25152</v>
      </c>
      <c r="G3107" s="41" t="s">
        <v>25153</v>
      </c>
      <c r="H3107" s="41" t="s">
        <v>25154</v>
      </c>
      <c r="I3107" s="41" t="s">
        <v>25155</v>
      </c>
      <c r="J3107" s="41" t="s">
        <v>25156</v>
      </c>
      <c r="K3107" s="41" t="s">
        <v>25157</v>
      </c>
      <c r="L3107" s="41" t="s">
        <v>1076</v>
      </c>
    </row>
    <row r="3108" spans="1:19" x14ac:dyDescent="0.25">
      <c r="A3108" s="41" t="s">
        <v>23</v>
      </c>
      <c r="B3108" s="41" t="s">
        <v>25158</v>
      </c>
      <c r="D3108" s="41" t="s">
        <v>25159</v>
      </c>
      <c r="F3108" s="41" t="s">
        <v>25160</v>
      </c>
      <c r="G3108" s="41" t="s">
        <v>25161</v>
      </c>
      <c r="H3108" s="41" t="s">
        <v>25162</v>
      </c>
      <c r="I3108" s="41" t="s">
        <v>25163</v>
      </c>
      <c r="J3108" s="41" t="s">
        <v>25164</v>
      </c>
      <c r="K3108" s="41" t="s">
        <v>25165</v>
      </c>
      <c r="L3108" s="41" t="s">
        <v>1085</v>
      </c>
    </row>
    <row r="3109" spans="1:19" x14ac:dyDescent="0.25">
      <c r="A3109" s="41" t="s">
        <v>23</v>
      </c>
      <c r="B3109" s="41" t="s">
        <v>25166</v>
      </c>
      <c r="D3109" s="41" t="s">
        <v>25167</v>
      </c>
      <c r="F3109" s="41" t="s">
        <v>25168</v>
      </c>
      <c r="G3109" s="41" t="s">
        <v>25169</v>
      </c>
      <c r="H3109" s="41" t="s">
        <v>25170</v>
      </c>
      <c r="I3109" s="41" t="s">
        <v>25171</v>
      </c>
      <c r="J3109" s="41" t="s">
        <v>25172</v>
      </c>
      <c r="K3109" s="41" t="s">
        <v>25173</v>
      </c>
      <c r="L3109" s="41" t="s">
        <v>1094</v>
      </c>
    </row>
    <row r="3110" spans="1:19" x14ac:dyDescent="0.25">
      <c r="A3110" s="41" t="s">
        <v>908</v>
      </c>
      <c r="B3110" s="41" t="s">
        <v>25174</v>
      </c>
    </row>
    <row r="3111" spans="1:19" x14ac:dyDescent="0.25">
      <c r="A3111" s="41" t="s">
        <v>23</v>
      </c>
      <c r="B3111" s="41" t="s">
        <v>25175</v>
      </c>
      <c r="F3111" s="41" t="s">
        <v>25176</v>
      </c>
      <c r="G3111" s="41" t="s">
        <v>25177</v>
      </c>
      <c r="H3111" s="41" t="s">
        <v>25178</v>
      </c>
      <c r="I3111" s="41" t="s">
        <v>25179</v>
      </c>
      <c r="J3111" s="41" t="s">
        <v>25180</v>
      </c>
      <c r="L3111" s="41" t="s">
        <v>4</v>
      </c>
    </row>
    <row r="3112" spans="1:19" x14ac:dyDescent="0.25">
      <c r="A3112" s="41" t="s">
        <v>23</v>
      </c>
      <c r="B3112" s="41" t="s">
        <v>25181</v>
      </c>
      <c r="D3112" s="41" t="s">
        <v>25014</v>
      </c>
      <c r="E3112" s="41" t="s">
        <v>25183</v>
      </c>
      <c r="F3112" s="41" t="s">
        <v>25184</v>
      </c>
      <c r="G3112" s="41" t="s">
        <v>25185</v>
      </c>
      <c r="H3112" s="41" t="s">
        <v>25186</v>
      </c>
      <c r="I3112" s="41" t="s">
        <v>25187</v>
      </c>
      <c r="J3112" s="41" t="s">
        <v>25188</v>
      </c>
      <c r="K3112" s="41" t="s">
        <v>25189</v>
      </c>
      <c r="L3112" s="41" t="s">
        <v>25190</v>
      </c>
      <c r="M3112" s="41" t="s">
        <v>25191</v>
      </c>
      <c r="N3112" s="41" t="s">
        <v>25192</v>
      </c>
      <c r="O3112" s="41" t="s">
        <v>25193</v>
      </c>
      <c r="P3112" s="41" t="s">
        <v>25194</v>
      </c>
      <c r="Q3112" s="41" t="s">
        <v>25195</v>
      </c>
      <c r="R3112" s="41" t="s">
        <v>25196</v>
      </c>
      <c r="S3112" s="41" t="s">
        <v>25197</v>
      </c>
    </row>
    <row r="3113" spans="1:19" x14ac:dyDescent="0.25">
      <c r="A3113" s="41" t="s">
        <v>23</v>
      </c>
      <c r="B3113" s="41" t="s">
        <v>25198</v>
      </c>
      <c r="D3113" s="41" t="s">
        <v>25199</v>
      </c>
      <c r="F3113" s="41" t="s">
        <v>25200</v>
      </c>
      <c r="G3113" s="41" t="s">
        <v>25201</v>
      </c>
      <c r="H3113" s="41" t="s">
        <v>25202</v>
      </c>
      <c r="I3113" s="41" t="s">
        <v>25203</v>
      </c>
      <c r="J3113" s="41" t="s">
        <v>25204</v>
      </c>
      <c r="K3113" s="41" t="s">
        <v>25205</v>
      </c>
      <c r="L3113" s="41" t="s">
        <v>891</v>
      </c>
    </row>
    <row r="3114" spans="1:19" x14ac:dyDescent="0.25">
      <c r="A3114" s="41" t="s">
        <v>23</v>
      </c>
      <c r="B3114" s="41" t="s">
        <v>25206</v>
      </c>
      <c r="D3114" s="41" t="s">
        <v>25207</v>
      </c>
      <c r="F3114" s="41" t="s">
        <v>25208</v>
      </c>
      <c r="G3114" s="41" t="s">
        <v>25209</v>
      </c>
      <c r="H3114" s="41" t="s">
        <v>25210</v>
      </c>
      <c r="I3114" s="41" t="s">
        <v>25211</v>
      </c>
      <c r="J3114" s="41" t="s">
        <v>25212</v>
      </c>
      <c r="K3114" s="41" t="s">
        <v>25213</v>
      </c>
      <c r="L3114" s="41" t="s">
        <v>1076</v>
      </c>
    </row>
    <row r="3115" spans="1:19" x14ac:dyDescent="0.25">
      <c r="A3115" s="41" t="s">
        <v>23</v>
      </c>
      <c r="B3115" s="41" t="s">
        <v>25214</v>
      </c>
      <c r="D3115" s="41" t="s">
        <v>25215</v>
      </c>
      <c r="F3115" s="41" t="s">
        <v>25216</v>
      </c>
      <c r="G3115" s="41" t="s">
        <v>25217</v>
      </c>
      <c r="H3115" s="41" t="s">
        <v>25218</v>
      </c>
      <c r="I3115" s="41" t="s">
        <v>25219</v>
      </c>
      <c r="J3115" s="41" t="s">
        <v>25220</v>
      </c>
      <c r="K3115" s="41" t="s">
        <v>25221</v>
      </c>
      <c r="L3115" s="41" t="s">
        <v>1085</v>
      </c>
    </row>
    <row r="3116" spans="1:19" x14ac:dyDescent="0.25">
      <c r="A3116" s="41" t="s">
        <v>23</v>
      </c>
      <c r="B3116" s="41" t="s">
        <v>25222</v>
      </c>
      <c r="D3116" s="41" t="s">
        <v>25223</v>
      </c>
      <c r="F3116" s="41" t="s">
        <v>25224</v>
      </c>
      <c r="G3116" s="41" t="s">
        <v>25225</v>
      </c>
      <c r="H3116" s="41" t="s">
        <v>25226</v>
      </c>
      <c r="I3116" s="41" t="s">
        <v>25227</v>
      </c>
      <c r="J3116" s="41" t="s">
        <v>25228</v>
      </c>
      <c r="K3116" s="41" t="s">
        <v>25229</v>
      </c>
      <c r="L3116" s="41" t="s">
        <v>1094</v>
      </c>
    </row>
    <row r="3117" spans="1:19" x14ac:dyDescent="0.25">
      <c r="A3117" s="41" t="s">
        <v>908</v>
      </c>
      <c r="B3117" s="41" t="s">
        <v>25230</v>
      </c>
    </row>
    <row r="3118" spans="1:19" x14ac:dyDescent="0.25">
      <c r="A3118" s="41" t="s">
        <v>23</v>
      </c>
      <c r="B3118" s="41" t="s">
        <v>25231</v>
      </c>
      <c r="F3118" s="41" t="s">
        <v>25232</v>
      </c>
      <c r="G3118" s="41" t="s">
        <v>25233</v>
      </c>
      <c r="H3118" s="41" t="s">
        <v>25234</v>
      </c>
      <c r="I3118" s="41" t="s">
        <v>25235</v>
      </c>
      <c r="J3118" s="41" t="s">
        <v>25236</v>
      </c>
      <c r="L3118" s="41" t="s">
        <v>4</v>
      </c>
    </row>
    <row r="3119" spans="1:19" x14ac:dyDescent="0.25">
      <c r="A3119" s="41" t="s">
        <v>23</v>
      </c>
      <c r="B3119" s="41" t="s">
        <v>25237</v>
      </c>
      <c r="D3119" s="41" t="s">
        <v>25070</v>
      </c>
      <c r="E3119" s="41" t="s">
        <v>25239</v>
      </c>
      <c r="F3119" s="41" t="s">
        <v>25240</v>
      </c>
      <c r="G3119" s="41" t="s">
        <v>25241</v>
      </c>
      <c r="H3119" s="41" t="s">
        <v>25242</v>
      </c>
      <c r="I3119" s="41" t="s">
        <v>25243</v>
      </c>
      <c r="J3119" s="41" t="s">
        <v>25244</v>
      </c>
      <c r="K3119" s="41" t="s">
        <v>25245</v>
      </c>
      <c r="L3119" s="41" t="s">
        <v>25246</v>
      </c>
      <c r="M3119" s="41" t="s">
        <v>25247</v>
      </c>
      <c r="N3119" s="41" t="s">
        <v>25248</v>
      </c>
      <c r="O3119" s="41" t="s">
        <v>25249</v>
      </c>
      <c r="P3119" s="41" t="s">
        <v>25250</v>
      </c>
      <c r="Q3119" s="41" t="s">
        <v>25251</v>
      </c>
      <c r="R3119" s="41" t="s">
        <v>25252</v>
      </c>
      <c r="S3119" s="41" t="s">
        <v>25253</v>
      </c>
    </row>
    <row r="3120" spans="1:19" x14ac:dyDescent="0.25">
      <c r="A3120" s="41" t="s">
        <v>23</v>
      </c>
      <c r="B3120" s="41" t="s">
        <v>25254</v>
      </c>
      <c r="D3120" s="41" t="s">
        <v>25255</v>
      </c>
      <c r="F3120" s="41" t="s">
        <v>25256</v>
      </c>
      <c r="G3120" s="41" t="s">
        <v>25257</v>
      </c>
      <c r="H3120" s="41" t="s">
        <v>25258</v>
      </c>
      <c r="I3120" s="41" t="s">
        <v>25259</v>
      </c>
      <c r="J3120" s="41" t="s">
        <v>25260</v>
      </c>
      <c r="K3120" s="41" t="s">
        <v>25261</v>
      </c>
      <c r="L3120" s="41" t="s">
        <v>891</v>
      </c>
    </row>
    <row r="3121" spans="1:19" x14ac:dyDescent="0.25">
      <c r="A3121" s="41" t="s">
        <v>23</v>
      </c>
      <c r="B3121" s="41" t="s">
        <v>25262</v>
      </c>
      <c r="D3121" s="41" t="s">
        <v>25263</v>
      </c>
      <c r="F3121" s="41" t="s">
        <v>25264</v>
      </c>
      <c r="G3121" s="41" t="s">
        <v>25265</v>
      </c>
      <c r="H3121" s="41" t="s">
        <v>25266</v>
      </c>
      <c r="I3121" s="41" t="s">
        <v>25267</v>
      </c>
      <c r="J3121" s="41" t="s">
        <v>25268</v>
      </c>
      <c r="K3121" s="41" t="s">
        <v>25269</v>
      </c>
      <c r="L3121" s="41" t="s">
        <v>1076</v>
      </c>
    </row>
    <row r="3122" spans="1:19" x14ac:dyDescent="0.25">
      <c r="A3122" s="41" t="s">
        <v>23</v>
      </c>
      <c r="B3122" s="41" t="s">
        <v>25270</v>
      </c>
      <c r="D3122" s="41" t="s">
        <v>25271</v>
      </c>
      <c r="F3122" s="41" t="s">
        <v>25272</v>
      </c>
      <c r="G3122" s="41" t="s">
        <v>25273</v>
      </c>
      <c r="H3122" s="41" t="s">
        <v>25274</v>
      </c>
      <c r="I3122" s="41" t="s">
        <v>25275</v>
      </c>
      <c r="J3122" s="41" t="s">
        <v>25276</v>
      </c>
      <c r="K3122" s="41" t="s">
        <v>25277</v>
      </c>
      <c r="L3122" s="41" t="s">
        <v>1085</v>
      </c>
    </row>
    <row r="3123" spans="1:19" x14ac:dyDescent="0.25">
      <c r="A3123" s="41" t="s">
        <v>23</v>
      </c>
      <c r="B3123" s="41" t="s">
        <v>25278</v>
      </c>
      <c r="D3123" s="41" t="s">
        <v>25279</v>
      </c>
      <c r="F3123" s="41" t="s">
        <v>25280</v>
      </c>
      <c r="G3123" s="41" t="s">
        <v>25281</v>
      </c>
      <c r="H3123" s="41" t="s">
        <v>25282</v>
      </c>
      <c r="I3123" s="41" t="s">
        <v>25283</v>
      </c>
      <c r="J3123" s="41" t="s">
        <v>25284</v>
      </c>
      <c r="K3123" s="41" t="s">
        <v>25285</v>
      </c>
      <c r="L3123" s="41" t="s">
        <v>1094</v>
      </c>
    </row>
    <row r="3124" spans="1:19" x14ac:dyDescent="0.25">
      <c r="A3124" s="41" t="s">
        <v>908</v>
      </c>
      <c r="B3124" s="41" t="s">
        <v>25286</v>
      </c>
    </row>
    <row r="3125" spans="1:19" x14ac:dyDescent="0.25">
      <c r="A3125" s="41" t="s">
        <v>23</v>
      </c>
      <c r="B3125" s="41" t="s">
        <v>25287</v>
      </c>
      <c r="F3125" s="41" t="s">
        <v>25288</v>
      </c>
      <c r="G3125" s="41" t="s">
        <v>25289</v>
      </c>
      <c r="H3125" s="41" t="s">
        <v>25290</v>
      </c>
      <c r="I3125" s="41" t="s">
        <v>25291</v>
      </c>
      <c r="J3125" s="41" t="s">
        <v>25292</v>
      </c>
      <c r="L3125" s="41" t="s">
        <v>4</v>
      </c>
    </row>
    <row r="3126" spans="1:19" x14ac:dyDescent="0.25">
      <c r="A3126" s="41" t="s">
        <v>23</v>
      </c>
      <c r="B3126" s="41" t="s">
        <v>25293</v>
      </c>
      <c r="D3126" s="41" t="s">
        <v>25126</v>
      </c>
      <c r="E3126" s="41" t="s">
        <v>25295</v>
      </c>
      <c r="F3126" s="41" t="s">
        <v>25296</v>
      </c>
      <c r="G3126" s="41" t="s">
        <v>25297</v>
      </c>
      <c r="H3126" s="41" t="s">
        <v>25298</v>
      </c>
      <c r="I3126" s="41" t="s">
        <v>25299</v>
      </c>
      <c r="J3126" s="41" t="s">
        <v>25300</v>
      </c>
      <c r="K3126" s="41" t="s">
        <v>25301</v>
      </c>
      <c r="L3126" s="41" t="s">
        <v>25302</v>
      </c>
      <c r="M3126" s="41" t="s">
        <v>25303</v>
      </c>
      <c r="N3126" s="41" t="s">
        <v>25304</v>
      </c>
      <c r="O3126" s="41" t="s">
        <v>25305</v>
      </c>
      <c r="P3126" s="41" t="s">
        <v>25306</v>
      </c>
      <c r="Q3126" s="41" t="s">
        <v>25307</v>
      </c>
      <c r="R3126" s="41" t="s">
        <v>25308</v>
      </c>
      <c r="S3126" s="41" t="s">
        <v>25309</v>
      </c>
    </row>
    <row r="3127" spans="1:19" x14ac:dyDescent="0.25">
      <c r="A3127" s="41" t="s">
        <v>23</v>
      </c>
      <c r="B3127" s="41" t="s">
        <v>25310</v>
      </c>
      <c r="D3127" s="41" t="s">
        <v>25311</v>
      </c>
      <c r="F3127" s="41" t="s">
        <v>25312</v>
      </c>
      <c r="G3127" s="41" t="s">
        <v>25313</v>
      </c>
      <c r="H3127" s="41" t="s">
        <v>25314</v>
      </c>
      <c r="I3127" s="41" t="s">
        <v>25315</v>
      </c>
      <c r="J3127" s="41" t="s">
        <v>25316</v>
      </c>
      <c r="K3127" s="41" t="s">
        <v>25317</v>
      </c>
      <c r="L3127" s="41" t="s">
        <v>891</v>
      </c>
    </row>
    <row r="3128" spans="1:19" x14ac:dyDescent="0.25">
      <c r="A3128" s="41" t="s">
        <v>23</v>
      </c>
      <c r="B3128" s="41" t="s">
        <v>25318</v>
      </c>
      <c r="D3128" s="41" t="s">
        <v>25319</v>
      </c>
      <c r="F3128" s="41" t="s">
        <v>25320</v>
      </c>
      <c r="G3128" s="41" t="s">
        <v>25321</v>
      </c>
      <c r="H3128" s="41" t="s">
        <v>25322</v>
      </c>
      <c r="I3128" s="41" t="s">
        <v>25323</v>
      </c>
      <c r="J3128" s="41" t="s">
        <v>25324</v>
      </c>
      <c r="K3128" s="41" t="s">
        <v>25325</v>
      </c>
      <c r="L3128" s="41" t="s">
        <v>1076</v>
      </c>
    </row>
    <row r="3129" spans="1:19" x14ac:dyDescent="0.25">
      <c r="A3129" s="41" t="s">
        <v>23</v>
      </c>
      <c r="B3129" s="41" t="s">
        <v>25326</v>
      </c>
      <c r="D3129" s="41" t="s">
        <v>25327</v>
      </c>
      <c r="F3129" s="41" t="s">
        <v>25328</v>
      </c>
      <c r="G3129" s="41" t="s">
        <v>25329</v>
      </c>
      <c r="H3129" s="41" t="s">
        <v>25330</v>
      </c>
      <c r="I3129" s="41" t="s">
        <v>25331</v>
      </c>
      <c r="J3129" s="41" t="s">
        <v>25332</v>
      </c>
      <c r="K3129" s="41" t="s">
        <v>25333</v>
      </c>
      <c r="L3129" s="41" t="s">
        <v>1085</v>
      </c>
    </row>
    <row r="3130" spans="1:19" x14ac:dyDescent="0.25">
      <c r="A3130" s="41" t="s">
        <v>23</v>
      </c>
      <c r="B3130" s="41" t="s">
        <v>25334</v>
      </c>
      <c r="D3130" s="41" t="s">
        <v>25335</v>
      </c>
      <c r="F3130" s="41" t="s">
        <v>25336</v>
      </c>
      <c r="G3130" s="41" t="s">
        <v>25337</v>
      </c>
      <c r="H3130" s="41" t="s">
        <v>25338</v>
      </c>
      <c r="I3130" s="41" t="s">
        <v>25339</v>
      </c>
      <c r="J3130" s="41" t="s">
        <v>25340</v>
      </c>
      <c r="K3130" s="41" t="s">
        <v>25341</v>
      </c>
      <c r="L3130" s="41" t="s">
        <v>1094</v>
      </c>
    </row>
    <row r="3131" spans="1:19" x14ac:dyDescent="0.25">
      <c r="A3131" s="41" t="s">
        <v>908</v>
      </c>
      <c r="B3131" s="41" t="s">
        <v>25342</v>
      </c>
    </row>
    <row r="3132" spans="1:19" x14ac:dyDescent="0.25">
      <c r="A3132" s="41" t="s">
        <v>23</v>
      </c>
      <c r="B3132" s="41" t="s">
        <v>25343</v>
      </c>
      <c r="F3132" s="41" t="s">
        <v>25344</v>
      </c>
      <c r="G3132" s="41" t="s">
        <v>25345</v>
      </c>
      <c r="H3132" s="41" t="s">
        <v>25346</v>
      </c>
      <c r="I3132" s="41" t="s">
        <v>25347</v>
      </c>
      <c r="J3132" s="41" t="s">
        <v>25348</v>
      </c>
      <c r="L3132" s="41" t="s">
        <v>4</v>
      </c>
    </row>
    <row r="3133" spans="1:19" x14ac:dyDescent="0.25">
      <c r="A3133" s="41" t="s">
        <v>23</v>
      </c>
      <c r="B3133" s="41" t="s">
        <v>25349</v>
      </c>
      <c r="D3133" s="41" t="s">
        <v>25182</v>
      </c>
      <c r="E3133" s="41" t="s">
        <v>25351</v>
      </c>
      <c r="F3133" s="41" t="s">
        <v>25352</v>
      </c>
      <c r="G3133" s="41" t="s">
        <v>25353</v>
      </c>
      <c r="H3133" s="41" t="s">
        <v>25354</v>
      </c>
      <c r="I3133" s="41" t="s">
        <v>25355</v>
      </c>
      <c r="J3133" s="41" t="s">
        <v>25356</v>
      </c>
      <c r="K3133" s="41" t="s">
        <v>25357</v>
      </c>
      <c r="L3133" s="41" t="s">
        <v>25358</v>
      </c>
      <c r="M3133" s="41" t="s">
        <v>25359</v>
      </c>
      <c r="N3133" s="41" t="s">
        <v>25360</v>
      </c>
      <c r="O3133" s="41" t="s">
        <v>25361</v>
      </c>
      <c r="P3133" s="41" t="s">
        <v>25362</v>
      </c>
      <c r="Q3133" s="41" t="s">
        <v>25363</v>
      </c>
      <c r="R3133" s="41" t="s">
        <v>25364</v>
      </c>
      <c r="S3133" s="41" t="s">
        <v>25365</v>
      </c>
    </row>
    <row r="3134" spans="1:19" x14ac:dyDescent="0.25">
      <c r="A3134" s="41" t="s">
        <v>23</v>
      </c>
      <c r="B3134" s="41" t="s">
        <v>25366</v>
      </c>
      <c r="D3134" s="41" t="s">
        <v>25367</v>
      </c>
      <c r="F3134" s="41" t="s">
        <v>25368</v>
      </c>
      <c r="G3134" s="41" t="s">
        <v>25369</v>
      </c>
      <c r="H3134" s="41" t="s">
        <v>25370</v>
      </c>
      <c r="I3134" s="41" t="s">
        <v>25371</v>
      </c>
      <c r="J3134" s="41" t="s">
        <v>25372</v>
      </c>
      <c r="K3134" s="41" t="s">
        <v>25373</v>
      </c>
      <c r="L3134" s="41" t="s">
        <v>891</v>
      </c>
    </row>
    <row r="3135" spans="1:19" x14ac:dyDescent="0.25">
      <c r="A3135" s="41" t="s">
        <v>23</v>
      </c>
      <c r="B3135" s="41" t="s">
        <v>25374</v>
      </c>
      <c r="D3135" s="41" t="s">
        <v>25375</v>
      </c>
      <c r="F3135" s="41" t="s">
        <v>25376</v>
      </c>
      <c r="G3135" s="41" t="s">
        <v>25377</v>
      </c>
      <c r="H3135" s="41" t="s">
        <v>25378</v>
      </c>
      <c r="I3135" s="41" t="s">
        <v>25379</v>
      </c>
      <c r="J3135" s="41" t="s">
        <v>25380</v>
      </c>
      <c r="K3135" s="41" t="s">
        <v>25381</v>
      </c>
      <c r="L3135" s="41" t="s">
        <v>1076</v>
      </c>
    </row>
    <row r="3136" spans="1:19" x14ac:dyDescent="0.25">
      <c r="A3136" s="41" t="s">
        <v>23</v>
      </c>
      <c r="B3136" s="41" t="s">
        <v>25382</v>
      </c>
      <c r="D3136" s="41" t="s">
        <v>25383</v>
      </c>
      <c r="F3136" s="41" t="s">
        <v>25384</v>
      </c>
      <c r="G3136" s="41" t="s">
        <v>25385</v>
      </c>
      <c r="H3136" s="41" t="s">
        <v>25386</v>
      </c>
      <c r="I3136" s="41" t="s">
        <v>25387</v>
      </c>
      <c r="J3136" s="41" t="s">
        <v>25388</v>
      </c>
      <c r="K3136" s="41" t="s">
        <v>25389</v>
      </c>
      <c r="L3136" s="41" t="s">
        <v>1085</v>
      </c>
    </row>
    <row r="3137" spans="1:19" x14ac:dyDescent="0.25">
      <c r="A3137" s="41" t="s">
        <v>23</v>
      </c>
      <c r="B3137" s="41" t="s">
        <v>25390</v>
      </c>
      <c r="D3137" s="41" t="s">
        <v>25391</v>
      </c>
      <c r="F3137" s="41" t="s">
        <v>25392</v>
      </c>
      <c r="G3137" s="41" t="s">
        <v>25393</v>
      </c>
      <c r="H3137" s="41" t="s">
        <v>25394</v>
      </c>
      <c r="I3137" s="41" t="s">
        <v>25395</v>
      </c>
      <c r="J3137" s="41" t="s">
        <v>25396</v>
      </c>
      <c r="K3137" s="41" t="s">
        <v>25397</v>
      </c>
      <c r="L3137" s="41" t="s">
        <v>1094</v>
      </c>
    </row>
    <row r="3138" spans="1:19" x14ac:dyDescent="0.25">
      <c r="A3138" s="41" t="s">
        <v>908</v>
      </c>
      <c r="B3138" s="41" t="s">
        <v>25398</v>
      </c>
    </row>
    <row r="3139" spans="1:19" x14ac:dyDescent="0.25">
      <c r="A3139" s="41" t="s">
        <v>23</v>
      </c>
      <c r="B3139" s="41" t="s">
        <v>25399</v>
      </c>
      <c r="F3139" s="41" t="s">
        <v>25400</v>
      </c>
      <c r="G3139" s="41" t="s">
        <v>25401</v>
      </c>
      <c r="H3139" s="41" t="s">
        <v>25402</v>
      </c>
      <c r="I3139" s="41" t="s">
        <v>25403</v>
      </c>
      <c r="J3139" s="41" t="s">
        <v>25404</v>
      </c>
      <c r="L3139" s="41" t="s">
        <v>4</v>
      </c>
    </row>
    <row r="3140" spans="1:19" x14ac:dyDescent="0.25">
      <c r="A3140" s="41" t="s">
        <v>23</v>
      </c>
      <c r="B3140" s="41" t="s">
        <v>25405</v>
      </c>
      <c r="D3140" s="41" t="s">
        <v>25238</v>
      </c>
      <c r="E3140" s="41" t="s">
        <v>25407</v>
      </c>
      <c r="F3140" s="41" t="s">
        <v>25408</v>
      </c>
      <c r="G3140" s="41" t="s">
        <v>25409</v>
      </c>
      <c r="H3140" s="41" t="s">
        <v>25410</v>
      </c>
      <c r="I3140" s="41" t="s">
        <v>25411</v>
      </c>
      <c r="J3140" s="41" t="s">
        <v>25412</v>
      </c>
      <c r="K3140" s="41" t="s">
        <v>25413</v>
      </c>
      <c r="L3140" s="41" t="s">
        <v>25414</v>
      </c>
      <c r="M3140" s="41" t="s">
        <v>25415</v>
      </c>
      <c r="N3140" s="41" t="s">
        <v>25416</v>
      </c>
      <c r="O3140" s="41" t="s">
        <v>25417</v>
      </c>
      <c r="P3140" s="41" t="s">
        <v>25418</v>
      </c>
      <c r="Q3140" s="41" t="s">
        <v>25419</v>
      </c>
      <c r="R3140" s="41" t="s">
        <v>25420</v>
      </c>
      <c r="S3140" s="41" t="s">
        <v>25421</v>
      </c>
    </row>
    <row r="3141" spans="1:19" x14ac:dyDescent="0.25">
      <c r="A3141" s="41" t="s">
        <v>23</v>
      </c>
      <c r="B3141" s="41" t="s">
        <v>25422</v>
      </c>
      <c r="D3141" s="41" t="s">
        <v>25423</v>
      </c>
      <c r="F3141" s="41" t="s">
        <v>25424</v>
      </c>
      <c r="G3141" s="41" t="s">
        <v>25425</v>
      </c>
      <c r="H3141" s="41" t="s">
        <v>25426</v>
      </c>
      <c r="I3141" s="41" t="s">
        <v>25427</v>
      </c>
      <c r="J3141" s="41" t="s">
        <v>25428</v>
      </c>
      <c r="K3141" s="41" t="s">
        <v>25429</v>
      </c>
      <c r="L3141" s="41" t="s">
        <v>891</v>
      </c>
    </row>
    <row r="3142" spans="1:19" x14ac:dyDescent="0.25">
      <c r="A3142" s="41" t="s">
        <v>23</v>
      </c>
      <c r="B3142" s="41" t="s">
        <v>25430</v>
      </c>
      <c r="D3142" s="41" t="s">
        <v>25431</v>
      </c>
      <c r="F3142" s="41" t="s">
        <v>25432</v>
      </c>
      <c r="G3142" s="41" t="s">
        <v>25433</v>
      </c>
      <c r="H3142" s="41" t="s">
        <v>25434</v>
      </c>
      <c r="I3142" s="41" t="s">
        <v>25435</v>
      </c>
      <c r="J3142" s="41" t="s">
        <v>25436</v>
      </c>
      <c r="K3142" s="41" t="s">
        <v>25437</v>
      </c>
      <c r="L3142" s="41" t="s">
        <v>1076</v>
      </c>
    </row>
    <row r="3143" spans="1:19" x14ac:dyDescent="0.25">
      <c r="A3143" s="41" t="s">
        <v>23</v>
      </c>
      <c r="B3143" s="41" t="s">
        <v>25438</v>
      </c>
      <c r="D3143" s="41" t="s">
        <v>25439</v>
      </c>
      <c r="F3143" s="41" t="s">
        <v>25440</v>
      </c>
      <c r="G3143" s="41" t="s">
        <v>25441</v>
      </c>
      <c r="H3143" s="41" t="s">
        <v>25442</v>
      </c>
      <c r="I3143" s="41" t="s">
        <v>25443</v>
      </c>
      <c r="J3143" s="41" t="s">
        <v>25444</v>
      </c>
      <c r="K3143" s="41" t="s">
        <v>25445</v>
      </c>
      <c r="L3143" s="41" t="s">
        <v>1085</v>
      </c>
    </row>
    <row r="3144" spans="1:19" x14ac:dyDescent="0.25">
      <c r="A3144" s="41" t="s">
        <v>23</v>
      </c>
      <c r="B3144" s="41" t="s">
        <v>25446</v>
      </c>
      <c r="D3144" s="41" t="s">
        <v>25447</v>
      </c>
      <c r="F3144" s="41" t="s">
        <v>25448</v>
      </c>
      <c r="G3144" s="41" t="s">
        <v>25449</v>
      </c>
      <c r="H3144" s="41" t="s">
        <v>25450</v>
      </c>
      <c r="I3144" s="41" t="s">
        <v>25451</v>
      </c>
      <c r="J3144" s="41" t="s">
        <v>25452</v>
      </c>
      <c r="K3144" s="41" t="s">
        <v>25453</v>
      </c>
      <c r="L3144" s="41" t="s">
        <v>1094</v>
      </c>
    </row>
    <row r="3145" spans="1:19" x14ac:dyDescent="0.25">
      <c r="A3145" s="41" t="s">
        <v>908</v>
      </c>
      <c r="B3145" s="41" t="s">
        <v>25454</v>
      </c>
    </row>
    <row r="3146" spans="1:19" x14ac:dyDescent="0.25">
      <c r="A3146" s="41" t="s">
        <v>23</v>
      </c>
      <c r="B3146" s="41" t="s">
        <v>25455</v>
      </c>
      <c r="F3146" s="41" t="s">
        <v>25456</v>
      </c>
      <c r="G3146" s="41" t="s">
        <v>25457</v>
      </c>
      <c r="H3146" s="41" t="s">
        <v>25458</v>
      </c>
      <c r="I3146" s="41" t="s">
        <v>25459</v>
      </c>
      <c r="J3146" s="41" t="s">
        <v>25460</v>
      </c>
      <c r="L3146" s="41" t="s">
        <v>4</v>
      </c>
    </row>
    <row r="3147" spans="1:19" x14ac:dyDescent="0.25">
      <c r="A3147" s="41" t="s">
        <v>23</v>
      </c>
      <c r="B3147" s="41" t="s">
        <v>25461</v>
      </c>
      <c r="D3147" s="41" t="s">
        <v>25294</v>
      </c>
      <c r="E3147" s="41" t="s">
        <v>25463</v>
      </c>
      <c r="F3147" s="41" t="s">
        <v>25464</v>
      </c>
      <c r="G3147" s="41" t="s">
        <v>25465</v>
      </c>
      <c r="H3147" s="41" t="s">
        <v>25466</v>
      </c>
      <c r="I3147" s="41" t="s">
        <v>25467</v>
      </c>
      <c r="J3147" s="41" t="s">
        <v>25468</v>
      </c>
      <c r="K3147" s="41" t="s">
        <v>25469</v>
      </c>
      <c r="L3147" s="41" t="s">
        <v>25470</v>
      </c>
      <c r="M3147" s="41" t="s">
        <v>25471</v>
      </c>
      <c r="N3147" s="41" t="s">
        <v>25472</v>
      </c>
      <c r="O3147" s="41" t="s">
        <v>25473</v>
      </c>
      <c r="P3147" s="41" t="s">
        <v>25474</v>
      </c>
      <c r="Q3147" s="41" t="s">
        <v>25475</v>
      </c>
      <c r="R3147" s="41" t="s">
        <v>25476</v>
      </c>
      <c r="S3147" s="41" t="s">
        <v>25477</v>
      </c>
    </row>
    <row r="3148" spans="1:19" x14ac:dyDescent="0.25">
      <c r="A3148" s="41" t="s">
        <v>23</v>
      </c>
      <c r="B3148" s="41" t="s">
        <v>25478</v>
      </c>
      <c r="D3148" s="41" t="s">
        <v>25479</v>
      </c>
      <c r="F3148" s="41" t="s">
        <v>25480</v>
      </c>
      <c r="G3148" s="41" t="s">
        <v>25481</v>
      </c>
      <c r="H3148" s="41" t="s">
        <v>25482</v>
      </c>
      <c r="I3148" s="41" t="s">
        <v>25483</v>
      </c>
      <c r="J3148" s="41" t="s">
        <v>25484</v>
      </c>
      <c r="K3148" s="41" t="s">
        <v>25485</v>
      </c>
      <c r="L3148" s="41" t="s">
        <v>891</v>
      </c>
    </row>
    <row r="3149" spans="1:19" x14ac:dyDescent="0.25">
      <c r="A3149" s="41" t="s">
        <v>23</v>
      </c>
      <c r="B3149" s="41" t="s">
        <v>25486</v>
      </c>
      <c r="D3149" s="41" t="s">
        <v>25487</v>
      </c>
      <c r="F3149" s="41" t="s">
        <v>25488</v>
      </c>
      <c r="G3149" s="41" t="s">
        <v>25489</v>
      </c>
      <c r="H3149" s="41" t="s">
        <v>25490</v>
      </c>
      <c r="I3149" s="41" t="s">
        <v>25491</v>
      </c>
      <c r="J3149" s="41" t="s">
        <v>25492</v>
      </c>
      <c r="K3149" s="41" t="s">
        <v>25493</v>
      </c>
      <c r="L3149" s="41" t="s">
        <v>1076</v>
      </c>
    </row>
    <row r="3150" spans="1:19" x14ac:dyDescent="0.25">
      <c r="A3150" s="41" t="s">
        <v>23</v>
      </c>
      <c r="B3150" s="41" t="s">
        <v>25494</v>
      </c>
      <c r="D3150" s="41" t="s">
        <v>25495</v>
      </c>
      <c r="F3150" s="41" t="s">
        <v>25496</v>
      </c>
      <c r="G3150" s="41" t="s">
        <v>25497</v>
      </c>
      <c r="H3150" s="41" t="s">
        <v>25498</v>
      </c>
      <c r="I3150" s="41" t="s">
        <v>25499</v>
      </c>
      <c r="J3150" s="41" t="s">
        <v>25500</v>
      </c>
      <c r="K3150" s="41" t="s">
        <v>25501</v>
      </c>
      <c r="L3150" s="41" t="s">
        <v>1085</v>
      </c>
    </row>
    <row r="3151" spans="1:19" x14ac:dyDescent="0.25">
      <c r="A3151" s="41" t="s">
        <v>23</v>
      </c>
      <c r="B3151" s="41" t="s">
        <v>25502</v>
      </c>
      <c r="D3151" s="41" t="s">
        <v>25503</v>
      </c>
      <c r="F3151" s="41" t="s">
        <v>25504</v>
      </c>
      <c r="G3151" s="41" t="s">
        <v>25505</v>
      </c>
      <c r="H3151" s="41" t="s">
        <v>25506</v>
      </c>
      <c r="I3151" s="41" t="s">
        <v>25507</v>
      </c>
      <c r="J3151" s="41" t="s">
        <v>25508</v>
      </c>
      <c r="K3151" s="41" t="s">
        <v>25509</v>
      </c>
      <c r="L3151" s="41" t="s">
        <v>1094</v>
      </c>
    </row>
    <row r="3152" spans="1:19" x14ac:dyDescent="0.25">
      <c r="A3152" s="41" t="s">
        <v>908</v>
      </c>
      <c r="B3152" s="41" t="s">
        <v>25510</v>
      </c>
    </row>
    <row r="3153" spans="1:19" x14ac:dyDescent="0.25">
      <c r="A3153" s="41" t="s">
        <v>23</v>
      </c>
      <c r="B3153" s="41" t="s">
        <v>25511</v>
      </c>
      <c r="F3153" s="41" t="s">
        <v>25512</v>
      </c>
      <c r="G3153" s="41" t="s">
        <v>25513</v>
      </c>
      <c r="H3153" s="41" t="s">
        <v>25514</v>
      </c>
      <c r="I3153" s="41" t="s">
        <v>25515</v>
      </c>
      <c r="J3153" s="41" t="s">
        <v>25516</v>
      </c>
      <c r="L3153" s="41" t="s">
        <v>4</v>
      </c>
    </row>
    <row r="3154" spans="1:19" x14ac:dyDescent="0.25">
      <c r="A3154" s="41" t="s">
        <v>23</v>
      </c>
      <c r="B3154" s="41" t="s">
        <v>25517</v>
      </c>
      <c r="D3154" s="41" t="s">
        <v>25350</v>
      </c>
      <c r="E3154" s="41" t="s">
        <v>25519</v>
      </c>
      <c r="F3154" s="41" t="s">
        <v>25520</v>
      </c>
      <c r="G3154" s="41" t="s">
        <v>25521</v>
      </c>
      <c r="H3154" s="41" t="s">
        <v>25522</v>
      </c>
      <c r="I3154" s="41" t="s">
        <v>25523</v>
      </c>
      <c r="J3154" s="41" t="s">
        <v>25524</v>
      </c>
      <c r="K3154" s="41" t="s">
        <v>25525</v>
      </c>
      <c r="L3154" s="41" t="s">
        <v>25526</v>
      </c>
      <c r="M3154" s="41" t="s">
        <v>25527</v>
      </c>
      <c r="N3154" s="41" t="s">
        <v>25528</v>
      </c>
      <c r="O3154" s="41" t="s">
        <v>25529</v>
      </c>
      <c r="P3154" s="41" t="s">
        <v>25530</v>
      </c>
      <c r="Q3154" s="41" t="s">
        <v>25531</v>
      </c>
      <c r="R3154" s="41" t="s">
        <v>25532</v>
      </c>
      <c r="S3154" s="41" t="s">
        <v>25533</v>
      </c>
    </row>
    <row r="3155" spans="1:19" x14ac:dyDescent="0.25">
      <c r="A3155" s="41" t="s">
        <v>23</v>
      </c>
      <c r="B3155" s="41" t="s">
        <v>25534</v>
      </c>
      <c r="D3155" s="41" t="s">
        <v>25535</v>
      </c>
      <c r="F3155" s="41" t="s">
        <v>25536</v>
      </c>
      <c r="G3155" s="41" t="s">
        <v>25537</v>
      </c>
      <c r="H3155" s="41" t="s">
        <v>25538</v>
      </c>
      <c r="I3155" s="41" t="s">
        <v>25539</v>
      </c>
      <c r="J3155" s="41" t="s">
        <v>25540</v>
      </c>
      <c r="K3155" s="41" t="s">
        <v>25541</v>
      </c>
      <c r="L3155" s="41" t="s">
        <v>891</v>
      </c>
    </row>
    <row r="3156" spans="1:19" x14ac:dyDescent="0.25">
      <c r="A3156" s="41" t="s">
        <v>23</v>
      </c>
      <c r="B3156" s="41" t="s">
        <v>25542</v>
      </c>
      <c r="D3156" s="41" t="s">
        <v>25543</v>
      </c>
      <c r="F3156" s="41" t="s">
        <v>25544</v>
      </c>
      <c r="G3156" s="41" t="s">
        <v>25545</v>
      </c>
      <c r="H3156" s="41" t="s">
        <v>25546</v>
      </c>
      <c r="I3156" s="41" t="s">
        <v>25547</v>
      </c>
      <c r="J3156" s="41" t="s">
        <v>25548</v>
      </c>
      <c r="K3156" s="41" t="s">
        <v>25549</v>
      </c>
      <c r="L3156" s="41" t="s">
        <v>1076</v>
      </c>
    </row>
    <row r="3157" spans="1:19" x14ac:dyDescent="0.25">
      <c r="A3157" s="41" t="s">
        <v>23</v>
      </c>
      <c r="B3157" s="41" t="s">
        <v>25550</v>
      </c>
      <c r="D3157" s="41" t="s">
        <v>25551</v>
      </c>
      <c r="F3157" s="41" t="s">
        <v>25552</v>
      </c>
      <c r="G3157" s="41" t="s">
        <v>25553</v>
      </c>
      <c r="H3157" s="41" t="s">
        <v>25554</v>
      </c>
      <c r="I3157" s="41" t="s">
        <v>25555</v>
      </c>
      <c r="J3157" s="41" t="s">
        <v>25556</v>
      </c>
      <c r="K3157" s="41" t="s">
        <v>25557</v>
      </c>
      <c r="L3157" s="41" t="s">
        <v>1085</v>
      </c>
    </row>
    <row r="3158" spans="1:19" x14ac:dyDescent="0.25">
      <c r="A3158" s="41" t="s">
        <v>23</v>
      </c>
      <c r="B3158" s="41" t="s">
        <v>25558</v>
      </c>
      <c r="D3158" s="41" t="s">
        <v>25559</v>
      </c>
      <c r="F3158" s="41" t="s">
        <v>25560</v>
      </c>
      <c r="G3158" s="41" t="s">
        <v>25561</v>
      </c>
      <c r="H3158" s="41" t="s">
        <v>25562</v>
      </c>
      <c r="I3158" s="41" t="s">
        <v>25563</v>
      </c>
      <c r="J3158" s="41" t="s">
        <v>25564</v>
      </c>
      <c r="K3158" s="41" t="s">
        <v>25565</v>
      </c>
      <c r="L3158" s="41" t="s">
        <v>1094</v>
      </c>
    </row>
    <row r="3159" spans="1:19" x14ac:dyDescent="0.25">
      <c r="A3159" s="41" t="s">
        <v>908</v>
      </c>
      <c r="B3159" s="41" t="s">
        <v>25566</v>
      </c>
    </row>
    <row r="3160" spans="1:19" x14ac:dyDescent="0.25">
      <c r="A3160" s="41" t="s">
        <v>23</v>
      </c>
      <c r="B3160" s="41" t="s">
        <v>25567</v>
      </c>
      <c r="F3160" s="41" t="s">
        <v>25568</v>
      </c>
      <c r="G3160" s="41" t="s">
        <v>25569</v>
      </c>
      <c r="H3160" s="41" t="s">
        <v>25570</v>
      </c>
      <c r="I3160" s="41" t="s">
        <v>25571</v>
      </c>
      <c r="J3160" s="41" t="s">
        <v>25572</v>
      </c>
      <c r="L3160" s="41" t="s">
        <v>4</v>
      </c>
    </row>
    <row r="3161" spans="1:19" x14ac:dyDescent="0.25">
      <c r="A3161" s="41" t="s">
        <v>23</v>
      </c>
      <c r="B3161" s="41" t="s">
        <v>25573</v>
      </c>
      <c r="D3161" s="41" t="s">
        <v>25406</v>
      </c>
      <c r="E3161" s="41" t="s">
        <v>25575</v>
      </c>
      <c r="F3161" s="41" t="s">
        <v>25576</v>
      </c>
      <c r="G3161" s="41" t="s">
        <v>25577</v>
      </c>
      <c r="H3161" s="41" t="s">
        <v>25578</v>
      </c>
      <c r="I3161" s="41" t="s">
        <v>25579</v>
      </c>
      <c r="J3161" s="41" t="s">
        <v>25580</v>
      </c>
      <c r="K3161" s="41" t="s">
        <v>25581</v>
      </c>
      <c r="L3161" s="41" t="s">
        <v>25582</v>
      </c>
      <c r="M3161" s="41" t="s">
        <v>25583</v>
      </c>
      <c r="N3161" s="41" t="s">
        <v>25584</v>
      </c>
      <c r="O3161" s="41" t="s">
        <v>25585</v>
      </c>
      <c r="P3161" s="41" t="s">
        <v>25586</v>
      </c>
      <c r="Q3161" s="41" t="s">
        <v>25587</v>
      </c>
      <c r="R3161" s="41" t="s">
        <v>25588</v>
      </c>
      <c r="S3161" s="41" t="s">
        <v>25589</v>
      </c>
    </row>
    <row r="3162" spans="1:19" x14ac:dyDescent="0.25">
      <c r="A3162" s="41" t="s">
        <v>23</v>
      </c>
      <c r="B3162" s="41" t="s">
        <v>25590</v>
      </c>
      <c r="D3162" s="41" t="s">
        <v>25591</v>
      </c>
      <c r="F3162" s="41" t="s">
        <v>25592</v>
      </c>
      <c r="G3162" s="41" t="s">
        <v>25593</v>
      </c>
      <c r="H3162" s="41" t="s">
        <v>25594</v>
      </c>
      <c r="I3162" s="41" t="s">
        <v>25595</v>
      </c>
      <c r="J3162" s="41" t="s">
        <v>25596</v>
      </c>
      <c r="K3162" s="41" t="s">
        <v>25597</v>
      </c>
      <c r="L3162" s="41" t="s">
        <v>891</v>
      </c>
    </row>
    <row r="3163" spans="1:19" x14ac:dyDescent="0.25">
      <c r="A3163" s="41" t="s">
        <v>23</v>
      </c>
      <c r="B3163" s="41" t="s">
        <v>25598</v>
      </c>
      <c r="D3163" s="41" t="s">
        <v>25599</v>
      </c>
      <c r="F3163" s="41" t="s">
        <v>25600</v>
      </c>
      <c r="G3163" s="41" t="s">
        <v>25601</v>
      </c>
      <c r="H3163" s="41" t="s">
        <v>25602</v>
      </c>
      <c r="I3163" s="41" t="s">
        <v>25603</v>
      </c>
      <c r="J3163" s="41" t="s">
        <v>25604</v>
      </c>
      <c r="K3163" s="41" t="s">
        <v>25605</v>
      </c>
      <c r="L3163" s="41" t="s">
        <v>1076</v>
      </c>
    </row>
    <row r="3164" spans="1:19" x14ac:dyDescent="0.25">
      <c r="A3164" s="41" t="s">
        <v>23</v>
      </c>
      <c r="B3164" s="41" t="s">
        <v>25606</v>
      </c>
      <c r="D3164" s="41" t="s">
        <v>25607</v>
      </c>
      <c r="F3164" s="41" t="s">
        <v>25608</v>
      </c>
      <c r="G3164" s="41" t="s">
        <v>25609</v>
      </c>
      <c r="H3164" s="41" t="s">
        <v>25610</v>
      </c>
      <c r="I3164" s="41" t="s">
        <v>25611</v>
      </c>
      <c r="J3164" s="41" t="s">
        <v>25612</v>
      </c>
      <c r="K3164" s="41" t="s">
        <v>25613</v>
      </c>
      <c r="L3164" s="41" t="s">
        <v>1085</v>
      </c>
    </row>
    <row r="3165" spans="1:19" x14ac:dyDescent="0.25">
      <c r="A3165" s="41" t="s">
        <v>23</v>
      </c>
      <c r="B3165" s="41" t="s">
        <v>25614</v>
      </c>
      <c r="D3165" s="41" t="s">
        <v>25615</v>
      </c>
      <c r="F3165" s="41" t="s">
        <v>25616</v>
      </c>
      <c r="G3165" s="41" t="s">
        <v>25617</v>
      </c>
      <c r="H3165" s="41" t="s">
        <v>25618</v>
      </c>
      <c r="I3165" s="41" t="s">
        <v>25619</v>
      </c>
      <c r="J3165" s="41" t="s">
        <v>25620</v>
      </c>
      <c r="K3165" s="41" t="s">
        <v>25621</v>
      </c>
      <c r="L3165" s="41" t="s">
        <v>1094</v>
      </c>
    </row>
    <row r="3166" spans="1:19" x14ac:dyDescent="0.25">
      <c r="A3166" s="41" t="s">
        <v>908</v>
      </c>
      <c r="B3166" s="41" t="s">
        <v>25622</v>
      </c>
    </row>
    <row r="3167" spans="1:19" x14ac:dyDescent="0.25">
      <c r="A3167" s="41" t="s">
        <v>23</v>
      </c>
      <c r="B3167" s="41" t="s">
        <v>25623</v>
      </c>
      <c r="F3167" s="41" t="s">
        <v>25624</v>
      </c>
      <c r="G3167" s="41" t="s">
        <v>25625</v>
      </c>
      <c r="H3167" s="41" t="s">
        <v>25626</v>
      </c>
      <c r="I3167" s="41" t="s">
        <v>25627</v>
      </c>
      <c r="J3167" s="41" t="s">
        <v>25628</v>
      </c>
      <c r="L3167" s="41" t="s">
        <v>4</v>
      </c>
    </row>
    <row r="3168" spans="1:19" x14ac:dyDescent="0.25">
      <c r="A3168" s="41" t="s">
        <v>23</v>
      </c>
      <c r="B3168" s="41" t="s">
        <v>25629</v>
      </c>
      <c r="D3168" s="41" t="s">
        <v>25462</v>
      </c>
      <c r="E3168" s="41" t="s">
        <v>25631</v>
      </c>
      <c r="F3168" s="41" t="s">
        <v>25632</v>
      </c>
      <c r="G3168" s="41" t="s">
        <v>25633</v>
      </c>
      <c r="H3168" s="41" t="s">
        <v>25634</v>
      </c>
      <c r="I3168" s="41" t="s">
        <v>25635</v>
      </c>
      <c r="J3168" s="41" t="s">
        <v>25636</v>
      </c>
      <c r="K3168" s="41" t="s">
        <v>25637</v>
      </c>
      <c r="L3168" s="41" t="s">
        <v>25638</v>
      </c>
      <c r="M3168" s="41" t="s">
        <v>25639</v>
      </c>
      <c r="N3168" s="41" t="s">
        <v>25640</v>
      </c>
      <c r="O3168" s="41" t="s">
        <v>25641</v>
      </c>
      <c r="P3168" s="41" t="s">
        <v>25642</v>
      </c>
      <c r="Q3168" s="41" t="s">
        <v>25643</v>
      </c>
      <c r="R3168" s="41" t="s">
        <v>25644</v>
      </c>
      <c r="S3168" s="41" t="s">
        <v>25645</v>
      </c>
    </row>
    <row r="3169" spans="1:19" x14ac:dyDescent="0.25">
      <c r="A3169" s="41" t="s">
        <v>23</v>
      </c>
      <c r="B3169" s="41" t="s">
        <v>25646</v>
      </c>
      <c r="D3169" s="41" t="s">
        <v>25647</v>
      </c>
      <c r="F3169" s="41" t="s">
        <v>25648</v>
      </c>
      <c r="G3169" s="41" t="s">
        <v>25649</v>
      </c>
      <c r="H3169" s="41" t="s">
        <v>25650</v>
      </c>
      <c r="I3169" s="41" t="s">
        <v>25651</v>
      </c>
      <c r="J3169" s="41" t="s">
        <v>25652</v>
      </c>
      <c r="K3169" s="41" t="s">
        <v>25653</v>
      </c>
      <c r="L3169" s="41" t="s">
        <v>891</v>
      </c>
    </row>
    <row r="3170" spans="1:19" x14ac:dyDescent="0.25">
      <c r="A3170" s="41" t="s">
        <v>23</v>
      </c>
      <c r="B3170" s="41" t="s">
        <v>25654</v>
      </c>
      <c r="D3170" s="41" t="s">
        <v>25655</v>
      </c>
      <c r="F3170" s="41" t="s">
        <v>25656</v>
      </c>
      <c r="G3170" s="41" t="s">
        <v>25657</v>
      </c>
      <c r="H3170" s="41" t="s">
        <v>25658</v>
      </c>
      <c r="I3170" s="41" t="s">
        <v>25659</v>
      </c>
      <c r="J3170" s="41" t="s">
        <v>25660</v>
      </c>
      <c r="K3170" s="41" t="s">
        <v>25661</v>
      </c>
      <c r="L3170" s="41" t="s">
        <v>1076</v>
      </c>
    </row>
    <row r="3171" spans="1:19" x14ac:dyDescent="0.25">
      <c r="A3171" s="41" t="s">
        <v>23</v>
      </c>
      <c r="B3171" s="41" t="s">
        <v>25662</v>
      </c>
      <c r="D3171" s="41" t="s">
        <v>25663</v>
      </c>
      <c r="F3171" s="41" t="s">
        <v>25664</v>
      </c>
      <c r="G3171" s="41" t="s">
        <v>25665</v>
      </c>
      <c r="H3171" s="41" t="s">
        <v>25666</v>
      </c>
      <c r="I3171" s="41" t="s">
        <v>25667</v>
      </c>
      <c r="J3171" s="41" t="s">
        <v>25668</v>
      </c>
      <c r="K3171" s="41" t="s">
        <v>25669</v>
      </c>
      <c r="L3171" s="41" t="s">
        <v>1085</v>
      </c>
    </row>
    <row r="3172" spans="1:19" x14ac:dyDescent="0.25">
      <c r="A3172" s="41" t="s">
        <v>23</v>
      </c>
      <c r="B3172" s="41" t="s">
        <v>25670</v>
      </c>
      <c r="D3172" s="41" t="s">
        <v>25671</v>
      </c>
      <c r="F3172" s="41" t="s">
        <v>25672</v>
      </c>
      <c r="G3172" s="41" t="s">
        <v>25673</v>
      </c>
      <c r="H3172" s="41" t="s">
        <v>25674</v>
      </c>
      <c r="I3172" s="41" t="s">
        <v>25675</v>
      </c>
      <c r="J3172" s="41" t="s">
        <v>25676</v>
      </c>
      <c r="K3172" s="41" t="s">
        <v>25677</v>
      </c>
      <c r="L3172" s="41" t="s">
        <v>1094</v>
      </c>
    </row>
    <row r="3173" spans="1:19" x14ac:dyDescent="0.25">
      <c r="A3173" s="41" t="s">
        <v>908</v>
      </c>
      <c r="B3173" s="41" t="s">
        <v>25678</v>
      </c>
    </row>
    <row r="3174" spans="1:19" x14ac:dyDescent="0.25">
      <c r="A3174" s="41" t="s">
        <v>23</v>
      </c>
      <c r="B3174" s="41" t="s">
        <v>25679</v>
      </c>
      <c r="F3174" s="41" t="s">
        <v>25680</v>
      </c>
      <c r="G3174" s="41" t="s">
        <v>25681</v>
      </c>
      <c r="H3174" s="41" t="s">
        <v>25682</v>
      </c>
      <c r="I3174" s="41" t="s">
        <v>25683</v>
      </c>
      <c r="J3174" s="41" t="s">
        <v>25684</v>
      </c>
      <c r="L3174" s="41" t="s">
        <v>4</v>
      </c>
    </row>
    <row r="3175" spans="1:19" x14ac:dyDescent="0.25">
      <c r="A3175" s="41" t="s">
        <v>23</v>
      </c>
      <c r="B3175" s="41" t="s">
        <v>25685</v>
      </c>
      <c r="D3175" s="41" t="s">
        <v>25518</v>
      </c>
      <c r="E3175" s="41" t="s">
        <v>25687</v>
      </c>
      <c r="F3175" s="41" t="s">
        <v>25688</v>
      </c>
      <c r="G3175" s="41" t="s">
        <v>25689</v>
      </c>
      <c r="H3175" s="41" t="s">
        <v>25690</v>
      </c>
      <c r="I3175" s="41" t="s">
        <v>25691</v>
      </c>
      <c r="J3175" s="41" t="s">
        <v>25692</v>
      </c>
      <c r="K3175" s="41" t="s">
        <v>25693</v>
      </c>
      <c r="L3175" s="41" t="s">
        <v>25694</v>
      </c>
      <c r="M3175" s="41" t="s">
        <v>25695</v>
      </c>
      <c r="N3175" s="41" t="s">
        <v>25696</v>
      </c>
      <c r="O3175" s="41" t="s">
        <v>25697</v>
      </c>
      <c r="P3175" s="41" t="s">
        <v>25698</v>
      </c>
      <c r="Q3175" s="41" t="s">
        <v>25699</v>
      </c>
      <c r="R3175" s="41" t="s">
        <v>25700</v>
      </c>
      <c r="S3175" s="41" t="s">
        <v>25701</v>
      </c>
    </row>
    <row r="3176" spans="1:19" x14ac:dyDescent="0.25">
      <c r="A3176" s="41" t="s">
        <v>23</v>
      </c>
      <c r="B3176" s="41" t="s">
        <v>25702</v>
      </c>
      <c r="D3176" s="41" t="s">
        <v>25703</v>
      </c>
      <c r="F3176" s="41" t="s">
        <v>25704</v>
      </c>
      <c r="G3176" s="41" t="s">
        <v>25705</v>
      </c>
      <c r="H3176" s="41" t="s">
        <v>25706</v>
      </c>
      <c r="I3176" s="41" t="s">
        <v>25707</v>
      </c>
      <c r="J3176" s="41" t="s">
        <v>25708</v>
      </c>
      <c r="K3176" s="41" t="s">
        <v>25709</v>
      </c>
      <c r="L3176" s="41" t="s">
        <v>891</v>
      </c>
    </row>
    <row r="3177" spans="1:19" x14ac:dyDescent="0.25">
      <c r="A3177" s="41" t="s">
        <v>23</v>
      </c>
      <c r="B3177" s="41" t="s">
        <v>25710</v>
      </c>
      <c r="D3177" s="41" t="s">
        <v>25711</v>
      </c>
      <c r="F3177" s="41" t="s">
        <v>25712</v>
      </c>
      <c r="G3177" s="41" t="s">
        <v>25713</v>
      </c>
      <c r="H3177" s="41" t="s">
        <v>25714</v>
      </c>
      <c r="I3177" s="41" t="s">
        <v>25715</v>
      </c>
      <c r="J3177" s="41" t="s">
        <v>25716</v>
      </c>
      <c r="K3177" s="41" t="s">
        <v>25717</v>
      </c>
      <c r="L3177" s="41" t="s">
        <v>1076</v>
      </c>
    </row>
    <row r="3178" spans="1:19" x14ac:dyDescent="0.25">
      <c r="A3178" s="41" t="s">
        <v>23</v>
      </c>
      <c r="B3178" s="41" t="s">
        <v>25718</v>
      </c>
      <c r="D3178" s="41" t="s">
        <v>25719</v>
      </c>
      <c r="F3178" s="41" t="s">
        <v>25720</v>
      </c>
      <c r="G3178" s="41" t="s">
        <v>25721</v>
      </c>
      <c r="H3178" s="41" t="s">
        <v>25722</v>
      </c>
      <c r="I3178" s="41" t="s">
        <v>25723</v>
      </c>
      <c r="J3178" s="41" t="s">
        <v>25724</v>
      </c>
      <c r="K3178" s="41" t="s">
        <v>25725</v>
      </c>
      <c r="L3178" s="41" t="s">
        <v>1085</v>
      </c>
    </row>
    <row r="3179" spans="1:19" x14ac:dyDescent="0.25">
      <c r="A3179" s="41" t="s">
        <v>23</v>
      </c>
      <c r="B3179" s="41" t="s">
        <v>25726</v>
      </c>
      <c r="D3179" s="41" t="s">
        <v>25727</v>
      </c>
      <c r="F3179" s="41" t="s">
        <v>25728</v>
      </c>
      <c r="G3179" s="41" t="s">
        <v>25729</v>
      </c>
      <c r="H3179" s="41" t="s">
        <v>25730</v>
      </c>
      <c r="I3179" s="41" t="s">
        <v>25731</v>
      </c>
      <c r="J3179" s="41" t="s">
        <v>25732</v>
      </c>
      <c r="K3179" s="41" t="s">
        <v>25733</v>
      </c>
      <c r="L3179" s="41" t="s">
        <v>1094</v>
      </c>
    </row>
    <row r="3180" spans="1:19" x14ac:dyDescent="0.25">
      <c r="A3180" s="41" t="s">
        <v>908</v>
      </c>
      <c r="B3180" s="41" t="s">
        <v>25734</v>
      </c>
    </row>
    <row r="3181" spans="1:19" x14ac:dyDescent="0.25">
      <c r="A3181" s="41" t="s">
        <v>23</v>
      </c>
      <c r="B3181" s="41" t="s">
        <v>25735</v>
      </c>
      <c r="F3181" s="41" t="s">
        <v>25736</v>
      </c>
      <c r="G3181" s="41" t="s">
        <v>25737</v>
      </c>
      <c r="H3181" s="41" t="s">
        <v>25738</v>
      </c>
      <c r="I3181" s="41" t="s">
        <v>25739</v>
      </c>
      <c r="J3181" s="41" t="s">
        <v>25740</v>
      </c>
      <c r="L3181" s="41" t="s">
        <v>4</v>
      </c>
    </row>
    <row r="3182" spans="1:19" x14ac:dyDescent="0.25">
      <c r="A3182" s="41" t="s">
        <v>23</v>
      </c>
      <c r="B3182" s="41" t="s">
        <v>25741</v>
      </c>
      <c r="D3182" s="41" t="s">
        <v>25574</v>
      </c>
      <c r="E3182" s="41" t="s">
        <v>25743</v>
      </c>
      <c r="F3182" s="41" t="s">
        <v>25744</v>
      </c>
      <c r="G3182" s="41" t="s">
        <v>25745</v>
      </c>
      <c r="H3182" s="41" t="s">
        <v>25746</v>
      </c>
      <c r="I3182" s="41" t="s">
        <v>25747</v>
      </c>
      <c r="J3182" s="41" t="s">
        <v>25748</v>
      </c>
      <c r="K3182" s="41" t="s">
        <v>25749</v>
      </c>
      <c r="L3182" s="41" t="s">
        <v>25750</v>
      </c>
      <c r="M3182" s="41" t="s">
        <v>25751</v>
      </c>
      <c r="N3182" s="41" t="s">
        <v>25752</v>
      </c>
      <c r="O3182" s="41" t="s">
        <v>25753</v>
      </c>
      <c r="P3182" s="41" t="s">
        <v>25754</v>
      </c>
      <c r="Q3182" s="41" t="s">
        <v>25755</v>
      </c>
      <c r="R3182" s="41" t="s">
        <v>25756</v>
      </c>
      <c r="S3182" s="41" t="s">
        <v>25757</v>
      </c>
    </row>
    <row r="3183" spans="1:19" x14ac:dyDescent="0.25">
      <c r="A3183" s="41" t="s">
        <v>23</v>
      </c>
      <c r="B3183" s="41" t="s">
        <v>25758</v>
      </c>
      <c r="D3183" s="41" t="s">
        <v>25759</v>
      </c>
      <c r="F3183" s="41" t="s">
        <v>25760</v>
      </c>
      <c r="G3183" s="41" t="s">
        <v>25761</v>
      </c>
      <c r="H3183" s="41" t="s">
        <v>25762</v>
      </c>
      <c r="I3183" s="41" t="s">
        <v>25763</v>
      </c>
      <c r="J3183" s="41" t="s">
        <v>25764</v>
      </c>
      <c r="K3183" s="41" t="s">
        <v>25765</v>
      </c>
      <c r="L3183" s="41" t="s">
        <v>891</v>
      </c>
    </row>
    <row r="3184" spans="1:19" x14ac:dyDescent="0.25">
      <c r="A3184" s="41" t="s">
        <v>23</v>
      </c>
      <c r="B3184" s="41" t="s">
        <v>25766</v>
      </c>
      <c r="D3184" s="41" t="s">
        <v>25767</v>
      </c>
      <c r="F3184" s="41" t="s">
        <v>25768</v>
      </c>
      <c r="G3184" s="41" t="s">
        <v>25769</v>
      </c>
      <c r="H3184" s="41" t="s">
        <v>25770</v>
      </c>
      <c r="I3184" s="41" t="s">
        <v>25771</v>
      </c>
      <c r="J3184" s="41" t="s">
        <v>25772</v>
      </c>
      <c r="K3184" s="41" t="s">
        <v>25773</v>
      </c>
      <c r="L3184" s="41" t="s">
        <v>1076</v>
      </c>
    </row>
    <row r="3185" spans="1:19" x14ac:dyDescent="0.25">
      <c r="A3185" s="41" t="s">
        <v>23</v>
      </c>
      <c r="B3185" s="41" t="s">
        <v>25774</v>
      </c>
      <c r="D3185" s="41" t="s">
        <v>25775</v>
      </c>
      <c r="F3185" s="41" t="s">
        <v>25776</v>
      </c>
      <c r="G3185" s="41" t="s">
        <v>25777</v>
      </c>
      <c r="H3185" s="41" t="s">
        <v>25778</v>
      </c>
      <c r="I3185" s="41" t="s">
        <v>25779</v>
      </c>
      <c r="J3185" s="41" t="s">
        <v>25780</v>
      </c>
      <c r="K3185" s="41" t="s">
        <v>25781</v>
      </c>
      <c r="L3185" s="41" t="s">
        <v>1085</v>
      </c>
    </row>
    <row r="3186" spans="1:19" x14ac:dyDescent="0.25">
      <c r="A3186" s="41" t="s">
        <v>23</v>
      </c>
      <c r="B3186" s="41" t="s">
        <v>25782</v>
      </c>
      <c r="D3186" s="41" t="s">
        <v>25783</v>
      </c>
      <c r="F3186" s="41" t="s">
        <v>25784</v>
      </c>
      <c r="G3186" s="41" t="s">
        <v>25785</v>
      </c>
      <c r="H3186" s="41" t="s">
        <v>25786</v>
      </c>
      <c r="I3186" s="41" t="s">
        <v>25787</v>
      </c>
      <c r="J3186" s="41" t="s">
        <v>25788</v>
      </c>
      <c r="K3186" s="41" t="s">
        <v>25789</v>
      </c>
      <c r="L3186" s="41" t="s">
        <v>1094</v>
      </c>
    </row>
    <row r="3187" spans="1:19" x14ac:dyDescent="0.25">
      <c r="A3187" s="41" t="s">
        <v>908</v>
      </c>
      <c r="B3187" s="41" t="s">
        <v>25790</v>
      </c>
    </row>
    <row r="3188" spans="1:19" x14ac:dyDescent="0.25">
      <c r="A3188" s="41" t="s">
        <v>23</v>
      </c>
      <c r="B3188" s="41" t="s">
        <v>25791</v>
      </c>
      <c r="F3188" s="41" t="s">
        <v>25792</v>
      </c>
      <c r="G3188" s="41" t="s">
        <v>25793</v>
      </c>
      <c r="H3188" s="41" t="s">
        <v>25794</v>
      </c>
      <c r="I3188" s="41" t="s">
        <v>25795</v>
      </c>
      <c r="J3188" s="41" t="s">
        <v>25796</v>
      </c>
      <c r="L3188" s="41" t="s">
        <v>4</v>
      </c>
    </row>
    <row r="3189" spans="1:19" x14ac:dyDescent="0.25">
      <c r="A3189" s="41" t="s">
        <v>23</v>
      </c>
      <c r="B3189" s="41" t="s">
        <v>25797</v>
      </c>
      <c r="D3189" s="41" t="s">
        <v>25630</v>
      </c>
      <c r="E3189" s="41" t="s">
        <v>25799</v>
      </c>
      <c r="F3189" s="41" t="s">
        <v>25800</v>
      </c>
      <c r="G3189" s="41" t="s">
        <v>25801</v>
      </c>
      <c r="H3189" s="41" t="s">
        <v>25802</v>
      </c>
      <c r="I3189" s="41" t="s">
        <v>25803</v>
      </c>
      <c r="J3189" s="41" t="s">
        <v>25804</v>
      </c>
      <c r="K3189" s="41" t="s">
        <v>25805</v>
      </c>
      <c r="L3189" s="41" t="s">
        <v>25806</v>
      </c>
      <c r="M3189" s="41" t="s">
        <v>25807</v>
      </c>
      <c r="N3189" s="41" t="s">
        <v>25808</v>
      </c>
      <c r="O3189" s="41" t="s">
        <v>25809</v>
      </c>
      <c r="P3189" s="41" t="s">
        <v>25810</v>
      </c>
      <c r="Q3189" s="41" t="s">
        <v>25811</v>
      </c>
      <c r="R3189" s="41" t="s">
        <v>25812</v>
      </c>
      <c r="S3189" s="41" t="s">
        <v>25813</v>
      </c>
    </row>
    <row r="3190" spans="1:19" x14ac:dyDescent="0.25">
      <c r="A3190" s="41" t="s">
        <v>23</v>
      </c>
      <c r="B3190" s="41" t="s">
        <v>25814</v>
      </c>
      <c r="D3190" s="41" t="s">
        <v>25815</v>
      </c>
      <c r="F3190" s="41" t="s">
        <v>25816</v>
      </c>
      <c r="G3190" s="41" t="s">
        <v>25817</v>
      </c>
      <c r="H3190" s="41" t="s">
        <v>25818</v>
      </c>
      <c r="I3190" s="41" t="s">
        <v>25819</v>
      </c>
      <c r="J3190" s="41" t="s">
        <v>25820</v>
      </c>
      <c r="K3190" s="41" t="s">
        <v>25821</v>
      </c>
      <c r="L3190" s="41" t="s">
        <v>891</v>
      </c>
    </row>
    <row r="3191" spans="1:19" x14ac:dyDescent="0.25">
      <c r="A3191" s="41" t="s">
        <v>23</v>
      </c>
      <c r="B3191" s="41" t="s">
        <v>25822</v>
      </c>
      <c r="D3191" s="41" t="s">
        <v>25823</v>
      </c>
      <c r="F3191" s="41" t="s">
        <v>25824</v>
      </c>
      <c r="G3191" s="41" t="s">
        <v>25825</v>
      </c>
      <c r="H3191" s="41" t="s">
        <v>25826</v>
      </c>
      <c r="I3191" s="41" t="s">
        <v>25827</v>
      </c>
      <c r="J3191" s="41" t="s">
        <v>25828</v>
      </c>
      <c r="K3191" s="41" t="s">
        <v>25829</v>
      </c>
      <c r="L3191" s="41" t="s">
        <v>1076</v>
      </c>
    </row>
    <row r="3192" spans="1:19" x14ac:dyDescent="0.25">
      <c r="A3192" s="41" t="s">
        <v>23</v>
      </c>
      <c r="B3192" s="41" t="s">
        <v>25830</v>
      </c>
      <c r="D3192" s="41" t="s">
        <v>25831</v>
      </c>
      <c r="F3192" s="41" t="s">
        <v>25832</v>
      </c>
      <c r="G3192" s="41" t="s">
        <v>25833</v>
      </c>
      <c r="H3192" s="41" t="s">
        <v>25834</v>
      </c>
      <c r="I3192" s="41" t="s">
        <v>25835</v>
      </c>
      <c r="J3192" s="41" t="s">
        <v>25836</v>
      </c>
      <c r="K3192" s="41" t="s">
        <v>25837</v>
      </c>
      <c r="L3192" s="41" t="s">
        <v>1085</v>
      </c>
    </row>
    <row r="3193" spans="1:19" x14ac:dyDescent="0.25">
      <c r="A3193" s="41" t="s">
        <v>23</v>
      </c>
      <c r="B3193" s="41" t="s">
        <v>25838</v>
      </c>
      <c r="D3193" s="41" t="s">
        <v>25839</v>
      </c>
      <c r="F3193" s="41" t="s">
        <v>25840</v>
      </c>
      <c r="G3193" s="41" t="s">
        <v>25841</v>
      </c>
      <c r="H3193" s="41" t="s">
        <v>25842</v>
      </c>
      <c r="I3193" s="41" t="s">
        <v>25843</v>
      </c>
      <c r="J3193" s="41" t="s">
        <v>25844</v>
      </c>
      <c r="K3193" s="41" t="s">
        <v>25845</v>
      </c>
      <c r="L3193" s="41" t="s">
        <v>1094</v>
      </c>
    </row>
    <row r="3194" spans="1:19" x14ac:dyDescent="0.25">
      <c r="A3194" s="41" t="s">
        <v>908</v>
      </c>
      <c r="B3194" s="41" t="s">
        <v>25846</v>
      </c>
    </row>
    <row r="3195" spans="1:19" x14ac:dyDescent="0.25">
      <c r="A3195" s="41" t="s">
        <v>23</v>
      </c>
      <c r="B3195" s="41" t="s">
        <v>25847</v>
      </c>
      <c r="F3195" s="41" t="s">
        <v>25848</v>
      </c>
      <c r="G3195" s="41" t="s">
        <v>25849</v>
      </c>
      <c r="H3195" s="41" t="s">
        <v>25850</v>
      </c>
      <c r="I3195" s="41" t="s">
        <v>25851</v>
      </c>
      <c r="J3195" s="41" t="s">
        <v>25852</v>
      </c>
      <c r="L3195" s="41" t="s">
        <v>4</v>
      </c>
    </row>
    <row r="3196" spans="1:19" x14ac:dyDescent="0.25">
      <c r="A3196" s="41" t="s">
        <v>23</v>
      </c>
      <c r="B3196" s="41" t="s">
        <v>25853</v>
      </c>
      <c r="D3196" s="41" t="s">
        <v>25686</v>
      </c>
      <c r="E3196" s="41" t="s">
        <v>25855</v>
      </c>
      <c r="F3196" s="41" t="s">
        <v>25856</v>
      </c>
      <c r="G3196" s="41" t="s">
        <v>25857</v>
      </c>
      <c r="H3196" s="41" t="s">
        <v>25858</v>
      </c>
      <c r="I3196" s="41" t="s">
        <v>25859</v>
      </c>
      <c r="J3196" s="41" t="s">
        <v>25860</v>
      </c>
      <c r="K3196" s="41" t="s">
        <v>25861</v>
      </c>
      <c r="L3196" s="41" t="s">
        <v>25862</v>
      </c>
      <c r="M3196" s="41" t="s">
        <v>25863</v>
      </c>
      <c r="N3196" s="41" t="s">
        <v>25864</v>
      </c>
      <c r="O3196" s="41" t="s">
        <v>25865</v>
      </c>
      <c r="P3196" s="41" t="s">
        <v>25866</v>
      </c>
      <c r="Q3196" s="41" t="s">
        <v>25867</v>
      </c>
      <c r="R3196" s="41" t="s">
        <v>25868</v>
      </c>
      <c r="S3196" s="41" t="s">
        <v>25869</v>
      </c>
    </row>
    <row r="3197" spans="1:19" x14ac:dyDescent="0.25">
      <c r="A3197" s="41" t="s">
        <v>23</v>
      </c>
      <c r="B3197" s="41" t="s">
        <v>25870</v>
      </c>
      <c r="D3197" s="41" t="s">
        <v>25871</v>
      </c>
      <c r="F3197" s="41" t="s">
        <v>25872</v>
      </c>
      <c r="G3197" s="41" t="s">
        <v>25873</v>
      </c>
      <c r="H3197" s="41" t="s">
        <v>25874</v>
      </c>
      <c r="I3197" s="41" t="s">
        <v>25875</v>
      </c>
      <c r="J3197" s="41" t="s">
        <v>25876</v>
      </c>
      <c r="K3197" s="41" t="s">
        <v>25877</v>
      </c>
      <c r="L3197" s="41" t="s">
        <v>891</v>
      </c>
    </row>
    <row r="3198" spans="1:19" x14ac:dyDescent="0.25">
      <c r="A3198" s="41" t="s">
        <v>23</v>
      </c>
      <c r="B3198" s="41" t="s">
        <v>25878</v>
      </c>
      <c r="D3198" s="41" t="s">
        <v>25879</v>
      </c>
      <c r="F3198" s="41" t="s">
        <v>25880</v>
      </c>
      <c r="G3198" s="41" t="s">
        <v>25881</v>
      </c>
      <c r="H3198" s="41" t="s">
        <v>25882</v>
      </c>
      <c r="I3198" s="41" t="s">
        <v>25883</v>
      </c>
      <c r="J3198" s="41" t="s">
        <v>25884</v>
      </c>
      <c r="K3198" s="41" t="s">
        <v>25885</v>
      </c>
      <c r="L3198" s="41" t="s">
        <v>1076</v>
      </c>
    </row>
    <row r="3199" spans="1:19" x14ac:dyDescent="0.25">
      <c r="A3199" s="41" t="s">
        <v>23</v>
      </c>
      <c r="B3199" s="41" t="s">
        <v>25886</v>
      </c>
      <c r="D3199" s="41" t="s">
        <v>25887</v>
      </c>
      <c r="F3199" s="41" t="s">
        <v>25888</v>
      </c>
      <c r="G3199" s="41" t="s">
        <v>25889</v>
      </c>
      <c r="H3199" s="41" t="s">
        <v>25890</v>
      </c>
      <c r="I3199" s="41" t="s">
        <v>25891</v>
      </c>
      <c r="J3199" s="41" t="s">
        <v>25892</v>
      </c>
      <c r="K3199" s="41" t="s">
        <v>25893</v>
      </c>
      <c r="L3199" s="41" t="s">
        <v>1085</v>
      </c>
    </row>
    <row r="3200" spans="1:19" x14ac:dyDescent="0.25">
      <c r="A3200" s="41" t="s">
        <v>23</v>
      </c>
      <c r="B3200" s="41" t="s">
        <v>25894</v>
      </c>
      <c r="D3200" s="41" t="s">
        <v>25895</v>
      </c>
      <c r="F3200" s="41" t="s">
        <v>25896</v>
      </c>
      <c r="G3200" s="41" t="s">
        <v>25897</v>
      </c>
      <c r="H3200" s="41" t="s">
        <v>25898</v>
      </c>
      <c r="I3200" s="41" t="s">
        <v>25899</v>
      </c>
      <c r="J3200" s="41" t="s">
        <v>25900</v>
      </c>
      <c r="K3200" s="41" t="s">
        <v>25901</v>
      </c>
      <c r="L3200" s="41" t="s">
        <v>1094</v>
      </c>
    </row>
    <row r="3201" spans="1:19" x14ac:dyDescent="0.25">
      <c r="A3201" s="41" t="s">
        <v>908</v>
      </c>
      <c r="B3201" s="41" t="s">
        <v>25902</v>
      </c>
    </row>
    <row r="3202" spans="1:19" x14ac:dyDescent="0.25">
      <c r="A3202" s="41" t="s">
        <v>23</v>
      </c>
      <c r="B3202" s="41" t="s">
        <v>25903</v>
      </c>
      <c r="F3202" s="41" t="s">
        <v>25904</v>
      </c>
      <c r="G3202" s="41" t="s">
        <v>25905</v>
      </c>
      <c r="H3202" s="41" t="s">
        <v>25906</v>
      </c>
      <c r="I3202" s="41" t="s">
        <v>25907</v>
      </c>
      <c r="J3202" s="41" t="s">
        <v>25908</v>
      </c>
      <c r="L3202" s="41" t="s">
        <v>4</v>
      </c>
    </row>
    <row r="3203" spans="1:19" x14ac:dyDescent="0.25">
      <c r="A3203" s="41" t="s">
        <v>23</v>
      </c>
      <c r="B3203" s="41" t="s">
        <v>25909</v>
      </c>
      <c r="D3203" s="41" t="s">
        <v>25742</v>
      </c>
      <c r="E3203" s="41" t="s">
        <v>25911</v>
      </c>
      <c r="F3203" s="41" t="s">
        <v>25912</v>
      </c>
      <c r="G3203" s="41" t="s">
        <v>25913</v>
      </c>
      <c r="H3203" s="41" t="s">
        <v>25914</v>
      </c>
      <c r="I3203" s="41" t="s">
        <v>25915</v>
      </c>
      <c r="J3203" s="41" t="s">
        <v>25916</v>
      </c>
      <c r="K3203" s="41" t="s">
        <v>25917</v>
      </c>
      <c r="L3203" s="41" t="s">
        <v>25918</v>
      </c>
      <c r="M3203" s="41" t="s">
        <v>25919</v>
      </c>
      <c r="N3203" s="41" t="s">
        <v>25920</v>
      </c>
      <c r="O3203" s="41" t="s">
        <v>25921</v>
      </c>
      <c r="P3203" s="41" t="s">
        <v>25922</v>
      </c>
      <c r="Q3203" s="41" t="s">
        <v>25923</v>
      </c>
      <c r="R3203" s="41" t="s">
        <v>25924</v>
      </c>
      <c r="S3203" s="41" t="s">
        <v>25925</v>
      </c>
    </row>
    <row r="3204" spans="1:19" x14ac:dyDescent="0.25">
      <c r="A3204" s="41" t="s">
        <v>23</v>
      </c>
      <c r="B3204" s="41" t="s">
        <v>25926</v>
      </c>
      <c r="D3204" s="41" t="s">
        <v>25927</v>
      </c>
      <c r="F3204" s="41" t="s">
        <v>25928</v>
      </c>
      <c r="G3204" s="41" t="s">
        <v>25929</v>
      </c>
      <c r="H3204" s="41" t="s">
        <v>25930</v>
      </c>
      <c r="I3204" s="41" t="s">
        <v>25931</v>
      </c>
      <c r="J3204" s="41" t="s">
        <v>25932</v>
      </c>
      <c r="K3204" s="41" t="s">
        <v>25933</v>
      </c>
      <c r="L3204" s="41" t="s">
        <v>891</v>
      </c>
    </row>
    <row r="3205" spans="1:19" x14ac:dyDescent="0.25">
      <c r="A3205" s="41" t="s">
        <v>23</v>
      </c>
      <c r="B3205" s="41" t="s">
        <v>25934</v>
      </c>
      <c r="D3205" s="41" t="s">
        <v>25935</v>
      </c>
      <c r="F3205" s="41" t="s">
        <v>25936</v>
      </c>
      <c r="G3205" s="41" t="s">
        <v>25937</v>
      </c>
      <c r="H3205" s="41" t="s">
        <v>25938</v>
      </c>
      <c r="I3205" s="41" t="s">
        <v>25939</v>
      </c>
      <c r="J3205" s="41" t="s">
        <v>25940</v>
      </c>
      <c r="K3205" s="41" t="s">
        <v>25941</v>
      </c>
      <c r="L3205" s="41" t="s">
        <v>1076</v>
      </c>
    </row>
    <row r="3206" spans="1:19" x14ac:dyDescent="0.25">
      <c r="A3206" s="41" t="s">
        <v>23</v>
      </c>
      <c r="B3206" s="41" t="s">
        <v>25942</v>
      </c>
      <c r="D3206" s="41" t="s">
        <v>25943</v>
      </c>
      <c r="F3206" s="41" t="s">
        <v>25944</v>
      </c>
      <c r="G3206" s="41" t="s">
        <v>25945</v>
      </c>
      <c r="H3206" s="41" t="s">
        <v>25946</v>
      </c>
      <c r="I3206" s="41" t="s">
        <v>25947</v>
      </c>
      <c r="J3206" s="41" t="s">
        <v>25948</v>
      </c>
      <c r="K3206" s="41" t="s">
        <v>25949</v>
      </c>
      <c r="L3206" s="41" t="s">
        <v>1085</v>
      </c>
    </row>
    <row r="3207" spans="1:19" x14ac:dyDescent="0.25">
      <c r="A3207" s="41" t="s">
        <v>23</v>
      </c>
      <c r="B3207" s="41" t="s">
        <v>25950</v>
      </c>
      <c r="D3207" s="41" t="s">
        <v>25951</v>
      </c>
      <c r="F3207" s="41" t="s">
        <v>25952</v>
      </c>
      <c r="G3207" s="41" t="s">
        <v>25953</v>
      </c>
      <c r="H3207" s="41" t="s">
        <v>25954</v>
      </c>
      <c r="I3207" s="41" t="s">
        <v>25955</v>
      </c>
      <c r="J3207" s="41" t="s">
        <v>25956</v>
      </c>
      <c r="K3207" s="41" t="s">
        <v>25957</v>
      </c>
      <c r="L3207" s="41" t="s">
        <v>1094</v>
      </c>
    </row>
    <row r="3208" spans="1:19" x14ac:dyDescent="0.25">
      <c r="A3208" s="41" t="s">
        <v>908</v>
      </c>
      <c r="B3208" s="41" t="s">
        <v>25958</v>
      </c>
    </row>
    <row r="3209" spans="1:19" x14ac:dyDescent="0.25">
      <c r="A3209" s="41" t="s">
        <v>23</v>
      </c>
      <c r="B3209" s="41" t="s">
        <v>25959</v>
      </c>
      <c r="F3209" s="41" t="s">
        <v>25960</v>
      </c>
      <c r="G3209" s="41" t="s">
        <v>25961</v>
      </c>
      <c r="H3209" s="41" t="s">
        <v>25962</v>
      </c>
      <c r="I3209" s="41" t="s">
        <v>25963</v>
      </c>
      <c r="J3209" s="41" t="s">
        <v>25964</v>
      </c>
      <c r="L3209" s="41" t="s">
        <v>4</v>
      </c>
    </row>
    <row r="3210" spans="1:19" x14ac:dyDescent="0.25">
      <c r="A3210" s="41" t="s">
        <v>23</v>
      </c>
      <c r="B3210" s="41" t="s">
        <v>25965</v>
      </c>
      <c r="D3210" s="41" t="s">
        <v>25798</v>
      </c>
      <c r="E3210" s="41" t="s">
        <v>25967</v>
      </c>
      <c r="F3210" s="41" t="s">
        <v>25968</v>
      </c>
      <c r="G3210" s="41" t="s">
        <v>25969</v>
      </c>
      <c r="H3210" s="41" t="s">
        <v>25970</v>
      </c>
      <c r="I3210" s="41" t="s">
        <v>25971</v>
      </c>
      <c r="J3210" s="41" t="s">
        <v>25972</v>
      </c>
      <c r="K3210" s="41" t="s">
        <v>25973</v>
      </c>
      <c r="L3210" s="41" t="s">
        <v>25974</v>
      </c>
      <c r="M3210" s="41" t="s">
        <v>25975</v>
      </c>
      <c r="N3210" s="41" t="s">
        <v>25976</v>
      </c>
      <c r="O3210" s="41" t="s">
        <v>25977</v>
      </c>
      <c r="P3210" s="41" t="s">
        <v>25978</v>
      </c>
      <c r="Q3210" s="41" t="s">
        <v>25979</v>
      </c>
      <c r="R3210" s="41" t="s">
        <v>25980</v>
      </c>
      <c r="S3210" s="41" t="s">
        <v>25981</v>
      </c>
    </row>
    <row r="3211" spans="1:19" x14ac:dyDescent="0.25">
      <c r="A3211" s="41" t="s">
        <v>23</v>
      </c>
      <c r="B3211" s="41" t="s">
        <v>25982</v>
      </c>
      <c r="D3211" s="41" t="s">
        <v>25983</v>
      </c>
      <c r="F3211" s="41" t="s">
        <v>25984</v>
      </c>
      <c r="G3211" s="41" t="s">
        <v>25985</v>
      </c>
      <c r="H3211" s="41" t="s">
        <v>25986</v>
      </c>
      <c r="I3211" s="41" t="s">
        <v>25987</v>
      </c>
      <c r="J3211" s="41" t="s">
        <v>25988</v>
      </c>
      <c r="K3211" s="41" t="s">
        <v>25989</v>
      </c>
      <c r="L3211" s="41" t="s">
        <v>891</v>
      </c>
    </row>
    <row r="3212" spans="1:19" x14ac:dyDescent="0.25">
      <c r="A3212" s="41" t="s">
        <v>23</v>
      </c>
      <c r="B3212" s="41" t="s">
        <v>25990</v>
      </c>
      <c r="D3212" s="41" t="s">
        <v>25991</v>
      </c>
      <c r="F3212" s="41" t="s">
        <v>25992</v>
      </c>
      <c r="G3212" s="41" t="s">
        <v>25993</v>
      </c>
      <c r="H3212" s="41" t="s">
        <v>25994</v>
      </c>
      <c r="I3212" s="41" t="s">
        <v>25995</v>
      </c>
      <c r="J3212" s="41" t="s">
        <v>25996</v>
      </c>
      <c r="K3212" s="41" t="s">
        <v>25997</v>
      </c>
      <c r="L3212" s="41" t="s">
        <v>1076</v>
      </c>
    </row>
    <row r="3213" spans="1:19" x14ac:dyDescent="0.25">
      <c r="A3213" s="41" t="s">
        <v>23</v>
      </c>
      <c r="B3213" s="41" t="s">
        <v>25998</v>
      </c>
      <c r="D3213" s="41" t="s">
        <v>25999</v>
      </c>
      <c r="F3213" s="41" t="s">
        <v>26000</v>
      </c>
      <c r="G3213" s="41" t="s">
        <v>26001</v>
      </c>
      <c r="H3213" s="41" t="s">
        <v>26002</v>
      </c>
      <c r="I3213" s="41" t="s">
        <v>26003</v>
      </c>
      <c r="J3213" s="41" t="s">
        <v>26004</v>
      </c>
      <c r="K3213" s="41" t="s">
        <v>26005</v>
      </c>
      <c r="L3213" s="41" t="s">
        <v>1085</v>
      </c>
    </row>
    <row r="3214" spans="1:19" x14ac:dyDescent="0.25">
      <c r="A3214" s="41" t="s">
        <v>23</v>
      </c>
      <c r="B3214" s="41" t="s">
        <v>26006</v>
      </c>
      <c r="D3214" s="41" t="s">
        <v>26007</v>
      </c>
      <c r="F3214" s="41" t="s">
        <v>26008</v>
      </c>
      <c r="G3214" s="41" t="s">
        <v>26009</v>
      </c>
      <c r="H3214" s="41" t="s">
        <v>26010</v>
      </c>
      <c r="I3214" s="41" t="s">
        <v>26011</v>
      </c>
      <c r="J3214" s="41" t="s">
        <v>26012</v>
      </c>
      <c r="K3214" s="41" t="s">
        <v>26013</v>
      </c>
      <c r="L3214" s="41" t="s">
        <v>1094</v>
      </c>
    </row>
    <row r="3215" spans="1:19" x14ac:dyDescent="0.25">
      <c r="A3215" s="41" t="s">
        <v>908</v>
      </c>
      <c r="B3215" s="41" t="s">
        <v>26014</v>
      </c>
    </row>
    <row r="3216" spans="1:19" x14ac:dyDescent="0.25">
      <c r="A3216" s="41" t="s">
        <v>23</v>
      </c>
      <c r="B3216" s="41" t="s">
        <v>26015</v>
      </c>
      <c r="F3216" s="41" t="s">
        <v>26016</v>
      </c>
      <c r="G3216" s="41" t="s">
        <v>26017</v>
      </c>
      <c r="H3216" s="41" t="s">
        <v>26018</v>
      </c>
      <c r="I3216" s="41" t="s">
        <v>26019</v>
      </c>
      <c r="J3216" s="41" t="s">
        <v>26020</v>
      </c>
      <c r="L3216" s="41" t="s">
        <v>4</v>
      </c>
    </row>
    <row r="3217" spans="1:19" x14ac:dyDescent="0.25">
      <c r="A3217" s="41" t="s">
        <v>23</v>
      </c>
      <c r="B3217" s="41" t="s">
        <v>26021</v>
      </c>
      <c r="D3217" s="41" t="s">
        <v>25854</v>
      </c>
      <c r="E3217" s="41" t="s">
        <v>26023</v>
      </c>
      <c r="F3217" s="41" t="s">
        <v>26024</v>
      </c>
      <c r="G3217" s="41" t="s">
        <v>26025</v>
      </c>
      <c r="H3217" s="41" t="s">
        <v>26026</v>
      </c>
      <c r="I3217" s="41" t="s">
        <v>26027</v>
      </c>
      <c r="J3217" s="41" t="s">
        <v>26028</v>
      </c>
      <c r="K3217" s="41" t="s">
        <v>26029</v>
      </c>
      <c r="L3217" s="41" t="s">
        <v>26030</v>
      </c>
      <c r="M3217" s="41" t="s">
        <v>26031</v>
      </c>
      <c r="N3217" s="41" t="s">
        <v>26032</v>
      </c>
      <c r="O3217" s="41" t="s">
        <v>26033</v>
      </c>
      <c r="P3217" s="41" t="s">
        <v>26034</v>
      </c>
      <c r="Q3217" s="41" t="s">
        <v>26035</v>
      </c>
      <c r="R3217" s="41" t="s">
        <v>26036</v>
      </c>
      <c r="S3217" s="41" t="s">
        <v>26037</v>
      </c>
    </row>
    <row r="3218" spans="1:19" x14ac:dyDescent="0.25">
      <c r="A3218" s="41" t="s">
        <v>23</v>
      </c>
      <c r="B3218" s="41" t="s">
        <v>26038</v>
      </c>
      <c r="D3218" s="41" t="s">
        <v>26039</v>
      </c>
      <c r="F3218" s="41" t="s">
        <v>26040</v>
      </c>
      <c r="G3218" s="41" t="s">
        <v>26041</v>
      </c>
      <c r="H3218" s="41" t="s">
        <v>26042</v>
      </c>
      <c r="I3218" s="41" t="s">
        <v>26043</v>
      </c>
      <c r="J3218" s="41" t="s">
        <v>26044</v>
      </c>
      <c r="K3218" s="41" t="s">
        <v>26045</v>
      </c>
      <c r="L3218" s="41" t="s">
        <v>891</v>
      </c>
    </row>
    <row r="3219" spans="1:19" x14ac:dyDescent="0.25">
      <c r="A3219" s="41" t="s">
        <v>23</v>
      </c>
      <c r="B3219" s="41" t="s">
        <v>26046</v>
      </c>
      <c r="D3219" s="41" t="s">
        <v>26047</v>
      </c>
      <c r="F3219" s="41" t="s">
        <v>26048</v>
      </c>
      <c r="G3219" s="41" t="s">
        <v>26049</v>
      </c>
      <c r="H3219" s="41" t="s">
        <v>26050</v>
      </c>
      <c r="I3219" s="41" t="s">
        <v>26051</v>
      </c>
      <c r="J3219" s="41" t="s">
        <v>26052</v>
      </c>
      <c r="K3219" s="41" t="s">
        <v>26053</v>
      </c>
      <c r="L3219" s="41" t="s">
        <v>1076</v>
      </c>
    </row>
    <row r="3220" spans="1:19" x14ac:dyDescent="0.25">
      <c r="A3220" s="41" t="s">
        <v>23</v>
      </c>
      <c r="B3220" s="41" t="s">
        <v>26054</v>
      </c>
      <c r="D3220" s="41" t="s">
        <v>26055</v>
      </c>
      <c r="F3220" s="41" t="s">
        <v>26056</v>
      </c>
      <c r="G3220" s="41" t="s">
        <v>26057</v>
      </c>
      <c r="H3220" s="41" t="s">
        <v>26058</v>
      </c>
      <c r="I3220" s="41" t="s">
        <v>26059</v>
      </c>
      <c r="J3220" s="41" t="s">
        <v>26060</v>
      </c>
      <c r="K3220" s="41" t="s">
        <v>26061</v>
      </c>
      <c r="L3220" s="41" t="s">
        <v>1085</v>
      </c>
    </row>
    <row r="3221" spans="1:19" x14ac:dyDescent="0.25">
      <c r="A3221" s="41" t="s">
        <v>23</v>
      </c>
      <c r="B3221" s="41" t="s">
        <v>26062</v>
      </c>
      <c r="D3221" s="41" t="s">
        <v>26063</v>
      </c>
      <c r="F3221" s="41" t="s">
        <v>26064</v>
      </c>
      <c r="G3221" s="41" t="s">
        <v>26065</v>
      </c>
      <c r="H3221" s="41" t="s">
        <v>26066</v>
      </c>
      <c r="I3221" s="41" t="s">
        <v>26067</v>
      </c>
      <c r="J3221" s="41" t="s">
        <v>26068</v>
      </c>
      <c r="K3221" s="41" t="s">
        <v>26069</v>
      </c>
      <c r="L3221" s="41" t="s">
        <v>1094</v>
      </c>
    </row>
    <row r="3222" spans="1:19" x14ac:dyDescent="0.25">
      <c r="A3222" s="41" t="s">
        <v>908</v>
      </c>
      <c r="B3222" s="41" t="s">
        <v>26070</v>
      </c>
    </row>
    <row r="3223" spans="1:19" x14ac:dyDescent="0.25">
      <c r="A3223" s="41" t="s">
        <v>23</v>
      </c>
      <c r="B3223" s="41" t="s">
        <v>26071</v>
      </c>
      <c r="F3223" s="41" t="s">
        <v>26072</v>
      </c>
      <c r="G3223" s="41" t="s">
        <v>26073</v>
      </c>
      <c r="H3223" s="41" t="s">
        <v>26074</v>
      </c>
      <c r="I3223" s="41" t="s">
        <v>26075</v>
      </c>
      <c r="J3223" s="41" t="s">
        <v>26076</v>
      </c>
      <c r="L3223" s="41" t="s">
        <v>4</v>
      </c>
    </row>
    <row r="3224" spans="1:19" x14ac:dyDescent="0.25">
      <c r="A3224" s="41" t="s">
        <v>23</v>
      </c>
      <c r="B3224" s="41" t="s">
        <v>26077</v>
      </c>
      <c r="D3224" s="41" t="s">
        <v>25910</v>
      </c>
      <c r="E3224" s="41" t="s">
        <v>26079</v>
      </c>
      <c r="F3224" s="41" t="s">
        <v>26080</v>
      </c>
      <c r="G3224" s="41" t="s">
        <v>26081</v>
      </c>
      <c r="H3224" s="41" t="s">
        <v>26082</v>
      </c>
      <c r="I3224" s="41" t="s">
        <v>26083</v>
      </c>
      <c r="J3224" s="41" t="s">
        <v>26084</v>
      </c>
      <c r="K3224" s="41" t="s">
        <v>26085</v>
      </c>
      <c r="L3224" s="41" t="s">
        <v>26086</v>
      </c>
      <c r="M3224" s="41" t="s">
        <v>26087</v>
      </c>
      <c r="N3224" s="41" t="s">
        <v>26088</v>
      </c>
      <c r="O3224" s="41" t="s">
        <v>26089</v>
      </c>
      <c r="P3224" s="41" t="s">
        <v>26090</v>
      </c>
      <c r="Q3224" s="41" t="s">
        <v>26091</v>
      </c>
      <c r="R3224" s="41" t="s">
        <v>26092</v>
      </c>
      <c r="S3224" s="41" t="s">
        <v>26093</v>
      </c>
    </row>
    <row r="3225" spans="1:19" x14ac:dyDescent="0.25">
      <c r="A3225" s="41" t="s">
        <v>23</v>
      </c>
      <c r="B3225" s="41" t="s">
        <v>26094</v>
      </c>
      <c r="D3225" s="41" t="s">
        <v>26095</v>
      </c>
      <c r="F3225" s="41" t="s">
        <v>26096</v>
      </c>
      <c r="G3225" s="41" t="s">
        <v>26097</v>
      </c>
      <c r="H3225" s="41" t="s">
        <v>26098</v>
      </c>
      <c r="I3225" s="41" t="s">
        <v>26099</v>
      </c>
      <c r="J3225" s="41" t="s">
        <v>26100</v>
      </c>
      <c r="K3225" s="41" t="s">
        <v>26101</v>
      </c>
      <c r="L3225" s="41" t="s">
        <v>891</v>
      </c>
    </row>
    <row r="3226" spans="1:19" x14ac:dyDescent="0.25">
      <c r="A3226" s="41" t="s">
        <v>23</v>
      </c>
      <c r="B3226" s="41" t="s">
        <v>26102</v>
      </c>
      <c r="D3226" s="41" t="s">
        <v>26103</v>
      </c>
      <c r="F3226" s="41" t="s">
        <v>26104</v>
      </c>
      <c r="G3226" s="41" t="s">
        <v>26105</v>
      </c>
      <c r="H3226" s="41" t="s">
        <v>26106</v>
      </c>
      <c r="I3226" s="41" t="s">
        <v>26107</v>
      </c>
      <c r="J3226" s="41" t="s">
        <v>26108</v>
      </c>
      <c r="K3226" s="41" t="s">
        <v>26109</v>
      </c>
      <c r="L3226" s="41" t="s">
        <v>1076</v>
      </c>
    </row>
    <row r="3227" spans="1:19" x14ac:dyDescent="0.25">
      <c r="A3227" s="41" t="s">
        <v>23</v>
      </c>
      <c r="B3227" s="41" t="s">
        <v>26110</v>
      </c>
      <c r="D3227" s="41" t="s">
        <v>26111</v>
      </c>
      <c r="F3227" s="41" t="s">
        <v>26112</v>
      </c>
      <c r="G3227" s="41" t="s">
        <v>26113</v>
      </c>
      <c r="H3227" s="41" t="s">
        <v>26114</v>
      </c>
      <c r="I3227" s="41" t="s">
        <v>26115</v>
      </c>
      <c r="J3227" s="41" t="s">
        <v>26116</v>
      </c>
      <c r="K3227" s="41" t="s">
        <v>26117</v>
      </c>
      <c r="L3227" s="41" t="s">
        <v>1085</v>
      </c>
    </row>
    <row r="3228" spans="1:19" x14ac:dyDescent="0.25">
      <c r="A3228" s="41" t="s">
        <v>23</v>
      </c>
      <c r="B3228" s="41" t="s">
        <v>26118</v>
      </c>
      <c r="D3228" s="41" t="s">
        <v>26119</v>
      </c>
      <c r="F3228" s="41" t="s">
        <v>26120</v>
      </c>
      <c r="G3228" s="41" t="s">
        <v>26121</v>
      </c>
      <c r="H3228" s="41" t="s">
        <v>26122</v>
      </c>
      <c r="I3228" s="41" t="s">
        <v>26123</v>
      </c>
      <c r="J3228" s="41" t="s">
        <v>26124</v>
      </c>
      <c r="K3228" s="41" t="s">
        <v>26125</v>
      </c>
      <c r="L3228" s="41" t="s">
        <v>1094</v>
      </c>
    </row>
    <row r="3229" spans="1:19" x14ac:dyDescent="0.25">
      <c r="A3229" s="41" t="s">
        <v>908</v>
      </c>
      <c r="B3229" s="41" t="s">
        <v>26126</v>
      </c>
    </row>
    <row r="3230" spans="1:19" x14ac:dyDescent="0.25">
      <c r="A3230" s="41" t="s">
        <v>23</v>
      </c>
      <c r="B3230" s="41" t="s">
        <v>26127</v>
      </c>
      <c r="F3230" s="41" t="s">
        <v>26128</v>
      </c>
      <c r="G3230" s="41" t="s">
        <v>26129</v>
      </c>
      <c r="H3230" s="41" t="s">
        <v>26130</v>
      </c>
      <c r="I3230" s="41" t="s">
        <v>26131</v>
      </c>
      <c r="J3230" s="41" t="s">
        <v>26132</v>
      </c>
      <c r="L3230" s="41" t="s">
        <v>4</v>
      </c>
    </row>
    <row r="3231" spans="1:19" x14ac:dyDescent="0.25">
      <c r="A3231" s="41" t="s">
        <v>23</v>
      </c>
      <c r="B3231" s="41" t="s">
        <v>26133</v>
      </c>
      <c r="D3231" s="41" t="s">
        <v>25966</v>
      </c>
      <c r="E3231" s="41" t="s">
        <v>26134</v>
      </c>
      <c r="F3231" s="41" t="s">
        <v>26135</v>
      </c>
      <c r="G3231" s="41" t="s">
        <v>26136</v>
      </c>
      <c r="H3231" s="41" t="s">
        <v>26137</v>
      </c>
      <c r="I3231" s="41" t="s">
        <v>26138</v>
      </c>
      <c r="J3231" s="41" t="s">
        <v>26139</v>
      </c>
      <c r="K3231" s="41" t="s">
        <v>26140</v>
      </c>
      <c r="L3231" s="41" t="s">
        <v>26141</v>
      </c>
      <c r="M3231" s="41" t="s">
        <v>26142</v>
      </c>
      <c r="N3231" s="41" t="s">
        <v>26143</v>
      </c>
      <c r="O3231" s="41" t="s">
        <v>26144</v>
      </c>
      <c r="P3231" s="41" t="s">
        <v>26145</v>
      </c>
      <c r="Q3231" s="41" t="s">
        <v>26146</v>
      </c>
      <c r="R3231" s="41" t="s">
        <v>26147</v>
      </c>
      <c r="S3231" s="41" t="s">
        <v>26148</v>
      </c>
    </row>
    <row r="3232" spans="1:19" x14ac:dyDescent="0.25">
      <c r="A3232" s="41" t="s">
        <v>23</v>
      </c>
      <c r="B3232" s="41" t="s">
        <v>26149</v>
      </c>
      <c r="D3232" s="41" t="s">
        <v>26150</v>
      </c>
      <c r="F3232" s="41" t="s">
        <v>26151</v>
      </c>
      <c r="G3232" s="41" t="s">
        <v>26152</v>
      </c>
      <c r="H3232" s="41" t="s">
        <v>26153</v>
      </c>
      <c r="I3232" s="41" t="s">
        <v>26154</v>
      </c>
      <c r="J3232" s="41" t="s">
        <v>26155</v>
      </c>
      <c r="K3232" s="41" t="s">
        <v>26156</v>
      </c>
      <c r="L3232" s="41" t="s">
        <v>891</v>
      </c>
    </row>
    <row r="3233" spans="1:19" x14ac:dyDescent="0.25">
      <c r="A3233" s="41" t="s">
        <v>23</v>
      </c>
      <c r="B3233" s="41" t="s">
        <v>26157</v>
      </c>
      <c r="D3233" s="41" t="s">
        <v>26158</v>
      </c>
      <c r="F3233" s="41" t="s">
        <v>26159</v>
      </c>
      <c r="G3233" s="41" t="s">
        <v>26160</v>
      </c>
      <c r="H3233" s="41" t="s">
        <v>26161</v>
      </c>
      <c r="I3233" s="41" t="s">
        <v>26162</v>
      </c>
      <c r="J3233" s="41" t="s">
        <v>26163</v>
      </c>
      <c r="K3233" s="41" t="s">
        <v>26164</v>
      </c>
      <c r="L3233" s="41" t="s">
        <v>1076</v>
      </c>
    </row>
    <row r="3234" spans="1:19" x14ac:dyDescent="0.25">
      <c r="A3234" s="41" t="s">
        <v>23</v>
      </c>
      <c r="B3234" s="41" t="s">
        <v>26165</v>
      </c>
      <c r="D3234" s="41" t="s">
        <v>26166</v>
      </c>
      <c r="F3234" s="41" t="s">
        <v>26167</v>
      </c>
      <c r="G3234" s="41" t="s">
        <v>26168</v>
      </c>
      <c r="H3234" s="41" t="s">
        <v>26169</v>
      </c>
      <c r="I3234" s="41" t="s">
        <v>26170</v>
      </c>
      <c r="J3234" s="41" t="s">
        <v>26171</v>
      </c>
      <c r="K3234" s="41" t="s">
        <v>26172</v>
      </c>
      <c r="L3234" s="41" t="s">
        <v>1085</v>
      </c>
    </row>
    <row r="3235" spans="1:19" x14ac:dyDescent="0.25">
      <c r="A3235" s="41" t="s">
        <v>23</v>
      </c>
      <c r="B3235" s="41" t="s">
        <v>26173</v>
      </c>
      <c r="D3235" s="41" t="s">
        <v>26174</v>
      </c>
      <c r="F3235" s="41" t="s">
        <v>26175</v>
      </c>
      <c r="G3235" s="41" t="s">
        <v>26176</v>
      </c>
      <c r="H3235" s="41" t="s">
        <v>26177</v>
      </c>
      <c r="I3235" s="41" t="s">
        <v>26178</v>
      </c>
      <c r="J3235" s="41" t="s">
        <v>26179</v>
      </c>
      <c r="K3235" s="41" t="s">
        <v>26180</v>
      </c>
      <c r="L3235" s="41" t="s">
        <v>1094</v>
      </c>
    </row>
    <row r="3236" spans="1:19" x14ac:dyDescent="0.25">
      <c r="A3236" s="41" t="s">
        <v>908</v>
      </c>
      <c r="B3236" s="41" t="s">
        <v>26181</v>
      </c>
    </row>
    <row r="3237" spans="1:19" x14ac:dyDescent="0.25">
      <c r="A3237" s="41" t="s">
        <v>23</v>
      </c>
      <c r="B3237" s="41" t="s">
        <v>26182</v>
      </c>
      <c r="F3237" s="41" t="s">
        <v>26183</v>
      </c>
      <c r="G3237" s="41" t="s">
        <v>26184</v>
      </c>
      <c r="H3237" s="41" t="s">
        <v>26185</v>
      </c>
      <c r="I3237" s="41" t="s">
        <v>26186</v>
      </c>
      <c r="J3237" s="41" t="s">
        <v>26187</v>
      </c>
      <c r="L3237" s="41" t="s">
        <v>4</v>
      </c>
    </row>
    <row r="3238" spans="1:19" x14ac:dyDescent="0.25">
      <c r="A3238" s="41" t="s">
        <v>23</v>
      </c>
      <c r="B3238" s="41" t="s">
        <v>26188</v>
      </c>
      <c r="D3238" s="41" t="s">
        <v>26022</v>
      </c>
      <c r="E3238" s="41" t="s">
        <v>26189</v>
      </c>
      <c r="F3238" s="41" t="s">
        <v>26190</v>
      </c>
      <c r="G3238" s="41" t="s">
        <v>26191</v>
      </c>
      <c r="H3238" s="41" t="s">
        <v>26192</v>
      </c>
      <c r="I3238" s="41" t="s">
        <v>26193</v>
      </c>
      <c r="J3238" s="41" t="s">
        <v>26194</v>
      </c>
      <c r="K3238" s="41" t="s">
        <v>26195</v>
      </c>
      <c r="L3238" s="41" t="s">
        <v>26196</v>
      </c>
      <c r="M3238" s="41" t="s">
        <v>26197</v>
      </c>
      <c r="N3238" s="41" t="s">
        <v>26198</v>
      </c>
      <c r="O3238" s="41" t="s">
        <v>26199</v>
      </c>
      <c r="P3238" s="41" t="s">
        <v>26200</v>
      </c>
      <c r="Q3238" s="41" t="s">
        <v>26201</v>
      </c>
      <c r="R3238" s="41" t="s">
        <v>26202</v>
      </c>
      <c r="S3238" s="41" t="s">
        <v>26203</v>
      </c>
    </row>
    <row r="3239" spans="1:19" x14ac:dyDescent="0.25">
      <c r="A3239" s="41" t="s">
        <v>23</v>
      </c>
      <c r="B3239" s="41" t="s">
        <v>26204</v>
      </c>
      <c r="D3239" s="41" t="s">
        <v>26205</v>
      </c>
      <c r="F3239" s="41" t="s">
        <v>26206</v>
      </c>
      <c r="G3239" s="41" t="s">
        <v>26207</v>
      </c>
      <c r="H3239" s="41" t="s">
        <v>26208</v>
      </c>
      <c r="I3239" s="41" t="s">
        <v>26209</v>
      </c>
      <c r="J3239" s="41" t="s">
        <v>26210</v>
      </c>
      <c r="K3239" s="41" t="s">
        <v>26211</v>
      </c>
      <c r="L3239" s="41" t="s">
        <v>891</v>
      </c>
    </row>
    <row r="3240" spans="1:19" x14ac:dyDescent="0.25">
      <c r="A3240" s="41" t="s">
        <v>23</v>
      </c>
      <c r="B3240" s="41" t="s">
        <v>26212</v>
      </c>
      <c r="D3240" s="41" t="s">
        <v>26213</v>
      </c>
      <c r="F3240" s="41" t="s">
        <v>26214</v>
      </c>
      <c r="G3240" s="41" t="s">
        <v>26215</v>
      </c>
      <c r="H3240" s="41" t="s">
        <v>26216</v>
      </c>
      <c r="I3240" s="41" t="s">
        <v>26217</v>
      </c>
      <c r="J3240" s="41" t="s">
        <v>26218</v>
      </c>
      <c r="K3240" s="41" t="s">
        <v>26219</v>
      </c>
      <c r="L3240" s="41" t="s">
        <v>1076</v>
      </c>
    </row>
    <row r="3241" spans="1:19" x14ac:dyDescent="0.25">
      <c r="A3241" s="41" t="s">
        <v>23</v>
      </c>
      <c r="B3241" s="41" t="s">
        <v>26220</v>
      </c>
      <c r="D3241" s="41" t="s">
        <v>26221</v>
      </c>
      <c r="F3241" s="41" t="s">
        <v>26222</v>
      </c>
      <c r="G3241" s="41" t="s">
        <v>26223</v>
      </c>
      <c r="H3241" s="41" t="s">
        <v>26224</v>
      </c>
      <c r="I3241" s="41" t="s">
        <v>26225</v>
      </c>
      <c r="J3241" s="41" t="s">
        <v>26226</v>
      </c>
      <c r="K3241" s="41" t="s">
        <v>26227</v>
      </c>
      <c r="L3241" s="41" t="s">
        <v>1085</v>
      </c>
    </row>
    <row r="3242" spans="1:19" x14ac:dyDescent="0.25">
      <c r="A3242" s="41" t="s">
        <v>23</v>
      </c>
      <c r="B3242" s="41" t="s">
        <v>26228</v>
      </c>
      <c r="D3242" s="41" t="s">
        <v>26229</v>
      </c>
      <c r="F3242" s="41" t="s">
        <v>26230</v>
      </c>
      <c r="G3242" s="41" t="s">
        <v>26231</v>
      </c>
      <c r="H3242" s="41" t="s">
        <v>26232</v>
      </c>
      <c r="I3242" s="41" t="s">
        <v>26233</v>
      </c>
      <c r="J3242" s="41" t="s">
        <v>26234</v>
      </c>
      <c r="K3242" s="41" t="s">
        <v>26235</v>
      </c>
      <c r="L3242" s="41" t="s">
        <v>1094</v>
      </c>
    </row>
    <row r="3243" spans="1:19" x14ac:dyDescent="0.25">
      <c r="A3243" s="41" t="s">
        <v>908</v>
      </c>
      <c r="B3243" s="41" t="s">
        <v>26236</v>
      </c>
    </row>
    <row r="3244" spans="1:19" x14ac:dyDescent="0.25">
      <c r="A3244" s="41" t="s">
        <v>23</v>
      </c>
      <c r="B3244" s="41" t="s">
        <v>26237</v>
      </c>
      <c r="F3244" s="41" t="s">
        <v>26238</v>
      </c>
      <c r="G3244" s="41" t="s">
        <v>26239</v>
      </c>
      <c r="H3244" s="41" t="s">
        <v>26240</v>
      </c>
      <c r="I3244" s="41" t="s">
        <v>26241</v>
      </c>
      <c r="J3244" s="41" t="s">
        <v>26242</v>
      </c>
      <c r="L3244" s="41" t="s">
        <v>4</v>
      </c>
    </row>
    <row r="3245" spans="1:19" x14ac:dyDescent="0.25">
      <c r="A3245" s="41" t="s">
        <v>23</v>
      </c>
      <c r="B3245" s="41" t="s">
        <v>26243</v>
      </c>
      <c r="D3245" s="41" t="s">
        <v>26078</v>
      </c>
      <c r="E3245" s="41" t="s">
        <v>26245</v>
      </c>
      <c r="F3245" s="41" t="s">
        <v>26246</v>
      </c>
      <c r="G3245" s="41" t="s">
        <v>26247</v>
      </c>
      <c r="H3245" s="41" t="s">
        <v>26248</v>
      </c>
      <c r="I3245" s="41" t="s">
        <v>26249</v>
      </c>
      <c r="J3245" s="41" t="s">
        <v>26250</v>
      </c>
      <c r="K3245" s="41" t="s">
        <v>26251</v>
      </c>
      <c r="L3245" s="41" t="s">
        <v>26252</v>
      </c>
      <c r="M3245" s="41" t="s">
        <v>26253</v>
      </c>
      <c r="N3245" s="41" t="s">
        <v>26254</v>
      </c>
      <c r="O3245" s="41" t="s">
        <v>26255</v>
      </c>
      <c r="P3245" s="41" t="s">
        <v>26256</v>
      </c>
      <c r="Q3245" s="41" t="s">
        <v>26257</v>
      </c>
      <c r="R3245" s="41" t="s">
        <v>26258</v>
      </c>
      <c r="S3245" s="41" t="s">
        <v>26259</v>
      </c>
    </row>
    <row r="3246" spans="1:19" x14ac:dyDescent="0.25">
      <c r="A3246" s="41" t="s">
        <v>23</v>
      </c>
      <c r="B3246" s="41" t="s">
        <v>26260</v>
      </c>
      <c r="D3246" s="41" t="s">
        <v>26261</v>
      </c>
      <c r="F3246" s="41" t="s">
        <v>26262</v>
      </c>
      <c r="G3246" s="41" t="s">
        <v>26263</v>
      </c>
      <c r="H3246" s="41" t="s">
        <v>26264</v>
      </c>
      <c r="I3246" s="41" t="s">
        <v>26265</v>
      </c>
      <c r="J3246" s="41" t="s">
        <v>26266</v>
      </c>
      <c r="K3246" s="41" t="s">
        <v>26267</v>
      </c>
      <c r="L3246" s="41" t="s">
        <v>891</v>
      </c>
    </row>
    <row r="3247" spans="1:19" x14ac:dyDescent="0.25">
      <c r="A3247" s="41" t="s">
        <v>23</v>
      </c>
      <c r="B3247" s="41" t="s">
        <v>26268</v>
      </c>
      <c r="D3247" s="41" t="s">
        <v>26269</v>
      </c>
      <c r="F3247" s="41" t="s">
        <v>26270</v>
      </c>
      <c r="G3247" s="41" t="s">
        <v>26271</v>
      </c>
      <c r="H3247" s="41" t="s">
        <v>26272</v>
      </c>
      <c r="I3247" s="41" t="s">
        <v>26273</v>
      </c>
      <c r="J3247" s="41" t="s">
        <v>26274</v>
      </c>
      <c r="K3247" s="41" t="s">
        <v>26275</v>
      </c>
      <c r="L3247" s="41" t="s">
        <v>1076</v>
      </c>
    </row>
    <row r="3248" spans="1:19" x14ac:dyDescent="0.25">
      <c r="A3248" s="41" t="s">
        <v>23</v>
      </c>
      <c r="B3248" s="41" t="s">
        <v>26276</v>
      </c>
      <c r="D3248" s="41" t="s">
        <v>26277</v>
      </c>
      <c r="F3248" s="41" t="s">
        <v>26278</v>
      </c>
      <c r="G3248" s="41" t="s">
        <v>26279</v>
      </c>
      <c r="H3248" s="41" t="s">
        <v>26280</v>
      </c>
      <c r="I3248" s="41" t="s">
        <v>26281</v>
      </c>
      <c r="J3248" s="41" t="s">
        <v>26282</v>
      </c>
      <c r="K3248" s="41" t="s">
        <v>26283</v>
      </c>
      <c r="L3248" s="41" t="s">
        <v>1085</v>
      </c>
    </row>
    <row r="3249" spans="1:19" x14ac:dyDescent="0.25">
      <c r="A3249" s="41" t="s">
        <v>23</v>
      </c>
      <c r="B3249" s="41" t="s">
        <v>26284</v>
      </c>
      <c r="D3249" s="41" t="s">
        <v>26285</v>
      </c>
      <c r="F3249" s="41" t="s">
        <v>26286</v>
      </c>
      <c r="G3249" s="41" t="s">
        <v>26287</v>
      </c>
      <c r="H3249" s="41" t="s">
        <v>26288</v>
      </c>
      <c r="I3249" s="41" t="s">
        <v>26289</v>
      </c>
      <c r="J3249" s="41" t="s">
        <v>26290</v>
      </c>
      <c r="K3249" s="41" t="s">
        <v>26291</v>
      </c>
      <c r="L3249" s="41" t="s">
        <v>1094</v>
      </c>
    </row>
    <row r="3250" spans="1:19" x14ac:dyDescent="0.25">
      <c r="A3250" s="41" t="s">
        <v>908</v>
      </c>
      <c r="B3250" s="41" t="s">
        <v>26292</v>
      </c>
    </row>
    <row r="3251" spans="1:19" x14ac:dyDescent="0.25">
      <c r="A3251" s="41" t="s">
        <v>23</v>
      </c>
      <c r="B3251" s="41" t="s">
        <v>26293</v>
      </c>
      <c r="F3251" s="41" t="s">
        <v>26294</v>
      </c>
      <c r="G3251" s="41" t="s">
        <v>26295</v>
      </c>
      <c r="H3251" s="41" t="s">
        <v>26296</v>
      </c>
      <c r="I3251" s="41" t="s">
        <v>26297</v>
      </c>
      <c r="J3251" s="41" t="s">
        <v>26298</v>
      </c>
      <c r="L3251" s="41" t="s">
        <v>4</v>
      </c>
    </row>
    <row r="3252" spans="1:19" x14ac:dyDescent="0.25">
      <c r="A3252" s="41" t="s">
        <v>23</v>
      </c>
      <c r="B3252" s="41" t="s">
        <v>26299</v>
      </c>
      <c r="D3252" s="41" t="s">
        <v>455</v>
      </c>
      <c r="E3252" s="41" t="s">
        <v>26301</v>
      </c>
      <c r="F3252" s="41" t="s">
        <v>26302</v>
      </c>
      <c r="G3252" s="41" t="s">
        <v>26303</v>
      </c>
      <c r="H3252" s="41" t="s">
        <v>26304</v>
      </c>
      <c r="I3252" s="41" t="s">
        <v>26305</v>
      </c>
      <c r="J3252" s="41" t="s">
        <v>26306</v>
      </c>
      <c r="K3252" s="41" t="s">
        <v>26307</v>
      </c>
      <c r="L3252" s="41" t="s">
        <v>26308</v>
      </c>
      <c r="M3252" s="41" t="s">
        <v>26309</v>
      </c>
      <c r="N3252" s="41" t="s">
        <v>26310</v>
      </c>
      <c r="O3252" s="41" t="s">
        <v>26311</v>
      </c>
      <c r="P3252" s="41" t="s">
        <v>26312</v>
      </c>
      <c r="Q3252" s="41" t="s">
        <v>26313</v>
      </c>
      <c r="R3252" s="41" t="s">
        <v>26314</v>
      </c>
      <c r="S3252" s="41" t="s">
        <v>26315</v>
      </c>
    </row>
    <row r="3253" spans="1:19" x14ac:dyDescent="0.25">
      <c r="A3253" s="41" t="s">
        <v>23</v>
      </c>
      <c r="B3253" s="41" t="s">
        <v>26316</v>
      </c>
      <c r="D3253" s="41" t="s">
        <v>26317</v>
      </c>
      <c r="F3253" s="41" t="s">
        <v>26318</v>
      </c>
      <c r="G3253" s="41" t="s">
        <v>26319</v>
      </c>
      <c r="H3253" s="41" t="s">
        <v>26320</v>
      </c>
      <c r="I3253" s="41" t="s">
        <v>26321</v>
      </c>
      <c r="J3253" s="41" t="s">
        <v>26322</v>
      </c>
      <c r="K3253" s="41" t="s">
        <v>26323</v>
      </c>
      <c r="L3253" s="41" t="s">
        <v>891</v>
      </c>
    </row>
    <row r="3254" spans="1:19" x14ac:dyDescent="0.25">
      <c r="A3254" s="41" t="s">
        <v>23</v>
      </c>
      <c r="B3254" s="41" t="s">
        <v>26324</v>
      </c>
      <c r="D3254" s="41" t="s">
        <v>26325</v>
      </c>
      <c r="F3254" s="41" t="s">
        <v>26326</v>
      </c>
      <c r="G3254" s="41" t="s">
        <v>26327</v>
      </c>
      <c r="H3254" s="41" t="s">
        <v>26328</v>
      </c>
      <c r="I3254" s="41" t="s">
        <v>26329</v>
      </c>
      <c r="J3254" s="41" t="s">
        <v>26330</v>
      </c>
      <c r="K3254" s="41" t="s">
        <v>26331</v>
      </c>
      <c r="L3254" s="41" t="s">
        <v>1076</v>
      </c>
    </row>
    <row r="3255" spans="1:19" x14ac:dyDescent="0.25">
      <c r="A3255" s="41" t="s">
        <v>23</v>
      </c>
      <c r="B3255" s="41" t="s">
        <v>26332</v>
      </c>
      <c r="D3255" s="41" t="s">
        <v>26333</v>
      </c>
      <c r="F3255" s="41" t="s">
        <v>26334</v>
      </c>
      <c r="G3255" s="41" t="s">
        <v>26335</v>
      </c>
      <c r="H3255" s="41" t="s">
        <v>26336</v>
      </c>
      <c r="I3255" s="41" t="s">
        <v>26337</v>
      </c>
      <c r="J3255" s="41" t="s">
        <v>26338</v>
      </c>
      <c r="K3255" s="41" t="s">
        <v>26339</v>
      </c>
      <c r="L3255" s="41" t="s">
        <v>1085</v>
      </c>
    </row>
    <row r="3256" spans="1:19" x14ac:dyDescent="0.25">
      <c r="A3256" s="41" t="s">
        <v>23</v>
      </c>
      <c r="B3256" s="41" t="s">
        <v>26340</v>
      </c>
      <c r="D3256" s="41" t="s">
        <v>26341</v>
      </c>
      <c r="F3256" s="41" t="s">
        <v>26342</v>
      </c>
      <c r="G3256" s="41" t="s">
        <v>26343</v>
      </c>
      <c r="H3256" s="41" t="s">
        <v>26344</v>
      </c>
      <c r="I3256" s="41" t="s">
        <v>26345</v>
      </c>
      <c r="J3256" s="41" t="s">
        <v>26346</v>
      </c>
      <c r="K3256" s="41" t="s">
        <v>26347</v>
      </c>
      <c r="L3256" s="41" t="s">
        <v>1094</v>
      </c>
    </row>
    <row r="3257" spans="1:19" x14ac:dyDescent="0.25">
      <c r="A3257" s="41" t="s">
        <v>908</v>
      </c>
      <c r="B3257" s="41" t="s">
        <v>26348</v>
      </c>
    </row>
    <row r="3258" spans="1:19" x14ac:dyDescent="0.25">
      <c r="A3258" s="41" t="s">
        <v>23</v>
      </c>
      <c r="B3258" s="41" t="s">
        <v>26349</v>
      </c>
      <c r="F3258" s="41" t="s">
        <v>26350</v>
      </c>
      <c r="G3258" s="41" t="s">
        <v>26351</v>
      </c>
      <c r="H3258" s="41" t="s">
        <v>26352</v>
      </c>
      <c r="I3258" s="41" t="s">
        <v>26353</v>
      </c>
      <c r="J3258" s="41" t="s">
        <v>26354</v>
      </c>
      <c r="L3258" s="41" t="s">
        <v>4</v>
      </c>
    </row>
    <row r="3259" spans="1:19" x14ac:dyDescent="0.25">
      <c r="A3259" s="41" t="s">
        <v>23</v>
      </c>
      <c r="B3259" s="41" t="s">
        <v>26355</v>
      </c>
      <c r="D3259" s="41" t="s">
        <v>456</v>
      </c>
      <c r="E3259" s="41" t="s">
        <v>26357</v>
      </c>
      <c r="F3259" s="41" t="s">
        <v>26358</v>
      </c>
      <c r="G3259" s="41" t="s">
        <v>26359</v>
      </c>
      <c r="H3259" s="41" t="s">
        <v>26360</v>
      </c>
      <c r="I3259" s="41" t="s">
        <v>26361</v>
      </c>
      <c r="J3259" s="41" t="s">
        <v>26362</v>
      </c>
      <c r="K3259" s="41" t="s">
        <v>26363</v>
      </c>
      <c r="L3259" s="41" t="s">
        <v>26364</v>
      </c>
      <c r="M3259" s="41" t="s">
        <v>26365</v>
      </c>
      <c r="N3259" s="41" t="s">
        <v>26366</v>
      </c>
      <c r="O3259" s="41" t="s">
        <v>26367</v>
      </c>
      <c r="P3259" s="41" t="s">
        <v>26368</v>
      </c>
      <c r="Q3259" s="41" t="s">
        <v>26369</v>
      </c>
      <c r="R3259" s="41" t="s">
        <v>26370</v>
      </c>
      <c r="S3259" s="41" t="s">
        <v>26371</v>
      </c>
    </row>
    <row r="3260" spans="1:19" x14ac:dyDescent="0.25">
      <c r="A3260" s="41" t="s">
        <v>23</v>
      </c>
      <c r="B3260" s="41" t="s">
        <v>26372</v>
      </c>
      <c r="D3260" s="41" t="s">
        <v>26373</v>
      </c>
      <c r="F3260" s="41" t="s">
        <v>26374</v>
      </c>
      <c r="G3260" s="41" t="s">
        <v>26375</v>
      </c>
      <c r="H3260" s="41" t="s">
        <v>26376</v>
      </c>
      <c r="I3260" s="41" t="s">
        <v>26377</v>
      </c>
      <c r="J3260" s="41" t="s">
        <v>26378</v>
      </c>
      <c r="K3260" s="41" t="s">
        <v>26379</v>
      </c>
      <c r="L3260" s="41" t="s">
        <v>891</v>
      </c>
    </row>
    <row r="3261" spans="1:19" x14ac:dyDescent="0.25">
      <c r="A3261" s="41" t="s">
        <v>23</v>
      </c>
      <c r="B3261" s="41" t="s">
        <v>26380</v>
      </c>
      <c r="D3261" s="41" t="s">
        <v>26381</v>
      </c>
      <c r="F3261" s="41" t="s">
        <v>26382</v>
      </c>
      <c r="G3261" s="41" t="s">
        <v>26383</v>
      </c>
      <c r="H3261" s="41" t="s">
        <v>26384</v>
      </c>
      <c r="I3261" s="41" t="s">
        <v>26385</v>
      </c>
      <c r="J3261" s="41" t="s">
        <v>26386</v>
      </c>
      <c r="K3261" s="41" t="s">
        <v>26387</v>
      </c>
      <c r="L3261" s="41" t="s">
        <v>1076</v>
      </c>
    </row>
    <row r="3262" spans="1:19" x14ac:dyDescent="0.25">
      <c r="A3262" s="41" t="s">
        <v>23</v>
      </c>
      <c r="B3262" s="41" t="s">
        <v>26388</v>
      </c>
      <c r="D3262" s="41" t="s">
        <v>26389</v>
      </c>
      <c r="F3262" s="41" t="s">
        <v>26390</v>
      </c>
      <c r="G3262" s="41" t="s">
        <v>26391</v>
      </c>
      <c r="H3262" s="41" t="s">
        <v>26392</v>
      </c>
      <c r="I3262" s="41" t="s">
        <v>26393</v>
      </c>
      <c r="J3262" s="41" t="s">
        <v>26394</v>
      </c>
      <c r="K3262" s="41" t="s">
        <v>26395</v>
      </c>
      <c r="L3262" s="41" t="s">
        <v>1085</v>
      </c>
    </row>
    <row r="3263" spans="1:19" x14ac:dyDescent="0.25">
      <c r="A3263" s="41" t="s">
        <v>23</v>
      </c>
      <c r="B3263" s="41" t="s">
        <v>26396</v>
      </c>
      <c r="D3263" s="41" t="s">
        <v>26397</v>
      </c>
      <c r="F3263" s="41" t="s">
        <v>26398</v>
      </c>
      <c r="G3263" s="41" t="s">
        <v>26399</v>
      </c>
      <c r="H3263" s="41" t="s">
        <v>26400</v>
      </c>
      <c r="I3263" s="41" t="s">
        <v>26401</v>
      </c>
      <c r="J3263" s="41" t="s">
        <v>26402</v>
      </c>
      <c r="K3263" s="41" t="s">
        <v>26403</v>
      </c>
      <c r="L3263" s="41" t="s">
        <v>1094</v>
      </c>
    </row>
    <row r="3264" spans="1:19" x14ac:dyDescent="0.25">
      <c r="A3264" s="41" t="s">
        <v>908</v>
      </c>
      <c r="B3264" s="41" t="s">
        <v>26404</v>
      </c>
    </row>
    <row r="3265" spans="1:19" x14ac:dyDescent="0.25">
      <c r="A3265" s="41" t="s">
        <v>23</v>
      </c>
      <c r="B3265" s="41" t="s">
        <v>26405</v>
      </c>
      <c r="F3265" s="41" t="s">
        <v>26406</v>
      </c>
      <c r="G3265" s="41" t="s">
        <v>26407</v>
      </c>
      <c r="H3265" s="41" t="s">
        <v>26408</v>
      </c>
      <c r="I3265" s="41" t="s">
        <v>26409</v>
      </c>
      <c r="J3265" s="41" t="s">
        <v>26410</v>
      </c>
      <c r="L3265" s="41" t="s">
        <v>4</v>
      </c>
    </row>
    <row r="3266" spans="1:19" x14ac:dyDescent="0.25">
      <c r="A3266" s="41" t="s">
        <v>23</v>
      </c>
      <c r="B3266" s="41" t="s">
        <v>26411</v>
      </c>
      <c r="D3266" s="41" t="s">
        <v>26244</v>
      </c>
      <c r="E3266" s="41" t="s">
        <v>26413</v>
      </c>
      <c r="F3266" s="41" t="s">
        <v>26414</v>
      </c>
      <c r="G3266" s="41" t="s">
        <v>26415</v>
      </c>
      <c r="H3266" s="41" t="s">
        <v>26416</v>
      </c>
      <c r="I3266" s="41" t="s">
        <v>26417</v>
      </c>
      <c r="J3266" s="41" t="s">
        <v>26418</v>
      </c>
      <c r="K3266" s="41" t="s">
        <v>26419</v>
      </c>
      <c r="L3266" s="41" t="s">
        <v>26420</v>
      </c>
      <c r="M3266" s="41" t="s">
        <v>26421</v>
      </c>
      <c r="N3266" s="41" t="s">
        <v>26422</v>
      </c>
      <c r="O3266" s="41" t="s">
        <v>26423</v>
      </c>
      <c r="P3266" s="41" t="s">
        <v>26424</v>
      </c>
      <c r="Q3266" s="41" t="s">
        <v>26425</v>
      </c>
      <c r="R3266" s="41" t="s">
        <v>26426</v>
      </c>
      <c r="S3266" s="41" t="s">
        <v>26427</v>
      </c>
    </row>
    <row r="3267" spans="1:19" x14ac:dyDescent="0.25">
      <c r="A3267" s="41" t="s">
        <v>23</v>
      </c>
      <c r="B3267" s="41" t="s">
        <v>26428</v>
      </c>
      <c r="D3267" s="41" t="s">
        <v>26429</v>
      </c>
      <c r="F3267" s="41" t="s">
        <v>26430</v>
      </c>
      <c r="G3267" s="41" t="s">
        <v>26431</v>
      </c>
      <c r="H3267" s="41" t="s">
        <v>26432</v>
      </c>
      <c r="I3267" s="41" t="s">
        <v>26433</v>
      </c>
      <c r="J3267" s="41" t="s">
        <v>26434</v>
      </c>
      <c r="K3267" s="41" t="s">
        <v>26435</v>
      </c>
      <c r="L3267" s="41" t="s">
        <v>891</v>
      </c>
    </row>
    <row r="3268" spans="1:19" x14ac:dyDescent="0.25">
      <c r="A3268" s="41" t="s">
        <v>23</v>
      </c>
      <c r="B3268" s="41" t="s">
        <v>26436</v>
      </c>
      <c r="D3268" s="41" t="s">
        <v>26437</v>
      </c>
      <c r="F3268" s="41" t="s">
        <v>26438</v>
      </c>
      <c r="G3268" s="41" t="s">
        <v>26439</v>
      </c>
      <c r="H3268" s="41" t="s">
        <v>26440</v>
      </c>
      <c r="I3268" s="41" t="s">
        <v>26441</v>
      </c>
      <c r="J3268" s="41" t="s">
        <v>26442</v>
      </c>
      <c r="K3268" s="41" t="s">
        <v>26443</v>
      </c>
      <c r="L3268" s="41" t="s">
        <v>1076</v>
      </c>
    </row>
    <row r="3269" spans="1:19" x14ac:dyDescent="0.25">
      <c r="A3269" s="41" t="s">
        <v>23</v>
      </c>
      <c r="B3269" s="41" t="s">
        <v>26444</v>
      </c>
      <c r="D3269" s="41" t="s">
        <v>26445</v>
      </c>
      <c r="F3269" s="41" t="s">
        <v>26446</v>
      </c>
      <c r="G3269" s="41" t="s">
        <v>26447</v>
      </c>
      <c r="H3269" s="41" t="s">
        <v>26448</v>
      </c>
      <c r="I3269" s="41" t="s">
        <v>26449</v>
      </c>
      <c r="J3269" s="41" t="s">
        <v>26450</v>
      </c>
      <c r="K3269" s="41" t="s">
        <v>26451</v>
      </c>
      <c r="L3269" s="41" t="s">
        <v>1085</v>
      </c>
    </row>
    <row r="3270" spans="1:19" x14ac:dyDescent="0.25">
      <c r="A3270" s="41" t="s">
        <v>23</v>
      </c>
      <c r="B3270" s="41" t="s">
        <v>26452</v>
      </c>
      <c r="D3270" s="41" t="s">
        <v>26453</v>
      </c>
      <c r="F3270" s="41" t="s">
        <v>26454</v>
      </c>
      <c r="G3270" s="41" t="s">
        <v>26455</v>
      </c>
      <c r="H3270" s="41" t="s">
        <v>26456</v>
      </c>
      <c r="I3270" s="41" t="s">
        <v>26457</v>
      </c>
      <c r="J3270" s="41" t="s">
        <v>26458</v>
      </c>
      <c r="K3270" s="41" t="s">
        <v>26459</v>
      </c>
      <c r="L3270" s="41" t="s">
        <v>1094</v>
      </c>
    </row>
    <row r="3271" spans="1:19" x14ac:dyDescent="0.25">
      <c r="A3271" s="41" t="s">
        <v>908</v>
      </c>
      <c r="B3271" s="41" t="s">
        <v>26460</v>
      </c>
    </row>
    <row r="3272" spans="1:19" x14ac:dyDescent="0.25">
      <c r="A3272" s="41" t="s">
        <v>23</v>
      </c>
      <c r="B3272" s="41" t="s">
        <v>26461</v>
      </c>
      <c r="F3272" s="41" t="s">
        <v>26462</v>
      </c>
      <c r="G3272" s="41" t="s">
        <v>26463</v>
      </c>
      <c r="H3272" s="41" t="s">
        <v>26464</v>
      </c>
      <c r="I3272" s="41" t="s">
        <v>26465</v>
      </c>
      <c r="J3272" s="41" t="s">
        <v>26466</v>
      </c>
      <c r="L3272" s="41" t="s">
        <v>4</v>
      </c>
    </row>
    <row r="3273" spans="1:19" x14ac:dyDescent="0.25">
      <c r="A3273" s="41" t="s">
        <v>23</v>
      </c>
      <c r="B3273" s="41" t="s">
        <v>26467</v>
      </c>
      <c r="D3273" s="41" t="s">
        <v>26300</v>
      </c>
      <c r="E3273" s="41" t="s">
        <v>26469</v>
      </c>
      <c r="F3273" s="41" t="s">
        <v>26470</v>
      </c>
      <c r="G3273" s="41" t="s">
        <v>26471</v>
      </c>
      <c r="H3273" s="41" t="s">
        <v>26472</v>
      </c>
      <c r="I3273" s="41" t="s">
        <v>26473</v>
      </c>
      <c r="J3273" s="41" t="s">
        <v>26474</v>
      </c>
      <c r="K3273" s="41" t="s">
        <v>26475</v>
      </c>
      <c r="L3273" s="41" t="s">
        <v>26476</v>
      </c>
      <c r="M3273" s="41" t="s">
        <v>26477</v>
      </c>
      <c r="N3273" s="41" t="s">
        <v>26478</v>
      </c>
      <c r="O3273" s="41" t="s">
        <v>26479</v>
      </c>
      <c r="P3273" s="41" t="s">
        <v>26480</v>
      </c>
      <c r="Q3273" s="41" t="s">
        <v>26481</v>
      </c>
      <c r="R3273" s="41" t="s">
        <v>26482</v>
      </c>
      <c r="S3273" s="41" t="s">
        <v>26483</v>
      </c>
    </row>
    <row r="3274" spans="1:19" x14ac:dyDescent="0.25">
      <c r="A3274" s="41" t="s">
        <v>23</v>
      </c>
      <c r="B3274" s="41" t="s">
        <v>26484</v>
      </c>
      <c r="D3274" s="41" t="s">
        <v>26485</v>
      </c>
      <c r="F3274" s="41" t="s">
        <v>26486</v>
      </c>
      <c r="G3274" s="41" t="s">
        <v>26487</v>
      </c>
      <c r="H3274" s="41" t="s">
        <v>26488</v>
      </c>
      <c r="I3274" s="41" t="s">
        <v>26489</v>
      </c>
      <c r="J3274" s="41" t="s">
        <v>26490</v>
      </c>
      <c r="K3274" s="41" t="s">
        <v>26491</v>
      </c>
      <c r="L3274" s="41" t="s">
        <v>891</v>
      </c>
    </row>
    <row r="3275" spans="1:19" x14ac:dyDescent="0.25">
      <c r="A3275" s="41" t="s">
        <v>23</v>
      </c>
      <c r="B3275" s="41" t="s">
        <v>26492</v>
      </c>
      <c r="D3275" s="41" t="s">
        <v>26493</v>
      </c>
      <c r="F3275" s="41" t="s">
        <v>26494</v>
      </c>
      <c r="G3275" s="41" t="s">
        <v>26495</v>
      </c>
      <c r="H3275" s="41" t="s">
        <v>26496</v>
      </c>
      <c r="I3275" s="41" t="s">
        <v>26497</v>
      </c>
      <c r="J3275" s="41" t="s">
        <v>26498</v>
      </c>
      <c r="K3275" s="41" t="s">
        <v>26499</v>
      </c>
      <c r="L3275" s="41" t="s">
        <v>1076</v>
      </c>
    </row>
    <row r="3276" spans="1:19" x14ac:dyDescent="0.25">
      <c r="A3276" s="41" t="s">
        <v>23</v>
      </c>
      <c r="B3276" s="41" t="s">
        <v>26500</v>
      </c>
      <c r="D3276" s="41" t="s">
        <v>26501</v>
      </c>
      <c r="F3276" s="41" t="s">
        <v>26502</v>
      </c>
      <c r="G3276" s="41" t="s">
        <v>26503</v>
      </c>
      <c r="H3276" s="41" t="s">
        <v>26504</v>
      </c>
      <c r="I3276" s="41" t="s">
        <v>26505</v>
      </c>
      <c r="J3276" s="41" t="s">
        <v>26506</v>
      </c>
      <c r="K3276" s="41" t="s">
        <v>26507</v>
      </c>
      <c r="L3276" s="41" t="s">
        <v>1085</v>
      </c>
    </row>
    <row r="3277" spans="1:19" x14ac:dyDescent="0.25">
      <c r="A3277" s="41" t="s">
        <v>23</v>
      </c>
      <c r="B3277" s="41" t="s">
        <v>26508</v>
      </c>
      <c r="D3277" s="41" t="s">
        <v>26509</v>
      </c>
      <c r="F3277" s="41" t="s">
        <v>26510</v>
      </c>
      <c r="G3277" s="41" t="s">
        <v>26511</v>
      </c>
      <c r="H3277" s="41" t="s">
        <v>26512</v>
      </c>
      <c r="I3277" s="41" t="s">
        <v>26513</v>
      </c>
      <c r="J3277" s="41" t="s">
        <v>26514</v>
      </c>
      <c r="K3277" s="41" t="s">
        <v>26515</v>
      </c>
      <c r="L3277" s="41" t="s">
        <v>1094</v>
      </c>
    </row>
    <row r="3278" spans="1:19" x14ac:dyDescent="0.25">
      <c r="A3278" s="41" t="s">
        <v>908</v>
      </c>
      <c r="B3278" s="41" t="s">
        <v>26516</v>
      </c>
    </row>
    <row r="3279" spans="1:19" x14ac:dyDescent="0.25">
      <c r="A3279" s="41" t="s">
        <v>23</v>
      </c>
      <c r="B3279" s="41" t="s">
        <v>26517</v>
      </c>
      <c r="F3279" s="41" t="s">
        <v>26518</v>
      </c>
      <c r="G3279" s="41" t="s">
        <v>26519</v>
      </c>
      <c r="H3279" s="41" t="s">
        <v>26520</v>
      </c>
      <c r="I3279" s="41" t="s">
        <v>26521</v>
      </c>
      <c r="J3279" s="41" t="s">
        <v>26522</v>
      </c>
      <c r="L3279" s="41" t="s">
        <v>4</v>
      </c>
    </row>
    <row r="3280" spans="1:19" x14ac:dyDescent="0.25">
      <c r="A3280" s="41" t="s">
        <v>23</v>
      </c>
      <c r="B3280" s="41" t="s">
        <v>26523</v>
      </c>
      <c r="D3280" s="41" t="s">
        <v>26356</v>
      </c>
      <c r="E3280" s="41" t="s">
        <v>26525</v>
      </c>
      <c r="F3280" s="41" t="s">
        <v>26526</v>
      </c>
      <c r="G3280" s="41" t="s">
        <v>26527</v>
      </c>
      <c r="H3280" s="41" t="s">
        <v>26528</v>
      </c>
      <c r="I3280" s="41" t="s">
        <v>26529</v>
      </c>
      <c r="J3280" s="41" t="s">
        <v>26530</v>
      </c>
      <c r="K3280" s="41" t="s">
        <v>26531</v>
      </c>
      <c r="L3280" s="41" t="s">
        <v>26532</v>
      </c>
      <c r="M3280" s="41" t="s">
        <v>26533</v>
      </c>
      <c r="N3280" s="41" t="s">
        <v>26534</v>
      </c>
      <c r="O3280" s="41" t="s">
        <v>26535</v>
      </c>
      <c r="P3280" s="41" t="s">
        <v>26536</v>
      </c>
      <c r="Q3280" s="41" t="s">
        <v>26537</v>
      </c>
      <c r="R3280" s="41" t="s">
        <v>26538</v>
      </c>
      <c r="S3280" s="41" t="s">
        <v>26539</v>
      </c>
    </row>
    <row r="3281" spans="1:19" x14ac:dyDescent="0.25">
      <c r="A3281" s="41" t="s">
        <v>23</v>
      </c>
      <c r="B3281" s="41" t="s">
        <v>26540</v>
      </c>
      <c r="D3281" s="41" t="s">
        <v>26541</v>
      </c>
      <c r="F3281" s="41" t="s">
        <v>26542</v>
      </c>
      <c r="G3281" s="41" t="s">
        <v>26543</v>
      </c>
      <c r="H3281" s="41" t="s">
        <v>26544</v>
      </c>
      <c r="I3281" s="41" t="s">
        <v>26545</v>
      </c>
      <c r="J3281" s="41" t="s">
        <v>26546</v>
      </c>
      <c r="K3281" s="41" t="s">
        <v>26547</v>
      </c>
      <c r="L3281" s="41" t="s">
        <v>891</v>
      </c>
    </row>
    <row r="3282" spans="1:19" x14ac:dyDescent="0.25">
      <c r="A3282" s="41" t="s">
        <v>23</v>
      </c>
      <c r="B3282" s="41" t="s">
        <v>26548</v>
      </c>
      <c r="D3282" s="41" t="s">
        <v>26549</v>
      </c>
      <c r="F3282" s="41" t="s">
        <v>26550</v>
      </c>
      <c r="G3282" s="41" t="s">
        <v>26551</v>
      </c>
      <c r="H3282" s="41" t="s">
        <v>26552</v>
      </c>
      <c r="I3282" s="41" t="s">
        <v>26553</v>
      </c>
      <c r="J3282" s="41" t="s">
        <v>26554</v>
      </c>
      <c r="K3282" s="41" t="s">
        <v>26555</v>
      </c>
      <c r="L3282" s="41" t="s">
        <v>1076</v>
      </c>
    </row>
    <row r="3283" spans="1:19" x14ac:dyDescent="0.25">
      <c r="A3283" s="41" t="s">
        <v>23</v>
      </c>
      <c r="B3283" s="41" t="s">
        <v>26556</v>
      </c>
      <c r="D3283" s="41" t="s">
        <v>26557</v>
      </c>
      <c r="F3283" s="41" t="s">
        <v>26558</v>
      </c>
      <c r="G3283" s="41" t="s">
        <v>26559</v>
      </c>
      <c r="H3283" s="41" t="s">
        <v>26560</v>
      </c>
      <c r="I3283" s="41" t="s">
        <v>26561</v>
      </c>
      <c r="J3283" s="41" t="s">
        <v>26562</v>
      </c>
      <c r="K3283" s="41" t="s">
        <v>26563</v>
      </c>
      <c r="L3283" s="41" t="s">
        <v>1085</v>
      </c>
    </row>
    <row r="3284" spans="1:19" x14ac:dyDescent="0.25">
      <c r="A3284" s="41" t="s">
        <v>23</v>
      </c>
      <c r="B3284" s="41" t="s">
        <v>26564</v>
      </c>
      <c r="D3284" s="41" t="s">
        <v>26565</v>
      </c>
      <c r="F3284" s="41" t="s">
        <v>26566</v>
      </c>
      <c r="G3284" s="41" t="s">
        <v>26567</v>
      </c>
      <c r="H3284" s="41" t="s">
        <v>26568</v>
      </c>
      <c r="I3284" s="41" t="s">
        <v>26569</v>
      </c>
      <c r="J3284" s="41" t="s">
        <v>26570</v>
      </c>
      <c r="K3284" s="41" t="s">
        <v>26571</v>
      </c>
      <c r="L3284" s="41" t="s">
        <v>1094</v>
      </c>
    </row>
    <row r="3285" spans="1:19" x14ac:dyDescent="0.25">
      <c r="A3285" s="41" t="s">
        <v>908</v>
      </c>
      <c r="B3285" s="41" t="s">
        <v>26572</v>
      </c>
    </row>
    <row r="3286" spans="1:19" x14ac:dyDescent="0.25">
      <c r="A3286" s="41" t="s">
        <v>23</v>
      </c>
      <c r="B3286" s="41" t="s">
        <v>26573</v>
      </c>
      <c r="F3286" s="41" t="s">
        <v>26574</v>
      </c>
      <c r="G3286" s="41" t="s">
        <v>26575</v>
      </c>
      <c r="H3286" s="41" t="s">
        <v>26576</v>
      </c>
      <c r="I3286" s="41" t="s">
        <v>26577</v>
      </c>
      <c r="J3286" s="41" t="s">
        <v>26578</v>
      </c>
      <c r="L3286" s="41" t="s">
        <v>4</v>
      </c>
    </row>
    <row r="3287" spans="1:19" x14ac:dyDescent="0.25">
      <c r="A3287" s="41" t="s">
        <v>23</v>
      </c>
      <c r="B3287" s="41" t="s">
        <v>26579</v>
      </c>
      <c r="D3287" s="41" t="s">
        <v>26412</v>
      </c>
      <c r="E3287" s="41" t="s">
        <v>26581</v>
      </c>
      <c r="F3287" s="41" t="s">
        <v>26582</v>
      </c>
      <c r="G3287" s="41" t="s">
        <v>26583</v>
      </c>
      <c r="H3287" s="41" t="s">
        <v>26584</v>
      </c>
      <c r="I3287" s="41" t="s">
        <v>26585</v>
      </c>
      <c r="J3287" s="41" t="s">
        <v>26586</v>
      </c>
      <c r="K3287" s="41" t="s">
        <v>26587</v>
      </c>
      <c r="L3287" s="41" t="s">
        <v>26588</v>
      </c>
      <c r="M3287" s="41" t="s">
        <v>26589</v>
      </c>
      <c r="N3287" s="41" t="s">
        <v>26590</v>
      </c>
      <c r="O3287" s="41" t="s">
        <v>26591</v>
      </c>
      <c r="P3287" s="41" t="s">
        <v>26592</v>
      </c>
      <c r="Q3287" s="41" t="s">
        <v>26593</v>
      </c>
      <c r="R3287" s="41" t="s">
        <v>26594</v>
      </c>
      <c r="S3287" s="41" t="s">
        <v>26595</v>
      </c>
    </row>
    <row r="3288" spans="1:19" x14ac:dyDescent="0.25">
      <c r="A3288" s="41" t="s">
        <v>23</v>
      </c>
      <c r="B3288" s="41" t="s">
        <v>26596</v>
      </c>
      <c r="D3288" s="41" t="s">
        <v>26597</v>
      </c>
      <c r="F3288" s="41" t="s">
        <v>26598</v>
      </c>
      <c r="G3288" s="41" t="s">
        <v>26599</v>
      </c>
      <c r="H3288" s="41" t="s">
        <v>26600</v>
      </c>
      <c r="I3288" s="41" t="s">
        <v>26601</v>
      </c>
      <c r="J3288" s="41" t="s">
        <v>26602</v>
      </c>
      <c r="K3288" s="41" t="s">
        <v>26603</v>
      </c>
      <c r="L3288" s="41" t="s">
        <v>891</v>
      </c>
    </row>
    <row r="3289" spans="1:19" x14ac:dyDescent="0.25">
      <c r="A3289" s="41" t="s">
        <v>23</v>
      </c>
      <c r="B3289" s="41" t="s">
        <v>26604</v>
      </c>
      <c r="D3289" s="41" t="s">
        <v>26605</v>
      </c>
      <c r="F3289" s="41" t="s">
        <v>26606</v>
      </c>
      <c r="G3289" s="41" t="s">
        <v>26607</v>
      </c>
      <c r="H3289" s="41" t="s">
        <v>26608</v>
      </c>
      <c r="I3289" s="41" t="s">
        <v>26609</v>
      </c>
      <c r="J3289" s="41" t="s">
        <v>26610</v>
      </c>
      <c r="K3289" s="41" t="s">
        <v>26611</v>
      </c>
      <c r="L3289" s="41" t="s">
        <v>1076</v>
      </c>
    </row>
    <row r="3290" spans="1:19" x14ac:dyDescent="0.25">
      <c r="A3290" s="41" t="s">
        <v>23</v>
      </c>
      <c r="B3290" s="41" t="s">
        <v>26612</v>
      </c>
      <c r="D3290" s="41" t="s">
        <v>26613</v>
      </c>
      <c r="F3290" s="41" t="s">
        <v>26614</v>
      </c>
      <c r="G3290" s="41" t="s">
        <v>26615</v>
      </c>
      <c r="H3290" s="41" t="s">
        <v>26616</v>
      </c>
      <c r="I3290" s="41" t="s">
        <v>26617</v>
      </c>
      <c r="J3290" s="41" t="s">
        <v>26618</v>
      </c>
      <c r="K3290" s="41" t="s">
        <v>26619</v>
      </c>
      <c r="L3290" s="41" t="s">
        <v>1085</v>
      </c>
    </row>
    <row r="3291" spans="1:19" x14ac:dyDescent="0.25">
      <c r="A3291" s="41" t="s">
        <v>23</v>
      </c>
      <c r="B3291" s="41" t="s">
        <v>26620</v>
      </c>
      <c r="D3291" s="41" t="s">
        <v>26621</v>
      </c>
      <c r="F3291" s="41" t="s">
        <v>26622</v>
      </c>
      <c r="G3291" s="41" t="s">
        <v>26623</v>
      </c>
      <c r="H3291" s="41" t="s">
        <v>26624</v>
      </c>
      <c r="I3291" s="41" t="s">
        <v>26625</v>
      </c>
      <c r="J3291" s="41" t="s">
        <v>26626</v>
      </c>
      <c r="K3291" s="41" t="s">
        <v>26627</v>
      </c>
      <c r="L3291" s="41" t="s">
        <v>1094</v>
      </c>
    </row>
    <row r="3292" spans="1:19" x14ac:dyDescent="0.25">
      <c r="A3292" s="41" t="s">
        <v>908</v>
      </c>
      <c r="B3292" s="41" t="s">
        <v>26628</v>
      </c>
    </row>
    <row r="3293" spans="1:19" x14ac:dyDescent="0.25">
      <c r="A3293" s="41" t="s">
        <v>23</v>
      </c>
      <c r="B3293" s="41" t="s">
        <v>26629</v>
      </c>
      <c r="F3293" s="41" t="s">
        <v>26630</v>
      </c>
      <c r="G3293" s="41" t="s">
        <v>26631</v>
      </c>
      <c r="H3293" s="41" t="s">
        <v>26632</v>
      </c>
      <c r="I3293" s="41" t="s">
        <v>26633</v>
      </c>
      <c r="J3293" s="41" t="s">
        <v>26634</v>
      </c>
      <c r="L3293" s="41" t="s">
        <v>4</v>
      </c>
    </row>
    <row r="3294" spans="1:19" x14ac:dyDescent="0.25">
      <c r="A3294" s="41" t="s">
        <v>23</v>
      </c>
      <c r="B3294" s="41" t="s">
        <v>26635</v>
      </c>
      <c r="D3294" s="41" t="s">
        <v>26468</v>
      </c>
      <c r="E3294" s="41" t="s">
        <v>26637</v>
      </c>
      <c r="F3294" s="41" t="s">
        <v>26638</v>
      </c>
      <c r="G3294" s="41" t="s">
        <v>26639</v>
      </c>
      <c r="H3294" s="41" t="s">
        <v>26640</v>
      </c>
      <c r="I3294" s="41" t="s">
        <v>26641</v>
      </c>
      <c r="J3294" s="41" t="s">
        <v>26642</v>
      </c>
      <c r="K3294" s="41" t="s">
        <v>26643</v>
      </c>
      <c r="L3294" s="41" t="s">
        <v>26644</v>
      </c>
      <c r="M3294" s="41" t="s">
        <v>26645</v>
      </c>
      <c r="N3294" s="41" t="s">
        <v>26646</v>
      </c>
      <c r="O3294" s="41" t="s">
        <v>26647</v>
      </c>
      <c r="P3294" s="41" t="s">
        <v>26648</v>
      </c>
      <c r="Q3294" s="41" t="s">
        <v>26649</v>
      </c>
      <c r="R3294" s="41" t="s">
        <v>26650</v>
      </c>
      <c r="S3294" s="41" t="s">
        <v>26651</v>
      </c>
    </row>
    <row r="3295" spans="1:19" x14ac:dyDescent="0.25">
      <c r="A3295" s="41" t="s">
        <v>23</v>
      </c>
      <c r="B3295" s="41" t="s">
        <v>26652</v>
      </c>
      <c r="D3295" s="41" t="s">
        <v>26653</v>
      </c>
      <c r="F3295" s="41" t="s">
        <v>26654</v>
      </c>
      <c r="G3295" s="41" t="s">
        <v>26655</v>
      </c>
      <c r="H3295" s="41" t="s">
        <v>26656</v>
      </c>
      <c r="I3295" s="41" t="s">
        <v>26657</v>
      </c>
      <c r="J3295" s="41" t="s">
        <v>26658</v>
      </c>
      <c r="K3295" s="41" t="s">
        <v>26659</v>
      </c>
      <c r="L3295" s="41" t="s">
        <v>891</v>
      </c>
    </row>
    <row r="3296" spans="1:19" x14ac:dyDescent="0.25">
      <c r="A3296" s="41" t="s">
        <v>23</v>
      </c>
      <c r="B3296" s="41" t="s">
        <v>26660</v>
      </c>
      <c r="D3296" s="41" t="s">
        <v>26661</v>
      </c>
      <c r="F3296" s="41" t="s">
        <v>26662</v>
      </c>
      <c r="G3296" s="41" t="s">
        <v>26663</v>
      </c>
      <c r="H3296" s="41" t="s">
        <v>26664</v>
      </c>
      <c r="I3296" s="41" t="s">
        <v>26665</v>
      </c>
      <c r="J3296" s="41" t="s">
        <v>26666</v>
      </c>
      <c r="K3296" s="41" t="s">
        <v>26667</v>
      </c>
      <c r="L3296" s="41" t="s">
        <v>1076</v>
      </c>
    </row>
    <row r="3297" spans="1:19" x14ac:dyDescent="0.25">
      <c r="A3297" s="41" t="s">
        <v>23</v>
      </c>
      <c r="B3297" s="41" t="s">
        <v>26668</v>
      </c>
      <c r="D3297" s="41" t="s">
        <v>26669</v>
      </c>
      <c r="F3297" s="41" t="s">
        <v>26670</v>
      </c>
      <c r="G3297" s="41" t="s">
        <v>26671</v>
      </c>
      <c r="H3297" s="41" t="s">
        <v>26672</v>
      </c>
      <c r="I3297" s="41" t="s">
        <v>26673</v>
      </c>
      <c r="J3297" s="41" t="s">
        <v>26674</v>
      </c>
      <c r="K3297" s="41" t="s">
        <v>26675</v>
      </c>
      <c r="L3297" s="41" t="s">
        <v>1085</v>
      </c>
    </row>
    <row r="3298" spans="1:19" x14ac:dyDescent="0.25">
      <c r="A3298" s="41" t="s">
        <v>23</v>
      </c>
      <c r="B3298" s="41" t="s">
        <v>26676</v>
      </c>
      <c r="D3298" s="41" t="s">
        <v>26677</v>
      </c>
      <c r="F3298" s="41" t="s">
        <v>26678</v>
      </c>
      <c r="G3298" s="41" t="s">
        <v>26679</v>
      </c>
      <c r="H3298" s="41" t="s">
        <v>26680</v>
      </c>
      <c r="I3298" s="41" t="s">
        <v>26681</v>
      </c>
      <c r="J3298" s="41" t="s">
        <v>26682</v>
      </c>
      <c r="K3298" s="41" t="s">
        <v>26683</v>
      </c>
      <c r="L3298" s="41" t="s">
        <v>1094</v>
      </c>
    </row>
    <row r="3299" spans="1:19" x14ac:dyDescent="0.25">
      <c r="A3299" s="41" t="s">
        <v>908</v>
      </c>
      <c r="B3299" s="41" t="s">
        <v>26684</v>
      </c>
    </row>
    <row r="3300" spans="1:19" x14ac:dyDescent="0.25">
      <c r="A3300" s="41" t="s">
        <v>23</v>
      </c>
      <c r="B3300" s="41" t="s">
        <v>26685</v>
      </c>
      <c r="F3300" s="41" t="s">
        <v>26686</v>
      </c>
      <c r="G3300" s="41" t="s">
        <v>26687</v>
      </c>
      <c r="H3300" s="41" t="s">
        <v>26688</v>
      </c>
      <c r="I3300" s="41" t="s">
        <v>26689</v>
      </c>
      <c r="J3300" s="41" t="s">
        <v>26690</v>
      </c>
      <c r="L3300" s="41" t="s">
        <v>4</v>
      </c>
    </row>
    <row r="3301" spans="1:19" x14ac:dyDescent="0.25">
      <c r="A3301" s="41" t="s">
        <v>23</v>
      </c>
      <c r="B3301" s="41" t="s">
        <v>26691</v>
      </c>
      <c r="D3301" s="41" t="s">
        <v>26524</v>
      </c>
      <c r="E3301" s="41" t="s">
        <v>26693</v>
      </c>
      <c r="F3301" s="41" t="s">
        <v>26694</v>
      </c>
      <c r="G3301" s="41" t="s">
        <v>26695</v>
      </c>
      <c r="H3301" s="41" t="s">
        <v>26696</v>
      </c>
      <c r="I3301" s="41" t="s">
        <v>26697</v>
      </c>
      <c r="J3301" s="41" t="s">
        <v>26698</v>
      </c>
      <c r="K3301" s="41" t="s">
        <v>26699</v>
      </c>
      <c r="L3301" s="41" t="s">
        <v>26700</v>
      </c>
      <c r="M3301" s="41" t="s">
        <v>26701</v>
      </c>
      <c r="N3301" s="41" t="s">
        <v>26702</v>
      </c>
      <c r="O3301" s="41" t="s">
        <v>26703</v>
      </c>
      <c r="P3301" s="41" t="s">
        <v>26704</v>
      </c>
      <c r="Q3301" s="41" t="s">
        <v>26705</v>
      </c>
      <c r="R3301" s="41" t="s">
        <v>26706</v>
      </c>
      <c r="S3301" s="41" t="s">
        <v>26707</v>
      </c>
    </row>
    <row r="3302" spans="1:19" x14ac:dyDescent="0.25">
      <c r="A3302" s="41" t="s">
        <v>23</v>
      </c>
      <c r="B3302" s="41" t="s">
        <v>26708</v>
      </c>
      <c r="D3302" s="41" t="s">
        <v>26709</v>
      </c>
      <c r="F3302" s="41" t="s">
        <v>26710</v>
      </c>
      <c r="G3302" s="41" t="s">
        <v>26711</v>
      </c>
      <c r="H3302" s="41" t="s">
        <v>26712</v>
      </c>
      <c r="I3302" s="41" t="s">
        <v>26713</v>
      </c>
      <c r="J3302" s="41" t="s">
        <v>26714</v>
      </c>
      <c r="K3302" s="41" t="s">
        <v>26715</v>
      </c>
      <c r="L3302" s="41" t="s">
        <v>891</v>
      </c>
    </row>
    <row r="3303" spans="1:19" x14ac:dyDescent="0.25">
      <c r="A3303" s="41" t="s">
        <v>23</v>
      </c>
      <c r="B3303" s="41" t="s">
        <v>26716</v>
      </c>
      <c r="D3303" s="41" t="s">
        <v>26717</v>
      </c>
      <c r="F3303" s="41" t="s">
        <v>26718</v>
      </c>
      <c r="G3303" s="41" t="s">
        <v>26719</v>
      </c>
      <c r="H3303" s="41" t="s">
        <v>26720</v>
      </c>
      <c r="I3303" s="41" t="s">
        <v>26721</v>
      </c>
      <c r="J3303" s="41" t="s">
        <v>26722</v>
      </c>
      <c r="K3303" s="41" t="s">
        <v>26723</v>
      </c>
      <c r="L3303" s="41" t="s">
        <v>1076</v>
      </c>
    </row>
    <row r="3304" spans="1:19" x14ac:dyDescent="0.25">
      <c r="A3304" s="41" t="s">
        <v>23</v>
      </c>
      <c r="B3304" s="41" t="s">
        <v>26724</v>
      </c>
      <c r="D3304" s="41" t="s">
        <v>26725</v>
      </c>
      <c r="F3304" s="41" t="s">
        <v>26726</v>
      </c>
      <c r="G3304" s="41" t="s">
        <v>26727</v>
      </c>
      <c r="H3304" s="41" t="s">
        <v>26728</v>
      </c>
      <c r="I3304" s="41" t="s">
        <v>26729</v>
      </c>
      <c r="J3304" s="41" t="s">
        <v>26730</v>
      </c>
      <c r="K3304" s="41" t="s">
        <v>26731</v>
      </c>
      <c r="L3304" s="41" t="s">
        <v>1085</v>
      </c>
    </row>
    <row r="3305" spans="1:19" x14ac:dyDescent="0.25">
      <c r="A3305" s="41" t="s">
        <v>23</v>
      </c>
      <c r="B3305" s="41" t="s">
        <v>26732</v>
      </c>
      <c r="D3305" s="41" t="s">
        <v>26733</v>
      </c>
      <c r="F3305" s="41" t="s">
        <v>26734</v>
      </c>
      <c r="G3305" s="41" t="s">
        <v>26735</v>
      </c>
      <c r="H3305" s="41" t="s">
        <v>26736</v>
      </c>
      <c r="I3305" s="41" t="s">
        <v>26737</v>
      </c>
      <c r="J3305" s="41" t="s">
        <v>26738</v>
      </c>
      <c r="K3305" s="41" t="s">
        <v>26739</v>
      </c>
      <c r="L3305" s="41" t="s">
        <v>1094</v>
      </c>
    </row>
    <row r="3306" spans="1:19" x14ac:dyDescent="0.25">
      <c r="A3306" s="41" t="s">
        <v>908</v>
      </c>
      <c r="B3306" s="41" t="s">
        <v>26740</v>
      </c>
    </row>
    <row r="3307" spans="1:19" x14ac:dyDescent="0.25">
      <c r="A3307" s="41" t="s">
        <v>23</v>
      </c>
      <c r="B3307" s="41" t="s">
        <v>26741</v>
      </c>
      <c r="F3307" s="41" t="s">
        <v>26742</v>
      </c>
      <c r="G3307" s="41" t="s">
        <v>26743</v>
      </c>
      <c r="H3307" s="41" t="s">
        <v>26744</v>
      </c>
      <c r="I3307" s="41" t="s">
        <v>26745</v>
      </c>
      <c r="J3307" s="41" t="s">
        <v>26746</v>
      </c>
      <c r="L3307" s="41" t="s">
        <v>4</v>
      </c>
    </row>
    <row r="3308" spans="1:19" x14ac:dyDescent="0.25">
      <c r="A3308" s="41" t="s">
        <v>23</v>
      </c>
      <c r="B3308" s="41" t="s">
        <v>26747</v>
      </c>
      <c r="D3308" s="41" t="s">
        <v>26580</v>
      </c>
      <c r="E3308" s="41" t="s">
        <v>26749</v>
      </c>
      <c r="F3308" s="41" t="s">
        <v>26750</v>
      </c>
      <c r="G3308" s="41" t="s">
        <v>26751</v>
      </c>
      <c r="H3308" s="41" t="s">
        <v>26752</v>
      </c>
      <c r="I3308" s="41" t="s">
        <v>26753</v>
      </c>
      <c r="J3308" s="41" t="s">
        <v>26754</v>
      </c>
      <c r="K3308" s="41" t="s">
        <v>26755</v>
      </c>
      <c r="L3308" s="41" t="s">
        <v>26756</v>
      </c>
      <c r="M3308" s="41" t="s">
        <v>26757</v>
      </c>
      <c r="N3308" s="41" t="s">
        <v>26758</v>
      </c>
      <c r="O3308" s="41" t="s">
        <v>26759</v>
      </c>
      <c r="P3308" s="41" t="s">
        <v>26760</v>
      </c>
      <c r="Q3308" s="41" t="s">
        <v>26761</v>
      </c>
      <c r="R3308" s="41" t="s">
        <v>26762</v>
      </c>
      <c r="S3308" s="41" t="s">
        <v>26763</v>
      </c>
    </row>
    <row r="3309" spans="1:19" x14ac:dyDescent="0.25">
      <c r="A3309" s="41" t="s">
        <v>23</v>
      </c>
      <c r="B3309" s="41" t="s">
        <v>26764</v>
      </c>
      <c r="D3309" s="41" t="s">
        <v>26765</v>
      </c>
      <c r="F3309" s="41" t="s">
        <v>26766</v>
      </c>
      <c r="G3309" s="41" t="s">
        <v>26767</v>
      </c>
      <c r="H3309" s="41" t="s">
        <v>26768</v>
      </c>
      <c r="I3309" s="41" t="s">
        <v>26769</v>
      </c>
      <c r="J3309" s="41" t="s">
        <v>26770</v>
      </c>
      <c r="K3309" s="41" t="s">
        <v>26771</v>
      </c>
      <c r="L3309" s="41" t="s">
        <v>891</v>
      </c>
    </row>
    <row r="3310" spans="1:19" x14ac:dyDescent="0.25">
      <c r="A3310" s="41" t="s">
        <v>23</v>
      </c>
      <c r="B3310" s="41" t="s">
        <v>26772</v>
      </c>
      <c r="D3310" s="41" t="s">
        <v>26773</v>
      </c>
      <c r="F3310" s="41" t="s">
        <v>26774</v>
      </c>
      <c r="G3310" s="41" t="s">
        <v>26775</v>
      </c>
      <c r="H3310" s="41" t="s">
        <v>26776</v>
      </c>
      <c r="I3310" s="41" t="s">
        <v>26777</v>
      </c>
      <c r="J3310" s="41" t="s">
        <v>26778</v>
      </c>
      <c r="K3310" s="41" t="s">
        <v>26779</v>
      </c>
      <c r="L3310" s="41" t="s">
        <v>1076</v>
      </c>
    </row>
    <row r="3311" spans="1:19" x14ac:dyDescent="0.25">
      <c r="A3311" s="41" t="s">
        <v>23</v>
      </c>
      <c r="B3311" s="41" t="s">
        <v>26780</v>
      </c>
      <c r="D3311" s="41" t="s">
        <v>26781</v>
      </c>
      <c r="F3311" s="41" t="s">
        <v>26782</v>
      </c>
      <c r="G3311" s="41" t="s">
        <v>26783</v>
      </c>
      <c r="H3311" s="41" t="s">
        <v>26784</v>
      </c>
      <c r="I3311" s="41" t="s">
        <v>26785</v>
      </c>
      <c r="J3311" s="41" t="s">
        <v>26786</v>
      </c>
      <c r="K3311" s="41" t="s">
        <v>26787</v>
      </c>
      <c r="L3311" s="41" t="s">
        <v>1085</v>
      </c>
    </row>
    <row r="3312" spans="1:19" x14ac:dyDescent="0.25">
      <c r="A3312" s="41" t="s">
        <v>23</v>
      </c>
      <c r="B3312" s="41" t="s">
        <v>26788</v>
      </c>
      <c r="D3312" s="41" t="s">
        <v>26789</v>
      </c>
      <c r="F3312" s="41" t="s">
        <v>26790</v>
      </c>
      <c r="G3312" s="41" t="s">
        <v>26791</v>
      </c>
      <c r="H3312" s="41" t="s">
        <v>26792</v>
      </c>
      <c r="I3312" s="41" t="s">
        <v>26793</v>
      </c>
      <c r="J3312" s="41" t="s">
        <v>26794</v>
      </c>
      <c r="K3312" s="41" t="s">
        <v>26795</v>
      </c>
      <c r="L3312" s="41" t="s">
        <v>1094</v>
      </c>
    </row>
    <row r="3313" spans="1:19" x14ac:dyDescent="0.25">
      <c r="A3313" s="41" t="s">
        <v>908</v>
      </c>
      <c r="B3313" s="41" t="s">
        <v>26796</v>
      </c>
    </row>
    <row r="3314" spans="1:19" x14ac:dyDescent="0.25">
      <c r="A3314" s="41" t="s">
        <v>23</v>
      </c>
      <c r="B3314" s="41" t="s">
        <v>26797</v>
      </c>
      <c r="F3314" s="41" t="s">
        <v>26798</v>
      </c>
      <c r="G3314" s="41" t="s">
        <v>26799</v>
      </c>
      <c r="H3314" s="41" t="s">
        <v>26800</v>
      </c>
      <c r="I3314" s="41" t="s">
        <v>26801</v>
      </c>
      <c r="J3314" s="41" t="s">
        <v>26802</v>
      </c>
      <c r="L3314" s="41" t="s">
        <v>4</v>
      </c>
    </row>
    <row r="3315" spans="1:19" x14ac:dyDescent="0.25">
      <c r="A3315" s="41" t="s">
        <v>23</v>
      </c>
      <c r="B3315" s="41" t="s">
        <v>26803</v>
      </c>
      <c r="D3315" s="41" t="s">
        <v>26636</v>
      </c>
      <c r="E3315" s="41" t="s">
        <v>26805</v>
      </c>
      <c r="F3315" s="41" t="s">
        <v>26806</v>
      </c>
      <c r="G3315" s="41" t="s">
        <v>26807</v>
      </c>
      <c r="H3315" s="41" t="s">
        <v>26808</v>
      </c>
      <c r="I3315" s="41" t="s">
        <v>26809</v>
      </c>
      <c r="J3315" s="41" t="s">
        <v>26810</v>
      </c>
      <c r="K3315" s="41" t="s">
        <v>26811</v>
      </c>
      <c r="L3315" s="41" t="s">
        <v>26812</v>
      </c>
      <c r="M3315" s="41" t="s">
        <v>26813</v>
      </c>
      <c r="N3315" s="41" t="s">
        <v>26814</v>
      </c>
      <c r="O3315" s="41" t="s">
        <v>26815</v>
      </c>
      <c r="P3315" s="41" t="s">
        <v>26816</v>
      </c>
      <c r="Q3315" s="41" t="s">
        <v>26817</v>
      </c>
      <c r="R3315" s="41" t="s">
        <v>26818</v>
      </c>
      <c r="S3315" s="41" t="s">
        <v>26819</v>
      </c>
    </row>
    <row r="3316" spans="1:19" x14ac:dyDescent="0.25">
      <c r="A3316" s="41" t="s">
        <v>23</v>
      </c>
      <c r="B3316" s="41" t="s">
        <v>26820</v>
      </c>
      <c r="D3316" s="41" t="s">
        <v>26821</v>
      </c>
      <c r="F3316" s="41" t="s">
        <v>26822</v>
      </c>
      <c r="G3316" s="41" t="s">
        <v>26823</v>
      </c>
      <c r="H3316" s="41" t="s">
        <v>26824</v>
      </c>
      <c r="I3316" s="41" t="s">
        <v>26825</v>
      </c>
      <c r="J3316" s="41" t="s">
        <v>26826</v>
      </c>
      <c r="K3316" s="41" t="s">
        <v>26827</v>
      </c>
      <c r="L3316" s="41" t="s">
        <v>891</v>
      </c>
    </row>
    <row r="3317" spans="1:19" x14ac:dyDescent="0.25">
      <c r="A3317" s="41" t="s">
        <v>23</v>
      </c>
      <c r="B3317" s="41" t="s">
        <v>26828</v>
      </c>
      <c r="D3317" s="41" t="s">
        <v>26829</v>
      </c>
      <c r="F3317" s="41" t="s">
        <v>26830</v>
      </c>
      <c r="G3317" s="41" t="s">
        <v>26831</v>
      </c>
      <c r="H3317" s="41" t="s">
        <v>26832</v>
      </c>
      <c r="I3317" s="41" t="s">
        <v>26833</v>
      </c>
      <c r="J3317" s="41" t="s">
        <v>26834</v>
      </c>
      <c r="K3317" s="41" t="s">
        <v>26835</v>
      </c>
      <c r="L3317" s="41" t="s">
        <v>1076</v>
      </c>
    </row>
    <row r="3318" spans="1:19" x14ac:dyDescent="0.25">
      <c r="A3318" s="41" t="s">
        <v>23</v>
      </c>
      <c r="B3318" s="41" t="s">
        <v>26836</v>
      </c>
      <c r="D3318" s="41" t="s">
        <v>26837</v>
      </c>
      <c r="F3318" s="41" t="s">
        <v>26838</v>
      </c>
      <c r="G3318" s="41" t="s">
        <v>26839</v>
      </c>
      <c r="H3318" s="41" t="s">
        <v>26840</v>
      </c>
      <c r="I3318" s="41" t="s">
        <v>26841</v>
      </c>
      <c r="J3318" s="41" t="s">
        <v>26842</v>
      </c>
      <c r="K3318" s="41" t="s">
        <v>26843</v>
      </c>
      <c r="L3318" s="41" t="s">
        <v>1085</v>
      </c>
    </row>
    <row r="3319" spans="1:19" x14ac:dyDescent="0.25">
      <c r="A3319" s="41" t="s">
        <v>23</v>
      </c>
      <c r="B3319" s="41" t="s">
        <v>26844</v>
      </c>
      <c r="D3319" s="41" t="s">
        <v>26845</v>
      </c>
      <c r="F3319" s="41" t="s">
        <v>26846</v>
      </c>
      <c r="G3319" s="41" t="s">
        <v>26847</v>
      </c>
      <c r="H3319" s="41" t="s">
        <v>26848</v>
      </c>
      <c r="I3319" s="41" t="s">
        <v>26849</v>
      </c>
      <c r="J3319" s="41" t="s">
        <v>26850</v>
      </c>
      <c r="K3319" s="41" t="s">
        <v>26851</v>
      </c>
      <c r="L3319" s="41" t="s">
        <v>1094</v>
      </c>
    </row>
    <row r="3320" spans="1:19" x14ac:dyDescent="0.25">
      <c r="A3320" s="41" t="s">
        <v>908</v>
      </c>
      <c r="B3320" s="41" t="s">
        <v>26852</v>
      </c>
    </row>
    <row r="3321" spans="1:19" x14ac:dyDescent="0.25">
      <c r="A3321" s="41" t="s">
        <v>23</v>
      </c>
      <c r="B3321" s="41" t="s">
        <v>26853</v>
      </c>
      <c r="F3321" s="41" t="s">
        <v>26854</v>
      </c>
      <c r="G3321" s="41" t="s">
        <v>26855</v>
      </c>
      <c r="H3321" s="41" t="s">
        <v>26856</v>
      </c>
      <c r="I3321" s="41" t="s">
        <v>26857</v>
      </c>
      <c r="J3321" s="41" t="s">
        <v>26858</v>
      </c>
      <c r="L3321" s="41" t="s">
        <v>4</v>
      </c>
    </row>
    <row r="3322" spans="1:19" x14ac:dyDescent="0.25">
      <c r="A3322" s="41" t="s">
        <v>23</v>
      </c>
      <c r="B3322" s="41" t="s">
        <v>26859</v>
      </c>
      <c r="D3322" s="41" t="s">
        <v>26692</v>
      </c>
      <c r="E3322" s="41" t="s">
        <v>26861</v>
      </c>
      <c r="F3322" s="41" t="s">
        <v>26862</v>
      </c>
      <c r="G3322" s="41" t="s">
        <v>26863</v>
      </c>
      <c r="H3322" s="41" t="s">
        <v>26864</v>
      </c>
      <c r="I3322" s="41" t="s">
        <v>26865</v>
      </c>
      <c r="J3322" s="41" t="s">
        <v>26866</v>
      </c>
      <c r="K3322" s="41" t="s">
        <v>26867</v>
      </c>
      <c r="L3322" s="41" t="s">
        <v>26868</v>
      </c>
      <c r="M3322" s="41" t="s">
        <v>26869</v>
      </c>
      <c r="N3322" s="41" t="s">
        <v>26870</v>
      </c>
      <c r="O3322" s="41" t="s">
        <v>26871</v>
      </c>
      <c r="P3322" s="41" t="s">
        <v>26872</v>
      </c>
      <c r="Q3322" s="41" t="s">
        <v>26873</v>
      </c>
      <c r="R3322" s="41" t="s">
        <v>26874</v>
      </c>
      <c r="S3322" s="41" t="s">
        <v>26875</v>
      </c>
    </row>
    <row r="3323" spans="1:19" x14ac:dyDescent="0.25">
      <c r="A3323" s="41" t="s">
        <v>23</v>
      </c>
      <c r="B3323" s="41" t="s">
        <v>26876</v>
      </c>
      <c r="D3323" s="41" t="s">
        <v>26877</v>
      </c>
      <c r="F3323" s="41" t="s">
        <v>26878</v>
      </c>
      <c r="G3323" s="41" t="s">
        <v>26879</v>
      </c>
      <c r="H3323" s="41" t="s">
        <v>26880</v>
      </c>
      <c r="I3323" s="41" t="s">
        <v>26881</v>
      </c>
      <c r="J3323" s="41" t="s">
        <v>26882</v>
      </c>
      <c r="K3323" s="41" t="s">
        <v>26883</v>
      </c>
      <c r="L3323" s="41" t="s">
        <v>891</v>
      </c>
    </row>
    <row r="3324" spans="1:19" x14ac:dyDescent="0.25">
      <c r="A3324" s="41" t="s">
        <v>23</v>
      </c>
      <c r="B3324" s="41" t="s">
        <v>26884</v>
      </c>
      <c r="D3324" s="41" t="s">
        <v>26885</v>
      </c>
      <c r="F3324" s="41" t="s">
        <v>26886</v>
      </c>
      <c r="G3324" s="41" t="s">
        <v>26887</v>
      </c>
      <c r="H3324" s="41" t="s">
        <v>26888</v>
      </c>
      <c r="I3324" s="41" t="s">
        <v>26889</v>
      </c>
      <c r="J3324" s="41" t="s">
        <v>26890</v>
      </c>
      <c r="K3324" s="41" t="s">
        <v>26891</v>
      </c>
      <c r="L3324" s="41" t="s">
        <v>1076</v>
      </c>
    </row>
    <row r="3325" spans="1:19" x14ac:dyDescent="0.25">
      <c r="A3325" s="41" t="s">
        <v>23</v>
      </c>
      <c r="B3325" s="41" t="s">
        <v>26892</v>
      </c>
      <c r="D3325" s="41" t="s">
        <v>26893</v>
      </c>
      <c r="F3325" s="41" t="s">
        <v>26894</v>
      </c>
      <c r="G3325" s="41" t="s">
        <v>26895</v>
      </c>
      <c r="H3325" s="41" t="s">
        <v>26896</v>
      </c>
      <c r="I3325" s="41" t="s">
        <v>26897</v>
      </c>
      <c r="J3325" s="41" t="s">
        <v>26898</v>
      </c>
      <c r="K3325" s="41" t="s">
        <v>26899</v>
      </c>
      <c r="L3325" s="41" t="s">
        <v>1085</v>
      </c>
    </row>
    <row r="3326" spans="1:19" x14ac:dyDescent="0.25">
      <c r="A3326" s="41" t="s">
        <v>23</v>
      </c>
      <c r="B3326" s="41" t="s">
        <v>26900</v>
      </c>
      <c r="D3326" s="41" t="s">
        <v>26901</v>
      </c>
      <c r="F3326" s="41" t="s">
        <v>26902</v>
      </c>
      <c r="G3326" s="41" t="s">
        <v>26903</v>
      </c>
      <c r="H3326" s="41" t="s">
        <v>26904</v>
      </c>
      <c r="I3326" s="41" t="s">
        <v>26905</v>
      </c>
      <c r="J3326" s="41" t="s">
        <v>26906</v>
      </c>
      <c r="K3326" s="41" t="s">
        <v>26907</v>
      </c>
      <c r="L3326" s="41" t="s">
        <v>1094</v>
      </c>
    </row>
    <row r="3327" spans="1:19" x14ac:dyDescent="0.25">
      <c r="A3327" s="41" t="s">
        <v>908</v>
      </c>
      <c r="B3327" s="41" t="s">
        <v>26908</v>
      </c>
    </row>
    <row r="3328" spans="1:19" x14ac:dyDescent="0.25">
      <c r="A3328" s="41" t="s">
        <v>23</v>
      </c>
      <c r="B3328" s="41" t="s">
        <v>26909</v>
      </c>
      <c r="F3328" s="41" t="s">
        <v>26910</v>
      </c>
      <c r="G3328" s="41" t="s">
        <v>26911</v>
      </c>
      <c r="H3328" s="41" t="s">
        <v>26912</v>
      </c>
      <c r="I3328" s="41" t="s">
        <v>26913</v>
      </c>
      <c r="J3328" s="41" t="s">
        <v>26914</v>
      </c>
      <c r="L3328" s="41" t="s">
        <v>4</v>
      </c>
    </row>
    <row r="3329" spans="1:19" x14ac:dyDescent="0.25">
      <c r="A3329" s="41" t="s">
        <v>23</v>
      </c>
      <c r="B3329" s="41" t="s">
        <v>26915</v>
      </c>
      <c r="D3329" s="41" t="s">
        <v>26748</v>
      </c>
      <c r="E3329" s="41" t="s">
        <v>26917</v>
      </c>
      <c r="F3329" s="41" t="s">
        <v>26918</v>
      </c>
      <c r="G3329" s="41" t="s">
        <v>26919</v>
      </c>
      <c r="H3329" s="41" t="s">
        <v>26920</v>
      </c>
      <c r="I3329" s="41" t="s">
        <v>26921</v>
      </c>
      <c r="J3329" s="41" t="s">
        <v>26922</v>
      </c>
      <c r="K3329" s="41" t="s">
        <v>26923</v>
      </c>
      <c r="L3329" s="41" t="s">
        <v>26924</v>
      </c>
      <c r="M3329" s="41" t="s">
        <v>26925</v>
      </c>
      <c r="N3329" s="41" t="s">
        <v>26926</v>
      </c>
      <c r="O3329" s="41" t="s">
        <v>26927</v>
      </c>
      <c r="P3329" s="41" t="s">
        <v>26928</v>
      </c>
      <c r="Q3329" s="41" t="s">
        <v>26929</v>
      </c>
      <c r="R3329" s="41" t="s">
        <v>26930</v>
      </c>
      <c r="S3329" s="41" t="s">
        <v>26931</v>
      </c>
    </row>
    <row r="3330" spans="1:19" x14ac:dyDescent="0.25">
      <c r="A3330" s="41" t="s">
        <v>23</v>
      </c>
      <c r="B3330" s="41" t="s">
        <v>26932</v>
      </c>
      <c r="D3330" s="41" t="s">
        <v>26933</v>
      </c>
      <c r="F3330" s="41" t="s">
        <v>26934</v>
      </c>
      <c r="G3330" s="41" t="s">
        <v>26935</v>
      </c>
      <c r="H3330" s="41" t="s">
        <v>26936</v>
      </c>
      <c r="I3330" s="41" t="s">
        <v>26937</v>
      </c>
      <c r="J3330" s="41" t="s">
        <v>26938</v>
      </c>
      <c r="K3330" s="41" t="s">
        <v>26939</v>
      </c>
      <c r="L3330" s="41" t="s">
        <v>891</v>
      </c>
    </row>
    <row r="3331" spans="1:19" x14ac:dyDescent="0.25">
      <c r="A3331" s="41" t="s">
        <v>23</v>
      </c>
      <c r="B3331" s="41" t="s">
        <v>26940</v>
      </c>
      <c r="D3331" s="41" t="s">
        <v>26941</v>
      </c>
      <c r="F3331" s="41" t="s">
        <v>26942</v>
      </c>
      <c r="G3331" s="41" t="s">
        <v>26943</v>
      </c>
      <c r="H3331" s="41" t="s">
        <v>26944</v>
      </c>
      <c r="I3331" s="41" t="s">
        <v>26945</v>
      </c>
      <c r="J3331" s="41" t="s">
        <v>26946</v>
      </c>
      <c r="K3331" s="41" t="s">
        <v>26947</v>
      </c>
      <c r="L3331" s="41" t="s">
        <v>1076</v>
      </c>
    </row>
    <row r="3332" spans="1:19" x14ac:dyDescent="0.25">
      <c r="A3332" s="41" t="s">
        <v>23</v>
      </c>
      <c r="B3332" s="41" t="s">
        <v>26948</v>
      </c>
      <c r="D3332" s="41" t="s">
        <v>26949</v>
      </c>
      <c r="F3332" s="41" t="s">
        <v>26950</v>
      </c>
      <c r="G3332" s="41" t="s">
        <v>26951</v>
      </c>
      <c r="H3332" s="41" t="s">
        <v>26952</v>
      </c>
      <c r="I3332" s="41" t="s">
        <v>26953</v>
      </c>
      <c r="J3332" s="41" t="s">
        <v>26954</v>
      </c>
      <c r="K3332" s="41" t="s">
        <v>26955</v>
      </c>
      <c r="L3332" s="41" t="s">
        <v>1085</v>
      </c>
    </row>
    <row r="3333" spans="1:19" x14ac:dyDescent="0.25">
      <c r="A3333" s="41" t="s">
        <v>23</v>
      </c>
      <c r="B3333" s="41" t="s">
        <v>26956</v>
      </c>
      <c r="D3333" s="41" t="s">
        <v>26957</v>
      </c>
      <c r="F3333" s="41" t="s">
        <v>26958</v>
      </c>
      <c r="G3333" s="41" t="s">
        <v>26959</v>
      </c>
      <c r="H3333" s="41" t="s">
        <v>26960</v>
      </c>
      <c r="I3333" s="41" t="s">
        <v>26961</v>
      </c>
      <c r="J3333" s="41" t="s">
        <v>26962</v>
      </c>
      <c r="K3333" s="41" t="s">
        <v>26963</v>
      </c>
      <c r="L3333" s="41" t="s">
        <v>1094</v>
      </c>
    </row>
    <row r="3334" spans="1:19" x14ac:dyDescent="0.25">
      <c r="A3334" s="41" t="s">
        <v>908</v>
      </c>
      <c r="B3334" s="41" t="s">
        <v>26964</v>
      </c>
    </row>
    <row r="3335" spans="1:19" x14ac:dyDescent="0.25">
      <c r="A3335" s="41" t="s">
        <v>23</v>
      </c>
      <c r="B3335" s="41" t="s">
        <v>26965</v>
      </c>
      <c r="F3335" s="41" t="s">
        <v>26966</v>
      </c>
      <c r="G3335" s="41" t="s">
        <v>26967</v>
      </c>
      <c r="H3335" s="41" t="s">
        <v>26968</v>
      </c>
      <c r="I3335" s="41" t="s">
        <v>26969</v>
      </c>
      <c r="J3335" s="41" t="s">
        <v>26970</v>
      </c>
      <c r="L3335" s="41" t="s">
        <v>4</v>
      </c>
    </row>
    <row r="3336" spans="1:19" x14ac:dyDescent="0.25">
      <c r="A3336" s="41" t="s">
        <v>23</v>
      </c>
      <c r="B3336" s="41" t="s">
        <v>26971</v>
      </c>
      <c r="D3336" s="41" t="s">
        <v>26804</v>
      </c>
      <c r="E3336" s="41" t="s">
        <v>26973</v>
      </c>
      <c r="F3336" s="41" t="s">
        <v>26974</v>
      </c>
      <c r="G3336" s="41" t="s">
        <v>26975</v>
      </c>
      <c r="H3336" s="41" t="s">
        <v>26976</v>
      </c>
      <c r="I3336" s="41" t="s">
        <v>26977</v>
      </c>
      <c r="J3336" s="41" t="s">
        <v>26978</v>
      </c>
      <c r="K3336" s="41" t="s">
        <v>26979</v>
      </c>
      <c r="L3336" s="41" t="s">
        <v>26980</v>
      </c>
      <c r="M3336" s="41" t="s">
        <v>26981</v>
      </c>
      <c r="N3336" s="41" t="s">
        <v>26982</v>
      </c>
      <c r="O3336" s="41" t="s">
        <v>26983</v>
      </c>
      <c r="P3336" s="41" t="s">
        <v>26984</v>
      </c>
      <c r="Q3336" s="41" t="s">
        <v>26985</v>
      </c>
      <c r="R3336" s="41" t="s">
        <v>26986</v>
      </c>
      <c r="S3336" s="41" t="s">
        <v>26987</v>
      </c>
    </row>
    <row r="3337" spans="1:19" x14ac:dyDescent="0.25">
      <c r="A3337" s="41" t="s">
        <v>23</v>
      </c>
      <c r="B3337" s="41" t="s">
        <v>26988</v>
      </c>
      <c r="D3337" s="41" t="s">
        <v>26989</v>
      </c>
      <c r="F3337" s="41" t="s">
        <v>26990</v>
      </c>
      <c r="G3337" s="41" t="s">
        <v>26991</v>
      </c>
      <c r="H3337" s="41" t="s">
        <v>26992</v>
      </c>
      <c r="I3337" s="41" t="s">
        <v>26993</v>
      </c>
      <c r="J3337" s="41" t="s">
        <v>26994</v>
      </c>
      <c r="K3337" s="41" t="s">
        <v>26995</v>
      </c>
      <c r="L3337" s="41" t="s">
        <v>891</v>
      </c>
    </row>
    <row r="3338" spans="1:19" x14ac:dyDescent="0.25">
      <c r="A3338" s="41" t="s">
        <v>23</v>
      </c>
      <c r="B3338" s="41" t="s">
        <v>26996</v>
      </c>
      <c r="D3338" s="41" t="s">
        <v>26997</v>
      </c>
      <c r="F3338" s="41" t="s">
        <v>26998</v>
      </c>
      <c r="G3338" s="41" t="s">
        <v>26999</v>
      </c>
      <c r="H3338" s="41" t="s">
        <v>27000</v>
      </c>
      <c r="I3338" s="41" t="s">
        <v>27001</v>
      </c>
      <c r="J3338" s="41" t="s">
        <v>27002</v>
      </c>
      <c r="K3338" s="41" t="s">
        <v>27003</v>
      </c>
      <c r="L3338" s="41" t="s">
        <v>1076</v>
      </c>
    </row>
    <row r="3339" spans="1:19" x14ac:dyDescent="0.25">
      <c r="A3339" s="41" t="s">
        <v>23</v>
      </c>
      <c r="B3339" s="41" t="s">
        <v>27004</v>
      </c>
      <c r="D3339" s="41" t="s">
        <v>27005</v>
      </c>
      <c r="F3339" s="41" t="s">
        <v>27006</v>
      </c>
      <c r="G3339" s="41" t="s">
        <v>27007</v>
      </c>
      <c r="H3339" s="41" t="s">
        <v>27008</v>
      </c>
      <c r="I3339" s="41" t="s">
        <v>27009</v>
      </c>
      <c r="J3339" s="41" t="s">
        <v>27010</v>
      </c>
      <c r="K3339" s="41" t="s">
        <v>27011</v>
      </c>
      <c r="L3339" s="41" t="s">
        <v>1085</v>
      </c>
    </row>
    <row r="3340" spans="1:19" x14ac:dyDescent="0.25">
      <c r="A3340" s="41" t="s">
        <v>23</v>
      </c>
      <c r="B3340" s="41" t="s">
        <v>27012</v>
      </c>
      <c r="D3340" s="41" t="s">
        <v>27013</v>
      </c>
      <c r="F3340" s="41" t="s">
        <v>27014</v>
      </c>
      <c r="G3340" s="41" t="s">
        <v>27015</v>
      </c>
      <c r="H3340" s="41" t="s">
        <v>27016</v>
      </c>
      <c r="I3340" s="41" t="s">
        <v>27017</v>
      </c>
      <c r="J3340" s="41" t="s">
        <v>27018</v>
      </c>
      <c r="K3340" s="41" t="s">
        <v>27019</v>
      </c>
      <c r="L3340" s="41" t="s">
        <v>1094</v>
      </c>
    </row>
    <row r="3341" spans="1:19" x14ac:dyDescent="0.25">
      <c r="A3341" s="41" t="s">
        <v>908</v>
      </c>
      <c r="B3341" s="41" t="s">
        <v>27020</v>
      </c>
    </row>
    <row r="3342" spans="1:19" x14ac:dyDescent="0.25">
      <c r="A3342" s="41" t="s">
        <v>23</v>
      </c>
      <c r="B3342" s="41" t="s">
        <v>27021</v>
      </c>
      <c r="F3342" s="41" t="s">
        <v>27022</v>
      </c>
      <c r="G3342" s="41" t="s">
        <v>27023</v>
      </c>
      <c r="H3342" s="41" t="s">
        <v>27024</v>
      </c>
      <c r="I3342" s="41" t="s">
        <v>27025</v>
      </c>
      <c r="J3342" s="41" t="s">
        <v>27026</v>
      </c>
      <c r="L3342" s="41" t="s">
        <v>4</v>
      </c>
    </row>
    <row r="3343" spans="1:19" x14ac:dyDescent="0.25">
      <c r="A3343" s="41" t="s">
        <v>23</v>
      </c>
      <c r="B3343" s="41" t="s">
        <v>27027</v>
      </c>
      <c r="D3343" s="41" t="s">
        <v>26860</v>
      </c>
      <c r="E3343" s="41" t="s">
        <v>27029</v>
      </c>
      <c r="F3343" s="41" t="s">
        <v>27030</v>
      </c>
      <c r="G3343" s="41" t="s">
        <v>27031</v>
      </c>
      <c r="H3343" s="41" t="s">
        <v>27032</v>
      </c>
      <c r="I3343" s="41" t="s">
        <v>27033</v>
      </c>
      <c r="J3343" s="41" t="s">
        <v>27034</v>
      </c>
      <c r="K3343" s="41" t="s">
        <v>27035</v>
      </c>
      <c r="L3343" s="41" t="s">
        <v>27036</v>
      </c>
      <c r="M3343" s="41" t="s">
        <v>27037</v>
      </c>
      <c r="N3343" s="41" t="s">
        <v>27038</v>
      </c>
      <c r="O3343" s="41" t="s">
        <v>27039</v>
      </c>
      <c r="P3343" s="41" t="s">
        <v>27040</v>
      </c>
      <c r="Q3343" s="41" t="s">
        <v>27041</v>
      </c>
      <c r="R3343" s="41" t="s">
        <v>27042</v>
      </c>
      <c r="S3343" s="41" t="s">
        <v>27043</v>
      </c>
    </row>
    <row r="3344" spans="1:19" x14ac:dyDescent="0.25">
      <c r="A3344" s="41" t="s">
        <v>23</v>
      </c>
      <c r="B3344" s="41" t="s">
        <v>27044</v>
      </c>
      <c r="D3344" s="41" t="s">
        <v>27045</v>
      </c>
      <c r="F3344" s="41" t="s">
        <v>27046</v>
      </c>
      <c r="G3344" s="41" t="s">
        <v>27047</v>
      </c>
      <c r="H3344" s="41" t="s">
        <v>27048</v>
      </c>
      <c r="I3344" s="41" t="s">
        <v>27049</v>
      </c>
      <c r="J3344" s="41" t="s">
        <v>27050</v>
      </c>
      <c r="K3344" s="41" t="s">
        <v>27051</v>
      </c>
      <c r="L3344" s="41" t="s">
        <v>891</v>
      </c>
    </row>
    <row r="3345" spans="1:19" x14ac:dyDescent="0.25">
      <c r="A3345" s="41" t="s">
        <v>23</v>
      </c>
      <c r="B3345" s="41" t="s">
        <v>27052</v>
      </c>
      <c r="D3345" s="41" t="s">
        <v>27053</v>
      </c>
      <c r="F3345" s="41" t="s">
        <v>27054</v>
      </c>
      <c r="G3345" s="41" t="s">
        <v>27055</v>
      </c>
      <c r="H3345" s="41" t="s">
        <v>27056</v>
      </c>
      <c r="I3345" s="41" t="s">
        <v>27057</v>
      </c>
      <c r="J3345" s="41" t="s">
        <v>27058</v>
      </c>
      <c r="K3345" s="41" t="s">
        <v>27059</v>
      </c>
      <c r="L3345" s="41" t="s">
        <v>1076</v>
      </c>
    </row>
    <row r="3346" spans="1:19" x14ac:dyDescent="0.25">
      <c r="A3346" s="41" t="s">
        <v>23</v>
      </c>
      <c r="B3346" s="41" t="s">
        <v>27060</v>
      </c>
      <c r="D3346" s="41" t="s">
        <v>27061</v>
      </c>
      <c r="F3346" s="41" t="s">
        <v>27062</v>
      </c>
      <c r="G3346" s="41" t="s">
        <v>27063</v>
      </c>
      <c r="H3346" s="41" t="s">
        <v>27064</v>
      </c>
      <c r="I3346" s="41" t="s">
        <v>27065</v>
      </c>
      <c r="J3346" s="41" t="s">
        <v>27066</v>
      </c>
      <c r="K3346" s="41" t="s">
        <v>27067</v>
      </c>
      <c r="L3346" s="41" t="s">
        <v>1085</v>
      </c>
    </row>
    <row r="3347" spans="1:19" x14ac:dyDescent="0.25">
      <c r="A3347" s="41" t="s">
        <v>23</v>
      </c>
      <c r="B3347" s="41" t="s">
        <v>27068</v>
      </c>
      <c r="D3347" s="41" t="s">
        <v>27069</v>
      </c>
      <c r="F3347" s="41" t="s">
        <v>27070</v>
      </c>
      <c r="G3347" s="41" t="s">
        <v>27071</v>
      </c>
      <c r="H3347" s="41" t="s">
        <v>27072</v>
      </c>
      <c r="I3347" s="41" t="s">
        <v>27073</v>
      </c>
      <c r="J3347" s="41" t="s">
        <v>27074</v>
      </c>
      <c r="K3347" s="41" t="s">
        <v>27075</v>
      </c>
      <c r="L3347" s="41" t="s">
        <v>1094</v>
      </c>
    </row>
    <row r="3348" spans="1:19" x14ac:dyDescent="0.25">
      <c r="A3348" s="41" t="s">
        <v>908</v>
      </c>
      <c r="B3348" s="41" t="s">
        <v>27076</v>
      </c>
    </row>
    <row r="3349" spans="1:19" x14ac:dyDescent="0.25">
      <c r="A3349" s="41" t="s">
        <v>23</v>
      </c>
      <c r="B3349" s="41" t="s">
        <v>27077</v>
      </c>
      <c r="F3349" s="41" t="s">
        <v>27078</v>
      </c>
      <c r="G3349" s="41" t="s">
        <v>27079</v>
      </c>
      <c r="H3349" s="41" t="s">
        <v>27080</v>
      </c>
      <c r="I3349" s="41" t="s">
        <v>27081</v>
      </c>
      <c r="J3349" s="41" t="s">
        <v>27082</v>
      </c>
      <c r="L3349" s="41" t="s">
        <v>4</v>
      </c>
    </row>
    <row r="3350" spans="1:19" x14ac:dyDescent="0.25">
      <c r="A3350" s="41" t="s">
        <v>23</v>
      </c>
      <c r="B3350" s="41" t="s">
        <v>27083</v>
      </c>
      <c r="D3350" s="41" t="s">
        <v>26916</v>
      </c>
      <c r="E3350" s="41" t="s">
        <v>27085</v>
      </c>
      <c r="F3350" s="41" t="s">
        <v>27086</v>
      </c>
      <c r="G3350" s="41" t="s">
        <v>27087</v>
      </c>
      <c r="H3350" s="41" t="s">
        <v>27088</v>
      </c>
      <c r="I3350" s="41" t="s">
        <v>27089</v>
      </c>
      <c r="J3350" s="41" t="s">
        <v>27090</v>
      </c>
      <c r="K3350" s="41" t="s">
        <v>27091</v>
      </c>
      <c r="L3350" s="41" t="s">
        <v>27092</v>
      </c>
      <c r="M3350" s="41" t="s">
        <v>27093</v>
      </c>
      <c r="N3350" s="41" t="s">
        <v>27094</v>
      </c>
      <c r="O3350" s="41" t="s">
        <v>27095</v>
      </c>
      <c r="P3350" s="41" t="s">
        <v>27096</v>
      </c>
      <c r="Q3350" s="41" t="s">
        <v>27097</v>
      </c>
      <c r="R3350" s="41" t="s">
        <v>27098</v>
      </c>
      <c r="S3350" s="41" t="s">
        <v>27099</v>
      </c>
    </row>
    <row r="3351" spans="1:19" x14ac:dyDescent="0.25">
      <c r="A3351" s="41" t="s">
        <v>23</v>
      </c>
      <c r="B3351" s="41" t="s">
        <v>27100</v>
      </c>
      <c r="D3351" s="41" t="s">
        <v>27101</v>
      </c>
      <c r="F3351" s="41" t="s">
        <v>27102</v>
      </c>
      <c r="G3351" s="41" t="s">
        <v>27103</v>
      </c>
      <c r="H3351" s="41" t="s">
        <v>27104</v>
      </c>
      <c r="I3351" s="41" t="s">
        <v>27105</v>
      </c>
      <c r="J3351" s="41" t="s">
        <v>27106</v>
      </c>
      <c r="K3351" s="41" t="s">
        <v>27107</v>
      </c>
      <c r="L3351" s="41" t="s">
        <v>891</v>
      </c>
    </row>
    <row r="3352" spans="1:19" x14ac:dyDescent="0.25">
      <c r="A3352" s="41" t="s">
        <v>23</v>
      </c>
      <c r="B3352" s="41" t="s">
        <v>27108</v>
      </c>
      <c r="D3352" s="41" t="s">
        <v>27109</v>
      </c>
      <c r="F3352" s="41" t="s">
        <v>27110</v>
      </c>
      <c r="G3352" s="41" t="s">
        <v>27111</v>
      </c>
      <c r="H3352" s="41" t="s">
        <v>27112</v>
      </c>
      <c r="I3352" s="41" t="s">
        <v>27113</v>
      </c>
      <c r="J3352" s="41" t="s">
        <v>27114</v>
      </c>
      <c r="K3352" s="41" t="s">
        <v>27115</v>
      </c>
      <c r="L3352" s="41" t="s">
        <v>1076</v>
      </c>
    </row>
    <row r="3353" spans="1:19" x14ac:dyDescent="0.25">
      <c r="A3353" s="41" t="s">
        <v>23</v>
      </c>
      <c r="B3353" s="41" t="s">
        <v>27116</v>
      </c>
      <c r="D3353" s="41" t="s">
        <v>27117</v>
      </c>
      <c r="F3353" s="41" t="s">
        <v>27118</v>
      </c>
      <c r="G3353" s="41" t="s">
        <v>27119</v>
      </c>
      <c r="H3353" s="41" t="s">
        <v>27120</v>
      </c>
      <c r="I3353" s="41" t="s">
        <v>27121</v>
      </c>
      <c r="J3353" s="41" t="s">
        <v>27122</v>
      </c>
      <c r="K3353" s="41" t="s">
        <v>27123</v>
      </c>
      <c r="L3353" s="41" t="s">
        <v>1085</v>
      </c>
    </row>
    <row r="3354" spans="1:19" x14ac:dyDescent="0.25">
      <c r="A3354" s="41" t="s">
        <v>23</v>
      </c>
      <c r="B3354" s="41" t="s">
        <v>27124</v>
      </c>
      <c r="D3354" s="41" t="s">
        <v>27125</v>
      </c>
      <c r="F3354" s="41" t="s">
        <v>27126</v>
      </c>
      <c r="G3354" s="41" t="s">
        <v>27127</v>
      </c>
      <c r="H3354" s="41" t="s">
        <v>27128</v>
      </c>
      <c r="I3354" s="41" t="s">
        <v>27129</v>
      </c>
      <c r="J3354" s="41" t="s">
        <v>27130</v>
      </c>
      <c r="K3354" s="41" t="s">
        <v>27131</v>
      </c>
      <c r="L3354" s="41" t="s">
        <v>1094</v>
      </c>
    </row>
    <row r="3355" spans="1:19" x14ac:dyDescent="0.25">
      <c r="A3355" s="41" t="s">
        <v>908</v>
      </c>
      <c r="B3355" s="41" t="s">
        <v>27132</v>
      </c>
    </row>
    <row r="3356" spans="1:19" x14ac:dyDescent="0.25">
      <c r="A3356" s="41" t="s">
        <v>23</v>
      </c>
      <c r="B3356" s="41" t="s">
        <v>27133</v>
      </c>
      <c r="F3356" s="41" t="s">
        <v>27134</v>
      </c>
      <c r="G3356" s="41" t="s">
        <v>27135</v>
      </c>
      <c r="H3356" s="41" t="s">
        <v>27136</v>
      </c>
      <c r="I3356" s="41" t="s">
        <v>27137</v>
      </c>
      <c r="J3356" s="41" t="s">
        <v>27138</v>
      </c>
      <c r="L3356" s="41" t="s">
        <v>4</v>
      </c>
    </row>
    <row r="3357" spans="1:19" x14ac:dyDescent="0.25">
      <c r="A3357" s="41" t="s">
        <v>23</v>
      </c>
      <c r="B3357" s="41" t="s">
        <v>27139</v>
      </c>
      <c r="D3357" s="41" t="s">
        <v>26972</v>
      </c>
      <c r="E3357" s="41" t="s">
        <v>27141</v>
      </c>
      <c r="F3357" s="41" t="s">
        <v>27142</v>
      </c>
      <c r="G3357" s="41" t="s">
        <v>27143</v>
      </c>
      <c r="H3357" s="41" t="s">
        <v>27144</v>
      </c>
      <c r="I3357" s="41" t="s">
        <v>27145</v>
      </c>
      <c r="J3357" s="41" t="s">
        <v>27146</v>
      </c>
      <c r="K3357" s="41" t="s">
        <v>27147</v>
      </c>
      <c r="L3357" s="41" t="s">
        <v>27148</v>
      </c>
      <c r="M3357" s="41" t="s">
        <v>27149</v>
      </c>
      <c r="N3357" s="41" t="s">
        <v>27150</v>
      </c>
      <c r="O3357" s="41" t="s">
        <v>27151</v>
      </c>
      <c r="P3357" s="41" t="s">
        <v>27152</v>
      </c>
      <c r="Q3357" s="41" t="s">
        <v>27153</v>
      </c>
      <c r="R3357" s="41" t="s">
        <v>27154</v>
      </c>
      <c r="S3357" s="41" t="s">
        <v>27155</v>
      </c>
    </row>
    <row r="3358" spans="1:19" x14ac:dyDescent="0.25">
      <c r="A3358" s="41" t="s">
        <v>23</v>
      </c>
      <c r="B3358" s="41" t="s">
        <v>27156</v>
      </c>
      <c r="D3358" s="41" t="s">
        <v>27157</v>
      </c>
      <c r="F3358" s="41" t="s">
        <v>27158</v>
      </c>
      <c r="G3358" s="41" t="s">
        <v>27159</v>
      </c>
      <c r="H3358" s="41" t="s">
        <v>27160</v>
      </c>
      <c r="I3358" s="41" t="s">
        <v>27161</v>
      </c>
      <c r="J3358" s="41" t="s">
        <v>27162</v>
      </c>
      <c r="K3358" s="41" t="s">
        <v>27163</v>
      </c>
      <c r="L3358" s="41" t="s">
        <v>891</v>
      </c>
    </row>
    <row r="3359" spans="1:19" x14ac:dyDescent="0.25">
      <c r="A3359" s="41" t="s">
        <v>23</v>
      </c>
      <c r="B3359" s="41" t="s">
        <v>27164</v>
      </c>
      <c r="D3359" s="41" t="s">
        <v>27165</v>
      </c>
      <c r="F3359" s="41" t="s">
        <v>27166</v>
      </c>
      <c r="G3359" s="41" t="s">
        <v>27167</v>
      </c>
      <c r="H3359" s="41" t="s">
        <v>27168</v>
      </c>
      <c r="I3359" s="41" t="s">
        <v>27169</v>
      </c>
      <c r="J3359" s="41" t="s">
        <v>27170</v>
      </c>
      <c r="K3359" s="41" t="s">
        <v>27171</v>
      </c>
      <c r="L3359" s="41" t="s">
        <v>1076</v>
      </c>
    </row>
    <row r="3360" spans="1:19" x14ac:dyDescent="0.25">
      <c r="A3360" s="41" t="s">
        <v>23</v>
      </c>
      <c r="B3360" s="41" t="s">
        <v>27172</v>
      </c>
      <c r="D3360" s="41" t="s">
        <v>27173</v>
      </c>
      <c r="F3360" s="41" t="s">
        <v>27174</v>
      </c>
      <c r="G3360" s="41" t="s">
        <v>27175</v>
      </c>
      <c r="H3360" s="41" t="s">
        <v>27176</v>
      </c>
      <c r="I3360" s="41" t="s">
        <v>27177</v>
      </c>
      <c r="J3360" s="41" t="s">
        <v>27178</v>
      </c>
      <c r="K3360" s="41" t="s">
        <v>27179</v>
      </c>
      <c r="L3360" s="41" t="s">
        <v>1085</v>
      </c>
    </row>
    <row r="3361" spans="1:19" x14ac:dyDescent="0.25">
      <c r="A3361" s="41" t="s">
        <v>23</v>
      </c>
      <c r="B3361" s="41" t="s">
        <v>27180</v>
      </c>
      <c r="D3361" s="41" t="s">
        <v>27181</v>
      </c>
      <c r="F3361" s="41" t="s">
        <v>27182</v>
      </c>
      <c r="G3361" s="41" t="s">
        <v>27183</v>
      </c>
      <c r="H3361" s="41" t="s">
        <v>27184</v>
      </c>
      <c r="I3361" s="41" t="s">
        <v>27185</v>
      </c>
      <c r="J3361" s="41" t="s">
        <v>27186</v>
      </c>
      <c r="K3361" s="41" t="s">
        <v>27187</v>
      </c>
      <c r="L3361" s="41" t="s">
        <v>1094</v>
      </c>
    </row>
    <row r="3362" spans="1:19" x14ac:dyDescent="0.25">
      <c r="A3362" s="41" t="s">
        <v>908</v>
      </c>
      <c r="B3362" s="41" t="s">
        <v>27188</v>
      </c>
    </row>
    <row r="3363" spans="1:19" x14ac:dyDescent="0.25">
      <c r="A3363" s="41" t="s">
        <v>23</v>
      </c>
      <c r="B3363" s="41" t="s">
        <v>27189</v>
      </c>
      <c r="F3363" s="41" t="s">
        <v>27190</v>
      </c>
      <c r="G3363" s="41" t="s">
        <v>27191</v>
      </c>
      <c r="H3363" s="41" t="s">
        <v>27192</v>
      </c>
      <c r="I3363" s="41" t="s">
        <v>27193</v>
      </c>
      <c r="J3363" s="41" t="s">
        <v>27194</v>
      </c>
      <c r="L3363" s="41" t="s">
        <v>4</v>
      </c>
    </row>
    <row r="3364" spans="1:19" x14ac:dyDescent="0.25">
      <c r="A3364" s="41" t="s">
        <v>23</v>
      </c>
      <c r="B3364" s="41" t="s">
        <v>27195</v>
      </c>
      <c r="D3364" s="41" t="s">
        <v>27028</v>
      </c>
      <c r="E3364" s="41" t="s">
        <v>27197</v>
      </c>
      <c r="F3364" s="41" t="s">
        <v>27198</v>
      </c>
      <c r="G3364" s="41" t="s">
        <v>27199</v>
      </c>
      <c r="H3364" s="41" t="s">
        <v>27200</v>
      </c>
      <c r="I3364" s="41" t="s">
        <v>27201</v>
      </c>
      <c r="J3364" s="41" t="s">
        <v>27202</v>
      </c>
      <c r="K3364" s="41" t="s">
        <v>27203</v>
      </c>
      <c r="L3364" s="41" t="s">
        <v>27204</v>
      </c>
      <c r="M3364" s="41" t="s">
        <v>27205</v>
      </c>
      <c r="N3364" s="41" t="s">
        <v>27206</v>
      </c>
      <c r="O3364" s="41" t="s">
        <v>27207</v>
      </c>
      <c r="P3364" s="41" t="s">
        <v>27208</v>
      </c>
      <c r="Q3364" s="41" t="s">
        <v>27209</v>
      </c>
      <c r="R3364" s="41" t="s">
        <v>27210</v>
      </c>
      <c r="S3364" s="41" t="s">
        <v>27211</v>
      </c>
    </row>
    <row r="3365" spans="1:19" x14ac:dyDescent="0.25">
      <c r="A3365" s="41" t="s">
        <v>23</v>
      </c>
      <c r="B3365" s="41" t="s">
        <v>27212</v>
      </c>
      <c r="D3365" s="41" t="s">
        <v>27213</v>
      </c>
      <c r="F3365" s="41" t="s">
        <v>27214</v>
      </c>
      <c r="G3365" s="41" t="s">
        <v>27215</v>
      </c>
      <c r="H3365" s="41" t="s">
        <v>27216</v>
      </c>
      <c r="I3365" s="41" t="s">
        <v>27217</v>
      </c>
      <c r="J3365" s="41" t="s">
        <v>27218</v>
      </c>
      <c r="K3365" s="41" t="s">
        <v>27219</v>
      </c>
      <c r="L3365" s="41" t="s">
        <v>891</v>
      </c>
    </row>
    <row r="3366" spans="1:19" x14ac:dyDescent="0.25">
      <c r="A3366" s="41" t="s">
        <v>23</v>
      </c>
      <c r="B3366" s="41" t="s">
        <v>27220</v>
      </c>
      <c r="D3366" s="41" t="s">
        <v>27221</v>
      </c>
      <c r="F3366" s="41" t="s">
        <v>27222</v>
      </c>
      <c r="G3366" s="41" t="s">
        <v>27223</v>
      </c>
      <c r="H3366" s="41" t="s">
        <v>27224</v>
      </c>
      <c r="I3366" s="41" t="s">
        <v>27225</v>
      </c>
      <c r="J3366" s="41" t="s">
        <v>27226</v>
      </c>
      <c r="K3366" s="41" t="s">
        <v>27227</v>
      </c>
      <c r="L3366" s="41" t="s">
        <v>1076</v>
      </c>
    </row>
    <row r="3367" spans="1:19" x14ac:dyDescent="0.25">
      <c r="A3367" s="41" t="s">
        <v>23</v>
      </c>
      <c r="B3367" s="41" t="s">
        <v>27228</v>
      </c>
      <c r="D3367" s="41" t="s">
        <v>27229</v>
      </c>
      <c r="F3367" s="41" t="s">
        <v>27230</v>
      </c>
      <c r="G3367" s="41" t="s">
        <v>27231</v>
      </c>
      <c r="H3367" s="41" t="s">
        <v>27232</v>
      </c>
      <c r="I3367" s="41" t="s">
        <v>27233</v>
      </c>
      <c r="J3367" s="41" t="s">
        <v>27234</v>
      </c>
      <c r="K3367" s="41" t="s">
        <v>27235</v>
      </c>
      <c r="L3367" s="41" t="s">
        <v>1085</v>
      </c>
    </row>
    <row r="3368" spans="1:19" x14ac:dyDescent="0.25">
      <c r="A3368" s="41" t="s">
        <v>23</v>
      </c>
      <c r="B3368" s="41" t="s">
        <v>27236</v>
      </c>
      <c r="D3368" s="41" t="s">
        <v>27237</v>
      </c>
      <c r="F3368" s="41" t="s">
        <v>27238</v>
      </c>
      <c r="G3368" s="41" t="s">
        <v>27239</v>
      </c>
      <c r="H3368" s="41" t="s">
        <v>27240</v>
      </c>
      <c r="I3368" s="41" t="s">
        <v>27241</v>
      </c>
      <c r="J3368" s="41" t="s">
        <v>27242</v>
      </c>
      <c r="K3368" s="41" t="s">
        <v>27243</v>
      </c>
      <c r="L3368" s="41" t="s">
        <v>1094</v>
      </c>
    </row>
    <row r="3369" spans="1:19" x14ac:dyDescent="0.25">
      <c r="A3369" s="41" t="s">
        <v>908</v>
      </c>
      <c r="B3369" s="41" t="s">
        <v>27244</v>
      </c>
    </row>
    <row r="3370" spans="1:19" x14ac:dyDescent="0.25">
      <c r="A3370" s="41" t="s">
        <v>23</v>
      </c>
      <c r="B3370" s="41" t="s">
        <v>27245</v>
      </c>
      <c r="F3370" s="41" t="s">
        <v>27246</v>
      </c>
      <c r="G3370" s="41" t="s">
        <v>27247</v>
      </c>
      <c r="H3370" s="41" t="s">
        <v>27248</v>
      </c>
      <c r="I3370" s="41" t="s">
        <v>27249</v>
      </c>
      <c r="J3370" s="41" t="s">
        <v>27250</v>
      </c>
      <c r="L3370" s="41" t="s">
        <v>4</v>
      </c>
    </row>
    <row r="3371" spans="1:19" x14ac:dyDescent="0.25">
      <c r="A3371" s="41" t="s">
        <v>23</v>
      </c>
      <c r="B3371" s="41" t="s">
        <v>27251</v>
      </c>
      <c r="D3371" s="41" t="s">
        <v>27084</v>
      </c>
      <c r="E3371" s="41" t="s">
        <v>27253</v>
      </c>
      <c r="F3371" s="41" t="s">
        <v>27254</v>
      </c>
      <c r="G3371" s="41" t="s">
        <v>27255</v>
      </c>
      <c r="H3371" s="41" t="s">
        <v>27256</v>
      </c>
      <c r="I3371" s="41" t="s">
        <v>27257</v>
      </c>
      <c r="J3371" s="41" t="s">
        <v>27258</v>
      </c>
      <c r="K3371" s="41" t="s">
        <v>27259</v>
      </c>
      <c r="L3371" s="41" t="s">
        <v>27260</v>
      </c>
      <c r="M3371" s="41" t="s">
        <v>27261</v>
      </c>
      <c r="N3371" s="41" t="s">
        <v>27262</v>
      </c>
      <c r="O3371" s="41" t="s">
        <v>27263</v>
      </c>
      <c r="P3371" s="41" t="s">
        <v>27264</v>
      </c>
      <c r="Q3371" s="41" t="s">
        <v>27265</v>
      </c>
      <c r="R3371" s="41" t="s">
        <v>27266</v>
      </c>
      <c r="S3371" s="41" t="s">
        <v>27267</v>
      </c>
    </row>
    <row r="3372" spans="1:19" x14ac:dyDescent="0.25">
      <c r="A3372" s="41" t="s">
        <v>23</v>
      </c>
      <c r="B3372" s="41" t="s">
        <v>27268</v>
      </c>
      <c r="D3372" s="41" t="s">
        <v>27269</v>
      </c>
      <c r="F3372" s="41" t="s">
        <v>27270</v>
      </c>
      <c r="G3372" s="41" t="s">
        <v>27271</v>
      </c>
      <c r="H3372" s="41" t="s">
        <v>27272</v>
      </c>
      <c r="I3372" s="41" t="s">
        <v>27273</v>
      </c>
      <c r="J3372" s="41" t="s">
        <v>27274</v>
      </c>
      <c r="K3372" s="41" t="s">
        <v>27275</v>
      </c>
      <c r="L3372" s="41" t="s">
        <v>891</v>
      </c>
    </row>
    <row r="3373" spans="1:19" x14ac:dyDescent="0.25">
      <c r="A3373" s="41" t="s">
        <v>23</v>
      </c>
      <c r="B3373" s="41" t="s">
        <v>27276</v>
      </c>
      <c r="D3373" s="41" t="s">
        <v>27277</v>
      </c>
      <c r="F3373" s="41" t="s">
        <v>27278</v>
      </c>
      <c r="G3373" s="41" t="s">
        <v>27279</v>
      </c>
      <c r="H3373" s="41" t="s">
        <v>27280</v>
      </c>
      <c r="I3373" s="41" t="s">
        <v>27281</v>
      </c>
      <c r="J3373" s="41" t="s">
        <v>27282</v>
      </c>
      <c r="K3373" s="41" t="s">
        <v>27283</v>
      </c>
      <c r="L3373" s="41" t="s">
        <v>1076</v>
      </c>
    </row>
    <row r="3374" spans="1:19" x14ac:dyDescent="0.25">
      <c r="A3374" s="41" t="s">
        <v>23</v>
      </c>
      <c r="B3374" s="41" t="s">
        <v>27284</v>
      </c>
      <c r="D3374" s="41" t="s">
        <v>27285</v>
      </c>
      <c r="F3374" s="41" t="s">
        <v>27286</v>
      </c>
      <c r="G3374" s="41" t="s">
        <v>27287</v>
      </c>
      <c r="H3374" s="41" t="s">
        <v>27288</v>
      </c>
      <c r="I3374" s="41" t="s">
        <v>27289</v>
      </c>
      <c r="J3374" s="41" t="s">
        <v>27290</v>
      </c>
      <c r="K3374" s="41" t="s">
        <v>27291</v>
      </c>
      <c r="L3374" s="41" t="s">
        <v>1085</v>
      </c>
    </row>
    <row r="3375" spans="1:19" x14ac:dyDescent="0.25">
      <c r="A3375" s="41" t="s">
        <v>23</v>
      </c>
      <c r="B3375" s="41" t="s">
        <v>27292</v>
      </c>
      <c r="D3375" s="41" t="s">
        <v>27293</v>
      </c>
      <c r="F3375" s="41" t="s">
        <v>27294</v>
      </c>
      <c r="G3375" s="41" t="s">
        <v>27295</v>
      </c>
      <c r="H3375" s="41" t="s">
        <v>27296</v>
      </c>
      <c r="I3375" s="41" t="s">
        <v>27297</v>
      </c>
      <c r="J3375" s="41" t="s">
        <v>27298</v>
      </c>
      <c r="K3375" s="41" t="s">
        <v>27299</v>
      </c>
      <c r="L3375" s="41" t="s">
        <v>1094</v>
      </c>
    </row>
    <row r="3376" spans="1:19" x14ac:dyDescent="0.25">
      <c r="A3376" s="41" t="s">
        <v>908</v>
      </c>
      <c r="B3376" s="41" t="s">
        <v>27300</v>
      </c>
    </row>
    <row r="3377" spans="1:19" x14ac:dyDescent="0.25">
      <c r="A3377" s="41" t="s">
        <v>23</v>
      </c>
      <c r="B3377" s="41" t="s">
        <v>27301</v>
      </c>
      <c r="F3377" s="41" t="s">
        <v>27302</v>
      </c>
      <c r="G3377" s="41" t="s">
        <v>27303</v>
      </c>
      <c r="H3377" s="41" t="s">
        <v>27304</v>
      </c>
      <c r="I3377" s="41" t="s">
        <v>27305</v>
      </c>
      <c r="J3377" s="41" t="s">
        <v>27306</v>
      </c>
      <c r="L3377" s="41" t="s">
        <v>4</v>
      </c>
    </row>
    <row r="3378" spans="1:19" x14ac:dyDescent="0.25">
      <c r="A3378" s="41" t="s">
        <v>23</v>
      </c>
      <c r="B3378" s="41" t="s">
        <v>27307</v>
      </c>
      <c r="D3378" s="41" t="s">
        <v>27140</v>
      </c>
      <c r="E3378" s="41" t="s">
        <v>27309</v>
      </c>
      <c r="F3378" s="41" t="s">
        <v>27310</v>
      </c>
      <c r="G3378" s="41" t="s">
        <v>27311</v>
      </c>
      <c r="H3378" s="41" t="s">
        <v>27312</v>
      </c>
      <c r="I3378" s="41" t="s">
        <v>27313</v>
      </c>
      <c r="J3378" s="41" t="s">
        <v>27314</v>
      </c>
      <c r="K3378" s="41" t="s">
        <v>27315</v>
      </c>
      <c r="L3378" s="41" t="s">
        <v>27316</v>
      </c>
      <c r="M3378" s="41" t="s">
        <v>27317</v>
      </c>
      <c r="N3378" s="41" t="s">
        <v>27318</v>
      </c>
      <c r="O3378" s="41" t="s">
        <v>27319</v>
      </c>
      <c r="P3378" s="41" t="s">
        <v>27320</v>
      </c>
      <c r="Q3378" s="41" t="s">
        <v>27321</v>
      </c>
      <c r="R3378" s="41" t="s">
        <v>27322</v>
      </c>
      <c r="S3378" s="41" t="s">
        <v>27323</v>
      </c>
    </row>
    <row r="3379" spans="1:19" x14ac:dyDescent="0.25">
      <c r="A3379" s="41" t="s">
        <v>23</v>
      </c>
      <c r="B3379" s="41" t="s">
        <v>27324</v>
      </c>
      <c r="D3379" s="41" t="s">
        <v>27325</v>
      </c>
      <c r="F3379" s="41" t="s">
        <v>27326</v>
      </c>
      <c r="G3379" s="41" t="s">
        <v>27327</v>
      </c>
      <c r="H3379" s="41" t="s">
        <v>27328</v>
      </c>
      <c r="I3379" s="41" t="s">
        <v>27329</v>
      </c>
      <c r="J3379" s="41" t="s">
        <v>27330</v>
      </c>
      <c r="K3379" s="41" t="s">
        <v>27331</v>
      </c>
      <c r="L3379" s="41" t="s">
        <v>891</v>
      </c>
    </row>
    <row r="3380" spans="1:19" x14ac:dyDescent="0.25">
      <c r="A3380" s="41" t="s">
        <v>23</v>
      </c>
      <c r="B3380" s="41" t="s">
        <v>27332</v>
      </c>
      <c r="D3380" s="41" t="s">
        <v>27333</v>
      </c>
      <c r="F3380" s="41" t="s">
        <v>27334</v>
      </c>
      <c r="G3380" s="41" t="s">
        <v>27335</v>
      </c>
      <c r="H3380" s="41" t="s">
        <v>27336</v>
      </c>
      <c r="I3380" s="41" t="s">
        <v>27337</v>
      </c>
      <c r="J3380" s="41" t="s">
        <v>27338</v>
      </c>
      <c r="K3380" s="41" t="s">
        <v>27339</v>
      </c>
      <c r="L3380" s="41" t="s">
        <v>1076</v>
      </c>
    </row>
    <row r="3381" spans="1:19" x14ac:dyDescent="0.25">
      <c r="A3381" s="41" t="s">
        <v>23</v>
      </c>
      <c r="B3381" s="41" t="s">
        <v>27340</v>
      </c>
      <c r="D3381" s="41" t="s">
        <v>27341</v>
      </c>
      <c r="F3381" s="41" t="s">
        <v>27342</v>
      </c>
      <c r="G3381" s="41" t="s">
        <v>27343</v>
      </c>
      <c r="H3381" s="41" t="s">
        <v>27344</v>
      </c>
      <c r="I3381" s="41" t="s">
        <v>27345</v>
      </c>
      <c r="J3381" s="41" t="s">
        <v>27346</v>
      </c>
      <c r="K3381" s="41" t="s">
        <v>27347</v>
      </c>
      <c r="L3381" s="41" t="s">
        <v>1085</v>
      </c>
    </row>
    <row r="3382" spans="1:19" x14ac:dyDescent="0.25">
      <c r="A3382" s="41" t="s">
        <v>23</v>
      </c>
      <c r="B3382" s="41" t="s">
        <v>27348</v>
      </c>
      <c r="D3382" s="41" t="s">
        <v>27349</v>
      </c>
      <c r="F3382" s="41" t="s">
        <v>27350</v>
      </c>
      <c r="G3382" s="41" t="s">
        <v>27351</v>
      </c>
      <c r="H3382" s="41" t="s">
        <v>27352</v>
      </c>
      <c r="I3382" s="41" t="s">
        <v>27353</v>
      </c>
      <c r="J3382" s="41" t="s">
        <v>27354</v>
      </c>
      <c r="K3382" s="41" t="s">
        <v>27355</v>
      </c>
      <c r="L3382" s="41" t="s">
        <v>1094</v>
      </c>
    </row>
    <row r="3383" spans="1:19" x14ac:dyDescent="0.25">
      <c r="A3383" s="41" t="s">
        <v>908</v>
      </c>
      <c r="B3383" s="41" t="s">
        <v>27356</v>
      </c>
    </row>
    <row r="3384" spans="1:19" x14ac:dyDescent="0.25">
      <c r="A3384" s="41" t="s">
        <v>23</v>
      </c>
      <c r="B3384" s="41" t="s">
        <v>27357</v>
      </c>
      <c r="F3384" s="41" t="s">
        <v>27358</v>
      </c>
      <c r="G3384" s="41" t="s">
        <v>27359</v>
      </c>
      <c r="H3384" s="41" t="s">
        <v>27360</v>
      </c>
      <c r="I3384" s="41" t="s">
        <v>27361</v>
      </c>
      <c r="J3384" s="41" t="s">
        <v>27362</v>
      </c>
      <c r="L3384" s="41" t="s">
        <v>4</v>
      </c>
    </row>
    <row r="3385" spans="1:19" x14ac:dyDescent="0.25">
      <c r="A3385" s="41" t="s">
        <v>23</v>
      </c>
      <c r="B3385" s="41" t="s">
        <v>27363</v>
      </c>
      <c r="D3385" s="41" t="s">
        <v>27196</v>
      </c>
      <c r="E3385" s="41" t="s">
        <v>27365</v>
      </c>
      <c r="F3385" s="41" t="s">
        <v>27366</v>
      </c>
      <c r="G3385" s="41" t="s">
        <v>27367</v>
      </c>
      <c r="H3385" s="41" t="s">
        <v>27368</v>
      </c>
      <c r="I3385" s="41" t="s">
        <v>27369</v>
      </c>
      <c r="J3385" s="41" t="s">
        <v>27370</v>
      </c>
      <c r="K3385" s="41" t="s">
        <v>27371</v>
      </c>
      <c r="L3385" s="41" t="s">
        <v>27372</v>
      </c>
      <c r="M3385" s="41" t="s">
        <v>27373</v>
      </c>
      <c r="N3385" s="41" t="s">
        <v>27374</v>
      </c>
      <c r="O3385" s="41" t="s">
        <v>27375</v>
      </c>
      <c r="P3385" s="41" t="s">
        <v>27376</v>
      </c>
      <c r="Q3385" s="41" t="s">
        <v>27377</v>
      </c>
      <c r="R3385" s="41" t="s">
        <v>27378</v>
      </c>
      <c r="S3385" s="41" t="s">
        <v>27379</v>
      </c>
    </row>
    <row r="3386" spans="1:19" x14ac:dyDescent="0.25">
      <c r="A3386" s="41" t="s">
        <v>23</v>
      </c>
      <c r="B3386" s="41" t="s">
        <v>27380</v>
      </c>
      <c r="D3386" s="41" t="s">
        <v>27381</v>
      </c>
      <c r="F3386" s="41" t="s">
        <v>27382</v>
      </c>
      <c r="G3386" s="41" t="s">
        <v>27383</v>
      </c>
      <c r="H3386" s="41" t="s">
        <v>27384</v>
      </c>
      <c r="I3386" s="41" t="s">
        <v>27385</v>
      </c>
      <c r="J3386" s="41" t="s">
        <v>27386</v>
      </c>
      <c r="K3386" s="41" t="s">
        <v>27387</v>
      </c>
      <c r="L3386" s="41" t="s">
        <v>891</v>
      </c>
    </row>
    <row r="3387" spans="1:19" x14ac:dyDescent="0.25">
      <c r="A3387" s="41" t="s">
        <v>23</v>
      </c>
      <c r="B3387" s="41" t="s">
        <v>27388</v>
      </c>
      <c r="D3387" s="41" t="s">
        <v>27389</v>
      </c>
      <c r="F3387" s="41" t="s">
        <v>27390</v>
      </c>
      <c r="G3387" s="41" t="s">
        <v>27391</v>
      </c>
      <c r="H3387" s="41" t="s">
        <v>27392</v>
      </c>
      <c r="I3387" s="41" t="s">
        <v>27393</v>
      </c>
      <c r="J3387" s="41" t="s">
        <v>27394</v>
      </c>
      <c r="K3387" s="41" t="s">
        <v>27395</v>
      </c>
      <c r="L3387" s="41" t="s">
        <v>1076</v>
      </c>
    </row>
    <row r="3388" spans="1:19" x14ac:dyDescent="0.25">
      <c r="A3388" s="41" t="s">
        <v>23</v>
      </c>
      <c r="B3388" s="41" t="s">
        <v>27396</v>
      </c>
      <c r="D3388" s="41" t="s">
        <v>27397</v>
      </c>
      <c r="F3388" s="41" t="s">
        <v>27398</v>
      </c>
      <c r="G3388" s="41" t="s">
        <v>27399</v>
      </c>
      <c r="H3388" s="41" t="s">
        <v>27400</v>
      </c>
      <c r="I3388" s="41" t="s">
        <v>27401</v>
      </c>
      <c r="J3388" s="41" t="s">
        <v>27402</v>
      </c>
      <c r="K3388" s="41" t="s">
        <v>27403</v>
      </c>
      <c r="L3388" s="41" t="s">
        <v>1085</v>
      </c>
    </row>
    <row r="3389" spans="1:19" x14ac:dyDescent="0.25">
      <c r="A3389" s="41" t="s">
        <v>23</v>
      </c>
      <c r="B3389" s="41" t="s">
        <v>27404</v>
      </c>
      <c r="D3389" s="41" t="s">
        <v>27405</v>
      </c>
      <c r="F3389" s="41" t="s">
        <v>27406</v>
      </c>
      <c r="G3389" s="41" t="s">
        <v>27407</v>
      </c>
      <c r="H3389" s="41" t="s">
        <v>27408</v>
      </c>
      <c r="I3389" s="41" t="s">
        <v>27409</v>
      </c>
      <c r="J3389" s="41" t="s">
        <v>27410</v>
      </c>
      <c r="K3389" s="41" t="s">
        <v>27411</v>
      </c>
      <c r="L3389" s="41" t="s">
        <v>1094</v>
      </c>
    </row>
    <row r="3390" spans="1:19" x14ac:dyDescent="0.25">
      <c r="A3390" s="41" t="s">
        <v>908</v>
      </c>
      <c r="B3390" s="41" t="s">
        <v>27412</v>
      </c>
    </row>
    <row r="3391" spans="1:19" x14ac:dyDescent="0.25">
      <c r="A3391" s="41" t="s">
        <v>23</v>
      </c>
      <c r="B3391" s="41" t="s">
        <v>27413</v>
      </c>
      <c r="F3391" s="41" t="s">
        <v>27414</v>
      </c>
      <c r="G3391" s="41" t="s">
        <v>27415</v>
      </c>
      <c r="H3391" s="41" t="s">
        <v>27416</v>
      </c>
      <c r="I3391" s="41" t="s">
        <v>27417</v>
      </c>
      <c r="J3391" s="41" t="s">
        <v>27418</v>
      </c>
      <c r="L3391" s="41" t="s">
        <v>4</v>
      </c>
    </row>
    <row r="3392" spans="1:19" x14ac:dyDescent="0.25">
      <c r="A3392" s="41" t="s">
        <v>23</v>
      </c>
      <c r="B3392" s="41" t="s">
        <v>27419</v>
      </c>
      <c r="D3392" s="41" t="s">
        <v>27252</v>
      </c>
      <c r="E3392" s="41" t="s">
        <v>27421</v>
      </c>
      <c r="F3392" s="41" t="s">
        <v>27422</v>
      </c>
      <c r="G3392" s="41" t="s">
        <v>27423</v>
      </c>
      <c r="H3392" s="41" t="s">
        <v>27424</v>
      </c>
      <c r="I3392" s="41" t="s">
        <v>27425</v>
      </c>
      <c r="J3392" s="41" t="s">
        <v>27426</v>
      </c>
      <c r="K3392" s="41" t="s">
        <v>27427</v>
      </c>
      <c r="L3392" s="41" t="s">
        <v>27428</v>
      </c>
      <c r="M3392" s="41" t="s">
        <v>27429</v>
      </c>
      <c r="N3392" s="41" t="s">
        <v>27430</v>
      </c>
      <c r="O3392" s="41" t="s">
        <v>27431</v>
      </c>
      <c r="P3392" s="41" t="s">
        <v>27432</v>
      </c>
      <c r="Q3392" s="41" t="s">
        <v>27433</v>
      </c>
      <c r="R3392" s="41" t="s">
        <v>27434</v>
      </c>
      <c r="S3392" s="41" t="s">
        <v>27435</v>
      </c>
    </row>
    <row r="3393" spans="1:19" x14ac:dyDescent="0.25">
      <c r="A3393" s="41" t="s">
        <v>23</v>
      </c>
      <c r="B3393" s="41" t="s">
        <v>27436</v>
      </c>
      <c r="D3393" s="41" t="s">
        <v>27437</v>
      </c>
      <c r="F3393" s="41" t="s">
        <v>27438</v>
      </c>
      <c r="G3393" s="41" t="s">
        <v>27439</v>
      </c>
      <c r="H3393" s="41" t="s">
        <v>27440</v>
      </c>
      <c r="I3393" s="41" t="s">
        <v>27441</v>
      </c>
      <c r="J3393" s="41" t="s">
        <v>27442</v>
      </c>
      <c r="K3393" s="41" t="s">
        <v>27443</v>
      </c>
      <c r="L3393" s="41" t="s">
        <v>891</v>
      </c>
    </row>
    <row r="3394" spans="1:19" x14ac:dyDescent="0.25">
      <c r="A3394" s="41" t="s">
        <v>23</v>
      </c>
      <c r="B3394" s="41" t="s">
        <v>27444</v>
      </c>
      <c r="D3394" s="41" t="s">
        <v>27445</v>
      </c>
      <c r="F3394" s="41" t="s">
        <v>27446</v>
      </c>
      <c r="G3394" s="41" t="s">
        <v>27447</v>
      </c>
      <c r="H3394" s="41" t="s">
        <v>27448</v>
      </c>
      <c r="I3394" s="41" t="s">
        <v>27449</v>
      </c>
      <c r="J3394" s="41" t="s">
        <v>27450</v>
      </c>
      <c r="K3394" s="41" t="s">
        <v>27451</v>
      </c>
      <c r="L3394" s="41" t="s">
        <v>1076</v>
      </c>
    </row>
    <row r="3395" spans="1:19" x14ac:dyDescent="0.25">
      <c r="A3395" s="41" t="s">
        <v>23</v>
      </c>
      <c r="B3395" s="41" t="s">
        <v>27452</v>
      </c>
      <c r="D3395" s="41" t="s">
        <v>27453</v>
      </c>
      <c r="F3395" s="41" t="s">
        <v>27454</v>
      </c>
      <c r="G3395" s="41" t="s">
        <v>27455</v>
      </c>
      <c r="H3395" s="41" t="s">
        <v>27456</v>
      </c>
      <c r="I3395" s="41" t="s">
        <v>27457</v>
      </c>
      <c r="J3395" s="41" t="s">
        <v>27458</v>
      </c>
      <c r="K3395" s="41" t="s">
        <v>27459</v>
      </c>
      <c r="L3395" s="41" t="s">
        <v>1085</v>
      </c>
    </row>
    <row r="3396" spans="1:19" x14ac:dyDescent="0.25">
      <c r="A3396" s="41" t="s">
        <v>23</v>
      </c>
      <c r="B3396" s="41" t="s">
        <v>27460</v>
      </c>
      <c r="D3396" s="41" t="s">
        <v>27461</v>
      </c>
      <c r="F3396" s="41" t="s">
        <v>27462</v>
      </c>
      <c r="G3396" s="41" t="s">
        <v>27463</v>
      </c>
      <c r="H3396" s="41" t="s">
        <v>27464</v>
      </c>
      <c r="I3396" s="41" t="s">
        <v>27465</v>
      </c>
      <c r="J3396" s="41" t="s">
        <v>27466</v>
      </c>
      <c r="K3396" s="41" t="s">
        <v>27467</v>
      </c>
      <c r="L3396" s="41" t="s">
        <v>1094</v>
      </c>
    </row>
    <row r="3397" spans="1:19" x14ac:dyDescent="0.25">
      <c r="A3397" s="41" t="s">
        <v>908</v>
      </c>
      <c r="B3397" s="41" t="s">
        <v>27468</v>
      </c>
    </row>
    <row r="3398" spans="1:19" x14ac:dyDescent="0.25">
      <c r="A3398" s="41" t="s">
        <v>23</v>
      </c>
      <c r="B3398" s="41" t="s">
        <v>27469</v>
      </c>
      <c r="F3398" s="41" t="s">
        <v>27470</v>
      </c>
      <c r="G3398" s="41" t="s">
        <v>27471</v>
      </c>
      <c r="H3398" s="41" t="s">
        <v>27472</v>
      </c>
      <c r="I3398" s="41" t="s">
        <v>27473</v>
      </c>
      <c r="J3398" s="41" t="s">
        <v>27474</v>
      </c>
      <c r="L3398" s="41" t="s">
        <v>4</v>
      </c>
    </row>
    <row r="3399" spans="1:19" x14ac:dyDescent="0.25">
      <c r="A3399" s="41" t="s">
        <v>23</v>
      </c>
      <c r="B3399" s="41" t="s">
        <v>27475</v>
      </c>
      <c r="D3399" s="41" t="s">
        <v>27308</v>
      </c>
      <c r="E3399" s="41" t="s">
        <v>27477</v>
      </c>
      <c r="F3399" s="41" t="s">
        <v>27478</v>
      </c>
      <c r="G3399" s="41" t="s">
        <v>27479</v>
      </c>
      <c r="H3399" s="41" t="s">
        <v>27480</v>
      </c>
      <c r="I3399" s="41" t="s">
        <v>27481</v>
      </c>
      <c r="J3399" s="41" t="s">
        <v>27482</v>
      </c>
      <c r="K3399" s="41" t="s">
        <v>27483</v>
      </c>
      <c r="L3399" s="41" t="s">
        <v>27484</v>
      </c>
      <c r="M3399" s="41" t="s">
        <v>27485</v>
      </c>
      <c r="N3399" s="41" t="s">
        <v>27486</v>
      </c>
      <c r="O3399" s="41" t="s">
        <v>27487</v>
      </c>
      <c r="P3399" s="41" t="s">
        <v>27488</v>
      </c>
      <c r="Q3399" s="41" t="s">
        <v>27489</v>
      </c>
      <c r="R3399" s="41" t="s">
        <v>27490</v>
      </c>
      <c r="S3399" s="41" t="s">
        <v>27491</v>
      </c>
    </row>
    <row r="3400" spans="1:19" x14ac:dyDescent="0.25">
      <c r="A3400" s="41" t="s">
        <v>23</v>
      </c>
      <c r="B3400" s="41" t="s">
        <v>27492</v>
      </c>
      <c r="D3400" s="41" t="s">
        <v>27493</v>
      </c>
      <c r="F3400" s="41" t="s">
        <v>27494</v>
      </c>
      <c r="G3400" s="41" t="s">
        <v>27495</v>
      </c>
      <c r="H3400" s="41" t="s">
        <v>27496</v>
      </c>
      <c r="I3400" s="41" t="s">
        <v>27497</v>
      </c>
      <c r="J3400" s="41" t="s">
        <v>27498</v>
      </c>
      <c r="K3400" s="41" t="s">
        <v>27499</v>
      </c>
      <c r="L3400" s="41" t="s">
        <v>891</v>
      </c>
    </row>
    <row r="3401" spans="1:19" x14ac:dyDescent="0.25">
      <c r="A3401" s="41" t="s">
        <v>23</v>
      </c>
      <c r="B3401" s="41" t="s">
        <v>27500</v>
      </c>
      <c r="D3401" s="41" t="s">
        <v>27501</v>
      </c>
      <c r="F3401" s="41" t="s">
        <v>27502</v>
      </c>
      <c r="G3401" s="41" t="s">
        <v>27503</v>
      </c>
      <c r="H3401" s="41" t="s">
        <v>27504</v>
      </c>
      <c r="I3401" s="41" t="s">
        <v>27505</v>
      </c>
      <c r="J3401" s="41" t="s">
        <v>27506</v>
      </c>
      <c r="K3401" s="41" t="s">
        <v>27507</v>
      </c>
      <c r="L3401" s="41" t="s">
        <v>1076</v>
      </c>
    </row>
    <row r="3402" spans="1:19" x14ac:dyDescent="0.25">
      <c r="A3402" s="41" t="s">
        <v>23</v>
      </c>
      <c r="B3402" s="41" t="s">
        <v>27508</v>
      </c>
      <c r="D3402" s="41" t="s">
        <v>27509</v>
      </c>
      <c r="F3402" s="41" t="s">
        <v>27510</v>
      </c>
      <c r="G3402" s="41" t="s">
        <v>27511</v>
      </c>
      <c r="H3402" s="41" t="s">
        <v>27512</v>
      </c>
      <c r="I3402" s="41" t="s">
        <v>27513</v>
      </c>
      <c r="J3402" s="41" t="s">
        <v>27514</v>
      </c>
      <c r="K3402" s="41" t="s">
        <v>27515</v>
      </c>
      <c r="L3402" s="41" t="s">
        <v>1085</v>
      </c>
    </row>
    <row r="3403" spans="1:19" x14ac:dyDescent="0.25">
      <c r="A3403" s="41" t="s">
        <v>23</v>
      </c>
      <c r="B3403" s="41" t="s">
        <v>27516</v>
      </c>
      <c r="D3403" s="41" t="s">
        <v>27517</v>
      </c>
      <c r="F3403" s="41" t="s">
        <v>27518</v>
      </c>
      <c r="G3403" s="41" t="s">
        <v>27519</v>
      </c>
      <c r="H3403" s="41" t="s">
        <v>27520</v>
      </c>
      <c r="I3403" s="41" t="s">
        <v>27521</v>
      </c>
      <c r="J3403" s="41" t="s">
        <v>27522</v>
      </c>
      <c r="K3403" s="41" t="s">
        <v>27523</v>
      </c>
      <c r="L3403" s="41" t="s">
        <v>1094</v>
      </c>
    </row>
    <row r="3404" spans="1:19" x14ac:dyDescent="0.25">
      <c r="A3404" s="41" t="s">
        <v>908</v>
      </c>
      <c r="B3404" s="41" t="s">
        <v>27524</v>
      </c>
    </row>
    <row r="3405" spans="1:19" x14ac:dyDescent="0.25">
      <c r="A3405" s="41" t="s">
        <v>23</v>
      </c>
      <c r="B3405" s="41" t="s">
        <v>27525</v>
      </c>
      <c r="F3405" s="41" t="s">
        <v>27526</v>
      </c>
      <c r="G3405" s="41" t="s">
        <v>27527</v>
      </c>
      <c r="H3405" s="41" t="s">
        <v>27528</v>
      </c>
      <c r="I3405" s="41" t="s">
        <v>27529</v>
      </c>
      <c r="J3405" s="41" t="s">
        <v>27530</v>
      </c>
      <c r="L3405" s="41" t="s">
        <v>4</v>
      </c>
    </row>
    <row r="3406" spans="1:19" x14ac:dyDescent="0.25">
      <c r="A3406" s="41" t="s">
        <v>23</v>
      </c>
      <c r="B3406" s="41" t="s">
        <v>27531</v>
      </c>
      <c r="D3406" s="41" t="s">
        <v>27364</v>
      </c>
      <c r="E3406" s="41" t="s">
        <v>27533</v>
      </c>
      <c r="F3406" s="41" t="s">
        <v>27534</v>
      </c>
      <c r="G3406" s="41" t="s">
        <v>27535</v>
      </c>
      <c r="H3406" s="41" t="s">
        <v>27536</v>
      </c>
      <c r="I3406" s="41" t="s">
        <v>27537</v>
      </c>
      <c r="J3406" s="41" t="s">
        <v>27538</v>
      </c>
      <c r="K3406" s="41" t="s">
        <v>27539</v>
      </c>
      <c r="L3406" s="41" t="s">
        <v>27540</v>
      </c>
      <c r="M3406" s="41" t="s">
        <v>27541</v>
      </c>
      <c r="N3406" s="41" t="s">
        <v>27542</v>
      </c>
      <c r="O3406" s="41" t="s">
        <v>27543</v>
      </c>
      <c r="P3406" s="41" t="s">
        <v>27544</v>
      </c>
      <c r="Q3406" s="41" t="s">
        <v>27545</v>
      </c>
      <c r="R3406" s="41" t="s">
        <v>27546</v>
      </c>
      <c r="S3406" s="41" t="s">
        <v>27547</v>
      </c>
    </row>
    <row r="3407" spans="1:19" x14ac:dyDescent="0.25">
      <c r="A3407" s="41" t="s">
        <v>23</v>
      </c>
      <c r="B3407" s="41" t="s">
        <v>27548</v>
      </c>
      <c r="D3407" s="41" t="s">
        <v>27549</v>
      </c>
      <c r="F3407" s="41" t="s">
        <v>27550</v>
      </c>
      <c r="G3407" s="41" t="s">
        <v>27551</v>
      </c>
      <c r="H3407" s="41" t="s">
        <v>27552</v>
      </c>
      <c r="I3407" s="41" t="s">
        <v>27553</v>
      </c>
      <c r="J3407" s="41" t="s">
        <v>27554</v>
      </c>
      <c r="K3407" s="41" t="s">
        <v>27555</v>
      </c>
      <c r="L3407" s="41" t="s">
        <v>891</v>
      </c>
    </row>
    <row r="3408" spans="1:19" x14ac:dyDescent="0.25">
      <c r="A3408" s="41" t="s">
        <v>23</v>
      </c>
      <c r="B3408" s="41" t="s">
        <v>27556</v>
      </c>
      <c r="D3408" s="41" t="s">
        <v>27557</v>
      </c>
      <c r="F3408" s="41" t="s">
        <v>27558</v>
      </c>
      <c r="G3408" s="41" t="s">
        <v>27559</v>
      </c>
      <c r="H3408" s="41" t="s">
        <v>27560</v>
      </c>
      <c r="I3408" s="41" t="s">
        <v>27561</v>
      </c>
      <c r="J3408" s="41" t="s">
        <v>27562</v>
      </c>
      <c r="K3408" s="41" t="s">
        <v>27563</v>
      </c>
      <c r="L3408" s="41" t="s">
        <v>1076</v>
      </c>
    </row>
    <row r="3409" spans="1:19" x14ac:dyDescent="0.25">
      <c r="A3409" s="41" t="s">
        <v>23</v>
      </c>
      <c r="B3409" s="41" t="s">
        <v>27564</v>
      </c>
      <c r="D3409" s="41" t="s">
        <v>27565</v>
      </c>
      <c r="F3409" s="41" t="s">
        <v>27566</v>
      </c>
      <c r="G3409" s="41" t="s">
        <v>27567</v>
      </c>
      <c r="H3409" s="41" t="s">
        <v>27568</v>
      </c>
      <c r="I3409" s="41" t="s">
        <v>27569</v>
      </c>
      <c r="J3409" s="41" t="s">
        <v>27570</v>
      </c>
      <c r="K3409" s="41" t="s">
        <v>27571</v>
      </c>
      <c r="L3409" s="41" t="s">
        <v>1085</v>
      </c>
    </row>
    <row r="3410" spans="1:19" x14ac:dyDescent="0.25">
      <c r="A3410" s="41" t="s">
        <v>23</v>
      </c>
      <c r="B3410" s="41" t="s">
        <v>27572</v>
      </c>
      <c r="D3410" s="41" t="s">
        <v>27573</v>
      </c>
      <c r="F3410" s="41" t="s">
        <v>27574</v>
      </c>
      <c r="G3410" s="41" t="s">
        <v>27575</v>
      </c>
      <c r="H3410" s="41" t="s">
        <v>27576</v>
      </c>
      <c r="I3410" s="41" t="s">
        <v>27577</v>
      </c>
      <c r="J3410" s="41" t="s">
        <v>27578</v>
      </c>
      <c r="K3410" s="41" t="s">
        <v>27579</v>
      </c>
      <c r="L3410" s="41" t="s">
        <v>1094</v>
      </c>
    </row>
    <row r="3411" spans="1:19" x14ac:dyDescent="0.25">
      <c r="A3411" s="41" t="s">
        <v>908</v>
      </c>
      <c r="B3411" s="41" t="s">
        <v>27580</v>
      </c>
    </row>
    <row r="3412" spans="1:19" x14ac:dyDescent="0.25">
      <c r="A3412" s="41" t="s">
        <v>23</v>
      </c>
      <c r="B3412" s="41" t="s">
        <v>27581</v>
      </c>
      <c r="F3412" s="41" t="s">
        <v>27582</v>
      </c>
      <c r="G3412" s="41" t="s">
        <v>27583</v>
      </c>
      <c r="H3412" s="41" t="s">
        <v>27584</v>
      </c>
      <c r="I3412" s="41" t="s">
        <v>27585</v>
      </c>
      <c r="J3412" s="41" t="s">
        <v>27586</v>
      </c>
      <c r="L3412" s="41" t="s">
        <v>4</v>
      </c>
    </row>
    <row r="3413" spans="1:19" x14ac:dyDescent="0.25">
      <c r="A3413" s="41" t="s">
        <v>23</v>
      </c>
      <c r="B3413" s="41" t="s">
        <v>27587</v>
      </c>
      <c r="D3413" s="41" t="s">
        <v>27420</v>
      </c>
      <c r="E3413" s="41" t="s">
        <v>27589</v>
      </c>
      <c r="F3413" s="41" t="s">
        <v>27590</v>
      </c>
      <c r="G3413" s="41" t="s">
        <v>27591</v>
      </c>
      <c r="H3413" s="41" t="s">
        <v>27592</v>
      </c>
      <c r="I3413" s="41" t="s">
        <v>27593</v>
      </c>
      <c r="J3413" s="41" t="s">
        <v>27594</v>
      </c>
      <c r="K3413" s="41" t="s">
        <v>27595</v>
      </c>
      <c r="L3413" s="41" t="s">
        <v>27596</v>
      </c>
      <c r="M3413" s="41" t="s">
        <v>27597</v>
      </c>
      <c r="N3413" s="41" t="s">
        <v>27598</v>
      </c>
      <c r="O3413" s="41" t="s">
        <v>27599</v>
      </c>
      <c r="P3413" s="41" t="s">
        <v>27600</v>
      </c>
      <c r="Q3413" s="41" t="s">
        <v>27601</v>
      </c>
      <c r="R3413" s="41" t="s">
        <v>27602</v>
      </c>
      <c r="S3413" s="41" t="s">
        <v>27603</v>
      </c>
    </row>
    <row r="3414" spans="1:19" x14ac:dyDescent="0.25">
      <c r="A3414" s="41" t="s">
        <v>23</v>
      </c>
      <c r="B3414" s="41" t="s">
        <v>27604</v>
      </c>
      <c r="D3414" s="41" t="s">
        <v>27605</v>
      </c>
      <c r="F3414" s="41" t="s">
        <v>27606</v>
      </c>
      <c r="G3414" s="41" t="s">
        <v>27607</v>
      </c>
      <c r="H3414" s="41" t="s">
        <v>27608</v>
      </c>
      <c r="I3414" s="41" t="s">
        <v>27609</v>
      </c>
      <c r="J3414" s="41" t="s">
        <v>27610</v>
      </c>
      <c r="K3414" s="41" t="s">
        <v>27611</v>
      </c>
      <c r="L3414" s="41" t="s">
        <v>891</v>
      </c>
    </row>
    <row r="3415" spans="1:19" x14ac:dyDescent="0.25">
      <c r="A3415" s="41" t="s">
        <v>23</v>
      </c>
      <c r="B3415" s="41" t="s">
        <v>27612</v>
      </c>
      <c r="D3415" s="41" t="s">
        <v>27613</v>
      </c>
      <c r="F3415" s="41" t="s">
        <v>27614</v>
      </c>
      <c r="G3415" s="41" t="s">
        <v>27615</v>
      </c>
      <c r="H3415" s="41" t="s">
        <v>27616</v>
      </c>
      <c r="I3415" s="41" t="s">
        <v>27617</v>
      </c>
      <c r="J3415" s="41" t="s">
        <v>27618</v>
      </c>
      <c r="K3415" s="41" t="s">
        <v>27619</v>
      </c>
      <c r="L3415" s="41" t="s">
        <v>1076</v>
      </c>
    </row>
    <row r="3416" spans="1:19" x14ac:dyDescent="0.25">
      <c r="A3416" s="41" t="s">
        <v>23</v>
      </c>
      <c r="B3416" s="41" t="s">
        <v>27620</v>
      </c>
      <c r="D3416" s="41" t="s">
        <v>27621</v>
      </c>
      <c r="F3416" s="41" t="s">
        <v>27622</v>
      </c>
      <c r="G3416" s="41" t="s">
        <v>27623</v>
      </c>
      <c r="H3416" s="41" t="s">
        <v>27624</v>
      </c>
      <c r="I3416" s="41" t="s">
        <v>27625</v>
      </c>
      <c r="J3416" s="41" t="s">
        <v>27626</v>
      </c>
      <c r="K3416" s="41" t="s">
        <v>27627</v>
      </c>
      <c r="L3416" s="41" t="s">
        <v>1085</v>
      </c>
    </row>
    <row r="3417" spans="1:19" x14ac:dyDescent="0.25">
      <c r="A3417" s="41" t="s">
        <v>23</v>
      </c>
      <c r="B3417" s="41" t="s">
        <v>27628</v>
      </c>
      <c r="D3417" s="41" t="s">
        <v>27629</v>
      </c>
      <c r="F3417" s="41" t="s">
        <v>27630</v>
      </c>
      <c r="G3417" s="41" t="s">
        <v>27631</v>
      </c>
      <c r="H3417" s="41" t="s">
        <v>27632</v>
      </c>
      <c r="I3417" s="41" t="s">
        <v>27633</v>
      </c>
      <c r="J3417" s="41" t="s">
        <v>27634</v>
      </c>
      <c r="K3417" s="41" t="s">
        <v>27635</v>
      </c>
      <c r="L3417" s="41" t="s">
        <v>1094</v>
      </c>
    </row>
    <row r="3418" spans="1:19" x14ac:dyDescent="0.25">
      <c r="A3418" s="41" t="s">
        <v>908</v>
      </c>
      <c r="B3418" s="41" t="s">
        <v>27636</v>
      </c>
    </row>
    <row r="3419" spans="1:19" x14ac:dyDescent="0.25">
      <c r="A3419" s="41" t="s">
        <v>23</v>
      </c>
      <c r="B3419" s="41" t="s">
        <v>27637</v>
      </c>
      <c r="F3419" s="41" t="s">
        <v>27638</v>
      </c>
      <c r="G3419" s="41" t="s">
        <v>27639</v>
      </c>
      <c r="H3419" s="41" t="s">
        <v>27640</v>
      </c>
      <c r="I3419" s="41" t="s">
        <v>27641</v>
      </c>
      <c r="J3419" s="41" t="s">
        <v>27642</v>
      </c>
      <c r="L3419" s="41" t="s">
        <v>4</v>
      </c>
    </row>
    <row r="3420" spans="1:19" x14ac:dyDescent="0.25">
      <c r="A3420" s="41" t="s">
        <v>23</v>
      </c>
      <c r="B3420" s="41" t="s">
        <v>27643</v>
      </c>
      <c r="D3420" s="41" t="s">
        <v>27476</v>
      </c>
      <c r="E3420" s="41" t="s">
        <v>27645</v>
      </c>
      <c r="F3420" s="41" t="s">
        <v>27646</v>
      </c>
      <c r="G3420" s="41" t="s">
        <v>27647</v>
      </c>
      <c r="H3420" s="41" t="s">
        <v>27648</v>
      </c>
      <c r="I3420" s="41" t="s">
        <v>27649</v>
      </c>
      <c r="J3420" s="41" t="s">
        <v>27650</v>
      </c>
      <c r="K3420" s="41" t="s">
        <v>27651</v>
      </c>
      <c r="L3420" s="41" t="s">
        <v>27652</v>
      </c>
      <c r="M3420" s="41" t="s">
        <v>27653</v>
      </c>
      <c r="N3420" s="41" t="s">
        <v>27654</v>
      </c>
      <c r="O3420" s="41" t="s">
        <v>27655</v>
      </c>
      <c r="P3420" s="41" t="s">
        <v>27656</v>
      </c>
      <c r="Q3420" s="41" t="s">
        <v>27657</v>
      </c>
      <c r="R3420" s="41" t="s">
        <v>27658</v>
      </c>
      <c r="S3420" s="41" t="s">
        <v>27659</v>
      </c>
    </row>
    <row r="3421" spans="1:19" x14ac:dyDescent="0.25">
      <c r="A3421" s="41" t="s">
        <v>23</v>
      </c>
      <c r="B3421" s="41" t="s">
        <v>27660</v>
      </c>
      <c r="D3421" s="41" t="s">
        <v>27661</v>
      </c>
      <c r="F3421" s="41" t="s">
        <v>27662</v>
      </c>
      <c r="G3421" s="41" t="s">
        <v>27663</v>
      </c>
      <c r="H3421" s="41" t="s">
        <v>27664</v>
      </c>
      <c r="I3421" s="41" t="s">
        <v>27665</v>
      </c>
      <c r="J3421" s="41" t="s">
        <v>27666</v>
      </c>
      <c r="K3421" s="41" t="s">
        <v>27667</v>
      </c>
      <c r="L3421" s="41" t="s">
        <v>891</v>
      </c>
    </row>
    <row r="3422" spans="1:19" x14ac:dyDescent="0.25">
      <c r="A3422" s="41" t="s">
        <v>23</v>
      </c>
      <c r="B3422" s="41" t="s">
        <v>27668</v>
      </c>
      <c r="D3422" s="41" t="s">
        <v>27669</v>
      </c>
      <c r="F3422" s="41" t="s">
        <v>27670</v>
      </c>
      <c r="G3422" s="41" t="s">
        <v>27671</v>
      </c>
      <c r="H3422" s="41" t="s">
        <v>27672</v>
      </c>
      <c r="I3422" s="41" t="s">
        <v>27673</v>
      </c>
      <c r="J3422" s="41" t="s">
        <v>27674</v>
      </c>
      <c r="K3422" s="41" t="s">
        <v>27675</v>
      </c>
      <c r="L3422" s="41" t="s">
        <v>1076</v>
      </c>
    </row>
    <row r="3423" spans="1:19" x14ac:dyDescent="0.25">
      <c r="A3423" s="41" t="s">
        <v>23</v>
      </c>
      <c r="B3423" s="41" t="s">
        <v>27676</v>
      </c>
      <c r="D3423" s="41" t="s">
        <v>27677</v>
      </c>
      <c r="F3423" s="41" t="s">
        <v>27678</v>
      </c>
      <c r="G3423" s="41" t="s">
        <v>27679</v>
      </c>
      <c r="H3423" s="41" t="s">
        <v>27680</v>
      </c>
      <c r="I3423" s="41" t="s">
        <v>27681</v>
      </c>
      <c r="J3423" s="41" t="s">
        <v>27682</v>
      </c>
      <c r="K3423" s="41" t="s">
        <v>27683</v>
      </c>
      <c r="L3423" s="41" t="s">
        <v>1085</v>
      </c>
    </row>
    <row r="3424" spans="1:19" x14ac:dyDescent="0.25">
      <c r="A3424" s="41" t="s">
        <v>23</v>
      </c>
      <c r="B3424" s="41" t="s">
        <v>27684</v>
      </c>
      <c r="D3424" s="41" t="s">
        <v>27685</v>
      </c>
      <c r="F3424" s="41" t="s">
        <v>27686</v>
      </c>
      <c r="G3424" s="41" t="s">
        <v>27687</v>
      </c>
      <c r="H3424" s="41" t="s">
        <v>27688</v>
      </c>
      <c r="I3424" s="41" t="s">
        <v>27689</v>
      </c>
      <c r="J3424" s="41" t="s">
        <v>27690</v>
      </c>
      <c r="K3424" s="41" t="s">
        <v>27691</v>
      </c>
      <c r="L3424" s="41" t="s">
        <v>1094</v>
      </c>
    </row>
    <row r="3425" spans="1:19" x14ac:dyDescent="0.25">
      <c r="A3425" s="41" t="s">
        <v>908</v>
      </c>
      <c r="B3425" s="41" t="s">
        <v>27692</v>
      </c>
    </row>
    <row r="3426" spans="1:19" x14ac:dyDescent="0.25">
      <c r="A3426" s="41" t="s">
        <v>23</v>
      </c>
      <c r="B3426" s="41" t="s">
        <v>27693</v>
      </c>
      <c r="F3426" s="41" t="s">
        <v>27694</v>
      </c>
      <c r="G3426" s="41" t="s">
        <v>27695</v>
      </c>
      <c r="H3426" s="41" t="s">
        <v>27696</v>
      </c>
      <c r="I3426" s="41" t="s">
        <v>27697</v>
      </c>
      <c r="J3426" s="41" t="s">
        <v>27698</v>
      </c>
      <c r="L3426" s="41" t="s">
        <v>4</v>
      </c>
    </row>
    <row r="3427" spans="1:19" x14ac:dyDescent="0.25">
      <c r="A3427" s="41" t="s">
        <v>23</v>
      </c>
      <c r="B3427" s="41" t="s">
        <v>27699</v>
      </c>
      <c r="D3427" s="41" t="s">
        <v>27532</v>
      </c>
      <c r="E3427" s="41" t="s">
        <v>27701</v>
      </c>
      <c r="F3427" s="41" t="s">
        <v>27702</v>
      </c>
      <c r="G3427" s="41" t="s">
        <v>27703</v>
      </c>
      <c r="H3427" s="41" t="s">
        <v>27704</v>
      </c>
      <c r="I3427" s="41" t="s">
        <v>27705</v>
      </c>
      <c r="J3427" s="41" t="s">
        <v>27706</v>
      </c>
      <c r="K3427" s="41" t="s">
        <v>27707</v>
      </c>
      <c r="L3427" s="41" t="s">
        <v>27708</v>
      </c>
      <c r="M3427" s="41" t="s">
        <v>27709</v>
      </c>
      <c r="N3427" s="41" t="s">
        <v>27710</v>
      </c>
      <c r="O3427" s="41" t="s">
        <v>27711</v>
      </c>
      <c r="P3427" s="41" t="s">
        <v>27712</v>
      </c>
      <c r="Q3427" s="41" t="s">
        <v>27713</v>
      </c>
      <c r="R3427" s="41" t="s">
        <v>27714</v>
      </c>
      <c r="S3427" s="41" t="s">
        <v>27715</v>
      </c>
    </row>
    <row r="3428" spans="1:19" x14ac:dyDescent="0.25">
      <c r="A3428" s="41" t="s">
        <v>23</v>
      </c>
      <c r="B3428" s="41" t="s">
        <v>27716</v>
      </c>
      <c r="D3428" s="41" t="s">
        <v>27717</v>
      </c>
      <c r="F3428" s="41" t="s">
        <v>27718</v>
      </c>
      <c r="G3428" s="41" t="s">
        <v>27719</v>
      </c>
      <c r="H3428" s="41" t="s">
        <v>27720</v>
      </c>
      <c r="I3428" s="41" t="s">
        <v>27721</v>
      </c>
      <c r="J3428" s="41" t="s">
        <v>27722</v>
      </c>
      <c r="K3428" s="41" t="s">
        <v>27723</v>
      </c>
      <c r="L3428" s="41" t="s">
        <v>891</v>
      </c>
    </row>
    <row r="3429" spans="1:19" x14ac:dyDescent="0.25">
      <c r="A3429" s="41" t="s">
        <v>23</v>
      </c>
      <c r="B3429" s="41" t="s">
        <v>27724</v>
      </c>
      <c r="D3429" s="41" t="s">
        <v>27725</v>
      </c>
      <c r="F3429" s="41" t="s">
        <v>27726</v>
      </c>
      <c r="G3429" s="41" t="s">
        <v>27727</v>
      </c>
      <c r="H3429" s="41" t="s">
        <v>27728</v>
      </c>
      <c r="I3429" s="41" t="s">
        <v>27729</v>
      </c>
      <c r="J3429" s="41" t="s">
        <v>27730</v>
      </c>
      <c r="K3429" s="41" t="s">
        <v>27731</v>
      </c>
      <c r="L3429" s="41" t="s">
        <v>1076</v>
      </c>
    </row>
    <row r="3430" spans="1:19" x14ac:dyDescent="0.25">
      <c r="A3430" s="41" t="s">
        <v>23</v>
      </c>
      <c r="B3430" s="41" t="s">
        <v>27732</v>
      </c>
      <c r="D3430" s="41" t="s">
        <v>27733</v>
      </c>
      <c r="F3430" s="41" t="s">
        <v>27734</v>
      </c>
      <c r="G3430" s="41" t="s">
        <v>27735</v>
      </c>
      <c r="H3430" s="41" t="s">
        <v>27736</v>
      </c>
      <c r="I3430" s="41" t="s">
        <v>27737</v>
      </c>
      <c r="J3430" s="41" t="s">
        <v>27738</v>
      </c>
      <c r="K3430" s="41" t="s">
        <v>27739</v>
      </c>
      <c r="L3430" s="41" t="s">
        <v>1085</v>
      </c>
    </row>
    <row r="3431" spans="1:19" x14ac:dyDescent="0.25">
      <c r="A3431" s="41" t="s">
        <v>23</v>
      </c>
      <c r="B3431" s="41" t="s">
        <v>27740</v>
      </c>
      <c r="D3431" s="41" t="s">
        <v>27741</v>
      </c>
      <c r="F3431" s="41" t="s">
        <v>27742</v>
      </c>
      <c r="G3431" s="41" t="s">
        <v>27743</v>
      </c>
      <c r="H3431" s="41" t="s">
        <v>27744</v>
      </c>
      <c r="I3431" s="41" t="s">
        <v>27745</v>
      </c>
      <c r="J3431" s="41" t="s">
        <v>27746</v>
      </c>
      <c r="K3431" s="41" t="s">
        <v>27747</v>
      </c>
      <c r="L3431" s="41" t="s">
        <v>1094</v>
      </c>
    </row>
    <row r="3432" spans="1:19" x14ac:dyDescent="0.25">
      <c r="A3432" s="41" t="s">
        <v>908</v>
      </c>
      <c r="B3432" s="41" t="s">
        <v>27748</v>
      </c>
    </row>
    <row r="3433" spans="1:19" x14ac:dyDescent="0.25">
      <c r="A3433" s="41" t="s">
        <v>23</v>
      </c>
      <c r="B3433" s="41" t="s">
        <v>27749</v>
      </c>
      <c r="F3433" s="41" t="s">
        <v>27750</v>
      </c>
      <c r="G3433" s="41" t="s">
        <v>27751</v>
      </c>
      <c r="H3433" s="41" t="s">
        <v>27752</v>
      </c>
      <c r="I3433" s="41" t="s">
        <v>27753</v>
      </c>
      <c r="J3433" s="41" t="s">
        <v>27754</v>
      </c>
      <c r="L3433" s="41" t="s">
        <v>4</v>
      </c>
    </row>
    <row r="3434" spans="1:19" x14ac:dyDescent="0.25">
      <c r="A3434" s="41" t="s">
        <v>23</v>
      </c>
      <c r="B3434" s="41" t="s">
        <v>27755</v>
      </c>
      <c r="D3434" s="41" t="s">
        <v>27588</v>
      </c>
      <c r="E3434" s="41" t="s">
        <v>27757</v>
      </c>
      <c r="F3434" s="41" t="s">
        <v>27758</v>
      </c>
      <c r="G3434" s="41" t="s">
        <v>27759</v>
      </c>
      <c r="H3434" s="41" t="s">
        <v>27760</v>
      </c>
      <c r="I3434" s="41" t="s">
        <v>27761</v>
      </c>
      <c r="J3434" s="41" t="s">
        <v>27762</v>
      </c>
      <c r="K3434" s="41" t="s">
        <v>27763</v>
      </c>
      <c r="L3434" s="41" t="s">
        <v>27764</v>
      </c>
      <c r="M3434" s="41" t="s">
        <v>27765</v>
      </c>
      <c r="N3434" s="41" t="s">
        <v>27766</v>
      </c>
      <c r="O3434" s="41" t="s">
        <v>27767</v>
      </c>
      <c r="P3434" s="41" t="s">
        <v>27768</v>
      </c>
      <c r="Q3434" s="41" t="s">
        <v>27769</v>
      </c>
      <c r="R3434" s="41" t="s">
        <v>27770</v>
      </c>
      <c r="S3434" s="41" t="s">
        <v>27771</v>
      </c>
    </row>
    <row r="3435" spans="1:19" x14ac:dyDescent="0.25">
      <c r="A3435" s="41" t="s">
        <v>23</v>
      </c>
      <c r="B3435" s="41" t="s">
        <v>27772</v>
      </c>
      <c r="D3435" s="41" t="s">
        <v>27773</v>
      </c>
      <c r="F3435" s="41" t="s">
        <v>27774</v>
      </c>
      <c r="G3435" s="41" t="s">
        <v>27775</v>
      </c>
      <c r="H3435" s="41" t="s">
        <v>27776</v>
      </c>
      <c r="I3435" s="41" t="s">
        <v>27777</v>
      </c>
      <c r="J3435" s="41" t="s">
        <v>27778</v>
      </c>
      <c r="K3435" s="41" t="s">
        <v>27779</v>
      </c>
      <c r="L3435" s="41" t="s">
        <v>891</v>
      </c>
    </row>
    <row r="3436" spans="1:19" x14ac:dyDescent="0.25">
      <c r="A3436" s="41" t="s">
        <v>23</v>
      </c>
      <c r="B3436" s="41" t="s">
        <v>27780</v>
      </c>
      <c r="D3436" s="41" t="s">
        <v>27781</v>
      </c>
      <c r="F3436" s="41" t="s">
        <v>27782</v>
      </c>
      <c r="G3436" s="41" t="s">
        <v>27783</v>
      </c>
      <c r="H3436" s="41" t="s">
        <v>27784</v>
      </c>
      <c r="I3436" s="41" t="s">
        <v>27785</v>
      </c>
      <c r="J3436" s="41" t="s">
        <v>27786</v>
      </c>
      <c r="K3436" s="41" t="s">
        <v>27787</v>
      </c>
      <c r="L3436" s="41" t="s">
        <v>1076</v>
      </c>
    </row>
    <row r="3437" spans="1:19" x14ac:dyDescent="0.25">
      <c r="A3437" s="41" t="s">
        <v>23</v>
      </c>
      <c r="B3437" s="41" t="s">
        <v>27788</v>
      </c>
      <c r="D3437" s="41" t="s">
        <v>27789</v>
      </c>
      <c r="F3437" s="41" t="s">
        <v>27790</v>
      </c>
      <c r="G3437" s="41" t="s">
        <v>27791</v>
      </c>
      <c r="H3437" s="41" t="s">
        <v>27792</v>
      </c>
      <c r="I3437" s="41" t="s">
        <v>27793</v>
      </c>
      <c r="J3437" s="41" t="s">
        <v>27794</v>
      </c>
      <c r="K3437" s="41" t="s">
        <v>27795</v>
      </c>
      <c r="L3437" s="41" t="s">
        <v>1085</v>
      </c>
    </row>
    <row r="3438" spans="1:19" x14ac:dyDescent="0.25">
      <c r="A3438" s="41" t="s">
        <v>23</v>
      </c>
      <c r="B3438" s="41" t="s">
        <v>27796</v>
      </c>
      <c r="D3438" s="41" t="s">
        <v>27797</v>
      </c>
      <c r="F3438" s="41" t="s">
        <v>27798</v>
      </c>
      <c r="G3438" s="41" t="s">
        <v>27799</v>
      </c>
      <c r="H3438" s="41" t="s">
        <v>27800</v>
      </c>
      <c r="I3438" s="41" t="s">
        <v>27801</v>
      </c>
      <c r="J3438" s="41" t="s">
        <v>27802</v>
      </c>
      <c r="K3438" s="41" t="s">
        <v>27803</v>
      </c>
      <c r="L3438" s="41" t="s">
        <v>1094</v>
      </c>
    </row>
    <row r="3439" spans="1:19" x14ac:dyDescent="0.25">
      <c r="A3439" s="41" t="s">
        <v>908</v>
      </c>
      <c r="B3439" s="41" t="s">
        <v>27804</v>
      </c>
    </row>
    <row r="3440" spans="1:19" x14ac:dyDescent="0.25">
      <c r="A3440" s="41" t="s">
        <v>23</v>
      </c>
      <c r="B3440" s="41" t="s">
        <v>27805</v>
      </c>
      <c r="F3440" s="41" t="s">
        <v>27806</v>
      </c>
      <c r="G3440" s="41" t="s">
        <v>27807</v>
      </c>
      <c r="H3440" s="41" t="s">
        <v>27808</v>
      </c>
      <c r="I3440" s="41" t="s">
        <v>27809</v>
      </c>
      <c r="J3440" s="41" t="s">
        <v>27810</v>
      </c>
      <c r="L3440" s="41" t="s">
        <v>4</v>
      </c>
    </row>
    <row r="3441" spans="1:19" x14ac:dyDescent="0.25">
      <c r="A3441" s="41" t="s">
        <v>23</v>
      </c>
      <c r="B3441" s="41" t="s">
        <v>27811</v>
      </c>
      <c r="D3441" s="41" t="s">
        <v>27644</v>
      </c>
      <c r="E3441" s="41" t="s">
        <v>27813</v>
      </c>
      <c r="F3441" s="41" t="s">
        <v>27814</v>
      </c>
      <c r="G3441" s="41" t="s">
        <v>27815</v>
      </c>
      <c r="H3441" s="41" t="s">
        <v>27816</v>
      </c>
      <c r="I3441" s="41" t="s">
        <v>27817</v>
      </c>
      <c r="J3441" s="41" t="s">
        <v>27818</v>
      </c>
      <c r="K3441" s="41" t="s">
        <v>27819</v>
      </c>
      <c r="L3441" s="41" t="s">
        <v>27820</v>
      </c>
      <c r="M3441" s="41" t="s">
        <v>27821</v>
      </c>
      <c r="N3441" s="41" t="s">
        <v>27822</v>
      </c>
      <c r="O3441" s="41" t="s">
        <v>27823</v>
      </c>
      <c r="P3441" s="41" t="s">
        <v>27824</v>
      </c>
      <c r="Q3441" s="41" t="s">
        <v>27825</v>
      </c>
      <c r="R3441" s="41" t="s">
        <v>27826</v>
      </c>
      <c r="S3441" s="41" t="s">
        <v>27827</v>
      </c>
    </row>
    <row r="3442" spans="1:19" x14ac:dyDescent="0.25">
      <c r="A3442" s="41" t="s">
        <v>23</v>
      </c>
      <c r="B3442" s="41" t="s">
        <v>27828</v>
      </c>
      <c r="D3442" s="41" t="s">
        <v>27829</v>
      </c>
      <c r="F3442" s="41" t="s">
        <v>27830</v>
      </c>
      <c r="G3442" s="41" t="s">
        <v>27831</v>
      </c>
      <c r="H3442" s="41" t="s">
        <v>27832</v>
      </c>
      <c r="I3442" s="41" t="s">
        <v>27833</v>
      </c>
      <c r="J3442" s="41" t="s">
        <v>27834</v>
      </c>
      <c r="K3442" s="41" t="s">
        <v>27835</v>
      </c>
      <c r="L3442" s="41" t="s">
        <v>891</v>
      </c>
    </row>
    <row r="3443" spans="1:19" x14ac:dyDescent="0.25">
      <c r="A3443" s="41" t="s">
        <v>23</v>
      </c>
      <c r="B3443" s="41" t="s">
        <v>27836</v>
      </c>
      <c r="D3443" s="41" t="s">
        <v>27837</v>
      </c>
      <c r="F3443" s="41" t="s">
        <v>27838</v>
      </c>
      <c r="G3443" s="41" t="s">
        <v>27839</v>
      </c>
      <c r="H3443" s="41" t="s">
        <v>27840</v>
      </c>
      <c r="I3443" s="41" t="s">
        <v>27841</v>
      </c>
      <c r="J3443" s="41" t="s">
        <v>27842</v>
      </c>
      <c r="K3443" s="41" t="s">
        <v>27843</v>
      </c>
      <c r="L3443" s="41" t="s">
        <v>1076</v>
      </c>
    </row>
    <row r="3444" spans="1:19" x14ac:dyDescent="0.25">
      <c r="A3444" s="41" t="s">
        <v>23</v>
      </c>
      <c r="B3444" s="41" t="s">
        <v>27844</v>
      </c>
      <c r="D3444" s="41" t="s">
        <v>27845</v>
      </c>
      <c r="F3444" s="41" t="s">
        <v>27846</v>
      </c>
      <c r="G3444" s="41" t="s">
        <v>27847</v>
      </c>
      <c r="H3444" s="41" t="s">
        <v>27848</v>
      </c>
      <c r="I3444" s="41" t="s">
        <v>27849</v>
      </c>
      <c r="J3444" s="41" t="s">
        <v>27850</v>
      </c>
      <c r="K3444" s="41" t="s">
        <v>27851</v>
      </c>
      <c r="L3444" s="41" t="s">
        <v>1085</v>
      </c>
    </row>
    <row r="3445" spans="1:19" x14ac:dyDescent="0.25">
      <c r="A3445" s="41" t="s">
        <v>23</v>
      </c>
      <c r="B3445" s="41" t="s">
        <v>27852</v>
      </c>
      <c r="D3445" s="41" t="s">
        <v>27853</v>
      </c>
      <c r="F3445" s="41" t="s">
        <v>27854</v>
      </c>
      <c r="G3445" s="41" t="s">
        <v>27855</v>
      </c>
      <c r="H3445" s="41" t="s">
        <v>27856</v>
      </c>
      <c r="I3445" s="41" t="s">
        <v>27857</v>
      </c>
      <c r="J3445" s="41" t="s">
        <v>27858</v>
      </c>
      <c r="K3445" s="41" t="s">
        <v>27859</v>
      </c>
      <c r="L3445" s="41" t="s">
        <v>1094</v>
      </c>
    </row>
    <row r="3446" spans="1:19" x14ac:dyDescent="0.25">
      <c r="A3446" s="41" t="s">
        <v>908</v>
      </c>
      <c r="B3446" s="41" t="s">
        <v>27860</v>
      </c>
    </row>
    <row r="3447" spans="1:19" x14ac:dyDescent="0.25">
      <c r="A3447" s="41" t="s">
        <v>23</v>
      </c>
      <c r="B3447" s="41" t="s">
        <v>27861</v>
      </c>
      <c r="F3447" s="41" t="s">
        <v>27862</v>
      </c>
      <c r="G3447" s="41" t="s">
        <v>27863</v>
      </c>
      <c r="H3447" s="41" t="s">
        <v>27864</v>
      </c>
      <c r="I3447" s="41" t="s">
        <v>27865</v>
      </c>
      <c r="J3447" s="41" t="s">
        <v>27866</v>
      </c>
      <c r="L3447" s="41" t="s">
        <v>4</v>
      </c>
    </row>
    <row r="3448" spans="1:19" x14ac:dyDescent="0.25">
      <c r="A3448" s="41" t="s">
        <v>23</v>
      </c>
      <c r="B3448" s="41" t="s">
        <v>27867</v>
      </c>
      <c r="D3448" s="41" t="s">
        <v>27700</v>
      </c>
      <c r="E3448" s="41" t="s">
        <v>27869</v>
      </c>
      <c r="F3448" s="41" t="s">
        <v>27870</v>
      </c>
      <c r="G3448" s="41" t="s">
        <v>27871</v>
      </c>
      <c r="H3448" s="41" t="s">
        <v>27872</v>
      </c>
      <c r="I3448" s="41" t="s">
        <v>27873</v>
      </c>
      <c r="J3448" s="41" t="s">
        <v>27874</v>
      </c>
      <c r="K3448" s="41" t="s">
        <v>27875</v>
      </c>
      <c r="L3448" s="41" t="s">
        <v>27876</v>
      </c>
      <c r="M3448" s="41" t="s">
        <v>27877</v>
      </c>
      <c r="N3448" s="41" t="s">
        <v>27878</v>
      </c>
      <c r="O3448" s="41" t="s">
        <v>27879</v>
      </c>
      <c r="P3448" s="41" t="s">
        <v>27880</v>
      </c>
      <c r="Q3448" s="41" t="s">
        <v>27881</v>
      </c>
      <c r="R3448" s="41" t="s">
        <v>27882</v>
      </c>
      <c r="S3448" s="41" t="s">
        <v>27883</v>
      </c>
    </row>
    <row r="3449" spans="1:19" x14ac:dyDescent="0.25">
      <c r="A3449" s="41" t="s">
        <v>23</v>
      </c>
      <c r="B3449" s="41" t="s">
        <v>27884</v>
      </c>
      <c r="D3449" s="41" t="s">
        <v>27885</v>
      </c>
      <c r="F3449" s="41" t="s">
        <v>27886</v>
      </c>
      <c r="G3449" s="41" t="s">
        <v>27887</v>
      </c>
      <c r="H3449" s="41" t="s">
        <v>27888</v>
      </c>
      <c r="I3449" s="41" t="s">
        <v>27889</v>
      </c>
      <c r="J3449" s="41" t="s">
        <v>27890</v>
      </c>
      <c r="K3449" s="41" t="s">
        <v>27891</v>
      </c>
      <c r="L3449" s="41" t="s">
        <v>891</v>
      </c>
    </row>
    <row r="3450" spans="1:19" x14ac:dyDescent="0.25">
      <c r="A3450" s="41" t="s">
        <v>23</v>
      </c>
      <c r="B3450" s="41" t="s">
        <v>27892</v>
      </c>
      <c r="D3450" s="41" t="s">
        <v>27893</v>
      </c>
      <c r="F3450" s="41" t="s">
        <v>27894</v>
      </c>
      <c r="G3450" s="41" t="s">
        <v>27895</v>
      </c>
      <c r="H3450" s="41" t="s">
        <v>27896</v>
      </c>
      <c r="I3450" s="41" t="s">
        <v>27897</v>
      </c>
      <c r="J3450" s="41" t="s">
        <v>27898</v>
      </c>
      <c r="K3450" s="41" t="s">
        <v>27899</v>
      </c>
      <c r="L3450" s="41" t="s">
        <v>1076</v>
      </c>
    </row>
    <row r="3451" spans="1:19" x14ac:dyDescent="0.25">
      <c r="A3451" s="41" t="s">
        <v>23</v>
      </c>
      <c r="B3451" s="41" t="s">
        <v>27900</v>
      </c>
      <c r="D3451" s="41" t="s">
        <v>27901</v>
      </c>
      <c r="F3451" s="41" t="s">
        <v>27902</v>
      </c>
      <c r="G3451" s="41" t="s">
        <v>27903</v>
      </c>
      <c r="H3451" s="41" t="s">
        <v>27904</v>
      </c>
      <c r="I3451" s="41" t="s">
        <v>27905</v>
      </c>
      <c r="J3451" s="41" t="s">
        <v>27906</v>
      </c>
      <c r="K3451" s="41" t="s">
        <v>27907</v>
      </c>
      <c r="L3451" s="41" t="s">
        <v>1085</v>
      </c>
    </row>
    <row r="3452" spans="1:19" x14ac:dyDescent="0.25">
      <c r="A3452" s="41" t="s">
        <v>23</v>
      </c>
      <c r="B3452" s="41" t="s">
        <v>27908</v>
      </c>
      <c r="D3452" s="41" t="s">
        <v>27909</v>
      </c>
      <c r="F3452" s="41" t="s">
        <v>27910</v>
      </c>
      <c r="G3452" s="41" t="s">
        <v>27911</v>
      </c>
      <c r="H3452" s="41" t="s">
        <v>27912</v>
      </c>
      <c r="I3452" s="41" t="s">
        <v>27913</v>
      </c>
      <c r="J3452" s="41" t="s">
        <v>27914</v>
      </c>
      <c r="K3452" s="41" t="s">
        <v>27915</v>
      </c>
      <c r="L3452" s="41" t="s">
        <v>1094</v>
      </c>
    </row>
    <row r="3453" spans="1:19" x14ac:dyDescent="0.25">
      <c r="A3453" s="41" t="s">
        <v>908</v>
      </c>
      <c r="B3453" s="41" t="s">
        <v>27916</v>
      </c>
    </row>
    <row r="3454" spans="1:19" x14ac:dyDescent="0.25">
      <c r="A3454" s="41" t="s">
        <v>23</v>
      </c>
      <c r="B3454" s="41" t="s">
        <v>27917</v>
      </c>
      <c r="F3454" s="41" t="s">
        <v>27918</v>
      </c>
      <c r="G3454" s="41" t="s">
        <v>27919</v>
      </c>
      <c r="H3454" s="41" t="s">
        <v>27920</v>
      </c>
      <c r="I3454" s="41" t="s">
        <v>27921</v>
      </c>
      <c r="J3454" s="41" t="s">
        <v>27922</v>
      </c>
      <c r="L3454" s="41" t="s">
        <v>4</v>
      </c>
    </row>
    <row r="3455" spans="1:19" x14ac:dyDescent="0.25">
      <c r="A3455" s="41" t="s">
        <v>23</v>
      </c>
      <c r="B3455" s="41" t="s">
        <v>27923</v>
      </c>
      <c r="D3455" s="41" t="s">
        <v>27756</v>
      </c>
      <c r="E3455" s="41" t="s">
        <v>27925</v>
      </c>
      <c r="F3455" s="41" t="s">
        <v>27926</v>
      </c>
      <c r="G3455" s="41" t="s">
        <v>27927</v>
      </c>
      <c r="H3455" s="41" t="s">
        <v>27928</v>
      </c>
      <c r="I3455" s="41" t="s">
        <v>27929</v>
      </c>
      <c r="J3455" s="41" t="s">
        <v>27930</v>
      </c>
      <c r="K3455" s="41" t="s">
        <v>27931</v>
      </c>
      <c r="L3455" s="41" t="s">
        <v>27932</v>
      </c>
      <c r="M3455" s="41" t="s">
        <v>27933</v>
      </c>
      <c r="N3455" s="41" t="s">
        <v>27934</v>
      </c>
      <c r="O3455" s="41" t="s">
        <v>27935</v>
      </c>
      <c r="P3455" s="41" t="s">
        <v>27936</v>
      </c>
      <c r="Q3455" s="41" t="s">
        <v>27937</v>
      </c>
      <c r="R3455" s="41" t="s">
        <v>27938</v>
      </c>
      <c r="S3455" s="41" t="s">
        <v>27939</v>
      </c>
    </row>
    <row r="3456" spans="1:19" x14ac:dyDescent="0.25">
      <c r="A3456" s="41" t="s">
        <v>23</v>
      </c>
      <c r="B3456" s="41" t="s">
        <v>27940</v>
      </c>
      <c r="D3456" s="41" t="s">
        <v>27941</v>
      </c>
      <c r="F3456" s="41" t="s">
        <v>27942</v>
      </c>
      <c r="G3456" s="41" t="s">
        <v>27943</v>
      </c>
      <c r="H3456" s="41" t="s">
        <v>27944</v>
      </c>
      <c r="I3456" s="41" t="s">
        <v>27945</v>
      </c>
      <c r="J3456" s="41" t="s">
        <v>27946</v>
      </c>
      <c r="K3456" s="41" t="s">
        <v>27947</v>
      </c>
      <c r="L3456" s="41" t="s">
        <v>891</v>
      </c>
    </row>
    <row r="3457" spans="1:19" x14ac:dyDescent="0.25">
      <c r="A3457" s="41" t="s">
        <v>23</v>
      </c>
      <c r="B3457" s="41" t="s">
        <v>27948</v>
      </c>
      <c r="D3457" s="41" t="s">
        <v>27949</v>
      </c>
      <c r="F3457" s="41" t="s">
        <v>27950</v>
      </c>
      <c r="G3457" s="41" t="s">
        <v>27951</v>
      </c>
      <c r="H3457" s="41" t="s">
        <v>27952</v>
      </c>
      <c r="I3457" s="41" t="s">
        <v>27953</v>
      </c>
      <c r="J3457" s="41" t="s">
        <v>27954</v>
      </c>
      <c r="K3457" s="41" t="s">
        <v>27955</v>
      </c>
      <c r="L3457" s="41" t="s">
        <v>1076</v>
      </c>
    </row>
    <row r="3458" spans="1:19" x14ac:dyDescent="0.25">
      <c r="A3458" s="41" t="s">
        <v>23</v>
      </c>
      <c r="B3458" s="41" t="s">
        <v>27956</v>
      </c>
      <c r="D3458" s="41" t="s">
        <v>27957</v>
      </c>
      <c r="F3458" s="41" t="s">
        <v>27958</v>
      </c>
      <c r="G3458" s="41" t="s">
        <v>27959</v>
      </c>
      <c r="H3458" s="41" t="s">
        <v>27960</v>
      </c>
      <c r="I3458" s="41" t="s">
        <v>27961</v>
      </c>
      <c r="J3458" s="41" t="s">
        <v>27962</v>
      </c>
      <c r="K3458" s="41" t="s">
        <v>27963</v>
      </c>
      <c r="L3458" s="41" t="s">
        <v>1085</v>
      </c>
    </row>
    <row r="3459" spans="1:19" x14ac:dyDescent="0.25">
      <c r="A3459" s="41" t="s">
        <v>23</v>
      </c>
      <c r="B3459" s="41" t="s">
        <v>27964</v>
      </c>
      <c r="D3459" s="41" t="s">
        <v>27965</v>
      </c>
      <c r="F3459" s="41" t="s">
        <v>27966</v>
      </c>
      <c r="G3459" s="41" t="s">
        <v>27967</v>
      </c>
      <c r="H3459" s="41" t="s">
        <v>27968</v>
      </c>
      <c r="I3459" s="41" t="s">
        <v>27969</v>
      </c>
      <c r="J3459" s="41" t="s">
        <v>27970</v>
      </c>
      <c r="K3459" s="41" t="s">
        <v>27971</v>
      </c>
      <c r="L3459" s="41" t="s">
        <v>1094</v>
      </c>
    </row>
    <row r="3460" spans="1:19" x14ac:dyDescent="0.25">
      <c r="A3460" s="41" t="s">
        <v>908</v>
      </c>
      <c r="B3460" s="41" t="s">
        <v>27972</v>
      </c>
    </row>
    <row r="3461" spans="1:19" x14ac:dyDescent="0.25">
      <c r="A3461" s="41" t="s">
        <v>23</v>
      </c>
      <c r="B3461" s="41" t="s">
        <v>27973</v>
      </c>
      <c r="F3461" s="41" t="s">
        <v>27974</v>
      </c>
      <c r="G3461" s="41" t="s">
        <v>27975</v>
      </c>
      <c r="H3461" s="41" t="s">
        <v>27976</v>
      </c>
      <c r="I3461" s="41" t="s">
        <v>27977</v>
      </c>
      <c r="J3461" s="41" t="s">
        <v>27978</v>
      </c>
      <c r="L3461" s="41" t="s">
        <v>4</v>
      </c>
    </row>
    <row r="3462" spans="1:19" x14ac:dyDescent="0.25">
      <c r="A3462" s="41" t="s">
        <v>23</v>
      </c>
      <c r="B3462" s="41" t="s">
        <v>27979</v>
      </c>
      <c r="D3462" s="41" t="s">
        <v>27812</v>
      </c>
      <c r="E3462" s="41" t="s">
        <v>27981</v>
      </c>
      <c r="F3462" s="41" t="s">
        <v>27982</v>
      </c>
      <c r="G3462" s="41" t="s">
        <v>27983</v>
      </c>
      <c r="H3462" s="41" t="s">
        <v>27984</v>
      </c>
      <c r="I3462" s="41" t="s">
        <v>27985</v>
      </c>
      <c r="J3462" s="41" t="s">
        <v>27986</v>
      </c>
      <c r="K3462" s="41" t="s">
        <v>27987</v>
      </c>
      <c r="L3462" s="41" t="s">
        <v>27988</v>
      </c>
      <c r="M3462" s="41" t="s">
        <v>27989</v>
      </c>
      <c r="N3462" s="41" t="s">
        <v>27990</v>
      </c>
      <c r="O3462" s="41" t="s">
        <v>27991</v>
      </c>
      <c r="P3462" s="41" t="s">
        <v>27992</v>
      </c>
      <c r="Q3462" s="41" t="s">
        <v>27993</v>
      </c>
      <c r="R3462" s="41" t="s">
        <v>27994</v>
      </c>
      <c r="S3462" s="41" t="s">
        <v>27995</v>
      </c>
    </row>
    <row r="3463" spans="1:19" x14ac:dyDescent="0.25">
      <c r="A3463" s="41" t="s">
        <v>23</v>
      </c>
      <c r="B3463" s="41" t="s">
        <v>27996</v>
      </c>
      <c r="D3463" s="41" t="s">
        <v>27997</v>
      </c>
      <c r="F3463" s="41" t="s">
        <v>27998</v>
      </c>
      <c r="G3463" s="41" t="s">
        <v>27999</v>
      </c>
      <c r="H3463" s="41" t="s">
        <v>28000</v>
      </c>
      <c r="I3463" s="41" t="s">
        <v>28001</v>
      </c>
      <c r="J3463" s="41" t="s">
        <v>28002</v>
      </c>
      <c r="K3463" s="41" t="s">
        <v>28003</v>
      </c>
      <c r="L3463" s="41" t="s">
        <v>891</v>
      </c>
    </row>
    <row r="3464" spans="1:19" x14ac:dyDescent="0.25">
      <c r="A3464" s="41" t="s">
        <v>23</v>
      </c>
      <c r="B3464" s="41" t="s">
        <v>28004</v>
      </c>
      <c r="D3464" s="41" t="s">
        <v>28005</v>
      </c>
      <c r="F3464" s="41" t="s">
        <v>28006</v>
      </c>
      <c r="G3464" s="41" t="s">
        <v>28007</v>
      </c>
      <c r="H3464" s="41" t="s">
        <v>28008</v>
      </c>
      <c r="I3464" s="41" t="s">
        <v>28009</v>
      </c>
      <c r="J3464" s="41" t="s">
        <v>28010</v>
      </c>
      <c r="K3464" s="41" t="s">
        <v>28011</v>
      </c>
      <c r="L3464" s="41" t="s">
        <v>1076</v>
      </c>
    </row>
    <row r="3465" spans="1:19" x14ac:dyDescent="0.25">
      <c r="A3465" s="41" t="s">
        <v>23</v>
      </c>
      <c r="B3465" s="41" t="s">
        <v>28012</v>
      </c>
      <c r="D3465" s="41" t="s">
        <v>28013</v>
      </c>
      <c r="F3465" s="41" t="s">
        <v>28014</v>
      </c>
      <c r="G3465" s="41" t="s">
        <v>28015</v>
      </c>
      <c r="H3465" s="41" t="s">
        <v>28016</v>
      </c>
      <c r="I3465" s="41" t="s">
        <v>28017</v>
      </c>
      <c r="J3465" s="41" t="s">
        <v>28018</v>
      </c>
      <c r="K3465" s="41" t="s">
        <v>28019</v>
      </c>
      <c r="L3465" s="41" t="s">
        <v>1085</v>
      </c>
    </row>
    <row r="3466" spans="1:19" x14ac:dyDescent="0.25">
      <c r="A3466" s="41" t="s">
        <v>23</v>
      </c>
      <c r="B3466" s="41" t="s">
        <v>28020</v>
      </c>
      <c r="D3466" s="41" t="s">
        <v>28021</v>
      </c>
      <c r="F3466" s="41" t="s">
        <v>28022</v>
      </c>
      <c r="G3466" s="41" t="s">
        <v>28023</v>
      </c>
      <c r="H3466" s="41" t="s">
        <v>28024</v>
      </c>
      <c r="I3466" s="41" t="s">
        <v>28025</v>
      </c>
      <c r="J3466" s="41" t="s">
        <v>28026</v>
      </c>
      <c r="K3466" s="41" t="s">
        <v>28027</v>
      </c>
      <c r="L3466" s="41" t="s">
        <v>1094</v>
      </c>
    </row>
    <row r="3467" spans="1:19" x14ac:dyDescent="0.25">
      <c r="A3467" s="41" t="s">
        <v>908</v>
      </c>
      <c r="B3467" s="41" t="s">
        <v>28028</v>
      </c>
    </row>
    <row r="3468" spans="1:19" x14ac:dyDescent="0.25">
      <c r="A3468" s="41" t="s">
        <v>23</v>
      </c>
      <c r="B3468" s="41" t="s">
        <v>28029</v>
      </c>
      <c r="F3468" s="41" t="s">
        <v>28030</v>
      </c>
      <c r="G3468" s="41" t="s">
        <v>28031</v>
      </c>
      <c r="H3468" s="41" t="s">
        <v>28032</v>
      </c>
      <c r="I3468" s="41" t="s">
        <v>28033</v>
      </c>
      <c r="J3468" s="41" t="s">
        <v>28034</v>
      </c>
      <c r="L3468" s="41" t="s">
        <v>4</v>
      </c>
    </row>
    <row r="3469" spans="1:19" x14ac:dyDescent="0.25">
      <c r="A3469" s="41" t="s">
        <v>23</v>
      </c>
      <c r="B3469" s="41" t="s">
        <v>28035</v>
      </c>
      <c r="D3469" s="41" t="s">
        <v>27868</v>
      </c>
      <c r="E3469" s="41" t="s">
        <v>28037</v>
      </c>
      <c r="F3469" s="41" t="s">
        <v>28038</v>
      </c>
      <c r="G3469" s="41" t="s">
        <v>28039</v>
      </c>
      <c r="H3469" s="41" t="s">
        <v>28040</v>
      </c>
      <c r="I3469" s="41" t="s">
        <v>28041</v>
      </c>
      <c r="J3469" s="41" t="s">
        <v>28042</v>
      </c>
      <c r="K3469" s="41" t="s">
        <v>28043</v>
      </c>
      <c r="L3469" s="41" t="s">
        <v>28044</v>
      </c>
      <c r="M3469" s="41" t="s">
        <v>28045</v>
      </c>
      <c r="N3469" s="41" t="s">
        <v>28046</v>
      </c>
      <c r="O3469" s="41" t="s">
        <v>28047</v>
      </c>
      <c r="P3469" s="41" t="s">
        <v>28048</v>
      </c>
      <c r="Q3469" s="41" t="s">
        <v>28049</v>
      </c>
      <c r="R3469" s="41" t="s">
        <v>28050</v>
      </c>
      <c r="S3469" s="41" t="s">
        <v>28051</v>
      </c>
    </row>
    <row r="3470" spans="1:19" x14ac:dyDescent="0.25">
      <c r="A3470" s="41" t="s">
        <v>23</v>
      </c>
      <c r="B3470" s="41" t="s">
        <v>28052</v>
      </c>
      <c r="D3470" s="41" t="s">
        <v>28053</v>
      </c>
      <c r="F3470" s="41" t="s">
        <v>28054</v>
      </c>
      <c r="G3470" s="41" t="s">
        <v>28055</v>
      </c>
      <c r="H3470" s="41" t="s">
        <v>28056</v>
      </c>
      <c r="I3470" s="41" t="s">
        <v>28057</v>
      </c>
      <c r="J3470" s="41" t="s">
        <v>28058</v>
      </c>
      <c r="K3470" s="41" t="s">
        <v>28059</v>
      </c>
      <c r="L3470" s="41" t="s">
        <v>891</v>
      </c>
    </row>
    <row r="3471" spans="1:19" x14ac:dyDescent="0.25">
      <c r="A3471" s="41" t="s">
        <v>23</v>
      </c>
      <c r="B3471" s="41" t="s">
        <v>28060</v>
      </c>
      <c r="D3471" s="41" t="s">
        <v>28061</v>
      </c>
      <c r="F3471" s="41" t="s">
        <v>28062</v>
      </c>
      <c r="G3471" s="41" t="s">
        <v>28063</v>
      </c>
      <c r="H3471" s="41" t="s">
        <v>28064</v>
      </c>
      <c r="I3471" s="41" t="s">
        <v>28065</v>
      </c>
      <c r="J3471" s="41" t="s">
        <v>28066</v>
      </c>
      <c r="K3471" s="41" t="s">
        <v>28067</v>
      </c>
      <c r="L3471" s="41" t="s">
        <v>1076</v>
      </c>
    </row>
    <row r="3472" spans="1:19" x14ac:dyDescent="0.25">
      <c r="A3472" s="41" t="s">
        <v>23</v>
      </c>
      <c r="B3472" s="41" t="s">
        <v>28068</v>
      </c>
      <c r="D3472" s="41" t="s">
        <v>28069</v>
      </c>
      <c r="F3472" s="41" t="s">
        <v>28070</v>
      </c>
      <c r="G3472" s="41" t="s">
        <v>28071</v>
      </c>
      <c r="H3472" s="41" t="s">
        <v>28072</v>
      </c>
      <c r="I3472" s="41" t="s">
        <v>28073</v>
      </c>
      <c r="J3472" s="41" t="s">
        <v>28074</v>
      </c>
      <c r="K3472" s="41" t="s">
        <v>28075</v>
      </c>
      <c r="L3472" s="41" t="s">
        <v>1085</v>
      </c>
    </row>
    <row r="3473" spans="1:19" x14ac:dyDescent="0.25">
      <c r="A3473" s="41" t="s">
        <v>23</v>
      </c>
      <c r="B3473" s="41" t="s">
        <v>28076</v>
      </c>
      <c r="D3473" s="41" t="s">
        <v>28077</v>
      </c>
      <c r="F3473" s="41" t="s">
        <v>28078</v>
      </c>
      <c r="G3473" s="41" t="s">
        <v>28079</v>
      </c>
      <c r="H3473" s="41" t="s">
        <v>28080</v>
      </c>
      <c r="I3473" s="41" t="s">
        <v>28081</v>
      </c>
      <c r="J3473" s="41" t="s">
        <v>28082</v>
      </c>
      <c r="K3473" s="41" t="s">
        <v>28083</v>
      </c>
      <c r="L3473" s="41" t="s">
        <v>1094</v>
      </c>
    </row>
    <row r="3474" spans="1:19" x14ac:dyDescent="0.25">
      <c r="A3474" s="41" t="s">
        <v>908</v>
      </c>
      <c r="B3474" s="41" t="s">
        <v>28084</v>
      </c>
    </row>
    <row r="3475" spans="1:19" x14ac:dyDescent="0.25">
      <c r="A3475" s="41" t="s">
        <v>23</v>
      </c>
      <c r="B3475" s="41" t="s">
        <v>28085</v>
      </c>
      <c r="F3475" s="41" t="s">
        <v>28086</v>
      </c>
      <c r="G3475" s="41" t="s">
        <v>28087</v>
      </c>
      <c r="H3475" s="41" t="s">
        <v>28088</v>
      </c>
      <c r="I3475" s="41" t="s">
        <v>28089</v>
      </c>
      <c r="J3475" s="41" t="s">
        <v>28090</v>
      </c>
      <c r="L3475" s="41" t="s">
        <v>4</v>
      </c>
    </row>
    <row r="3476" spans="1:19" x14ac:dyDescent="0.25">
      <c r="A3476" s="41" t="s">
        <v>23</v>
      </c>
      <c r="B3476" s="41" t="s">
        <v>28091</v>
      </c>
      <c r="D3476" s="41" t="s">
        <v>27924</v>
      </c>
      <c r="E3476" s="41" t="s">
        <v>28093</v>
      </c>
      <c r="F3476" s="41" t="s">
        <v>28094</v>
      </c>
      <c r="G3476" s="41" t="s">
        <v>28095</v>
      </c>
      <c r="H3476" s="41" t="s">
        <v>28096</v>
      </c>
      <c r="I3476" s="41" t="s">
        <v>28097</v>
      </c>
      <c r="J3476" s="41" t="s">
        <v>28098</v>
      </c>
      <c r="K3476" s="41" t="s">
        <v>28099</v>
      </c>
      <c r="L3476" s="41" t="s">
        <v>28100</v>
      </c>
      <c r="M3476" s="41" t="s">
        <v>28101</v>
      </c>
      <c r="N3476" s="41" t="s">
        <v>28102</v>
      </c>
      <c r="O3476" s="41" t="s">
        <v>28103</v>
      </c>
      <c r="P3476" s="41" t="s">
        <v>28104</v>
      </c>
      <c r="Q3476" s="41" t="s">
        <v>28105</v>
      </c>
      <c r="R3476" s="41" t="s">
        <v>28106</v>
      </c>
      <c r="S3476" s="41" t="s">
        <v>28107</v>
      </c>
    </row>
    <row r="3477" spans="1:19" x14ac:dyDescent="0.25">
      <c r="A3477" s="41" t="s">
        <v>23</v>
      </c>
      <c r="B3477" s="41" t="s">
        <v>28108</v>
      </c>
      <c r="D3477" s="41" t="s">
        <v>28109</v>
      </c>
      <c r="F3477" s="41" t="s">
        <v>28110</v>
      </c>
      <c r="G3477" s="41" t="s">
        <v>28111</v>
      </c>
      <c r="H3477" s="41" t="s">
        <v>28112</v>
      </c>
      <c r="I3477" s="41" t="s">
        <v>28113</v>
      </c>
      <c r="J3477" s="41" t="s">
        <v>28114</v>
      </c>
      <c r="K3477" s="41" t="s">
        <v>28115</v>
      </c>
      <c r="L3477" s="41" t="s">
        <v>891</v>
      </c>
    </row>
    <row r="3478" spans="1:19" x14ac:dyDescent="0.25">
      <c r="A3478" s="41" t="s">
        <v>23</v>
      </c>
      <c r="B3478" s="41" t="s">
        <v>28116</v>
      </c>
      <c r="D3478" s="41" t="s">
        <v>28117</v>
      </c>
      <c r="F3478" s="41" t="s">
        <v>28118</v>
      </c>
      <c r="G3478" s="41" t="s">
        <v>28119</v>
      </c>
      <c r="H3478" s="41" t="s">
        <v>28120</v>
      </c>
      <c r="I3478" s="41" t="s">
        <v>28121</v>
      </c>
      <c r="J3478" s="41" t="s">
        <v>28122</v>
      </c>
      <c r="K3478" s="41" t="s">
        <v>28123</v>
      </c>
      <c r="L3478" s="41" t="s">
        <v>1076</v>
      </c>
    </row>
    <row r="3479" spans="1:19" x14ac:dyDescent="0.25">
      <c r="A3479" s="41" t="s">
        <v>23</v>
      </c>
      <c r="B3479" s="41" t="s">
        <v>28124</v>
      </c>
      <c r="D3479" s="41" t="s">
        <v>28125</v>
      </c>
      <c r="F3479" s="41" t="s">
        <v>28126</v>
      </c>
      <c r="G3479" s="41" t="s">
        <v>28127</v>
      </c>
      <c r="H3479" s="41" t="s">
        <v>28128</v>
      </c>
      <c r="I3479" s="41" t="s">
        <v>28129</v>
      </c>
      <c r="J3479" s="41" t="s">
        <v>28130</v>
      </c>
      <c r="K3479" s="41" t="s">
        <v>28131</v>
      </c>
      <c r="L3479" s="41" t="s">
        <v>1085</v>
      </c>
    </row>
    <row r="3480" spans="1:19" x14ac:dyDescent="0.25">
      <c r="A3480" s="41" t="s">
        <v>23</v>
      </c>
      <c r="B3480" s="41" t="s">
        <v>28132</v>
      </c>
      <c r="D3480" s="41" t="s">
        <v>28133</v>
      </c>
      <c r="F3480" s="41" t="s">
        <v>28134</v>
      </c>
      <c r="G3480" s="41" t="s">
        <v>28135</v>
      </c>
      <c r="H3480" s="41" t="s">
        <v>28136</v>
      </c>
      <c r="I3480" s="41" t="s">
        <v>28137</v>
      </c>
      <c r="J3480" s="41" t="s">
        <v>28138</v>
      </c>
      <c r="K3480" s="41" t="s">
        <v>28139</v>
      </c>
      <c r="L3480" s="41" t="s">
        <v>1094</v>
      </c>
    </row>
    <row r="3481" spans="1:19" x14ac:dyDescent="0.25">
      <c r="A3481" s="41" t="s">
        <v>908</v>
      </c>
      <c r="B3481" s="41" t="s">
        <v>28140</v>
      </c>
    </row>
    <row r="3482" spans="1:19" x14ac:dyDescent="0.25">
      <c r="A3482" s="41" t="s">
        <v>23</v>
      </c>
      <c r="B3482" s="41" t="s">
        <v>28141</v>
      </c>
      <c r="F3482" s="41" t="s">
        <v>28142</v>
      </c>
      <c r="G3482" s="41" t="s">
        <v>28143</v>
      </c>
      <c r="H3482" s="41" t="s">
        <v>28144</v>
      </c>
      <c r="I3482" s="41" t="s">
        <v>28145</v>
      </c>
      <c r="J3482" s="41" t="s">
        <v>28146</v>
      </c>
      <c r="L3482" s="41" t="s">
        <v>4</v>
      </c>
    </row>
    <row r="3483" spans="1:19" x14ac:dyDescent="0.25">
      <c r="A3483" s="41" t="s">
        <v>23</v>
      </c>
      <c r="B3483" s="41" t="s">
        <v>28147</v>
      </c>
      <c r="D3483" s="41" t="s">
        <v>27980</v>
      </c>
      <c r="E3483" s="41" t="s">
        <v>28149</v>
      </c>
      <c r="F3483" s="41" t="s">
        <v>28150</v>
      </c>
      <c r="G3483" s="41" t="s">
        <v>28151</v>
      </c>
      <c r="H3483" s="41" t="s">
        <v>28152</v>
      </c>
      <c r="I3483" s="41" t="s">
        <v>28153</v>
      </c>
      <c r="J3483" s="41" t="s">
        <v>28154</v>
      </c>
      <c r="K3483" s="41" t="s">
        <v>28155</v>
      </c>
      <c r="L3483" s="41" t="s">
        <v>28156</v>
      </c>
      <c r="M3483" s="41" t="s">
        <v>28157</v>
      </c>
      <c r="N3483" s="41" t="s">
        <v>28158</v>
      </c>
      <c r="O3483" s="41" t="s">
        <v>28159</v>
      </c>
      <c r="P3483" s="41" t="s">
        <v>28160</v>
      </c>
      <c r="Q3483" s="41" t="s">
        <v>28161</v>
      </c>
      <c r="R3483" s="41" t="s">
        <v>28162</v>
      </c>
      <c r="S3483" s="41" t="s">
        <v>28163</v>
      </c>
    </row>
    <row r="3484" spans="1:19" x14ac:dyDescent="0.25">
      <c r="A3484" s="41" t="s">
        <v>23</v>
      </c>
      <c r="B3484" s="41" t="s">
        <v>28164</v>
      </c>
      <c r="D3484" s="41" t="s">
        <v>28165</v>
      </c>
      <c r="F3484" s="41" t="s">
        <v>28166</v>
      </c>
      <c r="G3484" s="41" t="s">
        <v>28167</v>
      </c>
      <c r="H3484" s="41" t="s">
        <v>28168</v>
      </c>
      <c r="I3484" s="41" t="s">
        <v>28169</v>
      </c>
      <c r="J3484" s="41" t="s">
        <v>28170</v>
      </c>
      <c r="K3484" s="41" t="s">
        <v>28171</v>
      </c>
      <c r="L3484" s="41" t="s">
        <v>891</v>
      </c>
    </row>
    <row r="3485" spans="1:19" x14ac:dyDescent="0.25">
      <c r="A3485" s="41" t="s">
        <v>23</v>
      </c>
      <c r="B3485" s="41" t="s">
        <v>28172</v>
      </c>
      <c r="D3485" s="41" t="s">
        <v>28173</v>
      </c>
      <c r="F3485" s="41" t="s">
        <v>28174</v>
      </c>
      <c r="G3485" s="41" t="s">
        <v>28175</v>
      </c>
      <c r="H3485" s="41" t="s">
        <v>28176</v>
      </c>
      <c r="I3485" s="41" t="s">
        <v>28177</v>
      </c>
      <c r="J3485" s="41" t="s">
        <v>28178</v>
      </c>
      <c r="K3485" s="41" t="s">
        <v>28179</v>
      </c>
      <c r="L3485" s="41" t="s">
        <v>1076</v>
      </c>
    </row>
    <row r="3486" spans="1:19" x14ac:dyDescent="0.25">
      <c r="A3486" s="41" t="s">
        <v>23</v>
      </c>
      <c r="B3486" s="41" t="s">
        <v>28180</v>
      </c>
      <c r="D3486" s="41" t="s">
        <v>28181</v>
      </c>
      <c r="F3486" s="41" t="s">
        <v>28182</v>
      </c>
      <c r="G3486" s="41" t="s">
        <v>28183</v>
      </c>
      <c r="H3486" s="41" t="s">
        <v>28184</v>
      </c>
      <c r="I3486" s="41" t="s">
        <v>28185</v>
      </c>
      <c r="J3486" s="41" t="s">
        <v>28186</v>
      </c>
      <c r="K3486" s="41" t="s">
        <v>28187</v>
      </c>
      <c r="L3486" s="41" t="s">
        <v>1085</v>
      </c>
    </row>
    <row r="3487" spans="1:19" x14ac:dyDescent="0.25">
      <c r="A3487" s="41" t="s">
        <v>23</v>
      </c>
      <c r="B3487" s="41" t="s">
        <v>28188</v>
      </c>
      <c r="D3487" s="41" t="s">
        <v>28189</v>
      </c>
      <c r="F3487" s="41" t="s">
        <v>28190</v>
      </c>
      <c r="G3487" s="41" t="s">
        <v>28191</v>
      </c>
      <c r="H3487" s="41" t="s">
        <v>28192</v>
      </c>
      <c r="I3487" s="41" t="s">
        <v>28193</v>
      </c>
      <c r="J3487" s="41" t="s">
        <v>28194</v>
      </c>
      <c r="K3487" s="41" t="s">
        <v>28195</v>
      </c>
      <c r="L3487" s="41" t="s">
        <v>1094</v>
      </c>
    </row>
    <row r="3488" spans="1:19" x14ac:dyDescent="0.25">
      <c r="A3488" s="41" t="s">
        <v>908</v>
      </c>
      <c r="B3488" s="41" t="s">
        <v>28196</v>
      </c>
    </row>
    <row r="3489" spans="1:19" x14ac:dyDescent="0.25">
      <c r="A3489" s="41" t="s">
        <v>23</v>
      </c>
      <c r="B3489" s="41" t="s">
        <v>28197</v>
      </c>
      <c r="F3489" s="41" t="s">
        <v>28198</v>
      </c>
      <c r="G3489" s="41" t="s">
        <v>28199</v>
      </c>
      <c r="H3489" s="41" t="s">
        <v>28200</v>
      </c>
      <c r="I3489" s="41" t="s">
        <v>28201</v>
      </c>
      <c r="J3489" s="41" t="s">
        <v>28202</v>
      </c>
      <c r="L3489" s="41" t="s">
        <v>4</v>
      </c>
    </row>
    <row r="3490" spans="1:19" x14ac:dyDescent="0.25">
      <c r="A3490" s="41" t="s">
        <v>23</v>
      </c>
      <c r="B3490" s="41" t="s">
        <v>28203</v>
      </c>
      <c r="D3490" s="41" t="s">
        <v>28036</v>
      </c>
      <c r="E3490" s="41" t="s">
        <v>28205</v>
      </c>
      <c r="F3490" s="41" t="s">
        <v>28206</v>
      </c>
      <c r="G3490" s="41" t="s">
        <v>28207</v>
      </c>
      <c r="H3490" s="41" t="s">
        <v>28208</v>
      </c>
      <c r="I3490" s="41" t="s">
        <v>28209</v>
      </c>
      <c r="J3490" s="41" t="s">
        <v>28210</v>
      </c>
      <c r="K3490" s="41" t="s">
        <v>28211</v>
      </c>
      <c r="L3490" s="41" t="s">
        <v>28212</v>
      </c>
      <c r="M3490" s="41" t="s">
        <v>28213</v>
      </c>
      <c r="N3490" s="41" t="s">
        <v>28214</v>
      </c>
      <c r="O3490" s="41" t="s">
        <v>28215</v>
      </c>
      <c r="P3490" s="41" t="s">
        <v>28216</v>
      </c>
      <c r="Q3490" s="41" t="s">
        <v>28217</v>
      </c>
      <c r="R3490" s="41" t="s">
        <v>28218</v>
      </c>
      <c r="S3490" s="41" t="s">
        <v>28219</v>
      </c>
    </row>
    <row r="3491" spans="1:19" x14ac:dyDescent="0.25">
      <c r="A3491" s="41" t="s">
        <v>23</v>
      </c>
      <c r="B3491" s="41" t="s">
        <v>28220</v>
      </c>
      <c r="D3491" s="41" t="s">
        <v>28221</v>
      </c>
      <c r="F3491" s="41" t="s">
        <v>28222</v>
      </c>
      <c r="G3491" s="41" t="s">
        <v>28223</v>
      </c>
      <c r="H3491" s="41" t="s">
        <v>28224</v>
      </c>
      <c r="I3491" s="41" t="s">
        <v>28225</v>
      </c>
      <c r="J3491" s="41" t="s">
        <v>28226</v>
      </c>
      <c r="K3491" s="41" t="s">
        <v>28227</v>
      </c>
      <c r="L3491" s="41" t="s">
        <v>891</v>
      </c>
    </row>
    <row r="3492" spans="1:19" x14ac:dyDescent="0.25">
      <c r="A3492" s="41" t="s">
        <v>23</v>
      </c>
      <c r="B3492" s="41" t="s">
        <v>28228</v>
      </c>
      <c r="D3492" s="41" t="s">
        <v>28229</v>
      </c>
      <c r="F3492" s="41" t="s">
        <v>28230</v>
      </c>
      <c r="G3492" s="41" t="s">
        <v>28231</v>
      </c>
      <c r="H3492" s="41" t="s">
        <v>28232</v>
      </c>
      <c r="I3492" s="41" t="s">
        <v>28233</v>
      </c>
      <c r="J3492" s="41" t="s">
        <v>28234</v>
      </c>
      <c r="K3492" s="41" t="s">
        <v>28235</v>
      </c>
      <c r="L3492" s="41" t="s">
        <v>1076</v>
      </c>
    </row>
    <row r="3493" spans="1:19" x14ac:dyDescent="0.25">
      <c r="A3493" s="41" t="s">
        <v>23</v>
      </c>
      <c r="B3493" s="41" t="s">
        <v>28236</v>
      </c>
      <c r="D3493" s="41" t="s">
        <v>28237</v>
      </c>
      <c r="F3493" s="41" t="s">
        <v>28238</v>
      </c>
      <c r="G3493" s="41" t="s">
        <v>28239</v>
      </c>
      <c r="H3493" s="41" t="s">
        <v>28240</v>
      </c>
      <c r="I3493" s="41" t="s">
        <v>28241</v>
      </c>
      <c r="J3493" s="41" t="s">
        <v>28242</v>
      </c>
      <c r="K3493" s="41" t="s">
        <v>28243</v>
      </c>
      <c r="L3493" s="41" t="s">
        <v>1085</v>
      </c>
    </row>
    <row r="3494" spans="1:19" x14ac:dyDescent="0.25">
      <c r="A3494" s="41" t="s">
        <v>23</v>
      </c>
      <c r="B3494" s="41" t="s">
        <v>28244</v>
      </c>
      <c r="D3494" s="41" t="s">
        <v>28245</v>
      </c>
      <c r="F3494" s="41" t="s">
        <v>28246</v>
      </c>
      <c r="G3494" s="41" t="s">
        <v>28247</v>
      </c>
      <c r="H3494" s="41" t="s">
        <v>28248</v>
      </c>
      <c r="I3494" s="41" t="s">
        <v>28249</v>
      </c>
      <c r="J3494" s="41" t="s">
        <v>28250</v>
      </c>
      <c r="K3494" s="41" t="s">
        <v>28251</v>
      </c>
      <c r="L3494" s="41" t="s">
        <v>1094</v>
      </c>
    </row>
    <row r="3495" spans="1:19" x14ac:dyDescent="0.25">
      <c r="A3495" s="41" t="s">
        <v>908</v>
      </c>
      <c r="B3495" s="41" t="s">
        <v>28252</v>
      </c>
    </row>
    <row r="3496" spans="1:19" x14ac:dyDescent="0.25">
      <c r="A3496" s="41" t="s">
        <v>23</v>
      </c>
      <c r="B3496" s="41" t="s">
        <v>28253</v>
      </c>
      <c r="F3496" s="41" t="s">
        <v>28254</v>
      </c>
      <c r="G3496" s="41" t="s">
        <v>28255</v>
      </c>
      <c r="H3496" s="41" t="s">
        <v>28256</v>
      </c>
      <c r="I3496" s="41" t="s">
        <v>28257</v>
      </c>
      <c r="J3496" s="41" t="s">
        <v>28258</v>
      </c>
      <c r="L3496" s="41" t="s">
        <v>4</v>
      </c>
    </row>
    <row r="3497" spans="1:19" x14ac:dyDescent="0.25">
      <c r="A3497" s="41" t="s">
        <v>23</v>
      </c>
      <c r="B3497" s="41" t="s">
        <v>28259</v>
      </c>
      <c r="D3497" s="41" t="s">
        <v>28092</v>
      </c>
      <c r="E3497" s="41" t="s">
        <v>28261</v>
      </c>
      <c r="F3497" s="41" t="s">
        <v>28262</v>
      </c>
      <c r="G3497" s="41" t="s">
        <v>28263</v>
      </c>
      <c r="H3497" s="41" t="s">
        <v>28264</v>
      </c>
      <c r="I3497" s="41" t="s">
        <v>28265</v>
      </c>
      <c r="J3497" s="41" t="s">
        <v>28266</v>
      </c>
      <c r="K3497" s="41" t="s">
        <v>28267</v>
      </c>
      <c r="L3497" s="41" t="s">
        <v>28268</v>
      </c>
      <c r="M3497" s="41" t="s">
        <v>28269</v>
      </c>
      <c r="N3497" s="41" t="s">
        <v>28270</v>
      </c>
      <c r="O3497" s="41" t="s">
        <v>28271</v>
      </c>
      <c r="P3497" s="41" t="s">
        <v>28272</v>
      </c>
      <c r="Q3497" s="41" t="s">
        <v>28273</v>
      </c>
      <c r="R3497" s="41" t="s">
        <v>28274</v>
      </c>
      <c r="S3497" s="41" t="s">
        <v>28275</v>
      </c>
    </row>
    <row r="3498" spans="1:19" x14ac:dyDescent="0.25">
      <c r="A3498" s="41" t="s">
        <v>23</v>
      </c>
      <c r="B3498" s="41" t="s">
        <v>28276</v>
      </c>
      <c r="D3498" s="41" t="s">
        <v>28277</v>
      </c>
      <c r="F3498" s="41" t="s">
        <v>28278</v>
      </c>
      <c r="G3498" s="41" t="s">
        <v>28279</v>
      </c>
      <c r="H3498" s="41" t="s">
        <v>28280</v>
      </c>
      <c r="I3498" s="41" t="s">
        <v>28281</v>
      </c>
      <c r="J3498" s="41" t="s">
        <v>28282</v>
      </c>
      <c r="K3498" s="41" t="s">
        <v>28283</v>
      </c>
      <c r="L3498" s="41" t="s">
        <v>891</v>
      </c>
    </row>
    <row r="3499" spans="1:19" x14ac:dyDescent="0.25">
      <c r="A3499" s="41" t="s">
        <v>23</v>
      </c>
      <c r="B3499" s="41" t="s">
        <v>28284</v>
      </c>
      <c r="D3499" s="41" t="s">
        <v>28285</v>
      </c>
      <c r="F3499" s="41" t="s">
        <v>28286</v>
      </c>
      <c r="G3499" s="41" t="s">
        <v>28287</v>
      </c>
      <c r="H3499" s="41" t="s">
        <v>28288</v>
      </c>
      <c r="I3499" s="41" t="s">
        <v>28289</v>
      </c>
      <c r="J3499" s="41" t="s">
        <v>28290</v>
      </c>
      <c r="K3499" s="41" t="s">
        <v>28291</v>
      </c>
      <c r="L3499" s="41" t="s">
        <v>1076</v>
      </c>
    </row>
    <row r="3500" spans="1:19" x14ac:dyDescent="0.25">
      <c r="A3500" s="41" t="s">
        <v>23</v>
      </c>
      <c r="B3500" s="41" t="s">
        <v>28292</v>
      </c>
      <c r="D3500" s="41" t="s">
        <v>28293</v>
      </c>
      <c r="F3500" s="41" t="s">
        <v>28294</v>
      </c>
      <c r="G3500" s="41" t="s">
        <v>28295</v>
      </c>
      <c r="H3500" s="41" t="s">
        <v>28296</v>
      </c>
      <c r="I3500" s="41" t="s">
        <v>28297</v>
      </c>
      <c r="J3500" s="41" t="s">
        <v>28298</v>
      </c>
      <c r="K3500" s="41" t="s">
        <v>28299</v>
      </c>
      <c r="L3500" s="41" t="s">
        <v>1085</v>
      </c>
    </row>
    <row r="3501" spans="1:19" x14ac:dyDescent="0.25">
      <c r="A3501" s="41" t="s">
        <v>23</v>
      </c>
      <c r="B3501" s="41" t="s">
        <v>28300</v>
      </c>
      <c r="D3501" s="41" t="s">
        <v>28301</v>
      </c>
      <c r="F3501" s="41" t="s">
        <v>28302</v>
      </c>
      <c r="G3501" s="41" t="s">
        <v>28303</v>
      </c>
      <c r="H3501" s="41" t="s">
        <v>28304</v>
      </c>
      <c r="I3501" s="41" t="s">
        <v>28305</v>
      </c>
      <c r="J3501" s="41" t="s">
        <v>28306</v>
      </c>
      <c r="K3501" s="41" t="s">
        <v>28307</v>
      </c>
      <c r="L3501" s="41" t="s">
        <v>1094</v>
      </c>
    </row>
    <row r="3502" spans="1:19" x14ac:dyDescent="0.25">
      <c r="A3502" s="41" t="s">
        <v>908</v>
      </c>
      <c r="B3502" s="41" t="s">
        <v>28308</v>
      </c>
    </row>
    <row r="3503" spans="1:19" x14ac:dyDescent="0.25">
      <c r="A3503" s="41" t="s">
        <v>23</v>
      </c>
      <c r="B3503" s="41" t="s">
        <v>28309</v>
      </c>
      <c r="F3503" s="41" t="s">
        <v>28310</v>
      </c>
      <c r="G3503" s="41" t="s">
        <v>28311</v>
      </c>
      <c r="H3503" s="41" t="s">
        <v>28312</v>
      </c>
      <c r="I3503" s="41" t="s">
        <v>28313</v>
      </c>
      <c r="J3503" s="41" t="s">
        <v>28314</v>
      </c>
      <c r="L3503" s="41" t="s">
        <v>4</v>
      </c>
    </row>
    <row r="3504" spans="1:19" x14ac:dyDescent="0.25">
      <c r="A3504" s="41" t="s">
        <v>23</v>
      </c>
      <c r="B3504" s="41" t="s">
        <v>28315</v>
      </c>
      <c r="D3504" s="41" t="s">
        <v>28148</v>
      </c>
      <c r="E3504" s="41" t="s">
        <v>28317</v>
      </c>
      <c r="F3504" s="41" t="s">
        <v>28318</v>
      </c>
      <c r="G3504" s="41" t="s">
        <v>28319</v>
      </c>
      <c r="H3504" s="41" t="s">
        <v>28320</v>
      </c>
      <c r="I3504" s="41" t="s">
        <v>28321</v>
      </c>
      <c r="J3504" s="41" t="s">
        <v>28322</v>
      </c>
      <c r="K3504" s="41" t="s">
        <v>28323</v>
      </c>
      <c r="L3504" s="41" t="s">
        <v>28324</v>
      </c>
      <c r="M3504" s="41" t="s">
        <v>28325</v>
      </c>
      <c r="N3504" s="41" t="s">
        <v>28326</v>
      </c>
      <c r="O3504" s="41" t="s">
        <v>28327</v>
      </c>
      <c r="P3504" s="41" t="s">
        <v>28328</v>
      </c>
      <c r="Q3504" s="41" t="s">
        <v>28329</v>
      </c>
      <c r="R3504" s="41" t="s">
        <v>28330</v>
      </c>
      <c r="S3504" s="41" t="s">
        <v>28331</v>
      </c>
    </row>
    <row r="3505" spans="1:19" x14ac:dyDescent="0.25">
      <c r="A3505" s="41" t="s">
        <v>23</v>
      </c>
      <c r="B3505" s="41" t="s">
        <v>28332</v>
      </c>
      <c r="D3505" s="41" t="s">
        <v>28333</v>
      </c>
      <c r="F3505" s="41" t="s">
        <v>28334</v>
      </c>
      <c r="G3505" s="41" t="s">
        <v>28335</v>
      </c>
      <c r="H3505" s="41" t="s">
        <v>28336</v>
      </c>
      <c r="I3505" s="41" t="s">
        <v>28337</v>
      </c>
      <c r="J3505" s="41" t="s">
        <v>28338</v>
      </c>
      <c r="K3505" s="41" t="s">
        <v>28339</v>
      </c>
      <c r="L3505" s="41" t="s">
        <v>891</v>
      </c>
    </row>
    <row r="3506" spans="1:19" x14ac:dyDescent="0.25">
      <c r="A3506" s="41" t="s">
        <v>23</v>
      </c>
      <c r="B3506" s="41" t="s">
        <v>28340</v>
      </c>
      <c r="D3506" s="41" t="s">
        <v>28341</v>
      </c>
      <c r="F3506" s="41" t="s">
        <v>28342</v>
      </c>
      <c r="G3506" s="41" t="s">
        <v>28343</v>
      </c>
      <c r="H3506" s="41" t="s">
        <v>28344</v>
      </c>
      <c r="I3506" s="41" t="s">
        <v>28345</v>
      </c>
      <c r="J3506" s="41" t="s">
        <v>28346</v>
      </c>
      <c r="K3506" s="41" t="s">
        <v>28347</v>
      </c>
      <c r="L3506" s="41" t="s">
        <v>1076</v>
      </c>
    </row>
    <row r="3507" spans="1:19" x14ac:dyDescent="0.25">
      <c r="A3507" s="41" t="s">
        <v>23</v>
      </c>
      <c r="B3507" s="41" t="s">
        <v>28348</v>
      </c>
      <c r="D3507" s="41" t="s">
        <v>28349</v>
      </c>
      <c r="F3507" s="41" t="s">
        <v>28350</v>
      </c>
      <c r="G3507" s="41" t="s">
        <v>28351</v>
      </c>
      <c r="H3507" s="41" t="s">
        <v>28352</v>
      </c>
      <c r="I3507" s="41" t="s">
        <v>28353</v>
      </c>
      <c r="J3507" s="41" t="s">
        <v>28354</v>
      </c>
      <c r="K3507" s="41" t="s">
        <v>28355</v>
      </c>
      <c r="L3507" s="41" t="s">
        <v>1085</v>
      </c>
    </row>
    <row r="3508" spans="1:19" x14ac:dyDescent="0.25">
      <c r="A3508" s="41" t="s">
        <v>23</v>
      </c>
      <c r="B3508" s="41" t="s">
        <v>28356</v>
      </c>
      <c r="D3508" s="41" t="s">
        <v>28357</v>
      </c>
      <c r="F3508" s="41" t="s">
        <v>28358</v>
      </c>
      <c r="G3508" s="41" t="s">
        <v>28359</v>
      </c>
      <c r="H3508" s="41" t="s">
        <v>28360</v>
      </c>
      <c r="I3508" s="41" t="s">
        <v>28361</v>
      </c>
      <c r="J3508" s="41" t="s">
        <v>28362</v>
      </c>
      <c r="K3508" s="41" t="s">
        <v>28363</v>
      </c>
      <c r="L3508" s="41" t="s">
        <v>1094</v>
      </c>
    </row>
    <row r="3509" spans="1:19" x14ac:dyDescent="0.25">
      <c r="A3509" s="41" t="s">
        <v>908</v>
      </c>
      <c r="B3509" s="41" t="s">
        <v>28364</v>
      </c>
    </row>
    <row r="3510" spans="1:19" x14ac:dyDescent="0.25">
      <c r="A3510" s="41" t="s">
        <v>23</v>
      </c>
      <c r="B3510" s="41" t="s">
        <v>28365</v>
      </c>
      <c r="F3510" s="41" t="s">
        <v>28366</v>
      </c>
      <c r="G3510" s="41" t="s">
        <v>28367</v>
      </c>
      <c r="H3510" s="41" t="s">
        <v>28368</v>
      </c>
      <c r="I3510" s="41" t="s">
        <v>28369</v>
      </c>
      <c r="J3510" s="41" t="s">
        <v>28370</v>
      </c>
      <c r="L3510" s="41" t="s">
        <v>4</v>
      </c>
    </row>
    <row r="3511" spans="1:19" x14ac:dyDescent="0.25">
      <c r="A3511" s="41" t="s">
        <v>23</v>
      </c>
      <c r="B3511" s="41" t="s">
        <v>28371</v>
      </c>
      <c r="D3511" s="41" t="s">
        <v>28204</v>
      </c>
      <c r="E3511" s="41" t="s">
        <v>28373</v>
      </c>
      <c r="F3511" s="41" t="s">
        <v>28374</v>
      </c>
      <c r="G3511" s="41" t="s">
        <v>28375</v>
      </c>
      <c r="H3511" s="41" t="s">
        <v>28376</v>
      </c>
      <c r="I3511" s="41" t="s">
        <v>28377</v>
      </c>
      <c r="J3511" s="41" t="s">
        <v>28378</v>
      </c>
      <c r="K3511" s="41" t="s">
        <v>28379</v>
      </c>
      <c r="L3511" s="41" t="s">
        <v>28380</v>
      </c>
      <c r="M3511" s="41" t="s">
        <v>28381</v>
      </c>
      <c r="N3511" s="41" t="s">
        <v>28382</v>
      </c>
      <c r="O3511" s="41" t="s">
        <v>28383</v>
      </c>
      <c r="P3511" s="41" t="s">
        <v>28384</v>
      </c>
      <c r="Q3511" s="41" t="s">
        <v>28385</v>
      </c>
      <c r="R3511" s="41" t="s">
        <v>28386</v>
      </c>
      <c r="S3511" s="41" t="s">
        <v>28387</v>
      </c>
    </row>
    <row r="3512" spans="1:19" x14ac:dyDescent="0.25">
      <c r="A3512" s="41" t="s">
        <v>23</v>
      </c>
      <c r="B3512" s="41" t="s">
        <v>28388</v>
      </c>
      <c r="D3512" s="41" t="s">
        <v>28389</v>
      </c>
      <c r="F3512" s="41" t="s">
        <v>28390</v>
      </c>
      <c r="G3512" s="41" t="s">
        <v>28391</v>
      </c>
      <c r="H3512" s="41" t="s">
        <v>28392</v>
      </c>
      <c r="I3512" s="41" t="s">
        <v>28393</v>
      </c>
      <c r="J3512" s="41" t="s">
        <v>28394</v>
      </c>
      <c r="K3512" s="41" t="s">
        <v>28395</v>
      </c>
      <c r="L3512" s="41" t="s">
        <v>891</v>
      </c>
    </row>
    <row r="3513" spans="1:19" x14ac:dyDescent="0.25">
      <c r="A3513" s="41" t="s">
        <v>23</v>
      </c>
      <c r="B3513" s="41" t="s">
        <v>28396</v>
      </c>
      <c r="D3513" s="41" t="s">
        <v>28397</v>
      </c>
      <c r="F3513" s="41" t="s">
        <v>28398</v>
      </c>
      <c r="G3513" s="41" t="s">
        <v>28399</v>
      </c>
      <c r="H3513" s="41" t="s">
        <v>28400</v>
      </c>
      <c r="I3513" s="41" t="s">
        <v>28401</v>
      </c>
      <c r="J3513" s="41" t="s">
        <v>28402</v>
      </c>
      <c r="K3513" s="41" t="s">
        <v>28403</v>
      </c>
      <c r="L3513" s="41" t="s">
        <v>1076</v>
      </c>
    </row>
    <row r="3514" spans="1:19" x14ac:dyDescent="0.25">
      <c r="A3514" s="41" t="s">
        <v>23</v>
      </c>
      <c r="B3514" s="41" t="s">
        <v>28404</v>
      </c>
      <c r="D3514" s="41" t="s">
        <v>28405</v>
      </c>
      <c r="F3514" s="41" t="s">
        <v>28406</v>
      </c>
      <c r="G3514" s="41" t="s">
        <v>28407</v>
      </c>
      <c r="H3514" s="41" t="s">
        <v>28408</v>
      </c>
      <c r="I3514" s="41" t="s">
        <v>28409</v>
      </c>
      <c r="J3514" s="41" t="s">
        <v>28410</v>
      </c>
      <c r="K3514" s="41" t="s">
        <v>28411</v>
      </c>
      <c r="L3514" s="41" t="s">
        <v>1085</v>
      </c>
    </row>
    <row r="3515" spans="1:19" x14ac:dyDescent="0.25">
      <c r="A3515" s="41" t="s">
        <v>23</v>
      </c>
      <c r="B3515" s="41" t="s">
        <v>28412</v>
      </c>
      <c r="D3515" s="41" t="s">
        <v>28413</v>
      </c>
      <c r="F3515" s="41" t="s">
        <v>28414</v>
      </c>
      <c r="G3515" s="41" t="s">
        <v>28415</v>
      </c>
      <c r="H3515" s="41" t="s">
        <v>28416</v>
      </c>
      <c r="I3515" s="41" t="s">
        <v>28417</v>
      </c>
      <c r="J3515" s="41" t="s">
        <v>28418</v>
      </c>
      <c r="K3515" s="41" t="s">
        <v>28419</v>
      </c>
      <c r="L3515" s="41" t="s">
        <v>1094</v>
      </c>
    </row>
    <row r="3516" spans="1:19" x14ac:dyDescent="0.25">
      <c r="A3516" s="41" t="s">
        <v>908</v>
      </c>
      <c r="B3516" s="41" t="s">
        <v>28420</v>
      </c>
    </row>
    <row r="3517" spans="1:19" x14ac:dyDescent="0.25">
      <c r="A3517" s="41" t="s">
        <v>23</v>
      </c>
      <c r="B3517" s="41" t="s">
        <v>28421</v>
      </c>
      <c r="F3517" s="41" t="s">
        <v>28422</v>
      </c>
      <c r="G3517" s="41" t="s">
        <v>28423</v>
      </c>
      <c r="H3517" s="41" t="s">
        <v>28424</v>
      </c>
      <c r="I3517" s="41" t="s">
        <v>28425</v>
      </c>
      <c r="J3517" s="41" t="s">
        <v>28426</v>
      </c>
      <c r="L3517" s="41" t="s">
        <v>4</v>
      </c>
    </row>
    <row r="3518" spans="1:19" x14ac:dyDescent="0.25">
      <c r="A3518" s="41" t="s">
        <v>23</v>
      </c>
      <c r="B3518" s="41" t="s">
        <v>28427</v>
      </c>
      <c r="D3518" s="41" t="s">
        <v>28260</v>
      </c>
      <c r="E3518" s="41" t="s">
        <v>28429</v>
      </c>
      <c r="F3518" s="41" t="s">
        <v>28430</v>
      </c>
      <c r="G3518" s="41" t="s">
        <v>28431</v>
      </c>
      <c r="H3518" s="41" t="s">
        <v>28432</v>
      </c>
      <c r="I3518" s="41" t="s">
        <v>28433</v>
      </c>
      <c r="J3518" s="41" t="s">
        <v>28434</v>
      </c>
      <c r="K3518" s="41" t="s">
        <v>28435</v>
      </c>
      <c r="L3518" s="41" t="s">
        <v>28436</v>
      </c>
      <c r="M3518" s="41" t="s">
        <v>28437</v>
      </c>
      <c r="N3518" s="41" t="s">
        <v>28438</v>
      </c>
      <c r="O3518" s="41" t="s">
        <v>28439</v>
      </c>
      <c r="P3518" s="41" t="s">
        <v>28440</v>
      </c>
      <c r="Q3518" s="41" t="s">
        <v>28441</v>
      </c>
      <c r="R3518" s="41" t="s">
        <v>28442</v>
      </c>
      <c r="S3518" s="41" t="s">
        <v>28443</v>
      </c>
    </row>
    <row r="3519" spans="1:19" x14ac:dyDescent="0.25">
      <c r="A3519" s="41" t="s">
        <v>23</v>
      </c>
      <c r="B3519" s="41" t="s">
        <v>28444</v>
      </c>
      <c r="D3519" s="41" t="s">
        <v>28445</v>
      </c>
      <c r="F3519" s="41" t="s">
        <v>28446</v>
      </c>
      <c r="G3519" s="41" t="s">
        <v>28447</v>
      </c>
      <c r="H3519" s="41" t="s">
        <v>28448</v>
      </c>
      <c r="I3519" s="41" t="s">
        <v>28449</v>
      </c>
      <c r="J3519" s="41" t="s">
        <v>28450</v>
      </c>
      <c r="K3519" s="41" t="s">
        <v>28451</v>
      </c>
      <c r="L3519" s="41" t="s">
        <v>891</v>
      </c>
    </row>
    <row r="3520" spans="1:19" x14ac:dyDescent="0.25">
      <c r="A3520" s="41" t="s">
        <v>23</v>
      </c>
      <c r="B3520" s="41" t="s">
        <v>28452</v>
      </c>
      <c r="D3520" s="41" t="s">
        <v>28453</v>
      </c>
      <c r="F3520" s="41" t="s">
        <v>28454</v>
      </c>
      <c r="G3520" s="41" t="s">
        <v>28455</v>
      </c>
      <c r="H3520" s="41" t="s">
        <v>28456</v>
      </c>
      <c r="I3520" s="41" t="s">
        <v>28457</v>
      </c>
      <c r="J3520" s="41" t="s">
        <v>28458</v>
      </c>
      <c r="K3520" s="41" t="s">
        <v>28459</v>
      </c>
      <c r="L3520" s="41" t="s">
        <v>1076</v>
      </c>
    </row>
    <row r="3521" spans="1:19" x14ac:dyDescent="0.25">
      <c r="A3521" s="41" t="s">
        <v>23</v>
      </c>
      <c r="B3521" s="41" t="s">
        <v>28460</v>
      </c>
      <c r="D3521" s="41" t="s">
        <v>28461</v>
      </c>
      <c r="F3521" s="41" t="s">
        <v>28462</v>
      </c>
      <c r="G3521" s="41" t="s">
        <v>28463</v>
      </c>
      <c r="H3521" s="41" t="s">
        <v>28464</v>
      </c>
      <c r="I3521" s="41" t="s">
        <v>28465</v>
      </c>
      <c r="J3521" s="41" t="s">
        <v>28466</v>
      </c>
      <c r="K3521" s="41" t="s">
        <v>28467</v>
      </c>
      <c r="L3521" s="41" t="s">
        <v>1085</v>
      </c>
    </row>
    <row r="3522" spans="1:19" x14ac:dyDescent="0.25">
      <c r="A3522" s="41" t="s">
        <v>23</v>
      </c>
      <c r="B3522" s="41" t="s">
        <v>28468</v>
      </c>
      <c r="D3522" s="41" t="s">
        <v>28469</v>
      </c>
      <c r="F3522" s="41" t="s">
        <v>28470</v>
      </c>
      <c r="G3522" s="41" t="s">
        <v>28471</v>
      </c>
      <c r="H3522" s="41" t="s">
        <v>28472</v>
      </c>
      <c r="I3522" s="41" t="s">
        <v>28473</v>
      </c>
      <c r="J3522" s="41" t="s">
        <v>28474</v>
      </c>
      <c r="K3522" s="41" t="s">
        <v>28475</v>
      </c>
      <c r="L3522" s="41" t="s">
        <v>1094</v>
      </c>
    </row>
    <row r="3523" spans="1:19" x14ac:dyDescent="0.25">
      <c r="A3523" s="41" t="s">
        <v>908</v>
      </c>
      <c r="B3523" s="41" t="s">
        <v>28476</v>
      </c>
    </row>
    <row r="3524" spans="1:19" x14ac:dyDescent="0.25">
      <c r="A3524" s="41" t="s">
        <v>23</v>
      </c>
      <c r="B3524" s="41" t="s">
        <v>28477</v>
      </c>
      <c r="F3524" s="41" t="s">
        <v>28478</v>
      </c>
      <c r="G3524" s="41" t="s">
        <v>28479</v>
      </c>
      <c r="H3524" s="41" t="s">
        <v>28480</v>
      </c>
      <c r="I3524" s="41" t="s">
        <v>28481</v>
      </c>
      <c r="J3524" s="41" t="s">
        <v>28482</v>
      </c>
      <c r="L3524" s="41" t="s">
        <v>4</v>
      </c>
    </row>
    <row r="3525" spans="1:19" x14ac:dyDescent="0.25">
      <c r="A3525" s="41" t="s">
        <v>23</v>
      </c>
      <c r="B3525" s="41" t="s">
        <v>28483</v>
      </c>
      <c r="D3525" s="41" t="s">
        <v>28316</v>
      </c>
      <c r="E3525" s="41" t="s">
        <v>28485</v>
      </c>
      <c r="F3525" s="41" t="s">
        <v>28486</v>
      </c>
      <c r="G3525" s="41" t="s">
        <v>28487</v>
      </c>
      <c r="H3525" s="41" t="s">
        <v>28488</v>
      </c>
      <c r="I3525" s="41" t="s">
        <v>28489</v>
      </c>
      <c r="J3525" s="41" t="s">
        <v>28490</v>
      </c>
      <c r="K3525" s="41" t="s">
        <v>28491</v>
      </c>
      <c r="L3525" s="41" t="s">
        <v>28492</v>
      </c>
      <c r="M3525" s="41" t="s">
        <v>28493</v>
      </c>
      <c r="N3525" s="41" t="s">
        <v>28494</v>
      </c>
      <c r="O3525" s="41" t="s">
        <v>28495</v>
      </c>
      <c r="P3525" s="41" t="s">
        <v>28496</v>
      </c>
      <c r="Q3525" s="41" t="s">
        <v>28497</v>
      </c>
      <c r="R3525" s="41" t="s">
        <v>28498</v>
      </c>
      <c r="S3525" s="41" t="s">
        <v>28499</v>
      </c>
    </row>
    <row r="3526" spans="1:19" x14ac:dyDescent="0.25">
      <c r="A3526" s="41" t="s">
        <v>23</v>
      </c>
      <c r="B3526" s="41" t="s">
        <v>28500</v>
      </c>
      <c r="D3526" s="41" t="s">
        <v>28501</v>
      </c>
      <c r="F3526" s="41" t="s">
        <v>28502</v>
      </c>
      <c r="G3526" s="41" t="s">
        <v>28503</v>
      </c>
      <c r="H3526" s="41" t="s">
        <v>28504</v>
      </c>
      <c r="I3526" s="41" t="s">
        <v>28505</v>
      </c>
      <c r="J3526" s="41" t="s">
        <v>28506</v>
      </c>
      <c r="K3526" s="41" t="s">
        <v>28507</v>
      </c>
      <c r="L3526" s="41" t="s">
        <v>891</v>
      </c>
    </row>
    <row r="3527" spans="1:19" x14ac:dyDescent="0.25">
      <c r="A3527" s="41" t="s">
        <v>23</v>
      </c>
      <c r="B3527" s="41" t="s">
        <v>28508</v>
      </c>
      <c r="D3527" s="41" t="s">
        <v>28509</v>
      </c>
      <c r="F3527" s="41" t="s">
        <v>28510</v>
      </c>
      <c r="G3527" s="41" t="s">
        <v>28511</v>
      </c>
      <c r="H3527" s="41" t="s">
        <v>28512</v>
      </c>
      <c r="I3527" s="41" t="s">
        <v>28513</v>
      </c>
      <c r="J3527" s="41" t="s">
        <v>28514</v>
      </c>
      <c r="K3527" s="41" t="s">
        <v>28515</v>
      </c>
      <c r="L3527" s="41" t="s">
        <v>1076</v>
      </c>
    </row>
    <row r="3528" spans="1:19" x14ac:dyDescent="0.25">
      <c r="A3528" s="41" t="s">
        <v>23</v>
      </c>
      <c r="B3528" s="41" t="s">
        <v>28516</v>
      </c>
      <c r="D3528" s="41" t="s">
        <v>28517</v>
      </c>
      <c r="F3528" s="41" t="s">
        <v>28518</v>
      </c>
      <c r="G3528" s="41" t="s">
        <v>28519</v>
      </c>
      <c r="H3528" s="41" t="s">
        <v>28520</v>
      </c>
      <c r="I3528" s="41" t="s">
        <v>28521</v>
      </c>
      <c r="J3528" s="41" t="s">
        <v>28522</v>
      </c>
      <c r="K3528" s="41" t="s">
        <v>28523</v>
      </c>
      <c r="L3528" s="41" t="s">
        <v>1085</v>
      </c>
    </row>
    <row r="3529" spans="1:19" x14ac:dyDescent="0.25">
      <c r="A3529" s="41" t="s">
        <v>23</v>
      </c>
      <c r="B3529" s="41" t="s">
        <v>28524</v>
      </c>
      <c r="D3529" s="41" t="s">
        <v>28525</v>
      </c>
      <c r="F3529" s="41" t="s">
        <v>28526</v>
      </c>
      <c r="G3529" s="41" t="s">
        <v>28527</v>
      </c>
      <c r="H3529" s="41" t="s">
        <v>28528</v>
      </c>
      <c r="I3529" s="41" t="s">
        <v>28529</v>
      </c>
      <c r="J3529" s="41" t="s">
        <v>28530</v>
      </c>
      <c r="K3529" s="41" t="s">
        <v>28531</v>
      </c>
      <c r="L3529" s="41" t="s">
        <v>1094</v>
      </c>
    </row>
    <row r="3530" spans="1:19" x14ac:dyDescent="0.25">
      <c r="A3530" s="41" t="s">
        <v>908</v>
      </c>
      <c r="B3530" s="41" t="s">
        <v>28532</v>
      </c>
    </row>
    <row r="3531" spans="1:19" x14ac:dyDescent="0.25">
      <c r="A3531" s="41" t="s">
        <v>23</v>
      </c>
      <c r="B3531" s="41" t="s">
        <v>28533</v>
      </c>
      <c r="F3531" s="41" t="s">
        <v>28534</v>
      </c>
      <c r="G3531" s="41" t="s">
        <v>28535</v>
      </c>
      <c r="H3531" s="41" t="s">
        <v>28536</v>
      </c>
      <c r="I3531" s="41" t="s">
        <v>28537</v>
      </c>
      <c r="J3531" s="41" t="s">
        <v>28538</v>
      </c>
      <c r="L3531" s="41" t="s">
        <v>4</v>
      </c>
    </row>
    <row r="3532" spans="1:19" x14ac:dyDescent="0.25">
      <c r="A3532" s="41" t="s">
        <v>23</v>
      </c>
      <c r="B3532" s="41" t="s">
        <v>28539</v>
      </c>
      <c r="D3532" s="41" t="s">
        <v>28372</v>
      </c>
      <c r="E3532" s="41" t="s">
        <v>28541</v>
      </c>
      <c r="F3532" s="41" t="s">
        <v>28542</v>
      </c>
      <c r="G3532" s="41" t="s">
        <v>28543</v>
      </c>
      <c r="H3532" s="41" t="s">
        <v>28544</v>
      </c>
      <c r="I3532" s="41" t="s">
        <v>28545</v>
      </c>
      <c r="J3532" s="41" t="s">
        <v>28546</v>
      </c>
      <c r="K3532" s="41" t="s">
        <v>28547</v>
      </c>
      <c r="L3532" s="41" t="s">
        <v>28548</v>
      </c>
      <c r="M3532" s="41" t="s">
        <v>28549</v>
      </c>
      <c r="N3532" s="41" t="s">
        <v>28550</v>
      </c>
      <c r="O3532" s="41" t="s">
        <v>28551</v>
      </c>
      <c r="P3532" s="41" t="s">
        <v>28552</v>
      </c>
      <c r="Q3532" s="41" t="s">
        <v>28553</v>
      </c>
      <c r="R3532" s="41" t="s">
        <v>28554</v>
      </c>
      <c r="S3532" s="41" t="s">
        <v>28555</v>
      </c>
    </row>
    <row r="3533" spans="1:19" x14ac:dyDescent="0.25">
      <c r="A3533" s="41" t="s">
        <v>23</v>
      </c>
      <c r="B3533" s="41" t="s">
        <v>28556</v>
      </c>
      <c r="D3533" s="41" t="s">
        <v>28557</v>
      </c>
      <c r="F3533" s="41" t="s">
        <v>28558</v>
      </c>
      <c r="G3533" s="41" t="s">
        <v>28559</v>
      </c>
      <c r="H3533" s="41" t="s">
        <v>28560</v>
      </c>
      <c r="I3533" s="41" t="s">
        <v>28561</v>
      </c>
      <c r="J3533" s="41" t="s">
        <v>28562</v>
      </c>
      <c r="K3533" s="41" t="s">
        <v>28563</v>
      </c>
      <c r="L3533" s="41" t="s">
        <v>891</v>
      </c>
    </row>
    <row r="3534" spans="1:19" x14ac:dyDescent="0.25">
      <c r="A3534" s="41" t="s">
        <v>23</v>
      </c>
      <c r="B3534" s="41" t="s">
        <v>28564</v>
      </c>
      <c r="D3534" s="41" t="s">
        <v>28565</v>
      </c>
      <c r="F3534" s="41" t="s">
        <v>28566</v>
      </c>
      <c r="G3534" s="41" t="s">
        <v>28567</v>
      </c>
      <c r="H3534" s="41" t="s">
        <v>28568</v>
      </c>
      <c r="I3534" s="41" t="s">
        <v>28569</v>
      </c>
      <c r="J3534" s="41" t="s">
        <v>28570</v>
      </c>
      <c r="K3534" s="41" t="s">
        <v>28571</v>
      </c>
      <c r="L3534" s="41" t="s">
        <v>1076</v>
      </c>
    </row>
    <row r="3535" spans="1:19" x14ac:dyDescent="0.25">
      <c r="A3535" s="41" t="s">
        <v>23</v>
      </c>
      <c r="B3535" s="41" t="s">
        <v>28572</v>
      </c>
      <c r="D3535" s="41" t="s">
        <v>28573</v>
      </c>
      <c r="F3535" s="41" t="s">
        <v>28574</v>
      </c>
      <c r="G3535" s="41" t="s">
        <v>28575</v>
      </c>
      <c r="H3535" s="41" t="s">
        <v>28576</v>
      </c>
      <c r="I3535" s="41" t="s">
        <v>28577</v>
      </c>
      <c r="J3535" s="41" t="s">
        <v>28578</v>
      </c>
      <c r="K3535" s="41" t="s">
        <v>28579</v>
      </c>
      <c r="L3535" s="41" t="s">
        <v>1085</v>
      </c>
    </row>
    <row r="3536" spans="1:19" x14ac:dyDescent="0.25">
      <c r="A3536" s="41" t="s">
        <v>23</v>
      </c>
      <c r="B3536" s="41" t="s">
        <v>28580</v>
      </c>
      <c r="D3536" s="41" t="s">
        <v>28581</v>
      </c>
      <c r="F3536" s="41" t="s">
        <v>28582</v>
      </c>
      <c r="G3536" s="41" t="s">
        <v>28583</v>
      </c>
      <c r="H3536" s="41" t="s">
        <v>28584</v>
      </c>
      <c r="I3536" s="41" t="s">
        <v>28585</v>
      </c>
      <c r="J3536" s="41" t="s">
        <v>28586</v>
      </c>
      <c r="K3536" s="41" t="s">
        <v>28587</v>
      </c>
      <c r="L3536" s="41" t="s">
        <v>1094</v>
      </c>
    </row>
    <row r="3537" spans="1:19" x14ac:dyDescent="0.25">
      <c r="A3537" s="41" t="s">
        <v>908</v>
      </c>
      <c r="B3537" s="41" t="s">
        <v>28588</v>
      </c>
    </row>
    <row r="3538" spans="1:19" x14ac:dyDescent="0.25">
      <c r="A3538" s="41" t="s">
        <v>23</v>
      </c>
      <c r="B3538" s="41" t="s">
        <v>28589</v>
      </c>
      <c r="F3538" s="41" t="s">
        <v>28590</v>
      </c>
      <c r="G3538" s="41" t="s">
        <v>28591</v>
      </c>
      <c r="H3538" s="41" t="s">
        <v>28592</v>
      </c>
      <c r="I3538" s="41" t="s">
        <v>28593</v>
      </c>
      <c r="J3538" s="41" t="s">
        <v>28594</v>
      </c>
      <c r="L3538" s="41" t="s">
        <v>4</v>
      </c>
    </row>
    <row r="3539" spans="1:19" x14ac:dyDescent="0.25">
      <c r="A3539" s="41" t="s">
        <v>23</v>
      </c>
      <c r="B3539" s="41" t="s">
        <v>28595</v>
      </c>
      <c r="D3539" s="41" t="s">
        <v>28428</v>
      </c>
      <c r="E3539" s="41" t="s">
        <v>28597</v>
      </c>
      <c r="F3539" s="41" t="s">
        <v>28598</v>
      </c>
      <c r="G3539" s="41" t="s">
        <v>28599</v>
      </c>
      <c r="H3539" s="41" t="s">
        <v>28600</v>
      </c>
      <c r="I3539" s="41" t="s">
        <v>28601</v>
      </c>
      <c r="J3539" s="41" t="s">
        <v>28602</v>
      </c>
      <c r="K3539" s="41" t="s">
        <v>28603</v>
      </c>
      <c r="L3539" s="41" t="s">
        <v>28604</v>
      </c>
      <c r="M3539" s="41" t="s">
        <v>28605</v>
      </c>
      <c r="N3539" s="41" t="s">
        <v>28606</v>
      </c>
      <c r="O3539" s="41" t="s">
        <v>28607</v>
      </c>
      <c r="P3539" s="41" t="s">
        <v>28608</v>
      </c>
      <c r="Q3539" s="41" t="s">
        <v>28609</v>
      </c>
      <c r="R3539" s="41" t="s">
        <v>28610</v>
      </c>
      <c r="S3539" s="41" t="s">
        <v>28611</v>
      </c>
    </row>
    <row r="3540" spans="1:19" x14ac:dyDescent="0.25">
      <c r="A3540" s="41" t="s">
        <v>23</v>
      </c>
      <c r="B3540" s="41" t="s">
        <v>28612</v>
      </c>
      <c r="D3540" s="41" t="s">
        <v>28613</v>
      </c>
      <c r="F3540" s="41" t="s">
        <v>28614</v>
      </c>
      <c r="G3540" s="41" t="s">
        <v>28615</v>
      </c>
      <c r="H3540" s="41" t="s">
        <v>28616</v>
      </c>
      <c r="I3540" s="41" t="s">
        <v>28617</v>
      </c>
      <c r="J3540" s="41" t="s">
        <v>28618</v>
      </c>
      <c r="K3540" s="41" t="s">
        <v>28619</v>
      </c>
      <c r="L3540" s="41" t="s">
        <v>891</v>
      </c>
    </row>
    <row r="3541" spans="1:19" x14ac:dyDescent="0.25">
      <c r="A3541" s="41" t="s">
        <v>23</v>
      </c>
      <c r="B3541" s="41" t="s">
        <v>28620</v>
      </c>
      <c r="D3541" s="41" t="s">
        <v>28621</v>
      </c>
      <c r="F3541" s="41" t="s">
        <v>28622</v>
      </c>
      <c r="G3541" s="41" t="s">
        <v>28623</v>
      </c>
      <c r="H3541" s="41" t="s">
        <v>28624</v>
      </c>
      <c r="I3541" s="41" t="s">
        <v>28625</v>
      </c>
      <c r="J3541" s="41" t="s">
        <v>28626</v>
      </c>
      <c r="K3541" s="41" t="s">
        <v>28627</v>
      </c>
      <c r="L3541" s="41" t="s">
        <v>1076</v>
      </c>
    </row>
    <row r="3542" spans="1:19" x14ac:dyDescent="0.25">
      <c r="A3542" s="41" t="s">
        <v>23</v>
      </c>
      <c r="B3542" s="41" t="s">
        <v>28628</v>
      </c>
      <c r="D3542" s="41" t="s">
        <v>28629</v>
      </c>
      <c r="F3542" s="41" t="s">
        <v>28630</v>
      </c>
      <c r="G3542" s="41" t="s">
        <v>28631</v>
      </c>
      <c r="H3542" s="41" t="s">
        <v>28632</v>
      </c>
      <c r="I3542" s="41" t="s">
        <v>28633</v>
      </c>
      <c r="J3542" s="41" t="s">
        <v>28634</v>
      </c>
      <c r="K3542" s="41" t="s">
        <v>28635</v>
      </c>
      <c r="L3542" s="41" t="s">
        <v>1085</v>
      </c>
    </row>
    <row r="3543" spans="1:19" x14ac:dyDescent="0.25">
      <c r="A3543" s="41" t="s">
        <v>23</v>
      </c>
      <c r="B3543" s="41" t="s">
        <v>28636</v>
      </c>
      <c r="D3543" s="41" t="s">
        <v>28637</v>
      </c>
      <c r="F3543" s="41" t="s">
        <v>28638</v>
      </c>
      <c r="G3543" s="41" t="s">
        <v>28639</v>
      </c>
      <c r="H3543" s="41" t="s">
        <v>28640</v>
      </c>
      <c r="I3543" s="41" t="s">
        <v>28641</v>
      </c>
      <c r="J3543" s="41" t="s">
        <v>28642</v>
      </c>
      <c r="K3543" s="41" t="s">
        <v>28643</v>
      </c>
      <c r="L3543" s="41" t="s">
        <v>1094</v>
      </c>
    </row>
    <row r="3544" spans="1:19" x14ac:dyDescent="0.25">
      <c r="A3544" s="41" t="s">
        <v>908</v>
      </c>
      <c r="B3544" s="41" t="s">
        <v>28644</v>
      </c>
    </row>
    <row r="3545" spans="1:19" x14ac:dyDescent="0.25">
      <c r="A3545" s="41" t="s">
        <v>23</v>
      </c>
      <c r="B3545" s="41" t="s">
        <v>28645</v>
      </c>
      <c r="F3545" s="41" t="s">
        <v>28646</v>
      </c>
      <c r="G3545" s="41" t="s">
        <v>28647</v>
      </c>
      <c r="H3545" s="41" t="s">
        <v>28648</v>
      </c>
      <c r="I3545" s="41" t="s">
        <v>28649</v>
      </c>
      <c r="J3545" s="41" t="s">
        <v>28650</v>
      </c>
      <c r="L3545" s="41" t="s">
        <v>4</v>
      </c>
    </row>
    <row r="3546" spans="1:19" x14ac:dyDescent="0.25">
      <c r="A3546" s="41" t="s">
        <v>23</v>
      </c>
      <c r="B3546" s="41" t="s">
        <v>28651</v>
      </c>
      <c r="D3546" s="41" t="s">
        <v>28484</v>
      </c>
      <c r="E3546" s="41" t="s">
        <v>28653</v>
      </c>
      <c r="F3546" s="41" t="s">
        <v>28654</v>
      </c>
      <c r="G3546" s="41" t="s">
        <v>28655</v>
      </c>
      <c r="H3546" s="41" t="s">
        <v>28656</v>
      </c>
      <c r="I3546" s="41" t="s">
        <v>28657</v>
      </c>
      <c r="J3546" s="41" t="s">
        <v>28658</v>
      </c>
      <c r="K3546" s="41" t="s">
        <v>28659</v>
      </c>
      <c r="L3546" s="41" t="s">
        <v>28660</v>
      </c>
      <c r="M3546" s="41" t="s">
        <v>28661</v>
      </c>
      <c r="N3546" s="41" t="s">
        <v>28662</v>
      </c>
      <c r="O3546" s="41" t="s">
        <v>28663</v>
      </c>
      <c r="P3546" s="41" t="s">
        <v>28664</v>
      </c>
      <c r="Q3546" s="41" t="s">
        <v>28665</v>
      </c>
      <c r="R3546" s="41" t="s">
        <v>28666</v>
      </c>
      <c r="S3546" s="41" t="s">
        <v>28667</v>
      </c>
    </row>
    <row r="3547" spans="1:19" x14ac:dyDescent="0.25">
      <c r="A3547" s="41" t="s">
        <v>23</v>
      </c>
      <c r="B3547" s="41" t="s">
        <v>28668</v>
      </c>
      <c r="D3547" s="41" t="s">
        <v>28669</v>
      </c>
      <c r="F3547" s="41" t="s">
        <v>28670</v>
      </c>
      <c r="G3547" s="41" t="s">
        <v>28671</v>
      </c>
      <c r="H3547" s="41" t="s">
        <v>28672</v>
      </c>
      <c r="I3547" s="41" t="s">
        <v>28673</v>
      </c>
      <c r="J3547" s="41" t="s">
        <v>28674</v>
      </c>
      <c r="K3547" s="41" t="s">
        <v>28675</v>
      </c>
      <c r="L3547" s="41" t="s">
        <v>891</v>
      </c>
    </row>
    <row r="3548" spans="1:19" x14ac:dyDescent="0.25">
      <c r="A3548" s="41" t="s">
        <v>23</v>
      </c>
      <c r="B3548" s="41" t="s">
        <v>28676</v>
      </c>
      <c r="D3548" s="41" t="s">
        <v>28677</v>
      </c>
      <c r="F3548" s="41" t="s">
        <v>28678</v>
      </c>
      <c r="G3548" s="41" t="s">
        <v>28679</v>
      </c>
      <c r="H3548" s="41" t="s">
        <v>28680</v>
      </c>
      <c r="I3548" s="41" t="s">
        <v>28681</v>
      </c>
      <c r="J3548" s="41" t="s">
        <v>28682</v>
      </c>
      <c r="K3548" s="41" t="s">
        <v>28683</v>
      </c>
      <c r="L3548" s="41" t="s">
        <v>1076</v>
      </c>
    </row>
    <row r="3549" spans="1:19" x14ac:dyDescent="0.25">
      <c r="A3549" s="41" t="s">
        <v>23</v>
      </c>
      <c r="B3549" s="41" t="s">
        <v>28684</v>
      </c>
      <c r="D3549" s="41" t="s">
        <v>28685</v>
      </c>
      <c r="F3549" s="41" t="s">
        <v>28686</v>
      </c>
      <c r="G3549" s="41" t="s">
        <v>28687</v>
      </c>
      <c r="H3549" s="41" t="s">
        <v>28688</v>
      </c>
      <c r="I3549" s="41" t="s">
        <v>28689</v>
      </c>
      <c r="J3549" s="41" t="s">
        <v>28690</v>
      </c>
      <c r="K3549" s="41" t="s">
        <v>28691</v>
      </c>
      <c r="L3549" s="41" t="s">
        <v>1085</v>
      </c>
    </row>
    <row r="3550" spans="1:19" x14ac:dyDescent="0.25">
      <c r="A3550" s="41" t="s">
        <v>23</v>
      </c>
      <c r="B3550" s="41" t="s">
        <v>28692</v>
      </c>
      <c r="D3550" s="41" t="s">
        <v>28693</v>
      </c>
      <c r="F3550" s="41" t="s">
        <v>28694</v>
      </c>
      <c r="G3550" s="41" t="s">
        <v>28695</v>
      </c>
      <c r="H3550" s="41" t="s">
        <v>28696</v>
      </c>
      <c r="I3550" s="41" t="s">
        <v>28697</v>
      </c>
      <c r="J3550" s="41" t="s">
        <v>28698</v>
      </c>
      <c r="K3550" s="41" t="s">
        <v>28699</v>
      </c>
      <c r="L3550" s="41" t="s">
        <v>1094</v>
      </c>
    </row>
    <row r="3551" spans="1:19" x14ac:dyDescent="0.25">
      <c r="A3551" s="41" t="s">
        <v>908</v>
      </c>
      <c r="B3551" s="41" t="s">
        <v>28700</v>
      </c>
    </row>
    <row r="3552" spans="1:19" x14ac:dyDescent="0.25">
      <c r="A3552" s="41" t="s">
        <v>23</v>
      </c>
      <c r="B3552" s="41" t="s">
        <v>28701</v>
      </c>
      <c r="F3552" s="41" t="s">
        <v>28702</v>
      </c>
      <c r="G3552" s="41" t="s">
        <v>28703</v>
      </c>
      <c r="H3552" s="41" t="s">
        <v>28704</v>
      </c>
      <c r="I3552" s="41" t="s">
        <v>28705</v>
      </c>
      <c r="J3552" s="41" t="s">
        <v>28706</v>
      </c>
      <c r="L3552" s="41" t="s">
        <v>4</v>
      </c>
    </row>
    <row r="3553" spans="1:19" x14ac:dyDescent="0.25">
      <c r="A3553" s="41" t="s">
        <v>23</v>
      </c>
      <c r="B3553" s="41" t="s">
        <v>28707</v>
      </c>
      <c r="D3553" s="41" t="s">
        <v>28540</v>
      </c>
      <c r="E3553" s="41" t="s">
        <v>28709</v>
      </c>
      <c r="F3553" s="41" t="s">
        <v>28710</v>
      </c>
      <c r="G3553" s="41" t="s">
        <v>28711</v>
      </c>
      <c r="H3553" s="41" t="s">
        <v>28712</v>
      </c>
      <c r="I3553" s="41" t="s">
        <v>28713</v>
      </c>
      <c r="J3553" s="41" t="s">
        <v>28714</v>
      </c>
      <c r="K3553" s="41" t="s">
        <v>28715</v>
      </c>
      <c r="L3553" s="41" t="s">
        <v>28716</v>
      </c>
      <c r="M3553" s="41" t="s">
        <v>28717</v>
      </c>
      <c r="N3553" s="41" t="s">
        <v>28718</v>
      </c>
      <c r="O3553" s="41" t="s">
        <v>28719</v>
      </c>
      <c r="P3553" s="41" t="s">
        <v>28720</v>
      </c>
      <c r="Q3553" s="41" t="s">
        <v>28721</v>
      </c>
      <c r="R3553" s="41" t="s">
        <v>28722</v>
      </c>
      <c r="S3553" s="41" t="s">
        <v>28723</v>
      </c>
    </row>
    <row r="3554" spans="1:19" x14ac:dyDescent="0.25">
      <c r="A3554" s="41" t="s">
        <v>23</v>
      </c>
      <c r="B3554" s="41" t="s">
        <v>28724</v>
      </c>
      <c r="D3554" s="41" t="s">
        <v>28725</v>
      </c>
      <c r="F3554" s="41" t="s">
        <v>28726</v>
      </c>
      <c r="G3554" s="41" t="s">
        <v>28727</v>
      </c>
      <c r="H3554" s="41" t="s">
        <v>28728</v>
      </c>
      <c r="I3554" s="41" t="s">
        <v>28729</v>
      </c>
      <c r="J3554" s="41" t="s">
        <v>28730</v>
      </c>
      <c r="K3554" s="41" t="s">
        <v>28731</v>
      </c>
      <c r="L3554" s="41" t="s">
        <v>891</v>
      </c>
    </row>
    <row r="3555" spans="1:19" x14ac:dyDescent="0.25">
      <c r="A3555" s="41" t="s">
        <v>23</v>
      </c>
      <c r="B3555" s="41" t="s">
        <v>28732</v>
      </c>
      <c r="D3555" s="41" t="s">
        <v>28733</v>
      </c>
      <c r="F3555" s="41" t="s">
        <v>28734</v>
      </c>
      <c r="G3555" s="41" t="s">
        <v>28735</v>
      </c>
      <c r="H3555" s="41" t="s">
        <v>28736</v>
      </c>
      <c r="I3555" s="41" t="s">
        <v>28737</v>
      </c>
      <c r="J3555" s="41" t="s">
        <v>28738</v>
      </c>
      <c r="K3555" s="41" t="s">
        <v>28739</v>
      </c>
      <c r="L3555" s="41" t="s">
        <v>1076</v>
      </c>
    </row>
    <row r="3556" spans="1:19" x14ac:dyDescent="0.25">
      <c r="A3556" s="41" t="s">
        <v>23</v>
      </c>
      <c r="B3556" s="41" t="s">
        <v>28740</v>
      </c>
      <c r="D3556" s="41" t="s">
        <v>28741</v>
      </c>
      <c r="F3556" s="41" t="s">
        <v>28742</v>
      </c>
      <c r="G3556" s="41" t="s">
        <v>28743</v>
      </c>
      <c r="H3556" s="41" t="s">
        <v>28744</v>
      </c>
      <c r="I3556" s="41" t="s">
        <v>28745</v>
      </c>
      <c r="J3556" s="41" t="s">
        <v>28746</v>
      </c>
      <c r="K3556" s="41" t="s">
        <v>28747</v>
      </c>
      <c r="L3556" s="41" t="s">
        <v>1085</v>
      </c>
    </row>
    <row r="3557" spans="1:19" x14ac:dyDescent="0.25">
      <c r="A3557" s="41" t="s">
        <v>23</v>
      </c>
      <c r="B3557" s="41" t="s">
        <v>28748</v>
      </c>
      <c r="D3557" s="41" t="s">
        <v>28749</v>
      </c>
      <c r="F3557" s="41" t="s">
        <v>28750</v>
      </c>
      <c r="G3557" s="41" t="s">
        <v>28751</v>
      </c>
      <c r="H3557" s="41" t="s">
        <v>28752</v>
      </c>
      <c r="I3557" s="41" t="s">
        <v>28753</v>
      </c>
      <c r="J3557" s="41" t="s">
        <v>28754</v>
      </c>
      <c r="K3557" s="41" t="s">
        <v>28755</v>
      </c>
      <c r="L3557" s="41" t="s">
        <v>1094</v>
      </c>
    </row>
    <row r="3558" spans="1:19" x14ac:dyDescent="0.25">
      <c r="A3558" s="41" t="s">
        <v>908</v>
      </c>
      <c r="B3558" s="41" t="s">
        <v>28756</v>
      </c>
    </row>
    <row r="3559" spans="1:19" x14ac:dyDescent="0.25">
      <c r="A3559" s="41" t="s">
        <v>23</v>
      </c>
      <c r="B3559" s="41" t="s">
        <v>28757</v>
      </c>
      <c r="F3559" s="41" t="s">
        <v>28758</v>
      </c>
      <c r="G3559" s="41" t="s">
        <v>28759</v>
      </c>
      <c r="H3559" s="41" t="s">
        <v>28760</v>
      </c>
      <c r="I3559" s="41" t="s">
        <v>28761</v>
      </c>
      <c r="J3559" s="41" t="s">
        <v>28762</v>
      </c>
      <c r="L3559" s="41" t="s">
        <v>4</v>
      </c>
    </row>
    <row r="3560" spans="1:19" x14ac:dyDescent="0.25">
      <c r="A3560" s="41" t="s">
        <v>23</v>
      </c>
      <c r="B3560" s="41" t="s">
        <v>28763</v>
      </c>
      <c r="D3560" s="41" t="s">
        <v>28596</v>
      </c>
      <c r="E3560" s="41" t="s">
        <v>28765</v>
      </c>
      <c r="F3560" s="41" t="s">
        <v>28766</v>
      </c>
      <c r="G3560" s="41" t="s">
        <v>28767</v>
      </c>
      <c r="H3560" s="41" t="s">
        <v>28768</v>
      </c>
      <c r="I3560" s="41" t="s">
        <v>28769</v>
      </c>
      <c r="J3560" s="41" t="s">
        <v>28770</v>
      </c>
      <c r="K3560" s="41" t="s">
        <v>28771</v>
      </c>
      <c r="L3560" s="41" t="s">
        <v>28772</v>
      </c>
      <c r="M3560" s="41" t="s">
        <v>28773</v>
      </c>
      <c r="N3560" s="41" t="s">
        <v>28774</v>
      </c>
      <c r="O3560" s="41" t="s">
        <v>28775</v>
      </c>
      <c r="P3560" s="41" t="s">
        <v>28776</v>
      </c>
      <c r="Q3560" s="41" t="s">
        <v>28777</v>
      </c>
      <c r="R3560" s="41" t="s">
        <v>28778</v>
      </c>
      <c r="S3560" s="41" t="s">
        <v>28779</v>
      </c>
    </row>
    <row r="3561" spans="1:19" x14ac:dyDescent="0.25">
      <c r="A3561" s="41" t="s">
        <v>23</v>
      </c>
      <c r="B3561" s="41" t="s">
        <v>28780</v>
      </c>
      <c r="D3561" s="41" t="s">
        <v>28781</v>
      </c>
      <c r="F3561" s="41" t="s">
        <v>28782</v>
      </c>
      <c r="G3561" s="41" t="s">
        <v>28783</v>
      </c>
      <c r="H3561" s="41" t="s">
        <v>28784</v>
      </c>
      <c r="I3561" s="41" t="s">
        <v>28785</v>
      </c>
      <c r="J3561" s="41" t="s">
        <v>28786</v>
      </c>
      <c r="K3561" s="41" t="s">
        <v>28787</v>
      </c>
      <c r="L3561" s="41" t="s">
        <v>891</v>
      </c>
    </row>
    <row r="3562" spans="1:19" x14ac:dyDescent="0.25">
      <c r="A3562" s="41" t="s">
        <v>23</v>
      </c>
      <c r="B3562" s="41" t="s">
        <v>28788</v>
      </c>
      <c r="D3562" s="41" t="s">
        <v>28789</v>
      </c>
      <c r="F3562" s="41" t="s">
        <v>28790</v>
      </c>
      <c r="G3562" s="41" t="s">
        <v>28791</v>
      </c>
      <c r="H3562" s="41" t="s">
        <v>28792</v>
      </c>
      <c r="I3562" s="41" t="s">
        <v>28793</v>
      </c>
      <c r="J3562" s="41" t="s">
        <v>28794</v>
      </c>
      <c r="K3562" s="41" t="s">
        <v>28795</v>
      </c>
      <c r="L3562" s="41" t="s">
        <v>1076</v>
      </c>
    </row>
    <row r="3563" spans="1:19" x14ac:dyDescent="0.25">
      <c r="A3563" s="41" t="s">
        <v>23</v>
      </c>
      <c r="B3563" s="41" t="s">
        <v>28796</v>
      </c>
      <c r="D3563" s="41" t="s">
        <v>28797</v>
      </c>
      <c r="F3563" s="41" t="s">
        <v>28798</v>
      </c>
      <c r="G3563" s="41" t="s">
        <v>28799</v>
      </c>
      <c r="H3563" s="41" t="s">
        <v>28800</v>
      </c>
      <c r="I3563" s="41" t="s">
        <v>28801</v>
      </c>
      <c r="J3563" s="41" t="s">
        <v>28802</v>
      </c>
      <c r="K3563" s="41" t="s">
        <v>28803</v>
      </c>
      <c r="L3563" s="41" t="s">
        <v>1085</v>
      </c>
    </row>
    <row r="3564" spans="1:19" x14ac:dyDescent="0.25">
      <c r="A3564" s="41" t="s">
        <v>23</v>
      </c>
      <c r="B3564" s="41" t="s">
        <v>28804</v>
      </c>
      <c r="D3564" s="41" t="s">
        <v>28805</v>
      </c>
      <c r="F3564" s="41" t="s">
        <v>28806</v>
      </c>
      <c r="G3564" s="41" t="s">
        <v>28807</v>
      </c>
      <c r="H3564" s="41" t="s">
        <v>28808</v>
      </c>
      <c r="I3564" s="41" t="s">
        <v>28809</v>
      </c>
      <c r="J3564" s="41" t="s">
        <v>28810</v>
      </c>
      <c r="K3564" s="41" t="s">
        <v>28811</v>
      </c>
      <c r="L3564" s="41" t="s">
        <v>1094</v>
      </c>
    </row>
    <row r="3565" spans="1:19" x14ac:dyDescent="0.25">
      <c r="A3565" s="41" t="s">
        <v>908</v>
      </c>
      <c r="B3565" s="41" t="s">
        <v>28812</v>
      </c>
    </row>
    <row r="3566" spans="1:19" x14ac:dyDescent="0.25">
      <c r="A3566" s="41" t="s">
        <v>23</v>
      </c>
      <c r="B3566" s="41" t="s">
        <v>28813</v>
      </c>
      <c r="F3566" s="41" t="s">
        <v>28814</v>
      </c>
      <c r="G3566" s="41" t="s">
        <v>28815</v>
      </c>
      <c r="H3566" s="41" t="s">
        <v>28816</v>
      </c>
      <c r="I3566" s="41" t="s">
        <v>28817</v>
      </c>
      <c r="J3566" s="41" t="s">
        <v>28818</v>
      </c>
      <c r="L3566" s="41" t="s">
        <v>4</v>
      </c>
    </row>
    <row r="3567" spans="1:19" x14ac:dyDescent="0.25">
      <c r="A3567" s="41" t="s">
        <v>23</v>
      </c>
      <c r="B3567" s="41" t="s">
        <v>28819</v>
      </c>
      <c r="D3567" s="41" t="s">
        <v>28652</v>
      </c>
      <c r="E3567" s="41" t="s">
        <v>28821</v>
      </c>
      <c r="F3567" s="41" t="s">
        <v>28822</v>
      </c>
      <c r="G3567" s="41" t="s">
        <v>28823</v>
      </c>
      <c r="H3567" s="41" t="s">
        <v>28824</v>
      </c>
      <c r="I3567" s="41" t="s">
        <v>28825</v>
      </c>
      <c r="J3567" s="41" t="s">
        <v>28826</v>
      </c>
      <c r="K3567" s="41" t="s">
        <v>28827</v>
      </c>
      <c r="L3567" s="41" t="s">
        <v>28828</v>
      </c>
      <c r="M3567" s="41" t="s">
        <v>28829</v>
      </c>
      <c r="N3567" s="41" t="s">
        <v>28830</v>
      </c>
      <c r="O3567" s="41" t="s">
        <v>28831</v>
      </c>
      <c r="P3567" s="41" t="s">
        <v>28832</v>
      </c>
      <c r="Q3567" s="41" t="s">
        <v>28833</v>
      </c>
      <c r="R3567" s="41" t="s">
        <v>28834</v>
      </c>
      <c r="S3567" s="41" t="s">
        <v>28835</v>
      </c>
    </row>
    <row r="3568" spans="1:19" x14ac:dyDescent="0.25">
      <c r="A3568" s="41" t="s">
        <v>23</v>
      </c>
      <c r="B3568" s="41" t="s">
        <v>28836</v>
      </c>
      <c r="D3568" s="41" t="s">
        <v>28837</v>
      </c>
      <c r="F3568" s="41" t="s">
        <v>28838</v>
      </c>
      <c r="G3568" s="41" t="s">
        <v>28839</v>
      </c>
      <c r="H3568" s="41" t="s">
        <v>28840</v>
      </c>
      <c r="I3568" s="41" t="s">
        <v>28841</v>
      </c>
      <c r="J3568" s="41" t="s">
        <v>28842</v>
      </c>
      <c r="K3568" s="41" t="s">
        <v>28843</v>
      </c>
      <c r="L3568" s="41" t="s">
        <v>891</v>
      </c>
    </row>
    <row r="3569" spans="1:19" x14ac:dyDescent="0.25">
      <c r="A3569" s="41" t="s">
        <v>23</v>
      </c>
      <c r="B3569" s="41" t="s">
        <v>28844</v>
      </c>
      <c r="D3569" s="41" t="s">
        <v>28845</v>
      </c>
      <c r="F3569" s="41" t="s">
        <v>28846</v>
      </c>
      <c r="G3569" s="41" t="s">
        <v>28847</v>
      </c>
      <c r="H3569" s="41" t="s">
        <v>28848</v>
      </c>
      <c r="I3569" s="41" t="s">
        <v>28849</v>
      </c>
      <c r="J3569" s="41" t="s">
        <v>28850</v>
      </c>
      <c r="K3569" s="41" t="s">
        <v>28851</v>
      </c>
      <c r="L3569" s="41" t="s">
        <v>1076</v>
      </c>
    </row>
    <row r="3570" spans="1:19" x14ac:dyDescent="0.25">
      <c r="A3570" s="41" t="s">
        <v>23</v>
      </c>
      <c r="B3570" s="41" t="s">
        <v>28852</v>
      </c>
      <c r="D3570" s="41" t="s">
        <v>28853</v>
      </c>
      <c r="F3570" s="41" t="s">
        <v>28854</v>
      </c>
      <c r="G3570" s="41" t="s">
        <v>28855</v>
      </c>
      <c r="H3570" s="41" t="s">
        <v>28856</v>
      </c>
      <c r="I3570" s="41" t="s">
        <v>28857</v>
      </c>
      <c r="J3570" s="41" t="s">
        <v>28858</v>
      </c>
      <c r="K3570" s="41" t="s">
        <v>28859</v>
      </c>
      <c r="L3570" s="41" t="s">
        <v>1085</v>
      </c>
    </row>
    <row r="3571" spans="1:19" x14ac:dyDescent="0.25">
      <c r="A3571" s="41" t="s">
        <v>23</v>
      </c>
      <c r="B3571" s="41" t="s">
        <v>28860</v>
      </c>
      <c r="D3571" s="41" t="s">
        <v>28861</v>
      </c>
      <c r="F3571" s="41" t="s">
        <v>28862</v>
      </c>
      <c r="G3571" s="41" t="s">
        <v>28863</v>
      </c>
      <c r="H3571" s="41" t="s">
        <v>28864</v>
      </c>
      <c r="I3571" s="41" t="s">
        <v>28865</v>
      </c>
      <c r="J3571" s="41" t="s">
        <v>28866</v>
      </c>
      <c r="K3571" s="41" t="s">
        <v>28867</v>
      </c>
      <c r="L3571" s="41" t="s">
        <v>1094</v>
      </c>
    </row>
    <row r="3572" spans="1:19" x14ac:dyDescent="0.25">
      <c r="A3572" s="41" t="s">
        <v>908</v>
      </c>
      <c r="B3572" s="41" t="s">
        <v>28868</v>
      </c>
    </row>
    <row r="3573" spans="1:19" x14ac:dyDescent="0.25">
      <c r="A3573" s="41" t="s">
        <v>23</v>
      </c>
      <c r="B3573" s="41" t="s">
        <v>28869</v>
      </c>
      <c r="F3573" s="41" t="s">
        <v>28870</v>
      </c>
      <c r="G3573" s="41" t="s">
        <v>28871</v>
      </c>
      <c r="H3573" s="41" t="s">
        <v>28872</v>
      </c>
      <c r="I3573" s="41" t="s">
        <v>28873</v>
      </c>
      <c r="J3573" s="41" t="s">
        <v>28874</v>
      </c>
      <c r="L3573" s="41" t="s">
        <v>4</v>
      </c>
    </row>
    <row r="3574" spans="1:19" x14ac:dyDescent="0.25">
      <c r="A3574" s="41" t="s">
        <v>23</v>
      </c>
      <c r="B3574" s="41" t="s">
        <v>28875</v>
      </c>
      <c r="D3574" s="41" t="s">
        <v>28708</v>
      </c>
      <c r="E3574" s="41" t="s">
        <v>28877</v>
      </c>
      <c r="F3574" s="41" t="s">
        <v>28878</v>
      </c>
      <c r="G3574" s="41" t="s">
        <v>28879</v>
      </c>
      <c r="H3574" s="41" t="s">
        <v>28880</v>
      </c>
      <c r="I3574" s="41" t="s">
        <v>28881</v>
      </c>
      <c r="J3574" s="41" t="s">
        <v>28882</v>
      </c>
      <c r="K3574" s="41" t="s">
        <v>28883</v>
      </c>
      <c r="L3574" s="41" t="s">
        <v>28884</v>
      </c>
      <c r="M3574" s="41" t="s">
        <v>28885</v>
      </c>
      <c r="N3574" s="41" t="s">
        <v>28886</v>
      </c>
      <c r="O3574" s="41" t="s">
        <v>28887</v>
      </c>
      <c r="P3574" s="41" t="s">
        <v>28888</v>
      </c>
      <c r="Q3574" s="41" t="s">
        <v>28889</v>
      </c>
      <c r="R3574" s="41" t="s">
        <v>28890</v>
      </c>
      <c r="S3574" s="41" t="s">
        <v>28891</v>
      </c>
    </row>
    <row r="3575" spans="1:19" x14ac:dyDescent="0.25">
      <c r="A3575" s="41" t="s">
        <v>23</v>
      </c>
      <c r="B3575" s="41" t="s">
        <v>28892</v>
      </c>
      <c r="D3575" s="41" t="s">
        <v>28893</v>
      </c>
      <c r="F3575" s="41" t="s">
        <v>28894</v>
      </c>
      <c r="G3575" s="41" t="s">
        <v>28895</v>
      </c>
      <c r="H3575" s="41" t="s">
        <v>28896</v>
      </c>
      <c r="I3575" s="41" t="s">
        <v>28897</v>
      </c>
      <c r="J3575" s="41" t="s">
        <v>28898</v>
      </c>
      <c r="K3575" s="41" t="s">
        <v>28899</v>
      </c>
      <c r="L3575" s="41" t="s">
        <v>891</v>
      </c>
    </row>
    <row r="3576" spans="1:19" x14ac:dyDescent="0.25">
      <c r="A3576" s="41" t="s">
        <v>23</v>
      </c>
      <c r="B3576" s="41" t="s">
        <v>28900</v>
      </c>
      <c r="D3576" s="41" t="s">
        <v>28901</v>
      </c>
      <c r="F3576" s="41" t="s">
        <v>28902</v>
      </c>
      <c r="G3576" s="41" t="s">
        <v>28903</v>
      </c>
      <c r="H3576" s="41" t="s">
        <v>28904</v>
      </c>
      <c r="I3576" s="41" t="s">
        <v>28905</v>
      </c>
      <c r="J3576" s="41" t="s">
        <v>28906</v>
      </c>
      <c r="K3576" s="41" t="s">
        <v>28907</v>
      </c>
      <c r="L3576" s="41" t="s">
        <v>1076</v>
      </c>
    </row>
    <row r="3577" spans="1:19" x14ac:dyDescent="0.25">
      <c r="A3577" s="41" t="s">
        <v>23</v>
      </c>
      <c r="B3577" s="41" t="s">
        <v>28908</v>
      </c>
      <c r="D3577" s="41" t="s">
        <v>28909</v>
      </c>
      <c r="F3577" s="41" t="s">
        <v>28910</v>
      </c>
      <c r="G3577" s="41" t="s">
        <v>28911</v>
      </c>
      <c r="H3577" s="41" t="s">
        <v>28912</v>
      </c>
      <c r="I3577" s="41" t="s">
        <v>28913</v>
      </c>
      <c r="J3577" s="41" t="s">
        <v>28914</v>
      </c>
      <c r="K3577" s="41" t="s">
        <v>28915</v>
      </c>
      <c r="L3577" s="41" t="s">
        <v>1085</v>
      </c>
    </row>
    <row r="3578" spans="1:19" x14ac:dyDescent="0.25">
      <c r="A3578" s="41" t="s">
        <v>23</v>
      </c>
      <c r="B3578" s="41" t="s">
        <v>28916</v>
      </c>
      <c r="D3578" s="41" t="s">
        <v>28917</v>
      </c>
      <c r="F3578" s="41" t="s">
        <v>28918</v>
      </c>
      <c r="G3578" s="41" t="s">
        <v>28919</v>
      </c>
      <c r="H3578" s="41" t="s">
        <v>28920</v>
      </c>
      <c r="I3578" s="41" t="s">
        <v>28921</v>
      </c>
      <c r="J3578" s="41" t="s">
        <v>28922</v>
      </c>
      <c r="K3578" s="41" t="s">
        <v>28923</v>
      </c>
      <c r="L3578" s="41" t="s">
        <v>1094</v>
      </c>
    </row>
    <row r="3579" spans="1:19" x14ac:dyDescent="0.25">
      <c r="A3579" s="41" t="s">
        <v>908</v>
      </c>
      <c r="B3579" s="41" t="s">
        <v>28924</v>
      </c>
    </row>
    <row r="3580" spans="1:19" x14ac:dyDescent="0.25">
      <c r="A3580" s="41" t="s">
        <v>23</v>
      </c>
      <c r="B3580" s="41" t="s">
        <v>28925</v>
      </c>
      <c r="F3580" s="41" t="s">
        <v>28926</v>
      </c>
      <c r="G3580" s="41" t="s">
        <v>28927</v>
      </c>
      <c r="H3580" s="41" t="s">
        <v>28928</v>
      </c>
      <c r="I3580" s="41" t="s">
        <v>28929</v>
      </c>
      <c r="J3580" s="41" t="s">
        <v>28930</v>
      </c>
      <c r="L3580" s="41" t="s">
        <v>4</v>
      </c>
    </row>
    <row r="3581" spans="1:19" x14ac:dyDescent="0.25">
      <c r="A3581" s="41" t="s">
        <v>23</v>
      </c>
      <c r="B3581" s="41" t="s">
        <v>28931</v>
      </c>
      <c r="D3581" s="41" t="s">
        <v>28764</v>
      </c>
      <c r="E3581" s="41" t="s">
        <v>28933</v>
      </c>
      <c r="F3581" s="41" t="s">
        <v>28934</v>
      </c>
      <c r="G3581" s="41" t="s">
        <v>28935</v>
      </c>
      <c r="H3581" s="41" t="s">
        <v>28936</v>
      </c>
      <c r="I3581" s="41" t="s">
        <v>28937</v>
      </c>
      <c r="J3581" s="41" t="s">
        <v>28938</v>
      </c>
      <c r="K3581" s="41" t="s">
        <v>28939</v>
      </c>
      <c r="L3581" s="41" t="s">
        <v>28940</v>
      </c>
      <c r="M3581" s="41" t="s">
        <v>28941</v>
      </c>
      <c r="N3581" s="41" t="s">
        <v>28942</v>
      </c>
      <c r="O3581" s="41" t="s">
        <v>28943</v>
      </c>
      <c r="P3581" s="41" t="s">
        <v>28944</v>
      </c>
      <c r="Q3581" s="41" t="s">
        <v>28945</v>
      </c>
      <c r="R3581" s="41" t="s">
        <v>28946</v>
      </c>
      <c r="S3581" s="41" t="s">
        <v>28947</v>
      </c>
    </row>
    <row r="3582" spans="1:19" x14ac:dyDescent="0.25">
      <c r="A3582" s="41" t="s">
        <v>23</v>
      </c>
      <c r="B3582" s="41" t="s">
        <v>28948</v>
      </c>
      <c r="D3582" s="41" t="s">
        <v>28949</v>
      </c>
      <c r="F3582" s="41" t="s">
        <v>28950</v>
      </c>
      <c r="G3582" s="41" t="s">
        <v>28951</v>
      </c>
      <c r="H3582" s="41" t="s">
        <v>28952</v>
      </c>
      <c r="I3582" s="41" t="s">
        <v>28953</v>
      </c>
      <c r="J3582" s="41" t="s">
        <v>28954</v>
      </c>
      <c r="K3582" s="41" t="s">
        <v>28955</v>
      </c>
      <c r="L3582" s="41" t="s">
        <v>891</v>
      </c>
    </row>
    <row r="3583" spans="1:19" x14ac:dyDescent="0.25">
      <c r="A3583" s="41" t="s">
        <v>23</v>
      </c>
      <c r="B3583" s="41" t="s">
        <v>28956</v>
      </c>
      <c r="D3583" s="41" t="s">
        <v>28957</v>
      </c>
      <c r="F3583" s="41" t="s">
        <v>28958</v>
      </c>
      <c r="G3583" s="41" t="s">
        <v>28959</v>
      </c>
      <c r="H3583" s="41" t="s">
        <v>28960</v>
      </c>
      <c r="I3583" s="41" t="s">
        <v>28961</v>
      </c>
      <c r="J3583" s="41" t="s">
        <v>28962</v>
      </c>
      <c r="K3583" s="41" t="s">
        <v>28963</v>
      </c>
      <c r="L3583" s="41" t="s">
        <v>1076</v>
      </c>
    </row>
    <row r="3584" spans="1:19" x14ac:dyDescent="0.25">
      <c r="A3584" s="41" t="s">
        <v>23</v>
      </c>
      <c r="B3584" s="41" t="s">
        <v>28964</v>
      </c>
      <c r="D3584" s="41" t="s">
        <v>28965</v>
      </c>
      <c r="F3584" s="41" t="s">
        <v>28966</v>
      </c>
      <c r="G3584" s="41" t="s">
        <v>28967</v>
      </c>
      <c r="H3584" s="41" t="s">
        <v>28968</v>
      </c>
      <c r="I3584" s="41" t="s">
        <v>28969</v>
      </c>
      <c r="J3584" s="41" t="s">
        <v>28970</v>
      </c>
      <c r="K3584" s="41" t="s">
        <v>28971</v>
      </c>
      <c r="L3584" s="41" t="s">
        <v>1085</v>
      </c>
    </row>
    <row r="3585" spans="1:19" x14ac:dyDescent="0.25">
      <c r="A3585" s="41" t="s">
        <v>23</v>
      </c>
      <c r="B3585" s="41" t="s">
        <v>28972</v>
      </c>
      <c r="D3585" s="41" t="s">
        <v>28973</v>
      </c>
      <c r="F3585" s="41" t="s">
        <v>28974</v>
      </c>
      <c r="G3585" s="41" t="s">
        <v>28975</v>
      </c>
      <c r="H3585" s="41" t="s">
        <v>28976</v>
      </c>
      <c r="I3585" s="41" t="s">
        <v>28977</v>
      </c>
      <c r="J3585" s="41" t="s">
        <v>28978</v>
      </c>
      <c r="K3585" s="41" t="s">
        <v>28979</v>
      </c>
      <c r="L3585" s="41" t="s">
        <v>1094</v>
      </c>
    </row>
    <row r="3586" spans="1:19" x14ac:dyDescent="0.25">
      <c r="A3586" s="41" t="s">
        <v>908</v>
      </c>
      <c r="B3586" s="41" t="s">
        <v>28980</v>
      </c>
    </row>
    <row r="3587" spans="1:19" x14ac:dyDescent="0.25">
      <c r="A3587" s="41" t="s">
        <v>23</v>
      </c>
      <c r="B3587" s="41" t="s">
        <v>28981</v>
      </c>
      <c r="F3587" s="41" t="s">
        <v>28982</v>
      </c>
      <c r="G3587" s="41" t="s">
        <v>28983</v>
      </c>
      <c r="H3587" s="41" t="s">
        <v>28984</v>
      </c>
      <c r="I3587" s="41" t="s">
        <v>28985</v>
      </c>
      <c r="J3587" s="41" t="s">
        <v>28986</v>
      </c>
      <c r="L3587" s="41" t="s">
        <v>4</v>
      </c>
    </row>
    <row r="3588" spans="1:19" x14ac:dyDescent="0.25">
      <c r="A3588" s="41" t="s">
        <v>23</v>
      </c>
      <c r="B3588" s="41" t="s">
        <v>28987</v>
      </c>
      <c r="D3588" s="41" t="s">
        <v>28820</v>
      </c>
      <c r="E3588" s="41" t="s">
        <v>28989</v>
      </c>
      <c r="F3588" s="41" t="s">
        <v>28990</v>
      </c>
      <c r="G3588" s="41" t="s">
        <v>28991</v>
      </c>
      <c r="H3588" s="41" t="s">
        <v>28992</v>
      </c>
      <c r="I3588" s="41" t="s">
        <v>28993</v>
      </c>
      <c r="J3588" s="41" t="s">
        <v>28994</v>
      </c>
      <c r="K3588" s="41" t="s">
        <v>28995</v>
      </c>
      <c r="L3588" s="41" t="s">
        <v>28996</v>
      </c>
      <c r="M3588" s="41" t="s">
        <v>28997</v>
      </c>
      <c r="N3588" s="41" t="s">
        <v>28998</v>
      </c>
      <c r="O3588" s="41" t="s">
        <v>28999</v>
      </c>
      <c r="P3588" s="41" t="s">
        <v>29000</v>
      </c>
      <c r="Q3588" s="41" t="s">
        <v>29001</v>
      </c>
      <c r="R3588" s="41" t="s">
        <v>29002</v>
      </c>
      <c r="S3588" s="41" t="s">
        <v>29003</v>
      </c>
    </row>
    <row r="3589" spans="1:19" x14ac:dyDescent="0.25">
      <c r="A3589" s="41" t="s">
        <v>23</v>
      </c>
      <c r="B3589" s="41" t="s">
        <v>29004</v>
      </c>
      <c r="D3589" s="41" t="s">
        <v>29005</v>
      </c>
      <c r="F3589" s="41" t="s">
        <v>29006</v>
      </c>
      <c r="G3589" s="41" t="s">
        <v>29007</v>
      </c>
      <c r="H3589" s="41" t="s">
        <v>29008</v>
      </c>
      <c r="I3589" s="41" t="s">
        <v>29009</v>
      </c>
      <c r="J3589" s="41" t="s">
        <v>29010</v>
      </c>
      <c r="K3589" s="41" t="s">
        <v>29011</v>
      </c>
      <c r="L3589" s="41" t="s">
        <v>891</v>
      </c>
    </row>
    <row r="3590" spans="1:19" x14ac:dyDescent="0.25">
      <c r="A3590" s="41" t="s">
        <v>23</v>
      </c>
      <c r="B3590" s="41" t="s">
        <v>29012</v>
      </c>
      <c r="D3590" s="41" t="s">
        <v>29013</v>
      </c>
      <c r="F3590" s="41" t="s">
        <v>29014</v>
      </c>
      <c r="G3590" s="41" t="s">
        <v>29015</v>
      </c>
      <c r="H3590" s="41" t="s">
        <v>29016</v>
      </c>
      <c r="I3590" s="41" t="s">
        <v>29017</v>
      </c>
      <c r="J3590" s="41" t="s">
        <v>29018</v>
      </c>
      <c r="K3590" s="41" t="s">
        <v>29019</v>
      </c>
      <c r="L3590" s="41" t="s">
        <v>1076</v>
      </c>
    </row>
    <row r="3591" spans="1:19" x14ac:dyDescent="0.25">
      <c r="A3591" s="41" t="s">
        <v>23</v>
      </c>
      <c r="B3591" s="41" t="s">
        <v>29020</v>
      </c>
      <c r="D3591" s="41" t="s">
        <v>29021</v>
      </c>
      <c r="F3591" s="41" t="s">
        <v>29022</v>
      </c>
      <c r="G3591" s="41" t="s">
        <v>29023</v>
      </c>
      <c r="H3591" s="41" t="s">
        <v>29024</v>
      </c>
      <c r="I3591" s="41" t="s">
        <v>29025</v>
      </c>
      <c r="J3591" s="41" t="s">
        <v>29026</v>
      </c>
      <c r="K3591" s="41" t="s">
        <v>29027</v>
      </c>
      <c r="L3591" s="41" t="s">
        <v>1085</v>
      </c>
    </row>
    <row r="3592" spans="1:19" x14ac:dyDescent="0.25">
      <c r="A3592" s="41" t="s">
        <v>23</v>
      </c>
      <c r="B3592" s="41" t="s">
        <v>29028</v>
      </c>
      <c r="D3592" s="41" t="s">
        <v>29029</v>
      </c>
      <c r="F3592" s="41" t="s">
        <v>29030</v>
      </c>
      <c r="G3592" s="41" t="s">
        <v>29031</v>
      </c>
      <c r="H3592" s="41" t="s">
        <v>29032</v>
      </c>
      <c r="I3592" s="41" t="s">
        <v>29033</v>
      </c>
      <c r="J3592" s="41" t="s">
        <v>29034</v>
      </c>
      <c r="K3592" s="41" t="s">
        <v>29035</v>
      </c>
      <c r="L3592" s="41" t="s">
        <v>1094</v>
      </c>
    </row>
    <row r="3593" spans="1:19" x14ac:dyDescent="0.25">
      <c r="A3593" s="41" t="s">
        <v>908</v>
      </c>
      <c r="B3593" s="41" t="s">
        <v>29036</v>
      </c>
    </row>
    <row r="3594" spans="1:19" x14ac:dyDescent="0.25">
      <c r="A3594" s="41" t="s">
        <v>23</v>
      </c>
      <c r="B3594" s="41" t="s">
        <v>29037</v>
      </c>
      <c r="F3594" s="41" t="s">
        <v>29038</v>
      </c>
      <c r="G3594" s="41" t="s">
        <v>29039</v>
      </c>
      <c r="H3594" s="41" t="s">
        <v>29040</v>
      </c>
      <c r="I3594" s="41" t="s">
        <v>29041</v>
      </c>
      <c r="J3594" s="41" t="s">
        <v>29042</v>
      </c>
      <c r="L3594" s="41" t="s">
        <v>4</v>
      </c>
    </row>
    <row r="3595" spans="1:19" x14ac:dyDescent="0.25">
      <c r="A3595" s="41" t="s">
        <v>23</v>
      </c>
      <c r="B3595" s="41" t="s">
        <v>29043</v>
      </c>
      <c r="D3595" s="41" t="s">
        <v>28876</v>
      </c>
      <c r="E3595" s="41" t="s">
        <v>29045</v>
      </c>
      <c r="F3595" s="41" t="s">
        <v>29046</v>
      </c>
      <c r="G3595" s="41" t="s">
        <v>29047</v>
      </c>
      <c r="H3595" s="41" t="s">
        <v>29048</v>
      </c>
      <c r="I3595" s="41" t="s">
        <v>29049</v>
      </c>
      <c r="J3595" s="41" t="s">
        <v>29050</v>
      </c>
      <c r="K3595" s="41" t="s">
        <v>29051</v>
      </c>
      <c r="L3595" s="41" t="s">
        <v>29052</v>
      </c>
      <c r="M3595" s="41" t="s">
        <v>29053</v>
      </c>
      <c r="N3595" s="41" t="s">
        <v>29054</v>
      </c>
      <c r="O3595" s="41" t="s">
        <v>29055</v>
      </c>
      <c r="P3595" s="41" t="s">
        <v>29056</v>
      </c>
      <c r="Q3595" s="41" t="s">
        <v>29057</v>
      </c>
      <c r="R3595" s="41" t="s">
        <v>29058</v>
      </c>
      <c r="S3595" s="41" t="s">
        <v>29059</v>
      </c>
    </row>
    <row r="3596" spans="1:19" x14ac:dyDescent="0.25">
      <c r="A3596" s="41" t="s">
        <v>23</v>
      </c>
      <c r="B3596" s="41" t="s">
        <v>29060</v>
      </c>
      <c r="D3596" s="41" t="s">
        <v>29061</v>
      </c>
      <c r="F3596" s="41" t="s">
        <v>29062</v>
      </c>
      <c r="G3596" s="41" t="s">
        <v>29063</v>
      </c>
      <c r="H3596" s="41" t="s">
        <v>29064</v>
      </c>
      <c r="I3596" s="41" t="s">
        <v>29065</v>
      </c>
      <c r="J3596" s="41" t="s">
        <v>29066</v>
      </c>
      <c r="K3596" s="41" t="s">
        <v>29067</v>
      </c>
      <c r="L3596" s="41" t="s">
        <v>891</v>
      </c>
    </row>
    <row r="3597" spans="1:19" x14ac:dyDescent="0.25">
      <c r="A3597" s="41" t="s">
        <v>23</v>
      </c>
      <c r="B3597" s="41" t="s">
        <v>29068</v>
      </c>
      <c r="D3597" s="41" t="s">
        <v>29069</v>
      </c>
      <c r="F3597" s="41" t="s">
        <v>29070</v>
      </c>
      <c r="G3597" s="41" t="s">
        <v>29071</v>
      </c>
      <c r="H3597" s="41" t="s">
        <v>29072</v>
      </c>
      <c r="I3597" s="41" t="s">
        <v>29073</v>
      </c>
      <c r="J3597" s="41" t="s">
        <v>29074</v>
      </c>
      <c r="K3597" s="41" t="s">
        <v>29075</v>
      </c>
      <c r="L3597" s="41" t="s">
        <v>1076</v>
      </c>
    </row>
    <row r="3598" spans="1:19" x14ac:dyDescent="0.25">
      <c r="A3598" s="41" t="s">
        <v>23</v>
      </c>
      <c r="B3598" s="41" t="s">
        <v>29076</v>
      </c>
      <c r="D3598" s="41" t="s">
        <v>29077</v>
      </c>
      <c r="F3598" s="41" t="s">
        <v>29078</v>
      </c>
      <c r="G3598" s="41" t="s">
        <v>29079</v>
      </c>
      <c r="H3598" s="41" t="s">
        <v>29080</v>
      </c>
      <c r="I3598" s="41" t="s">
        <v>29081</v>
      </c>
      <c r="J3598" s="41" t="s">
        <v>29082</v>
      </c>
      <c r="K3598" s="41" t="s">
        <v>29083</v>
      </c>
      <c r="L3598" s="41" t="s">
        <v>1085</v>
      </c>
    </row>
    <row r="3599" spans="1:19" x14ac:dyDescent="0.25">
      <c r="A3599" s="41" t="s">
        <v>23</v>
      </c>
      <c r="B3599" s="41" t="s">
        <v>29084</v>
      </c>
      <c r="D3599" s="41" t="s">
        <v>29085</v>
      </c>
      <c r="F3599" s="41" t="s">
        <v>29086</v>
      </c>
      <c r="G3599" s="41" t="s">
        <v>29087</v>
      </c>
      <c r="H3599" s="41" t="s">
        <v>29088</v>
      </c>
      <c r="I3599" s="41" t="s">
        <v>29089</v>
      </c>
      <c r="J3599" s="41" t="s">
        <v>29090</v>
      </c>
      <c r="K3599" s="41" t="s">
        <v>29091</v>
      </c>
      <c r="L3599" s="41" t="s">
        <v>1094</v>
      </c>
    </row>
    <row r="3600" spans="1:19" x14ac:dyDescent="0.25">
      <c r="A3600" s="41" t="s">
        <v>908</v>
      </c>
      <c r="B3600" s="41" t="s">
        <v>29092</v>
      </c>
    </row>
    <row r="3601" spans="1:19" x14ac:dyDescent="0.25">
      <c r="A3601" s="41" t="s">
        <v>23</v>
      </c>
      <c r="B3601" s="41" t="s">
        <v>29093</v>
      </c>
      <c r="F3601" s="41" t="s">
        <v>29094</v>
      </c>
      <c r="G3601" s="41" t="s">
        <v>29095</v>
      </c>
      <c r="H3601" s="41" t="s">
        <v>29096</v>
      </c>
      <c r="I3601" s="41" t="s">
        <v>29097</v>
      </c>
      <c r="J3601" s="41" t="s">
        <v>29098</v>
      </c>
      <c r="L3601" s="41" t="s">
        <v>4</v>
      </c>
    </row>
    <row r="3602" spans="1:19" x14ac:dyDescent="0.25">
      <c r="A3602" s="41" t="s">
        <v>23</v>
      </c>
      <c r="B3602" s="41" t="s">
        <v>29099</v>
      </c>
      <c r="D3602" s="41" t="s">
        <v>28932</v>
      </c>
      <c r="E3602" s="41" t="s">
        <v>29101</v>
      </c>
      <c r="F3602" s="41" t="s">
        <v>29102</v>
      </c>
      <c r="G3602" s="41" t="s">
        <v>29103</v>
      </c>
      <c r="H3602" s="41" t="s">
        <v>29104</v>
      </c>
      <c r="I3602" s="41" t="s">
        <v>29105</v>
      </c>
      <c r="J3602" s="41" t="s">
        <v>29106</v>
      </c>
      <c r="K3602" s="41" t="s">
        <v>29107</v>
      </c>
      <c r="L3602" s="41" t="s">
        <v>29108</v>
      </c>
      <c r="M3602" s="41" t="s">
        <v>29109</v>
      </c>
      <c r="N3602" s="41" t="s">
        <v>29110</v>
      </c>
      <c r="O3602" s="41" t="s">
        <v>29111</v>
      </c>
      <c r="P3602" s="41" t="s">
        <v>29112</v>
      </c>
      <c r="Q3602" s="41" t="s">
        <v>29113</v>
      </c>
      <c r="R3602" s="41" t="s">
        <v>29114</v>
      </c>
      <c r="S3602" s="41" t="s">
        <v>29115</v>
      </c>
    </row>
    <row r="3603" spans="1:19" x14ac:dyDescent="0.25">
      <c r="A3603" s="41" t="s">
        <v>23</v>
      </c>
      <c r="B3603" s="41" t="s">
        <v>29116</v>
      </c>
      <c r="D3603" s="41" t="s">
        <v>29117</v>
      </c>
      <c r="F3603" s="41" t="s">
        <v>29118</v>
      </c>
      <c r="G3603" s="41" t="s">
        <v>29119</v>
      </c>
      <c r="H3603" s="41" t="s">
        <v>29120</v>
      </c>
      <c r="I3603" s="41" t="s">
        <v>29121</v>
      </c>
      <c r="J3603" s="41" t="s">
        <v>29122</v>
      </c>
      <c r="K3603" s="41" t="s">
        <v>29123</v>
      </c>
      <c r="L3603" s="41" t="s">
        <v>891</v>
      </c>
    </row>
    <row r="3604" spans="1:19" x14ac:dyDescent="0.25">
      <c r="A3604" s="41" t="s">
        <v>23</v>
      </c>
      <c r="B3604" s="41" t="s">
        <v>29124</v>
      </c>
      <c r="D3604" s="41" t="s">
        <v>29125</v>
      </c>
      <c r="F3604" s="41" t="s">
        <v>29126</v>
      </c>
      <c r="G3604" s="41" t="s">
        <v>29127</v>
      </c>
      <c r="H3604" s="41" t="s">
        <v>29128</v>
      </c>
      <c r="I3604" s="41" t="s">
        <v>29129</v>
      </c>
      <c r="J3604" s="41" t="s">
        <v>29130</v>
      </c>
      <c r="K3604" s="41" t="s">
        <v>29131</v>
      </c>
      <c r="L3604" s="41" t="s">
        <v>1076</v>
      </c>
    </row>
    <row r="3605" spans="1:19" x14ac:dyDescent="0.25">
      <c r="A3605" s="41" t="s">
        <v>23</v>
      </c>
      <c r="B3605" s="41" t="s">
        <v>29132</v>
      </c>
      <c r="D3605" s="41" t="s">
        <v>29133</v>
      </c>
      <c r="F3605" s="41" t="s">
        <v>29134</v>
      </c>
      <c r="G3605" s="41" t="s">
        <v>29135</v>
      </c>
      <c r="H3605" s="41" t="s">
        <v>29136</v>
      </c>
      <c r="I3605" s="41" t="s">
        <v>29137</v>
      </c>
      <c r="J3605" s="41" t="s">
        <v>29138</v>
      </c>
      <c r="K3605" s="41" t="s">
        <v>29139</v>
      </c>
      <c r="L3605" s="41" t="s">
        <v>1085</v>
      </c>
    </row>
    <row r="3606" spans="1:19" x14ac:dyDescent="0.25">
      <c r="A3606" s="41" t="s">
        <v>23</v>
      </c>
      <c r="B3606" s="41" t="s">
        <v>29140</v>
      </c>
      <c r="D3606" s="41" t="s">
        <v>29141</v>
      </c>
      <c r="F3606" s="41" t="s">
        <v>29142</v>
      </c>
      <c r="G3606" s="41" t="s">
        <v>29143</v>
      </c>
      <c r="H3606" s="41" t="s">
        <v>29144</v>
      </c>
      <c r="I3606" s="41" t="s">
        <v>29145</v>
      </c>
      <c r="J3606" s="41" t="s">
        <v>29146</v>
      </c>
      <c r="K3606" s="41" t="s">
        <v>29147</v>
      </c>
      <c r="L3606" s="41" t="s">
        <v>1094</v>
      </c>
    </row>
    <row r="3607" spans="1:19" x14ac:dyDescent="0.25">
      <c r="A3607" s="41" t="s">
        <v>908</v>
      </c>
      <c r="B3607" s="41" t="s">
        <v>29148</v>
      </c>
    </row>
    <row r="3608" spans="1:19" x14ac:dyDescent="0.25">
      <c r="A3608" s="41" t="s">
        <v>23</v>
      </c>
      <c r="B3608" s="41" t="s">
        <v>29149</v>
      </c>
      <c r="F3608" s="41" t="s">
        <v>29150</v>
      </c>
      <c r="G3608" s="41" t="s">
        <v>29151</v>
      </c>
      <c r="H3608" s="41" t="s">
        <v>29152</v>
      </c>
      <c r="I3608" s="41" t="s">
        <v>29153</v>
      </c>
      <c r="J3608" s="41" t="s">
        <v>29154</v>
      </c>
      <c r="L3608" s="41" t="s">
        <v>4</v>
      </c>
    </row>
    <row r="3609" spans="1:19" x14ac:dyDescent="0.25">
      <c r="A3609" s="41" t="s">
        <v>23</v>
      </c>
      <c r="B3609" s="41" t="s">
        <v>29155</v>
      </c>
      <c r="D3609" s="41" t="s">
        <v>28988</v>
      </c>
      <c r="E3609" s="41" t="s">
        <v>29157</v>
      </c>
      <c r="F3609" s="41" t="s">
        <v>29158</v>
      </c>
      <c r="G3609" s="41" t="s">
        <v>29159</v>
      </c>
      <c r="H3609" s="41" t="s">
        <v>29160</v>
      </c>
      <c r="I3609" s="41" t="s">
        <v>29161</v>
      </c>
      <c r="J3609" s="41" t="s">
        <v>29162</v>
      </c>
      <c r="K3609" s="41" t="s">
        <v>29163</v>
      </c>
      <c r="L3609" s="41" t="s">
        <v>29164</v>
      </c>
      <c r="M3609" s="41" t="s">
        <v>29165</v>
      </c>
      <c r="N3609" s="41" t="s">
        <v>29166</v>
      </c>
      <c r="O3609" s="41" t="s">
        <v>29167</v>
      </c>
      <c r="P3609" s="41" t="s">
        <v>29168</v>
      </c>
      <c r="Q3609" s="41" t="s">
        <v>29169</v>
      </c>
      <c r="R3609" s="41" t="s">
        <v>29170</v>
      </c>
      <c r="S3609" s="41" t="s">
        <v>29171</v>
      </c>
    </row>
    <row r="3610" spans="1:19" x14ac:dyDescent="0.25">
      <c r="A3610" s="41" t="s">
        <v>23</v>
      </c>
      <c r="B3610" s="41" t="s">
        <v>29172</v>
      </c>
      <c r="D3610" s="41" t="s">
        <v>29173</v>
      </c>
      <c r="F3610" s="41" t="s">
        <v>29174</v>
      </c>
      <c r="G3610" s="41" t="s">
        <v>29175</v>
      </c>
      <c r="H3610" s="41" t="s">
        <v>29176</v>
      </c>
      <c r="I3610" s="41" t="s">
        <v>29177</v>
      </c>
      <c r="J3610" s="41" t="s">
        <v>29178</v>
      </c>
      <c r="K3610" s="41" t="s">
        <v>29179</v>
      </c>
      <c r="L3610" s="41" t="s">
        <v>891</v>
      </c>
    </row>
    <row r="3611" spans="1:19" x14ac:dyDescent="0.25">
      <c r="A3611" s="41" t="s">
        <v>23</v>
      </c>
      <c r="B3611" s="41" t="s">
        <v>29180</v>
      </c>
      <c r="D3611" s="41" t="s">
        <v>29181</v>
      </c>
      <c r="F3611" s="41" t="s">
        <v>29182</v>
      </c>
      <c r="G3611" s="41" t="s">
        <v>29183</v>
      </c>
      <c r="H3611" s="41" t="s">
        <v>29184</v>
      </c>
      <c r="I3611" s="41" t="s">
        <v>29185</v>
      </c>
      <c r="J3611" s="41" t="s">
        <v>29186</v>
      </c>
      <c r="K3611" s="41" t="s">
        <v>29187</v>
      </c>
      <c r="L3611" s="41" t="s">
        <v>1076</v>
      </c>
    </row>
    <row r="3612" spans="1:19" x14ac:dyDescent="0.25">
      <c r="A3612" s="41" t="s">
        <v>23</v>
      </c>
      <c r="B3612" s="41" t="s">
        <v>29188</v>
      </c>
      <c r="D3612" s="41" t="s">
        <v>29189</v>
      </c>
      <c r="F3612" s="41" t="s">
        <v>29190</v>
      </c>
      <c r="G3612" s="41" t="s">
        <v>29191</v>
      </c>
      <c r="H3612" s="41" t="s">
        <v>29192</v>
      </c>
      <c r="I3612" s="41" t="s">
        <v>29193</v>
      </c>
      <c r="J3612" s="41" t="s">
        <v>29194</v>
      </c>
      <c r="K3612" s="41" t="s">
        <v>29195</v>
      </c>
      <c r="L3612" s="41" t="s">
        <v>1085</v>
      </c>
    </row>
    <row r="3613" spans="1:19" x14ac:dyDescent="0.25">
      <c r="A3613" s="41" t="s">
        <v>23</v>
      </c>
      <c r="B3613" s="41" t="s">
        <v>29196</v>
      </c>
      <c r="D3613" s="41" t="s">
        <v>29197</v>
      </c>
      <c r="F3613" s="41" t="s">
        <v>29198</v>
      </c>
      <c r="G3613" s="41" t="s">
        <v>29199</v>
      </c>
      <c r="H3613" s="41" t="s">
        <v>29200</v>
      </c>
      <c r="I3613" s="41" t="s">
        <v>29201</v>
      </c>
      <c r="J3613" s="41" t="s">
        <v>29202</v>
      </c>
      <c r="K3613" s="41" t="s">
        <v>29203</v>
      </c>
      <c r="L3613" s="41" t="s">
        <v>1094</v>
      </c>
    </row>
    <row r="3614" spans="1:19" x14ac:dyDescent="0.25">
      <c r="A3614" s="41" t="s">
        <v>908</v>
      </c>
      <c r="B3614" s="41" t="s">
        <v>29204</v>
      </c>
    </row>
    <row r="3615" spans="1:19" x14ac:dyDescent="0.25">
      <c r="A3615" s="41" t="s">
        <v>23</v>
      </c>
      <c r="B3615" s="41" t="s">
        <v>29205</v>
      </c>
      <c r="F3615" s="41" t="s">
        <v>29206</v>
      </c>
      <c r="G3615" s="41" t="s">
        <v>29207</v>
      </c>
      <c r="H3615" s="41" t="s">
        <v>29208</v>
      </c>
      <c r="I3615" s="41" t="s">
        <v>29209</v>
      </c>
      <c r="J3615" s="41" t="s">
        <v>29210</v>
      </c>
      <c r="L3615" s="41" t="s">
        <v>4</v>
      </c>
    </row>
    <row r="3616" spans="1:19" x14ac:dyDescent="0.25">
      <c r="A3616" s="41" t="s">
        <v>23</v>
      </c>
      <c r="B3616" s="41" t="s">
        <v>29211</v>
      </c>
      <c r="D3616" s="41" t="s">
        <v>29044</v>
      </c>
      <c r="E3616" s="41" t="s">
        <v>29213</v>
      </c>
      <c r="F3616" s="41" t="s">
        <v>29214</v>
      </c>
      <c r="G3616" s="41" t="s">
        <v>29215</v>
      </c>
      <c r="H3616" s="41" t="s">
        <v>29216</v>
      </c>
      <c r="I3616" s="41" t="s">
        <v>29217</v>
      </c>
      <c r="J3616" s="41" t="s">
        <v>29218</v>
      </c>
      <c r="K3616" s="41" t="s">
        <v>29219</v>
      </c>
      <c r="L3616" s="41" t="s">
        <v>29220</v>
      </c>
      <c r="M3616" s="41" t="s">
        <v>29221</v>
      </c>
      <c r="N3616" s="41" t="s">
        <v>29222</v>
      </c>
      <c r="O3616" s="41" t="s">
        <v>29223</v>
      </c>
      <c r="P3616" s="41" t="s">
        <v>29224</v>
      </c>
      <c r="Q3616" s="41" t="s">
        <v>29225</v>
      </c>
      <c r="R3616" s="41" t="s">
        <v>29226</v>
      </c>
      <c r="S3616" s="41" t="s">
        <v>29227</v>
      </c>
    </row>
    <row r="3617" spans="1:19" x14ac:dyDescent="0.25">
      <c r="A3617" s="41" t="s">
        <v>23</v>
      </c>
      <c r="B3617" s="41" t="s">
        <v>29228</v>
      </c>
      <c r="D3617" s="41" t="s">
        <v>29229</v>
      </c>
      <c r="F3617" s="41" t="s">
        <v>29230</v>
      </c>
      <c r="G3617" s="41" t="s">
        <v>29231</v>
      </c>
      <c r="H3617" s="41" t="s">
        <v>29232</v>
      </c>
      <c r="I3617" s="41" t="s">
        <v>29233</v>
      </c>
      <c r="J3617" s="41" t="s">
        <v>29234</v>
      </c>
      <c r="K3617" s="41" t="s">
        <v>29235</v>
      </c>
      <c r="L3617" s="41" t="s">
        <v>891</v>
      </c>
    </row>
    <row r="3618" spans="1:19" x14ac:dyDescent="0.25">
      <c r="A3618" s="41" t="s">
        <v>23</v>
      </c>
      <c r="B3618" s="41" t="s">
        <v>29236</v>
      </c>
      <c r="D3618" s="41" t="s">
        <v>29237</v>
      </c>
      <c r="F3618" s="41" t="s">
        <v>29238</v>
      </c>
      <c r="G3618" s="41" t="s">
        <v>29239</v>
      </c>
      <c r="H3618" s="41" t="s">
        <v>29240</v>
      </c>
      <c r="I3618" s="41" t="s">
        <v>29241</v>
      </c>
      <c r="J3618" s="41" t="s">
        <v>29242</v>
      </c>
      <c r="K3618" s="41" t="s">
        <v>29243</v>
      </c>
      <c r="L3618" s="41" t="s">
        <v>1076</v>
      </c>
    </row>
    <row r="3619" spans="1:19" x14ac:dyDescent="0.25">
      <c r="A3619" s="41" t="s">
        <v>23</v>
      </c>
      <c r="B3619" s="41" t="s">
        <v>29244</v>
      </c>
      <c r="D3619" s="41" t="s">
        <v>29245</v>
      </c>
      <c r="F3619" s="41" t="s">
        <v>29246</v>
      </c>
      <c r="G3619" s="41" t="s">
        <v>29247</v>
      </c>
      <c r="H3619" s="41" t="s">
        <v>29248</v>
      </c>
      <c r="I3619" s="41" t="s">
        <v>29249</v>
      </c>
      <c r="J3619" s="41" t="s">
        <v>29250</v>
      </c>
      <c r="K3619" s="41" t="s">
        <v>29251</v>
      </c>
      <c r="L3619" s="41" t="s">
        <v>1085</v>
      </c>
    </row>
    <row r="3620" spans="1:19" x14ac:dyDescent="0.25">
      <c r="A3620" s="41" t="s">
        <v>23</v>
      </c>
      <c r="B3620" s="41" t="s">
        <v>29252</v>
      </c>
      <c r="D3620" s="41" t="s">
        <v>29253</v>
      </c>
      <c r="F3620" s="41" t="s">
        <v>29254</v>
      </c>
      <c r="G3620" s="41" t="s">
        <v>29255</v>
      </c>
      <c r="H3620" s="41" t="s">
        <v>29256</v>
      </c>
      <c r="I3620" s="41" t="s">
        <v>29257</v>
      </c>
      <c r="J3620" s="41" t="s">
        <v>29258</v>
      </c>
      <c r="K3620" s="41" t="s">
        <v>29259</v>
      </c>
      <c r="L3620" s="41" t="s">
        <v>1094</v>
      </c>
    </row>
    <row r="3621" spans="1:19" x14ac:dyDescent="0.25">
      <c r="A3621" s="41" t="s">
        <v>908</v>
      </c>
      <c r="B3621" s="41" t="s">
        <v>29260</v>
      </c>
    </row>
    <row r="3622" spans="1:19" x14ac:dyDescent="0.25">
      <c r="A3622" s="41" t="s">
        <v>23</v>
      </c>
      <c r="B3622" s="41" t="s">
        <v>29261</v>
      </c>
      <c r="F3622" s="41" t="s">
        <v>29262</v>
      </c>
      <c r="G3622" s="41" t="s">
        <v>29263</v>
      </c>
      <c r="H3622" s="41" t="s">
        <v>29264</v>
      </c>
      <c r="I3622" s="41" t="s">
        <v>29265</v>
      </c>
      <c r="J3622" s="41" t="s">
        <v>29266</v>
      </c>
      <c r="L3622" s="41" t="s">
        <v>4</v>
      </c>
    </row>
    <row r="3623" spans="1:19" x14ac:dyDescent="0.25">
      <c r="A3623" s="41" t="s">
        <v>23</v>
      </c>
      <c r="B3623" s="41" t="s">
        <v>29267</v>
      </c>
      <c r="D3623" s="41" t="s">
        <v>29100</v>
      </c>
      <c r="E3623" s="41" t="s">
        <v>29269</v>
      </c>
      <c r="F3623" s="41" t="s">
        <v>29270</v>
      </c>
      <c r="G3623" s="41" t="s">
        <v>29271</v>
      </c>
      <c r="H3623" s="41" t="s">
        <v>29272</v>
      </c>
      <c r="I3623" s="41" t="s">
        <v>29273</v>
      </c>
      <c r="J3623" s="41" t="s">
        <v>29274</v>
      </c>
      <c r="K3623" s="41" t="s">
        <v>29275</v>
      </c>
      <c r="L3623" s="41" t="s">
        <v>29276</v>
      </c>
      <c r="M3623" s="41" t="s">
        <v>29277</v>
      </c>
      <c r="N3623" s="41" t="s">
        <v>29278</v>
      </c>
      <c r="O3623" s="41" t="s">
        <v>29279</v>
      </c>
      <c r="P3623" s="41" t="s">
        <v>29280</v>
      </c>
      <c r="Q3623" s="41" t="s">
        <v>29281</v>
      </c>
      <c r="R3623" s="41" t="s">
        <v>29282</v>
      </c>
      <c r="S3623" s="41" t="s">
        <v>29283</v>
      </c>
    </row>
    <row r="3624" spans="1:19" x14ac:dyDescent="0.25">
      <c r="A3624" s="41" t="s">
        <v>23</v>
      </c>
      <c r="B3624" s="41" t="s">
        <v>29284</v>
      </c>
      <c r="D3624" s="41" t="s">
        <v>29285</v>
      </c>
      <c r="F3624" s="41" t="s">
        <v>29286</v>
      </c>
      <c r="G3624" s="41" t="s">
        <v>29287</v>
      </c>
      <c r="H3624" s="41" t="s">
        <v>29288</v>
      </c>
      <c r="I3624" s="41" t="s">
        <v>29289</v>
      </c>
      <c r="J3624" s="41" t="s">
        <v>29290</v>
      </c>
      <c r="K3624" s="41" t="s">
        <v>29291</v>
      </c>
      <c r="L3624" s="41" t="s">
        <v>891</v>
      </c>
    </row>
    <row r="3625" spans="1:19" x14ac:dyDescent="0.25">
      <c r="A3625" s="41" t="s">
        <v>23</v>
      </c>
      <c r="B3625" s="41" t="s">
        <v>29292</v>
      </c>
      <c r="D3625" s="41" t="s">
        <v>29293</v>
      </c>
      <c r="F3625" s="41" t="s">
        <v>29294</v>
      </c>
      <c r="G3625" s="41" t="s">
        <v>29295</v>
      </c>
      <c r="H3625" s="41" t="s">
        <v>29296</v>
      </c>
      <c r="I3625" s="41" t="s">
        <v>29297</v>
      </c>
      <c r="J3625" s="41" t="s">
        <v>29298</v>
      </c>
      <c r="K3625" s="41" t="s">
        <v>29299</v>
      </c>
      <c r="L3625" s="41" t="s">
        <v>1076</v>
      </c>
    </row>
    <row r="3626" spans="1:19" x14ac:dyDescent="0.25">
      <c r="A3626" s="41" t="s">
        <v>23</v>
      </c>
      <c r="B3626" s="41" t="s">
        <v>29300</v>
      </c>
      <c r="D3626" s="41" t="s">
        <v>29301</v>
      </c>
      <c r="F3626" s="41" t="s">
        <v>29302</v>
      </c>
      <c r="G3626" s="41" t="s">
        <v>29303</v>
      </c>
      <c r="H3626" s="41" t="s">
        <v>29304</v>
      </c>
      <c r="I3626" s="41" t="s">
        <v>29305</v>
      </c>
      <c r="J3626" s="41" t="s">
        <v>29306</v>
      </c>
      <c r="K3626" s="41" t="s">
        <v>29307</v>
      </c>
      <c r="L3626" s="41" t="s">
        <v>1085</v>
      </c>
    </row>
    <row r="3627" spans="1:19" x14ac:dyDescent="0.25">
      <c r="A3627" s="41" t="s">
        <v>23</v>
      </c>
      <c r="B3627" s="41" t="s">
        <v>29308</v>
      </c>
      <c r="D3627" s="41" t="s">
        <v>29309</v>
      </c>
      <c r="F3627" s="41" t="s">
        <v>29310</v>
      </c>
      <c r="G3627" s="41" t="s">
        <v>29311</v>
      </c>
      <c r="H3627" s="41" t="s">
        <v>29312</v>
      </c>
      <c r="I3627" s="41" t="s">
        <v>29313</v>
      </c>
      <c r="J3627" s="41" t="s">
        <v>29314</v>
      </c>
      <c r="K3627" s="41" t="s">
        <v>29315</v>
      </c>
      <c r="L3627" s="41" t="s">
        <v>1094</v>
      </c>
    </row>
    <row r="3628" spans="1:19" x14ac:dyDescent="0.25">
      <c r="A3628" s="41" t="s">
        <v>908</v>
      </c>
      <c r="B3628" s="41" t="s">
        <v>29316</v>
      </c>
    </row>
    <row r="3629" spans="1:19" x14ac:dyDescent="0.25">
      <c r="A3629" s="41" t="s">
        <v>23</v>
      </c>
      <c r="B3629" s="41" t="s">
        <v>29317</v>
      </c>
      <c r="F3629" s="41" t="s">
        <v>29318</v>
      </c>
      <c r="G3629" s="41" t="s">
        <v>29319</v>
      </c>
      <c r="H3629" s="41" t="s">
        <v>29320</v>
      </c>
      <c r="I3629" s="41" t="s">
        <v>29321</v>
      </c>
      <c r="J3629" s="41" t="s">
        <v>29322</v>
      </c>
      <c r="L3629" s="41" t="s">
        <v>4</v>
      </c>
    </row>
    <row r="3630" spans="1:19" x14ac:dyDescent="0.25">
      <c r="A3630" s="41" t="s">
        <v>23</v>
      </c>
      <c r="B3630" s="41" t="s">
        <v>29323</v>
      </c>
      <c r="D3630" s="41" t="s">
        <v>29156</v>
      </c>
      <c r="E3630" s="41" t="s">
        <v>29325</v>
      </c>
      <c r="F3630" s="41" t="s">
        <v>29326</v>
      </c>
      <c r="G3630" s="41" t="s">
        <v>29327</v>
      </c>
      <c r="H3630" s="41" t="s">
        <v>29328</v>
      </c>
      <c r="I3630" s="41" t="s">
        <v>29329</v>
      </c>
      <c r="J3630" s="41" t="s">
        <v>29330</v>
      </c>
      <c r="K3630" s="41" t="s">
        <v>29331</v>
      </c>
      <c r="L3630" s="41" t="s">
        <v>29332</v>
      </c>
      <c r="M3630" s="41" t="s">
        <v>29333</v>
      </c>
      <c r="N3630" s="41" t="s">
        <v>29334</v>
      </c>
      <c r="O3630" s="41" t="s">
        <v>29335</v>
      </c>
      <c r="P3630" s="41" t="s">
        <v>29336</v>
      </c>
      <c r="Q3630" s="41" t="s">
        <v>29337</v>
      </c>
      <c r="R3630" s="41" t="s">
        <v>29338</v>
      </c>
      <c r="S3630" s="41" t="s">
        <v>29339</v>
      </c>
    </row>
    <row r="3631" spans="1:19" x14ac:dyDescent="0.25">
      <c r="A3631" s="41" t="s">
        <v>23</v>
      </c>
      <c r="B3631" s="41" t="s">
        <v>29340</v>
      </c>
      <c r="D3631" s="41" t="s">
        <v>29341</v>
      </c>
      <c r="F3631" s="41" t="s">
        <v>29342</v>
      </c>
      <c r="G3631" s="41" t="s">
        <v>29343</v>
      </c>
      <c r="H3631" s="41" t="s">
        <v>29344</v>
      </c>
      <c r="I3631" s="41" t="s">
        <v>29345</v>
      </c>
      <c r="J3631" s="41" t="s">
        <v>29346</v>
      </c>
      <c r="K3631" s="41" t="s">
        <v>29347</v>
      </c>
      <c r="L3631" s="41" t="s">
        <v>891</v>
      </c>
    </row>
    <row r="3632" spans="1:19" x14ac:dyDescent="0.25">
      <c r="A3632" s="41" t="s">
        <v>23</v>
      </c>
      <c r="B3632" s="41" t="s">
        <v>29348</v>
      </c>
      <c r="D3632" s="41" t="s">
        <v>29349</v>
      </c>
      <c r="F3632" s="41" t="s">
        <v>29350</v>
      </c>
      <c r="G3632" s="41" t="s">
        <v>29351</v>
      </c>
      <c r="H3632" s="41" t="s">
        <v>29352</v>
      </c>
      <c r="I3632" s="41" t="s">
        <v>29353</v>
      </c>
      <c r="J3632" s="41" t="s">
        <v>29354</v>
      </c>
      <c r="K3632" s="41" t="s">
        <v>29355</v>
      </c>
      <c r="L3632" s="41" t="s">
        <v>1076</v>
      </c>
    </row>
    <row r="3633" spans="1:19" x14ac:dyDescent="0.25">
      <c r="A3633" s="41" t="s">
        <v>23</v>
      </c>
      <c r="B3633" s="41" t="s">
        <v>29356</v>
      </c>
      <c r="D3633" s="41" t="s">
        <v>29357</v>
      </c>
      <c r="F3633" s="41" t="s">
        <v>29358</v>
      </c>
      <c r="G3633" s="41" t="s">
        <v>29359</v>
      </c>
      <c r="H3633" s="41" t="s">
        <v>29360</v>
      </c>
      <c r="I3633" s="41" t="s">
        <v>29361</v>
      </c>
      <c r="J3633" s="41" t="s">
        <v>29362</v>
      </c>
      <c r="K3633" s="41" t="s">
        <v>29363</v>
      </c>
      <c r="L3633" s="41" t="s">
        <v>1085</v>
      </c>
    </row>
    <row r="3634" spans="1:19" x14ac:dyDescent="0.25">
      <c r="A3634" s="41" t="s">
        <v>23</v>
      </c>
      <c r="B3634" s="41" t="s">
        <v>29364</v>
      </c>
      <c r="D3634" s="41" t="s">
        <v>29365</v>
      </c>
      <c r="F3634" s="41" t="s">
        <v>29366</v>
      </c>
      <c r="G3634" s="41" t="s">
        <v>29367</v>
      </c>
      <c r="H3634" s="41" t="s">
        <v>29368</v>
      </c>
      <c r="I3634" s="41" t="s">
        <v>29369</v>
      </c>
      <c r="J3634" s="41" t="s">
        <v>29370</v>
      </c>
      <c r="K3634" s="41" t="s">
        <v>29371</v>
      </c>
      <c r="L3634" s="41" t="s">
        <v>1094</v>
      </c>
    </row>
    <row r="3635" spans="1:19" x14ac:dyDescent="0.25">
      <c r="A3635" s="41" t="s">
        <v>908</v>
      </c>
      <c r="B3635" s="41" t="s">
        <v>29372</v>
      </c>
    </row>
    <row r="3636" spans="1:19" x14ac:dyDescent="0.25">
      <c r="A3636" s="41" t="s">
        <v>23</v>
      </c>
      <c r="B3636" s="41" t="s">
        <v>29373</v>
      </c>
      <c r="F3636" s="41" t="s">
        <v>29374</v>
      </c>
      <c r="G3636" s="41" t="s">
        <v>29375</v>
      </c>
      <c r="H3636" s="41" t="s">
        <v>29376</v>
      </c>
      <c r="I3636" s="41" t="s">
        <v>29377</v>
      </c>
      <c r="J3636" s="41" t="s">
        <v>29378</v>
      </c>
      <c r="L3636" s="41" t="s">
        <v>4</v>
      </c>
    </row>
    <row r="3637" spans="1:19" x14ac:dyDescent="0.25">
      <c r="A3637" s="41" t="s">
        <v>23</v>
      </c>
      <c r="B3637" s="41" t="s">
        <v>29379</v>
      </c>
      <c r="D3637" s="41" t="s">
        <v>29212</v>
      </c>
      <c r="E3637" s="41" t="s">
        <v>29381</v>
      </c>
      <c r="F3637" s="41" t="s">
        <v>29382</v>
      </c>
      <c r="G3637" s="41" t="s">
        <v>29383</v>
      </c>
      <c r="H3637" s="41" t="s">
        <v>29384</v>
      </c>
      <c r="I3637" s="41" t="s">
        <v>29385</v>
      </c>
      <c r="J3637" s="41" t="s">
        <v>29386</v>
      </c>
      <c r="K3637" s="41" t="s">
        <v>29387</v>
      </c>
      <c r="L3637" s="41" t="s">
        <v>29388</v>
      </c>
      <c r="M3637" s="41" t="s">
        <v>29389</v>
      </c>
      <c r="N3637" s="41" t="s">
        <v>29390</v>
      </c>
      <c r="O3637" s="41" t="s">
        <v>29391</v>
      </c>
      <c r="P3637" s="41" t="s">
        <v>29392</v>
      </c>
      <c r="Q3637" s="41" t="s">
        <v>29393</v>
      </c>
      <c r="R3637" s="41" t="s">
        <v>29394</v>
      </c>
      <c r="S3637" s="41" t="s">
        <v>29395</v>
      </c>
    </row>
    <row r="3638" spans="1:19" x14ac:dyDescent="0.25">
      <c r="A3638" s="41" t="s">
        <v>23</v>
      </c>
      <c r="B3638" s="41" t="s">
        <v>29396</v>
      </c>
      <c r="D3638" s="41" t="s">
        <v>29397</v>
      </c>
      <c r="F3638" s="41" t="s">
        <v>29398</v>
      </c>
      <c r="G3638" s="41" t="s">
        <v>29399</v>
      </c>
      <c r="H3638" s="41" t="s">
        <v>29400</v>
      </c>
      <c r="I3638" s="41" t="s">
        <v>29401</v>
      </c>
      <c r="J3638" s="41" t="s">
        <v>29402</v>
      </c>
      <c r="K3638" s="41" t="s">
        <v>29403</v>
      </c>
      <c r="L3638" s="41" t="s">
        <v>891</v>
      </c>
    </row>
    <row r="3639" spans="1:19" x14ac:dyDescent="0.25">
      <c r="A3639" s="41" t="s">
        <v>23</v>
      </c>
      <c r="B3639" s="41" t="s">
        <v>29404</v>
      </c>
      <c r="D3639" s="41" t="s">
        <v>29405</v>
      </c>
      <c r="F3639" s="41" t="s">
        <v>29406</v>
      </c>
      <c r="G3639" s="41" t="s">
        <v>29407</v>
      </c>
      <c r="H3639" s="41" t="s">
        <v>29408</v>
      </c>
      <c r="I3639" s="41" t="s">
        <v>29409</v>
      </c>
      <c r="J3639" s="41" t="s">
        <v>29410</v>
      </c>
      <c r="K3639" s="41" t="s">
        <v>29411</v>
      </c>
      <c r="L3639" s="41" t="s">
        <v>1076</v>
      </c>
    </row>
    <row r="3640" spans="1:19" x14ac:dyDescent="0.25">
      <c r="A3640" s="41" t="s">
        <v>23</v>
      </c>
      <c r="B3640" s="41" t="s">
        <v>29412</v>
      </c>
      <c r="D3640" s="41" t="s">
        <v>29413</v>
      </c>
      <c r="F3640" s="41" t="s">
        <v>29414</v>
      </c>
      <c r="G3640" s="41" t="s">
        <v>29415</v>
      </c>
      <c r="H3640" s="41" t="s">
        <v>29416</v>
      </c>
      <c r="I3640" s="41" t="s">
        <v>29417</v>
      </c>
      <c r="J3640" s="41" t="s">
        <v>29418</v>
      </c>
      <c r="K3640" s="41" t="s">
        <v>29419</v>
      </c>
      <c r="L3640" s="41" t="s">
        <v>1085</v>
      </c>
    </row>
    <row r="3641" spans="1:19" x14ac:dyDescent="0.25">
      <c r="A3641" s="41" t="s">
        <v>23</v>
      </c>
      <c r="B3641" s="41" t="s">
        <v>29420</v>
      </c>
      <c r="D3641" s="41" t="s">
        <v>29421</v>
      </c>
      <c r="F3641" s="41" t="s">
        <v>29422</v>
      </c>
      <c r="G3641" s="41" t="s">
        <v>29423</v>
      </c>
      <c r="H3641" s="41" t="s">
        <v>29424</v>
      </c>
      <c r="I3641" s="41" t="s">
        <v>29425</v>
      </c>
      <c r="J3641" s="41" t="s">
        <v>29426</v>
      </c>
      <c r="K3641" s="41" t="s">
        <v>29427</v>
      </c>
      <c r="L3641" s="41" t="s">
        <v>1094</v>
      </c>
    </row>
    <row r="3642" spans="1:19" x14ac:dyDescent="0.25">
      <c r="A3642" s="41" t="s">
        <v>908</v>
      </c>
      <c r="B3642" s="41" t="s">
        <v>29428</v>
      </c>
    </row>
    <row r="3643" spans="1:19" x14ac:dyDescent="0.25">
      <c r="A3643" s="41" t="s">
        <v>23</v>
      </c>
      <c r="B3643" s="41" t="s">
        <v>29429</v>
      </c>
      <c r="F3643" s="41" t="s">
        <v>29430</v>
      </c>
      <c r="G3643" s="41" t="s">
        <v>29431</v>
      </c>
      <c r="H3643" s="41" t="s">
        <v>29432</v>
      </c>
      <c r="I3643" s="41" t="s">
        <v>29433</v>
      </c>
      <c r="J3643" s="41" t="s">
        <v>29434</v>
      </c>
      <c r="L3643" s="41" t="s">
        <v>4</v>
      </c>
    </row>
    <row r="3644" spans="1:19" x14ac:dyDescent="0.25">
      <c r="A3644" s="41" t="s">
        <v>23</v>
      </c>
      <c r="B3644" s="41" t="s">
        <v>29435</v>
      </c>
      <c r="D3644" s="41" t="s">
        <v>29268</v>
      </c>
      <c r="E3644" s="41" t="s">
        <v>29437</v>
      </c>
      <c r="F3644" s="41" t="s">
        <v>29438</v>
      </c>
      <c r="G3644" s="41" t="s">
        <v>29439</v>
      </c>
      <c r="H3644" s="41" t="s">
        <v>29440</v>
      </c>
      <c r="I3644" s="41" t="s">
        <v>29441</v>
      </c>
      <c r="J3644" s="41" t="s">
        <v>29442</v>
      </c>
      <c r="K3644" s="41" t="s">
        <v>29443</v>
      </c>
      <c r="L3644" s="41" t="s">
        <v>29444</v>
      </c>
      <c r="M3644" s="41" t="s">
        <v>29445</v>
      </c>
      <c r="N3644" s="41" t="s">
        <v>29446</v>
      </c>
      <c r="O3644" s="41" t="s">
        <v>29447</v>
      </c>
      <c r="P3644" s="41" t="s">
        <v>29448</v>
      </c>
      <c r="Q3644" s="41" t="s">
        <v>29449</v>
      </c>
      <c r="R3644" s="41" t="s">
        <v>29450</v>
      </c>
      <c r="S3644" s="41" t="s">
        <v>29451</v>
      </c>
    </row>
    <row r="3645" spans="1:19" x14ac:dyDescent="0.25">
      <c r="A3645" s="41" t="s">
        <v>23</v>
      </c>
      <c r="B3645" s="41" t="s">
        <v>29452</v>
      </c>
      <c r="D3645" s="41" t="s">
        <v>29453</v>
      </c>
      <c r="F3645" s="41" t="s">
        <v>29454</v>
      </c>
      <c r="G3645" s="41" t="s">
        <v>29455</v>
      </c>
      <c r="H3645" s="41" t="s">
        <v>29456</v>
      </c>
      <c r="I3645" s="41" t="s">
        <v>29457</v>
      </c>
      <c r="J3645" s="41" t="s">
        <v>29458</v>
      </c>
      <c r="K3645" s="41" t="s">
        <v>29459</v>
      </c>
      <c r="L3645" s="41" t="s">
        <v>891</v>
      </c>
    </row>
    <row r="3646" spans="1:19" x14ac:dyDescent="0.25">
      <c r="A3646" s="41" t="s">
        <v>23</v>
      </c>
      <c r="B3646" s="41" t="s">
        <v>29460</v>
      </c>
      <c r="D3646" s="41" t="s">
        <v>29461</v>
      </c>
      <c r="F3646" s="41" t="s">
        <v>29462</v>
      </c>
      <c r="G3646" s="41" t="s">
        <v>29463</v>
      </c>
      <c r="H3646" s="41" t="s">
        <v>29464</v>
      </c>
      <c r="I3646" s="41" t="s">
        <v>29465</v>
      </c>
      <c r="J3646" s="41" t="s">
        <v>29466</v>
      </c>
      <c r="K3646" s="41" t="s">
        <v>29467</v>
      </c>
      <c r="L3646" s="41" t="s">
        <v>1076</v>
      </c>
    </row>
    <row r="3647" spans="1:19" x14ac:dyDescent="0.25">
      <c r="A3647" s="41" t="s">
        <v>23</v>
      </c>
      <c r="B3647" s="41" t="s">
        <v>29468</v>
      </c>
      <c r="D3647" s="41" t="s">
        <v>29469</v>
      </c>
      <c r="F3647" s="41" t="s">
        <v>29470</v>
      </c>
      <c r="G3647" s="41" t="s">
        <v>29471</v>
      </c>
      <c r="H3647" s="41" t="s">
        <v>29472</v>
      </c>
      <c r="I3647" s="41" t="s">
        <v>29473</v>
      </c>
      <c r="J3647" s="41" t="s">
        <v>29474</v>
      </c>
      <c r="K3647" s="41" t="s">
        <v>29475</v>
      </c>
      <c r="L3647" s="41" t="s">
        <v>1085</v>
      </c>
    </row>
    <row r="3648" spans="1:19" x14ac:dyDescent="0.25">
      <c r="A3648" s="41" t="s">
        <v>23</v>
      </c>
      <c r="B3648" s="41" t="s">
        <v>29476</v>
      </c>
      <c r="D3648" s="41" t="s">
        <v>29477</v>
      </c>
      <c r="F3648" s="41" t="s">
        <v>29478</v>
      </c>
      <c r="G3648" s="41" t="s">
        <v>29479</v>
      </c>
      <c r="H3648" s="41" t="s">
        <v>29480</v>
      </c>
      <c r="I3648" s="41" t="s">
        <v>29481</v>
      </c>
      <c r="J3648" s="41" t="s">
        <v>29482</v>
      </c>
      <c r="K3648" s="41" t="s">
        <v>29483</v>
      </c>
      <c r="L3648" s="41" t="s">
        <v>1094</v>
      </c>
    </row>
    <row r="3649" spans="1:19" x14ac:dyDescent="0.25">
      <c r="A3649" s="41" t="s">
        <v>908</v>
      </c>
      <c r="B3649" s="41" t="s">
        <v>29484</v>
      </c>
    </row>
    <row r="3650" spans="1:19" x14ac:dyDescent="0.25">
      <c r="A3650" s="41" t="s">
        <v>23</v>
      </c>
      <c r="B3650" s="41" t="s">
        <v>29485</v>
      </c>
      <c r="F3650" s="41" t="s">
        <v>29486</v>
      </c>
      <c r="G3650" s="41" t="s">
        <v>29487</v>
      </c>
      <c r="H3650" s="41" t="s">
        <v>29488</v>
      </c>
      <c r="I3650" s="41" t="s">
        <v>29489</v>
      </c>
      <c r="J3650" s="41" t="s">
        <v>29490</v>
      </c>
      <c r="L3650" s="41" t="s">
        <v>4</v>
      </c>
    </row>
    <row r="3651" spans="1:19" x14ac:dyDescent="0.25">
      <c r="A3651" s="41" t="s">
        <v>23</v>
      </c>
      <c r="B3651" s="41" t="s">
        <v>29491</v>
      </c>
      <c r="D3651" s="41" t="s">
        <v>29324</v>
      </c>
      <c r="E3651" s="41" t="s">
        <v>29493</v>
      </c>
      <c r="F3651" s="41" t="s">
        <v>29494</v>
      </c>
      <c r="G3651" s="41" t="s">
        <v>29495</v>
      </c>
      <c r="H3651" s="41" t="s">
        <v>29496</v>
      </c>
      <c r="I3651" s="41" t="s">
        <v>29497</v>
      </c>
      <c r="J3651" s="41" t="s">
        <v>29498</v>
      </c>
      <c r="K3651" s="41" t="s">
        <v>29499</v>
      </c>
      <c r="L3651" s="41" t="s">
        <v>29500</v>
      </c>
      <c r="M3651" s="41" t="s">
        <v>29501</v>
      </c>
      <c r="N3651" s="41" t="s">
        <v>29502</v>
      </c>
      <c r="O3651" s="41" t="s">
        <v>29503</v>
      </c>
      <c r="P3651" s="41" t="s">
        <v>29504</v>
      </c>
      <c r="Q3651" s="41" t="s">
        <v>29505</v>
      </c>
      <c r="R3651" s="41" t="s">
        <v>29506</v>
      </c>
      <c r="S3651" s="41" t="s">
        <v>29507</v>
      </c>
    </row>
    <row r="3652" spans="1:19" x14ac:dyDescent="0.25">
      <c r="A3652" s="41" t="s">
        <v>23</v>
      </c>
      <c r="B3652" s="41" t="s">
        <v>29508</v>
      </c>
      <c r="D3652" s="41" t="s">
        <v>29509</v>
      </c>
      <c r="F3652" s="41" t="s">
        <v>29510</v>
      </c>
      <c r="G3652" s="41" t="s">
        <v>29511</v>
      </c>
      <c r="H3652" s="41" t="s">
        <v>29512</v>
      </c>
      <c r="I3652" s="41" t="s">
        <v>29513</v>
      </c>
      <c r="J3652" s="41" t="s">
        <v>29514</v>
      </c>
      <c r="K3652" s="41" t="s">
        <v>29515</v>
      </c>
      <c r="L3652" s="41" t="s">
        <v>891</v>
      </c>
    </row>
    <row r="3653" spans="1:19" x14ac:dyDescent="0.25">
      <c r="A3653" s="41" t="s">
        <v>23</v>
      </c>
      <c r="B3653" s="41" t="s">
        <v>29516</v>
      </c>
      <c r="D3653" s="41" t="s">
        <v>29517</v>
      </c>
      <c r="F3653" s="41" t="s">
        <v>29518</v>
      </c>
      <c r="G3653" s="41" t="s">
        <v>29519</v>
      </c>
      <c r="H3653" s="41" t="s">
        <v>29520</v>
      </c>
      <c r="I3653" s="41" t="s">
        <v>29521</v>
      </c>
      <c r="J3653" s="41" t="s">
        <v>29522</v>
      </c>
      <c r="K3653" s="41" t="s">
        <v>29523</v>
      </c>
      <c r="L3653" s="41" t="s">
        <v>1076</v>
      </c>
    </row>
    <row r="3654" spans="1:19" x14ac:dyDescent="0.25">
      <c r="A3654" s="41" t="s">
        <v>23</v>
      </c>
      <c r="B3654" s="41" t="s">
        <v>29524</v>
      </c>
      <c r="D3654" s="41" t="s">
        <v>29525</v>
      </c>
      <c r="F3654" s="41" t="s">
        <v>29526</v>
      </c>
      <c r="G3654" s="41" t="s">
        <v>29527</v>
      </c>
      <c r="H3654" s="41" t="s">
        <v>29528</v>
      </c>
      <c r="I3654" s="41" t="s">
        <v>29529</v>
      </c>
      <c r="J3654" s="41" t="s">
        <v>29530</v>
      </c>
      <c r="K3654" s="41" t="s">
        <v>29531</v>
      </c>
      <c r="L3654" s="41" t="s">
        <v>1085</v>
      </c>
    </row>
    <row r="3655" spans="1:19" x14ac:dyDescent="0.25">
      <c r="A3655" s="41" t="s">
        <v>23</v>
      </c>
      <c r="B3655" s="41" t="s">
        <v>29532</v>
      </c>
      <c r="D3655" s="41" t="s">
        <v>29533</v>
      </c>
      <c r="F3655" s="41" t="s">
        <v>29534</v>
      </c>
      <c r="G3655" s="41" t="s">
        <v>29535</v>
      </c>
      <c r="H3655" s="41" t="s">
        <v>29536</v>
      </c>
      <c r="I3655" s="41" t="s">
        <v>29537</v>
      </c>
      <c r="J3655" s="41" t="s">
        <v>29538</v>
      </c>
      <c r="K3655" s="41" t="s">
        <v>29539</v>
      </c>
      <c r="L3655" s="41" t="s">
        <v>1094</v>
      </c>
    </row>
    <row r="3656" spans="1:19" x14ac:dyDescent="0.25">
      <c r="A3656" s="41" t="s">
        <v>908</v>
      </c>
      <c r="B3656" s="41" t="s">
        <v>29540</v>
      </c>
    </row>
    <row r="3657" spans="1:19" x14ac:dyDescent="0.25">
      <c r="A3657" s="41" t="s">
        <v>23</v>
      </c>
      <c r="B3657" s="41" t="s">
        <v>29541</v>
      </c>
      <c r="F3657" s="41" t="s">
        <v>29542</v>
      </c>
      <c r="G3657" s="41" t="s">
        <v>29543</v>
      </c>
      <c r="H3657" s="41" t="s">
        <v>29544</v>
      </c>
      <c r="I3657" s="41" t="s">
        <v>29545</v>
      </c>
      <c r="J3657" s="41" t="s">
        <v>29546</v>
      </c>
      <c r="L3657" s="41" t="s">
        <v>4</v>
      </c>
    </row>
    <row r="3658" spans="1:19" x14ac:dyDescent="0.25">
      <c r="A3658" s="41" t="s">
        <v>23</v>
      </c>
      <c r="B3658" s="41" t="s">
        <v>29547</v>
      </c>
      <c r="D3658" s="41" t="s">
        <v>29380</v>
      </c>
      <c r="E3658" s="41" t="s">
        <v>29549</v>
      </c>
      <c r="F3658" s="41" t="s">
        <v>29550</v>
      </c>
      <c r="G3658" s="41" t="s">
        <v>29551</v>
      </c>
      <c r="H3658" s="41" t="s">
        <v>29552</v>
      </c>
      <c r="I3658" s="41" t="s">
        <v>29553</v>
      </c>
      <c r="J3658" s="41" t="s">
        <v>29554</v>
      </c>
      <c r="K3658" s="41" t="s">
        <v>29555</v>
      </c>
      <c r="L3658" s="41" t="s">
        <v>29556</v>
      </c>
      <c r="M3658" s="41" t="s">
        <v>29557</v>
      </c>
      <c r="N3658" s="41" t="s">
        <v>29558</v>
      </c>
      <c r="O3658" s="41" t="s">
        <v>29559</v>
      </c>
      <c r="P3658" s="41" t="s">
        <v>29560</v>
      </c>
      <c r="Q3658" s="41" t="s">
        <v>29561</v>
      </c>
      <c r="R3658" s="41" t="s">
        <v>29562</v>
      </c>
      <c r="S3658" s="41" t="s">
        <v>29563</v>
      </c>
    </row>
    <row r="3659" spans="1:19" x14ac:dyDescent="0.25">
      <c r="A3659" s="41" t="s">
        <v>23</v>
      </c>
      <c r="B3659" s="41" t="s">
        <v>29564</v>
      </c>
      <c r="D3659" s="41" t="s">
        <v>29565</v>
      </c>
      <c r="F3659" s="41" t="s">
        <v>29566</v>
      </c>
      <c r="G3659" s="41" t="s">
        <v>29567</v>
      </c>
      <c r="H3659" s="41" t="s">
        <v>29568</v>
      </c>
      <c r="I3659" s="41" t="s">
        <v>29569</v>
      </c>
      <c r="J3659" s="41" t="s">
        <v>29570</v>
      </c>
      <c r="K3659" s="41" t="s">
        <v>29571</v>
      </c>
      <c r="L3659" s="41" t="s">
        <v>891</v>
      </c>
    </row>
    <row r="3660" spans="1:19" x14ac:dyDescent="0.25">
      <c r="A3660" s="41" t="s">
        <v>23</v>
      </c>
      <c r="B3660" s="41" t="s">
        <v>29572</v>
      </c>
      <c r="D3660" s="41" t="s">
        <v>29573</v>
      </c>
      <c r="F3660" s="41" t="s">
        <v>29574</v>
      </c>
      <c r="G3660" s="41" t="s">
        <v>29575</v>
      </c>
      <c r="H3660" s="41" t="s">
        <v>29576</v>
      </c>
      <c r="I3660" s="41" t="s">
        <v>29577</v>
      </c>
      <c r="J3660" s="41" t="s">
        <v>29578</v>
      </c>
      <c r="K3660" s="41" t="s">
        <v>29579</v>
      </c>
      <c r="L3660" s="41" t="s">
        <v>1076</v>
      </c>
    </row>
    <row r="3661" spans="1:19" x14ac:dyDescent="0.25">
      <c r="A3661" s="41" t="s">
        <v>23</v>
      </c>
      <c r="B3661" s="41" t="s">
        <v>29580</v>
      </c>
      <c r="D3661" s="41" t="s">
        <v>29581</v>
      </c>
      <c r="F3661" s="41" t="s">
        <v>29582</v>
      </c>
      <c r="G3661" s="41" t="s">
        <v>29583</v>
      </c>
      <c r="H3661" s="41" t="s">
        <v>29584</v>
      </c>
      <c r="I3661" s="41" t="s">
        <v>29585</v>
      </c>
      <c r="J3661" s="41" t="s">
        <v>29586</v>
      </c>
      <c r="K3661" s="41" t="s">
        <v>29587</v>
      </c>
      <c r="L3661" s="41" t="s">
        <v>1085</v>
      </c>
    </row>
    <row r="3662" spans="1:19" x14ac:dyDescent="0.25">
      <c r="A3662" s="41" t="s">
        <v>23</v>
      </c>
      <c r="B3662" s="41" t="s">
        <v>29588</v>
      </c>
      <c r="D3662" s="41" t="s">
        <v>29589</v>
      </c>
      <c r="F3662" s="41" t="s">
        <v>29590</v>
      </c>
      <c r="G3662" s="41" t="s">
        <v>29591</v>
      </c>
      <c r="H3662" s="41" t="s">
        <v>29592</v>
      </c>
      <c r="I3662" s="41" t="s">
        <v>29593</v>
      </c>
      <c r="J3662" s="41" t="s">
        <v>29594</v>
      </c>
      <c r="K3662" s="41" t="s">
        <v>29595</v>
      </c>
      <c r="L3662" s="41" t="s">
        <v>1094</v>
      </c>
    </row>
    <row r="3663" spans="1:19" x14ac:dyDescent="0.25">
      <c r="A3663" s="41" t="s">
        <v>908</v>
      </c>
      <c r="B3663" s="41" t="s">
        <v>29596</v>
      </c>
    </row>
    <row r="3664" spans="1:19" x14ac:dyDescent="0.25">
      <c r="A3664" s="41" t="s">
        <v>23</v>
      </c>
      <c r="B3664" s="41" t="s">
        <v>29597</v>
      </c>
      <c r="F3664" s="41" t="s">
        <v>29598</v>
      </c>
      <c r="G3664" s="41" t="s">
        <v>29599</v>
      </c>
      <c r="H3664" s="41" t="s">
        <v>29600</v>
      </c>
      <c r="I3664" s="41" t="s">
        <v>29601</v>
      </c>
      <c r="J3664" s="41" t="s">
        <v>29602</v>
      </c>
      <c r="L3664" s="41" t="s">
        <v>4</v>
      </c>
    </row>
    <row r="3665" spans="1:19" x14ac:dyDescent="0.25">
      <c r="A3665" s="41" t="s">
        <v>23</v>
      </c>
      <c r="B3665" s="41" t="s">
        <v>29603</v>
      </c>
      <c r="D3665" s="41" t="s">
        <v>29436</v>
      </c>
      <c r="E3665" s="41" t="s">
        <v>29605</v>
      </c>
      <c r="F3665" s="41" t="s">
        <v>29606</v>
      </c>
      <c r="G3665" s="41" t="s">
        <v>29607</v>
      </c>
      <c r="H3665" s="41" t="s">
        <v>29608</v>
      </c>
      <c r="I3665" s="41" t="s">
        <v>29609</v>
      </c>
      <c r="J3665" s="41" t="s">
        <v>29610</v>
      </c>
      <c r="K3665" s="41" t="s">
        <v>29611</v>
      </c>
      <c r="L3665" s="41" t="s">
        <v>29612</v>
      </c>
      <c r="M3665" s="41" t="s">
        <v>29613</v>
      </c>
      <c r="N3665" s="41" t="s">
        <v>29614</v>
      </c>
      <c r="O3665" s="41" t="s">
        <v>29615</v>
      </c>
      <c r="P3665" s="41" t="s">
        <v>29616</v>
      </c>
      <c r="Q3665" s="41" t="s">
        <v>29617</v>
      </c>
      <c r="R3665" s="41" t="s">
        <v>29618</v>
      </c>
      <c r="S3665" s="41" t="s">
        <v>29619</v>
      </c>
    </row>
    <row r="3666" spans="1:19" x14ac:dyDescent="0.25">
      <c r="A3666" s="41" t="s">
        <v>23</v>
      </c>
      <c r="B3666" s="41" t="s">
        <v>29620</v>
      </c>
      <c r="D3666" s="41" t="s">
        <v>29621</v>
      </c>
      <c r="F3666" s="41" t="s">
        <v>29622</v>
      </c>
      <c r="G3666" s="41" t="s">
        <v>29623</v>
      </c>
      <c r="H3666" s="41" t="s">
        <v>29624</v>
      </c>
      <c r="I3666" s="41" t="s">
        <v>29625</v>
      </c>
      <c r="J3666" s="41" t="s">
        <v>29626</v>
      </c>
      <c r="K3666" s="41" t="s">
        <v>29627</v>
      </c>
      <c r="L3666" s="41" t="s">
        <v>891</v>
      </c>
    </row>
    <row r="3667" spans="1:19" x14ac:dyDescent="0.25">
      <c r="A3667" s="41" t="s">
        <v>23</v>
      </c>
      <c r="B3667" s="41" t="s">
        <v>29628</v>
      </c>
      <c r="D3667" s="41" t="s">
        <v>29629</v>
      </c>
      <c r="F3667" s="41" t="s">
        <v>29630</v>
      </c>
      <c r="G3667" s="41" t="s">
        <v>29631</v>
      </c>
      <c r="H3667" s="41" t="s">
        <v>29632</v>
      </c>
      <c r="I3667" s="41" t="s">
        <v>29633</v>
      </c>
      <c r="J3667" s="41" t="s">
        <v>29634</v>
      </c>
      <c r="K3667" s="41" t="s">
        <v>29635</v>
      </c>
      <c r="L3667" s="41" t="s">
        <v>1076</v>
      </c>
    </row>
    <row r="3668" spans="1:19" x14ac:dyDescent="0.25">
      <c r="A3668" s="41" t="s">
        <v>23</v>
      </c>
      <c r="B3668" s="41" t="s">
        <v>29636</v>
      </c>
      <c r="D3668" s="41" t="s">
        <v>29637</v>
      </c>
      <c r="F3668" s="41" t="s">
        <v>29638</v>
      </c>
      <c r="G3668" s="41" t="s">
        <v>29639</v>
      </c>
      <c r="H3668" s="41" t="s">
        <v>29640</v>
      </c>
      <c r="I3668" s="41" t="s">
        <v>29641</v>
      </c>
      <c r="J3668" s="41" t="s">
        <v>29642</v>
      </c>
      <c r="K3668" s="41" t="s">
        <v>29643</v>
      </c>
      <c r="L3668" s="41" t="s">
        <v>1085</v>
      </c>
    </row>
    <row r="3669" spans="1:19" x14ac:dyDescent="0.25">
      <c r="A3669" s="41" t="s">
        <v>23</v>
      </c>
      <c r="B3669" s="41" t="s">
        <v>29644</v>
      </c>
      <c r="D3669" s="41" t="s">
        <v>29645</v>
      </c>
      <c r="F3669" s="41" t="s">
        <v>29646</v>
      </c>
      <c r="G3669" s="41" t="s">
        <v>29647</v>
      </c>
      <c r="H3669" s="41" t="s">
        <v>29648</v>
      </c>
      <c r="I3669" s="41" t="s">
        <v>29649</v>
      </c>
      <c r="J3669" s="41" t="s">
        <v>29650</v>
      </c>
      <c r="K3669" s="41" t="s">
        <v>29651</v>
      </c>
      <c r="L3669" s="41" t="s">
        <v>1094</v>
      </c>
    </row>
    <row r="3670" spans="1:19" x14ac:dyDescent="0.25">
      <c r="A3670" s="41" t="s">
        <v>908</v>
      </c>
      <c r="B3670" s="41" t="s">
        <v>29652</v>
      </c>
    </row>
    <row r="3671" spans="1:19" x14ac:dyDescent="0.25">
      <c r="A3671" s="41" t="s">
        <v>23</v>
      </c>
      <c r="B3671" s="41" t="s">
        <v>29653</v>
      </c>
      <c r="F3671" s="41" t="s">
        <v>29654</v>
      </c>
      <c r="G3671" s="41" t="s">
        <v>29655</v>
      </c>
      <c r="H3671" s="41" t="s">
        <v>29656</v>
      </c>
      <c r="I3671" s="41" t="s">
        <v>29657</v>
      </c>
      <c r="J3671" s="41" t="s">
        <v>29658</v>
      </c>
      <c r="L3671" s="41" t="s">
        <v>4</v>
      </c>
    </row>
    <row r="3672" spans="1:19" x14ac:dyDescent="0.25">
      <c r="A3672" s="41" t="s">
        <v>23</v>
      </c>
      <c r="B3672" s="41" t="s">
        <v>29659</v>
      </c>
      <c r="D3672" s="41" t="s">
        <v>29492</v>
      </c>
      <c r="E3672" s="41" t="s">
        <v>29661</v>
      </c>
      <c r="F3672" s="41" t="s">
        <v>29662</v>
      </c>
      <c r="G3672" s="41" t="s">
        <v>29663</v>
      </c>
      <c r="H3672" s="41" t="s">
        <v>29664</v>
      </c>
      <c r="I3672" s="41" t="s">
        <v>29665</v>
      </c>
      <c r="J3672" s="41" t="s">
        <v>29666</v>
      </c>
      <c r="K3672" s="41" t="s">
        <v>29667</v>
      </c>
      <c r="L3672" s="41" t="s">
        <v>29668</v>
      </c>
      <c r="M3672" s="41" t="s">
        <v>29669</v>
      </c>
      <c r="N3672" s="41" t="s">
        <v>29670</v>
      </c>
      <c r="O3672" s="41" t="s">
        <v>29671</v>
      </c>
      <c r="P3672" s="41" t="s">
        <v>29672</v>
      </c>
      <c r="Q3672" s="41" t="s">
        <v>29673</v>
      </c>
      <c r="R3672" s="41" t="s">
        <v>29674</v>
      </c>
      <c r="S3672" s="41" t="s">
        <v>29675</v>
      </c>
    </row>
    <row r="3673" spans="1:19" x14ac:dyDescent="0.25">
      <c r="A3673" s="41" t="s">
        <v>23</v>
      </c>
      <c r="B3673" s="41" t="s">
        <v>29676</v>
      </c>
      <c r="D3673" s="41" t="s">
        <v>29677</v>
      </c>
      <c r="F3673" s="41" t="s">
        <v>29678</v>
      </c>
      <c r="G3673" s="41" t="s">
        <v>29679</v>
      </c>
      <c r="H3673" s="41" t="s">
        <v>29680</v>
      </c>
      <c r="I3673" s="41" t="s">
        <v>29681</v>
      </c>
      <c r="J3673" s="41" t="s">
        <v>29682</v>
      </c>
      <c r="K3673" s="41" t="s">
        <v>29683</v>
      </c>
      <c r="L3673" s="41" t="s">
        <v>891</v>
      </c>
    </row>
    <row r="3674" spans="1:19" x14ac:dyDescent="0.25">
      <c r="A3674" s="41" t="s">
        <v>23</v>
      </c>
      <c r="B3674" s="41" t="s">
        <v>29684</v>
      </c>
      <c r="D3674" s="41" t="s">
        <v>29685</v>
      </c>
      <c r="F3674" s="41" t="s">
        <v>29686</v>
      </c>
      <c r="G3674" s="41" t="s">
        <v>29687</v>
      </c>
      <c r="H3674" s="41" t="s">
        <v>29688</v>
      </c>
      <c r="I3674" s="41" t="s">
        <v>29689</v>
      </c>
      <c r="J3674" s="41" t="s">
        <v>29690</v>
      </c>
      <c r="K3674" s="41" t="s">
        <v>29691</v>
      </c>
      <c r="L3674" s="41" t="s">
        <v>1076</v>
      </c>
    </row>
    <row r="3675" spans="1:19" x14ac:dyDescent="0.25">
      <c r="A3675" s="41" t="s">
        <v>23</v>
      </c>
      <c r="B3675" s="41" t="s">
        <v>29692</v>
      </c>
      <c r="D3675" s="41" t="s">
        <v>29693</v>
      </c>
      <c r="F3675" s="41" t="s">
        <v>29694</v>
      </c>
      <c r="G3675" s="41" t="s">
        <v>29695</v>
      </c>
      <c r="H3675" s="41" t="s">
        <v>29696</v>
      </c>
      <c r="I3675" s="41" t="s">
        <v>29697</v>
      </c>
      <c r="J3675" s="41" t="s">
        <v>29698</v>
      </c>
      <c r="K3675" s="41" t="s">
        <v>29699</v>
      </c>
      <c r="L3675" s="41" t="s">
        <v>1085</v>
      </c>
    </row>
    <row r="3676" spans="1:19" x14ac:dyDescent="0.25">
      <c r="A3676" s="41" t="s">
        <v>23</v>
      </c>
      <c r="B3676" s="41" t="s">
        <v>29700</v>
      </c>
      <c r="D3676" s="41" t="s">
        <v>29701</v>
      </c>
      <c r="F3676" s="41" t="s">
        <v>29702</v>
      </c>
      <c r="G3676" s="41" t="s">
        <v>29703</v>
      </c>
      <c r="H3676" s="41" t="s">
        <v>29704</v>
      </c>
      <c r="I3676" s="41" t="s">
        <v>29705</v>
      </c>
      <c r="J3676" s="41" t="s">
        <v>29706</v>
      </c>
      <c r="K3676" s="41" t="s">
        <v>29707</v>
      </c>
      <c r="L3676" s="41" t="s">
        <v>1094</v>
      </c>
    </row>
    <row r="3677" spans="1:19" x14ac:dyDescent="0.25">
      <c r="A3677" s="41" t="s">
        <v>908</v>
      </c>
      <c r="B3677" s="41" t="s">
        <v>29708</v>
      </c>
    </row>
    <row r="3678" spans="1:19" x14ac:dyDescent="0.25">
      <c r="A3678" s="41" t="s">
        <v>23</v>
      </c>
      <c r="B3678" s="41" t="s">
        <v>29709</v>
      </c>
      <c r="F3678" s="41" t="s">
        <v>29710</v>
      </c>
      <c r="G3678" s="41" t="s">
        <v>29711</v>
      </c>
      <c r="H3678" s="41" t="s">
        <v>29712</v>
      </c>
      <c r="I3678" s="41" t="s">
        <v>29713</v>
      </c>
      <c r="J3678" s="41" t="s">
        <v>29714</v>
      </c>
      <c r="L3678" s="41" t="s">
        <v>4</v>
      </c>
    </row>
    <row r="3679" spans="1:19" x14ac:dyDescent="0.25">
      <c r="A3679" s="41" t="s">
        <v>23</v>
      </c>
      <c r="B3679" s="41" t="s">
        <v>29715</v>
      </c>
      <c r="D3679" s="41" t="s">
        <v>29548</v>
      </c>
      <c r="E3679" s="41" t="s">
        <v>29717</v>
      </c>
      <c r="F3679" s="41" t="s">
        <v>29718</v>
      </c>
      <c r="G3679" s="41" t="s">
        <v>29719</v>
      </c>
      <c r="H3679" s="41" t="s">
        <v>29720</v>
      </c>
      <c r="I3679" s="41" t="s">
        <v>29721</v>
      </c>
      <c r="J3679" s="41" t="s">
        <v>29722</v>
      </c>
      <c r="K3679" s="41" t="s">
        <v>29723</v>
      </c>
      <c r="L3679" s="41" t="s">
        <v>29724</v>
      </c>
      <c r="M3679" s="41" t="s">
        <v>29725</v>
      </c>
      <c r="N3679" s="41" t="s">
        <v>29726</v>
      </c>
      <c r="O3679" s="41" t="s">
        <v>29727</v>
      </c>
      <c r="P3679" s="41" t="s">
        <v>29728</v>
      </c>
      <c r="Q3679" s="41" t="s">
        <v>29729</v>
      </c>
      <c r="R3679" s="41" t="s">
        <v>29730</v>
      </c>
      <c r="S3679" s="41" t="s">
        <v>29731</v>
      </c>
    </row>
    <row r="3680" spans="1:19" x14ac:dyDescent="0.25">
      <c r="A3680" s="41" t="s">
        <v>23</v>
      </c>
      <c r="B3680" s="41" t="s">
        <v>29732</v>
      </c>
      <c r="D3680" s="41" t="s">
        <v>29733</v>
      </c>
      <c r="F3680" s="41" t="s">
        <v>29734</v>
      </c>
      <c r="G3680" s="41" t="s">
        <v>29735</v>
      </c>
      <c r="H3680" s="41" t="s">
        <v>29736</v>
      </c>
      <c r="I3680" s="41" t="s">
        <v>29737</v>
      </c>
      <c r="J3680" s="41" t="s">
        <v>29738</v>
      </c>
      <c r="K3680" s="41" t="s">
        <v>29739</v>
      </c>
      <c r="L3680" s="41" t="s">
        <v>891</v>
      </c>
    </row>
    <row r="3681" spans="1:19" x14ac:dyDescent="0.25">
      <c r="A3681" s="41" t="s">
        <v>23</v>
      </c>
      <c r="B3681" s="41" t="s">
        <v>29740</v>
      </c>
      <c r="D3681" s="41" t="s">
        <v>29741</v>
      </c>
      <c r="F3681" s="41" t="s">
        <v>29742</v>
      </c>
      <c r="G3681" s="41" t="s">
        <v>29743</v>
      </c>
      <c r="H3681" s="41" t="s">
        <v>29744</v>
      </c>
      <c r="I3681" s="41" t="s">
        <v>29745</v>
      </c>
      <c r="J3681" s="41" t="s">
        <v>29746</v>
      </c>
      <c r="K3681" s="41" t="s">
        <v>29747</v>
      </c>
      <c r="L3681" s="41" t="s">
        <v>1076</v>
      </c>
    </row>
    <row r="3682" spans="1:19" x14ac:dyDescent="0.25">
      <c r="A3682" s="41" t="s">
        <v>23</v>
      </c>
      <c r="B3682" s="41" t="s">
        <v>29748</v>
      </c>
      <c r="D3682" s="41" t="s">
        <v>29749</v>
      </c>
      <c r="F3682" s="41" t="s">
        <v>29750</v>
      </c>
      <c r="G3682" s="41" t="s">
        <v>29751</v>
      </c>
      <c r="H3682" s="41" t="s">
        <v>29752</v>
      </c>
      <c r="I3682" s="41" t="s">
        <v>29753</v>
      </c>
      <c r="J3682" s="41" t="s">
        <v>29754</v>
      </c>
      <c r="K3682" s="41" t="s">
        <v>29755</v>
      </c>
      <c r="L3682" s="41" t="s">
        <v>1085</v>
      </c>
    </row>
    <row r="3683" spans="1:19" x14ac:dyDescent="0.25">
      <c r="A3683" s="41" t="s">
        <v>23</v>
      </c>
      <c r="B3683" s="41" t="s">
        <v>29756</v>
      </c>
      <c r="D3683" s="41" t="s">
        <v>29757</v>
      </c>
      <c r="F3683" s="41" t="s">
        <v>29758</v>
      </c>
      <c r="G3683" s="41" t="s">
        <v>29759</v>
      </c>
      <c r="H3683" s="41" t="s">
        <v>29760</v>
      </c>
      <c r="I3683" s="41" t="s">
        <v>29761</v>
      </c>
      <c r="J3683" s="41" t="s">
        <v>29762</v>
      </c>
      <c r="K3683" s="41" t="s">
        <v>29763</v>
      </c>
      <c r="L3683" s="41" t="s">
        <v>1094</v>
      </c>
    </row>
    <row r="3684" spans="1:19" x14ac:dyDescent="0.25">
      <c r="A3684" s="41" t="s">
        <v>908</v>
      </c>
      <c r="B3684" s="41" t="s">
        <v>29764</v>
      </c>
    </row>
    <row r="3685" spans="1:19" x14ac:dyDescent="0.25">
      <c r="A3685" s="41" t="s">
        <v>23</v>
      </c>
      <c r="B3685" s="41" t="s">
        <v>29765</v>
      </c>
      <c r="F3685" s="41" t="s">
        <v>29766</v>
      </c>
      <c r="G3685" s="41" t="s">
        <v>29767</v>
      </c>
      <c r="H3685" s="41" t="s">
        <v>29768</v>
      </c>
      <c r="I3685" s="41" t="s">
        <v>29769</v>
      </c>
      <c r="J3685" s="41" t="s">
        <v>29770</v>
      </c>
      <c r="L3685" s="41" t="s">
        <v>4</v>
      </c>
    </row>
    <row r="3686" spans="1:19" x14ac:dyDescent="0.25">
      <c r="A3686" s="41" t="s">
        <v>23</v>
      </c>
      <c r="B3686" s="41" t="s">
        <v>29771</v>
      </c>
      <c r="D3686" s="41" t="s">
        <v>29604</v>
      </c>
      <c r="E3686" s="41" t="s">
        <v>29773</v>
      </c>
      <c r="F3686" s="41" t="s">
        <v>29774</v>
      </c>
      <c r="G3686" s="41" t="s">
        <v>29775</v>
      </c>
      <c r="H3686" s="41" t="s">
        <v>29776</v>
      </c>
      <c r="I3686" s="41" t="s">
        <v>29777</v>
      </c>
      <c r="J3686" s="41" t="s">
        <v>29778</v>
      </c>
      <c r="K3686" s="41" t="s">
        <v>29779</v>
      </c>
      <c r="L3686" s="41" t="s">
        <v>29780</v>
      </c>
      <c r="M3686" s="41" t="s">
        <v>29781</v>
      </c>
      <c r="N3686" s="41" t="s">
        <v>29782</v>
      </c>
      <c r="O3686" s="41" t="s">
        <v>29783</v>
      </c>
      <c r="P3686" s="41" t="s">
        <v>29784</v>
      </c>
      <c r="Q3686" s="41" t="s">
        <v>29785</v>
      </c>
      <c r="R3686" s="41" t="s">
        <v>29786</v>
      </c>
      <c r="S3686" s="41" t="s">
        <v>29787</v>
      </c>
    </row>
    <row r="3687" spans="1:19" x14ac:dyDescent="0.25">
      <c r="A3687" s="41" t="s">
        <v>23</v>
      </c>
      <c r="B3687" s="41" t="s">
        <v>29788</v>
      </c>
      <c r="D3687" s="41" t="s">
        <v>29789</v>
      </c>
      <c r="F3687" s="41" t="s">
        <v>29790</v>
      </c>
      <c r="G3687" s="41" t="s">
        <v>29791</v>
      </c>
      <c r="H3687" s="41" t="s">
        <v>29792</v>
      </c>
      <c r="I3687" s="41" t="s">
        <v>29793</v>
      </c>
      <c r="J3687" s="41" t="s">
        <v>29794</v>
      </c>
      <c r="K3687" s="41" t="s">
        <v>29795</v>
      </c>
      <c r="L3687" s="41" t="s">
        <v>891</v>
      </c>
    </row>
    <row r="3688" spans="1:19" x14ac:dyDescent="0.25">
      <c r="A3688" s="41" t="s">
        <v>23</v>
      </c>
      <c r="B3688" s="41" t="s">
        <v>29796</v>
      </c>
      <c r="D3688" s="41" t="s">
        <v>29797</v>
      </c>
      <c r="F3688" s="41" t="s">
        <v>29798</v>
      </c>
      <c r="G3688" s="41" t="s">
        <v>29799</v>
      </c>
      <c r="H3688" s="41" t="s">
        <v>29800</v>
      </c>
      <c r="I3688" s="41" t="s">
        <v>29801</v>
      </c>
      <c r="J3688" s="41" t="s">
        <v>29802</v>
      </c>
      <c r="K3688" s="41" t="s">
        <v>29803</v>
      </c>
      <c r="L3688" s="41" t="s">
        <v>1076</v>
      </c>
    </row>
    <row r="3689" spans="1:19" x14ac:dyDescent="0.25">
      <c r="A3689" s="41" t="s">
        <v>23</v>
      </c>
      <c r="B3689" s="41" t="s">
        <v>29804</v>
      </c>
      <c r="D3689" s="41" t="s">
        <v>29805</v>
      </c>
      <c r="F3689" s="41" t="s">
        <v>29806</v>
      </c>
      <c r="G3689" s="41" t="s">
        <v>29807</v>
      </c>
      <c r="H3689" s="41" t="s">
        <v>29808</v>
      </c>
      <c r="I3689" s="41" t="s">
        <v>29809</v>
      </c>
      <c r="J3689" s="41" t="s">
        <v>29810</v>
      </c>
      <c r="K3689" s="41" t="s">
        <v>29811</v>
      </c>
      <c r="L3689" s="41" t="s">
        <v>1085</v>
      </c>
    </row>
    <row r="3690" spans="1:19" x14ac:dyDescent="0.25">
      <c r="A3690" s="41" t="s">
        <v>23</v>
      </c>
      <c r="B3690" s="41" t="s">
        <v>29812</v>
      </c>
      <c r="D3690" s="41" t="s">
        <v>29813</v>
      </c>
      <c r="F3690" s="41" t="s">
        <v>29814</v>
      </c>
      <c r="G3690" s="41" t="s">
        <v>29815</v>
      </c>
      <c r="H3690" s="41" t="s">
        <v>29816</v>
      </c>
      <c r="I3690" s="41" t="s">
        <v>29817</v>
      </c>
      <c r="J3690" s="41" t="s">
        <v>29818</v>
      </c>
      <c r="K3690" s="41" t="s">
        <v>29819</v>
      </c>
      <c r="L3690" s="41" t="s">
        <v>1094</v>
      </c>
    </row>
    <row r="3691" spans="1:19" x14ac:dyDescent="0.25">
      <c r="A3691" s="41" t="s">
        <v>908</v>
      </c>
      <c r="B3691" s="41" t="s">
        <v>29820</v>
      </c>
    </row>
    <row r="3692" spans="1:19" x14ac:dyDescent="0.25">
      <c r="A3692" s="41" t="s">
        <v>23</v>
      </c>
      <c r="B3692" s="41" t="s">
        <v>29821</v>
      </c>
      <c r="F3692" s="41" t="s">
        <v>29822</v>
      </c>
      <c r="G3692" s="41" t="s">
        <v>29823</v>
      </c>
      <c r="H3692" s="41" t="s">
        <v>29824</v>
      </c>
      <c r="I3692" s="41" t="s">
        <v>29825</v>
      </c>
      <c r="J3692" s="41" t="s">
        <v>29826</v>
      </c>
      <c r="L3692" s="41" t="s">
        <v>4</v>
      </c>
    </row>
    <row r="3693" spans="1:19" x14ac:dyDescent="0.25">
      <c r="A3693" s="41" t="s">
        <v>23</v>
      </c>
      <c r="B3693" s="41" t="s">
        <v>29827</v>
      </c>
      <c r="D3693" s="41" t="s">
        <v>29660</v>
      </c>
      <c r="E3693" s="41" t="s">
        <v>29829</v>
      </c>
      <c r="F3693" s="41" t="s">
        <v>29830</v>
      </c>
      <c r="G3693" s="41" t="s">
        <v>29831</v>
      </c>
      <c r="H3693" s="41" t="s">
        <v>29832</v>
      </c>
      <c r="I3693" s="41" t="s">
        <v>29833</v>
      </c>
      <c r="J3693" s="41" t="s">
        <v>29834</v>
      </c>
      <c r="K3693" s="41" t="s">
        <v>29835</v>
      </c>
      <c r="L3693" s="41" t="s">
        <v>29836</v>
      </c>
      <c r="M3693" s="41" t="s">
        <v>29837</v>
      </c>
      <c r="N3693" s="41" t="s">
        <v>29838</v>
      </c>
      <c r="O3693" s="41" t="s">
        <v>29839</v>
      </c>
      <c r="P3693" s="41" t="s">
        <v>29840</v>
      </c>
      <c r="Q3693" s="41" t="s">
        <v>29841</v>
      </c>
      <c r="R3693" s="41" t="s">
        <v>29842</v>
      </c>
      <c r="S3693" s="41" t="s">
        <v>29843</v>
      </c>
    </row>
    <row r="3694" spans="1:19" x14ac:dyDescent="0.25">
      <c r="A3694" s="41" t="s">
        <v>23</v>
      </c>
      <c r="B3694" s="41" t="s">
        <v>29844</v>
      </c>
      <c r="D3694" s="41" t="s">
        <v>29845</v>
      </c>
      <c r="F3694" s="41" t="s">
        <v>29846</v>
      </c>
      <c r="G3694" s="41" t="s">
        <v>29847</v>
      </c>
      <c r="H3694" s="41" t="s">
        <v>29848</v>
      </c>
      <c r="I3694" s="41" t="s">
        <v>29849</v>
      </c>
      <c r="J3694" s="41" t="s">
        <v>29850</v>
      </c>
      <c r="K3694" s="41" t="s">
        <v>29851</v>
      </c>
      <c r="L3694" s="41" t="s">
        <v>891</v>
      </c>
    </row>
    <row r="3695" spans="1:19" x14ac:dyDescent="0.25">
      <c r="A3695" s="41" t="s">
        <v>23</v>
      </c>
      <c r="B3695" s="41" t="s">
        <v>29852</v>
      </c>
      <c r="D3695" s="41" t="s">
        <v>29853</v>
      </c>
      <c r="F3695" s="41" t="s">
        <v>29854</v>
      </c>
      <c r="G3695" s="41" t="s">
        <v>29855</v>
      </c>
      <c r="H3695" s="41" t="s">
        <v>29856</v>
      </c>
      <c r="I3695" s="41" t="s">
        <v>29857</v>
      </c>
      <c r="J3695" s="41" t="s">
        <v>29858</v>
      </c>
      <c r="K3695" s="41" t="s">
        <v>29859</v>
      </c>
      <c r="L3695" s="41" t="s">
        <v>1076</v>
      </c>
    </row>
    <row r="3696" spans="1:19" x14ac:dyDescent="0.25">
      <c r="A3696" s="41" t="s">
        <v>23</v>
      </c>
      <c r="B3696" s="41" t="s">
        <v>29860</v>
      </c>
      <c r="D3696" s="41" t="s">
        <v>29861</v>
      </c>
      <c r="F3696" s="41" t="s">
        <v>29862</v>
      </c>
      <c r="G3696" s="41" t="s">
        <v>29863</v>
      </c>
      <c r="H3696" s="41" t="s">
        <v>29864</v>
      </c>
      <c r="I3696" s="41" t="s">
        <v>29865</v>
      </c>
      <c r="J3696" s="41" t="s">
        <v>29866</v>
      </c>
      <c r="K3696" s="41" t="s">
        <v>29867</v>
      </c>
      <c r="L3696" s="41" t="s">
        <v>1085</v>
      </c>
    </row>
    <row r="3697" spans="1:19" x14ac:dyDescent="0.25">
      <c r="A3697" s="41" t="s">
        <v>23</v>
      </c>
      <c r="B3697" s="41" t="s">
        <v>29868</v>
      </c>
      <c r="D3697" s="41" t="s">
        <v>29869</v>
      </c>
      <c r="F3697" s="41" t="s">
        <v>29870</v>
      </c>
      <c r="G3697" s="41" t="s">
        <v>29871</v>
      </c>
      <c r="H3697" s="41" t="s">
        <v>29872</v>
      </c>
      <c r="I3697" s="41" t="s">
        <v>29873</v>
      </c>
      <c r="J3697" s="41" t="s">
        <v>29874</v>
      </c>
      <c r="K3697" s="41" t="s">
        <v>29875</v>
      </c>
      <c r="L3697" s="41" t="s">
        <v>1094</v>
      </c>
    </row>
    <row r="3698" spans="1:19" x14ac:dyDescent="0.25">
      <c r="A3698" s="41" t="s">
        <v>908</v>
      </c>
      <c r="B3698" s="41" t="s">
        <v>29876</v>
      </c>
    </row>
    <row r="3699" spans="1:19" x14ac:dyDescent="0.25">
      <c r="A3699" s="41" t="s">
        <v>23</v>
      </c>
      <c r="B3699" s="41" t="s">
        <v>29877</v>
      </c>
      <c r="F3699" s="41" t="s">
        <v>29878</v>
      </c>
      <c r="G3699" s="41" t="s">
        <v>29879</v>
      </c>
      <c r="H3699" s="41" t="s">
        <v>29880</v>
      </c>
      <c r="I3699" s="41" t="s">
        <v>29881</v>
      </c>
      <c r="J3699" s="41" t="s">
        <v>29882</v>
      </c>
      <c r="L3699" s="41" t="s">
        <v>4</v>
      </c>
    </row>
    <row r="3700" spans="1:19" x14ac:dyDescent="0.25">
      <c r="A3700" s="41" t="s">
        <v>23</v>
      </c>
      <c r="B3700" s="41" t="s">
        <v>29883</v>
      </c>
      <c r="D3700" s="41" t="s">
        <v>29716</v>
      </c>
      <c r="E3700" s="41" t="s">
        <v>29884</v>
      </c>
      <c r="F3700" s="41" t="s">
        <v>29885</v>
      </c>
      <c r="G3700" s="41" t="s">
        <v>29886</v>
      </c>
      <c r="H3700" s="41" t="s">
        <v>29887</v>
      </c>
      <c r="I3700" s="41" t="s">
        <v>29888</v>
      </c>
      <c r="J3700" s="41" t="s">
        <v>29889</v>
      </c>
      <c r="K3700" s="41" t="s">
        <v>29890</v>
      </c>
      <c r="L3700" s="41" t="s">
        <v>29891</v>
      </c>
      <c r="M3700" s="41" t="s">
        <v>29892</v>
      </c>
      <c r="N3700" s="41" t="s">
        <v>29893</v>
      </c>
      <c r="O3700" s="41" t="s">
        <v>29894</v>
      </c>
      <c r="P3700" s="41" t="s">
        <v>29895</v>
      </c>
      <c r="Q3700" s="41" t="s">
        <v>29896</v>
      </c>
      <c r="R3700" s="41" t="s">
        <v>29897</v>
      </c>
      <c r="S3700" s="41" t="s">
        <v>29898</v>
      </c>
    </row>
    <row r="3701" spans="1:19" x14ac:dyDescent="0.25">
      <c r="A3701" s="41" t="s">
        <v>23</v>
      </c>
      <c r="B3701" s="41" t="s">
        <v>29899</v>
      </c>
      <c r="D3701" s="41" t="s">
        <v>29900</v>
      </c>
      <c r="F3701" s="41" t="s">
        <v>29901</v>
      </c>
      <c r="G3701" s="41" t="s">
        <v>29902</v>
      </c>
      <c r="H3701" s="41" t="s">
        <v>29903</v>
      </c>
      <c r="I3701" s="41" t="s">
        <v>29904</v>
      </c>
      <c r="J3701" s="41" t="s">
        <v>29905</v>
      </c>
      <c r="K3701" s="41" t="s">
        <v>29906</v>
      </c>
      <c r="L3701" s="41" t="s">
        <v>891</v>
      </c>
    </row>
    <row r="3702" spans="1:19" x14ac:dyDescent="0.25">
      <c r="A3702" s="41" t="s">
        <v>23</v>
      </c>
      <c r="B3702" s="41" t="s">
        <v>29907</v>
      </c>
      <c r="D3702" s="41" t="s">
        <v>29908</v>
      </c>
      <c r="F3702" s="41" t="s">
        <v>29909</v>
      </c>
      <c r="G3702" s="41" t="s">
        <v>29910</v>
      </c>
      <c r="H3702" s="41" t="s">
        <v>29911</v>
      </c>
      <c r="I3702" s="41" t="s">
        <v>29912</v>
      </c>
      <c r="J3702" s="41" t="s">
        <v>29913</v>
      </c>
      <c r="K3702" s="41" t="s">
        <v>29914</v>
      </c>
      <c r="L3702" s="41" t="s">
        <v>1076</v>
      </c>
    </row>
    <row r="3703" spans="1:19" x14ac:dyDescent="0.25">
      <c r="A3703" s="41" t="s">
        <v>23</v>
      </c>
      <c r="B3703" s="41" t="s">
        <v>29915</v>
      </c>
      <c r="D3703" s="41" t="s">
        <v>29916</v>
      </c>
      <c r="F3703" s="41" t="s">
        <v>29917</v>
      </c>
      <c r="G3703" s="41" t="s">
        <v>29918</v>
      </c>
      <c r="H3703" s="41" t="s">
        <v>29919</v>
      </c>
      <c r="I3703" s="41" t="s">
        <v>29920</v>
      </c>
      <c r="J3703" s="41" t="s">
        <v>29921</v>
      </c>
      <c r="K3703" s="41" t="s">
        <v>29922</v>
      </c>
      <c r="L3703" s="41" t="s">
        <v>1085</v>
      </c>
    </row>
    <row r="3704" spans="1:19" x14ac:dyDescent="0.25">
      <c r="A3704" s="41" t="s">
        <v>23</v>
      </c>
      <c r="B3704" s="41" t="s">
        <v>29923</v>
      </c>
      <c r="D3704" s="41" t="s">
        <v>29924</v>
      </c>
      <c r="F3704" s="41" t="s">
        <v>29925</v>
      </c>
      <c r="G3704" s="41" t="s">
        <v>29926</v>
      </c>
      <c r="H3704" s="41" t="s">
        <v>29927</v>
      </c>
      <c r="I3704" s="41" t="s">
        <v>29928</v>
      </c>
      <c r="J3704" s="41" t="s">
        <v>29929</v>
      </c>
      <c r="K3704" s="41" t="s">
        <v>29930</v>
      </c>
      <c r="L3704" s="41" t="s">
        <v>1094</v>
      </c>
    </row>
    <row r="3705" spans="1:19" x14ac:dyDescent="0.25">
      <c r="A3705" s="41" t="s">
        <v>908</v>
      </c>
      <c r="B3705" s="41" t="s">
        <v>29931</v>
      </c>
    </row>
    <row r="3706" spans="1:19" x14ac:dyDescent="0.25">
      <c r="A3706" s="41" t="s">
        <v>23</v>
      </c>
      <c r="B3706" s="41" t="s">
        <v>29932</v>
      </c>
      <c r="F3706" s="41" t="s">
        <v>29933</v>
      </c>
      <c r="G3706" s="41" t="s">
        <v>29934</v>
      </c>
      <c r="H3706" s="41" t="s">
        <v>29935</v>
      </c>
      <c r="I3706" s="41" t="s">
        <v>29936</v>
      </c>
      <c r="J3706" s="41" t="s">
        <v>29937</v>
      </c>
      <c r="L3706" s="41" t="s">
        <v>4</v>
      </c>
    </row>
    <row r="3707" spans="1:19" x14ac:dyDescent="0.25">
      <c r="A3707" s="41" t="s">
        <v>23</v>
      </c>
      <c r="B3707" s="41" t="s">
        <v>29938</v>
      </c>
      <c r="D3707" s="41" t="s">
        <v>29772</v>
      </c>
      <c r="E3707" s="41" t="s">
        <v>29940</v>
      </c>
      <c r="F3707" s="41" t="s">
        <v>29941</v>
      </c>
      <c r="G3707" s="41" t="s">
        <v>29942</v>
      </c>
      <c r="H3707" s="41" t="s">
        <v>29943</v>
      </c>
      <c r="I3707" s="41" t="s">
        <v>29944</v>
      </c>
      <c r="J3707" s="41" t="s">
        <v>29945</v>
      </c>
      <c r="K3707" s="41" t="s">
        <v>29946</v>
      </c>
      <c r="L3707" s="41" t="s">
        <v>29947</v>
      </c>
      <c r="M3707" s="41" t="s">
        <v>29948</v>
      </c>
      <c r="N3707" s="41" t="s">
        <v>29949</v>
      </c>
      <c r="O3707" s="41" t="s">
        <v>29950</v>
      </c>
      <c r="P3707" s="41" t="s">
        <v>29951</v>
      </c>
      <c r="Q3707" s="41" t="s">
        <v>29952</v>
      </c>
      <c r="R3707" s="41" t="s">
        <v>29953</v>
      </c>
      <c r="S3707" s="41" t="s">
        <v>29954</v>
      </c>
    </row>
    <row r="3708" spans="1:19" x14ac:dyDescent="0.25">
      <c r="A3708" s="41" t="s">
        <v>23</v>
      </c>
      <c r="B3708" s="41" t="s">
        <v>29955</v>
      </c>
      <c r="D3708" s="41" t="s">
        <v>29956</v>
      </c>
      <c r="F3708" s="41" t="s">
        <v>29957</v>
      </c>
      <c r="G3708" s="41" t="s">
        <v>29958</v>
      </c>
      <c r="H3708" s="41" t="s">
        <v>29959</v>
      </c>
      <c r="I3708" s="41" t="s">
        <v>29960</v>
      </c>
      <c r="J3708" s="41" t="s">
        <v>29961</v>
      </c>
      <c r="K3708" s="41" t="s">
        <v>29962</v>
      </c>
      <c r="L3708" s="41" t="s">
        <v>891</v>
      </c>
    </row>
    <row r="3709" spans="1:19" x14ac:dyDescent="0.25">
      <c r="A3709" s="41" t="s">
        <v>23</v>
      </c>
      <c r="B3709" s="41" t="s">
        <v>29963</v>
      </c>
      <c r="D3709" s="41" t="s">
        <v>29964</v>
      </c>
      <c r="F3709" s="41" t="s">
        <v>29965</v>
      </c>
      <c r="G3709" s="41" t="s">
        <v>29966</v>
      </c>
      <c r="H3709" s="41" t="s">
        <v>29967</v>
      </c>
      <c r="I3709" s="41" t="s">
        <v>29968</v>
      </c>
      <c r="J3709" s="41" t="s">
        <v>29969</v>
      </c>
      <c r="K3709" s="41" t="s">
        <v>29970</v>
      </c>
      <c r="L3709" s="41" t="s">
        <v>1076</v>
      </c>
    </row>
    <row r="3710" spans="1:19" x14ac:dyDescent="0.25">
      <c r="A3710" s="41" t="s">
        <v>23</v>
      </c>
      <c r="B3710" s="41" t="s">
        <v>29971</v>
      </c>
      <c r="D3710" s="41" t="s">
        <v>29972</v>
      </c>
      <c r="F3710" s="41" t="s">
        <v>29973</v>
      </c>
      <c r="G3710" s="41" t="s">
        <v>29974</v>
      </c>
      <c r="H3710" s="41" t="s">
        <v>29975</v>
      </c>
      <c r="I3710" s="41" t="s">
        <v>29976</v>
      </c>
      <c r="J3710" s="41" t="s">
        <v>29977</v>
      </c>
      <c r="K3710" s="41" t="s">
        <v>29978</v>
      </c>
      <c r="L3710" s="41" t="s">
        <v>1085</v>
      </c>
    </row>
    <row r="3711" spans="1:19" x14ac:dyDescent="0.25">
      <c r="A3711" s="41" t="s">
        <v>23</v>
      </c>
      <c r="B3711" s="41" t="s">
        <v>29979</v>
      </c>
      <c r="D3711" s="41" t="s">
        <v>29980</v>
      </c>
      <c r="F3711" s="41" t="s">
        <v>29981</v>
      </c>
      <c r="G3711" s="41" t="s">
        <v>29982</v>
      </c>
      <c r="H3711" s="41" t="s">
        <v>29983</v>
      </c>
      <c r="I3711" s="41" t="s">
        <v>29984</v>
      </c>
      <c r="J3711" s="41" t="s">
        <v>29985</v>
      </c>
      <c r="K3711" s="41" t="s">
        <v>29986</v>
      </c>
      <c r="L3711" s="41" t="s">
        <v>1094</v>
      </c>
    </row>
    <row r="3712" spans="1:19" x14ac:dyDescent="0.25">
      <c r="A3712" s="41" t="s">
        <v>908</v>
      </c>
      <c r="B3712" s="41" t="s">
        <v>29987</v>
      </c>
    </row>
    <row r="3713" spans="1:19" x14ac:dyDescent="0.25">
      <c r="A3713" s="41" t="s">
        <v>23</v>
      </c>
      <c r="B3713" s="41" t="s">
        <v>29988</v>
      </c>
      <c r="F3713" s="41" t="s">
        <v>29989</v>
      </c>
      <c r="G3713" s="41" t="s">
        <v>29990</v>
      </c>
      <c r="H3713" s="41" t="s">
        <v>29991</v>
      </c>
      <c r="I3713" s="41" t="s">
        <v>29992</v>
      </c>
      <c r="J3713" s="41" t="s">
        <v>29993</v>
      </c>
      <c r="L3713" s="41" t="s">
        <v>4</v>
      </c>
    </row>
    <row r="3714" spans="1:19" x14ac:dyDescent="0.25">
      <c r="A3714" s="41" t="s">
        <v>23</v>
      </c>
      <c r="B3714" s="41" t="s">
        <v>29994</v>
      </c>
      <c r="D3714" s="41" t="s">
        <v>29828</v>
      </c>
      <c r="E3714" s="41" t="s">
        <v>29996</v>
      </c>
      <c r="F3714" s="41" t="s">
        <v>29997</v>
      </c>
      <c r="G3714" s="41" t="s">
        <v>29998</v>
      </c>
      <c r="H3714" s="41" t="s">
        <v>29999</v>
      </c>
      <c r="I3714" s="41" t="s">
        <v>30000</v>
      </c>
      <c r="J3714" s="41" t="s">
        <v>30001</v>
      </c>
      <c r="K3714" s="41" t="s">
        <v>30002</v>
      </c>
      <c r="L3714" s="41" t="s">
        <v>30003</v>
      </c>
      <c r="M3714" s="41" t="s">
        <v>30004</v>
      </c>
      <c r="N3714" s="41" t="s">
        <v>30005</v>
      </c>
      <c r="O3714" s="41" t="s">
        <v>30006</v>
      </c>
      <c r="P3714" s="41" t="s">
        <v>30007</v>
      </c>
      <c r="Q3714" s="41" t="s">
        <v>30008</v>
      </c>
      <c r="R3714" s="41" t="s">
        <v>30009</v>
      </c>
      <c r="S3714" s="41" t="s">
        <v>30010</v>
      </c>
    </row>
    <row r="3715" spans="1:19" x14ac:dyDescent="0.25">
      <c r="A3715" s="41" t="s">
        <v>23</v>
      </c>
      <c r="B3715" s="41" t="s">
        <v>30011</v>
      </c>
      <c r="D3715" s="41" t="s">
        <v>30012</v>
      </c>
      <c r="F3715" s="41" t="s">
        <v>30013</v>
      </c>
      <c r="G3715" s="41" t="s">
        <v>30014</v>
      </c>
      <c r="H3715" s="41" t="s">
        <v>30015</v>
      </c>
      <c r="I3715" s="41" t="s">
        <v>30016</v>
      </c>
      <c r="J3715" s="41" t="s">
        <v>30017</v>
      </c>
      <c r="K3715" s="41" t="s">
        <v>30018</v>
      </c>
      <c r="L3715" s="41" t="s">
        <v>891</v>
      </c>
    </row>
    <row r="3716" spans="1:19" x14ac:dyDescent="0.25">
      <c r="A3716" s="41" t="s">
        <v>23</v>
      </c>
      <c r="B3716" s="41" t="s">
        <v>30019</v>
      </c>
      <c r="D3716" s="41" t="s">
        <v>30020</v>
      </c>
      <c r="F3716" s="41" t="s">
        <v>30021</v>
      </c>
      <c r="G3716" s="41" t="s">
        <v>30022</v>
      </c>
      <c r="H3716" s="41" t="s">
        <v>30023</v>
      </c>
      <c r="I3716" s="41" t="s">
        <v>30024</v>
      </c>
      <c r="J3716" s="41" t="s">
        <v>30025</v>
      </c>
      <c r="K3716" s="41" t="s">
        <v>30026</v>
      </c>
      <c r="L3716" s="41" t="s">
        <v>1076</v>
      </c>
    </row>
    <row r="3717" spans="1:19" x14ac:dyDescent="0.25">
      <c r="A3717" s="41" t="s">
        <v>23</v>
      </c>
      <c r="B3717" s="41" t="s">
        <v>30027</v>
      </c>
      <c r="D3717" s="41" t="s">
        <v>30028</v>
      </c>
      <c r="F3717" s="41" t="s">
        <v>30029</v>
      </c>
      <c r="G3717" s="41" t="s">
        <v>30030</v>
      </c>
      <c r="H3717" s="41" t="s">
        <v>30031</v>
      </c>
      <c r="I3717" s="41" t="s">
        <v>30032</v>
      </c>
      <c r="J3717" s="41" t="s">
        <v>30033</v>
      </c>
      <c r="K3717" s="41" t="s">
        <v>30034</v>
      </c>
      <c r="L3717" s="41" t="s">
        <v>1085</v>
      </c>
    </row>
    <row r="3718" spans="1:19" x14ac:dyDescent="0.25">
      <c r="A3718" s="41" t="s">
        <v>23</v>
      </c>
      <c r="B3718" s="41" t="s">
        <v>30035</v>
      </c>
      <c r="D3718" s="41" t="s">
        <v>30036</v>
      </c>
      <c r="F3718" s="41" t="s">
        <v>30037</v>
      </c>
      <c r="G3718" s="41" t="s">
        <v>30038</v>
      </c>
      <c r="H3718" s="41" t="s">
        <v>30039</v>
      </c>
      <c r="I3718" s="41" t="s">
        <v>30040</v>
      </c>
      <c r="J3718" s="41" t="s">
        <v>30041</v>
      </c>
      <c r="K3718" s="41" t="s">
        <v>30042</v>
      </c>
      <c r="L3718" s="41" t="s">
        <v>1094</v>
      </c>
    </row>
    <row r="3719" spans="1:19" x14ac:dyDescent="0.25">
      <c r="A3719" s="41" t="s">
        <v>908</v>
      </c>
      <c r="B3719" s="41" t="s">
        <v>30043</v>
      </c>
    </row>
    <row r="3720" spans="1:19" x14ac:dyDescent="0.25">
      <c r="A3720" s="41" t="s">
        <v>23</v>
      </c>
      <c r="B3720" s="41" t="s">
        <v>30044</v>
      </c>
      <c r="F3720" s="41" t="s">
        <v>30045</v>
      </c>
      <c r="G3720" s="41" t="s">
        <v>30046</v>
      </c>
      <c r="H3720" s="41" t="s">
        <v>30047</v>
      </c>
      <c r="I3720" s="41" t="s">
        <v>30048</v>
      </c>
      <c r="J3720" s="41" t="s">
        <v>30049</v>
      </c>
      <c r="L3720" s="41" t="s">
        <v>4</v>
      </c>
    </row>
    <row r="3721" spans="1:19" x14ac:dyDescent="0.25">
      <c r="A3721" s="41" t="s">
        <v>23</v>
      </c>
      <c r="B3721" s="41" t="s">
        <v>30050</v>
      </c>
      <c r="D3721" s="41" t="s">
        <v>457</v>
      </c>
      <c r="E3721" s="41" t="s">
        <v>30051</v>
      </c>
      <c r="F3721" s="41" t="s">
        <v>30052</v>
      </c>
      <c r="G3721" s="41" t="s">
        <v>30053</v>
      </c>
      <c r="H3721" s="41" t="s">
        <v>30054</v>
      </c>
      <c r="I3721" s="41" t="s">
        <v>30055</v>
      </c>
      <c r="J3721" s="41" t="s">
        <v>30056</v>
      </c>
      <c r="K3721" s="41" t="s">
        <v>30057</v>
      </c>
      <c r="L3721" s="41" t="s">
        <v>30058</v>
      </c>
      <c r="M3721" s="41" t="s">
        <v>30059</v>
      </c>
      <c r="N3721" s="41" t="s">
        <v>30060</v>
      </c>
      <c r="O3721" s="41" t="s">
        <v>30061</v>
      </c>
      <c r="P3721" s="41" t="s">
        <v>30062</v>
      </c>
      <c r="Q3721" s="41" t="s">
        <v>30063</v>
      </c>
      <c r="R3721" s="41" t="s">
        <v>30064</v>
      </c>
      <c r="S3721" s="41" t="s">
        <v>30065</v>
      </c>
    </row>
    <row r="3722" spans="1:19" x14ac:dyDescent="0.25">
      <c r="A3722" s="41" t="s">
        <v>23</v>
      </c>
      <c r="B3722" s="41" t="s">
        <v>30066</v>
      </c>
      <c r="D3722" s="41" t="s">
        <v>30067</v>
      </c>
      <c r="F3722" s="41" t="s">
        <v>30068</v>
      </c>
      <c r="G3722" s="41" t="s">
        <v>30069</v>
      </c>
      <c r="H3722" s="41" t="s">
        <v>30070</v>
      </c>
      <c r="I3722" s="41" t="s">
        <v>30071</v>
      </c>
      <c r="J3722" s="41" t="s">
        <v>30072</v>
      </c>
      <c r="K3722" s="41" t="s">
        <v>30073</v>
      </c>
      <c r="L3722" s="41" t="s">
        <v>891</v>
      </c>
    </row>
    <row r="3723" spans="1:19" x14ac:dyDescent="0.25">
      <c r="A3723" s="41" t="s">
        <v>23</v>
      </c>
      <c r="B3723" s="41" t="s">
        <v>30074</v>
      </c>
      <c r="D3723" s="41" t="s">
        <v>30075</v>
      </c>
      <c r="F3723" s="41" t="s">
        <v>30076</v>
      </c>
      <c r="G3723" s="41" t="s">
        <v>30077</v>
      </c>
      <c r="H3723" s="41" t="s">
        <v>30078</v>
      </c>
      <c r="I3723" s="41" t="s">
        <v>30079</v>
      </c>
      <c r="J3723" s="41" t="s">
        <v>30080</v>
      </c>
      <c r="K3723" s="41" t="s">
        <v>30081</v>
      </c>
      <c r="L3723" s="41" t="s">
        <v>1076</v>
      </c>
    </row>
    <row r="3724" spans="1:19" x14ac:dyDescent="0.25">
      <c r="A3724" s="41" t="s">
        <v>23</v>
      </c>
      <c r="B3724" s="41" t="s">
        <v>30082</v>
      </c>
      <c r="D3724" s="41" t="s">
        <v>30083</v>
      </c>
      <c r="F3724" s="41" t="s">
        <v>30084</v>
      </c>
      <c r="G3724" s="41" t="s">
        <v>30085</v>
      </c>
      <c r="H3724" s="41" t="s">
        <v>30086</v>
      </c>
      <c r="I3724" s="41" t="s">
        <v>30087</v>
      </c>
      <c r="J3724" s="41" t="s">
        <v>30088</v>
      </c>
      <c r="K3724" s="41" t="s">
        <v>30089</v>
      </c>
      <c r="L3724" s="41" t="s">
        <v>1085</v>
      </c>
    </row>
    <row r="3725" spans="1:19" x14ac:dyDescent="0.25">
      <c r="A3725" s="41" t="s">
        <v>23</v>
      </c>
      <c r="B3725" s="41" t="s">
        <v>30090</v>
      </c>
      <c r="D3725" s="41" t="s">
        <v>30091</v>
      </c>
      <c r="F3725" s="41" t="s">
        <v>30092</v>
      </c>
      <c r="G3725" s="41" t="s">
        <v>30093</v>
      </c>
      <c r="H3725" s="41" t="s">
        <v>30094</v>
      </c>
      <c r="I3725" s="41" t="s">
        <v>30095</v>
      </c>
      <c r="J3725" s="41" t="s">
        <v>30096</v>
      </c>
      <c r="K3725" s="41" t="s">
        <v>30097</v>
      </c>
      <c r="L3725" s="41" t="s">
        <v>1094</v>
      </c>
    </row>
    <row r="3726" spans="1:19" x14ac:dyDescent="0.25">
      <c r="A3726" s="41" t="s">
        <v>908</v>
      </c>
      <c r="B3726" s="41" t="s">
        <v>30098</v>
      </c>
    </row>
    <row r="3727" spans="1:19" x14ac:dyDescent="0.25">
      <c r="A3727" s="41" t="s">
        <v>23</v>
      </c>
      <c r="B3727" s="41" t="s">
        <v>30099</v>
      </c>
      <c r="F3727" s="41" t="s">
        <v>30100</v>
      </c>
      <c r="G3727" s="41" t="s">
        <v>30101</v>
      </c>
      <c r="H3727" s="41" t="s">
        <v>30102</v>
      </c>
      <c r="I3727" s="41" t="s">
        <v>30103</v>
      </c>
      <c r="J3727" s="41" t="s">
        <v>30104</v>
      </c>
      <c r="L3727" s="41" t="s">
        <v>4</v>
      </c>
    </row>
    <row r="3728" spans="1:19" x14ac:dyDescent="0.25">
      <c r="A3728" s="41" t="s">
        <v>23</v>
      </c>
      <c r="B3728" s="41" t="s">
        <v>30105</v>
      </c>
      <c r="D3728" s="41" t="s">
        <v>29939</v>
      </c>
      <c r="E3728" s="41" t="s">
        <v>30107</v>
      </c>
      <c r="F3728" s="41" t="s">
        <v>30108</v>
      </c>
      <c r="G3728" s="41" t="s">
        <v>30109</v>
      </c>
      <c r="H3728" s="41" t="s">
        <v>30110</v>
      </c>
      <c r="I3728" s="41" t="s">
        <v>30111</v>
      </c>
      <c r="J3728" s="41" t="s">
        <v>30112</v>
      </c>
      <c r="K3728" s="41" t="s">
        <v>30113</v>
      </c>
      <c r="L3728" s="41" t="s">
        <v>30114</v>
      </c>
      <c r="M3728" s="41" t="s">
        <v>30115</v>
      </c>
      <c r="N3728" s="41" t="s">
        <v>30116</v>
      </c>
      <c r="O3728" s="41" t="s">
        <v>30117</v>
      </c>
      <c r="P3728" s="41" t="s">
        <v>30118</v>
      </c>
      <c r="Q3728" s="41" t="s">
        <v>30119</v>
      </c>
      <c r="R3728" s="41" t="s">
        <v>30120</v>
      </c>
      <c r="S3728" s="41" t="s">
        <v>30121</v>
      </c>
    </row>
    <row r="3729" spans="1:19" x14ac:dyDescent="0.25">
      <c r="A3729" s="41" t="s">
        <v>23</v>
      </c>
      <c r="B3729" s="41" t="s">
        <v>30122</v>
      </c>
      <c r="D3729" s="41" t="s">
        <v>30123</v>
      </c>
      <c r="F3729" s="41" t="s">
        <v>30124</v>
      </c>
      <c r="G3729" s="41" t="s">
        <v>30125</v>
      </c>
      <c r="H3729" s="41" t="s">
        <v>30126</v>
      </c>
      <c r="I3729" s="41" t="s">
        <v>30127</v>
      </c>
      <c r="J3729" s="41" t="s">
        <v>30128</v>
      </c>
      <c r="K3729" s="41" t="s">
        <v>30129</v>
      </c>
      <c r="L3729" s="41" t="s">
        <v>891</v>
      </c>
    </row>
    <row r="3730" spans="1:19" x14ac:dyDescent="0.25">
      <c r="A3730" s="41" t="s">
        <v>23</v>
      </c>
      <c r="B3730" s="41" t="s">
        <v>30130</v>
      </c>
      <c r="D3730" s="41" t="s">
        <v>30131</v>
      </c>
      <c r="F3730" s="41" t="s">
        <v>30132</v>
      </c>
      <c r="G3730" s="41" t="s">
        <v>30133</v>
      </c>
      <c r="H3730" s="41" t="s">
        <v>30134</v>
      </c>
      <c r="I3730" s="41" t="s">
        <v>30135</v>
      </c>
      <c r="J3730" s="41" t="s">
        <v>30136</v>
      </c>
      <c r="K3730" s="41" t="s">
        <v>30137</v>
      </c>
      <c r="L3730" s="41" t="s">
        <v>1076</v>
      </c>
    </row>
    <row r="3731" spans="1:19" x14ac:dyDescent="0.25">
      <c r="A3731" s="41" t="s">
        <v>23</v>
      </c>
      <c r="B3731" s="41" t="s">
        <v>30138</v>
      </c>
      <c r="D3731" s="41" t="s">
        <v>30139</v>
      </c>
      <c r="F3731" s="41" t="s">
        <v>30140</v>
      </c>
      <c r="G3731" s="41" t="s">
        <v>30141</v>
      </c>
      <c r="H3731" s="41" t="s">
        <v>30142</v>
      </c>
      <c r="I3731" s="41" t="s">
        <v>30143</v>
      </c>
      <c r="J3731" s="41" t="s">
        <v>30144</v>
      </c>
      <c r="K3731" s="41" t="s">
        <v>30145</v>
      </c>
      <c r="L3731" s="41" t="s">
        <v>1085</v>
      </c>
    </row>
    <row r="3732" spans="1:19" x14ac:dyDescent="0.25">
      <c r="A3732" s="41" t="s">
        <v>23</v>
      </c>
      <c r="B3732" s="41" t="s">
        <v>30146</v>
      </c>
      <c r="D3732" s="41" t="s">
        <v>30147</v>
      </c>
      <c r="F3732" s="41" t="s">
        <v>30148</v>
      </c>
      <c r="G3732" s="41" t="s">
        <v>30149</v>
      </c>
      <c r="H3732" s="41" t="s">
        <v>30150</v>
      </c>
      <c r="I3732" s="41" t="s">
        <v>30151</v>
      </c>
      <c r="J3732" s="41" t="s">
        <v>30152</v>
      </c>
      <c r="K3732" s="41" t="s">
        <v>30153</v>
      </c>
      <c r="L3732" s="41" t="s">
        <v>1094</v>
      </c>
    </row>
    <row r="3733" spans="1:19" x14ac:dyDescent="0.25">
      <c r="A3733" s="41" t="s">
        <v>908</v>
      </c>
      <c r="B3733" s="41" t="s">
        <v>30154</v>
      </c>
    </row>
    <row r="3734" spans="1:19" x14ac:dyDescent="0.25">
      <c r="A3734" s="41" t="s">
        <v>23</v>
      </c>
      <c r="B3734" s="41" t="s">
        <v>30155</v>
      </c>
      <c r="F3734" s="41" t="s">
        <v>30156</v>
      </c>
      <c r="G3734" s="41" t="s">
        <v>30157</v>
      </c>
      <c r="H3734" s="41" t="s">
        <v>30158</v>
      </c>
      <c r="I3734" s="41" t="s">
        <v>30159</v>
      </c>
      <c r="J3734" s="41" t="s">
        <v>30160</v>
      </c>
      <c r="L3734" s="41" t="s">
        <v>4</v>
      </c>
    </row>
    <row r="3735" spans="1:19" x14ac:dyDescent="0.25">
      <c r="A3735" s="41" t="s">
        <v>23</v>
      </c>
      <c r="B3735" s="41" t="s">
        <v>30161</v>
      </c>
      <c r="D3735" s="41" t="s">
        <v>29995</v>
      </c>
      <c r="E3735" s="41" t="s">
        <v>30162</v>
      </c>
      <c r="F3735" s="41" t="s">
        <v>30163</v>
      </c>
      <c r="G3735" s="41" t="s">
        <v>30164</v>
      </c>
      <c r="H3735" s="41" t="s">
        <v>30165</v>
      </c>
      <c r="I3735" s="41" t="s">
        <v>30166</v>
      </c>
      <c r="J3735" s="41" t="s">
        <v>30167</v>
      </c>
      <c r="K3735" s="41" t="s">
        <v>30168</v>
      </c>
      <c r="L3735" s="41" t="s">
        <v>30169</v>
      </c>
      <c r="M3735" s="41" t="s">
        <v>30170</v>
      </c>
      <c r="N3735" s="41" t="s">
        <v>30171</v>
      </c>
      <c r="O3735" s="41" t="s">
        <v>30172</v>
      </c>
      <c r="P3735" s="41" t="s">
        <v>30173</v>
      </c>
      <c r="Q3735" s="41" t="s">
        <v>30174</v>
      </c>
      <c r="R3735" s="41" t="s">
        <v>30175</v>
      </c>
      <c r="S3735" s="41" t="s">
        <v>30176</v>
      </c>
    </row>
    <row r="3736" spans="1:19" x14ac:dyDescent="0.25">
      <c r="A3736" s="41" t="s">
        <v>23</v>
      </c>
      <c r="B3736" s="41" t="s">
        <v>30177</v>
      </c>
      <c r="D3736" s="41" t="s">
        <v>30178</v>
      </c>
      <c r="F3736" s="41" t="s">
        <v>30179</v>
      </c>
      <c r="G3736" s="41" t="s">
        <v>30180</v>
      </c>
      <c r="H3736" s="41" t="s">
        <v>30181</v>
      </c>
      <c r="I3736" s="41" t="s">
        <v>30182</v>
      </c>
      <c r="J3736" s="41" t="s">
        <v>30183</v>
      </c>
      <c r="K3736" s="41" t="s">
        <v>30184</v>
      </c>
      <c r="L3736" s="41" t="s">
        <v>891</v>
      </c>
    </row>
    <row r="3737" spans="1:19" x14ac:dyDescent="0.25">
      <c r="A3737" s="41" t="s">
        <v>23</v>
      </c>
      <c r="B3737" s="41" t="s">
        <v>30185</v>
      </c>
      <c r="D3737" s="41" t="s">
        <v>30186</v>
      </c>
      <c r="F3737" s="41" t="s">
        <v>30187</v>
      </c>
      <c r="G3737" s="41" t="s">
        <v>30188</v>
      </c>
      <c r="H3737" s="41" t="s">
        <v>30189</v>
      </c>
      <c r="I3737" s="41" t="s">
        <v>30190</v>
      </c>
      <c r="J3737" s="41" t="s">
        <v>30191</v>
      </c>
      <c r="K3737" s="41" t="s">
        <v>30192</v>
      </c>
      <c r="L3737" s="41" t="s">
        <v>1076</v>
      </c>
    </row>
    <row r="3738" spans="1:19" x14ac:dyDescent="0.25">
      <c r="A3738" s="41" t="s">
        <v>23</v>
      </c>
      <c r="B3738" s="41" t="s">
        <v>30193</v>
      </c>
      <c r="D3738" s="41" t="s">
        <v>30194</v>
      </c>
      <c r="F3738" s="41" t="s">
        <v>30195</v>
      </c>
      <c r="G3738" s="41" t="s">
        <v>30196</v>
      </c>
      <c r="H3738" s="41" t="s">
        <v>30197</v>
      </c>
      <c r="I3738" s="41" t="s">
        <v>30198</v>
      </c>
      <c r="J3738" s="41" t="s">
        <v>30199</v>
      </c>
      <c r="K3738" s="41" t="s">
        <v>30200</v>
      </c>
      <c r="L3738" s="41" t="s">
        <v>1085</v>
      </c>
    </row>
    <row r="3739" spans="1:19" x14ac:dyDescent="0.25">
      <c r="A3739" s="41" t="s">
        <v>23</v>
      </c>
      <c r="B3739" s="41" t="s">
        <v>30201</v>
      </c>
      <c r="D3739" s="41" t="s">
        <v>30202</v>
      </c>
      <c r="F3739" s="41" t="s">
        <v>30203</v>
      </c>
      <c r="G3739" s="41" t="s">
        <v>30204</v>
      </c>
      <c r="H3739" s="41" t="s">
        <v>30205</v>
      </c>
      <c r="I3739" s="41" t="s">
        <v>30206</v>
      </c>
      <c r="J3739" s="41" t="s">
        <v>30207</v>
      </c>
      <c r="K3739" s="41" t="s">
        <v>30208</v>
      </c>
      <c r="L3739" s="41" t="s">
        <v>1094</v>
      </c>
    </row>
    <row r="3740" spans="1:19" x14ac:dyDescent="0.25">
      <c r="A3740" s="41" t="s">
        <v>908</v>
      </c>
      <c r="B3740" s="41" t="s">
        <v>30209</v>
      </c>
    </row>
    <row r="3741" spans="1:19" x14ac:dyDescent="0.25">
      <c r="A3741" s="41" t="s">
        <v>23</v>
      </c>
      <c r="B3741" s="41" t="s">
        <v>30210</v>
      </c>
      <c r="F3741" s="41" t="s">
        <v>30211</v>
      </c>
      <c r="G3741" s="41" t="s">
        <v>30212</v>
      </c>
      <c r="H3741" s="41" t="s">
        <v>30213</v>
      </c>
      <c r="I3741" s="41" t="s">
        <v>30214</v>
      </c>
      <c r="J3741" s="41" t="s">
        <v>30215</v>
      </c>
      <c r="L3741" s="41" t="s">
        <v>4</v>
      </c>
    </row>
    <row r="3742" spans="1:19" x14ac:dyDescent="0.25">
      <c r="A3742" s="41" t="s">
        <v>23</v>
      </c>
      <c r="B3742" s="41" t="s">
        <v>30216</v>
      </c>
      <c r="D3742" s="41" t="s">
        <v>458</v>
      </c>
      <c r="E3742" s="41" t="s">
        <v>30218</v>
      </c>
      <c r="F3742" s="41" t="s">
        <v>30219</v>
      </c>
      <c r="G3742" s="41" t="s">
        <v>30220</v>
      </c>
      <c r="H3742" s="41" t="s">
        <v>30221</v>
      </c>
      <c r="I3742" s="41" t="s">
        <v>30222</v>
      </c>
      <c r="J3742" s="41" t="s">
        <v>30223</v>
      </c>
      <c r="K3742" s="41" t="s">
        <v>30224</v>
      </c>
      <c r="L3742" s="41" t="s">
        <v>30225</v>
      </c>
      <c r="M3742" s="41" t="s">
        <v>30226</v>
      </c>
      <c r="N3742" s="41" t="s">
        <v>30227</v>
      </c>
      <c r="O3742" s="41" t="s">
        <v>30228</v>
      </c>
      <c r="P3742" s="41" t="s">
        <v>30229</v>
      </c>
      <c r="Q3742" s="41" t="s">
        <v>30230</v>
      </c>
      <c r="R3742" s="41" t="s">
        <v>30231</v>
      </c>
      <c r="S3742" s="41" t="s">
        <v>30232</v>
      </c>
    </row>
    <row r="3743" spans="1:19" x14ac:dyDescent="0.25">
      <c r="A3743" s="41" t="s">
        <v>23</v>
      </c>
      <c r="B3743" s="41" t="s">
        <v>30233</v>
      </c>
      <c r="D3743" s="41" t="s">
        <v>30234</v>
      </c>
      <c r="F3743" s="41" t="s">
        <v>30235</v>
      </c>
      <c r="G3743" s="41" t="s">
        <v>30236</v>
      </c>
      <c r="H3743" s="41" t="s">
        <v>30237</v>
      </c>
      <c r="I3743" s="41" t="s">
        <v>30238</v>
      </c>
      <c r="J3743" s="41" t="s">
        <v>30239</v>
      </c>
      <c r="K3743" s="41" t="s">
        <v>30240</v>
      </c>
      <c r="L3743" s="41" t="s">
        <v>891</v>
      </c>
    </row>
    <row r="3744" spans="1:19" x14ac:dyDescent="0.25">
      <c r="A3744" s="41" t="s">
        <v>23</v>
      </c>
      <c r="B3744" s="41" t="s">
        <v>30241</v>
      </c>
      <c r="D3744" s="41" t="s">
        <v>30242</v>
      </c>
      <c r="F3744" s="41" t="s">
        <v>30243</v>
      </c>
      <c r="G3744" s="41" t="s">
        <v>30244</v>
      </c>
      <c r="H3744" s="41" t="s">
        <v>30245</v>
      </c>
      <c r="I3744" s="41" t="s">
        <v>30246</v>
      </c>
      <c r="J3744" s="41" t="s">
        <v>30247</v>
      </c>
      <c r="K3744" s="41" t="s">
        <v>30248</v>
      </c>
      <c r="L3744" s="41" t="s">
        <v>1076</v>
      </c>
    </row>
    <row r="3745" spans="1:19" x14ac:dyDescent="0.25">
      <c r="A3745" s="41" t="s">
        <v>23</v>
      </c>
      <c r="B3745" s="41" t="s">
        <v>30249</v>
      </c>
      <c r="D3745" s="41" t="s">
        <v>30250</v>
      </c>
      <c r="F3745" s="41" t="s">
        <v>30251</v>
      </c>
      <c r="G3745" s="41" t="s">
        <v>30252</v>
      </c>
      <c r="H3745" s="41" t="s">
        <v>30253</v>
      </c>
      <c r="I3745" s="41" t="s">
        <v>30254</v>
      </c>
      <c r="J3745" s="41" t="s">
        <v>30255</v>
      </c>
      <c r="K3745" s="41" t="s">
        <v>30256</v>
      </c>
      <c r="L3745" s="41" t="s">
        <v>1085</v>
      </c>
    </row>
    <row r="3746" spans="1:19" x14ac:dyDescent="0.25">
      <c r="A3746" s="41" t="s">
        <v>23</v>
      </c>
      <c r="B3746" s="41" t="s">
        <v>30257</v>
      </c>
      <c r="D3746" s="41" t="s">
        <v>30258</v>
      </c>
      <c r="F3746" s="41" t="s">
        <v>30259</v>
      </c>
      <c r="G3746" s="41" t="s">
        <v>30260</v>
      </c>
      <c r="H3746" s="41" t="s">
        <v>30261</v>
      </c>
      <c r="I3746" s="41" t="s">
        <v>30262</v>
      </c>
      <c r="J3746" s="41" t="s">
        <v>30263</v>
      </c>
      <c r="K3746" s="41" t="s">
        <v>30264</v>
      </c>
      <c r="L3746" s="41" t="s">
        <v>1094</v>
      </c>
    </row>
    <row r="3747" spans="1:19" x14ac:dyDescent="0.25">
      <c r="A3747" s="41" t="s">
        <v>908</v>
      </c>
      <c r="B3747" s="41" t="s">
        <v>30265</v>
      </c>
    </row>
    <row r="3748" spans="1:19" x14ac:dyDescent="0.25">
      <c r="A3748" s="41" t="s">
        <v>23</v>
      </c>
      <c r="B3748" s="41" t="s">
        <v>30266</v>
      </c>
      <c r="F3748" s="41" t="s">
        <v>30267</v>
      </c>
      <c r="G3748" s="41" t="s">
        <v>30268</v>
      </c>
      <c r="H3748" s="41" t="s">
        <v>30269</v>
      </c>
      <c r="I3748" s="41" t="s">
        <v>30270</v>
      </c>
      <c r="J3748" s="41" t="s">
        <v>30271</v>
      </c>
      <c r="L3748" s="41" t="s">
        <v>4</v>
      </c>
    </row>
    <row r="3749" spans="1:19" x14ac:dyDescent="0.25">
      <c r="A3749" s="41" t="s">
        <v>23</v>
      </c>
      <c r="B3749" s="41" t="s">
        <v>30272</v>
      </c>
      <c r="D3749" s="41" t="s">
        <v>30106</v>
      </c>
      <c r="E3749" s="41" t="s">
        <v>30274</v>
      </c>
      <c r="F3749" s="41" t="s">
        <v>30275</v>
      </c>
      <c r="G3749" s="41" t="s">
        <v>30276</v>
      </c>
      <c r="H3749" s="41" t="s">
        <v>30277</v>
      </c>
      <c r="I3749" s="41" t="s">
        <v>30278</v>
      </c>
      <c r="J3749" s="41" t="s">
        <v>30279</v>
      </c>
      <c r="K3749" s="41" t="s">
        <v>30280</v>
      </c>
      <c r="L3749" s="41" t="s">
        <v>30281</v>
      </c>
      <c r="M3749" s="41" t="s">
        <v>30282</v>
      </c>
      <c r="N3749" s="41" t="s">
        <v>30283</v>
      </c>
      <c r="O3749" s="41" t="s">
        <v>30284</v>
      </c>
      <c r="P3749" s="41" t="s">
        <v>30285</v>
      </c>
      <c r="Q3749" s="41" t="s">
        <v>30286</v>
      </c>
      <c r="R3749" s="41" t="s">
        <v>30287</v>
      </c>
      <c r="S3749" s="41" t="s">
        <v>30288</v>
      </c>
    </row>
    <row r="3750" spans="1:19" x14ac:dyDescent="0.25">
      <c r="A3750" s="41" t="s">
        <v>23</v>
      </c>
      <c r="B3750" s="41" t="s">
        <v>30289</v>
      </c>
      <c r="D3750" s="41" t="s">
        <v>30290</v>
      </c>
      <c r="F3750" s="41" t="s">
        <v>30291</v>
      </c>
      <c r="G3750" s="41" t="s">
        <v>30292</v>
      </c>
      <c r="H3750" s="41" t="s">
        <v>30293</v>
      </c>
      <c r="I3750" s="41" t="s">
        <v>30294</v>
      </c>
      <c r="J3750" s="41" t="s">
        <v>30295</v>
      </c>
      <c r="K3750" s="41" t="s">
        <v>30296</v>
      </c>
      <c r="L3750" s="41" t="s">
        <v>891</v>
      </c>
    </row>
    <row r="3751" spans="1:19" x14ac:dyDescent="0.25">
      <c r="A3751" s="41" t="s">
        <v>23</v>
      </c>
      <c r="B3751" s="41" t="s">
        <v>30297</v>
      </c>
      <c r="D3751" s="41" t="s">
        <v>30298</v>
      </c>
      <c r="F3751" s="41" t="s">
        <v>30299</v>
      </c>
      <c r="G3751" s="41" t="s">
        <v>30300</v>
      </c>
      <c r="H3751" s="41" t="s">
        <v>30301</v>
      </c>
      <c r="I3751" s="41" t="s">
        <v>30302</v>
      </c>
      <c r="J3751" s="41" t="s">
        <v>30303</v>
      </c>
      <c r="K3751" s="41" t="s">
        <v>30304</v>
      </c>
      <c r="L3751" s="41" t="s">
        <v>1076</v>
      </c>
    </row>
    <row r="3752" spans="1:19" x14ac:dyDescent="0.25">
      <c r="A3752" s="41" t="s">
        <v>23</v>
      </c>
      <c r="B3752" s="41" t="s">
        <v>30305</v>
      </c>
      <c r="D3752" s="41" t="s">
        <v>30306</v>
      </c>
      <c r="F3752" s="41" t="s">
        <v>30307</v>
      </c>
      <c r="G3752" s="41" t="s">
        <v>30308</v>
      </c>
      <c r="H3752" s="41" t="s">
        <v>30309</v>
      </c>
      <c r="I3752" s="41" t="s">
        <v>30310</v>
      </c>
      <c r="J3752" s="41" t="s">
        <v>30311</v>
      </c>
      <c r="K3752" s="41" t="s">
        <v>30312</v>
      </c>
      <c r="L3752" s="41" t="s">
        <v>1085</v>
      </c>
    </row>
    <row r="3753" spans="1:19" x14ac:dyDescent="0.25">
      <c r="A3753" s="41" t="s">
        <v>23</v>
      </c>
      <c r="B3753" s="41" t="s">
        <v>30313</v>
      </c>
      <c r="D3753" s="41" t="s">
        <v>30314</v>
      </c>
      <c r="F3753" s="41" t="s">
        <v>30315</v>
      </c>
      <c r="G3753" s="41" t="s">
        <v>30316</v>
      </c>
      <c r="H3753" s="41" t="s">
        <v>30317</v>
      </c>
      <c r="I3753" s="41" t="s">
        <v>30318</v>
      </c>
      <c r="J3753" s="41" t="s">
        <v>30319</v>
      </c>
      <c r="K3753" s="41" t="s">
        <v>30320</v>
      </c>
      <c r="L3753" s="41" t="s">
        <v>1094</v>
      </c>
    </row>
    <row r="3754" spans="1:19" x14ac:dyDescent="0.25">
      <c r="A3754" s="41" t="s">
        <v>908</v>
      </c>
      <c r="B3754" s="41" t="s">
        <v>30321</v>
      </c>
    </row>
    <row r="3755" spans="1:19" x14ac:dyDescent="0.25">
      <c r="A3755" s="41" t="s">
        <v>23</v>
      </c>
      <c r="B3755" s="41" t="s">
        <v>30322</v>
      </c>
      <c r="F3755" s="41" t="s">
        <v>30323</v>
      </c>
      <c r="G3755" s="41" t="s">
        <v>30324</v>
      </c>
      <c r="H3755" s="41" t="s">
        <v>30325</v>
      </c>
      <c r="I3755" s="41" t="s">
        <v>30326</v>
      </c>
      <c r="J3755" s="41" t="s">
        <v>30327</v>
      </c>
      <c r="L3755" s="41" t="s">
        <v>4</v>
      </c>
    </row>
    <row r="3756" spans="1:19" x14ac:dyDescent="0.25">
      <c r="A3756" s="41" t="s">
        <v>23</v>
      </c>
      <c r="B3756" s="41" t="s">
        <v>30328</v>
      </c>
      <c r="D3756" s="41" t="s">
        <v>459</v>
      </c>
      <c r="E3756" s="41" t="s">
        <v>30330</v>
      </c>
      <c r="F3756" s="41" t="s">
        <v>30331</v>
      </c>
      <c r="G3756" s="41" t="s">
        <v>30332</v>
      </c>
      <c r="H3756" s="41" t="s">
        <v>30333</v>
      </c>
      <c r="I3756" s="41" t="s">
        <v>30334</v>
      </c>
      <c r="J3756" s="41" t="s">
        <v>30335</v>
      </c>
      <c r="K3756" s="41" t="s">
        <v>30336</v>
      </c>
      <c r="L3756" s="41" t="s">
        <v>30337</v>
      </c>
      <c r="M3756" s="41" t="s">
        <v>30338</v>
      </c>
      <c r="N3756" s="41" t="s">
        <v>30339</v>
      </c>
      <c r="O3756" s="41" t="s">
        <v>30340</v>
      </c>
      <c r="P3756" s="41" t="s">
        <v>30341</v>
      </c>
      <c r="Q3756" s="41" t="s">
        <v>30342</v>
      </c>
      <c r="R3756" s="41" t="s">
        <v>30343</v>
      </c>
      <c r="S3756" s="41" t="s">
        <v>30344</v>
      </c>
    </row>
    <row r="3757" spans="1:19" x14ac:dyDescent="0.25">
      <c r="A3757" s="41" t="s">
        <v>23</v>
      </c>
      <c r="B3757" s="41" t="s">
        <v>30345</v>
      </c>
      <c r="D3757" s="41" t="s">
        <v>30346</v>
      </c>
      <c r="F3757" s="41" t="s">
        <v>30347</v>
      </c>
      <c r="G3757" s="41" t="s">
        <v>30348</v>
      </c>
      <c r="H3757" s="41" t="s">
        <v>30349</v>
      </c>
      <c r="I3757" s="41" t="s">
        <v>30350</v>
      </c>
      <c r="J3757" s="41" t="s">
        <v>30351</v>
      </c>
      <c r="K3757" s="41" t="s">
        <v>30352</v>
      </c>
      <c r="L3757" s="41" t="s">
        <v>891</v>
      </c>
    </row>
    <row r="3758" spans="1:19" x14ac:dyDescent="0.25">
      <c r="A3758" s="41" t="s">
        <v>23</v>
      </c>
      <c r="B3758" s="41" t="s">
        <v>30353</v>
      </c>
      <c r="D3758" s="41" t="s">
        <v>30354</v>
      </c>
      <c r="F3758" s="41" t="s">
        <v>30355</v>
      </c>
      <c r="G3758" s="41" t="s">
        <v>30356</v>
      </c>
      <c r="H3758" s="41" t="s">
        <v>30357</v>
      </c>
      <c r="I3758" s="41" t="s">
        <v>30358</v>
      </c>
      <c r="J3758" s="41" t="s">
        <v>30359</v>
      </c>
      <c r="K3758" s="41" t="s">
        <v>30360</v>
      </c>
      <c r="L3758" s="41" t="s">
        <v>1076</v>
      </c>
    </row>
    <row r="3759" spans="1:19" x14ac:dyDescent="0.25">
      <c r="A3759" s="41" t="s">
        <v>23</v>
      </c>
      <c r="B3759" s="41" t="s">
        <v>30361</v>
      </c>
      <c r="D3759" s="41" t="s">
        <v>30362</v>
      </c>
      <c r="F3759" s="41" t="s">
        <v>30363</v>
      </c>
      <c r="G3759" s="41" t="s">
        <v>30364</v>
      </c>
      <c r="H3759" s="41" t="s">
        <v>30365</v>
      </c>
      <c r="I3759" s="41" t="s">
        <v>30366</v>
      </c>
      <c r="J3759" s="41" t="s">
        <v>30367</v>
      </c>
      <c r="K3759" s="41" t="s">
        <v>30368</v>
      </c>
      <c r="L3759" s="41" t="s">
        <v>1085</v>
      </c>
    </row>
    <row r="3760" spans="1:19" x14ac:dyDescent="0.25">
      <c r="A3760" s="41" t="s">
        <v>23</v>
      </c>
      <c r="B3760" s="41" t="s">
        <v>30369</v>
      </c>
      <c r="D3760" s="41" t="s">
        <v>30370</v>
      </c>
      <c r="F3760" s="41" t="s">
        <v>30371</v>
      </c>
      <c r="G3760" s="41" t="s">
        <v>30372</v>
      </c>
      <c r="H3760" s="41" t="s">
        <v>30373</v>
      </c>
      <c r="I3760" s="41" t="s">
        <v>30374</v>
      </c>
      <c r="J3760" s="41" t="s">
        <v>30375</v>
      </c>
      <c r="K3760" s="41" t="s">
        <v>30376</v>
      </c>
      <c r="L3760" s="41" t="s">
        <v>1094</v>
      </c>
    </row>
    <row r="3761" spans="1:19" x14ac:dyDescent="0.25">
      <c r="A3761" s="41" t="s">
        <v>908</v>
      </c>
      <c r="B3761" s="41" t="s">
        <v>30377</v>
      </c>
    </row>
    <row r="3762" spans="1:19" x14ac:dyDescent="0.25">
      <c r="A3762" s="41" t="s">
        <v>23</v>
      </c>
      <c r="B3762" s="41" t="s">
        <v>30378</v>
      </c>
      <c r="F3762" s="41" t="s">
        <v>30379</v>
      </c>
      <c r="G3762" s="41" t="s">
        <v>30380</v>
      </c>
      <c r="H3762" s="41" t="s">
        <v>30381</v>
      </c>
      <c r="I3762" s="41" t="s">
        <v>30382</v>
      </c>
      <c r="J3762" s="41" t="s">
        <v>30383</v>
      </c>
      <c r="L3762" s="41" t="s">
        <v>4</v>
      </c>
    </row>
    <row r="3763" spans="1:19" x14ac:dyDescent="0.25">
      <c r="A3763" s="41" t="s">
        <v>23</v>
      </c>
      <c r="B3763" s="41" t="s">
        <v>30384</v>
      </c>
      <c r="D3763" s="41" t="s">
        <v>30217</v>
      </c>
      <c r="E3763" s="41" t="s">
        <v>30386</v>
      </c>
      <c r="F3763" s="41" t="s">
        <v>30387</v>
      </c>
      <c r="G3763" s="41" t="s">
        <v>30388</v>
      </c>
      <c r="H3763" s="41" t="s">
        <v>30389</v>
      </c>
      <c r="I3763" s="41" t="s">
        <v>30390</v>
      </c>
      <c r="J3763" s="41" t="s">
        <v>30391</v>
      </c>
      <c r="K3763" s="41" t="s">
        <v>30392</v>
      </c>
      <c r="L3763" s="41" t="s">
        <v>30393</v>
      </c>
      <c r="M3763" s="41" t="s">
        <v>30394</v>
      </c>
      <c r="N3763" s="41" t="s">
        <v>30395</v>
      </c>
      <c r="O3763" s="41" t="s">
        <v>30396</v>
      </c>
      <c r="P3763" s="41" t="s">
        <v>30397</v>
      </c>
      <c r="Q3763" s="41" t="s">
        <v>30398</v>
      </c>
      <c r="R3763" s="41" t="s">
        <v>30399</v>
      </c>
      <c r="S3763" s="41" t="s">
        <v>30400</v>
      </c>
    </row>
    <row r="3764" spans="1:19" x14ac:dyDescent="0.25">
      <c r="A3764" s="41" t="s">
        <v>23</v>
      </c>
      <c r="B3764" s="41" t="s">
        <v>30401</v>
      </c>
      <c r="D3764" s="41" t="s">
        <v>30402</v>
      </c>
      <c r="F3764" s="41" t="s">
        <v>30403</v>
      </c>
      <c r="G3764" s="41" t="s">
        <v>30404</v>
      </c>
      <c r="H3764" s="41" t="s">
        <v>30405</v>
      </c>
      <c r="I3764" s="41" t="s">
        <v>30406</v>
      </c>
      <c r="J3764" s="41" t="s">
        <v>30407</v>
      </c>
      <c r="K3764" s="41" t="s">
        <v>30408</v>
      </c>
      <c r="L3764" s="41" t="s">
        <v>891</v>
      </c>
    </row>
    <row r="3765" spans="1:19" x14ac:dyDescent="0.25">
      <c r="A3765" s="41" t="s">
        <v>23</v>
      </c>
      <c r="B3765" s="41" t="s">
        <v>30409</v>
      </c>
      <c r="D3765" s="41" t="s">
        <v>30410</v>
      </c>
      <c r="F3765" s="41" t="s">
        <v>30411</v>
      </c>
      <c r="G3765" s="41" t="s">
        <v>30412</v>
      </c>
      <c r="H3765" s="41" t="s">
        <v>30413</v>
      </c>
      <c r="I3765" s="41" t="s">
        <v>30414</v>
      </c>
      <c r="J3765" s="41" t="s">
        <v>30415</v>
      </c>
      <c r="K3765" s="41" t="s">
        <v>30416</v>
      </c>
      <c r="L3765" s="41" t="s">
        <v>1076</v>
      </c>
    </row>
    <row r="3766" spans="1:19" x14ac:dyDescent="0.25">
      <c r="A3766" s="41" t="s">
        <v>23</v>
      </c>
      <c r="B3766" s="41" t="s">
        <v>30417</v>
      </c>
      <c r="D3766" s="41" t="s">
        <v>30418</v>
      </c>
      <c r="F3766" s="41" t="s">
        <v>30419</v>
      </c>
      <c r="G3766" s="41" t="s">
        <v>30420</v>
      </c>
      <c r="H3766" s="41" t="s">
        <v>30421</v>
      </c>
      <c r="I3766" s="41" t="s">
        <v>30422</v>
      </c>
      <c r="J3766" s="41" t="s">
        <v>30423</v>
      </c>
      <c r="K3766" s="41" t="s">
        <v>30424</v>
      </c>
      <c r="L3766" s="41" t="s">
        <v>1085</v>
      </c>
    </row>
    <row r="3767" spans="1:19" x14ac:dyDescent="0.25">
      <c r="A3767" s="41" t="s">
        <v>23</v>
      </c>
      <c r="B3767" s="41" t="s">
        <v>30425</v>
      </c>
      <c r="D3767" s="41" t="s">
        <v>30426</v>
      </c>
      <c r="F3767" s="41" t="s">
        <v>30427</v>
      </c>
      <c r="G3767" s="41" t="s">
        <v>30428</v>
      </c>
      <c r="H3767" s="41" t="s">
        <v>30429</v>
      </c>
      <c r="I3767" s="41" t="s">
        <v>30430</v>
      </c>
      <c r="J3767" s="41" t="s">
        <v>30431</v>
      </c>
      <c r="K3767" s="41" t="s">
        <v>30432</v>
      </c>
      <c r="L3767" s="41" t="s">
        <v>1094</v>
      </c>
    </row>
    <row r="3768" spans="1:19" x14ac:dyDescent="0.25">
      <c r="A3768" s="41" t="s">
        <v>908</v>
      </c>
      <c r="B3768" s="41" t="s">
        <v>30433</v>
      </c>
    </row>
    <row r="3769" spans="1:19" x14ac:dyDescent="0.25">
      <c r="A3769" s="41" t="s">
        <v>23</v>
      </c>
      <c r="B3769" s="41" t="s">
        <v>30434</v>
      </c>
      <c r="F3769" s="41" t="s">
        <v>30435</v>
      </c>
      <c r="G3769" s="41" t="s">
        <v>30436</v>
      </c>
      <c r="H3769" s="41" t="s">
        <v>30437</v>
      </c>
      <c r="I3769" s="41" t="s">
        <v>30438</v>
      </c>
      <c r="J3769" s="41" t="s">
        <v>30439</v>
      </c>
      <c r="L3769" s="41" t="s">
        <v>4</v>
      </c>
    </row>
    <row r="3770" spans="1:19" x14ac:dyDescent="0.25">
      <c r="A3770" s="41" t="s">
        <v>23</v>
      </c>
      <c r="B3770" s="41" t="s">
        <v>30440</v>
      </c>
      <c r="D3770" s="41" t="s">
        <v>30273</v>
      </c>
      <c r="E3770" s="41" t="s">
        <v>30442</v>
      </c>
      <c r="F3770" s="41" t="s">
        <v>30443</v>
      </c>
      <c r="G3770" s="41" t="s">
        <v>30444</v>
      </c>
      <c r="H3770" s="41" t="s">
        <v>30445</v>
      </c>
      <c r="I3770" s="41" t="s">
        <v>30446</v>
      </c>
      <c r="J3770" s="41" t="s">
        <v>30447</v>
      </c>
      <c r="K3770" s="41" t="s">
        <v>30448</v>
      </c>
      <c r="L3770" s="41" t="s">
        <v>30449</v>
      </c>
      <c r="M3770" s="41" t="s">
        <v>30450</v>
      </c>
      <c r="N3770" s="41" t="s">
        <v>30451</v>
      </c>
      <c r="O3770" s="41" t="s">
        <v>30452</v>
      </c>
      <c r="P3770" s="41" t="s">
        <v>30453</v>
      </c>
      <c r="Q3770" s="41" t="s">
        <v>30454</v>
      </c>
      <c r="R3770" s="41" t="s">
        <v>30455</v>
      </c>
      <c r="S3770" s="41" t="s">
        <v>30456</v>
      </c>
    </row>
    <row r="3771" spans="1:19" x14ac:dyDescent="0.25">
      <c r="A3771" s="41" t="s">
        <v>23</v>
      </c>
      <c r="B3771" s="41" t="s">
        <v>30457</v>
      </c>
      <c r="D3771" s="41" t="s">
        <v>30458</v>
      </c>
      <c r="F3771" s="41" t="s">
        <v>30459</v>
      </c>
      <c r="G3771" s="41" t="s">
        <v>30460</v>
      </c>
      <c r="H3771" s="41" t="s">
        <v>30461</v>
      </c>
      <c r="I3771" s="41" t="s">
        <v>30462</v>
      </c>
      <c r="J3771" s="41" t="s">
        <v>30463</v>
      </c>
      <c r="K3771" s="41" t="s">
        <v>30464</v>
      </c>
      <c r="L3771" s="41" t="s">
        <v>891</v>
      </c>
    </row>
    <row r="3772" spans="1:19" x14ac:dyDescent="0.25">
      <c r="A3772" s="41" t="s">
        <v>23</v>
      </c>
      <c r="B3772" s="41" t="s">
        <v>30465</v>
      </c>
      <c r="D3772" s="41" t="s">
        <v>30466</v>
      </c>
      <c r="F3772" s="41" t="s">
        <v>30467</v>
      </c>
      <c r="G3772" s="41" t="s">
        <v>30468</v>
      </c>
      <c r="H3772" s="41" t="s">
        <v>30469</v>
      </c>
      <c r="I3772" s="41" t="s">
        <v>30470</v>
      </c>
      <c r="J3772" s="41" t="s">
        <v>30471</v>
      </c>
      <c r="K3772" s="41" t="s">
        <v>30472</v>
      </c>
      <c r="L3772" s="41" t="s">
        <v>1076</v>
      </c>
    </row>
    <row r="3773" spans="1:19" x14ac:dyDescent="0.25">
      <c r="A3773" s="41" t="s">
        <v>23</v>
      </c>
      <c r="B3773" s="41" t="s">
        <v>30473</v>
      </c>
      <c r="D3773" s="41" t="s">
        <v>30474</v>
      </c>
      <c r="F3773" s="41" t="s">
        <v>30475</v>
      </c>
      <c r="G3773" s="41" t="s">
        <v>30476</v>
      </c>
      <c r="H3773" s="41" t="s">
        <v>30477</v>
      </c>
      <c r="I3773" s="41" t="s">
        <v>30478</v>
      </c>
      <c r="J3773" s="41" t="s">
        <v>30479</v>
      </c>
      <c r="K3773" s="41" t="s">
        <v>30480</v>
      </c>
      <c r="L3773" s="41" t="s">
        <v>1085</v>
      </c>
    </row>
    <row r="3774" spans="1:19" x14ac:dyDescent="0.25">
      <c r="A3774" s="41" t="s">
        <v>23</v>
      </c>
      <c r="B3774" s="41" t="s">
        <v>30481</v>
      </c>
      <c r="D3774" s="41" t="s">
        <v>30482</v>
      </c>
      <c r="F3774" s="41" t="s">
        <v>30483</v>
      </c>
      <c r="G3774" s="41" t="s">
        <v>30484</v>
      </c>
      <c r="H3774" s="41" t="s">
        <v>30485</v>
      </c>
      <c r="I3774" s="41" t="s">
        <v>30486</v>
      </c>
      <c r="J3774" s="41" t="s">
        <v>30487</v>
      </c>
      <c r="K3774" s="41" t="s">
        <v>30488</v>
      </c>
      <c r="L3774" s="41" t="s">
        <v>1094</v>
      </c>
    </row>
    <row r="3775" spans="1:19" x14ac:dyDescent="0.25">
      <c r="A3775" s="41" t="s">
        <v>908</v>
      </c>
      <c r="B3775" s="41" t="s">
        <v>30489</v>
      </c>
    </row>
    <row r="3776" spans="1:19" x14ac:dyDescent="0.25">
      <c r="A3776" s="41" t="s">
        <v>23</v>
      </c>
      <c r="B3776" s="41" t="s">
        <v>30490</v>
      </c>
      <c r="F3776" s="41" t="s">
        <v>30491</v>
      </c>
      <c r="G3776" s="41" t="s">
        <v>30492</v>
      </c>
      <c r="H3776" s="41" t="s">
        <v>30493</v>
      </c>
      <c r="I3776" s="41" t="s">
        <v>30494</v>
      </c>
      <c r="J3776" s="41" t="s">
        <v>30495</v>
      </c>
      <c r="L3776" s="41" t="s">
        <v>4</v>
      </c>
    </row>
    <row r="3777" spans="1:19" x14ac:dyDescent="0.25">
      <c r="A3777" s="41" t="s">
        <v>23</v>
      </c>
      <c r="B3777" s="41" t="s">
        <v>30496</v>
      </c>
      <c r="D3777" s="41" t="s">
        <v>30329</v>
      </c>
      <c r="E3777" s="41" t="s">
        <v>30497</v>
      </c>
      <c r="F3777" s="41" t="s">
        <v>30498</v>
      </c>
      <c r="G3777" s="41" t="s">
        <v>30499</v>
      </c>
      <c r="H3777" s="41" t="s">
        <v>30500</v>
      </c>
      <c r="I3777" s="41" t="s">
        <v>30501</v>
      </c>
      <c r="J3777" s="41" t="s">
        <v>30502</v>
      </c>
      <c r="K3777" s="41" t="s">
        <v>30503</v>
      </c>
      <c r="L3777" s="41" t="s">
        <v>30504</v>
      </c>
      <c r="M3777" s="41" t="s">
        <v>30505</v>
      </c>
      <c r="N3777" s="41" t="s">
        <v>30506</v>
      </c>
      <c r="O3777" s="41" t="s">
        <v>30507</v>
      </c>
      <c r="P3777" s="41" t="s">
        <v>30508</v>
      </c>
      <c r="Q3777" s="41" t="s">
        <v>30509</v>
      </c>
      <c r="R3777" s="41" t="s">
        <v>30510</v>
      </c>
      <c r="S3777" s="41" t="s">
        <v>30511</v>
      </c>
    </row>
    <row r="3778" spans="1:19" x14ac:dyDescent="0.25">
      <c r="A3778" s="41" t="s">
        <v>23</v>
      </c>
      <c r="B3778" s="41" t="s">
        <v>30512</v>
      </c>
      <c r="D3778" s="41" t="s">
        <v>30513</v>
      </c>
      <c r="F3778" s="41" t="s">
        <v>30514</v>
      </c>
      <c r="G3778" s="41" t="s">
        <v>30515</v>
      </c>
      <c r="H3778" s="41" t="s">
        <v>30516</v>
      </c>
      <c r="I3778" s="41" t="s">
        <v>30517</v>
      </c>
      <c r="J3778" s="41" t="s">
        <v>30518</v>
      </c>
      <c r="K3778" s="41" t="s">
        <v>30519</v>
      </c>
      <c r="L3778" s="41" t="s">
        <v>891</v>
      </c>
    </row>
    <row r="3779" spans="1:19" x14ac:dyDescent="0.25">
      <c r="A3779" s="41" t="s">
        <v>23</v>
      </c>
      <c r="B3779" s="41" t="s">
        <v>30520</v>
      </c>
      <c r="D3779" s="41" t="s">
        <v>30521</v>
      </c>
      <c r="F3779" s="41" t="s">
        <v>30522</v>
      </c>
      <c r="G3779" s="41" t="s">
        <v>30523</v>
      </c>
      <c r="H3779" s="41" t="s">
        <v>30524</v>
      </c>
      <c r="I3779" s="41" t="s">
        <v>30525</v>
      </c>
      <c r="J3779" s="41" t="s">
        <v>30526</v>
      </c>
      <c r="K3779" s="41" t="s">
        <v>30527</v>
      </c>
      <c r="L3779" s="41" t="s">
        <v>1076</v>
      </c>
    </row>
    <row r="3780" spans="1:19" x14ac:dyDescent="0.25">
      <c r="A3780" s="41" t="s">
        <v>23</v>
      </c>
      <c r="B3780" s="41" t="s">
        <v>30528</v>
      </c>
      <c r="D3780" s="41" t="s">
        <v>30529</v>
      </c>
      <c r="F3780" s="41" t="s">
        <v>30530</v>
      </c>
      <c r="G3780" s="41" t="s">
        <v>30531</v>
      </c>
      <c r="H3780" s="41" t="s">
        <v>30532</v>
      </c>
      <c r="I3780" s="41" t="s">
        <v>30533</v>
      </c>
      <c r="J3780" s="41" t="s">
        <v>30534</v>
      </c>
      <c r="K3780" s="41" t="s">
        <v>30535</v>
      </c>
      <c r="L3780" s="41" t="s">
        <v>1085</v>
      </c>
    </row>
    <row r="3781" spans="1:19" x14ac:dyDescent="0.25">
      <c r="A3781" s="41" t="s">
        <v>23</v>
      </c>
      <c r="B3781" s="41" t="s">
        <v>30536</v>
      </c>
      <c r="D3781" s="41" t="s">
        <v>30537</v>
      </c>
      <c r="F3781" s="41" t="s">
        <v>30538</v>
      </c>
      <c r="G3781" s="41" t="s">
        <v>30539</v>
      </c>
      <c r="H3781" s="41" t="s">
        <v>30540</v>
      </c>
      <c r="I3781" s="41" t="s">
        <v>30541</v>
      </c>
      <c r="J3781" s="41" t="s">
        <v>30542</v>
      </c>
      <c r="K3781" s="41" t="s">
        <v>30543</v>
      </c>
      <c r="L3781" s="41" t="s">
        <v>1094</v>
      </c>
    </row>
    <row r="3782" spans="1:19" x14ac:dyDescent="0.25">
      <c r="A3782" s="41" t="s">
        <v>908</v>
      </c>
      <c r="B3782" s="41" t="s">
        <v>30544</v>
      </c>
    </row>
    <row r="3783" spans="1:19" x14ac:dyDescent="0.25">
      <c r="A3783" s="41" t="s">
        <v>23</v>
      </c>
      <c r="B3783" s="41" t="s">
        <v>30545</v>
      </c>
      <c r="F3783" s="41" t="s">
        <v>30546</v>
      </c>
      <c r="G3783" s="41" t="s">
        <v>30547</v>
      </c>
      <c r="H3783" s="41" t="s">
        <v>30548</v>
      </c>
      <c r="I3783" s="41" t="s">
        <v>30549</v>
      </c>
      <c r="J3783" s="41" t="s">
        <v>30550</v>
      </c>
      <c r="L3783" s="41" t="s">
        <v>4</v>
      </c>
    </row>
    <row r="3784" spans="1:19" x14ac:dyDescent="0.25">
      <c r="A3784" s="41" t="s">
        <v>23</v>
      </c>
      <c r="B3784" s="41" t="s">
        <v>30551</v>
      </c>
      <c r="D3784" s="41" t="s">
        <v>30385</v>
      </c>
      <c r="E3784" s="41" t="s">
        <v>30552</v>
      </c>
      <c r="F3784" s="41" t="s">
        <v>30553</v>
      </c>
      <c r="G3784" s="41" t="s">
        <v>30554</v>
      </c>
      <c r="H3784" s="41" t="s">
        <v>30555</v>
      </c>
      <c r="I3784" s="41" t="s">
        <v>30556</v>
      </c>
      <c r="J3784" s="41" t="s">
        <v>30557</v>
      </c>
      <c r="K3784" s="41" t="s">
        <v>30558</v>
      </c>
      <c r="L3784" s="41" t="s">
        <v>30559</v>
      </c>
      <c r="M3784" s="41" t="s">
        <v>30560</v>
      </c>
      <c r="N3784" s="41" t="s">
        <v>30561</v>
      </c>
      <c r="O3784" s="41" t="s">
        <v>30562</v>
      </c>
      <c r="P3784" s="41" t="s">
        <v>30563</v>
      </c>
      <c r="Q3784" s="41" t="s">
        <v>30564</v>
      </c>
      <c r="R3784" s="41" t="s">
        <v>30565</v>
      </c>
      <c r="S3784" s="41" t="s">
        <v>30566</v>
      </c>
    </row>
    <row r="3785" spans="1:19" x14ac:dyDescent="0.25">
      <c r="A3785" s="41" t="s">
        <v>23</v>
      </c>
      <c r="B3785" s="41" t="s">
        <v>30567</v>
      </c>
      <c r="D3785" s="41" t="s">
        <v>30568</v>
      </c>
      <c r="F3785" s="41" t="s">
        <v>30569</v>
      </c>
      <c r="G3785" s="41" t="s">
        <v>30570</v>
      </c>
      <c r="H3785" s="41" t="s">
        <v>30571</v>
      </c>
      <c r="I3785" s="41" t="s">
        <v>30572</v>
      </c>
      <c r="J3785" s="41" t="s">
        <v>30573</v>
      </c>
      <c r="K3785" s="41" t="s">
        <v>30574</v>
      </c>
      <c r="L3785" s="41" t="s">
        <v>891</v>
      </c>
    </row>
    <row r="3786" spans="1:19" x14ac:dyDescent="0.25">
      <c r="A3786" s="41" t="s">
        <v>23</v>
      </c>
      <c r="B3786" s="41" t="s">
        <v>30575</v>
      </c>
      <c r="D3786" s="41" t="s">
        <v>30576</v>
      </c>
      <c r="F3786" s="41" t="s">
        <v>30577</v>
      </c>
      <c r="G3786" s="41" t="s">
        <v>30578</v>
      </c>
      <c r="H3786" s="41" t="s">
        <v>30579</v>
      </c>
      <c r="I3786" s="41" t="s">
        <v>30580</v>
      </c>
      <c r="J3786" s="41" t="s">
        <v>30581</v>
      </c>
      <c r="K3786" s="41" t="s">
        <v>30582</v>
      </c>
      <c r="L3786" s="41" t="s">
        <v>1076</v>
      </c>
    </row>
    <row r="3787" spans="1:19" x14ac:dyDescent="0.25">
      <c r="A3787" s="41" t="s">
        <v>23</v>
      </c>
      <c r="B3787" s="41" t="s">
        <v>30583</v>
      </c>
      <c r="D3787" s="41" t="s">
        <v>30584</v>
      </c>
      <c r="F3787" s="41" t="s">
        <v>30585</v>
      </c>
      <c r="G3787" s="41" t="s">
        <v>30586</v>
      </c>
      <c r="H3787" s="41" t="s">
        <v>30587</v>
      </c>
      <c r="I3787" s="41" t="s">
        <v>30588</v>
      </c>
      <c r="J3787" s="41" t="s">
        <v>30589</v>
      </c>
      <c r="K3787" s="41" t="s">
        <v>30590</v>
      </c>
      <c r="L3787" s="41" t="s">
        <v>1085</v>
      </c>
    </row>
    <row r="3788" spans="1:19" x14ac:dyDescent="0.25">
      <c r="A3788" s="41" t="s">
        <v>23</v>
      </c>
      <c r="B3788" s="41" t="s">
        <v>30591</v>
      </c>
      <c r="D3788" s="41" t="s">
        <v>30592</v>
      </c>
      <c r="F3788" s="41" t="s">
        <v>30593</v>
      </c>
      <c r="G3788" s="41" t="s">
        <v>30594</v>
      </c>
      <c r="H3788" s="41" t="s">
        <v>30595</v>
      </c>
      <c r="I3788" s="41" t="s">
        <v>30596</v>
      </c>
      <c r="J3788" s="41" t="s">
        <v>30597</v>
      </c>
      <c r="K3788" s="41" t="s">
        <v>30598</v>
      </c>
      <c r="L3788" s="41" t="s">
        <v>1094</v>
      </c>
    </row>
    <row r="3789" spans="1:19" x14ac:dyDescent="0.25">
      <c r="A3789" s="41" t="s">
        <v>908</v>
      </c>
      <c r="B3789" s="41" t="s">
        <v>30599</v>
      </c>
    </row>
    <row r="3790" spans="1:19" x14ac:dyDescent="0.25">
      <c r="A3790" s="41" t="s">
        <v>23</v>
      </c>
      <c r="B3790" s="41" t="s">
        <v>30600</v>
      </c>
      <c r="F3790" s="41" t="s">
        <v>30601</v>
      </c>
      <c r="G3790" s="41" t="s">
        <v>30602</v>
      </c>
      <c r="H3790" s="41" t="s">
        <v>30603</v>
      </c>
      <c r="I3790" s="41" t="s">
        <v>30604</v>
      </c>
      <c r="J3790" s="41" t="s">
        <v>30605</v>
      </c>
      <c r="L3790" s="41" t="s">
        <v>4</v>
      </c>
    </row>
    <row r="3791" spans="1:19" x14ac:dyDescent="0.25">
      <c r="A3791" s="41" t="s">
        <v>23</v>
      </c>
      <c r="B3791" s="41" t="s">
        <v>30606</v>
      </c>
      <c r="D3791" s="41" t="s">
        <v>30441</v>
      </c>
      <c r="E3791" s="41" t="s">
        <v>30608</v>
      </c>
      <c r="F3791" s="41" t="s">
        <v>30609</v>
      </c>
      <c r="G3791" s="41" t="s">
        <v>30610</v>
      </c>
      <c r="H3791" s="41" t="s">
        <v>30611</v>
      </c>
      <c r="I3791" s="41" t="s">
        <v>30612</v>
      </c>
      <c r="J3791" s="41" t="s">
        <v>30613</v>
      </c>
      <c r="K3791" s="41" t="s">
        <v>30614</v>
      </c>
      <c r="L3791" s="41" t="s">
        <v>30615</v>
      </c>
      <c r="M3791" s="41" t="s">
        <v>30616</v>
      </c>
      <c r="N3791" s="41" t="s">
        <v>30617</v>
      </c>
      <c r="O3791" s="41" t="s">
        <v>30618</v>
      </c>
      <c r="P3791" s="41" t="s">
        <v>30619</v>
      </c>
      <c r="Q3791" s="41" t="s">
        <v>30620</v>
      </c>
      <c r="R3791" s="41" t="s">
        <v>30621</v>
      </c>
      <c r="S3791" s="41" t="s">
        <v>30622</v>
      </c>
    </row>
    <row r="3792" spans="1:19" x14ac:dyDescent="0.25">
      <c r="A3792" s="41" t="s">
        <v>23</v>
      </c>
      <c r="B3792" s="41" t="s">
        <v>30623</v>
      </c>
      <c r="D3792" s="41" t="s">
        <v>30624</v>
      </c>
      <c r="F3792" s="41" t="s">
        <v>30625</v>
      </c>
      <c r="G3792" s="41" t="s">
        <v>30626</v>
      </c>
      <c r="H3792" s="41" t="s">
        <v>30627</v>
      </c>
      <c r="I3792" s="41" t="s">
        <v>30628</v>
      </c>
      <c r="J3792" s="41" t="s">
        <v>30629</v>
      </c>
      <c r="K3792" s="41" t="s">
        <v>30630</v>
      </c>
      <c r="L3792" s="41" t="s">
        <v>891</v>
      </c>
    </row>
    <row r="3793" spans="1:19" x14ac:dyDescent="0.25">
      <c r="A3793" s="41" t="s">
        <v>23</v>
      </c>
      <c r="B3793" s="41" t="s">
        <v>30631</v>
      </c>
      <c r="D3793" s="41" t="s">
        <v>30632</v>
      </c>
      <c r="F3793" s="41" t="s">
        <v>30633</v>
      </c>
      <c r="G3793" s="41" t="s">
        <v>30634</v>
      </c>
      <c r="H3793" s="41" t="s">
        <v>30635</v>
      </c>
      <c r="I3793" s="41" t="s">
        <v>30636</v>
      </c>
      <c r="J3793" s="41" t="s">
        <v>30637</v>
      </c>
      <c r="K3793" s="41" t="s">
        <v>30638</v>
      </c>
      <c r="L3793" s="41" t="s">
        <v>1076</v>
      </c>
    </row>
    <row r="3794" spans="1:19" x14ac:dyDescent="0.25">
      <c r="A3794" s="41" t="s">
        <v>23</v>
      </c>
      <c r="B3794" s="41" t="s">
        <v>30639</v>
      </c>
      <c r="D3794" s="41" t="s">
        <v>30640</v>
      </c>
      <c r="F3794" s="41" t="s">
        <v>30641</v>
      </c>
      <c r="G3794" s="41" t="s">
        <v>30642</v>
      </c>
      <c r="H3794" s="41" t="s">
        <v>30643</v>
      </c>
      <c r="I3794" s="41" t="s">
        <v>30644</v>
      </c>
      <c r="J3794" s="41" t="s">
        <v>30645</v>
      </c>
      <c r="K3794" s="41" t="s">
        <v>30646</v>
      </c>
      <c r="L3794" s="41" t="s">
        <v>1085</v>
      </c>
    </row>
    <row r="3795" spans="1:19" x14ac:dyDescent="0.25">
      <c r="A3795" s="41" t="s">
        <v>23</v>
      </c>
      <c r="B3795" s="41" t="s">
        <v>30647</v>
      </c>
      <c r="D3795" s="41" t="s">
        <v>30648</v>
      </c>
      <c r="F3795" s="41" t="s">
        <v>30649</v>
      </c>
      <c r="G3795" s="41" t="s">
        <v>30650</v>
      </c>
      <c r="H3795" s="41" t="s">
        <v>30651</v>
      </c>
      <c r="I3795" s="41" t="s">
        <v>30652</v>
      </c>
      <c r="J3795" s="41" t="s">
        <v>30653</v>
      </c>
      <c r="K3795" s="41" t="s">
        <v>30654</v>
      </c>
      <c r="L3795" s="41" t="s">
        <v>1094</v>
      </c>
    </row>
    <row r="3796" spans="1:19" x14ac:dyDescent="0.25">
      <c r="A3796" s="41" t="s">
        <v>908</v>
      </c>
      <c r="B3796" s="41" t="s">
        <v>30655</v>
      </c>
    </row>
    <row r="3797" spans="1:19" x14ac:dyDescent="0.25">
      <c r="A3797" s="41" t="s">
        <v>23</v>
      </c>
      <c r="B3797" s="41" t="s">
        <v>30656</v>
      </c>
      <c r="F3797" s="41" t="s">
        <v>30657</v>
      </c>
      <c r="G3797" s="41" t="s">
        <v>30658</v>
      </c>
      <c r="H3797" s="41" t="s">
        <v>30659</v>
      </c>
      <c r="I3797" s="41" t="s">
        <v>30660</v>
      </c>
      <c r="J3797" s="41" t="s">
        <v>30661</v>
      </c>
      <c r="L3797" s="41" t="s">
        <v>4</v>
      </c>
    </row>
    <row r="3798" spans="1:19" x14ac:dyDescent="0.25">
      <c r="A3798" s="41" t="s">
        <v>23</v>
      </c>
      <c r="B3798" s="41" t="s">
        <v>30662</v>
      </c>
      <c r="D3798" s="41" t="s">
        <v>460</v>
      </c>
      <c r="E3798" s="41" t="s">
        <v>30663</v>
      </c>
      <c r="F3798" s="41" t="s">
        <v>30664</v>
      </c>
      <c r="G3798" s="41" t="s">
        <v>30665</v>
      </c>
      <c r="H3798" s="41" t="s">
        <v>30666</v>
      </c>
      <c r="I3798" s="41" t="s">
        <v>30667</v>
      </c>
      <c r="J3798" s="41" t="s">
        <v>30668</v>
      </c>
      <c r="K3798" s="41" t="s">
        <v>30669</v>
      </c>
      <c r="L3798" s="41" t="s">
        <v>30670</v>
      </c>
      <c r="M3798" s="41" t="s">
        <v>30671</v>
      </c>
      <c r="N3798" s="41" t="s">
        <v>30672</v>
      </c>
      <c r="O3798" s="41" t="s">
        <v>30673</v>
      </c>
      <c r="P3798" s="41" t="s">
        <v>30674</v>
      </c>
      <c r="Q3798" s="41" t="s">
        <v>30675</v>
      </c>
      <c r="R3798" s="41" t="s">
        <v>30676</v>
      </c>
      <c r="S3798" s="41" t="s">
        <v>30677</v>
      </c>
    </row>
    <row r="3799" spans="1:19" x14ac:dyDescent="0.25">
      <c r="A3799" s="41" t="s">
        <v>23</v>
      </c>
      <c r="B3799" s="41" t="s">
        <v>30678</v>
      </c>
      <c r="D3799" s="41" t="s">
        <v>30679</v>
      </c>
      <c r="F3799" s="41" t="s">
        <v>30680</v>
      </c>
      <c r="G3799" s="41" t="s">
        <v>30681</v>
      </c>
      <c r="H3799" s="41" t="s">
        <v>30682</v>
      </c>
      <c r="I3799" s="41" t="s">
        <v>30683</v>
      </c>
      <c r="J3799" s="41" t="s">
        <v>30684</v>
      </c>
      <c r="K3799" s="41" t="s">
        <v>30685</v>
      </c>
      <c r="L3799" s="41" t="s">
        <v>891</v>
      </c>
    </row>
    <row r="3800" spans="1:19" x14ac:dyDescent="0.25">
      <c r="A3800" s="41" t="s">
        <v>23</v>
      </c>
      <c r="B3800" s="41" t="s">
        <v>30686</v>
      </c>
      <c r="D3800" s="41" t="s">
        <v>30687</v>
      </c>
      <c r="F3800" s="41" t="s">
        <v>30688</v>
      </c>
      <c r="G3800" s="41" t="s">
        <v>30689</v>
      </c>
      <c r="H3800" s="41" t="s">
        <v>30690</v>
      </c>
      <c r="I3800" s="41" t="s">
        <v>30691</v>
      </c>
      <c r="J3800" s="41" t="s">
        <v>30692</v>
      </c>
      <c r="K3800" s="41" t="s">
        <v>30693</v>
      </c>
      <c r="L3800" s="41" t="s">
        <v>1076</v>
      </c>
    </row>
    <row r="3801" spans="1:19" x14ac:dyDescent="0.25">
      <c r="A3801" s="41" t="s">
        <v>23</v>
      </c>
      <c r="B3801" s="41" t="s">
        <v>30694</v>
      </c>
      <c r="D3801" s="41" t="s">
        <v>30695</v>
      </c>
      <c r="F3801" s="41" t="s">
        <v>30696</v>
      </c>
      <c r="G3801" s="41" t="s">
        <v>30697</v>
      </c>
      <c r="H3801" s="41" t="s">
        <v>30698</v>
      </c>
      <c r="I3801" s="41" t="s">
        <v>30699</v>
      </c>
      <c r="J3801" s="41" t="s">
        <v>30700</v>
      </c>
      <c r="K3801" s="41" t="s">
        <v>30701</v>
      </c>
      <c r="L3801" s="41" t="s">
        <v>1085</v>
      </c>
    </row>
    <row r="3802" spans="1:19" x14ac:dyDescent="0.25">
      <c r="A3802" s="41" t="s">
        <v>23</v>
      </c>
      <c r="B3802" s="41" t="s">
        <v>30702</v>
      </c>
      <c r="D3802" s="41" t="s">
        <v>30703</v>
      </c>
      <c r="F3802" s="41" t="s">
        <v>30704</v>
      </c>
      <c r="G3802" s="41" t="s">
        <v>30705</v>
      </c>
      <c r="H3802" s="41" t="s">
        <v>30706</v>
      </c>
      <c r="I3802" s="41" t="s">
        <v>30707</v>
      </c>
      <c r="J3802" s="41" t="s">
        <v>30708</v>
      </c>
      <c r="K3802" s="41" t="s">
        <v>30709</v>
      </c>
      <c r="L3802" s="41" t="s">
        <v>1094</v>
      </c>
    </row>
    <row r="3803" spans="1:19" x14ac:dyDescent="0.25">
      <c r="A3803" s="41" t="s">
        <v>908</v>
      </c>
      <c r="B3803" s="41" t="s">
        <v>30710</v>
      </c>
    </row>
    <row r="3804" spans="1:19" x14ac:dyDescent="0.25">
      <c r="A3804" s="41" t="s">
        <v>23</v>
      </c>
      <c r="B3804" s="41" t="s">
        <v>30711</v>
      </c>
      <c r="F3804" s="41" t="s">
        <v>30712</v>
      </c>
      <c r="G3804" s="41" t="s">
        <v>30713</v>
      </c>
      <c r="H3804" s="41" t="s">
        <v>30714</v>
      </c>
      <c r="I3804" s="41" t="s">
        <v>30715</v>
      </c>
      <c r="J3804" s="41" t="s">
        <v>30716</v>
      </c>
      <c r="L3804" s="41" t="s">
        <v>4</v>
      </c>
    </row>
    <row r="3805" spans="1:19" x14ac:dyDescent="0.25">
      <c r="A3805" s="41" t="s">
        <v>23</v>
      </c>
      <c r="B3805" s="41" t="s">
        <v>30717</v>
      </c>
      <c r="D3805" s="41" t="s">
        <v>461</v>
      </c>
      <c r="E3805" s="41" t="s">
        <v>30718</v>
      </c>
      <c r="F3805" s="41" t="s">
        <v>30719</v>
      </c>
      <c r="G3805" s="41" t="s">
        <v>30720</v>
      </c>
      <c r="H3805" s="41" t="s">
        <v>30721</v>
      </c>
      <c r="I3805" s="41" t="s">
        <v>30722</v>
      </c>
      <c r="J3805" s="41" t="s">
        <v>30723</v>
      </c>
      <c r="K3805" s="41" t="s">
        <v>30724</v>
      </c>
      <c r="L3805" s="41" t="s">
        <v>30725</v>
      </c>
      <c r="M3805" s="41" t="s">
        <v>30726</v>
      </c>
      <c r="N3805" s="41" t="s">
        <v>30727</v>
      </c>
      <c r="O3805" s="41" t="s">
        <v>30728</v>
      </c>
      <c r="P3805" s="41" t="s">
        <v>30729</v>
      </c>
      <c r="Q3805" s="41" t="s">
        <v>30730</v>
      </c>
      <c r="R3805" s="41" t="s">
        <v>30731</v>
      </c>
      <c r="S3805" s="41" t="s">
        <v>30732</v>
      </c>
    </row>
    <row r="3806" spans="1:19" x14ac:dyDescent="0.25">
      <c r="A3806" s="41" t="s">
        <v>23</v>
      </c>
      <c r="B3806" s="41" t="s">
        <v>30733</v>
      </c>
      <c r="D3806" s="41" t="s">
        <v>30734</v>
      </c>
      <c r="F3806" s="41" t="s">
        <v>30735</v>
      </c>
      <c r="G3806" s="41" t="s">
        <v>30736</v>
      </c>
      <c r="H3806" s="41" t="s">
        <v>30737</v>
      </c>
      <c r="I3806" s="41" t="s">
        <v>30738</v>
      </c>
      <c r="J3806" s="41" t="s">
        <v>30739</v>
      </c>
      <c r="K3806" s="41" t="s">
        <v>30740</v>
      </c>
      <c r="L3806" s="41" t="s">
        <v>891</v>
      </c>
    </row>
    <row r="3807" spans="1:19" x14ac:dyDescent="0.25">
      <c r="A3807" s="41" t="s">
        <v>23</v>
      </c>
      <c r="B3807" s="41" t="s">
        <v>30741</v>
      </c>
      <c r="D3807" s="41" t="s">
        <v>30742</v>
      </c>
      <c r="F3807" s="41" t="s">
        <v>30743</v>
      </c>
      <c r="G3807" s="41" t="s">
        <v>30744</v>
      </c>
      <c r="H3807" s="41" t="s">
        <v>30745</v>
      </c>
      <c r="I3807" s="41" t="s">
        <v>30746</v>
      </c>
      <c r="J3807" s="41" t="s">
        <v>30747</v>
      </c>
      <c r="K3807" s="41" t="s">
        <v>30748</v>
      </c>
      <c r="L3807" s="41" t="s">
        <v>1076</v>
      </c>
    </row>
    <row r="3808" spans="1:19" x14ac:dyDescent="0.25">
      <c r="A3808" s="41" t="s">
        <v>23</v>
      </c>
      <c r="B3808" s="41" t="s">
        <v>30749</v>
      </c>
      <c r="D3808" s="41" t="s">
        <v>30750</v>
      </c>
      <c r="F3808" s="41" t="s">
        <v>30751</v>
      </c>
      <c r="G3808" s="41" t="s">
        <v>30752</v>
      </c>
      <c r="H3808" s="41" t="s">
        <v>30753</v>
      </c>
      <c r="I3808" s="41" t="s">
        <v>30754</v>
      </c>
      <c r="J3808" s="41" t="s">
        <v>30755</v>
      </c>
      <c r="K3808" s="41" t="s">
        <v>30756</v>
      </c>
      <c r="L3808" s="41" t="s">
        <v>1085</v>
      </c>
    </row>
    <row r="3809" spans="1:19" x14ac:dyDescent="0.25">
      <c r="A3809" s="41" t="s">
        <v>23</v>
      </c>
      <c r="B3809" s="41" t="s">
        <v>30757</v>
      </c>
      <c r="D3809" s="41" t="s">
        <v>30758</v>
      </c>
      <c r="F3809" s="41" t="s">
        <v>30759</v>
      </c>
      <c r="G3809" s="41" t="s">
        <v>30760</v>
      </c>
      <c r="H3809" s="41" t="s">
        <v>30761</v>
      </c>
      <c r="I3809" s="41" t="s">
        <v>30762</v>
      </c>
      <c r="J3809" s="41" t="s">
        <v>30763</v>
      </c>
      <c r="K3809" s="41" t="s">
        <v>30764</v>
      </c>
      <c r="L3809" s="41" t="s">
        <v>1094</v>
      </c>
    </row>
    <row r="3810" spans="1:19" x14ac:dyDescent="0.25">
      <c r="A3810" s="41" t="s">
        <v>908</v>
      </c>
      <c r="B3810" s="41" t="s">
        <v>30765</v>
      </c>
    </row>
    <row r="3811" spans="1:19" x14ac:dyDescent="0.25">
      <c r="A3811" s="41" t="s">
        <v>23</v>
      </c>
      <c r="B3811" s="41" t="s">
        <v>30766</v>
      </c>
      <c r="F3811" s="41" t="s">
        <v>30767</v>
      </c>
      <c r="G3811" s="41" t="s">
        <v>30768</v>
      </c>
      <c r="H3811" s="41" t="s">
        <v>30769</v>
      </c>
      <c r="I3811" s="41" t="s">
        <v>30770</v>
      </c>
      <c r="J3811" s="41" t="s">
        <v>30771</v>
      </c>
      <c r="L3811" s="41" t="s">
        <v>4</v>
      </c>
    </row>
    <row r="3812" spans="1:19" x14ac:dyDescent="0.25">
      <c r="A3812" s="41" t="s">
        <v>23</v>
      </c>
      <c r="B3812" s="41" t="s">
        <v>30772</v>
      </c>
      <c r="D3812" s="41" t="s">
        <v>30607</v>
      </c>
      <c r="E3812" s="41" t="s">
        <v>30773</v>
      </c>
      <c r="F3812" s="41" t="s">
        <v>30774</v>
      </c>
      <c r="G3812" s="41" t="s">
        <v>30775</v>
      </c>
      <c r="H3812" s="41" t="s">
        <v>30776</v>
      </c>
      <c r="I3812" s="41" t="s">
        <v>30777</v>
      </c>
      <c r="J3812" s="41" t="s">
        <v>30778</v>
      </c>
      <c r="K3812" s="41" t="s">
        <v>30779</v>
      </c>
      <c r="L3812" s="41" t="s">
        <v>30780</v>
      </c>
      <c r="M3812" s="41" t="s">
        <v>30781</v>
      </c>
      <c r="N3812" s="41" t="s">
        <v>30782</v>
      </c>
      <c r="O3812" s="41" t="s">
        <v>30783</v>
      </c>
      <c r="P3812" s="41" t="s">
        <v>30784</v>
      </c>
      <c r="Q3812" s="41" t="s">
        <v>30785</v>
      </c>
      <c r="R3812" s="41" t="s">
        <v>30786</v>
      </c>
      <c r="S3812" s="41" t="s">
        <v>30787</v>
      </c>
    </row>
    <row r="3813" spans="1:19" x14ac:dyDescent="0.25">
      <c r="A3813" s="41" t="s">
        <v>23</v>
      </c>
      <c r="B3813" s="41" t="s">
        <v>30788</v>
      </c>
      <c r="D3813" s="41" t="s">
        <v>30789</v>
      </c>
      <c r="F3813" s="41" t="s">
        <v>30790</v>
      </c>
      <c r="G3813" s="41" t="s">
        <v>30791</v>
      </c>
      <c r="H3813" s="41" t="s">
        <v>30792</v>
      </c>
      <c r="I3813" s="41" t="s">
        <v>30793</v>
      </c>
      <c r="J3813" s="41" t="s">
        <v>30794</v>
      </c>
      <c r="K3813" s="41" t="s">
        <v>30795</v>
      </c>
      <c r="L3813" s="41" t="s">
        <v>891</v>
      </c>
    </row>
    <row r="3814" spans="1:19" x14ac:dyDescent="0.25">
      <c r="A3814" s="41" t="s">
        <v>23</v>
      </c>
      <c r="B3814" s="41" t="s">
        <v>30796</v>
      </c>
      <c r="D3814" s="41" t="s">
        <v>30797</v>
      </c>
      <c r="F3814" s="41" t="s">
        <v>30798</v>
      </c>
      <c r="G3814" s="41" t="s">
        <v>30799</v>
      </c>
      <c r="H3814" s="41" t="s">
        <v>30800</v>
      </c>
      <c r="I3814" s="41" t="s">
        <v>30801</v>
      </c>
      <c r="J3814" s="41" t="s">
        <v>30802</v>
      </c>
      <c r="K3814" s="41" t="s">
        <v>30803</v>
      </c>
      <c r="L3814" s="41" t="s">
        <v>1076</v>
      </c>
    </row>
    <row r="3815" spans="1:19" x14ac:dyDescent="0.25">
      <c r="A3815" s="41" t="s">
        <v>23</v>
      </c>
      <c r="B3815" s="41" t="s">
        <v>30804</v>
      </c>
      <c r="D3815" s="41" t="s">
        <v>30805</v>
      </c>
      <c r="F3815" s="41" t="s">
        <v>30806</v>
      </c>
      <c r="G3815" s="41" t="s">
        <v>30807</v>
      </c>
      <c r="H3815" s="41" t="s">
        <v>30808</v>
      </c>
      <c r="I3815" s="41" t="s">
        <v>30809</v>
      </c>
      <c r="J3815" s="41" t="s">
        <v>30810</v>
      </c>
      <c r="K3815" s="41" t="s">
        <v>30811</v>
      </c>
      <c r="L3815" s="41" t="s">
        <v>1085</v>
      </c>
    </row>
    <row r="3816" spans="1:19" x14ac:dyDescent="0.25">
      <c r="A3816" s="41" t="s">
        <v>23</v>
      </c>
      <c r="B3816" s="41" t="s">
        <v>30812</v>
      </c>
      <c r="D3816" s="41" t="s">
        <v>30813</v>
      </c>
      <c r="F3816" s="41" t="s">
        <v>30814</v>
      </c>
      <c r="G3816" s="41" t="s">
        <v>30815</v>
      </c>
      <c r="H3816" s="41" t="s">
        <v>30816</v>
      </c>
      <c r="I3816" s="41" t="s">
        <v>30817</v>
      </c>
      <c r="J3816" s="41" t="s">
        <v>30818</v>
      </c>
      <c r="K3816" s="41" t="s">
        <v>30819</v>
      </c>
      <c r="L3816" s="41" t="s">
        <v>1094</v>
      </c>
    </row>
    <row r="3817" spans="1:19" x14ac:dyDescent="0.25">
      <c r="A3817" s="41" t="s">
        <v>908</v>
      </c>
      <c r="B3817" s="41" t="s">
        <v>30820</v>
      </c>
    </row>
    <row r="3818" spans="1:19" x14ac:dyDescent="0.25">
      <c r="A3818" s="41" t="s">
        <v>23</v>
      </c>
      <c r="B3818" s="41" t="s">
        <v>30821</v>
      </c>
      <c r="F3818" s="41" t="s">
        <v>30822</v>
      </c>
      <c r="G3818" s="41" t="s">
        <v>30823</v>
      </c>
      <c r="H3818" s="41" t="s">
        <v>30824</v>
      </c>
      <c r="I3818" s="41" t="s">
        <v>30825</v>
      </c>
      <c r="J3818" s="41" t="s">
        <v>30826</v>
      </c>
      <c r="L3818" s="41" t="s">
        <v>4</v>
      </c>
    </row>
    <row r="3819" spans="1:19" x14ac:dyDescent="0.25">
      <c r="A3819" s="41" t="s">
        <v>23</v>
      </c>
      <c r="B3819" s="41" t="s">
        <v>30827</v>
      </c>
      <c r="D3819" s="41" t="s">
        <v>462</v>
      </c>
      <c r="E3819" s="41" t="s">
        <v>30828</v>
      </c>
      <c r="F3819" s="41" t="s">
        <v>30829</v>
      </c>
      <c r="G3819" s="41" t="s">
        <v>30830</v>
      </c>
      <c r="H3819" s="41" t="s">
        <v>30831</v>
      </c>
      <c r="I3819" s="41" t="s">
        <v>30832</v>
      </c>
      <c r="J3819" s="41" t="s">
        <v>30833</v>
      </c>
      <c r="K3819" s="41" t="s">
        <v>30834</v>
      </c>
      <c r="L3819" s="41" t="s">
        <v>30835</v>
      </c>
      <c r="M3819" s="41" t="s">
        <v>30836</v>
      </c>
      <c r="N3819" s="41" t="s">
        <v>30837</v>
      </c>
      <c r="O3819" s="41" t="s">
        <v>30838</v>
      </c>
      <c r="P3819" s="41" t="s">
        <v>30839</v>
      </c>
      <c r="Q3819" s="41" t="s">
        <v>30840</v>
      </c>
      <c r="R3819" s="41" t="s">
        <v>30841</v>
      </c>
      <c r="S3819" s="41" t="s">
        <v>30842</v>
      </c>
    </row>
    <row r="3820" spans="1:19" x14ac:dyDescent="0.25">
      <c r="A3820" s="41" t="s">
        <v>23</v>
      </c>
      <c r="B3820" s="41" t="s">
        <v>30843</v>
      </c>
      <c r="D3820" s="41" t="s">
        <v>30844</v>
      </c>
      <c r="F3820" s="41" t="s">
        <v>30845</v>
      </c>
      <c r="G3820" s="41" t="s">
        <v>30846</v>
      </c>
      <c r="H3820" s="41" t="s">
        <v>30847</v>
      </c>
      <c r="I3820" s="41" t="s">
        <v>30848</v>
      </c>
      <c r="J3820" s="41" t="s">
        <v>30849</v>
      </c>
      <c r="K3820" s="41" t="s">
        <v>30850</v>
      </c>
      <c r="L3820" s="41" t="s">
        <v>891</v>
      </c>
    </row>
    <row r="3821" spans="1:19" x14ac:dyDescent="0.25">
      <c r="A3821" s="41" t="s">
        <v>23</v>
      </c>
      <c r="B3821" s="41" t="s">
        <v>30851</v>
      </c>
      <c r="D3821" s="41" t="s">
        <v>30852</v>
      </c>
      <c r="F3821" s="41" t="s">
        <v>30853</v>
      </c>
      <c r="G3821" s="41" t="s">
        <v>30854</v>
      </c>
      <c r="H3821" s="41" t="s">
        <v>30855</v>
      </c>
      <c r="I3821" s="41" t="s">
        <v>30856</v>
      </c>
      <c r="J3821" s="41" t="s">
        <v>30857</v>
      </c>
      <c r="K3821" s="41" t="s">
        <v>30858</v>
      </c>
      <c r="L3821" s="41" t="s">
        <v>1076</v>
      </c>
    </row>
    <row r="3822" spans="1:19" x14ac:dyDescent="0.25">
      <c r="A3822" s="41" t="s">
        <v>23</v>
      </c>
      <c r="B3822" s="41" t="s">
        <v>30859</v>
      </c>
      <c r="D3822" s="41" t="s">
        <v>30860</v>
      </c>
      <c r="F3822" s="41" t="s">
        <v>30861</v>
      </c>
      <c r="G3822" s="41" t="s">
        <v>30862</v>
      </c>
      <c r="H3822" s="41" t="s">
        <v>30863</v>
      </c>
      <c r="I3822" s="41" t="s">
        <v>30864</v>
      </c>
      <c r="J3822" s="41" t="s">
        <v>30865</v>
      </c>
      <c r="K3822" s="41" t="s">
        <v>30866</v>
      </c>
      <c r="L3822" s="41" t="s">
        <v>1085</v>
      </c>
    </row>
    <row r="3823" spans="1:19" x14ac:dyDescent="0.25">
      <c r="A3823" s="41" t="s">
        <v>23</v>
      </c>
      <c r="B3823" s="41" t="s">
        <v>30867</v>
      </c>
      <c r="D3823" s="41" t="s">
        <v>30868</v>
      </c>
      <c r="F3823" s="41" t="s">
        <v>30869</v>
      </c>
      <c r="G3823" s="41" t="s">
        <v>30870</v>
      </c>
      <c r="H3823" s="41" t="s">
        <v>30871</v>
      </c>
      <c r="I3823" s="41" t="s">
        <v>30872</v>
      </c>
      <c r="J3823" s="41" t="s">
        <v>30873</v>
      </c>
      <c r="K3823" s="41" t="s">
        <v>30874</v>
      </c>
      <c r="L3823" s="41" t="s">
        <v>1094</v>
      </c>
    </row>
    <row r="3824" spans="1:19" x14ac:dyDescent="0.25">
      <c r="A3824" s="41" t="s">
        <v>908</v>
      </c>
      <c r="B3824" s="41" t="s">
        <v>30875</v>
      </c>
    </row>
    <row r="3825" spans="1:19" x14ac:dyDescent="0.25">
      <c r="A3825" s="41" t="s">
        <v>23</v>
      </c>
      <c r="B3825" s="41" t="s">
        <v>30876</v>
      </c>
      <c r="F3825" s="41" t="s">
        <v>30877</v>
      </c>
      <c r="G3825" s="41" t="s">
        <v>30878</v>
      </c>
      <c r="H3825" s="41" t="s">
        <v>30879</v>
      </c>
      <c r="I3825" s="41" t="s">
        <v>30880</v>
      </c>
      <c r="J3825" s="41" t="s">
        <v>30881</v>
      </c>
      <c r="L3825" s="41" t="s">
        <v>4</v>
      </c>
    </row>
    <row r="3826" spans="1:19" x14ac:dyDescent="0.25">
      <c r="A3826" s="41" t="s">
        <v>23</v>
      </c>
      <c r="B3826" s="41" t="s">
        <v>30882</v>
      </c>
      <c r="D3826" s="41" t="s">
        <v>463</v>
      </c>
      <c r="E3826" s="41" t="s">
        <v>30884</v>
      </c>
      <c r="F3826" s="41" t="s">
        <v>30885</v>
      </c>
      <c r="G3826" s="41" t="s">
        <v>30886</v>
      </c>
      <c r="H3826" s="41" t="s">
        <v>30887</v>
      </c>
      <c r="I3826" s="41" t="s">
        <v>30888</v>
      </c>
      <c r="J3826" s="41" t="s">
        <v>30889</v>
      </c>
      <c r="K3826" s="41" t="s">
        <v>30890</v>
      </c>
      <c r="L3826" s="41" t="s">
        <v>30891</v>
      </c>
      <c r="M3826" s="41" t="s">
        <v>30892</v>
      </c>
      <c r="N3826" s="41" t="s">
        <v>30893</v>
      </c>
      <c r="O3826" s="41" t="s">
        <v>30894</v>
      </c>
      <c r="P3826" s="41" t="s">
        <v>30895</v>
      </c>
      <c r="Q3826" s="41" t="s">
        <v>30896</v>
      </c>
      <c r="R3826" s="41" t="s">
        <v>30897</v>
      </c>
      <c r="S3826" s="41" t="s">
        <v>30898</v>
      </c>
    </row>
    <row r="3827" spans="1:19" x14ac:dyDescent="0.25">
      <c r="A3827" s="41" t="s">
        <v>23</v>
      </c>
      <c r="B3827" s="41" t="s">
        <v>30899</v>
      </c>
      <c r="D3827" s="41" t="s">
        <v>30900</v>
      </c>
      <c r="F3827" s="41" t="s">
        <v>30901</v>
      </c>
      <c r="G3827" s="41" t="s">
        <v>30902</v>
      </c>
      <c r="H3827" s="41" t="s">
        <v>30903</v>
      </c>
      <c r="I3827" s="41" t="s">
        <v>30904</v>
      </c>
      <c r="J3827" s="41" t="s">
        <v>30905</v>
      </c>
      <c r="K3827" s="41" t="s">
        <v>30906</v>
      </c>
      <c r="L3827" s="41" t="s">
        <v>891</v>
      </c>
    </row>
    <row r="3828" spans="1:19" x14ac:dyDescent="0.25">
      <c r="A3828" s="41" t="s">
        <v>23</v>
      </c>
      <c r="B3828" s="41" t="s">
        <v>30907</v>
      </c>
      <c r="D3828" s="41" t="s">
        <v>30908</v>
      </c>
      <c r="F3828" s="41" t="s">
        <v>30909</v>
      </c>
      <c r="G3828" s="41" t="s">
        <v>30910</v>
      </c>
      <c r="H3828" s="41" t="s">
        <v>30911</v>
      </c>
      <c r="I3828" s="41" t="s">
        <v>30912</v>
      </c>
      <c r="J3828" s="41" t="s">
        <v>30913</v>
      </c>
      <c r="K3828" s="41" t="s">
        <v>30914</v>
      </c>
      <c r="L3828" s="41" t="s">
        <v>1076</v>
      </c>
    </row>
    <row r="3829" spans="1:19" x14ac:dyDescent="0.25">
      <c r="A3829" s="41" t="s">
        <v>23</v>
      </c>
      <c r="B3829" s="41" t="s">
        <v>30915</v>
      </c>
      <c r="D3829" s="41" t="s">
        <v>30916</v>
      </c>
      <c r="F3829" s="41" t="s">
        <v>30917</v>
      </c>
      <c r="G3829" s="41" t="s">
        <v>30918</v>
      </c>
      <c r="H3829" s="41" t="s">
        <v>30919</v>
      </c>
      <c r="I3829" s="41" t="s">
        <v>30920</v>
      </c>
      <c r="J3829" s="41" t="s">
        <v>30921</v>
      </c>
      <c r="K3829" s="41" t="s">
        <v>30922</v>
      </c>
      <c r="L3829" s="41" t="s">
        <v>1085</v>
      </c>
    </row>
    <row r="3830" spans="1:19" x14ac:dyDescent="0.25">
      <c r="A3830" s="41" t="s">
        <v>23</v>
      </c>
      <c r="B3830" s="41" t="s">
        <v>30923</v>
      </c>
      <c r="D3830" s="41" t="s">
        <v>30924</v>
      </c>
      <c r="F3830" s="41" t="s">
        <v>30925</v>
      </c>
      <c r="G3830" s="41" t="s">
        <v>30926</v>
      </c>
      <c r="H3830" s="41" t="s">
        <v>30927</v>
      </c>
      <c r="I3830" s="41" t="s">
        <v>30928</v>
      </c>
      <c r="J3830" s="41" t="s">
        <v>30929</v>
      </c>
      <c r="K3830" s="41" t="s">
        <v>30930</v>
      </c>
      <c r="L3830" s="41" t="s">
        <v>1094</v>
      </c>
    </row>
    <row r="3831" spans="1:19" x14ac:dyDescent="0.25">
      <c r="A3831" s="41" t="s">
        <v>908</v>
      </c>
      <c r="B3831" s="41" t="s">
        <v>30931</v>
      </c>
    </row>
    <row r="3832" spans="1:19" x14ac:dyDescent="0.25">
      <c r="A3832" s="41" t="s">
        <v>23</v>
      </c>
      <c r="B3832" s="41" t="s">
        <v>30932</v>
      </c>
      <c r="F3832" s="41" t="s">
        <v>30933</v>
      </c>
      <c r="G3832" s="41" t="s">
        <v>30934</v>
      </c>
      <c r="H3832" s="41" t="s">
        <v>30935</v>
      </c>
      <c r="I3832" s="41" t="s">
        <v>30936</v>
      </c>
      <c r="J3832" s="41" t="s">
        <v>30937</v>
      </c>
      <c r="L3832" s="41" t="s">
        <v>4</v>
      </c>
    </row>
    <row r="3833" spans="1:19" x14ac:dyDescent="0.25">
      <c r="A3833" s="41" t="s">
        <v>23</v>
      </c>
      <c r="B3833" s="41" t="s">
        <v>30938</v>
      </c>
      <c r="D3833" s="41" t="s">
        <v>464</v>
      </c>
      <c r="E3833" s="41" t="s">
        <v>30940</v>
      </c>
      <c r="F3833" s="41" t="s">
        <v>30941</v>
      </c>
      <c r="G3833" s="41" t="s">
        <v>30942</v>
      </c>
      <c r="H3833" s="41" t="s">
        <v>30943</v>
      </c>
      <c r="I3833" s="41" t="s">
        <v>30944</v>
      </c>
      <c r="J3833" s="41" t="s">
        <v>30945</v>
      </c>
      <c r="K3833" s="41" t="s">
        <v>30946</v>
      </c>
      <c r="L3833" s="41" t="s">
        <v>30947</v>
      </c>
      <c r="M3833" s="41" t="s">
        <v>30948</v>
      </c>
      <c r="N3833" s="41" t="s">
        <v>30949</v>
      </c>
      <c r="O3833" s="41" t="s">
        <v>30950</v>
      </c>
      <c r="P3833" s="41" t="s">
        <v>30951</v>
      </c>
      <c r="Q3833" s="41" t="s">
        <v>30952</v>
      </c>
      <c r="R3833" s="41" t="s">
        <v>30953</v>
      </c>
      <c r="S3833" s="41" t="s">
        <v>30954</v>
      </c>
    </row>
    <row r="3834" spans="1:19" x14ac:dyDescent="0.25">
      <c r="A3834" s="41" t="s">
        <v>23</v>
      </c>
      <c r="B3834" s="41" t="s">
        <v>30955</v>
      </c>
      <c r="D3834" s="41" t="s">
        <v>30956</v>
      </c>
      <c r="F3834" s="41" t="s">
        <v>30957</v>
      </c>
      <c r="G3834" s="41" t="s">
        <v>30958</v>
      </c>
      <c r="H3834" s="41" t="s">
        <v>30959</v>
      </c>
      <c r="I3834" s="41" t="s">
        <v>30960</v>
      </c>
      <c r="J3834" s="41" t="s">
        <v>30961</v>
      </c>
      <c r="K3834" s="41" t="s">
        <v>30962</v>
      </c>
      <c r="L3834" s="41" t="s">
        <v>891</v>
      </c>
    </row>
    <row r="3835" spans="1:19" x14ac:dyDescent="0.25">
      <c r="A3835" s="41" t="s">
        <v>23</v>
      </c>
      <c r="B3835" s="41" t="s">
        <v>30963</v>
      </c>
      <c r="D3835" s="41" t="s">
        <v>30964</v>
      </c>
      <c r="F3835" s="41" t="s">
        <v>30965</v>
      </c>
      <c r="G3835" s="41" t="s">
        <v>30966</v>
      </c>
      <c r="H3835" s="41" t="s">
        <v>30967</v>
      </c>
      <c r="I3835" s="41" t="s">
        <v>30968</v>
      </c>
      <c r="J3835" s="41" t="s">
        <v>30969</v>
      </c>
      <c r="K3835" s="41" t="s">
        <v>30970</v>
      </c>
      <c r="L3835" s="41" t="s">
        <v>1076</v>
      </c>
    </row>
    <row r="3836" spans="1:19" x14ac:dyDescent="0.25">
      <c r="A3836" s="41" t="s">
        <v>23</v>
      </c>
      <c r="B3836" s="41" t="s">
        <v>30971</v>
      </c>
      <c r="D3836" s="41" t="s">
        <v>30972</v>
      </c>
      <c r="F3836" s="41" t="s">
        <v>30973</v>
      </c>
      <c r="G3836" s="41" t="s">
        <v>30974</v>
      </c>
      <c r="H3836" s="41" t="s">
        <v>30975</v>
      </c>
      <c r="I3836" s="41" t="s">
        <v>30976</v>
      </c>
      <c r="J3836" s="41" t="s">
        <v>30977</v>
      </c>
      <c r="K3836" s="41" t="s">
        <v>30978</v>
      </c>
      <c r="L3836" s="41" t="s">
        <v>1085</v>
      </c>
    </row>
    <row r="3837" spans="1:19" x14ac:dyDescent="0.25">
      <c r="A3837" s="41" t="s">
        <v>23</v>
      </c>
      <c r="B3837" s="41" t="s">
        <v>30979</v>
      </c>
      <c r="D3837" s="41" t="s">
        <v>30980</v>
      </c>
      <c r="F3837" s="41" t="s">
        <v>30981</v>
      </c>
      <c r="G3837" s="41" t="s">
        <v>30982</v>
      </c>
      <c r="H3837" s="41" t="s">
        <v>30983</v>
      </c>
      <c r="I3837" s="41" t="s">
        <v>30984</v>
      </c>
      <c r="J3837" s="41" t="s">
        <v>30985</v>
      </c>
      <c r="K3837" s="41" t="s">
        <v>30986</v>
      </c>
      <c r="L3837" s="41" t="s">
        <v>1094</v>
      </c>
    </row>
    <row r="3838" spans="1:19" x14ac:dyDescent="0.25">
      <c r="A3838" s="41" t="s">
        <v>908</v>
      </c>
      <c r="B3838" s="41" t="s">
        <v>30987</v>
      </c>
    </row>
    <row r="3839" spans="1:19" x14ac:dyDescent="0.25">
      <c r="A3839" s="41" t="s">
        <v>23</v>
      </c>
      <c r="B3839" s="41" t="s">
        <v>30988</v>
      </c>
      <c r="F3839" s="41" t="s">
        <v>30989</v>
      </c>
      <c r="G3839" s="41" t="s">
        <v>30990</v>
      </c>
      <c r="H3839" s="41" t="s">
        <v>30991</v>
      </c>
      <c r="I3839" s="41" t="s">
        <v>30992</v>
      </c>
      <c r="J3839" s="41" t="s">
        <v>30993</v>
      </c>
      <c r="L3839" s="41" t="s">
        <v>4</v>
      </c>
    </row>
    <row r="3840" spans="1:19" x14ac:dyDescent="0.25">
      <c r="A3840" s="41" t="s">
        <v>23</v>
      </c>
      <c r="B3840" s="41" t="s">
        <v>30994</v>
      </c>
      <c r="D3840" s="41" t="s">
        <v>465</v>
      </c>
      <c r="E3840" s="41" t="s">
        <v>30996</v>
      </c>
      <c r="F3840" s="41" t="s">
        <v>30997</v>
      </c>
      <c r="G3840" s="41" t="s">
        <v>30998</v>
      </c>
      <c r="H3840" s="41" t="s">
        <v>30999</v>
      </c>
      <c r="I3840" s="41" t="s">
        <v>31000</v>
      </c>
      <c r="J3840" s="41" t="s">
        <v>31001</v>
      </c>
      <c r="K3840" s="41" t="s">
        <v>31002</v>
      </c>
      <c r="L3840" s="41" t="s">
        <v>31003</v>
      </c>
      <c r="M3840" s="41" t="s">
        <v>31004</v>
      </c>
      <c r="N3840" s="41" t="s">
        <v>31005</v>
      </c>
      <c r="O3840" s="41" t="s">
        <v>31006</v>
      </c>
      <c r="P3840" s="41" t="s">
        <v>31007</v>
      </c>
      <c r="Q3840" s="41" t="s">
        <v>31008</v>
      </c>
      <c r="R3840" s="41" t="s">
        <v>31009</v>
      </c>
      <c r="S3840" s="41" t="s">
        <v>31010</v>
      </c>
    </row>
    <row r="3841" spans="1:19" x14ac:dyDescent="0.25">
      <c r="A3841" s="41" t="s">
        <v>23</v>
      </c>
      <c r="B3841" s="41" t="s">
        <v>31011</v>
      </c>
      <c r="D3841" s="41" t="s">
        <v>31012</v>
      </c>
      <c r="F3841" s="41" t="s">
        <v>31013</v>
      </c>
      <c r="G3841" s="41" t="s">
        <v>31014</v>
      </c>
      <c r="H3841" s="41" t="s">
        <v>31015</v>
      </c>
      <c r="I3841" s="41" t="s">
        <v>31016</v>
      </c>
      <c r="J3841" s="41" t="s">
        <v>31017</v>
      </c>
      <c r="K3841" s="41" t="s">
        <v>31018</v>
      </c>
      <c r="L3841" s="41" t="s">
        <v>891</v>
      </c>
    </row>
    <row r="3842" spans="1:19" x14ac:dyDescent="0.25">
      <c r="A3842" s="41" t="s">
        <v>23</v>
      </c>
      <c r="B3842" s="41" t="s">
        <v>31019</v>
      </c>
      <c r="D3842" s="41" t="s">
        <v>31020</v>
      </c>
      <c r="F3842" s="41" t="s">
        <v>31021</v>
      </c>
      <c r="G3842" s="41" t="s">
        <v>31022</v>
      </c>
      <c r="H3842" s="41" t="s">
        <v>31023</v>
      </c>
      <c r="I3842" s="41" t="s">
        <v>31024</v>
      </c>
      <c r="J3842" s="41" t="s">
        <v>31025</v>
      </c>
      <c r="K3842" s="41" t="s">
        <v>31026</v>
      </c>
      <c r="L3842" s="41" t="s">
        <v>1076</v>
      </c>
    </row>
    <row r="3843" spans="1:19" x14ac:dyDescent="0.25">
      <c r="A3843" s="41" t="s">
        <v>23</v>
      </c>
      <c r="B3843" s="41" t="s">
        <v>31027</v>
      </c>
      <c r="D3843" s="41" t="s">
        <v>31028</v>
      </c>
      <c r="F3843" s="41" t="s">
        <v>31029</v>
      </c>
      <c r="G3843" s="41" t="s">
        <v>31030</v>
      </c>
      <c r="H3843" s="41" t="s">
        <v>31031</v>
      </c>
      <c r="I3843" s="41" t="s">
        <v>31032</v>
      </c>
      <c r="J3843" s="41" t="s">
        <v>31033</v>
      </c>
      <c r="K3843" s="41" t="s">
        <v>31034</v>
      </c>
      <c r="L3843" s="41" t="s">
        <v>1085</v>
      </c>
    </row>
    <row r="3844" spans="1:19" x14ac:dyDescent="0.25">
      <c r="A3844" s="41" t="s">
        <v>23</v>
      </c>
      <c r="B3844" s="41" t="s">
        <v>31035</v>
      </c>
      <c r="D3844" s="41" t="s">
        <v>31036</v>
      </c>
      <c r="F3844" s="41" t="s">
        <v>31037</v>
      </c>
      <c r="G3844" s="41" t="s">
        <v>31038</v>
      </c>
      <c r="H3844" s="41" t="s">
        <v>31039</v>
      </c>
      <c r="I3844" s="41" t="s">
        <v>31040</v>
      </c>
      <c r="J3844" s="41" t="s">
        <v>31041</v>
      </c>
      <c r="K3844" s="41" t="s">
        <v>31042</v>
      </c>
      <c r="L3844" s="41" t="s">
        <v>1094</v>
      </c>
    </row>
    <row r="3845" spans="1:19" x14ac:dyDescent="0.25">
      <c r="A3845" s="41" t="s">
        <v>908</v>
      </c>
      <c r="B3845" s="41" t="s">
        <v>31043</v>
      </c>
    </row>
    <row r="3846" spans="1:19" x14ac:dyDescent="0.25">
      <c r="A3846" s="41" t="s">
        <v>23</v>
      </c>
      <c r="B3846" s="41" t="s">
        <v>31044</v>
      </c>
      <c r="F3846" s="41" t="s">
        <v>31045</v>
      </c>
      <c r="G3846" s="41" t="s">
        <v>31046</v>
      </c>
      <c r="H3846" s="41" t="s">
        <v>31047</v>
      </c>
      <c r="I3846" s="41" t="s">
        <v>31048</v>
      </c>
      <c r="J3846" s="41" t="s">
        <v>31049</v>
      </c>
      <c r="L3846" s="41" t="s">
        <v>4</v>
      </c>
    </row>
    <row r="3847" spans="1:19" x14ac:dyDescent="0.25">
      <c r="A3847" s="41" t="s">
        <v>23</v>
      </c>
      <c r="B3847" s="41" t="s">
        <v>31050</v>
      </c>
      <c r="D3847" s="41" t="s">
        <v>30883</v>
      </c>
      <c r="E3847" s="41" t="s">
        <v>31052</v>
      </c>
      <c r="F3847" s="41" t="s">
        <v>31053</v>
      </c>
      <c r="G3847" s="41" t="s">
        <v>31054</v>
      </c>
      <c r="H3847" s="41" t="s">
        <v>31055</v>
      </c>
      <c r="I3847" s="41" t="s">
        <v>31056</v>
      </c>
      <c r="J3847" s="41" t="s">
        <v>31057</v>
      </c>
      <c r="K3847" s="41" t="s">
        <v>31058</v>
      </c>
      <c r="L3847" s="41" t="s">
        <v>31059</v>
      </c>
      <c r="M3847" s="41" t="s">
        <v>31060</v>
      </c>
      <c r="N3847" s="41" t="s">
        <v>31061</v>
      </c>
      <c r="O3847" s="41" t="s">
        <v>31062</v>
      </c>
      <c r="P3847" s="41" t="s">
        <v>31063</v>
      </c>
      <c r="Q3847" s="41" t="s">
        <v>31064</v>
      </c>
      <c r="R3847" s="41" t="s">
        <v>31065</v>
      </c>
      <c r="S3847" s="41" t="s">
        <v>31066</v>
      </c>
    </row>
    <row r="3848" spans="1:19" x14ac:dyDescent="0.25">
      <c r="A3848" s="41" t="s">
        <v>23</v>
      </c>
      <c r="B3848" s="41" t="s">
        <v>31067</v>
      </c>
      <c r="D3848" s="41" t="s">
        <v>31068</v>
      </c>
      <c r="F3848" s="41" t="s">
        <v>31069</v>
      </c>
      <c r="G3848" s="41" t="s">
        <v>31070</v>
      </c>
      <c r="H3848" s="41" t="s">
        <v>31071</v>
      </c>
      <c r="I3848" s="41" t="s">
        <v>31072</v>
      </c>
      <c r="J3848" s="41" t="s">
        <v>31073</v>
      </c>
      <c r="K3848" s="41" t="s">
        <v>31074</v>
      </c>
      <c r="L3848" s="41" t="s">
        <v>891</v>
      </c>
    </row>
    <row r="3849" spans="1:19" x14ac:dyDescent="0.25">
      <c r="A3849" s="41" t="s">
        <v>23</v>
      </c>
      <c r="B3849" s="41" t="s">
        <v>31075</v>
      </c>
      <c r="D3849" s="41" t="s">
        <v>31076</v>
      </c>
      <c r="F3849" s="41" t="s">
        <v>31077</v>
      </c>
      <c r="G3849" s="41" t="s">
        <v>31078</v>
      </c>
      <c r="H3849" s="41" t="s">
        <v>31079</v>
      </c>
      <c r="I3849" s="41" t="s">
        <v>31080</v>
      </c>
      <c r="J3849" s="41" t="s">
        <v>31081</v>
      </c>
      <c r="K3849" s="41" t="s">
        <v>31082</v>
      </c>
      <c r="L3849" s="41" t="s">
        <v>1076</v>
      </c>
    </row>
    <row r="3850" spans="1:19" x14ac:dyDescent="0.25">
      <c r="A3850" s="41" t="s">
        <v>23</v>
      </c>
      <c r="B3850" s="41" t="s">
        <v>31083</v>
      </c>
      <c r="D3850" s="41" t="s">
        <v>31084</v>
      </c>
      <c r="F3850" s="41" t="s">
        <v>31085</v>
      </c>
      <c r="G3850" s="41" t="s">
        <v>31086</v>
      </c>
      <c r="H3850" s="41" t="s">
        <v>31087</v>
      </c>
      <c r="I3850" s="41" t="s">
        <v>31088</v>
      </c>
      <c r="J3850" s="41" t="s">
        <v>31089</v>
      </c>
      <c r="K3850" s="41" t="s">
        <v>31090</v>
      </c>
      <c r="L3850" s="41" t="s">
        <v>1085</v>
      </c>
    </row>
    <row r="3851" spans="1:19" x14ac:dyDescent="0.25">
      <c r="A3851" s="41" t="s">
        <v>23</v>
      </c>
      <c r="B3851" s="41" t="s">
        <v>31091</v>
      </c>
      <c r="D3851" s="41" t="s">
        <v>31092</v>
      </c>
      <c r="F3851" s="41" t="s">
        <v>31093</v>
      </c>
      <c r="G3851" s="41" t="s">
        <v>31094</v>
      </c>
      <c r="H3851" s="41" t="s">
        <v>31095</v>
      </c>
      <c r="I3851" s="41" t="s">
        <v>31096</v>
      </c>
      <c r="J3851" s="41" t="s">
        <v>31097</v>
      </c>
      <c r="K3851" s="41" t="s">
        <v>31098</v>
      </c>
      <c r="L3851" s="41" t="s">
        <v>1094</v>
      </c>
    </row>
    <row r="3852" spans="1:19" x14ac:dyDescent="0.25">
      <c r="A3852" s="41" t="s">
        <v>908</v>
      </c>
      <c r="B3852" s="41" t="s">
        <v>31099</v>
      </c>
    </row>
    <row r="3853" spans="1:19" x14ac:dyDescent="0.25">
      <c r="A3853" s="41" t="s">
        <v>23</v>
      </c>
      <c r="B3853" s="41" t="s">
        <v>31100</v>
      </c>
      <c r="F3853" s="41" t="s">
        <v>31101</v>
      </c>
      <c r="G3853" s="41" t="s">
        <v>31102</v>
      </c>
      <c r="H3853" s="41" t="s">
        <v>31103</v>
      </c>
      <c r="I3853" s="41" t="s">
        <v>31104</v>
      </c>
      <c r="J3853" s="41" t="s">
        <v>31105</v>
      </c>
      <c r="L3853" s="41" t="s">
        <v>4</v>
      </c>
    </row>
    <row r="3854" spans="1:19" x14ac:dyDescent="0.25">
      <c r="A3854" s="41" t="s">
        <v>23</v>
      </c>
      <c r="B3854" s="41" t="s">
        <v>31106</v>
      </c>
      <c r="D3854" s="41" t="s">
        <v>30939</v>
      </c>
      <c r="E3854" s="41" t="s">
        <v>31107</v>
      </c>
      <c r="F3854" s="41" t="s">
        <v>31108</v>
      </c>
      <c r="G3854" s="41" t="s">
        <v>31109</v>
      </c>
      <c r="H3854" s="41" t="s">
        <v>31110</v>
      </c>
      <c r="I3854" s="41" t="s">
        <v>31111</v>
      </c>
      <c r="J3854" s="41" t="s">
        <v>31112</v>
      </c>
      <c r="K3854" s="41" t="s">
        <v>31113</v>
      </c>
      <c r="L3854" s="41" t="s">
        <v>31114</v>
      </c>
      <c r="M3854" s="41" t="s">
        <v>31115</v>
      </c>
      <c r="N3854" s="41" t="s">
        <v>31116</v>
      </c>
      <c r="O3854" s="41" t="s">
        <v>31117</v>
      </c>
      <c r="P3854" s="41" t="s">
        <v>31118</v>
      </c>
      <c r="Q3854" s="41" t="s">
        <v>31119</v>
      </c>
      <c r="R3854" s="41" t="s">
        <v>31120</v>
      </c>
      <c r="S3854" s="41" t="s">
        <v>31121</v>
      </c>
    </row>
    <row r="3855" spans="1:19" x14ac:dyDescent="0.25">
      <c r="A3855" s="41" t="s">
        <v>23</v>
      </c>
      <c r="B3855" s="41" t="s">
        <v>31122</v>
      </c>
      <c r="D3855" s="41" t="s">
        <v>31123</v>
      </c>
      <c r="F3855" s="41" t="s">
        <v>31124</v>
      </c>
      <c r="G3855" s="41" t="s">
        <v>31125</v>
      </c>
      <c r="H3855" s="41" t="s">
        <v>31126</v>
      </c>
      <c r="I3855" s="41" t="s">
        <v>31127</v>
      </c>
      <c r="J3855" s="41" t="s">
        <v>31128</v>
      </c>
      <c r="K3855" s="41" t="s">
        <v>31129</v>
      </c>
      <c r="L3855" s="41" t="s">
        <v>891</v>
      </c>
    </row>
    <row r="3856" spans="1:19" x14ac:dyDescent="0.25">
      <c r="A3856" s="41" t="s">
        <v>23</v>
      </c>
      <c r="B3856" s="41" t="s">
        <v>31130</v>
      </c>
      <c r="D3856" s="41" t="s">
        <v>31131</v>
      </c>
      <c r="F3856" s="41" t="s">
        <v>31132</v>
      </c>
      <c r="G3856" s="41" t="s">
        <v>31133</v>
      </c>
      <c r="H3856" s="41" t="s">
        <v>31134</v>
      </c>
      <c r="I3856" s="41" t="s">
        <v>31135</v>
      </c>
      <c r="J3856" s="41" t="s">
        <v>31136</v>
      </c>
      <c r="K3856" s="41" t="s">
        <v>31137</v>
      </c>
      <c r="L3856" s="41" t="s">
        <v>1076</v>
      </c>
    </row>
    <row r="3857" spans="1:19" x14ac:dyDescent="0.25">
      <c r="A3857" s="41" t="s">
        <v>23</v>
      </c>
      <c r="B3857" s="41" t="s">
        <v>31138</v>
      </c>
      <c r="D3857" s="41" t="s">
        <v>31139</v>
      </c>
      <c r="F3857" s="41" t="s">
        <v>31140</v>
      </c>
      <c r="G3857" s="41" t="s">
        <v>31141</v>
      </c>
      <c r="H3857" s="41" t="s">
        <v>31142</v>
      </c>
      <c r="I3857" s="41" t="s">
        <v>31143</v>
      </c>
      <c r="J3857" s="41" t="s">
        <v>31144</v>
      </c>
      <c r="K3857" s="41" t="s">
        <v>31145</v>
      </c>
      <c r="L3857" s="41" t="s">
        <v>1085</v>
      </c>
    </row>
    <row r="3858" spans="1:19" x14ac:dyDescent="0.25">
      <c r="A3858" s="41" t="s">
        <v>23</v>
      </c>
      <c r="B3858" s="41" t="s">
        <v>31146</v>
      </c>
      <c r="D3858" s="41" t="s">
        <v>31147</v>
      </c>
      <c r="F3858" s="41" t="s">
        <v>31148</v>
      </c>
      <c r="G3858" s="41" t="s">
        <v>31149</v>
      </c>
      <c r="H3858" s="41" t="s">
        <v>31150</v>
      </c>
      <c r="I3858" s="41" t="s">
        <v>31151</v>
      </c>
      <c r="J3858" s="41" t="s">
        <v>31152</v>
      </c>
      <c r="K3858" s="41" t="s">
        <v>31153</v>
      </c>
      <c r="L3858" s="41" t="s">
        <v>1094</v>
      </c>
    </row>
    <row r="3859" spans="1:19" x14ac:dyDescent="0.25">
      <c r="A3859" s="41" t="s">
        <v>908</v>
      </c>
      <c r="B3859" s="41" t="s">
        <v>31154</v>
      </c>
    </row>
    <row r="3860" spans="1:19" x14ac:dyDescent="0.25">
      <c r="A3860" s="41" t="s">
        <v>23</v>
      </c>
      <c r="B3860" s="41" t="s">
        <v>31155</v>
      </c>
      <c r="F3860" s="41" t="s">
        <v>31156</v>
      </c>
      <c r="G3860" s="41" t="s">
        <v>31157</v>
      </c>
      <c r="H3860" s="41" t="s">
        <v>31158</v>
      </c>
      <c r="I3860" s="41" t="s">
        <v>31159</v>
      </c>
      <c r="J3860" s="41" t="s">
        <v>31160</v>
      </c>
      <c r="L3860" s="41" t="s">
        <v>4</v>
      </c>
    </row>
    <row r="3861" spans="1:19" x14ac:dyDescent="0.25">
      <c r="A3861" s="41" t="s">
        <v>23</v>
      </c>
      <c r="B3861" s="41" t="s">
        <v>31161</v>
      </c>
      <c r="D3861" s="41" t="s">
        <v>30995</v>
      </c>
      <c r="E3861" s="41" t="s">
        <v>31163</v>
      </c>
      <c r="F3861" s="41" t="s">
        <v>31164</v>
      </c>
      <c r="G3861" s="41" t="s">
        <v>31165</v>
      </c>
      <c r="H3861" s="41" t="s">
        <v>31166</v>
      </c>
      <c r="I3861" s="41" t="s">
        <v>31167</v>
      </c>
      <c r="J3861" s="41" t="s">
        <v>31168</v>
      </c>
      <c r="K3861" s="41" t="s">
        <v>31169</v>
      </c>
      <c r="L3861" s="41" t="s">
        <v>31170</v>
      </c>
      <c r="M3861" s="41" t="s">
        <v>31171</v>
      </c>
      <c r="N3861" s="41" t="s">
        <v>31172</v>
      </c>
      <c r="O3861" s="41" t="s">
        <v>31173</v>
      </c>
      <c r="P3861" s="41" t="s">
        <v>31174</v>
      </c>
      <c r="Q3861" s="41" t="s">
        <v>31175</v>
      </c>
      <c r="R3861" s="41" t="s">
        <v>31176</v>
      </c>
      <c r="S3861" s="41" t="s">
        <v>31177</v>
      </c>
    </row>
    <row r="3862" spans="1:19" x14ac:dyDescent="0.25">
      <c r="A3862" s="41" t="s">
        <v>23</v>
      </c>
      <c r="B3862" s="41" t="s">
        <v>31178</v>
      </c>
      <c r="D3862" s="41" t="s">
        <v>31179</v>
      </c>
      <c r="F3862" s="41" t="s">
        <v>31180</v>
      </c>
      <c r="G3862" s="41" t="s">
        <v>31181</v>
      </c>
      <c r="H3862" s="41" t="s">
        <v>31182</v>
      </c>
      <c r="I3862" s="41" t="s">
        <v>31183</v>
      </c>
      <c r="J3862" s="41" t="s">
        <v>31184</v>
      </c>
      <c r="K3862" s="41" t="s">
        <v>31185</v>
      </c>
      <c r="L3862" s="41" t="s">
        <v>891</v>
      </c>
    </row>
    <row r="3863" spans="1:19" x14ac:dyDescent="0.25">
      <c r="A3863" s="41" t="s">
        <v>23</v>
      </c>
      <c r="B3863" s="41" t="s">
        <v>31186</v>
      </c>
      <c r="D3863" s="41" t="s">
        <v>31187</v>
      </c>
      <c r="F3863" s="41" t="s">
        <v>31188</v>
      </c>
      <c r="G3863" s="41" t="s">
        <v>31189</v>
      </c>
      <c r="H3863" s="41" t="s">
        <v>31190</v>
      </c>
      <c r="I3863" s="41" t="s">
        <v>31191</v>
      </c>
      <c r="J3863" s="41" t="s">
        <v>31192</v>
      </c>
      <c r="K3863" s="41" t="s">
        <v>31193</v>
      </c>
      <c r="L3863" s="41" t="s">
        <v>1076</v>
      </c>
    </row>
    <row r="3864" spans="1:19" x14ac:dyDescent="0.25">
      <c r="A3864" s="41" t="s">
        <v>23</v>
      </c>
      <c r="B3864" s="41" t="s">
        <v>31194</v>
      </c>
      <c r="D3864" s="41" t="s">
        <v>31195</v>
      </c>
      <c r="F3864" s="41" t="s">
        <v>31196</v>
      </c>
      <c r="G3864" s="41" t="s">
        <v>31197</v>
      </c>
      <c r="H3864" s="41" t="s">
        <v>31198</v>
      </c>
      <c r="I3864" s="41" t="s">
        <v>31199</v>
      </c>
      <c r="J3864" s="41" t="s">
        <v>31200</v>
      </c>
      <c r="K3864" s="41" t="s">
        <v>31201</v>
      </c>
      <c r="L3864" s="41" t="s">
        <v>1085</v>
      </c>
    </row>
    <row r="3865" spans="1:19" x14ac:dyDescent="0.25">
      <c r="A3865" s="41" t="s">
        <v>23</v>
      </c>
      <c r="B3865" s="41" t="s">
        <v>31202</v>
      </c>
      <c r="D3865" s="41" t="s">
        <v>31203</v>
      </c>
      <c r="F3865" s="41" t="s">
        <v>31204</v>
      </c>
      <c r="G3865" s="41" t="s">
        <v>31205</v>
      </c>
      <c r="H3865" s="41" t="s">
        <v>31206</v>
      </c>
      <c r="I3865" s="41" t="s">
        <v>31207</v>
      </c>
      <c r="J3865" s="41" t="s">
        <v>31208</v>
      </c>
      <c r="K3865" s="41" t="s">
        <v>31209</v>
      </c>
      <c r="L3865" s="41" t="s">
        <v>1094</v>
      </c>
    </row>
    <row r="3866" spans="1:19" x14ac:dyDescent="0.25">
      <c r="A3866" s="41" t="s">
        <v>908</v>
      </c>
      <c r="B3866" s="41" t="s">
        <v>31210</v>
      </c>
    </row>
    <row r="3867" spans="1:19" x14ac:dyDescent="0.25">
      <c r="A3867" s="41" t="s">
        <v>23</v>
      </c>
      <c r="B3867" s="41" t="s">
        <v>31211</v>
      </c>
      <c r="F3867" s="41" t="s">
        <v>31212</v>
      </c>
      <c r="G3867" s="41" t="s">
        <v>31213</v>
      </c>
      <c r="H3867" s="41" t="s">
        <v>31214</v>
      </c>
      <c r="I3867" s="41" t="s">
        <v>31215</v>
      </c>
      <c r="J3867" s="41" t="s">
        <v>31216</v>
      </c>
      <c r="L3867" s="41" t="s">
        <v>4</v>
      </c>
    </row>
    <row r="3868" spans="1:19" x14ac:dyDescent="0.25">
      <c r="A3868" s="41" t="s">
        <v>23</v>
      </c>
      <c r="B3868" s="41" t="s">
        <v>31217</v>
      </c>
      <c r="D3868" s="41" t="s">
        <v>31051</v>
      </c>
      <c r="E3868" s="41" t="s">
        <v>31218</v>
      </c>
      <c r="F3868" s="41" t="s">
        <v>31219</v>
      </c>
      <c r="G3868" s="41" t="s">
        <v>31220</v>
      </c>
      <c r="H3868" s="41" t="s">
        <v>31221</v>
      </c>
      <c r="I3868" s="41" t="s">
        <v>31222</v>
      </c>
      <c r="J3868" s="41" t="s">
        <v>31223</v>
      </c>
      <c r="K3868" s="41" t="s">
        <v>31224</v>
      </c>
      <c r="L3868" s="41" t="s">
        <v>31225</v>
      </c>
      <c r="M3868" s="41" t="s">
        <v>31226</v>
      </c>
      <c r="N3868" s="41" t="s">
        <v>31227</v>
      </c>
      <c r="O3868" s="41" t="s">
        <v>31228</v>
      </c>
      <c r="P3868" s="41" t="s">
        <v>31229</v>
      </c>
      <c r="Q3868" s="41" t="s">
        <v>31230</v>
      </c>
      <c r="R3868" s="41" t="s">
        <v>31231</v>
      </c>
      <c r="S3868" s="41" t="s">
        <v>31232</v>
      </c>
    </row>
    <row r="3869" spans="1:19" x14ac:dyDescent="0.25">
      <c r="A3869" s="41" t="s">
        <v>23</v>
      </c>
      <c r="B3869" s="41" t="s">
        <v>31233</v>
      </c>
      <c r="D3869" s="41" t="s">
        <v>31234</v>
      </c>
      <c r="F3869" s="41" t="s">
        <v>31235</v>
      </c>
      <c r="G3869" s="41" t="s">
        <v>31236</v>
      </c>
      <c r="H3869" s="41" t="s">
        <v>31237</v>
      </c>
      <c r="I3869" s="41" t="s">
        <v>31238</v>
      </c>
      <c r="J3869" s="41" t="s">
        <v>31239</v>
      </c>
      <c r="K3869" s="41" t="s">
        <v>31240</v>
      </c>
      <c r="L3869" s="41" t="s">
        <v>891</v>
      </c>
    </row>
    <row r="3870" spans="1:19" x14ac:dyDescent="0.25">
      <c r="A3870" s="41" t="s">
        <v>23</v>
      </c>
      <c r="B3870" s="41" t="s">
        <v>31241</v>
      </c>
      <c r="D3870" s="41" t="s">
        <v>31242</v>
      </c>
      <c r="F3870" s="41" t="s">
        <v>31243</v>
      </c>
      <c r="G3870" s="41" t="s">
        <v>31244</v>
      </c>
      <c r="H3870" s="41" t="s">
        <v>31245</v>
      </c>
      <c r="I3870" s="41" t="s">
        <v>31246</v>
      </c>
      <c r="J3870" s="41" t="s">
        <v>31247</v>
      </c>
      <c r="K3870" s="41" t="s">
        <v>31248</v>
      </c>
      <c r="L3870" s="41" t="s">
        <v>1076</v>
      </c>
    </row>
    <row r="3871" spans="1:19" x14ac:dyDescent="0.25">
      <c r="A3871" s="41" t="s">
        <v>23</v>
      </c>
      <c r="B3871" s="41" t="s">
        <v>31249</v>
      </c>
      <c r="D3871" s="41" t="s">
        <v>31250</v>
      </c>
      <c r="F3871" s="41" t="s">
        <v>31251</v>
      </c>
      <c r="G3871" s="41" t="s">
        <v>31252</v>
      </c>
      <c r="H3871" s="41" t="s">
        <v>31253</v>
      </c>
      <c r="I3871" s="41" t="s">
        <v>31254</v>
      </c>
      <c r="J3871" s="41" t="s">
        <v>31255</v>
      </c>
      <c r="K3871" s="41" t="s">
        <v>31256</v>
      </c>
      <c r="L3871" s="41" t="s">
        <v>1085</v>
      </c>
    </row>
    <row r="3872" spans="1:19" x14ac:dyDescent="0.25">
      <c r="A3872" s="41" t="s">
        <v>23</v>
      </c>
      <c r="B3872" s="41" t="s">
        <v>31257</v>
      </c>
      <c r="D3872" s="41" t="s">
        <v>31258</v>
      </c>
      <c r="F3872" s="41" t="s">
        <v>31259</v>
      </c>
      <c r="G3872" s="41" t="s">
        <v>31260</v>
      </c>
      <c r="H3872" s="41" t="s">
        <v>31261</v>
      </c>
      <c r="I3872" s="41" t="s">
        <v>31262</v>
      </c>
      <c r="J3872" s="41" t="s">
        <v>31263</v>
      </c>
      <c r="K3872" s="41" t="s">
        <v>31264</v>
      </c>
      <c r="L3872" s="41" t="s">
        <v>1094</v>
      </c>
    </row>
    <row r="3873" spans="1:19" x14ac:dyDescent="0.25">
      <c r="A3873" s="41" t="s">
        <v>908</v>
      </c>
      <c r="B3873" s="41" t="s">
        <v>31265</v>
      </c>
    </row>
    <row r="3874" spans="1:19" x14ac:dyDescent="0.25">
      <c r="A3874" s="41" t="s">
        <v>23</v>
      </c>
      <c r="B3874" s="41" t="s">
        <v>31266</v>
      </c>
      <c r="F3874" s="41" t="s">
        <v>31267</v>
      </c>
      <c r="G3874" s="41" t="s">
        <v>31268</v>
      </c>
      <c r="H3874" s="41" t="s">
        <v>31269</v>
      </c>
      <c r="I3874" s="41" t="s">
        <v>31270</v>
      </c>
      <c r="J3874" s="41" t="s">
        <v>31271</v>
      </c>
      <c r="L3874" s="41" t="s">
        <v>4</v>
      </c>
    </row>
    <row r="3875" spans="1:19" x14ac:dyDescent="0.25">
      <c r="A3875" s="41" t="s">
        <v>23</v>
      </c>
      <c r="B3875" s="41" t="s">
        <v>31272</v>
      </c>
      <c r="D3875" s="41" t="s">
        <v>466</v>
      </c>
      <c r="E3875" s="41" t="s">
        <v>31274</v>
      </c>
      <c r="F3875" s="41" t="s">
        <v>31275</v>
      </c>
      <c r="G3875" s="41" t="s">
        <v>31276</v>
      </c>
      <c r="H3875" s="41" t="s">
        <v>31277</v>
      </c>
      <c r="I3875" s="41" t="s">
        <v>31278</v>
      </c>
      <c r="J3875" s="41" t="s">
        <v>31279</v>
      </c>
      <c r="K3875" s="41" t="s">
        <v>31280</v>
      </c>
      <c r="L3875" s="41" t="s">
        <v>31281</v>
      </c>
      <c r="M3875" s="41" t="s">
        <v>31282</v>
      </c>
      <c r="N3875" s="41" t="s">
        <v>31283</v>
      </c>
      <c r="O3875" s="41" t="s">
        <v>31284</v>
      </c>
      <c r="P3875" s="41" t="s">
        <v>31285</v>
      </c>
      <c r="Q3875" s="41" t="s">
        <v>31286</v>
      </c>
      <c r="R3875" s="41" t="s">
        <v>31287</v>
      </c>
      <c r="S3875" s="41" t="s">
        <v>31288</v>
      </c>
    </row>
    <row r="3876" spans="1:19" x14ac:dyDescent="0.25">
      <c r="A3876" s="41" t="s">
        <v>23</v>
      </c>
      <c r="B3876" s="41" t="s">
        <v>31289</v>
      </c>
      <c r="D3876" s="41" t="s">
        <v>31290</v>
      </c>
      <c r="F3876" s="41" t="s">
        <v>31291</v>
      </c>
      <c r="G3876" s="41" t="s">
        <v>31292</v>
      </c>
      <c r="H3876" s="41" t="s">
        <v>31293</v>
      </c>
      <c r="I3876" s="41" t="s">
        <v>31294</v>
      </c>
      <c r="J3876" s="41" t="s">
        <v>31295</v>
      </c>
      <c r="K3876" s="41" t="s">
        <v>31296</v>
      </c>
      <c r="L3876" s="41" t="s">
        <v>891</v>
      </c>
    </row>
    <row r="3877" spans="1:19" x14ac:dyDescent="0.25">
      <c r="A3877" s="41" t="s">
        <v>23</v>
      </c>
      <c r="B3877" s="41" t="s">
        <v>31297</v>
      </c>
      <c r="D3877" s="41" t="s">
        <v>31298</v>
      </c>
      <c r="F3877" s="41" t="s">
        <v>31299</v>
      </c>
      <c r="G3877" s="41" t="s">
        <v>31300</v>
      </c>
      <c r="H3877" s="41" t="s">
        <v>31301</v>
      </c>
      <c r="I3877" s="41" t="s">
        <v>31302</v>
      </c>
      <c r="J3877" s="41" t="s">
        <v>31303</v>
      </c>
      <c r="K3877" s="41" t="s">
        <v>31304</v>
      </c>
      <c r="L3877" s="41" t="s">
        <v>1076</v>
      </c>
    </row>
    <row r="3878" spans="1:19" x14ac:dyDescent="0.25">
      <c r="A3878" s="41" t="s">
        <v>23</v>
      </c>
      <c r="B3878" s="41" t="s">
        <v>31305</v>
      </c>
      <c r="D3878" s="41" t="s">
        <v>31306</v>
      </c>
      <c r="F3878" s="41" t="s">
        <v>31307</v>
      </c>
      <c r="G3878" s="41" t="s">
        <v>31308</v>
      </c>
      <c r="H3878" s="41" t="s">
        <v>31309</v>
      </c>
      <c r="I3878" s="41" t="s">
        <v>31310</v>
      </c>
      <c r="J3878" s="41" t="s">
        <v>31311</v>
      </c>
      <c r="K3878" s="41" t="s">
        <v>31312</v>
      </c>
      <c r="L3878" s="41" t="s">
        <v>1085</v>
      </c>
    </row>
    <row r="3879" spans="1:19" x14ac:dyDescent="0.25">
      <c r="A3879" s="41" t="s">
        <v>23</v>
      </c>
      <c r="B3879" s="41" t="s">
        <v>31313</v>
      </c>
      <c r="D3879" s="41" t="s">
        <v>31314</v>
      </c>
      <c r="F3879" s="41" t="s">
        <v>31315</v>
      </c>
      <c r="G3879" s="41" t="s">
        <v>31316</v>
      </c>
      <c r="H3879" s="41" t="s">
        <v>31317</v>
      </c>
      <c r="I3879" s="41" t="s">
        <v>31318</v>
      </c>
      <c r="J3879" s="41" t="s">
        <v>31319</v>
      </c>
      <c r="K3879" s="41" t="s">
        <v>31320</v>
      </c>
      <c r="L3879" s="41" t="s">
        <v>1094</v>
      </c>
    </row>
    <row r="3880" spans="1:19" x14ac:dyDescent="0.25">
      <c r="A3880" s="41" t="s">
        <v>908</v>
      </c>
      <c r="B3880" s="41" t="s">
        <v>31321</v>
      </c>
    </row>
    <row r="3881" spans="1:19" x14ac:dyDescent="0.25">
      <c r="A3881" s="41" t="s">
        <v>23</v>
      </c>
      <c r="B3881" s="41" t="s">
        <v>31322</v>
      </c>
      <c r="F3881" s="41" t="s">
        <v>31323</v>
      </c>
      <c r="G3881" s="41" t="s">
        <v>31324</v>
      </c>
      <c r="H3881" s="41" t="s">
        <v>31325</v>
      </c>
      <c r="I3881" s="41" t="s">
        <v>31326</v>
      </c>
      <c r="J3881" s="41" t="s">
        <v>31327</v>
      </c>
      <c r="L3881" s="41" t="s">
        <v>4</v>
      </c>
    </row>
    <row r="3882" spans="1:19" x14ac:dyDescent="0.25">
      <c r="A3882" s="41" t="s">
        <v>23</v>
      </c>
      <c r="B3882" s="41" t="s">
        <v>31328</v>
      </c>
      <c r="D3882" s="41" t="s">
        <v>31162</v>
      </c>
      <c r="E3882" s="41" t="s">
        <v>31329</v>
      </c>
      <c r="F3882" s="41" t="s">
        <v>31330</v>
      </c>
      <c r="G3882" s="41" t="s">
        <v>31331</v>
      </c>
      <c r="H3882" s="41" t="s">
        <v>31332</v>
      </c>
      <c r="I3882" s="41" t="s">
        <v>31333</v>
      </c>
      <c r="J3882" s="41" t="s">
        <v>31334</v>
      </c>
      <c r="K3882" s="41" t="s">
        <v>31335</v>
      </c>
      <c r="L3882" s="41" t="s">
        <v>31336</v>
      </c>
      <c r="M3882" s="41" t="s">
        <v>31337</v>
      </c>
      <c r="N3882" s="41" t="s">
        <v>31338</v>
      </c>
      <c r="O3882" s="41" t="s">
        <v>31339</v>
      </c>
      <c r="P3882" s="41" t="s">
        <v>31340</v>
      </c>
      <c r="Q3882" s="41" t="s">
        <v>31341</v>
      </c>
      <c r="R3882" s="41" t="s">
        <v>31342</v>
      </c>
      <c r="S3882" s="41" t="s">
        <v>31343</v>
      </c>
    </row>
    <row r="3883" spans="1:19" x14ac:dyDescent="0.25">
      <c r="A3883" s="41" t="s">
        <v>23</v>
      </c>
      <c r="B3883" s="41" t="s">
        <v>31344</v>
      </c>
      <c r="D3883" s="41" t="s">
        <v>31345</v>
      </c>
      <c r="F3883" s="41" t="s">
        <v>31346</v>
      </c>
      <c r="G3883" s="41" t="s">
        <v>31347</v>
      </c>
      <c r="H3883" s="41" t="s">
        <v>31348</v>
      </c>
      <c r="I3883" s="41" t="s">
        <v>31349</v>
      </c>
      <c r="J3883" s="41" t="s">
        <v>31350</v>
      </c>
      <c r="K3883" s="41" t="s">
        <v>31351</v>
      </c>
      <c r="L3883" s="41" t="s">
        <v>891</v>
      </c>
    </row>
    <row r="3884" spans="1:19" x14ac:dyDescent="0.25">
      <c r="A3884" s="41" t="s">
        <v>23</v>
      </c>
      <c r="B3884" s="41" t="s">
        <v>31352</v>
      </c>
      <c r="D3884" s="41" t="s">
        <v>31353</v>
      </c>
      <c r="F3884" s="41" t="s">
        <v>31354</v>
      </c>
      <c r="G3884" s="41" t="s">
        <v>31355</v>
      </c>
      <c r="H3884" s="41" t="s">
        <v>31356</v>
      </c>
      <c r="I3884" s="41" t="s">
        <v>31357</v>
      </c>
      <c r="J3884" s="41" t="s">
        <v>31358</v>
      </c>
      <c r="K3884" s="41" t="s">
        <v>31359</v>
      </c>
      <c r="L3884" s="41" t="s">
        <v>1076</v>
      </c>
    </row>
    <row r="3885" spans="1:19" x14ac:dyDescent="0.25">
      <c r="A3885" s="41" t="s">
        <v>23</v>
      </c>
      <c r="B3885" s="41" t="s">
        <v>31360</v>
      </c>
      <c r="D3885" s="41" t="s">
        <v>31361</v>
      </c>
      <c r="F3885" s="41" t="s">
        <v>31362</v>
      </c>
      <c r="G3885" s="41" t="s">
        <v>31363</v>
      </c>
      <c r="H3885" s="41" t="s">
        <v>31364</v>
      </c>
      <c r="I3885" s="41" t="s">
        <v>31365</v>
      </c>
      <c r="J3885" s="41" t="s">
        <v>31366</v>
      </c>
      <c r="K3885" s="41" t="s">
        <v>31367</v>
      </c>
      <c r="L3885" s="41" t="s">
        <v>1085</v>
      </c>
    </row>
    <row r="3886" spans="1:19" x14ac:dyDescent="0.25">
      <c r="A3886" s="41" t="s">
        <v>23</v>
      </c>
      <c r="B3886" s="41" t="s">
        <v>31368</v>
      </c>
      <c r="D3886" s="41" t="s">
        <v>31369</v>
      </c>
      <c r="F3886" s="41" t="s">
        <v>31370</v>
      </c>
      <c r="G3886" s="41" t="s">
        <v>31371</v>
      </c>
      <c r="H3886" s="41" t="s">
        <v>31372</v>
      </c>
      <c r="I3886" s="41" t="s">
        <v>31373</v>
      </c>
      <c r="J3886" s="41" t="s">
        <v>31374</v>
      </c>
      <c r="K3886" s="41" t="s">
        <v>31375</v>
      </c>
      <c r="L3886" s="41" t="s">
        <v>1094</v>
      </c>
    </row>
    <row r="3887" spans="1:19" x14ac:dyDescent="0.25">
      <c r="A3887" s="41" t="s">
        <v>908</v>
      </c>
      <c r="B3887" s="41" t="s">
        <v>31376</v>
      </c>
    </row>
    <row r="3888" spans="1:19" x14ac:dyDescent="0.25">
      <c r="A3888" s="41" t="s">
        <v>23</v>
      </c>
      <c r="B3888" s="41" t="s">
        <v>31377</v>
      </c>
      <c r="F3888" s="41" t="s">
        <v>31378</v>
      </c>
      <c r="G3888" s="41" t="s">
        <v>31379</v>
      </c>
      <c r="H3888" s="41" t="s">
        <v>31380</v>
      </c>
      <c r="I3888" s="41" t="s">
        <v>31381</v>
      </c>
      <c r="J3888" s="41" t="s">
        <v>31382</v>
      </c>
      <c r="L3888" s="41" t="s">
        <v>4</v>
      </c>
    </row>
    <row r="3889" spans="1:19" x14ac:dyDescent="0.25">
      <c r="A3889" s="41" t="s">
        <v>23</v>
      </c>
      <c r="B3889" s="41" t="s">
        <v>31383</v>
      </c>
      <c r="D3889" s="41" t="s">
        <v>467</v>
      </c>
      <c r="E3889" s="41" t="s">
        <v>31385</v>
      </c>
      <c r="F3889" s="41" t="s">
        <v>31386</v>
      </c>
      <c r="G3889" s="41" t="s">
        <v>31387</v>
      </c>
      <c r="H3889" s="41" t="s">
        <v>31388</v>
      </c>
      <c r="I3889" s="41" t="s">
        <v>31389</v>
      </c>
      <c r="J3889" s="41" t="s">
        <v>31390</v>
      </c>
      <c r="K3889" s="41" t="s">
        <v>31391</v>
      </c>
      <c r="L3889" s="41" t="s">
        <v>31392</v>
      </c>
      <c r="M3889" s="41" t="s">
        <v>31393</v>
      </c>
      <c r="N3889" s="41" t="s">
        <v>31394</v>
      </c>
      <c r="O3889" s="41" t="s">
        <v>31395</v>
      </c>
      <c r="P3889" s="41" t="s">
        <v>31396</v>
      </c>
      <c r="Q3889" s="41" t="s">
        <v>31397</v>
      </c>
      <c r="R3889" s="41" t="s">
        <v>31398</v>
      </c>
      <c r="S3889" s="41" t="s">
        <v>31399</v>
      </c>
    </row>
    <row r="3890" spans="1:19" x14ac:dyDescent="0.25">
      <c r="A3890" s="41" t="s">
        <v>23</v>
      </c>
      <c r="B3890" s="41" t="s">
        <v>31400</v>
      </c>
      <c r="D3890" s="41" t="s">
        <v>31401</v>
      </c>
      <c r="F3890" s="41" t="s">
        <v>31402</v>
      </c>
      <c r="G3890" s="41" t="s">
        <v>31403</v>
      </c>
      <c r="H3890" s="41" t="s">
        <v>31404</v>
      </c>
      <c r="I3890" s="41" t="s">
        <v>31405</v>
      </c>
      <c r="J3890" s="41" t="s">
        <v>31406</v>
      </c>
      <c r="K3890" s="41" t="s">
        <v>31407</v>
      </c>
      <c r="L3890" s="41" t="s">
        <v>891</v>
      </c>
    </row>
    <row r="3891" spans="1:19" x14ac:dyDescent="0.25">
      <c r="A3891" s="41" t="s">
        <v>23</v>
      </c>
      <c r="B3891" s="41" t="s">
        <v>31408</v>
      </c>
      <c r="D3891" s="41" t="s">
        <v>31409</v>
      </c>
      <c r="F3891" s="41" t="s">
        <v>31410</v>
      </c>
      <c r="G3891" s="41" t="s">
        <v>31411</v>
      </c>
      <c r="H3891" s="41" t="s">
        <v>31412</v>
      </c>
      <c r="I3891" s="41" t="s">
        <v>31413</v>
      </c>
      <c r="J3891" s="41" t="s">
        <v>31414</v>
      </c>
      <c r="K3891" s="41" t="s">
        <v>31415</v>
      </c>
      <c r="L3891" s="41" t="s">
        <v>1076</v>
      </c>
    </row>
    <row r="3892" spans="1:19" x14ac:dyDescent="0.25">
      <c r="A3892" s="41" t="s">
        <v>23</v>
      </c>
      <c r="B3892" s="41" t="s">
        <v>31416</v>
      </c>
      <c r="D3892" s="41" t="s">
        <v>31417</v>
      </c>
      <c r="F3892" s="41" t="s">
        <v>31418</v>
      </c>
      <c r="G3892" s="41" t="s">
        <v>31419</v>
      </c>
      <c r="H3892" s="41" t="s">
        <v>31420</v>
      </c>
      <c r="I3892" s="41" t="s">
        <v>31421</v>
      </c>
      <c r="J3892" s="41" t="s">
        <v>31422</v>
      </c>
      <c r="K3892" s="41" t="s">
        <v>31423</v>
      </c>
      <c r="L3892" s="41" t="s">
        <v>1085</v>
      </c>
    </row>
    <row r="3893" spans="1:19" x14ac:dyDescent="0.25">
      <c r="A3893" s="41" t="s">
        <v>23</v>
      </c>
      <c r="B3893" s="41" t="s">
        <v>31424</v>
      </c>
      <c r="D3893" s="41" t="s">
        <v>31425</v>
      </c>
      <c r="F3893" s="41" t="s">
        <v>31426</v>
      </c>
      <c r="G3893" s="41" t="s">
        <v>31427</v>
      </c>
      <c r="H3893" s="41" t="s">
        <v>31428</v>
      </c>
      <c r="I3893" s="41" t="s">
        <v>31429</v>
      </c>
      <c r="J3893" s="41" t="s">
        <v>31430</v>
      </c>
      <c r="K3893" s="41" t="s">
        <v>31431</v>
      </c>
      <c r="L3893" s="41" t="s">
        <v>1094</v>
      </c>
    </row>
    <row r="3894" spans="1:19" x14ac:dyDescent="0.25">
      <c r="A3894" s="41" t="s">
        <v>908</v>
      </c>
      <c r="B3894" s="41" t="s">
        <v>31432</v>
      </c>
    </row>
    <row r="3895" spans="1:19" x14ac:dyDescent="0.25">
      <c r="A3895" s="41" t="s">
        <v>23</v>
      </c>
      <c r="B3895" s="41" t="s">
        <v>31433</v>
      </c>
      <c r="F3895" s="41" t="s">
        <v>31434</v>
      </c>
      <c r="G3895" s="41" t="s">
        <v>31435</v>
      </c>
      <c r="H3895" s="41" t="s">
        <v>31436</v>
      </c>
      <c r="I3895" s="41" t="s">
        <v>31437</v>
      </c>
      <c r="J3895" s="41" t="s">
        <v>31438</v>
      </c>
      <c r="L3895" s="41" t="s">
        <v>4</v>
      </c>
    </row>
    <row r="3896" spans="1:19" x14ac:dyDescent="0.25">
      <c r="A3896" s="41" t="s">
        <v>23</v>
      </c>
      <c r="B3896" s="41" t="s">
        <v>31439</v>
      </c>
      <c r="D3896" s="41" t="s">
        <v>31273</v>
      </c>
      <c r="E3896" s="41" t="s">
        <v>31440</v>
      </c>
      <c r="F3896" s="41" t="s">
        <v>31441</v>
      </c>
      <c r="G3896" s="41" t="s">
        <v>31442</v>
      </c>
      <c r="H3896" s="41" t="s">
        <v>31443</v>
      </c>
      <c r="I3896" s="41" t="s">
        <v>31444</v>
      </c>
      <c r="J3896" s="41" t="s">
        <v>31445</v>
      </c>
      <c r="K3896" s="41" t="s">
        <v>31446</v>
      </c>
      <c r="L3896" s="41" t="s">
        <v>31447</v>
      </c>
      <c r="M3896" s="41" t="s">
        <v>31448</v>
      </c>
      <c r="N3896" s="41" t="s">
        <v>31449</v>
      </c>
      <c r="O3896" s="41" t="s">
        <v>31450</v>
      </c>
      <c r="P3896" s="41" t="s">
        <v>31451</v>
      </c>
      <c r="Q3896" s="41" t="s">
        <v>31452</v>
      </c>
      <c r="R3896" s="41" t="s">
        <v>31453</v>
      </c>
      <c r="S3896" s="41" t="s">
        <v>31454</v>
      </c>
    </row>
    <row r="3897" spans="1:19" x14ac:dyDescent="0.25">
      <c r="A3897" s="41" t="s">
        <v>23</v>
      </c>
      <c r="B3897" s="41" t="s">
        <v>31455</v>
      </c>
      <c r="D3897" s="41" t="s">
        <v>31456</v>
      </c>
      <c r="F3897" s="41" t="s">
        <v>31457</v>
      </c>
      <c r="G3897" s="41" t="s">
        <v>31458</v>
      </c>
      <c r="H3897" s="41" t="s">
        <v>31459</v>
      </c>
      <c r="I3897" s="41" t="s">
        <v>31460</v>
      </c>
      <c r="J3897" s="41" t="s">
        <v>31461</v>
      </c>
      <c r="K3897" s="41" t="s">
        <v>31462</v>
      </c>
      <c r="L3897" s="41" t="s">
        <v>891</v>
      </c>
    </row>
    <row r="3898" spans="1:19" x14ac:dyDescent="0.25">
      <c r="A3898" s="41" t="s">
        <v>23</v>
      </c>
      <c r="B3898" s="41" t="s">
        <v>31463</v>
      </c>
      <c r="D3898" s="41" t="s">
        <v>31464</v>
      </c>
      <c r="F3898" s="41" t="s">
        <v>31465</v>
      </c>
      <c r="G3898" s="41" t="s">
        <v>31466</v>
      </c>
      <c r="H3898" s="41" t="s">
        <v>31467</v>
      </c>
      <c r="I3898" s="41" t="s">
        <v>31468</v>
      </c>
      <c r="J3898" s="41" t="s">
        <v>31469</v>
      </c>
      <c r="K3898" s="41" t="s">
        <v>31470</v>
      </c>
      <c r="L3898" s="41" t="s">
        <v>1076</v>
      </c>
    </row>
    <row r="3899" spans="1:19" x14ac:dyDescent="0.25">
      <c r="A3899" s="41" t="s">
        <v>23</v>
      </c>
      <c r="B3899" s="41" t="s">
        <v>31471</v>
      </c>
      <c r="D3899" s="41" t="s">
        <v>31472</v>
      </c>
      <c r="F3899" s="41" t="s">
        <v>31473</v>
      </c>
      <c r="G3899" s="41" t="s">
        <v>31474</v>
      </c>
      <c r="H3899" s="41" t="s">
        <v>31475</v>
      </c>
      <c r="I3899" s="41" t="s">
        <v>31476</v>
      </c>
      <c r="J3899" s="41" t="s">
        <v>31477</v>
      </c>
      <c r="K3899" s="41" t="s">
        <v>31478</v>
      </c>
      <c r="L3899" s="41" t="s">
        <v>1085</v>
      </c>
    </row>
    <row r="3900" spans="1:19" x14ac:dyDescent="0.25">
      <c r="A3900" s="41" t="s">
        <v>23</v>
      </c>
      <c r="B3900" s="41" t="s">
        <v>31479</v>
      </c>
      <c r="D3900" s="41" t="s">
        <v>31480</v>
      </c>
      <c r="F3900" s="41" t="s">
        <v>31481</v>
      </c>
      <c r="G3900" s="41" t="s">
        <v>31482</v>
      </c>
      <c r="H3900" s="41" t="s">
        <v>31483</v>
      </c>
      <c r="I3900" s="41" t="s">
        <v>31484</v>
      </c>
      <c r="J3900" s="41" t="s">
        <v>31485</v>
      </c>
      <c r="K3900" s="41" t="s">
        <v>31486</v>
      </c>
      <c r="L3900" s="41" t="s">
        <v>1094</v>
      </c>
    </row>
    <row r="3901" spans="1:19" x14ac:dyDescent="0.25">
      <c r="A3901" s="41" t="s">
        <v>908</v>
      </c>
      <c r="B3901" s="41" t="s">
        <v>31487</v>
      </c>
    </row>
    <row r="3902" spans="1:19" x14ac:dyDescent="0.25">
      <c r="A3902" s="41" t="s">
        <v>23</v>
      </c>
      <c r="B3902" s="41" t="s">
        <v>31488</v>
      </c>
      <c r="F3902" s="41" t="s">
        <v>31489</v>
      </c>
      <c r="G3902" s="41" t="s">
        <v>31490</v>
      </c>
      <c r="H3902" s="41" t="s">
        <v>31491</v>
      </c>
      <c r="I3902" s="41" t="s">
        <v>31492</v>
      </c>
      <c r="J3902" s="41" t="s">
        <v>31493</v>
      </c>
      <c r="L3902" s="41" t="s">
        <v>4</v>
      </c>
    </row>
    <row r="3903" spans="1:19" x14ac:dyDescent="0.25">
      <c r="A3903" s="41" t="s">
        <v>23</v>
      </c>
      <c r="B3903" s="41" t="s">
        <v>31494</v>
      </c>
      <c r="D3903" s="41" t="s">
        <v>468</v>
      </c>
      <c r="E3903" s="41" t="s">
        <v>31496</v>
      </c>
      <c r="F3903" s="41" t="s">
        <v>31497</v>
      </c>
      <c r="G3903" s="41" t="s">
        <v>31498</v>
      </c>
      <c r="H3903" s="41" t="s">
        <v>31499</v>
      </c>
      <c r="I3903" s="41" t="s">
        <v>31500</v>
      </c>
      <c r="J3903" s="41" t="s">
        <v>31501</v>
      </c>
      <c r="K3903" s="41" t="s">
        <v>31502</v>
      </c>
      <c r="L3903" s="41" t="s">
        <v>31503</v>
      </c>
      <c r="M3903" s="41" t="s">
        <v>31504</v>
      </c>
      <c r="N3903" s="41" t="s">
        <v>31505</v>
      </c>
      <c r="O3903" s="41" t="s">
        <v>31506</v>
      </c>
      <c r="P3903" s="41" t="s">
        <v>31507</v>
      </c>
      <c r="Q3903" s="41" t="s">
        <v>31508</v>
      </c>
      <c r="R3903" s="41" t="s">
        <v>31509</v>
      </c>
      <c r="S3903" s="41" t="s">
        <v>31510</v>
      </c>
    </row>
    <row r="3904" spans="1:19" x14ac:dyDescent="0.25">
      <c r="A3904" s="41" t="s">
        <v>23</v>
      </c>
      <c r="B3904" s="41" t="s">
        <v>31511</v>
      </c>
      <c r="D3904" s="41" t="s">
        <v>31512</v>
      </c>
      <c r="F3904" s="41" t="s">
        <v>31513</v>
      </c>
      <c r="G3904" s="41" t="s">
        <v>31514</v>
      </c>
      <c r="H3904" s="41" t="s">
        <v>31515</v>
      </c>
      <c r="I3904" s="41" t="s">
        <v>31516</v>
      </c>
      <c r="J3904" s="41" t="s">
        <v>31517</v>
      </c>
      <c r="K3904" s="41" t="s">
        <v>31518</v>
      </c>
      <c r="L3904" s="41" t="s">
        <v>891</v>
      </c>
    </row>
    <row r="3905" spans="1:19" x14ac:dyDescent="0.25">
      <c r="A3905" s="41" t="s">
        <v>23</v>
      </c>
      <c r="B3905" s="41" t="s">
        <v>31519</v>
      </c>
      <c r="D3905" s="41" t="s">
        <v>31520</v>
      </c>
      <c r="F3905" s="41" t="s">
        <v>31521</v>
      </c>
      <c r="G3905" s="41" t="s">
        <v>31522</v>
      </c>
      <c r="H3905" s="41" t="s">
        <v>31523</v>
      </c>
      <c r="I3905" s="41" t="s">
        <v>31524</v>
      </c>
      <c r="J3905" s="41" t="s">
        <v>31525</v>
      </c>
      <c r="K3905" s="41" t="s">
        <v>31526</v>
      </c>
      <c r="L3905" s="41" t="s">
        <v>1076</v>
      </c>
    </row>
    <row r="3906" spans="1:19" x14ac:dyDescent="0.25">
      <c r="A3906" s="41" t="s">
        <v>23</v>
      </c>
      <c r="B3906" s="41" t="s">
        <v>31527</v>
      </c>
      <c r="D3906" s="41" t="s">
        <v>31528</v>
      </c>
      <c r="F3906" s="41" t="s">
        <v>31529</v>
      </c>
      <c r="G3906" s="41" t="s">
        <v>31530</v>
      </c>
      <c r="H3906" s="41" t="s">
        <v>31531</v>
      </c>
      <c r="I3906" s="41" t="s">
        <v>31532</v>
      </c>
      <c r="J3906" s="41" t="s">
        <v>31533</v>
      </c>
      <c r="K3906" s="41" t="s">
        <v>31534</v>
      </c>
      <c r="L3906" s="41" t="s">
        <v>1085</v>
      </c>
    </row>
    <row r="3907" spans="1:19" x14ac:dyDescent="0.25">
      <c r="A3907" s="41" t="s">
        <v>23</v>
      </c>
      <c r="B3907" s="41" t="s">
        <v>31535</v>
      </c>
      <c r="D3907" s="41" t="s">
        <v>31536</v>
      </c>
      <c r="F3907" s="41" t="s">
        <v>31537</v>
      </c>
      <c r="G3907" s="41" t="s">
        <v>31538</v>
      </c>
      <c r="H3907" s="41" t="s">
        <v>31539</v>
      </c>
      <c r="I3907" s="41" t="s">
        <v>31540</v>
      </c>
      <c r="J3907" s="41" t="s">
        <v>31541</v>
      </c>
      <c r="K3907" s="41" t="s">
        <v>31542</v>
      </c>
      <c r="L3907" s="41" t="s">
        <v>1094</v>
      </c>
    </row>
    <row r="3908" spans="1:19" x14ac:dyDescent="0.25">
      <c r="A3908" s="41" t="s">
        <v>908</v>
      </c>
      <c r="B3908" s="41" t="s">
        <v>31543</v>
      </c>
    </row>
    <row r="3909" spans="1:19" x14ac:dyDescent="0.25">
      <c r="A3909" s="41" t="s">
        <v>23</v>
      </c>
      <c r="B3909" s="41" t="s">
        <v>31544</v>
      </c>
      <c r="F3909" s="41" t="s">
        <v>31545</v>
      </c>
      <c r="G3909" s="41" t="s">
        <v>31546</v>
      </c>
      <c r="H3909" s="41" t="s">
        <v>31547</v>
      </c>
      <c r="I3909" s="41" t="s">
        <v>31548</v>
      </c>
      <c r="J3909" s="41" t="s">
        <v>31549</v>
      </c>
      <c r="L3909" s="41" t="s">
        <v>4</v>
      </c>
    </row>
    <row r="3910" spans="1:19" x14ac:dyDescent="0.25">
      <c r="A3910" s="41" t="s">
        <v>23</v>
      </c>
      <c r="B3910" s="41" t="s">
        <v>31550</v>
      </c>
      <c r="D3910" s="41" t="s">
        <v>31384</v>
      </c>
      <c r="E3910" s="41" t="s">
        <v>31551</v>
      </c>
      <c r="F3910" s="41" t="s">
        <v>31552</v>
      </c>
      <c r="G3910" s="41" t="s">
        <v>31553</v>
      </c>
      <c r="H3910" s="41" t="s">
        <v>31554</v>
      </c>
      <c r="I3910" s="41" t="s">
        <v>31555</v>
      </c>
      <c r="J3910" s="41" t="s">
        <v>31556</v>
      </c>
      <c r="K3910" s="41" t="s">
        <v>31557</v>
      </c>
      <c r="L3910" s="41" t="s">
        <v>31558</v>
      </c>
      <c r="M3910" s="41" t="s">
        <v>31559</v>
      </c>
      <c r="N3910" s="41" t="s">
        <v>31560</v>
      </c>
      <c r="O3910" s="41" t="s">
        <v>31561</v>
      </c>
      <c r="P3910" s="41" t="s">
        <v>31562</v>
      </c>
      <c r="Q3910" s="41" t="s">
        <v>31563</v>
      </c>
      <c r="R3910" s="41" t="s">
        <v>31564</v>
      </c>
      <c r="S3910" s="41" t="s">
        <v>31565</v>
      </c>
    </row>
    <row r="3911" spans="1:19" x14ac:dyDescent="0.25">
      <c r="A3911" s="41" t="s">
        <v>23</v>
      </c>
      <c r="B3911" s="41" t="s">
        <v>31566</v>
      </c>
      <c r="D3911" s="41" t="s">
        <v>31567</v>
      </c>
      <c r="F3911" s="41" t="s">
        <v>31568</v>
      </c>
      <c r="G3911" s="41" t="s">
        <v>31569</v>
      </c>
      <c r="H3911" s="41" t="s">
        <v>31570</v>
      </c>
      <c r="I3911" s="41" t="s">
        <v>31571</v>
      </c>
      <c r="J3911" s="41" t="s">
        <v>31572</v>
      </c>
      <c r="K3911" s="41" t="s">
        <v>31573</v>
      </c>
      <c r="L3911" s="41" t="s">
        <v>891</v>
      </c>
    </row>
    <row r="3912" spans="1:19" x14ac:dyDescent="0.25">
      <c r="A3912" s="41" t="s">
        <v>23</v>
      </c>
      <c r="B3912" s="41" t="s">
        <v>31574</v>
      </c>
      <c r="D3912" s="41" t="s">
        <v>31575</v>
      </c>
      <c r="F3912" s="41" t="s">
        <v>31576</v>
      </c>
      <c r="G3912" s="41" t="s">
        <v>31577</v>
      </c>
      <c r="H3912" s="41" t="s">
        <v>31578</v>
      </c>
      <c r="I3912" s="41" t="s">
        <v>31579</v>
      </c>
      <c r="J3912" s="41" t="s">
        <v>31580</v>
      </c>
      <c r="K3912" s="41" t="s">
        <v>31581</v>
      </c>
      <c r="L3912" s="41" t="s">
        <v>1076</v>
      </c>
    </row>
    <row r="3913" spans="1:19" x14ac:dyDescent="0.25">
      <c r="A3913" s="41" t="s">
        <v>23</v>
      </c>
      <c r="B3913" s="41" t="s">
        <v>31582</v>
      </c>
      <c r="D3913" s="41" t="s">
        <v>31583</v>
      </c>
      <c r="F3913" s="41" t="s">
        <v>31584</v>
      </c>
      <c r="G3913" s="41" t="s">
        <v>31585</v>
      </c>
      <c r="H3913" s="41" t="s">
        <v>31586</v>
      </c>
      <c r="I3913" s="41" t="s">
        <v>31587</v>
      </c>
      <c r="J3913" s="41" t="s">
        <v>31588</v>
      </c>
      <c r="K3913" s="41" t="s">
        <v>31589</v>
      </c>
      <c r="L3913" s="41" t="s">
        <v>1085</v>
      </c>
    </row>
    <row r="3914" spans="1:19" x14ac:dyDescent="0.25">
      <c r="A3914" s="41" t="s">
        <v>23</v>
      </c>
      <c r="B3914" s="41" t="s">
        <v>31590</v>
      </c>
      <c r="D3914" s="41" t="s">
        <v>31591</v>
      </c>
      <c r="F3914" s="41" t="s">
        <v>31592</v>
      </c>
      <c r="G3914" s="41" t="s">
        <v>31593</v>
      </c>
      <c r="H3914" s="41" t="s">
        <v>31594</v>
      </c>
      <c r="I3914" s="41" t="s">
        <v>31595</v>
      </c>
      <c r="J3914" s="41" t="s">
        <v>31596</v>
      </c>
      <c r="K3914" s="41" t="s">
        <v>31597</v>
      </c>
      <c r="L3914" s="41" t="s">
        <v>1094</v>
      </c>
    </row>
    <row r="3915" spans="1:19" x14ac:dyDescent="0.25">
      <c r="A3915" s="41" t="s">
        <v>908</v>
      </c>
      <c r="B3915" s="41" t="s">
        <v>31598</v>
      </c>
    </row>
    <row r="3916" spans="1:19" x14ac:dyDescent="0.25">
      <c r="A3916" s="41" t="s">
        <v>23</v>
      </c>
      <c r="B3916" s="41" t="s">
        <v>31599</v>
      </c>
      <c r="F3916" s="41" t="s">
        <v>31600</v>
      </c>
      <c r="G3916" s="41" t="s">
        <v>31601</v>
      </c>
      <c r="H3916" s="41" t="s">
        <v>31602</v>
      </c>
      <c r="I3916" s="41" t="s">
        <v>31603</v>
      </c>
      <c r="J3916" s="41" t="s">
        <v>31604</v>
      </c>
      <c r="L3916" s="41" t="s">
        <v>4</v>
      </c>
    </row>
    <row r="3917" spans="1:19" x14ac:dyDescent="0.25">
      <c r="A3917" s="41" t="s">
        <v>23</v>
      </c>
      <c r="B3917" s="41" t="s">
        <v>31605</v>
      </c>
      <c r="D3917" s="41" t="s">
        <v>469</v>
      </c>
      <c r="E3917" s="41" t="s">
        <v>31607</v>
      </c>
      <c r="F3917" s="41" t="s">
        <v>31608</v>
      </c>
      <c r="G3917" s="41" t="s">
        <v>31609</v>
      </c>
      <c r="H3917" s="41" t="s">
        <v>31610</v>
      </c>
      <c r="I3917" s="41" t="s">
        <v>31611</v>
      </c>
      <c r="J3917" s="41" t="s">
        <v>31612</v>
      </c>
      <c r="K3917" s="41" t="s">
        <v>31613</v>
      </c>
      <c r="L3917" s="41" t="s">
        <v>31614</v>
      </c>
      <c r="M3917" s="41" t="s">
        <v>31615</v>
      </c>
      <c r="N3917" s="41" t="s">
        <v>31616</v>
      </c>
      <c r="O3917" s="41" t="s">
        <v>31617</v>
      </c>
      <c r="P3917" s="41" t="s">
        <v>31618</v>
      </c>
      <c r="Q3917" s="41" t="s">
        <v>31619</v>
      </c>
      <c r="R3917" s="41" t="s">
        <v>31620</v>
      </c>
      <c r="S3917" s="41" t="s">
        <v>31621</v>
      </c>
    </row>
    <row r="3918" spans="1:19" x14ac:dyDescent="0.25">
      <c r="A3918" s="41" t="s">
        <v>23</v>
      </c>
      <c r="B3918" s="41" t="s">
        <v>31622</v>
      </c>
      <c r="D3918" s="41" t="s">
        <v>31623</v>
      </c>
      <c r="F3918" s="41" t="s">
        <v>31624</v>
      </c>
      <c r="G3918" s="41" t="s">
        <v>31625</v>
      </c>
      <c r="H3918" s="41" t="s">
        <v>31626</v>
      </c>
      <c r="I3918" s="41" t="s">
        <v>31627</v>
      </c>
      <c r="J3918" s="41" t="s">
        <v>31628</v>
      </c>
      <c r="K3918" s="41" t="s">
        <v>31629</v>
      </c>
      <c r="L3918" s="41" t="s">
        <v>891</v>
      </c>
    </row>
    <row r="3919" spans="1:19" x14ac:dyDescent="0.25">
      <c r="A3919" s="41" t="s">
        <v>23</v>
      </c>
      <c r="B3919" s="41" t="s">
        <v>31630</v>
      </c>
      <c r="D3919" s="41" t="s">
        <v>31631</v>
      </c>
      <c r="F3919" s="41" t="s">
        <v>31632</v>
      </c>
      <c r="G3919" s="41" t="s">
        <v>31633</v>
      </c>
      <c r="H3919" s="41" t="s">
        <v>31634</v>
      </c>
      <c r="I3919" s="41" t="s">
        <v>31635</v>
      </c>
      <c r="J3919" s="41" t="s">
        <v>31636</v>
      </c>
      <c r="K3919" s="41" t="s">
        <v>31637</v>
      </c>
      <c r="L3919" s="41" t="s">
        <v>1076</v>
      </c>
    </row>
    <row r="3920" spans="1:19" x14ac:dyDescent="0.25">
      <c r="A3920" s="41" t="s">
        <v>23</v>
      </c>
      <c r="B3920" s="41" t="s">
        <v>31638</v>
      </c>
      <c r="D3920" s="41" t="s">
        <v>31639</v>
      </c>
      <c r="F3920" s="41" t="s">
        <v>31640</v>
      </c>
      <c r="G3920" s="41" t="s">
        <v>31641</v>
      </c>
      <c r="H3920" s="41" t="s">
        <v>31642</v>
      </c>
      <c r="I3920" s="41" t="s">
        <v>31643</v>
      </c>
      <c r="J3920" s="41" t="s">
        <v>31644</v>
      </c>
      <c r="K3920" s="41" t="s">
        <v>31645</v>
      </c>
      <c r="L3920" s="41" t="s">
        <v>1085</v>
      </c>
    </row>
    <row r="3921" spans="1:19" x14ac:dyDescent="0.25">
      <c r="A3921" s="41" t="s">
        <v>23</v>
      </c>
      <c r="B3921" s="41" t="s">
        <v>31646</v>
      </c>
      <c r="D3921" s="41" t="s">
        <v>31647</v>
      </c>
      <c r="F3921" s="41" t="s">
        <v>31648</v>
      </c>
      <c r="G3921" s="41" t="s">
        <v>31649</v>
      </c>
      <c r="H3921" s="41" t="s">
        <v>31650</v>
      </c>
      <c r="I3921" s="41" t="s">
        <v>31651</v>
      </c>
      <c r="J3921" s="41" t="s">
        <v>31652</v>
      </c>
      <c r="K3921" s="41" t="s">
        <v>31653</v>
      </c>
      <c r="L3921" s="41" t="s">
        <v>1094</v>
      </c>
    </row>
    <row r="3922" spans="1:19" x14ac:dyDescent="0.25">
      <c r="A3922" s="41" t="s">
        <v>908</v>
      </c>
      <c r="B3922" s="41" t="s">
        <v>31654</v>
      </c>
    </row>
    <row r="3923" spans="1:19" x14ac:dyDescent="0.25">
      <c r="A3923" s="41" t="s">
        <v>23</v>
      </c>
      <c r="B3923" s="41" t="s">
        <v>31655</v>
      </c>
      <c r="F3923" s="41" t="s">
        <v>31656</v>
      </c>
      <c r="G3923" s="41" t="s">
        <v>31657</v>
      </c>
      <c r="H3923" s="41" t="s">
        <v>31658</v>
      </c>
      <c r="I3923" s="41" t="s">
        <v>31659</v>
      </c>
      <c r="J3923" s="41" t="s">
        <v>31660</v>
      </c>
      <c r="L3923" s="41" t="s">
        <v>4</v>
      </c>
    </row>
    <row r="3924" spans="1:19" x14ac:dyDescent="0.25">
      <c r="A3924" s="41" t="s">
        <v>23</v>
      </c>
      <c r="B3924" s="41" t="s">
        <v>31661</v>
      </c>
      <c r="D3924" s="41" t="s">
        <v>31495</v>
      </c>
      <c r="E3924" s="41" t="s">
        <v>31662</v>
      </c>
      <c r="F3924" s="41" t="s">
        <v>31663</v>
      </c>
      <c r="G3924" s="41" t="s">
        <v>31664</v>
      </c>
      <c r="H3924" s="41" t="s">
        <v>31665</v>
      </c>
      <c r="I3924" s="41" t="s">
        <v>31666</v>
      </c>
      <c r="J3924" s="41" t="s">
        <v>31667</v>
      </c>
      <c r="K3924" s="41" t="s">
        <v>31668</v>
      </c>
      <c r="L3924" s="41" t="s">
        <v>31669</v>
      </c>
      <c r="M3924" s="41" t="s">
        <v>31670</v>
      </c>
      <c r="N3924" s="41" t="s">
        <v>31671</v>
      </c>
      <c r="O3924" s="41" t="s">
        <v>31672</v>
      </c>
      <c r="P3924" s="41" t="s">
        <v>31673</v>
      </c>
      <c r="Q3924" s="41" t="s">
        <v>31674</v>
      </c>
      <c r="R3924" s="41" t="s">
        <v>31675</v>
      </c>
      <c r="S3924" s="41" t="s">
        <v>31676</v>
      </c>
    </row>
    <row r="3925" spans="1:19" x14ac:dyDescent="0.25">
      <c r="A3925" s="41" t="s">
        <v>23</v>
      </c>
      <c r="B3925" s="41" t="s">
        <v>31677</v>
      </c>
      <c r="D3925" s="41" t="s">
        <v>31678</v>
      </c>
      <c r="F3925" s="41" t="s">
        <v>31679</v>
      </c>
      <c r="G3925" s="41" t="s">
        <v>31680</v>
      </c>
      <c r="H3925" s="41" t="s">
        <v>31681</v>
      </c>
      <c r="I3925" s="41" t="s">
        <v>31682</v>
      </c>
      <c r="J3925" s="41" t="s">
        <v>31683</v>
      </c>
      <c r="K3925" s="41" t="s">
        <v>31684</v>
      </c>
      <c r="L3925" s="41" t="s">
        <v>891</v>
      </c>
    </row>
    <row r="3926" spans="1:19" x14ac:dyDescent="0.25">
      <c r="A3926" s="41" t="s">
        <v>23</v>
      </c>
      <c r="B3926" s="41" t="s">
        <v>31685</v>
      </c>
      <c r="D3926" s="41" t="s">
        <v>31686</v>
      </c>
      <c r="F3926" s="41" t="s">
        <v>31687</v>
      </c>
      <c r="G3926" s="41" t="s">
        <v>31688</v>
      </c>
      <c r="H3926" s="41" t="s">
        <v>31689</v>
      </c>
      <c r="I3926" s="41" t="s">
        <v>31690</v>
      </c>
      <c r="J3926" s="41" t="s">
        <v>31691</v>
      </c>
      <c r="K3926" s="41" t="s">
        <v>31692</v>
      </c>
      <c r="L3926" s="41" t="s">
        <v>1076</v>
      </c>
    </row>
    <row r="3927" spans="1:19" x14ac:dyDescent="0.25">
      <c r="A3927" s="41" t="s">
        <v>23</v>
      </c>
      <c r="B3927" s="41" t="s">
        <v>31693</v>
      </c>
      <c r="D3927" s="41" t="s">
        <v>31694</v>
      </c>
      <c r="F3927" s="41" t="s">
        <v>31695</v>
      </c>
      <c r="G3927" s="41" t="s">
        <v>31696</v>
      </c>
      <c r="H3927" s="41" t="s">
        <v>31697</v>
      </c>
      <c r="I3927" s="41" t="s">
        <v>31698</v>
      </c>
      <c r="J3927" s="41" t="s">
        <v>31699</v>
      </c>
      <c r="K3927" s="41" t="s">
        <v>31700</v>
      </c>
      <c r="L3927" s="41" t="s">
        <v>1085</v>
      </c>
    </row>
    <row r="3928" spans="1:19" x14ac:dyDescent="0.25">
      <c r="A3928" s="41" t="s">
        <v>23</v>
      </c>
      <c r="B3928" s="41" t="s">
        <v>31701</v>
      </c>
      <c r="D3928" s="41" t="s">
        <v>31702</v>
      </c>
      <c r="F3928" s="41" t="s">
        <v>31703</v>
      </c>
      <c r="G3928" s="41" t="s">
        <v>31704</v>
      </c>
      <c r="H3928" s="41" t="s">
        <v>31705</v>
      </c>
      <c r="I3928" s="41" t="s">
        <v>31706</v>
      </c>
      <c r="J3928" s="41" t="s">
        <v>31707</v>
      </c>
      <c r="K3928" s="41" t="s">
        <v>31708</v>
      </c>
      <c r="L3928" s="41" t="s">
        <v>1094</v>
      </c>
    </row>
    <row r="3929" spans="1:19" x14ac:dyDescent="0.25">
      <c r="A3929" s="41" t="s">
        <v>908</v>
      </c>
      <c r="B3929" s="41" t="s">
        <v>31709</v>
      </c>
    </row>
    <row r="3930" spans="1:19" x14ac:dyDescent="0.25">
      <c r="A3930" s="41" t="s">
        <v>23</v>
      </c>
      <c r="B3930" s="41" t="s">
        <v>31710</v>
      </c>
      <c r="F3930" s="41" t="s">
        <v>31711</v>
      </c>
      <c r="G3930" s="41" t="s">
        <v>31712</v>
      </c>
      <c r="H3930" s="41" t="s">
        <v>31713</v>
      </c>
      <c r="I3930" s="41" t="s">
        <v>31714</v>
      </c>
      <c r="J3930" s="41" t="s">
        <v>31715</v>
      </c>
      <c r="L3930" s="41" t="s">
        <v>4</v>
      </c>
    </row>
    <row r="3931" spans="1:19" x14ac:dyDescent="0.25">
      <c r="A3931" s="41" t="s">
        <v>23</v>
      </c>
      <c r="B3931" s="41" t="s">
        <v>31716</v>
      </c>
      <c r="D3931" s="41" t="s">
        <v>470</v>
      </c>
      <c r="E3931" s="41" t="s">
        <v>31717</v>
      </c>
      <c r="F3931" s="41" t="s">
        <v>31718</v>
      </c>
      <c r="G3931" s="41" t="s">
        <v>31719</v>
      </c>
      <c r="H3931" s="41" t="s">
        <v>31720</v>
      </c>
      <c r="I3931" s="41" t="s">
        <v>31721</v>
      </c>
      <c r="J3931" s="41" t="s">
        <v>31722</v>
      </c>
      <c r="K3931" s="41" t="s">
        <v>31723</v>
      </c>
      <c r="L3931" s="41" t="s">
        <v>31724</v>
      </c>
      <c r="M3931" s="41" t="s">
        <v>31725</v>
      </c>
      <c r="N3931" s="41" t="s">
        <v>31726</v>
      </c>
      <c r="O3931" s="41" t="s">
        <v>31727</v>
      </c>
      <c r="P3931" s="41" t="s">
        <v>31728</v>
      </c>
      <c r="Q3931" s="41" t="s">
        <v>31729</v>
      </c>
      <c r="R3931" s="41" t="s">
        <v>31730</v>
      </c>
      <c r="S3931" s="41" t="s">
        <v>31731</v>
      </c>
    </row>
    <row r="3932" spans="1:19" x14ac:dyDescent="0.25">
      <c r="A3932" s="41" t="s">
        <v>23</v>
      </c>
      <c r="B3932" s="41" t="s">
        <v>31732</v>
      </c>
      <c r="D3932" s="41" t="s">
        <v>31733</v>
      </c>
      <c r="F3932" s="41" t="s">
        <v>31734</v>
      </c>
      <c r="G3932" s="41" t="s">
        <v>31735</v>
      </c>
      <c r="H3932" s="41" t="s">
        <v>31736</v>
      </c>
      <c r="I3932" s="41" t="s">
        <v>31737</v>
      </c>
      <c r="J3932" s="41" t="s">
        <v>31738</v>
      </c>
      <c r="K3932" s="41" t="s">
        <v>31739</v>
      </c>
      <c r="L3932" s="41" t="s">
        <v>891</v>
      </c>
    </row>
    <row r="3933" spans="1:19" x14ac:dyDescent="0.25">
      <c r="A3933" s="41" t="s">
        <v>23</v>
      </c>
      <c r="B3933" s="41" t="s">
        <v>31740</v>
      </c>
      <c r="D3933" s="41" t="s">
        <v>31741</v>
      </c>
      <c r="F3933" s="41" t="s">
        <v>31742</v>
      </c>
      <c r="G3933" s="41" t="s">
        <v>31743</v>
      </c>
      <c r="H3933" s="41" t="s">
        <v>31744</v>
      </c>
      <c r="I3933" s="41" t="s">
        <v>31745</v>
      </c>
      <c r="J3933" s="41" t="s">
        <v>31746</v>
      </c>
      <c r="K3933" s="41" t="s">
        <v>31747</v>
      </c>
      <c r="L3933" s="41" t="s">
        <v>1076</v>
      </c>
    </row>
    <row r="3934" spans="1:19" x14ac:dyDescent="0.25">
      <c r="A3934" s="41" t="s">
        <v>23</v>
      </c>
      <c r="B3934" s="41" t="s">
        <v>31748</v>
      </c>
      <c r="D3934" s="41" t="s">
        <v>31749</v>
      </c>
      <c r="F3934" s="41" t="s">
        <v>31750</v>
      </c>
      <c r="G3934" s="41" t="s">
        <v>31751</v>
      </c>
      <c r="H3934" s="41" t="s">
        <v>31752</v>
      </c>
      <c r="I3934" s="41" t="s">
        <v>31753</v>
      </c>
      <c r="J3934" s="41" t="s">
        <v>31754</v>
      </c>
      <c r="K3934" s="41" t="s">
        <v>31755</v>
      </c>
      <c r="L3934" s="41" t="s">
        <v>1085</v>
      </c>
    </row>
    <row r="3935" spans="1:19" x14ac:dyDescent="0.25">
      <c r="A3935" s="41" t="s">
        <v>23</v>
      </c>
      <c r="B3935" s="41" t="s">
        <v>31756</v>
      </c>
      <c r="D3935" s="41" t="s">
        <v>31757</v>
      </c>
      <c r="F3935" s="41" t="s">
        <v>31758</v>
      </c>
      <c r="G3935" s="41" t="s">
        <v>31759</v>
      </c>
      <c r="H3935" s="41" t="s">
        <v>31760</v>
      </c>
      <c r="I3935" s="41" t="s">
        <v>31761</v>
      </c>
      <c r="J3935" s="41" t="s">
        <v>31762</v>
      </c>
      <c r="K3935" s="41" t="s">
        <v>31763</v>
      </c>
      <c r="L3935" s="41" t="s">
        <v>1094</v>
      </c>
    </row>
    <row r="3936" spans="1:19" x14ac:dyDescent="0.25">
      <c r="A3936" s="41" t="s">
        <v>908</v>
      </c>
      <c r="B3936" s="41" t="s">
        <v>31764</v>
      </c>
    </row>
    <row r="3937" spans="1:19" x14ac:dyDescent="0.25">
      <c r="A3937" s="41" t="s">
        <v>23</v>
      </c>
      <c r="B3937" s="41" t="s">
        <v>31765</v>
      </c>
      <c r="F3937" s="41" t="s">
        <v>31766</v>
      </c>
      <c r="G3937" s="41" t="s">
        <v>31767</v>
      </c>
      <c r="H3937" s="41" t="s">
        <v>31768</v>
      </c>
      <c r="I3937" s="41" t="s">
        <v>31769</v>
      </c>
      <c r="J3937" s="41" t="s">
        <v>31770</v>
      </c>
      <c r="L3937" s="41" t="s">
        <v>4</v>
      </c>
    </row>
    <row r="3938" spans="1:19" x14ac:dyDescent="0.25">
      <c r="A3938" s="41" t="s">
        <v>23</v>
      </c>
      <c r="B3938" s="41" t="s">
        <v>31771</v>
      </c>
      <c r="D3938" s="41" t="s">
        <v>31606</v>
      </c>
      <c r="E3938" s="41" t="s">
        <v>31773</v>
      </c>
      <c r="F3938" s="41" t="s">
        <v>31774</v>
      </c>
      <c r="G3938" s="41" t="s">
        <v>31775</v>
      </c>
      <c r="H3938" s="41" t="s">
        <v>31776</v>
      </c>
      <c r="I3938" s="41" t="s">
        <v>31777</v>
      </c>
      <c r="J3938" s="41" t="s">
        <v>31778</v>
      </c>
      <c r="K3938" s="41" t="s">
        <v>31779</v>
      </c>
      <c r="L3938" s="41" t="s">
        <v>31780</v>
      </c>
      <c r="M3938" s="41" t="s">
        <v>31781</v>
      </c>
      <c r="N3938" s="41" t="s">
        <v>31782</v>
      </c>
      <c r="O3938" s="41" t="s">
        <v>31783</v>
      </c>
      <c r="P3938" s="41" t="s">
        <v>31784</v>
      </c>
      <c r="Q3938" s="41" t="s">
        <v>31785</v>
      </c>
      <c r="R3938" s="41" t="s">
        <v>31786</v>
      </c>
      <c r="S3938" s="41" t="s">
        <v>31787</v>
      </c>
    </row>
    <row r="3939" spans="1:19" x14ac:dyDescent="0.25">
      <c r="A3939" s="41" t="s">
        <v>23</v>
      </c>
      <c r="B3939" s="41" t="s">
        <v>31788</v>
      </c>
      <c r="D3939" s="41" t="s">
        <v>31789</v>
      </c>
      <c r="F3939" s="41" t="s">
        <v>31790</v>
      </c>
      <c r="G3939" s="41" t="s">
        <v>31791</v>
      </c>
      <c r="H3939" s="41" t="s">
        <v>31792</v>
      </c>
      <c r="I3939" s="41" t="s">
        <v>31793</v>
      </c>
      <c r="J3939" s="41" t="s">
        <v>31794</v>
      </c>
      <c r="K3939" s="41" t="s">
        <v>31795</v>
      </c>
      <c r="L3939" s="41" t="s">
        <v>891</v>
      </c>
    </row>
    <row r="3940" spans="1:19" x14ac:dyDescent="0.25">
      <c r="A3940" s="41" t="s">
        <v>23</v>
      </c>
      <c r="B3940" s="41" t="s">
        <v>31796</v>
      </c>
      <c r="D3940" s="41" t="s">
        <v>31797</v>
      </c>
      <c r="F3940" s="41" t="s">
        <v>31798</v>
      </c>
      <c r="G3940" s="41" t="s">
        <v>31799</v>
      </c>
      <c r="H3940" s="41" t="s">
        <v>31800</v>
      </c>
      <c r="I3940" s="41" t="s">
        <v>31801</v>
      </c>
      <c r="J3940" s="41" t="s">
        <v>31802</v>
      </c>
      <c r="K3940" s="41" t="s">
        <v>31803</v>
      </c>
      <c r="L3940" s="41" t="s">
        <v>1076</v>
      </c>
    </row>
    <row r="3941" spans="1:19" x14ac:dyDescent="0.25">
      <c r="A3941" s="41" t="s">
        <v>23</v>
      </c>
      <c r="B3941" s="41" t="s">
        <v>31804</v>
      </c>
      <c r="D3941" s="41" t="s">
        <v>31805</v>
      </c>
      <c r="F3941" s="41" t="s">
        <v>31806</v>
      </c>
      <c r="G3941" s="41" t="s">
        <v>31807</v>
      </c>
      <c r="H3941" s="41" t="s">
        <v>31808</v>
      </c>
      <c r="I3941" s="41" t="s">
        <v>31809</v>
      </c>
      <c r="J3941" s="41" t="s">
        <v>31810</v>
      </c>
      <c r="K3941" s="41" t="s">
        <v>31811</v>
      </c>
      <c r="L3941" s="41" t="s">
        <v>1085</v>
      </c>
    </row>
    <row r="3942" spans="1:19" x14ac:dyDescent="0.25">
      <c r="A3942" s="41" t="s">
        <v>23</v>
      </c>
      <c r="B3942" s="41" t="s">
        <v>31812</v>
      </c>
      <c r="D3942" s="41" t="s">
        <v>31813</v>
      </c>
      <c r="F3942" s="41" t="s">
        <v>31814</v>
      </c>
      <c r="G3942" s="41" t="s">
        <v>31815</v>
      </c>
      <c r="H3942" s="41" t="s">
        <v>31816</v>
      </c>
      <c r="I3942" s="41" t="s">
        <v>31817</v>
      </c>
      <c r="J3942" s="41" t="s">
        <v>31818</v>
      </c>
      <c r="K3942" s="41" t="s">
        <v>31819</v>
      </c>
      <c r="L3942" s="41" t="s">
        <v>1094</v>
      </c>
    </row>
    <row r="3943" spans="1:19" x14ac:dyDescent="0.25">
      <c r="A3943" s="41" t="s">
        <v>908</v>
      </c>
      <c r="B3943" s="41" t="s">
        <v>31820</v>
      </c>
    </row>
    <row r="3944" spans="1:19" x14ac:dyDescent="0.25">
      <c r="A3944" s="41" t="s">
        <v>23</v>
      </c>
      <c r="B3944" s="41" t="s">
        <v>31821</v>
      </c>
      <c r="F3944" s="41" t="s">
        <v>31822</v>
      </c>
      <c r="G3944" s="41" t="s">
        <v>31823</v>
      </c>
      <c r="H3944" s="41" t="s">
        <v>31824</v>
      </c>
      <c r="I3944" s="41" t="s">
        <v>31825</v>
      </c>
      <c r="J3944" s="41" t="s">
        <v>31826</v>
      </c>
      <c r="L3944" s="41" t="s">
        <v>4</v>
      </c>
    </row>
    <row r="3945" spans="1:19" x14ac:dyDescent="0.25">
      <c r="A3945" s="41" t="s">
        <v>23</v>
      </c>
      <c r="B3945" s="41" t="s">
        <v>31827</v>
      </c>
      <c r="D3945" s="41" t="s">
        <v>471</v>
      </c>
      <c r="E3945" s="41" t="s">
        <v>31829</v>
      </c>
      <c r="F3945" s="41" t="s">
        <v>31830</v>
      </c>
      <c r="G3945" s="41" t="s">
        <v>31831</v>
      </c>
      <c r="H3945" s="41" t="s">
        <v>31832</v>
      </c>
      <c r="I3945" s="41" t="s">
        <v>31833</v>
      </c>
      <c r="J3945" s="41" t="s">
        <v>31834</v>
      </c>
      <c r="K3945" s="41" t="s">
        <v>31835</v>
      </c>
      <c r="L3945" s="41" t="s">
        <v>31836</v>
      </c>
      <c r="M3945" s="41" t="s">
        <v>31837</v>
      </c>
      <c r="N3945" s="41" t="s">
        <v>31838</v>
      </c>
      <c r="O3945" s="41" t="s">
        <v>31839</v>
      </c>
      <c r="P3945" s="41" t="s">
        <v>31840</v>
      </c>
      <c r="Q3945" s="41" t="s">
        <v>31841</v>
      </c>
      <c r="R3945" s="41" t="s">
        <v>31842</v>
      </c>
      <c r="S3945" s="41" t="s">
        <v>31843</v>
      </c>
    </row>
    <row r="3946" spans="1:19" x14ac:dyDescent="0.25">
      <c r="A3946" s="41" t="s">
        <v>23</v>
      </c>
      <c r="B3946" s="41" t="s">
        <v>31844</v>
      </c>
      <c r="D3946" s="41" t="s">
        <v>31845</v>
      </c>
      <c r="F3946" s="41" t="s">
        <v>31846</v>
      </c>
      <c r="G3946" s="41" t="s">
        <v>31847</v>
      </c>
      <c r="H3946" s="41" t="s">
        <v>31848</v>
      </c>
      <c r="I3946" s="41" t="s">
        <v>31849</v>
      </c>
      <c r="J3946" s="41" t="s">
        <v>31850</v>
      </c>
      <c r="K3946" s="41" t="s">
        <v>31851</v>
      </c>
      <c r="L3946" s="41" t="s">
        <v>891</v>
      </c>
    </row>
    <row r="3947" spans="1:19" x14ac:dyDescent="0.25">
      <c r="A3947" s="41" t="s">
        <v>23</v>
      </c>
      <c r="B3947" s="41" t="s">
        <v>31852</v>
      </c>
      <c r="D3947" s="41" t="s">
        <v>31853</v>
      </c>
      <c r="F3947" s="41" t="s">
        <v>31854</v>
      </c>
      <c r="G3947" s="41" t="s">
        <v>31855</v>
      </c>
      <c r="H3947" s="41" t="s">
        <v>31856</v>
      </c>
      <c r="I3947" s="41" t="s">
        <v>31857</v>
      </c>
      <c r="J3947" s="41" t="s">
        <v>31858</v>
      </c>
      <c r="K3947" s="41" t="s">
        <v>31859</v>
      </c>
      <c r="L3947" s="41" t="s">
        <v>1076</v>
      </c>
    </row>
    <row r="3948" spans="1:19" x14ac:dyDescent="0.25">
      <c r="A3948" s="41" t="s">
        <v>23</v>
      </c>
      <c r="B3948" s="41" t="s">
        <v>31860</v>
      </c>
      <c r="D3948" s="41" t="s">
        <v>31861</v>
      </c>
      <c r="F3948" s="41" t="s">
        <v>31862</v>
      </c>
      <c r="G3948" s="41" t="s">
        <v>31863</v>
      </c>
      <c r="H3948" s="41" t="s">
        <v>31864</v>
      </c>
      <c r="I3948" s="41" t="s">
        <v>31865</v>
      </c>
      <c r="J3948" s="41" t="s">
        <v>31866</v>
      </c>
      <c r="K3948" s="41" t="s">
        <v>31867</v>
      </c>
      <c r="L3948" s="41" t="s">
        <v>1085</v>
      </c>
    </row>
    <row r="3949" spans="1:19" x14ac:dyDescent="0.25">
      <c r="A3949" s="41" t="s">
        <v>23</v>
      </c>
      <c r="B3949" s="41" t="s">
        <v>31868</v>
      </c>
      <c r="D3949" s="41" t="s">
        <v>31869</v>
      </c>
      <c r="F3949" s="41" t="s">
        <v>31870</v>
      </c>
      <c r="G3949" s="41" t="s">
        <v>31871</v>
      </c>
      <c r="H3949" s="41" t="s">
        <v>31872</v>
      </c>
      <c r="I3949" s="41" t="s">
        <v>31873</v>
      </c>
      <c r="J3949" s="41" t="s">
        <v>31874</v>
      </c>
      <c r="K3949" s="41" t="s">
        <v>31875</v>
      </c>
      <c r="L3949" s="41" t="s">
        <v>1094</v>
      </c>
    </row>
    <row r="3950" spans="1:19" x14ac:dyDescent="0.25">
      <c r="A3950" s="41" t="s">
        <v>908</v>
      </c>
      <c r="B3950" s="41" t="s">
        <v>31876</v>
      </c>
    </row>
    <row r="3951" spans="1:19" x14ac:dyDescent="0.25">
      <c r="A3951" s="41" t="s">
        <v>23</v>
      </c>
      <c r="B3951" s="41" t="s">
        <v>31877</v>
      </c>
      <c r="F3951" s="41" t="s">
        <v>31878</v>
      </c>
      <c r="G3951" s="41" t="s">
        <v>31879</v>
      </c>
      <c r="H3951" s="41" t="s">
        <v>31880</v>
      </c>
      <c r="I3951" s="41" t="s">
        <v>31881</v>
      </c>
      <c r="J3951" s="41" t="s">
        <v>31882</v>
      </c>
      <c r="L3951" s="41" t="s">
        <v>4</v>
      </c>
    </row>
    <row r="3952" spans="1:19" x14ac:dyDescent="0.25">
      <c r="A3952" s="41" t="s">
        <v>23</v>
      </c>
      <c r="B3952" s="41" t="s">
        <v>31883</v>
      </c>
      <c r="D3952" s="41" t="s">
        <v>472</v>
      </c>
      <c r="E3952" s="41" t="s">
        <v>31884</v>
      </c>
      <c r="F3952" s="41" t="s">
        <v>31885</v>
      </c>
      <c r="G3952" s="41" t="s">
        <v>31886</v>
      </c>
      <c r="H3952" s="41" t="s">
        <v>31887</v>
      </c>
      <c r="I3952" s="41" t="s">
        <v>31888</v>
      </c>
      <c r="J3952" s="41" t="s">
        <v>31889</v>
      </c>
      <c r="K3952" s="41" t="s">
        <v>31890</v>
      </c>
      <c r="L3952" s="41" t="s">
        <v>31891</v>
      </c>
      <c r="M3952" s="41" t="s">
        <v>31892</v>
      </c>
      <c r="N3952" s="41" t="s">
        <v>31893</v>
      </c>
      <c r="O3952" s="41" t="s">
        <v>31894</v>
      </c>
      <c r="P3952" s="41" t="s">
        <v>31895</v>
      </c>
      <c r="Q3952" s="41" t="s">
        <v>31896</v>
      </c>
      <c r="R3952" s="41" t="s">
        <v>31897</v>
      </c>
      <c r="S3952" s="41" t="s">
        <v>31898</v>
      </c>
    </row>
    <row r="3953" spans="1:19" x14ac:dyDescent="0.25">
      <c r="A3953" s="41" t="s">
        <v>23</v>
      </c>
      <c r="B3953" s="41" t="s">
        <v>31899</v>
      </c>
      <c r="D3953" s="41" t="s">
        <v>31900</v>
      </c>
      <c r="F3953" s="41" t="s">
        <v>31901</v>
      </c>
      <c r="G3953" s="41" t="s">
        <v>31902</v>
      </c>
      <c r="H3953" s="41" t="s">
        <v>31903</v>
      </c>
      <c r="I3953" s="41" t="s">
        <v>31904</v>
      </c>
      <c r="J3953" s="41" t="s">
        <v>31905</v>
      </c>
      <c r="K3953" s="41" t="s">
        <v>31906</v>
      </c>
      <c r="L3953" s="41" t="s">
        <v>891</v>
      </c>
    </row>
    <row r="3954" spans="1:19" x14ac:dyDescent="0.25">
      <c r="A3954" s="41" t="s">
        <v>23</v>
      </c>
      <c r="B3954" s="41" t="s">
        <v>31907</v>
      </c>
      <c r="D3954" s="41" t="s">
        <v>31908</v>
      </c>
      <c r="F3954" s="41" t="s">
        <v>31909</v>
      </c>
      <c r="G3954" s="41" t="s">
        <v>31910</v>
      </c>
      <c r="H3954" s="41" t="s">
        <v>31911</v>
      </c>
      <c r="I3954" s="41" t="s">
        <v>31912</v>
      </c>
      <c r="J3954" s="41" t="s">
        <v>31913</v>
      </c>
      <c r="K3954" s="41" t="s">
        <v>31914</v>
      </c>
      <c r="L3954" s="41" t="s">
        <v>1076</v>
      </c>
    </row>
    <row r="3955" spans="1:19" x14ac:dyDescent="0.25">
      <c r="A3955" s="41" t="s">
        <v>23</v>
      </c>
      <c r="B3955" s="41" t="s">
        <v>31915</v>
      </c>
      <c r="D3955" s="41" t="s">
        <v>31916</v>
      </c>
      <c r="F3955" s="41" t="s">
        <v>31917</v>
      </c>
      <c r="G3955" s="41" t="s">
        <v>31918</v>
      </c>
      <c r="H3955" s="41" t="s">
        <v>31919</v>
      </c>
      <c r="I3955" s="41" t="s">
        <v>31920</v>
      </c>
      <c r="J3955" s="41" t="s">
        <v>31921</v>
      </c>
      <c r="K3955" s="41" t="s">
        <v>31922</v>
      </c>
      <c r="L3955" s="41" t="s">
        <v>1085</v>
      </c>
    </row>
    <row r="3956" spans="1:19" x14ac:dyDescent="0.25">
      <c r="A3956" s="41" t="s">
        <v>23</v>
      </c>
      <c r="B3956" s="41" t="s">
        <v>31923</v>
      </c>
      <c r="D3956" s="41" t="s">
        <v>31924</v>
      </c>
      <c r="F3956" s="41" t="s">
        <v>31925</v>
      </c>
      <c r="G3956" s="41" t="s">
        <v>31926</v>
      </c>
      <c r="H3956" s="41" t="s">
        <v>31927</v>
      </c>
      <c r="I3956" s="41" t="s">
        <v>31928</v>
      </c>
      <c r="J3956" s="41" t="s">
        <v>31929</v>
      </c>
      <c r="K3956" s="41" t="s">
        <v>31930</v>
      </c>
      <c r="L3956" s="41" t="s">
        <v>1094</v>
      </c>
    </row>
    <row r="3957" spans="1:19" x14ac:dyDescent="0.25">
      <c r="A3957" s="41" t="s">
        <v>908</v>
      </c>
      <c r="B3957" s="41" t="s">
        <v>31931</v>
      </c>
    </row>
    <row r="3958" spans="1:19" x14ac:dyDescent="0.25">
      <c r="A3958" s="41" t="s">
        <v>23</v>
      </c>
      <c r="B3958" s="41" t="s">
        <v>31932</v>
      </c>
      <c r="F3958" s="41" t="s">
        <v>31933</v>
      </c>
      <c r="G3958" s="41" t="s">
        <v>31934</v>
      </c>
      <c r="H3958" s="41" t="s">
        <v>31935</v>
      </c>
      <c r="I3958" s="41" t="s">
        <v>31936</v>
      </c>
      <c r="J3958" s="41" t="s">
        <v>31937</v>
      </c>
      <c r="L3958" s="41" t="s">
        <v>4</v>
      </c>
    </row>
    <row r="3959" spans="1:19" x14ac:dyDescent="0.25">
      <c r="A3959" s="41" t="s">
        <v>23</v>
      </c>
      <c r="B3959" s="41" t="s">
        <v>31938</v>
      </c>
      <c r="D3959" s="41" t="s">
        <v>31772</v>
      </c>
      <c r="E3959" s="41" t="s">
        <v>31939</v>
      </c>
      <c r="F3959" s="41" t="s">
        <v>31940</v>
      </c>
      <c r="G3959" s="41" t="s">
        <v>31941</v>
      </c>
      <c r="H3959" s="41" t="s">
        <v>31942</v>
      </c>
      <c r="I3959" s="41" t="s">
        <v>31943</v>
      </c>
      <c r="J3959" s="41" t="s">
        <v>31944</v>
      </c>
      <c r="K3959" s="41" t="s">
        <v>31945</v>
      </c>
      <c r="L3959" s="41" t="s">
        <v>31946</v>
      </c>
      <c r="M3959" s="41" t="s">
        <v>31947</v>
      </c>
      <c r="N3959" s="41" t="s">
        <v>31948</v>
      </c>
      <c r="O3959" s="41" t="s">
        <v>31949</v>
      </c>
      <c r="P3959" s="41" t="s">
        <v>31950</v>
      </c>
      <c r="Q3959" s="41" t="s">
        <v>31951</v>
      </c>
      <c r="R3959" s="41" t="s">
        <v>31952</v>
      </c>
      <c r="S3959" s="41" t="s">
        <v>31953</v>
      </c>
    </row>
    <row r="3960" spans="1:19" x14ac:dyDescent="0.25">
      <c r="A3960" s="41" t="s">
        <v>23</v>
      </c>
      <c r="B3960" s="41" t="s">
        <v>31954</v>
      </c>
      <c r="D3960" s="41" t="s">
        <v>31955</v>
      </c>
      <c r="F3960" s="41" t="s">
        <v>31956</v>
      </c>
      <c r="G3960" s="41" t="s">
        <v>31957</v>
      </c>
      <c r="H3960" s="41" t="s">
        <v>31958</v>
      </c>
      <c r="I3960" s="41" t="s">
        <v>31959</v>
      </c>
      <c r="J3960" s="41" t="s">
        <v>31960</v>
      </c>
      <c r="K3960" s="41" t="s">
        <v>31961</v>
      </c>
      <c r="L3960" s="41" t="s">
        <v>891</v>
      </c>
    </row>
    <row r="3961" spans="1:19" x14ac:dyDescent="0.25">
      <c r="A3961" s="41" t="s">
        <v>23</v>
      </c>
      <c r="B3961" s="41" t="s">
        <v>31962</v>
      </c>
      <c r="D3961" s="41" t="s">
        <v>31963</v>
      </c>
      <c r="F3961" s="41" t="s">
        <v>31964</v>
      </c>
      <c r="G3961" s="41" t="s">
        <v>31965</v>
      </c>
      <c r="H3961" s="41" t="s">
        <v>31966</v>
      </c>
      <c r="I3961" s="41" t="s">
        <v>31967</v>
      </c>
      <c r="J3961" s="41" t="s">
        <v>31968</v>
      </c>
      <c r="K3961" s="41" t="s">
        <v>31969</v>
      </c>
      <c r="L3961" s="41" t="s">
        <v>1076</v>
      </c>
    </row>
    <row r="3962" spans="1:19" x14ac:dyDescent="0.25">
      <c r="A3962" s="41" t="s">
        <v>23</v>
      </c>
      <c r="B3962" s="41" t="s">
        <v>31970</v>
      </c>
      <c r="D3962" s="41" t="s">
        <v>31971</v>
      </c>
      <c r="F3962" s="41" t="s">
        <v>31972</v>
      </c>
      <c r="G3962" s="41" t="s">
        <v>31973</v>
      </c>
      <c r="H3962" s="41" t="s">
        <v>31974</v>
      </c>
      <c r="I3962" s="41" t="s">
        <v>31975</v>
      </c>
      <c r="J3962" s="41" t="s">
        <v>31976</v>
      </c>
      <c r="K3962" s="41" t="s">
        <v>31977</v>
      </c>
      <c r="L3962" s="41" t="s">
        <v>1085</v>
      </c>
    </row>
    <row r="3963" spans="1:19" x14ac:dyDescent="0.25">
      <c r="A3963" s="41" t="s">
        <v>23</v>
      </c>
      <c r="B3963" s="41" t="s">
        <v>31978</v>
      </c>
      <c r="D3963" s="41" t="s">
        <v>31979</v>
      </c>
      <c r="F3963" s="41" t="s">
        <v>31980</v>
      </c>
      <c r="G3963" s="41" t="s">
        <v>31981</v>
      </c>
      <c r="H3963" s="41" t="s">
        <v>31982</v>
      </c>
      <c r="I3963" s="41" t="s">
        <v>31983</v>
      </c>
      <c r="J3963" s="41" t="s">
        <v>31984</v>
      </c>
      <c r="K3963" s="41" t="s">
        <v>31985</v>
      </c>
      <c r="L3963" s="41" t="s">
        <v>1094</v>
      </c>
    </row>
    <row r="3964" spans="1:19" x14ac:dyDescent="0.25">
      <c r="A3964" s="41" t="s">
        <v>908</v>
      </c>
      <c r="B3964" s="41" t="s">
        <v>31986</v>
      </c>
    </row>
    <row r="3965" spans="1:19" x14ac:dyDescent="0.25">
      <c r="A3965" s="41" t="s">
        <v>23</v>
      </c>
      <c r="B3965" s="41" t="s">
        <v>31987</v>
      </c>
      <c r="F3965" s="41" t="s">
        <v>31988</v>
      </c>
      <c r="G3965" s="41" t="s">
        <v>31989</v>
      </c>
      <c r="H3965" s="41" t="s">
        <v>31990</v>
      </c>
      <c r="I3965" s="41" t="s">
        <v>31991</v>
      </c>
      <c r="J3965" s="41" t="s">
        <v>31992</v>
      </c>
      <c r="L3965" s="41" t="s">
        <v>4</v>
      </c>
    </row>
    <row r="3966" spans="1:19" x14ac:dyDescent="0.25">
      <c r="A3966" s="41" t="s">
        <v>23</v>
      </c>
      <c r="B3966" s="41" t="s">
        <v>31993</v>
      </c>
      <c r="D3966" s="41" t="s">
        <v>31828</v>
      </c>
      <c r="E3966" s="41" t="s">
        <v>31995</v>
      </c>
      <c r="F3966" s="41" t="s">
        <v>31996</v>
      </c>
      <c r="G3966" s="41" t="s">
        <v>31997</v>
      </c>
      <c r="H3966" s="41" t="s">
        <v>31998</v>
      </c>
      <c r="I3966" s="41" t="s">
        <v>31999</v>
      </c>
      <c r="J3966" s="41" t="s">
        <v>32000</v>
      </c>
      <c r="K3966" s="41" t="s">
        <v>32001</v>
      </c>
      <c r="L3966" s="41" t="s">
        <v>32002</v>
      </c>
      <c r="M3966" s="41" t="s">
        <v>32003</v>
      </c>
      <c r="N3966" s="41" t="s">
        <v>32004</v>
      </c>
      <c r="O3966" s="41" t="s">
        <v>32005</v>
      </c>
      <c r="P3966" s="41" t="s">
        <v>32006</v>
      </c>
      <c r="Q3966" s="41" t="s">
        <v>32007</v>
      </c>
      <c r="R3966" s="41" t="s">
        <v>32008</v>
      </c>
      <c r="S3966" s="41" t="s">
        <v>32009</v>
      </c>
    </row>
    <row r="3967" spans="1:19" x14ac:dyDescent="0.25">
      <c r="A3967" s="41" t="s">
        <v>23</v>
      </c>
      <c r="B3967" s="41" t="s">
        <v>32010</v>
      </c>
      <c r="D3967" s="41" t="s">
        <v>32011</v>
      </c>
      <c r="F3967" s="41" t="s">
        <v>32012</v>
      </c>
      <c r="G3967" s="41" t="s">
        <v>32013</v>
      </c>
      <c r="H3967" s="41" t="s">
        <v>32014</v>
      </c>
      <c r="I3967" s="41" t="s">
        <v>32015</v>
      </c>
      <c r="J3967" s="41" t="s">
        <v>32016</v>
      </c>
      <c r="K3967" s="41" t="s">
        <v>32017</v>
      </c>
      <c r="L3967" s="41" t="s">
        <v>891</v>
      </c>
    </row>
    <row r="3968" spans="1:19" x14ac:dyDescent="0.25">
      <c r="A3968" s="41" t="s">
        <v>23</v>
      </c>
      <c r="B3968" s="41" t="s">
        <v>32018</v>
      </c>
      <c r="D3968" s="41" t="s">
        <v>32019</v>
      </c>
      <c r="F3968" s="41" t="s">
        <v>32020</v>
      </c>
      <c r="G3968" s="41" t="s">
        <v>32021</v>
      </c>
      <c r="H3968" s="41" t="s">
        <v>32022</v>
      </c>
      <c r="I3968" s="41" t="s">
        <v>32023</v>
      </c>
      <c r="J3968" s="41" t="s">
        <v>32024</v>
      </c>
      <c r="K3968" s="41" t="s">
        <v>32025</v>
      </c>
      <c r="L3968" s="41" t="s">
        <v>1076</v>
      </c>
    </row>
    <row r="3969" spans="1:19" x14ac:dyDescent="0.25">
      <c r="A3969" s="41" t="s">
        <v>23</v>
      </c>
      <c r="B3969" s="41" t="s">
        <v>32026</v>
      </c>
      <c r="D3969" s="41" t="s">
        <v>32027</v>
      </c>
      <c r="F3969" s="41" t="s">
        <v>32028</v>
      </c>
      <c r="G3969" s="41" t="s">
        <v>32029</v>
      </c>
      <c r="H3969" s="41" t="s">
        <v>32030</v>
      </c>
      <c r="I3969" s="41" t="s">
        <v>32031</v>
      </c>
      <c r="J3969" s="41" t="s">
        <v>32032</v>
      </c>
      <c r="K3969" s="41" t="s">
        <v>32033</v>
      </c>
      <c r="L3969" s="41" t="s">
        <v>1085</v>
      </c>
    </row>
    <row r="3970" spans="1:19" x14ac:dyDescent="0.25">
      <c r="A3970" s="41" t="s">
        <v>23</v>
      </c>
      <c r="B3970" s="41" t="s">
        <v>32034</v>
      </c>
      <c r="D3970" s="41" t="s">
        <v>32035</v>
      </c>
      <c r="F3970" s="41" t="s">
        <v>32036</v>
      </c>
      <c r="G3970" s="41" t="s">
        <v>32037</v>
      </c>
      <c r="H3970" s="41" t="s">
        <v>32038</v>
      </c>
      <c r="I3970" s="41" t="s">
        <v>32039</v>
      </c>
      <c r="J3970" s="41" t="s">
        <v>32040</v>
      </c>
      <c r="K3970" s="41" t="s">
        <v>32041</v>
      </c>
      <c r="L3970" s="41" t="s">
        <v>1094</v>
      </c>
    </row>
    <row r="3971" spans="1:19" x14ac:dyDescent="0.25">
      <c r="A3971" s="41" t="s">
        <v>908</v>
      </c>
      <c r="B3971" s="41" t="s">
        <v>32042</v>
      </c>
    </row>
    <row r="3972" spans="1:19" x14ac:dyDescent="0.25">
      <c r="A3972" s="41" t="s">
        <v>23</v>
      </c>
      <c r="B3972" s="41" t="s">
        <v>32043</v>
      </c>
      <c r="F3972" s="41" t="s">
        <v>32044</v>
      </c>
      <c r="G3972" s="41" t="s">
        <v>32045</v>
      </c>
      <c r="H3972" s="41" t="s">
        <v>32046</v>
      </c>
      <c r="I3972" s="41" t="s">
        <v>32047</v>
      </c>
      <c r="J3972" s="41" t="s">
        <v>32048</v>
      </c>
      <c r="L3972" s="41" t="s">
        <v>4</v>
      </c>
    </row>
    <row r="3973" spans="1:19" x14ac:dyDescent="0.25">
      <c r="A3973" s="41" t="s">
        <v>23</v>
      </c>
      <c r="B3973" s="41" t="s">
        <v>32049</v>
      </c>
      <c r="D3973" s="41" t="s">
        <v>473</v>
      </c>
      <c r="E3973" s="41" t="s">
        <v>32050</v>
      </c>
      <c r="F3973" s="41" t="s">
        <v>32051</v>
      </c>
      <c r="G3973" s="41" t="s">
        <v>32052</v>
      </c>
      <c r="H3973" s="41" t="s">
        <v>32053</v>
      </c>
      <c r="I3973" s="41" t="s">
        <v>32054</v>
      </c>
      <c r="J3973" s="41" t="s">
        <v>32055</v>
      </c>
      <c r="K3973" s="41" t="s">
        <v>32056</v>
      </c>
      <c r="L3973" s="41" t="s">
        <v>32057</v>
      </c>
      <c r="M3973" s="41" t="s">
        <v>32058</v>
      </c>
      <c r="N3973" s="41" t="s">
        <v>32059</v>
      </c>
      <c r="O3973" s="41" t="s">
        <v>32060</v>
      </c>
      <c r="P3973" s="41" t="s">
        <v>32061</v>
      </c>
      <c r="Q3973" s="41" t="s">
        <v>32062</v>
      </c>
      <c r="R3973" s="41" t="s">
        <v>32063</v>
      </c>
      <c r="S3973" s="41" t="s">
        <v>32064</v>
      </c>
    </row>
    <row r="3974" spans="1:19" x14ac:dyDescent="0.25">
      <c r="A3974" s="41" t="s">
        <v>23</v>
      </c>
      <c r="B3974" s="41" t="s">
        <v>32065</v>
      </c>
      <c r="D3974" s="41" t="s">
        <v>32066</v>
      </c>
      <c r="F3974" s="41" t="s">
        <v>32067</v>
      </c>
      <c r="G3974" s="41" t="s">
        <v>32068</v>
      </c>
      <c r="H3974" s="41" t="s">
        <v>32069</v>
      </c>
      <c r="I3974" s="41" t="s">
        <v>32070</v>
      </c>
      <c r="J3974" s="41" t="s">
        <v>32071</v>
      </c>
      <c r="K3974" s="41" t="s">
        <v>32072</v>
      </c>
      <c r="L3974" s="41" t="s">
        <v>891</v>
      </c>
    </row>
    <row r="3975" spans="1:19" x14ac:dyDescent="0.25">
      <c r="A3975" s="41" t="s">
        <v>23</v>
      </c>
      <c r="B3975" s="41" t="s">
        <v>32073</v>
      </c>
      <c r="D3975" s="41" t="s">
        <v>32074</v>
      </c>
      <c r="F3975" s="41" t="s">
        <v>32075</v>
      </c>
      <c r="G3975" s="41" t="s">
        <v>32076</v>
      </c>
      <c r="H3975" s="41" t="s">
        <v>32077</v>
      </c>
      <c r="I3975" s="41" t="s">
        <v>32078</v>
      </c>
      <c r="J3975" s="41" t="s">
        <v>32079</v>
      </c>
      <c r="K3975" s="41" t="s">
        <v>32080</v>
      </c>
      <c r="L3975" s="41" t="s">
        <v>1076</v>
      </c>
    </row>
    <row r="3976" spans="1:19" x14ac:dyDescent="0.25">
      <c r="A3976" s="41" t="s">
        <v>23</v>
      </c>
      <c r="B3976" s="41" t="s">
        <v>32081</v>
      </c>
      <c r="D3976" s="41" t="s">
        <v>32082</v>
      </c>
      <c r="F3976" s="41" t="s">
        <v>32083</v>
      </c>
      <c r="G3976" s="41" t="s">
        <v>32084</v>
      </c>
      <c r="H3976" s="41" t="s">
        <v>32085</v>
      </c>
      <c r="I3976" s="41" t="s">
        <v>32086</v>
      </c>
      <c r="J3976" s="41" t="s">
        <v>32087</v>
      </c>
      <c r="K3976" s="41" t="s">
        <v>32088</v>
      </c>
      <c r="L3976" s="41" t="s">
        <v>1085</v>
      </c>
    </row>
    <row r="3977" spans="1:19" x14ac:dyDescent="0.25">
      <c r="A3977" s="41" t="s">
        <v>23</v>
      </c>
      <c r="B3977" s="41" t="s">
        <v>32089</v>
      </c>
      <c r="D3977" s="41" t="s">
        <v>32090</v>
      </c>
      <c r="F3977" s="41" t="s">
        <v>32091</v>
      </c>
      <c r="G3977" s="41" t="s">
        <v>32092</v>
      </c>
      <c r="H3977" s="41" t="s">
        <v>32093</v>
      </c>
      <c r="I3977" s="41" t="s">
        <v>32094</v>
      </c>
      <c r="J3977" s="41" t="s">
        <v>32095</v>
      </c>
      <c r="K3977" s="41" t="s">
        <v>32096</v>
      </c>
      <c r="L3977" s="41" t="s">
        <v>1094</v>
      </c>
    </row>
    <row r="3978" spans="1:19" x14ac:dyDescent="0.25">
      <c r="A3978" s="41" t="s">
        <v>908</v>
      </c>
      <c r="B3978" s="41" t="s">
        <v>32097</v>
      </c>
    </row>
    <row r="3979" spans="1:19" x14ac:dyDescent="0.25">
      <c r="A3979" s="41" t="s">
        <v>23</v>
      </c>
      <c r="B3979" s="41" t="s">
        <v>32098</v>
      </c>
      <c r="F3979" s="41" t="s">
        <v>32099</v>
      </c>
      <c r="G3979" s="41" t="s">
        <v>32100</v>
      </c>
      <c r="H3979" s="41" t="s">
        <v>32101</v>
      </c>
      <c r="I3979" s="41" t="s">
        <v>32102</v>
      </c>
      <c r="J3979" s="41" t="s">
        <v>32103</v>
      </c>
      <c r="L3979" s="41" t="s">
        <v>4</v>
      </c>
    </row>
    <row r="3980" spans="1:19" x14ac:dyDescent="0.25">
      <c r="A3980" s="41" t="s">
        <v>23</v>
      </c>
      <c r="B3980" s="41" t="s">
        <v>32104</v>
      </c>
      <c r="D3980" s="41" t="s">
        <v>474</v>
      </c>
      <c r="E3980" s="41" t="s">
        <v>32105</v>
      </c>
      <c r="F3980" s="41" t="s">
        <v>32106</v>
      </c>
      <c r="G3980" s="41" t="s">
        <v>32107</v>
      </c>
      <c r="H3980" s="41" t="s">
        <v>32108</v>
      </c>
      <c r="I3980" s="41" t="s">
        <v>32109</v>
      </c>
      <c r="J3980" s="41" t="s">
        <v>32110</v>
      </c>
      <c r="K3980" s="41" t="s">
        <v>32111</v>
      </c>
      <c r="L3980" s="41" t="s">
        <v>32112</v>
      </c>
      <c r="M3980" s="41" t="s">
        <v>32113</v>
      </c>
      <c r="N3980" s="41" t="s">
        <v>32114</v>
      </c>
      <c r="O3980" s="41" t="s">
        <v>32115</v>
      </c>
      <c r="P3980" s="41" t="s">
        <v>32116</v>
      </c>
      <c r="Q3980" s="41" t="s">
        <v>32117</v>
      </c>
      <c r="R3980" s="41" t="s">
        <v>32118</v>
      </c>
      <c r="S3980" s="41" t="s">
        <v>32119</v>
      </c>
    </row>
    <row r="3981" spans="1:19" x14ac:dyDescent="0.25">
      <c r="A3981" s="41" t="s">
        <v>23</v>
      </c>
      <c r="B3981" s="41" t="s">
        <v>32120</v>
      </c>
      <c r="D3981" s="41" t="s">
        <v>32121</v>
      </c>
      <c r="F3981" s="41" t="s">
        <v>32122</v>
      </c>
      <c r="G3981" s="41" t="s">
        <v>32123</v>
      </c>
      <c r="H3981" s="41" t="s">
        <v>32124</v>
      </c>
      <c r="I3981" s="41" t="s">
        <v>32125</v>
      </c>
      <c r="J3981" s="41" t="s">
        <v>32126</v>
      </c>
      <c r="K3981" s="41" t="s">
        <v>32127</v>
      </c>
      <c r="L3981" s="41" t="s">
        <v>891</v>
      </c>
    </row>
    <row r="3982" spans="1:19" x14ac:dyDescent="0.25">
      <c r="A3982" s="41" t="s">
        <v>23</v>
      </c>
      <c r="B3982" s="41" t="s">
        <v>32128</v>
      </c>
      <c r="D3982" s="41" t="s">
        <v>32129</v>
      </c>
      <c r="F3982" s="41" t="s">
        <v>32130</v>
      </c>
      <c r="G3982" s="41" t="s">
        <v>32131</v>
      </c>
      <c r="H3982" s="41" t="s">
        <v>32132</v>
      </c>
      <c r="I3982" s="41" t="s">
        <v>32133</v>
      </c>
      <c r="J3982" s="41" t="s">
        <v>32134</v>
      </c>
      <c r="K3982" s="41" t="s">
        <v>32135</v>
      </c>
      <c r="L3982" s="41" t="s">
        <v>1076</v>
      </c>
    </row>
    <row r="3983" spans="1:19" x14ac:dyDescent="0.25">
      <c r="A3983" s="41" t="s">
        <v>23</v>
      </c>
      <c r="B3983" s="41" t="s">
        <v>32136</v>
      </c>
      <c r="D3983" s="41" t="s">
        <v>32137</v>
      </c>
      <c r="F3983" s="41" t="s">
        <v>32138</v>
      </c>
      <c r="G3983" s="41" t="s">
        <v>32139</v>
      </c>
      <c r="H3983" s="41" t="s">
        <v>32140</v>
      </c>
      <c r="I3983" s="41" t="s">
        <v>32141</v>
      </c>
      <c r="J3983" s="41" t="s">
        <v>32142</v>
      </c>
      <c r="K3983" s="41" t="s">
        <v>32143</v>
      </c>
      <c r="L3983" s="41" t="s">
        <v>1085</v>
      </c>
    </row>
    <row r="3984" spans="1:19" x14ac:dyDescent="0.25">
      <c r="A3984" s="41" t="s">
        <v>23</v>
      </c>
      <c r="B3984" s="41" t="s">
        <v>32144</v>
      </c>
      <c r="D3984" s="41" t="s">
        <v>32145</v>
      </c>
      <c r="F3984" s="41" t="s">
        <v>32146</v>
      </c>
      <c r="G3984" s="41" t="s">
        <v>32147</v>
      </c>
      <c r="H3984" s="41" t="s">
        <v>32148</v>
      </c>
      <c r="I3984" s="41" t="s">
        <v>32149</v>
      </c>
      <c r="J3984" s="41" t="s">
        <v>32150</v>
      </c>
      <c r="K3984" s="41" t="s">
        <v>32151</v>
      </c>
      <c r="L3984" s="41" t="s">
        <v>1094</v>
      </c>
    </row>
    <row r="3985" spans="1:19" x14ac:dyDescent="0.25">
      <c r="A3985" s="41" t="s">
        <v>908</v>
      </c>
      <c r="B3985" s="41" t="s">
        <v>32152</v>
      </c>
    </row>
    <row r="3986" spans="1:19" x14ac:dyDescent="0.25">
      <c r="A3986" s="41" t="s">
        <v>23</v>
      </c>
      <c r="B3986" s="41" t="s">
        <v>32153</v>
      </c>
      <c r="F3986" s="41" t="s">
        <v>32154</v>
      </c>
      <c r="G3986" s="41" t="s">
        <v>32155</v>
      </c>
      <c r="H3986" s="41" t="s">
        <v>32156</v>
      </c>
      <c r="I3986" s="41" t="s">
        <v>32157</v>
      </c>
      <c r="J3986" s="41" t="s">
        <v>32158</v>
      </c>
      <c r="L3986" s="41" t="s">
        <v>4</v>
      </c>
    </row>
    <row r="3987" spans="1:19" x14ac:dyDescent="0.25">
      <c r="A3987" s="41" t="s">
        <v>23</v>
      </c>
      <c r="B3987" s="41" t="s">
        <v>32159</v>
      </c>
      <c r="D3987" s="41" t="s">
        <v>31994</v>
      </c>
      <c r="E3987" s="41" t="s">
        <v>32161</v>
      </c>
      <c r="F3987" s="41" t="s">
        <v>32162</v>
      </c>
      <c r="G3987" s="41" t="s">
        <v>32163</v>
      </c>
      <c r="H3987" s="41" t="s">
        <v>32164</v>
      </c>
      <c r="I3987" s="41" t="s">
        <v>32165</v>
      </c>
      <c r="J3987" s="41" t="s">
        <v>32166</v>
      </c>
      <c r="K3987" s="41" t="s">
        <v>32167</v>
      </c>
      <c r="L3987" s="41" t="s">
        <v>32168</v>
      </c>
      <c r="M3987" s="41" t="s">
        <v>32169</v>
      </c>
      <c r="N3987" s="41" t="s">
        <v>32170</v>
      </c>
      <c r="O3987" s="41" t="s">
        <v>32171</v>
      </c>
      <c r="P3987" s="41" t="s">
        <v>32172</v>
      </c>
      <c r="Q3987" s="41" t="s">
        <v>32173</v>
      </c>
      <c r="R3987" s="41" t="s">
        <v>32174</v>
      </c>
      <c r="S3987" s="41" t="s">
        <v>32175</v>
      </c>
    </row>
    <row r="3988" spans="1:19" x14ac:dyDescent="0.25">
      <c r="A3988" s="41" t="s">
        <v>23</v>
      </c>
      <c r="B3988" s="41" t="s">
        <v>32176</v>
      </c>
      <c r="D3988" s="41" t="s">
        <v>32177</v>
      </c>
      <c r="F3988" s="41" t="s">
        <v>32178</v>
      </c>
      <c r="G3988" s="41" t="s">
        <v>32179</v>
      </c>
      <c r="H3988" s="41" t="s">
        <v>32180</v>
      </c>
      <c r="I3988" s="41" t="s">
        <v>32181</v>
      </c>
      <c r="J3988" s="41" t="s">
        <v>32182</v>
      </c>
      <c r="K3988" s="41" t="s">
        <v>32183</v>
      </c>
      <c r="L3988" s="41" t="s">
        <v>891</v>
      </c>
    </row>
    <row r="3989" spans="1:19" x14ac:dyDescent="0.25">
      <c r="A3989" s="41" t="s">
        <v>23</v>
      </c>
      <c r="B3989" s="41" t="s">
        <v>32184</v>
      </c>
      <c r="D3989" s="41" t="s">
        <v>32185</v>
      </c>
      <c r="F3989" s="41" t="s">
        <v>32186</v>
      </c>
      <c r="G3989" s="41" t="s">
        <v>32187</v>
      </c>
      <c r="H3989" s="41" t="s">
        <v>32188</v>
      </c>
      <c r="I3989" s="41" t="s">
        <v>32189</v>
      </c>
      <c r="J3989" s="41" t="s">
        <v>32190</v>
      </c>
      <c r="K3989" s="41" t="s">
        <v>32191</v>
      </c>
      <c r="L3989" s="41" t="s">
        <v>1076</v>
      </c>
    </row>
    <row r="3990" spans="1:19" x14ac:dyDescent="0.25">
      <c r="A3990" s="41" t="s">
        <v>23</v>
      </c>
      <c r="B3990" s="41" t="s">
        <v>32192</v>
      </c>
      <c r="D3990" s="41" t="s">
        <v>32193</v>
      </c>
      <c r="F3990" s="41" t="s">
        <v>32194</v>
      </c>
      <c r="G3990" s="41" t="s">
        <v>32195</v>
      </c>
      <c r="H3990" s="41" t="s">
        <v>32196</v>
      </c>
      <c r="I3990" s="41" t="s">
        <v>32197</v>
      </c>
      <c r="J3990" s="41" t="s">
        <v>32198</v>
      </c>
      <c r="K3990" s="41" t="s">
        <v>32199</v>
      </c>
      <c r="L3990" s="41" t="s">
        <v>1085</v>
      </c>
    </row>
    <row r="3991" spans="1:19" x14ac:dyDescent="0.25">
      <c r="A3991" s="41" t="s">
        <v>23</v>
      </c>
      <c r="B3991" s="41" t="s">
        <v>32200</v>
      </c>
      <c r="D3991" s="41" t="s">
        <v>32201</v>
      </c>
      <c r="F3991" s="41" t="s">
        <v>32202</v>
      </c>
      <c r="G3991" s="41" t="s">
        <v>32203</v>
      </c>
      <c r="H3991" s="41" t="s">
        <v>32204</v>
      </c>
      <c r="I3991" s="41" t="s">
        <v>32205</v>
      </c>
      <c r="J3991" s="41" t="s">
        <v>32206</v>
      </c>
      <c r="K3991" s="41" t="s">
        <v>32207</v>
      </c>
      <c r="L3991" s="41" t="s">
        <v>1094</v>
      </c>
    </row>
    <row r="3992" spans="1:19" x14ac:dyDescent="0.25">
      <c r="A3992" s="41" t="s">
        <v>908</v>
      </c>
      <c r="B3992" s="41" t="s">
        <v>32208</v>
      </c>
    </row>
    <row r="3993" spans="1:19" x14ac:dyDescent="0.25">
      <c r="A3993" s="41" t="s">
        <v>23</v>
      </c>
      <c r="B3993" s="41" t="s">
        <v>32209</v>
      </c>
      <c r="F3993" s="41" t="s">
        <v>32210</v>
      </c>
      <c r="G3993" s="41" t="s">
        <v>32211</v>
      </c>
      <c r="H3993" s="41" t="s">
        <v>32212</v>
      </c>
      <c r="I3993" s="41" t="s">
        <v>32213</v>
      </c>
      <c r="J3993" s="41" t="s">
        <v>32214</v>
      </c>
      <c r="L3993" s="41" t="s">
        <v>4</v>
      </c>
    </row>
    <row r="3994" spans="1:19" x14ac:dyDescent="0.25">
      <c r="A3994" s="41" t="s">
        <v>23</v>
      </c>
      <c r="B3994" s="41" t="s">
        <v>32215</v>
      </c>
      <c r="D3994" s="41" t="s">
        <v>475</v>
      </c>
      <c r="E3994" s="41" t="s">
        <v>32217</v>
      </c>
      <c r="F3994" s="41" t="s">
        <v>32218</v>
      </c>
      <c r="G3994" s="41" t="s">
        <v>32219</v>
      </c>
      <c r="H3994" s="41" t="s">
        <v>32220</v>
      </c>
      <c r="I3994" s="41" t="s">
        <v>32221</v>
      </c>
      <c r="J3994" s="41" t="s">
        <v>32222</v>
      </c>
      <c r="K3994" s="41" t="s">
        <v>32223</v>
      </c>
      <c r="L3994" s="41" t="s">
        <v>32224</v>
      </c>
      <c r="M3994" s="41" t="s">
        <v>32225</v>
      </c>
      <c r="N3994" s="41" t="s">
        <v>32226</v>
      </c>
      <c r="O3994" s="41" t="s">
        <v>32227</v>
      </c>
      <c r="P3994" s="41" t="s">
        <v>32228</v>
      </c>
      <c r="Q3994" s="41" t="s">
        <v>32229</v>
      </c>
      <c r="R3994" s="41" t="s">
        <v>32230</v>
      </c>
      <c r="S3994" s="41" t="s">
        <v>32231</v>
      </c>
    </row>
    <row r="3995" spans="1:19" x14ac:dyDescent="0.25">
      <c r="A3995" s="41" t="s">
        <v>23</v>
      </c>
      <c r="B3995" s="41" t="s">
        <v>32232</v>
      </c>
      <c r="D3995" s="41" t="s">
        <v>32233</v>
      </c>
      <c r="F3995" s="41" t="s">
        <v>32234</v>
      </c>
      <c r="G3995" s="41" t="s">
        <v>32235</v>
      </c>
      <c r="H3995" s="41" t="s">
        <v>32236</v>
      </c>
      <c r="I3995" s="41" t="s">
        <v>32237</v>
      </c>
      <c r="J3995" s="41" t="s">
        <v>32238</v>
      </c>
      <c r="K3995" s="41" t="s">
        <v>32239</v>
      </c>
      <c r="L3995" s="41" t="s">
        <v>891</v>
      </c>
    </row>
    <row r="3996" spans="1:19" x14ac:dyDescent="0.25">
      <c r="A3996" s="41" t="s">
        <v>23</v>
      </c>
      <c r="B3996" s="41" t="s">
        <v>32240</v>
      </c>
      <c r="D3996" s="41" t="s">
        <v>32241</v>
      </c>
      <c r="F3996" s="41" t="s">
        <v>32242</v>
      </c>
      <c r="G3996" s="41" t="s">
        <v>32243</v>
      </c>
      <c r="H3996" s="41" t="s">
        <v>32244</v>
      </c>
      <c r="I3996" s="41" t="s">
        <v>32245</v>
      </c>
      <c r="J3996" s="41" t="s">
        <v>32246</v>
      </c>
      <c r="K3996" s="41" t="s">
        <v>32247</v>
      </c>
      <c r="L3996" s="41" t="s">
        <v>1076</v>
      </c>
    </row>
    <row r="3997" spans="1:19" x14ac:dyDescent="0.25">
      <c r="A3997" s="41" t="s">
        <v>23</v>
      </c>
      <c r="B3997" s="41" t="s">
        <v>32248</v>
      </c>
      <c r="D3997" s="41" t="s">
        <v>32249</v>
      </c>
      <c r="F3997" s="41" t="s">
        <v>32250</v>
      </c>
      <c r="G3997" s="41" t="s">
        <v>32251</v>
      </c>
      <c r="H3997" s="41" t="s">
        <v>32252</v>
      </c>
      <c r="I3997" s="41" t="s">
        <v>32253</v>
      </c>
      <c r="J3997" s="41" t="s">
        <v>32254</v>
      </c>
      <c r="K3997" s="41" t="s">
        <v>32255</v>
      </c>
      <c r="L3997" s="41" t="s">
        <v>1085</v>
      </c>
    </row>
    <row r="3998" spans="1:19" x14ac:dyDescent="0.25">
      <c r="A3998" s="41" t="s">
        <v>23</v>
      </c>
      <c r="B3998" s="41" t="s">
        <v>32256</v>
      </c>
      <c r="D3998" s="41" t="s">
        <v>32257</v>
      </c>
      <c r="F3998" s="41" t="s">
        <v>32258</v>
      </c>
      <c r="G3998" s="41" t="s">
        <v>32259</v>
      </c>
      <c r="H3998" s="41" t="s">
        <v>32260</v>
      </c>
      <c r="I3998" s="41" t="s">
        <v>32261</v>
      </c>
      <c r="J3998" s="41" t="s">
        <v>32262</v>
      </c>
      <c r="K3998" s="41" t="s">
        <v>32263</v>
      </c>
      <c r="L3998" s="41" t="s">
        <v>1094</v>
      </c>
    </row>
    <row r="3999" spans="1:19" x14ac:dyDescent="0.25">
      <c r="A3999" s="41" t="s">
        <v>908</v>
      </c>
      <c r="B3999" s="41" t="s">
        <v>32264</v>
      </c>
    </row>
    <row r="4000" spans="1:19" x14ac:dyDescent="0.25">
      <c r="A4000" s="41" t="s">
        <v>23</v>
      </c>
      <c r="B4000" s="41" t="s">
        <v>32265</v>
      </c>
      <c r="F4000" s="41" t="s">
        <v>32266</v>
      </c>
      <c r="G4000" s="41" t="s">
        <v>32267</v>
      </c>
      <c r="H4000" s="41" t="s">
        <v>32268</v>
      </c>
      <c r="I4000" s="41" t="s">
        <v>32269</v>
      </c>
      <c r="J4000" s="41" t="s">
        <v>32270</v>
      </c>
      <c r="L4000" s="41" t="s">
        <v>4</v>
      </c>
    </row>
    <row r="4001" spans="1:19" x14ac:dyDescent="0.25">
      <c r="A4001" s="41" t="s">
        <v>23</v>
      </c>
      <c r="B4001" s="41" t="s">
        <v>32271</v>
      </c>
      <c r="D4001" s="41" t="s">
        <v>476</v>
      </c>
      <c r="E4001" s="41" t="s">
        <v>32272</v>
      </c>
      <c r="F4001" s="41" t="s">
        <v>32273</v>
      </c>
      <c r="G4001" s="41" t="s">
        <v>32274</v>
      </c>
      <c r="H4001" s="41" t="s">
        <v>32275</v>
      </c>
      <c r="I4001" s="41" t="s">
        <v>32276</v>
      </c>
      <c r="J4001" s="41" t="s">
        <v>32277</v>
      </c>
      <c r="K4001" s="41" t="s">
        <v>32278</v>
      </c>
      <c r="L4001" s="41" t="s">
        <v>32279</v>
      </c>
      <c r="M4001" s="41" t="s">
        <v>32280</v>
      </c>
      <c r="N4001" s="41" t="s">
        <v>32281</v>
      </c>
      <c r="O4001" s="41" t="s">
        <v>32282</v>
      </c>
      <c r="P4001" s="41" t="s">
        <v>32283</v>
      </c>
      <c r="Q4001" s="41" t="s">
        <v>32284</v>
      </c>
      <c r="R4001" s="41" t="s">
        <v>32285</v>
      </c>
      <c r="S4001" s="41" t="s">
        <v>32286</v>
      </c>
    </row>
    <row r="4002" spans="1:19" x14ac:dyDescent="0.25">
      <c r="A4002" s="41" t="s">
        <v>23</v>
      </c>
      <c r="B4002" s="41" t="s">
        <v>32287</v>
      </c>
      <c r="D4002" s="41" t="s">
        <v>32288</v>
      </c>
      <c r="F4002" s="41" t="s">
        <v>32289</v>
      </c>
      <c r="G4002" s="41" t="s">
        <v>32290</v>
      </c>
      <c r="H4002" s="41" t="s">
        <v>32291</v>
      </c>
      <c r="I4002" s="41" t="s">
        <v>32292</v>
      </c>
      <c r="J4002" s="41" t="s">
        <v>32293</v>
      </c>
      <c r="K4002" s="41" t="s">
        <v>32294</v>
      </c>
      <c r="L4002" s="41" t="s">
        <v>891</v>
      </c>
    </row>
    <row r="4003" spans="1:19" x14ac:dyDescent="0.25">
      <c r="A4003" s="41" t="s">
        <v>23</v>
      </c>
      <c r="B4003" s="41" t="s">
        <v>32295</v>
      </c>
      <c r="D4003" s="41" t="s">
        <v>32296</v>
      </c>
      <c r="F4003" s="41" t="s">
        <v>32297</v>
      </c>
      <c r="G4003" s="41" t="s">
        <v>32298</v>
      </c>
      <c r="H4003" s="41" t="s">
        <v>32299</v>
      </c>
      <c r="I4003" s="41" t="s">
        <v>32300</v>
      </c>
      <c r="J4003" s="41" t="s">
        <v>32301</v>
      </c>
      <c r="K4003" s="41" t="s">
        <v>32302</v>
      </c>
      <c r="L4003" s="41" t="s">
        <v>1076</v>
      </c>
    </row>
    <row r="4004" spans="1:19" x14ac:dyDescent="0.25">
      <c r="A4004" s="41" t="s">
        <v>23</v>
      </c>
      <c r="B4004" s="41" t="s">
        <v>32303</v>
      </c>
      <c r="D4004" s="41" t="s">
        <v>32304</v>
      </c>
      <c r="F4004" s="41" t="s">
        <v>32305</v>
      </c>
      <c r="G4004" s="41" t="s">
        <v>32306</v>
      </c>
      <c r="H4004" s="41" t="s">
        <v>32307</v>
      </c>
      <c r="I4004" s="41" t="s">
        <v>32308</v>
      </c>
      <c r="J4004" s="41" t="s">
        <v>32309</v>
      </c>
      <c r="K4004" s="41" t="s">
        <v>32310</v>
      </c>
      <c r="L4004" s="41" t="s">
        <v>1085</v>
      </c>
    </row>
    <row r="4005" spans="1:19" x14ac:dyDescent="0.25">
      <c r="A4005" s="41" t="s">
        <v>23</v>
      </c>
      <c r="B4005" s="41" t="s">
        <v>32311</v>
      </c>
      <c r="D4005" s="41" t="s">
        <v>32312</v>
      </c>
      <c r="F4005" s="41" t="s">
        <v>32313</v>
      </c>
      <c r="G4005" s="41" t="s">
        <v>32314</v>
      </c>
      <c r="H4005" s="41" t="s">
        <v>32315</v>
      </c>
      <c r="I4005" s="41" t="s">
        <v>32316</v>
      </c>
      <c r="J4005" s="41" t="s">
        <v>32317</v>
      </c>
      <c r="K4005" s="41" t="s">
        <v>32318</v>
      </c>
      <c r="L4005" s="41" t="s">
        <v>1094</v>
      </c>
    </row>
    <row r="4006" spans="1:19" x14ac:dyDescent="0.25">
      <c r="A4006" s="41" t="s">
        <v>908</v>
      </c>
      <c r="B4006" s="41" t="s">
        <v>32319</v>
      </c>
    </row>
    <row r="4007" spans="1:19" x14ac:dyDescent="0.25">
      <c r="A4007" s="41" t="s">
        <v>23</v>
      </c>
      <c r="B4007" s="41" t="s">
        <v>32320</v>
      </c>
      <c r="F4007" s="41" t="s">
        <v>32321</v>
      </c>
      <c r="G4007" s="41" t="s">
        <v>32322</v>
      </c>
      <c r="H4007" s="41" t="s">
        <v>32323</v>
      </c>
      <c r="I4007" s="41" t="s">
        <v>32324</v>
      </c>
      <c r="J4007" s="41" t="s">
        <v>32325</v>
      </c>
      <c r="L4007" s="41" t="s">
        <v>4</v>
      </c>
    </row>
    <row r="4008" spans="1:19" x14ac:dyDescent="0.25">
      <c r="A4008" s="41" t="s">
        <v>23</v>
      </c>
      <c r="B4008" s="41" t="s">
        <v>32326</v>
      </c>
      <c r="D4008" s="41" t="s">
        <v>32160</v>
      </c>
      <c r="E4008" s="41" t="s">
        <v>32327</v>
      </c>
      <c r="F4008" s="41" t="s">
        <v>32328</v>
      </c>
      <c r="G4008" s="41" t="s">
        <v>32329</v>
      </c>
      <c r="H4008" s="41" t="s">
        <v>32330</v>
      </c>
      <c r="I4008" s="41" t="s">
        <v>32331</v>
      </c>
      <c r="J4008" s="41" t="s">
        <v>32332</v>
      </c>
      <c r="K4008" s="41" t="s">
        <v>32333</v>
      </c>
      <c r="L4008" s="41" t="s">
        <v>32334</v>
      </c>
      <c r="M4008" s="41" t="s">
        <v>32335</v>
      </c>
      <c r="N4008" s="41" t="s">
        <v>32336</v>
      </c>
      <c r="O4008" s="41" t="s">
        <v>32337</v>
      </c>
      <c r="P4008" s="41" t="s">
        <v>32338</v>
      </c>
      <c r="Q4008" s="41" t="s">
        <v>32339</v>
      </c>
      <c r="R4008" s="41" t="s">
        <v>32340</v>
      </c>
      <c r="S4008" s="41" t="s">
        <v>32341</v>
      </c>
    </row>
    <row r="4009" spans="1:19" x14ac:dyDescent="0.25">
      <c r="A4009" s="41" t="s">
        <v>23</v>
      </c>
      <c r="B4009" s="41" t="s">
        <v>32342</v>
      </c>
      <c r="D4009" s="41" t="s">
        <v>32343</v>
      </c>
      <c r="F4009" s="41" t="s">
        <v>32344</v>
      </c>
      <c r="G4009" s="41" t="s">
        <v>32345</v>
      </c>
      <c r="H4009" s="41" t="s">
        <v>32346</v>
      </c>
      <c r="I4009" s="41" t="s">
        <v>32347</v>
      </c>
      <c r="J4009" s="41" t="s">
        <v>32348</v>
      </c>
      <c r="K4009" s="41" t="s">
        <v>32349</v>
      </c>
      <c r="L4009" s="41" t="s">
        <v>891</v>
      </c>
    </row>
    <row r="4010" spans="1:19" x14ac:dyDescent="0.25">
      <c r="A4010" s="41" t="s">
        <v>23</v>
      </c>
      <c r="B4010" s="41" t="s">
        <v>32350</v>
      </c>
      <c r="D4010" s="41" t="s">
        <v>32351</v>
      </c>
      <c r="F4010" s="41" t="s">
        <v>32352</v>
      </c>
      <c r="G4010" s="41" t="s">
        <v>32353</v>
      </c>
      <c r="H4010" s="41" t="s">
        <v>32354</v>
      </c>
      <c r="I4010" s="41" t="s">
        <v>32355</v>
      </c>
      <c r="J4010" s="41" t="s">
        <v>32356</v>
      </c>
      <c r="K4010" s="41" t="s">
        <v>32357</v>
      </c>
      <c r="L4010" s="41" t="s">
        <v>1076</v>
      </c>
    </row>
    <row r="4011" spans="1:19" x14ac:dyDescent="0.25">
      <c r="A4011" s="41" t="s">
        <v>23</v>
      </c>
      <c r="B4011" s="41" t="s">
        <v>32358</v>
      </c>
      <c r="D4011" s="41" t="s">
        <v>32359</v>
      </c>
      <c r="F4011" s="41" t="s">
        <v>32360</v>
      </c>
      <c r="G4011" s="41" t="s">
        <v>32361</v>
      </c>
      <c r="H4011" s="41" t="s">
        <v>32362</v>
      </c>
      <c r="I4011" s="41" t="s">
        <v>32363</v>
      </c>
      <c r="J4011" s="41" t="s">
        <v>32364</v>
      </c>
      <c r="K4011" s="41" t="s">
        <v>32365</v>
      </c>
      <c r="L4011" s="41" t="s">
        <v>1085</v>
      </c>
    </row>
    <row r="4012" spans="1:19" x14ac:dyDescent="0.25">
      <c r="A4012" s="41" t="s">
        <v>23</v>
      </c>
      <c r="B4012" s="41" t="s">
        <v>32366</v>
      </c>
      <c r="D4012" s="41" t="s">
        <v>32367</v>
      </c>
      <c r="F4012" s="41" t="s">
        <v>32368</v>
      </c>
      <c r="G4012" s="41" t="s">
        <v>32369</v>
      </c>
      <c r="H4012" s="41" t="s">
        <v>32370</v>
      </c>
      <c r="I4012" s="41" t="s">
        <v>32371</v>
      </c>
      <c r="J4012" s="41" t="s">
        <v>32372</v>
      </c>
      <c r="K4012" s="41" t="s">
        <v>32373</v>
      </c>
      <c r="L4012" s="41" t="s">
        <v>1094</v>
      </c>
    </row>
    <row r="4013" spans="1:19" x14ac:dyDescent="0.25">
      <c r="A4013" s="41" t="s">
        <v>908</v>
      </c>
      <c r="B4013" s="41" t="s">
        <v>32374</v>
      </c>
    </row>
    <row r="4014" spans="1:19" x14ac:dyDescent="0.25">
      <c r="A4014" s="41" t="s">
        <v>23</v>
      </c>
      <c r="B4014" s="41" t="s">
        <v>32375</v>
      </c>
      <c r="F4014" s="41" t="s">
        <v>32376</v>
      </c>
      <c r="G4014" s="41" t="s">
        <v>32377</v>
      </c>
      <c r="H4014" s="41" t="s">
        <v>32378</v>
      </c>
      <c r="I4014" s="41" t="s">
        <v>32379</v>
      </c>
      <c r="J4014" s="41" t="s">
        <v>32380</v>
      </c>
      <c r="L4014" s="41" t="s">
        <v>4</v>
      </c>
    </row>
    <row r="4015" spans="1:19" x14ac:dyDescent="0.25">
      <c r="A4015" s="41" t="s">
        <v>23</v>
      </c>
      <c r="B4015" s="41" t="s">
        <v>32381</v>
      </c>
      <c r="D4015" s="41" t="s">
        <v>32216</v>
      </c>
      <c r="E4015" s="41" t="s">
        <v>32382</v>
      </c>
      <c r="F4015" s="41" t="s">
        <v>32383</v>
      </c>
      <c r="G4015" s="41" t="s">
        <v>32384</v>
      </c>
      <c r="H4015" s="41" t="s">
        <v>32385</v>
      </c>
      <c r="I4015" s="41" t="s">
        <v>32386</v>
      </c>
      <c r="J4015" s="41" t="s">
        <v>32387</v>
      </c>
      <c r="K4015" s="41" t="s">
        <v>32388</v>
      </c>
      <c r="L4015" s="41" t="s">
        <v>32389</v>
      </c>
      <c r="M4015" s="41" t="s">
        <v>32390</v>
      </c>
      <c r="N4015" s="41" t="s">
        <v>32391</v>
      </c>
      <c r="O4015" s="41" t="s">
        <v>32392</v>
      </c>
      <c r="P4015" s="41" t="s">
        <v>32393</v>
      </c>
      <c r="Q4015" s="41" t="s">
        <v>32394</v>
      </c>
      <c r="R4015" s="41" t="s">
        <v>32395</v>
      </c>
      <c r="S4015" s="41" t="s">
        <v>32396</v>
      </c>
    </row>
    <row r="4016" spans="1:19" x14ac:dyDescent="0.25">
      <c r="A4016" s="41" t="s">
        <v>23</v>
      </c>
      <c r="B4016" s="41" t="s">
        <v>32397</v>
      </c>
      <c r="D4016" s="41" t="s">
        <v>32398</v>
      </c>
      <c r="F4016" s="41" t="s">
        <v>32399</v>
      </c>
      <c r="G4016" s="41" t="s">
        <v>32400</v>
      </c>
      <c r="H4016" s="41" t="s">
        <v>32401</v>
      </c>
      <c r="I4016" s="41" t="s">
        <v>32402</v>
      </c>
      <c r="J4016" s="41" t="s">
        <v>32403</v>
      </c>
      <c r="K4016" s="41" t="s">
        <v>32404</v>
      </c>
      <c r="L4016" s="41" t="s">
        <v>891</v>
      </c>
    </row>
    <row r="4017" spans="1:19" x14ac:dyDescent="0.25">
      <c r="A4017" s="41" t="s">
        <v>23</v>
      </c>
      <c r="B4017" s="41" t="s">
        <v>32405</v>
      </c>
      <c r="D4017" s="41" t="s">
        <v>32406</v>
      </c>
      <c r="F4017" s="41" t="s">
        <v>32407</v>
      </c>
      <c r="G4017" s="41" t="s">
        <v>32408</v>
      </c>
      <c r="H4017" s="41" t="s">
        <v>32409</v>
      </c>
      <c r="I4017" s="41" t="s">
        <v>32410</v>
      </c>
      <c r="J4017" s="41" t="s">
        <v>32411</v>
      </c>
      <c r="K4017" s="41" t="s">
        <v>32412</v>
      </c>
      <c r="L4017" s="41" t="s">
        <v>1076</v>
      </c>
    </row>
    <row r="4018" spans="1:19" x14ac:dyDescent="0.25">
      <c r="A4018" s="41" t="s">
        <v>23</v>
      </c>
      <c r="B4018" s="41" t="s">
        <v>32413</v>
      </c>
      <c r="D4018" s="41" t="s">
        <v>32414</v>
      </c>
      <c r="F4018" s="41" t="s">
        <v>32415</v>
      </c>
      <c r="G4018" s="41" t="s">
        <v>32416</v>
      </c>
      <c r="H4018" s="41" t="s">
        <v>32417</v>
      </c>
      <c r="I4018" s="41" t="s">
        <v>32418</v>
      </c>
      <c r="J4018" s="41" t="s">
        <v>32419</v>
      </c>
      <c r="K4018" s="41" t="s">
        <v>32420</v>
      </c>
      <c r="L4018" s="41" t="s">
        <v>1085</v>
      </c>
    </row>
    <row r="4019" spans="1:19" x14ac:dyDescent="0.25">
      <c r="A4019" s="41" t="s">
        <v>23</v>
      </c>
      <c r="B4019" s="41" t="s">
        <v>32421</v>
      </c>
      <c r="D4019" s="41" t="s">
        <v>32422</v>
      </c>
      <c r="F4019" s="41" t="s">
        <v>32423</v>
      </c>
      <c r="G4019" s="41" t="s">
        <v>32424</v>
      </c>
      <c r="H4019" s="41" t="s">
        <v>32425</v>
      </c>
      <c r="I4019" s="41" t="s">
        <v>32426</v>
      </c>
      <c r="J4019" s="41" t="s">
        <v>32427</v>
      </c>
      <c r="K4019" s="41" t="s">
        <v>32428</v>
      </c>
      <c r="L4019" s="41" t="s">
        <v>1094</v>
      </c>
    </row>
    <row r="4020" spans="1:19" x14ac:dyDescent="0.25">
      <c r="A4020" s="41" t="s">
        <v>908</v>
      </c>
      <c r="B4020" s="41" t="s">
        <v>32429</v>
      </c>
    </row>
    <row r="4021" spans="1:19" x14ac:dyDescent="0.25">
      <c r="A4021" s="41" t="s">
        <v>23</v>
      </c>
      <c r="B4021" s="41" t="s">
        <v>32430</v>
      </c>
      <c r="F4021" s="41" t="s">
        <v>32431</v>
      </c>
      <c r="G4021" s="41" t="s">
        <v>32432</v>
      </c>
      <c r="H4021" s="41" t="s">
        <v>32433</v>
      </c>
      <c r="I4021" s="41" t="s">
        <v>32434</v>
      </c>
      <c r="J4021" s="41" t="s">
        <v>32435</v>
      </c>
      <c r="L4021" s="41" t="s">
        <v>4</v>
      </c>
    </row>
    <row r="4022" spans="1:19" x14ac:dyDescent="0.25">
      <c r="A4022" s="41" t="s">
        <v>23</v>
      </c>
      <c r="B4022" s="41" t="s">
        <v>32436</v>
      </c>
      <c r="D4022" s="41" t="s">
        <v>477</v>
      </c>
      <c r="E4022" s="41" t="s">
        <v>32437</v>
      </c>
      <c r="F4022" s="41" t="s">
        <v>32438</v>
      </c>
      <c r="G4022" s="41" t="s">
        <v>32439</v>
      </c>
      <c r="H4022" s="41" t="s">
        <v>32440</v>
      </c>
      <c r="I4022" s="41" t="s">
        <v>32441</v>
      </c>
      <c r="J4022" s="41" t="s">
        <v>32442</v>
      </c>
      <c r="K4022" s="41" t="s">
        <v>32443</v>
      </c>
      <c r="L4022" s="41" t="s">
        <v>32444</v>
      </c>
      <c r="M4022" s="41" t="s">
        <v>32445</v>
      </c>
      <c r="N4022" s="41" t="s">
        <v>32446</v>
      </c>
      <c r="O4022" s="41" t="s">
        <v>32447</v>
      </c>
      <c r="P4022" s="41" t="s">
        <v>32448</v>
      </c>
      <c r="Q4022" s="41" t="s">
        <v>32449</v>
      </c>
      <c r="R4022" s="41" t="s">
        <v>32450</v>
      </c>
      <c r="S4022" s="41" t="s">
        <v>32451</v>
      </c>
    </row>
    <row r="4023" spans="1:19" x14ac:dyDescent="0.25">
      <c r="A4023" s="41" t="s">
        <v>23</v>
      </c>
      <c r="B4023" s="41" t="s">
        <v>32452</v>
      </c>
      <c r="D4023" s="41" t="s">
        <v>32453</v>
      </c>
      <c r="F4023" s="41" t="s">
        <v>32454</v>
      </c>
      <c r="G4023" s="41" t="s">
        <v>32455</v>
      </c>
      <c r="H4023" s="41" t="s">
        <v>32456</v>
      </c>
      <c r="I4023" s="41" t="s">
        <v>32457</v>
      </c>
      <c r="J4023" s="41" t="s">
        <v>32458</v>
      </c>
      <c r="K4023" s="41" t="s">
        <v>32459</v>
      </c>
      <c r="L4023" s="41" t="s">
        <v>891</v>
      </c>
    </row>
    <row r="4024" spans="1:19" x14ac:dyDescent="0.25">
      <c r="A4024" s="41" t="s">
        <v>23</v>
      </c>
      <c r="B4024" s="41" t="s">
        <v>32460</v>
      </c>
      <c r="D4024" s="41" t="s">
        <v>32461</v>
      </c>
      <c r="F4024" s="41" t="s">
        <v>32462</v>
      </c>
      <c r="G4024" s="41" t="s">
        <v>32463</v>
      </c>
      <c r="H4024" s="41" t="s">
        <v>32464</v>
      </c>
      <c r="I4024" s="41" t="s">
        <v>32465</v>
      </c>
      <c r="J4024" s="41" t="s">
        <v>32466</v>
      </c>
      <c r="K4024" s="41" t="s">
        <v>32467</v>
      </c>
      <c r="L4024" s="41" t="s">
        <v>1076</v>
      </c>
    </row>
    <row r="4025" spans="1:19" x14ac:dyDescent="0.25">
      <c r="A4025" s="41" t="s">
        <v>23</v>
      </c>
      <c r="B4025" s="41" t="s">
        <v>32468</v>
      </c>
      <c r="D4025" s="41" t="s">
        <v>32469</v>
      </c>
      <c r="F4025" s="41" t="s">
        <v>32470</v>
      </c>
      <c r="G4025" s="41" t="s">
        <v>32471</v>
      </c>
      <c r="H4025" s="41" t="s">
        <v>32472</v>
      </c>
      <c r="I4025" s="41" t="s">
        <v>32473</v>
      </c>
      <c r="J4025" s="41" t="s">
        <v>32474</v>
      </c>
      <c r="K4025" s="41" t="s">
        <v>32475</v>
      </c>
      <c r="L4025" s="41" t="s">
        <v>1085</v>
      </c>
    </row>
    <row r="4026" spans="1:19" x14ac:dyDescent="0.25">
      <c r="A4026" s="41" t="s">
        <v>23</v>
      </c>
      <c r="B4026" s="41" t="s">
        <v>32476</v>
      </c>
      <c r="D4026" s="41" t="s">
        <v>32477</v>
      </c>
      <c r="F4026" s="41" t="s">
        <v>32478</v>
      </c>
      <c r="G4026" s="41" t="s">
        <v>32479</v>
      </c>
      <c r="H4026" s="41" t="s">
        <v>32480</v>
      </c>
      <c r="I4026" s="41" t="s">
        <v>32481</v>
      </c>
      <c r="J4026" s="41" t="s">
        <v>32482</v>
      </c>
      <c r="K4026" s="41" t="s">
        <v>32483</v>
      </c>
      <c r="L4026" s="41" t="s">
        <v>1094</v>
      </c>
    </row>
    <row r="4027" spans="1:19" x14ac:dyDescent="0.25">
      <c r="A4027" s="41" t="s">
        <v>908</v>
      </c>
      <c r="B4027" s="41" t="s">
        <v>32484</v>
      </c>
    </row>
    <row r="4028" spans="1:19" x14ac:dyDescent="0.25">
      <c r="A4028" s="41" t="s">
        <v>23</v>
      </c>
      <c r="B4028" s="41" t="s">
        <v>32485</v>
      </c>
      <c r="F4028" s="41" t="s">
        <v>32486</v>
      </c>
      <c r="G4028" s="41" t="s">
        <v>32487</v>
      </c>
      <c r="H4028" s="41" t="s">
        <v>32488</v>
      </c>
      <c r="I4028" s="41" t="s">
        <v>32489</v>
      </c>
      <c r="J4028" s="41" t="s">
        <v>32490</v>
      </c>
      <c r="L4028" s="41" t="s">
        <v>4</v>
      </c>
    </row>
    <row r="4029" spans="1:19" x14ac:dyDescent="0.25">
      <c r="A4029" s="41" t="s">
        <v>23</v>
      </c>
      <c r="B4029" s="41" t="s">
        <v>32491</v>
      </c>
      <c r="D4029" s="41" t="s">
        <v>478</v>
      </c>
      <c r="E4029" s="41" t="s">
        <v>32492</v>
      </c>
      <c r="F4029" s="41" t="s">
        <v>32493</v>
      </c>
      <c r="G4029" s="41" t="s">
        <v>32494</v>
      </c>
      <c r="H4029" s="41" t="s">
        <v>32495</v>
      </c>
      <c r="I4029" s="41" t="s">
        <v>32496</v>
      </c>
      <c r="J4029" s="41" t="s">
        <v>32497</v>
      </c>
      <c r="K4029" s="41" t="s">
        <v>32498</v>
      </c>
      <c r="L4029" s="41" t="s">
        <v>32499</v>
      </c>
      <c r="M4029" s="41" t="s">
        <v>32500</v>
      </c>
      <c r="N4029" s="41" t="s">
        <v>32501</v>
      </c>
      <c r="O4029" s="41" t="s">
        <v>32502</v>
      </c>
      <c r="P4029" s="41" t="s">
        <v>32503</v>
      </c>
      <c r="Q4029" s="41" t="s">
        <v>32504</v>
      </c>
      <c r="R4029" s="41" t="s">
        <v>32505</v>
      </c>
      <c r="S4029" s="41" t="s">
        <v>32506</v>
      </c>
    </row>
    <row r="4030" spans="1:19" x14ac:dyDescent="0.25">
      <c r="A4030" s="41" t="s">
        <v>23</v>
      </c>
      <c r="B4030" s="41" t="s">
        <v>32507</v>
      </c>
      <c r="D4030" s="41" t="s">
        <v>32508</v>
      </c>
      <c r="F4030" s="41" t="s">
        <v>32509</v>
      </c>
      <c r="G4030" s="41" t="s">
        <v>32510</v>
      </c>
      <c r="H4030" s="41" t="s">
        <v>32511</v>
      </c>
      <c r="I4030" s="41" t="s">
        <v>32512</v>
      </c>
      <c r="J4030" s="41" t="s">
        <v>32513</v>
      </c>
      <c r="K4030" s="41" t="s">
        <v>32514</v>
      </c>
      <c r="L4030" s="41" t="s">
        <v>891</v>
      </c>
    </row>
    <row r="4031" spans="1:19" x14ac:dyDescent="0.25">
      <c r="A4031" s="41" t="s">
        <v>23</v>
      </c>
      <c r="B4031" s="41" t="s">
        <v>32515</v>
      </c>
      <c r="D4031" s="41" t="s">
        <v>32516</v>
      </c>
      <c r="F4031" s="41" t="s">
        <v>32517</v>
      </c>
      <c r="G4031" s="41" t="s">
        <v>32518</v>
      </c>
      <c r="H4031" s="41" t="s">
        <v>32519</v>
      </c>
      <c r="I4031" s="41" t="s">
        <v>32520</v>
      </c>
      <c r="J4031" s="41" t="s">
        <v>32521</v>
      </c>
      <c r="K4031" s="41" t="s">
        <v>32522</v>
      </c>
      <c r="L4031" s="41" t="s">
        <v>1076</v>
      </c>
    </row>
    <row r="4032" spans="1:19" x14ac:dyDescent="0.25">
      <c r="A4032" s="41" t="s">
        <v>23</v>
      </c>
      <c r="B4032" s="41" t="s">
        <v>32523</v>
      </c>
      <c r="D4032" s="41" t="s">
        <v>32524</v>
      </c>
      <c r="F4032" s="41" t="s">
        <v>32525</v>
      </c>
      <c r="G4032" s="41" t="s">
        <v>32526</v>
      </c>
      <c r="H4032" s="41" t="s">
        <v>32527</v>
      </c>
      <c r="I4032" s="41" t="s">
        <v>32528</v>
      </c>
      <c r="J4032" s="41" t="s">
        <v>32529</v>
      </c>
      <c r="K4032" s="41" t="s">
        <v>32530</v>
      </c>
      <c r="L4032" s="41" t="s">
        <v>1085</v>
      </c>
    </row>
    <row r="4033" spans="1:19" x14ac:dyDescent="0.25">
      <c r="A4033" s="41" t="s">
        <v>23</v>
      </c>
      <c r="B4033" s="41" t="s">
        <v>32531</v>
      </c>
      <c r="D4033" s="41" t="s">
        <v>32532</v>
      </c>
      <c r="F4033" s="41" t="s">
        <v>32533</v>
      </c>
      <c r="G4033" s="41" t="s">
        <v>32534</v>
      </c>
      <c r="H4033" s="41" t="s">
        <v>32535</v>
      </c>
      <c r="I4033" s="41" t="s">
        <v>32536</v>
      </c>
      <c r="J4033" s="41" t="s">
        <v>32537</v>
      </c>
      <c r="K4033" s="41" t="s">
        <v>32538</v>
      </c>
      <c r="L4033" s="41" t="s">
        <v>1094</v>
      </c>
    </row>
    <row r="4034" spans="1:19" x14ac:dyDescent="0.25">
      <c r="A4034" s="41" t="s">
        <v>908</v>
      </c>
      <c r="B4034" s="41" t="s">
        <v>32539</v>
      </c>
    </row>
    <row r="4035" spans="1:19" x14ac:dyDescent="0.25">
      <c r="A4035" s="41" t="s">
        <v>23</v>
      </c>
      <c r="B4035" s="41" t="s">
        <v>32540</v>
      </c>
      <c r="F4035" s="41" t="s">
        <v>32541</v>
      </c>
      <c r="G4035" s="41" t="s">
        <v>32542</v>
      </c>
      <c r="H4035" s="41" t="s">
        <v>32543</v>
      </c>
      <c r="I4035" s="41" t="s">
        <v>32544</v>
      </c>
      <c r="J4035" s="41" t="s">
        <v>32545</v>
      </c>
      <c r="L4035" s="41" t="s">
        <v>4</v>
      </c>
    </row>
    <row r="4036" spans="1:19" x14ac:dyDescent="0.25">
      <c r="A4036" s="41" t="s">
        <v>23</v>
      </c>
      <c r="B4036" s="41" t="s">
        <v>32546</v>
      </c>
      <c r="D4036" s="41" t="s">
        <v>479</v>
      </c>
      <c r="E4036" s="41" t="s">
        <v>32547</v>
      </c>
      <c r="F4036" s="41" t="s">
        <v>32548</v>
      </c>
      <c r="G4036" s="41" t="s">
        <v>32549</v>
      </c>
      <c r="H4036" s="41" t="s">
        <v>32550</v>
      </c>
      <c r="I4036" s="41" t="s">
        <v>32551</v>
      </c>
      <c r="J4036" s="41" t="s">
        <v>32552</v>
      </c>
      <c r="K4036" s="41" t="s">
        <v>32553</v>
      </c>
      <c r="L4036" s="41" t="s">
        <v>32554</v>
      </c>
      <c r="M4036" s="41" t="s">
        <v>32555</v>
      </c>
      <c r="N4036" s="41" t="s">
        <v>32556</v>
      </c>
      <c r="O4036" s="41" t="s">
        <v>32557</v>
      </c>
      <c r="P4036" s="41" t="s">
        <v>32558</v>
      </c>
      <c r="Q4036" s="41" t="s">
        <v>32559</v>
      </c>
      <c r="R4036" s="41" t="s">
        <v>32560</v>
      </c>
      <c r="S4036" s="41" t="s">
        <v>32561</v>
      </c>
    </row>
    <row r="4037" spans="1:19" x14ac:dyDescent="0.25">
      <c r="A4037" s="41" t="s">
        <v>23</v>
      </c>
      <c r="B4037" s="41" t="s">
        <v>32562</v>
      </c>
      <c r="D4037" s="41" t="s">
        <v>32563</v>
      </c>
      <c r="F4037" s="41" t="s">
        <v>32564</v>
      </c>
      <c r="G4037" s="41" t="s">
        <v>32565</v>
      </c>
      <c r="H4037" s="41" t="s">
        <v>32566</v>
      </c>
      <c r="I4037" s="41" t="s">
        <v>32567</v>
      </c>
      <c r="J4037" s="41" t="s">
        <v>32568</v>
      </c>
      <c r="K4037" s="41" t="s">
        <v>32569</v>
      </c>
      <c r="L4037" s="41" t="s">
        <v>891</v>
      </c>
    </row>
    <row r="4038" spans="1:19" x14ac:dyDescent="0.25">
      <c r="A4038" s="41" t="s">
        <v>23</v>
      </c>
      <c r="B4038" s="41" t="s">
        <v>32570</v>
      </c>
      <c r="D4038" s="41" t="s">
        <v>32571</v>
      </c>
      <c r="F4038" s="41" t="s">
        <v>32572</v>
      </c>
      <c r="G4038" s="41" t="s">
        <v>32573</v>
      </c>
      <c r="H4038" s="41" t="s">
        <v>32574</v>
      </c>
      <c r="I4038" s="41" t="s">
        <v>32575</v>
      </c>
      <c r="J4038" s="41" t="s">
        <v>32576</v>
      </c>
      <c r="K4038" s="41" t="s">
        <v>32577</v>
      </c>
      <c r="L4038" s="41" t="s">
        <v>1076</v>
      </c>
    </row>
    <row r="4039" spans="1:19" x14ac:dyDescent="0.25">
      <c r="A4039" s="41" t="s">
        <v>23</v>
      </c>
      <c r="B4039" s="41" t="s">
        <v>32578</v>
      </c>
      <c r="D4039" s="41" t="s">
        <v>32579</v>
      </c>
      <c r="F4039" s="41" t="s">
        <v>32580</v>
      </c>
      <c r="G4039" s="41" t="s">
        <v>32581</v>
      </c>
      <c r="H4039" s="41" t="s">
        <v>32582</v>
      </c>
      <c r="I4039" s="41" t="s">
        <v>32583</v>
      </c>
      <c r="J4039" s="41" t="s">
        <v>32584</v>
      </c>
      <c r="K4039" s="41" t="s">
        <v>32585</v>
      </c>
      <c r="L4039" s="41" t="s">
        <v>1085</v>
      </c>
    </row>
    <row r="4040" spans="1:19" x14ac:dyDescent="0.25">
      <c r="A4040" s="41" t="s">
        <v>23</v>
      </c>
      <c r="B4040" s="41" t="s">
        <v>32586</v>
      </c>
      <c r="D4040" s="41" t="s">
        <v>32587</v>
      </c>
      <c r="F4040" s="41" t="s">
        <v>32588</v>
      </c>
      <c r="G4040" s="41" t="s">
        <v>32589</v>
      </c>
      <c r="H4040" s="41" t="s">
        <v>32590</v>
      </c>
      <c r="I4040" s="41" t="s">
        <v>32591</v>
      </c>
      <c r="J4040" s="41" t="s">
        <v>32592</v>
      </c>
      <c r="K4040" s="41" t="s">
        <v>32593</v>
      </c>
      <c r="L4040" s="41" t="s">
        <v>1094</v>
      </c>
    </row>
    <row r="4041" spans="1:19" x14ac:dyDescent="0.25">
      <c r="A4041" s="41" t="s">
        <v>908</v>
      </c>
      <c r="B4041" s="41" t="s">
        <v>32594</v>
      </c>
    </row>
    <row r="4042" spans="1:19" x14ac:dyDescent="0.25">
      <c r="A4042" s="41" t="s">
        <v>23</v>
      </c>
      <c r="B4042" s="41" t="s">
        <v>32595</v>
      </c>
      <c r="F4042" s="41" t="s">
        <v>32596</v>
      </c>
      <c r="G4042" s="41" t="s">
        <v>32597</v>
      </c>
      <c r="H4042" s="41" t="s">
        <v>32598</v>
      </c>
      <c r="I4042" s="41" t="s">
        <v>32599</v>
      </c>
      <c r="J4042" s="41" t="s">
        <v>32600</v>
      </c>
      <c r="L4042" s="41" t="s">
        <v>4</v>
      </c>
    </row>
    <row r="4043" spans="1:19" x14ac:dyDescent="0.25">
      <c r="A4043" s="41" t="s">
        <v>23</v>
      </c>
      <c r="B4043" s="41" t="s">
        <v>32601</v>
      </c>
      <c r="D4043" s="41" t="s">
        <v>480</v>
      </c>
      <c r="E4043" s="41" t="s">
        <v>32602</v>
      </c>
      <c r="F4043" s="41" t="s">
        <v>32603</v>
      </c>
      <c r="G4043" s="41" t="s">
        <v>32604</v>
      </c>
      <c r="H4043" s="41" t="s">
        <v>32605</v>
      </c>
      <c r="I4043" s="41" t="s">
        <v>32606</v>
      </c>
      <c r="J4043" s="41" t="s">
        <v>32607</v>
      </c>
      <c r="K4043" s="41" t="s">
        <v>32608</v>
      </c>
      <c r="L4043" s="41" t="s">
        <v>32609</v>
      </c>
      <c r="M4043" s="41" t="s">
        <v>32610</v>
      </c>
      <c r="N4043" s="41" t="s">
        <v>32611</v>
      </c>
      <c r="O4043" s="41" t="s">
        <v>32612</v>
      </c>
      <c r="P4043" s="41" t="s">
        <v>32613</v>
      </c>
      <c r="Q4043" s="41" t="s">
        <v>32614</v>
      </c>
      <c r="R4043" s="41" t="s">
        <v>32615</v>
      </c>
      <c r="S4043" s="41" t="s">
        <v>32616</v>
      </c>
    </row>
    <row r="4044" spans="1:19" x14ac:dyDescent="0.25">
      <c r="A4044" s="41" t="s">
        <v>23</v>
      </c>
      <c r="B4044" s="41" t="s">
        <v>32617</v>
      </c>
      <c r="D4044" s="41" t="s">
        <v>32618</v>
      </c>
      <c r="F4044" s="41" t="s">
        <v>32619</v>
      </c>
      <c r="G4044" s="41" t="s">
        <v>32620</v>
      </c>
      <c r="H4044" s="41" t="s">
        <v>32621</v>
      </c>
      <c r="I4044" s="41" t="s">
        <v>32622</v>
      </c>
      <c r="J4044" s="41" t="s">
        <v>32623</v>
      </c>
      <c r="K4044" s="41" t="s">
        <v>32624</v>
      </c>
      <c r="L4044" s="41" t="s">
        <v>891</v>
      </c>
    </row>
    <row r="4045" spans="1:19" x14ac:dyDescent="0.25">
      <c r="A4045" s="41" t="s">
        <v>23</v>
      </c>
      <c r="B4045" s="41" t="s">
        <v>32625</v>
      </c>
      <c r="D4045" s="41" t="s">
        <v>32626</v>
      </c>
      <c r="F4045" s="41" t="s">
        <v>32627</v>
      </c>
      <c r="G4045" s="41" t="s">
        <v>32628</v>
      </c>
      <c r="H4045" s="41" t="s">
        <v>32629</v>
      </c>
      <c r="I4045" s="41" t="s">
        <v>32630</v>
      </c>
      <c r="J4045" s="41" t="s">
        <v>32631</v>
      </c>
      <c r="K4045" s="41" t="s">
        <v>32632</v>
      </c>
      <c r="L4045" s="41" t="s">
        <v>1076</v>
      </c>
    </row>
    <row r="4046" spans="1:19" x14ac:dyDescent="0.25">
      <c r="A4046" s="41" t="s">
        <v>23</v>
      </c>
      <c r="B4046" s="41" t="s">
        <v>32633</v>
      </c>
      <c r="D4046" s="41" t="s">
        <v>32634</v>
      </c>
      <c r="F4046" s="41" t="s">
        <v>32635</v>
      </c>
      <c r="G4046" s="41" t="s">
        <v>32636</v>
      </c>
      <c r="H4046" s="41" t="s">
        <v>32637</v>
      </c>
      <c r="I4046" s="41" t="s">
        <v>32638</v>
      </c>
      <c r="J4046" s="41" t="s">
        <v>32639</v>
      </c>
      <c r="K4046" s="41" t="s">
        <v>32640</v>
      </c>
      <c r="L4046" s="41" t="s">
        <v>1085</v>
      </c>
    </row>
    <row r="4047" spans="1:19" x14ac:dyDescent="0.25">
      <c r="A4047" s="41" t="s">
        <v>23</v>
      </c>
      <c r="B4047" s="41" t="s">
        <v>32641</v>
      </c>
      <c r="D4047" s="41" t="s">
        <v>32642</v>
      </c>
      <c r="F4047" s="41" t="s">
        <v>32643</v>
      </c>
      <c r="G4047" s="41" t="s">
        <v>32644</v>
      </c>
      <c r="H4047" s="41" t="s">
        <v>32645</v>
      </c>
      <c r="I4047" s="41" t="s">
        <v>32646</v>
      </c>
      <c r="J4047" s="41" t="s">
        <v>32647</v>
      </c>
      <c r="K4047" s="41" t="s">
        <v>32648</v>
      </c>
      <c r="L4047" s="41" t="s">
        <v>1094</v>
      </c>
    </row>
    <row r="4048" spans="1:19" x14ac:dyDescent="0.25">
      <c r="A4048" s="41" t="s">
        <v>908</v>
      </c>
      <c r="B4048" s="41" t="s">
        <v>32649</v>
      </c>
    </row>
    <row r="4049" spans="1:19" x14ac:dyDescent="0.25">
      <c r="A4049" s="41" t="s">
        <v>23</v>
      </c>
      <c r="B4049" s="41" t="s">
        <v>32650</v>
      </c>
      <c r="F4049" s="41" t="s">
        <v>32651</v>
      </c>
      <c r="G4049" s="41" t="s">
        <v>32652</v>
      </c>
      <c r="H4049" s="41" t="s">
        <v>32653</v>
      </c>
      <c r="I4049" s="41" t="s">
        <v>32654</v>
      </c>
      <c r="J4049" s="41" t="s">
        <v>32655</v>
      </c>
      <c r="L4049" s="41" t="s">
        <v>4</v>
      </c>
    </row>
    <row r="4050" spans="1:19" x14ac:dyDescent="0.25">
      <c r="A4050" s="41" t="s">
        <v>23</v>
      </c>
      <c r="B4050" s="41" t="s">
        <v>32656</v>
      </c>
      <c r="D4050" s="41" t="s">
        <v>481</v>
      </c>
      <c r="E4050" s="41" t="s">
        <v>32658</v>
      </c>
      <c r="F4050" s="41" t="s">
        <v>32659</v>
      </c>
      <c r="G4050" s="41" t="s">
        <v>32660</v>
      </c>
      <c r="H4050" s="41" t="s">
        <v>32661</v>
      </c>
      <c r="I4050" s="41" t="s">
        <v>32662</v>
      </c>
      <c r="J4050" s="41" t="s">
        <v>32663</v>
      </c>
      <c r="K4050" s="41" t="s">
        <v>32664</v>
      </c>
      <c r="L4050" s="41" t="s">
        <v>32665</v>
      </c>
      <c r="M4050" s="41" t="s">
        <v>32666</v>
      </c>
      <c r="N4050" s="41" t="s">
        <v>32667</v>
      </c>
      <c r="O4050" s="41" t="s">
        <v>32668</v>
      </c>
      <c r="P4050" s="41" t="s">
        <v>32669</v>
      </c>
      <c r="Q4050" s="41" t="s">
        <v>32670</v>
      </c>
      <c r="R4050" s="41" t="s">
        <v>32671</v>
      </c>
      <c r="S4050" s="41" t="s">
        <v>32672</v>
      </c>
    </row>
    <row r="4051" spans="1:19" x14ac:dyDescent="0.25">
      <c r="A4051" s="41" t="s">
        <v>23</v>
      </c>
      <c r="B4051" s="41" t="s">
        <v>32673</v>
      </c>
      <c r="D4051" s="41" t="s">
        <v>32674</v>
      </c>
      <c r="F4051" s="41" t="s">
        <v>32675</v>
      </c>
      <c r="G4051" s="41" t="s">
        <v>32676</v>
      </c>
      <c r="H4051" s="41" t="s">
        <v>32677</v>
      </c>
      <c r="I4051" s="41" t="s">
        <v>32678</v>
      </c>
      <c r="J4051" s="41" t="s">
        <v>32679</v>
      </c>
      <c r="K4051" s="41" t="s">
        <v>32680</v>
      </c>
      <c r="L4051" s="41" t="s">
        <v>891</v>
      </c>
    </row>
    <row r="4052" spans="1:19" x14ac:dyDescent="0.25">
      <c r="A4052" s="41" t="s">
        <v>23</v>
      </c>
      <c r="B4052" s="41" t="s">
        <v>32681</v>
      </c>
      <c r="D4052" s="41" t="s">
        <v>32682</v>
      </c>
      <c r="F4052" s="41" t="s">
        <v>32683</v>
      </c>
      <c r="G4052" s="41" t="s">
        <v>32684</v>
      </c>
      <c r="H4052" s="41" t="s">
        <v>32685</v>
      </c>
      <c r="I4052" s="41" t="s">
        <v>32686</v>
      </c>
      <c r="J4052" s="41" t="s">
        <v>32687</v>
      </c>
      <c r="K4052" s="41" t="s">
        <v>32688</v>
      </c>
      <c r="L4052" s="41" t="s">
        <v>1076</v>
      </c>
    </row>
    <row r="4053" spans="1:19" x14ac:dyDescent="0.25">
      <c r="A4053" s="41" t="s">
        <v>23</v>
      </c>
      <c r="B4053" s="41" t="s">
        <v>32689</v>
      </c>
      <c r="D4053" s="41" t="s">
        <v>32690</v>
      </c>
      <c r="F4053" s="41" t="s">
        <v>32691</v>
      </c>
      <c r="G4053" s="41" t="s">
        <v>32692</v>
      </c>
      <c r="H4053" s="41" t="s">
        <v>32693</v>
      </c>
      <c r="I4053" s="41" t="s">
        <v>32694</v>
      </c>
      <c r="J4053" s="41" t="s">
        <v>32695</v>
      </c>
      <c r="K4053" s="41" t="s">
        <v>32696</v>
      </c>
      <c r="L4053" s="41" t="s">
        <v>1085</v>
      </c>
    </row>
    <row r="4054" spans="1:19" x14ac:dyDescent="0.25">
      <c r="A4054" s="41" t="s">
        <v>23</v>
      </c>
      <c r="B4054" s="41" t="s">
        <v>32697</v>
      </c>
      <c r="D4054" s="41" t="s">
        <v>32698</v>
      </c>
      <c r="F4054" s="41" t="s">
        <v>32699</v>
      </c>
      <c r="G4054" s="41" t="s">
        <v>32700</v>
      </c>
      <c r="H4054" s="41" t="s">
        <v>32701</v>
      </c>
      <c r="I4054" s="41" t="s">
        <v>32702</v>
      </c>
      <c r="J4054" s="41" t="s">
        <v>32703</v>
      </c>
      <c r="K4054" s="41" t="s">
        <v>32704</v>
      </c>
      <c r="L4054" s="41" t="s">
        <v>1094</v>
      </c>
    </row>
    <row r="4055" spans="1:19" x14ac:dyDescent="0.25">
      <c r="A4055" s="41" t="s">
        <v>908</v>
      </c>
      <c r="B4055" s="41" t="s">
        <v>32705</v>
      </c>
    </row>
    <row r="4056" spans="1:19" x14ac:dyDescent="0.25">
      <c r="A4056" s="41" t="s">
        <v>23</v>
      </c>
      <c r="B4056" s="41" t="s">
        <v>32706</v>
      </c>
      <c r="F4056" s="41" t="s">
        <v>32707</v>
      </c>
      <c r="G4056" s="41" t="s">
        <v>32708</v>
      </c>
      <c r="H4056" s="41" t="s">
        <v>32709</v>
      </c>
      <c r="I4056" s="41" t="s">
        <v>32710</v>
      </c>
      <c r="J4056" s="41" t="s">
        <v>32711</v>
      </c>
      <c r="L4056" s="41" t="s">
        <v>4</v>
      </c>
    </row>
    <row r="4057" spans="1:19" x14ac:dyDescent="0.25">
      <c r="A4057" s="41" t="s">
        <v>23</v>
      </c>
      <c r="B4057" s="41" t="s">
        <v>32712</v>
      </c>
      <c r="D4057" s="41" t="s">
        <v>482</v>
      </c>
      <c r="E4057" s="41" t="s">
        <v>32714</v>
      </c>
      <c r="F4057" s="41" t="s">
        <v>32715</v>
      </c>
      <c r="G4057" s="41" t="s">
        <v>32716</v>
      </c>
      <c r="H4057" s="41" t="s">
        <v>32717</v>
      </c>
      <c r="I4057" s="41" t="s">
        <v>32718</v>
      </c>
      <c r="J4057" s="41" t="s">
        <v>32719</v>
      </c>
      <c r="K4057" s="41" t="s">
        <v>32720</v>
      </c>
      <c r="L4057" s="41" t="s">
        <v>32721</v>
      </c>
      <c r="M4057" s="41" t="s">
        <v>32722</v>
      </c>
      <c r="N4057" s="41" t="s">
        <v>32723</v>
      </c>
      <c r="O4057" s="41" t="s">
        <v>32724</v>
      </c>
      <c r="P4057" s="41" t="s">
        <v>32725</v>
      </c>
      <c r="Q4057" s="41" t="s">
        <v>32726</v>
      </c>
      <c r="R4057" s="41" t="s">
        <v>32727</v>
      </c>
      <c r="S4057" s="41" t="s">
        <v>32728</v>
      </c>
    </row>
    <row r="4058" spans="1:19" x14ac:dyDescent="0.25">
      <c r="A4058" s="41" t="s">
        <v>23</v>
      </c>
      <c r="B4058" s="41" t="s">
        <v>32729</v>
      </c>
      <c r="D4058" s="41" t="s">
        <v>32730</v>
      </c>
      <c r="F4058" s="41" t="s">
        <v>32731</v>
      </c>
      <c r="G4058" s="41" t="s">
        <v>32732</v>
      </c>
      <c r="H4058" s="41" t="s">
        <v>32733</v>
      </c>
      <c r="I4058" s="41" t="s">
        <v>32734</v>
      </c>
      <c r="J4058" s="41" t="s">
        <v>32735</v>
      </c>
      <c r="K4058" s="41" t="s">
        <v>32736</v>
      </c>
      <c r="L4058" s="41" t="s">
        <v>891</v>
      </c>
    </row>
    <row r="4059" spans="1:19" x14ac:dyDescent="0.25">
      <c r="A4059" s="41" t="s">
        <v>23</v>
      </c>
      <c r="B4059" s="41" t="s">
        <v>32737</v>
      </c>
      <c r="D4059" s="41" t="s">
        <v>32738</v>
      </c>
      <c r="F4059" s="41" t="s">
        <v>32739</v>
      </c>
      <c r="G4059" s="41" t="s">
        <v>32740</v>
      </c>
      <c r="H4059" s="41" t="s">
        <v>32741</v>
      </c>
      <c r="I4059" s="41" t="s">
        <v>32742</v>
      </c>
      <c r="J4059" s="41" t="s">
        <v>32743</v>
      </c>
      <c r="K4059" s="41" t="s">
        <v>32744</v>
      </c>
      <c r="L4059" s="41" t="s">
        <v>1076</v>
      </c>
    </row>
    <row r="4060" spans="1:19" x14ac:dyDescent="0.25">
      <c r="A4060" s="41" t="s">
        <v>23</v>
      </c>
      <c r="B4060" s="41" t="s">
        <v>32745</v>
      </c>
      <c r="D4060" s="41" t="s">
        <v>32746</v>
      </c>
      <c r="F4060" s="41" t="s">
        <v>32747</v>
      </c>
      <c r="G4060" s="41" t="s">
        <v>32748</v>
      </c>
      <c r="H4060" s="41" t="s">
        <v>32749</v>
      </c>
      <c r="I4060" s="41" t="s">
        <v>32750</v>
      </c>
      <c r="J4060" s="41" t="s">
        <v>32751</v>
      </c>
      <c r="K4060" s="41" t="s">
        <v>32752</v>
      </c>
      <c r="L4060" s="41" t="s">
        <v>1085</v>
      </c>
    </row>
    <row r="4061" spans="1:19" x14ac:dyDescent="0.25">
      <c r="A4061" s="41" t="s">
        <v>23</v>
      </c>
      <c r="B4061" s="41" t="s">
        <v>32753</v>
      </c>
      <c r="D4061" s="41" t="s">
        <v>32754</v>
      </c>
      <c r="F4061" s="41" t="s">
        <v>32755</v>
      </c>
      <c r="G4061" s="41" t="s">
        <v>32756</v>
      </c>
      <c r="H4061" s="41" t="s">
        <v>32757</v>
      </c>
      <c r="I4061" s="41" t="s">
        <v>32758</v>
      </c>
      <c r="J4061" s="41" t="s">
        <v>32759</v>
      </c>
      <c r="K4061" s="41" t="s">
        <v>32760</v>
      </c>
      <c r="L4061" s="41" t="s">
        <v>1094</v>
      </c>
    </row>
    <row r="4062" spans="1:19" x14ac:dyDescent="0.25">
      <c r="A4062" s="41" t="s">
        <v>908</v>
      </c>
      <c r="B4062" s="41" t="s">
        <v>32761</v>
      </c>
    </row>
    <row r="4063" spans="1:19" x14ac:dyDescent="0.25">
      <c r="A4063" s="41" t="s">
        <v>23</v>
      </c>
      <c r="B4063" s="41" t="s">
        <v>32762</v>
      </c>
      <c r="F4063" s="41" t="s">
        <v>32763</v>
      </c>
      <c r="G4063" s="41" t="s">
        <v>32764</v>
      </c>
      <c r="H4063" s="41" t="s">
        <v>32765</v>
      </c>
      <c r="I4063" s="41" t="s">
        <v>32766</v>
      </c>
      <c r="J4063" s="41" t="s">
        <v>32767</v>
      </c>
      <c r="L4063" s="41" t="s">
        <v>4</v>
      </c>
    </row>
    <row r="4064" spans="1:19" x14ac:dyDescent="0.25">
      <c r="A4064" s="41" t="s">
        <v>23</v>
      </c>
      <c r="B4064" s="41" t="s">
        <v>32768</v>
      </c>
      <c r="D4064" s="41" t="s">
        <v>483</v>
      </c>
      <c r="E4064" s="41" t="s">
        <v>32770</v>
      </c>
      <c r="F4064" s="41" t="s">
        <v>32771</v>
      </c>
      <c r="G4064" s="41" t="s">
        <v>32772</v>
      </c>
      <c r="H4064" s="41" t="s">
        <v>32773</v>
      </c>
      <c r="I4064" s="41" t="s">
        <v>32774</v>
      </c>
      <c r="J4064" s="41" t="s">
        <v>32775</v>
      </c>
      <c r="K4064" s="41" t="s">
        <v>32776</v>
      </c>
      <c r="L4064" s="41" t="s">
        <v>32777</v>
      </c>
      <c r="M4064" s="41" t="s">
        <v>32778</v>
      </c>
      <c r="N4064" s="41" t="s">
        <v>32779</v>
      </c>
      <c r="O4064" s="41" t="s">
        <v>32780</v>
      </c>
      <c r="P4064" s="41" t="s">
        <v>32781</v>
      </c>
      <c r="Q4064" s="41" t="s">
        <v>32782</v>
      </c>
      <c r="R4064" s="41" t="s">
        <v>32783</v>
      </c>
      <c r="S4064" s="41" t="s">
        <v>32784</v>
      </c>
    </row>
    <row r="4065" spans="1:19" x14ac:dyDescent="0.25">
      <c r="A4065" s="41" t="s">
        <v>23</v>
      </c>
      <c r="B4065" s="41" t="s">
        <v>32785</v>
      </c>
      <c r="D4065" s="41" t="s">
        <v>32786</v>
      </c>
      <c r="F4065" s="41" t="s">
        <v>32787</v>
      </c>
      <c r="G4065" s="41" t="s">
        <v>32788</v>
      </c>
      <c r="H4065" s="41" t="s">
        <v>32789</v>
      </c>
      <c r="I4065" s="41" t="s">
        <v>32790</v>
      </c>
      <c r="J4065" s="41" t="s">
        <v>32791</v>
      </c>
      <c r="K4065" s="41" t="s">
        <v>32792</v>
      </c>
      <c r="L4065" s="41" t="s">
        <v>891</v>
      </c>
    </row>
    <row r="4066" spans="1:19" x14ac:dyDescent="0.25">
      <c r="A4066" s="41" t="s">
        <v>23</v>
      </c>
      <c r="B4066" s="41" t="s">
        <v>32793</v>
      </c>
      <c r="D4066" s="41" t="s">
        <v>32794</v>
      </c>
      <c r="F4066" s="41" t="s">
        <v>32795</v>
      </c>
      <c r="G4066" s="41" t="s">
        <v>32796</v>
      </c>
      <c r="H4066" s="41" t="s">
        <v>32797</v>
      </c>
      <c r="I4066" s="41" t="s">
        <v>32798</v>
      </c>
      <c r="J4066" s="41" t="s">
        <v>32799</v>
      </c>
      <c r="K4066" s="41" t="s">
        <v>32800</v>
      </c>
      <c r="L4066" s="41" t="s">
        <v>1076</v>
      </c>
    </row>
    <row r="4067" spans="1:19" x14ac:dyDescent="0.25">
      <c r="A4067" s="41" t="s">
        <v>23</v>
      </c>
      <c r="B4067" s="41" t="s">
        <v>32801</v>
      </c>
      <c r="D4067" s="41" t="s">
        <v>32802</v>
      </c>
      <c r="F4067" s="41" t="s">
        <v>32803</v>
      </c>
      <c r="G4067" s="41" t="s">
        <v>32804</v>
      </c>
      <c r="H4067" s="41" t="s">
        <v>32805</v>
      </c>
      <c r="I4067" s="41" t="s">
        <v>32806</v>
      </c>
      <c r="J4067" s="41" t="s">
        <v>32807</v>
      </c>
      <c r="K4067" s="41" t="s">
        <v>32808</v>
      </c>
      <c r="L4067" s="41" t="s">
        <v>1085</v>
      </c>
    </row>
    <row r="4068" spans="1:19" x14ac:dyDescent="0.25">
      <c r="A4068" s="41" t="s">
        <v>23</v>
      </c>
      <c r="B4068" s="41" t="s">
        <v>32809</v>
      </c>
      <c r="D4068" s="41" t="s">
        <v>32810</v>
      </c>
      <c r="F4068" s="41" t="s">
        <v>32811</v>
      </c>
      <c r="G4068" s="41" t="s">
        <v>32812</v>
      </c>
      <c r="H4068" s="41" t="s">
        <v>32813</v>
      </c>
      <c r="I4068" s="41" t="s">
        <v>32814</v>
      </c>
      <c r="J4068" s="41" t="s">
        <v>32815</v>
      </c>
      <c r="K4068" s="41" t="s">
        <v>32816</v>
      </c>
      <c r="L4068" s="41" t="s">
        <v>1094</v>
      </c>
    </row>
    <row r="4069" spans="1:19" x14ac:dyDescent="0.25">
      <c r="A4069" s="41" t="s">
        <v>908</v>
      </c>
      <c r="B4069" s="41" t="s">
        <v>32817</v>
      </c>
    </row>
    <row r="4070" spans="1:19" x14ac:dyDescent="0.25">
      <c r="A4070" s="41" t="s">
        <v>23</v>
      </c>
      <c r="B4070" s="41" t="s">
        <v>32818</v>
      </c>
      <c r="F4070" s="41" t="s">
        <v>32819</v>
      </c>
      <c r="G4070" s="41" t="s">
        <v>32820</v>
      </c>
      <c r="H4070" s="41" t="s">
        <v>32821</v>
      </c>
      <c r="I4070" s="41" t="s">
        <v>32822</v>
      </c>
      <c r="J4070" s="41" t="s">
        <v>32823</v>
      </c>
      <c r="L4070" s="41" t="s">
        <v>4</v>
      </c>
    </row>
    <row r="4071" spans="1:19" x14ac:dyDescent="0.25">
      <c r="A4071" s="41" t="s">
        <v>23</v>
      </c>
      <c r="B4071" s="41" t="s">
        <v>32824</v>
      </c>
      <c r="D4071" s="41" t="s">
        <v>32657</v>
      </c>
      <c r="E4071" s="41" t="s">
        <v>32826</v>
      </c>
      <c r="F4071" s="41" t="s">
        <v>32827</v>
      </c>
      <c r="G4071" s="41" t="s">
        <v>32828</v>
      </c>
      <c r="H4071" s="41" t="s">
        <v>32829</v>
      </c>
      <c r="I4071" s="41" t="s">
        <v>32830</v>
      </c>
      <c r="J4071" s="41" t="s">
        <v>32831</v>
      </c>
      <c r="K4071" s="41" t="s">
        <v>32832</v>
      </c>
      <c r="L4071" s="41" t="s">
        <v>32833</v>
      </c>
      <c r="M4071" s="41" t="s">
        <v>32834</v>
      </c>
      <c r="N4071" s="41" t="s">
        <v>32835</v>
      </c>
      <c r="O4071" s="41" t="s">
        <v>32836</v>
      </c>
      <c r="P4071" s="41" t="s">
        <v>32837</v>
      </c>
      <c r="Q4071" s="41" t="s">
        <v>32838</v>
      </c>
      <c r="R4071" s="41" t="s">
        <v>32839</v>
      </c>
      <c r="S4071" s="41" t="s">
        <v>32840</v>
      </c>
    </row>
    <row r="4072" spans="1:19" x14ac:dyDescent="0.25">
      <c r="A4072" s="41" t="s">
        <v>23</v>
      </c>
      <c r="B4072" s="41" t="s">
        <v>32841</v>
      </c>
      <c r="D4072" s="41" t="s">
        <v>32842</v>
      </c>
      <c r="F4072" s="41" t="s">
        <v>32843</v>
      </c>
      <c r="G4072" s="41" t="s">
        <v>32844</v>
      </c>
      <c r="H4072" s="41" t="s">
        <v>32845</v>
      </c>
      <c r="I4072" s="41" t="s">
        <v>32846</v>
      </c>
      <c r="J4072" s="41" t="s">
        <v>32847</v>
      </c>
      <c r="K4072" s="41" t="s">
        <v>32848</v>
      </c>
      <c r="L4072" s="41" t="s">
        <v>891</v>
      </c>
    </row>
    <row r="4073" spans="1:19" x14ac:dyDescent="0.25">
      <c r="A4073" s="41" t="s">
        <v>23</v>
      </c>
      <c r="B4073" s="41" t="s">
        <v>32849</v>
      </c>
      <c r="D4073" s="41" t="s">
        <v>32850</v>
      </c>
      <c r="F4073" s="41" t="s">
        <v>32851</v>
      </c>
      <c r="G4073" s="41" t="s">
        <v>32852</v>
      </c>
      <c r="H4073" s="41" t="s">
        <v>32853</v>
      </c>
      <c r="I4073" s="41" t="s">
        <v>32854</v>
      </c>
      <c r="J4073" s="41" t="s">
        <v>32855</v>
      </c>
      <c r="K4073" s="41" t="s">
        <v>32856</v>
      </c>
      <c r="L4073" s="41" t="s">
        <v>1076</v>
      </c>
    </row>
    <row r="4074" spans="1:19" x14ac:dyDescent="0.25">
      <c r="A4074" s="41" t="s">
        <v>23</v>
      </c>
      <c r="B4074" s="41" t="s">
        <v>32857</v>
      </c>
      <c r="D4074" s="41" t="s">
        <v>32858</v>
      </c>
      <c r="F4074" s="41" t="s">
        <v>32859</v>
      </c>
      <c r="G4074" s="41" t="s">
        <v>32860</v>
      </c>
      <c r="H4074" s="41" t="s">
        <v>32861</v>
      </c>
      <c r="I4074" s="41" t="s">
        <v>32862</v>
      </c>
      <c r="J4074" s="41" t="s">
        <v>32863</v>
      </c>
      <c r="K4074" s="41" t="s">
        <v>32864</v>
      </c>
      <c r="L4074" s="41" t="s">
        <v>1085</v>
      </c>
    </row>
    <row r="4075" spans="1:19" x14ac:dyDescent="0.25">
      <c r="A4075" s="41" t="s">
        <v>23</v>
      </c>
      <c r="B4075" s="41" t="s">
        <v>32865</v>
      </c>
      <c r="D4075" s="41" t="s">
        <v>32866</v>
      </c>
      <c r="F4075" s="41" t="s">
        <v>32867</v>
      </c>
      <c r="G4075" s="41" t="s">
        <v>32868</v>
      </c>
      <c r="H4075" s="41" t="s">
        <v>32869</v>
      </c>
      <c r="I4075" s="41" t="s">
        <v>32870</v>
      </c>
      <c r="J4075" s="41" t="s">
        <v>32871</v>
      </c>
      <c r="K4075" s="41" t="s">
        <v>32872</v>
      </c>
      <c r="L4075" s="41" t="s">
        <v>1094</v>
      </c>
    </row>
    <row r="4076" spans="1:19" x14ac:dyDescent="0.25">
      <c r="A4076" s="41" t="s">
        <v>908</v>
      </c>
      <c r="B4076" s="41" t="s">
        <v>32873</v>
      </c>
    </row>
    <row r="4077" spans="1:19" x14ac:dyDescent="0.25">
      <c r="A4077" s="41" t="s">
        <v>23</v>
      </c>
      <c r="B4077" s="41" t="s">
        <v>32874</v>
      </c>
      <c r="F4077" s="41" t="s">
        <v>32875</v>
      </c>
      <c r="G4077" s="41" t="s">
        <v>32876</v>
      </c>
      <c r="H4077" s="41" t="s">
        <v>32877</v>
      </c>
      <c r="I4077" s="41" t="s">
        <v>32878</v>
      </c>
      <c r="J4077" s="41" t="s">
        <v>32879</v>
      </c>
      <c r="L4077" s="41" t="s">
        <v>4</v>
      </c>
    </row>
    <row r="4078" spans="1:19" x14ac:dyDescent="0.25">
      <c r="A4078" s="41" t="s">
        <v>23</v>
      </c>
      <c r="B4078" s="41" t="s">
        <v>32880</v>
      </c>
      <c r="D4078" s="41" t="s">
        <v>32713</v>
      </c>
      <c r="E4078" s="41" t="s">
        <v>32882</v>
      </c>
      <c r="F4078" s="41" t="s">
        <v>32883</v>
      </c>
      <c r="G4078" s="41" t="s">
        <v>32884</v>
      </c>
      <c r="H4078" s="41" t="s">
        <v>32885</v>
      </c>
      <c r="I4078" s="41" t="s">
        <v>32886</v>
      </c>
      <c r="J4078" s="41" t="s">
        <v>32887</v>
      </c>
      <c r="K4078" s="41" t="s">
        <v>32888</v>
      </c>
      <c r="L4078" s="41" t="s">
        <v>32889</v>
      </c>
      <c r="M4078" s="41" t="s">
        <v>32890</v>
      </c>
      <c r="N4078" s="41" t="s">
        <v>32891</v>
      </c>
      <c r="O4078" s="41" t="s">
        <v>32892</v>
      </c>
      <c r="P4078" s="41" t="s">
        <v>32893</v>
      </c>
      <c r="Q4078" s="41" t="s">
        <v>32894</v>
      </c>
      <c r="R4078" s="41" t="s">
        <v>32895</v>
      </c>
      <c r="S4078" s="41" t="s">
        <v>32896</v>
      </c>
    </row>
    <row r="4079" spans="1:19" x14ac:dyDescent="0.25">
      <c r="A4079" s="41" t="s">
        <v>23</v>
      </c>
      <c r="B4079" s="41" t="s">
        <v>32897</v>
      </c>
      <c r="D4079" s="41" t="s">
        <v>32898</v>
      </c>
      <c r="F4079" s="41" t="s">
        <v>32899</v>
      </c>
      <c r="G4079" s="41" t="s">
        <v>32900</v>
      </c>
      <c r="H4079" s="41" t="s">
        <v>32901</v>
      </c>
      <c r="I4079" s="41" t="s">
        <v>32902</v>
      </c>
      <c r="J4079" s="41" t="s">
        <v>32903</v>
      </c>
      <c r="K4079" s="41" t="s">
        <v>32904</v>
      </c>
      <c r="L4079" s="41" t="s">
        <v>891</v>
      </c>
    </row>
    <row r="4080" spans="1:19" x14ac:dyDescent="0.25">
      <c r="A4080" s="41" t="s">
        <v>23</v>
      </c>
      <c r="B4080" s="41" t="s">
        <v>32905</v>
      </c>
      <c r="D4080" s="41" t="s">
        <v>32906</v>
      </c>
      <c r="F4080" s="41" t="s">
        <v>32907</v>
      </c>
      <c r="G4080" s="41" t="s">
        <v>32908</v>
      </c>
      <c r="H4080" s="41" t="s">
        <v>32909</v>
      </c>
      <c r="I4080" s="41" t="s">
        <v>32910</v>
      </c>
      <c r="J4080" s="41" t="s">
        <v>32911</v>
      </c>
      <c r="K4080" s="41" t="s">
        <v>32912</v>
      </c>
      <c r="L4080" s="41" t="s">
        <v>1076</v>
      </c>
    </row>
    <row r="4081" spans="1:19" x14ac:dyDescent="0.25">
      <c r="A4081" s="41" t="s">
        <v>23</v>
      </c>
      <c r="B4081" s="41" t="s">
        <v>32913</v>
      </c>
      <c r="D4081" s="41" t="s">
        <v>32914</v>
      </c>
      <c r="F4081" s="41" t="s">
        <v>32915</v>
      </c>
      <c r="G4081" s="41" t="s">
        <v>32916</v>
      </c>
      <c r="H4081" s="41" t="s">
        <v>32917</v>
      </c>
      <c r="I4081" s="41" t="s">
        <v>32918</v>
      </c>
      <c r="J4081" s="41" t="s">
        <v>32919</v>
      </c>
      <c r="K4081" s="41" t="s">
        <v>32920</v>
      </c>
      <c r="L4081" s="41" t="s">
        <v>1085</v>
      </c>
    </row>
    <row r="4082" spans="1:19" x14ac:dyDescent="0.25">
      <c r="A4082" s="41" t="s">
        <v>23</v>
      </c>
      <c r="B4082" s="41" t="s">
        <v>32921</v>
      </c>
      <c r="D4082" s="41" t="s">
        <v>32922</v>
      </c>
      <c r="F4082" s="41" t="s">
        <v>32923</v>
      </c>
      <c r="G4082" s="41" t="s">
        <v>32924</v>
      </c>
      <c r="H4082" s="41" t="s">
        <v>32925</v>
      </c>
      <c r="I4082" s="41" t="s">
        <v>32926</v>
      </c>
      <c r="J4082" s="41" t="s">
        <v>32927</v>
      </c>
      <c r="K4082" s="41" t="s">
        <v>32928</v>
      </c>
      <c r="L4082" s="41" t="s">
        <v>1094</v>
      </c>
    </row>
    <row r="4083" spans="1:19" x14ac:dyDescent="0.25">
      <c r="A4083" s="41" t="s">
        <v>908</v>
      </c>
      <c r="B4083" s="41" t="s">
        <v>32929</v>
      </c>
    </row>
    <row r="4084" spans="1:19" x14ac:dyDescent="0.25">
      <c r="A4084" s="41" t="s">
        <v>23</v>
      </c>
      <c r="B4084" s="41" t="s">
        <v>32930</v>
      </c>
      <c r="F4084" s="41" t="s">
        <v>32931</v>
      </c>
      <c r="G4084" s="41" t="s">
        <v>32932</v>
      </c>
      <c r="H4084" s="41" t="s">
        <v>32933</v>
      </c>
      <c r="I4084" s="41" t="s">
        <v>32934</v>
      </c>
      <c r="J4084" s="41" t="s">
        <v>32935</v>
      </c>
      <c r="L4084" s="41" t="s">
        <v>4</v>
      </c>
    </row>
    <row r="4085" spans="1:19" x14ac:dyDescent="0.25">
      <c r="A4085" s="41" t="s">
        <v>23</v>
      </c>
      <c r="B4085" s="41" t="s">
        <v>32936</v>
      </c>
      <c r="D4085" s="41" t="s">
        <v>32769</v>
      </c>
      <c r="E4085" s="41" t="s">
        <v>32938</v>
      </c>
      <c r="F4085" s="41" t="s">
        <v>32939</v>
      </c>
      <c r="G4085" s="41" t="s">
        <v>32940</v>
      </c>
      <c r="H4085" s="41" t="s">
        <v>32941</v>
      </c>
      <c r="I4085" s="41" t="s">
        <v>32942</v>
      </c>
      <c r="J4085" s="41" t="s">
        <v>32943</v>
      </c>
      <c r="K4085" s="41" t="s">
        <v>32944</v>
      </c>
      <c r="L4085" s="41" t="s">
        <v>32945</v>
      </c>
      <c r="M4085" s="41" t="s">
        <v>32946</v>
      </c>
      <c r="N4085" s="41" t="s">
        <v>32947</v>
      </c>
      <c r="O4085" s="41" t="s">
        <v>32948</v>
      </c>
      <c r="P4085" s="41" t="s">
        <v>32949</v>
      </c>
      <c r="Q4085" s="41" t="s">
        <v>32950</v>
      </c>
      <c r="R4085" s="41" t="s">
        <v>32951</v>
      </c>
      <c r="S4085" s="41" t="s">
        <v>32952</v>
      </c>
    </row>
    <row r="4086" spans="1:19" x14ac:dyDescent="0.25">
      <c r="A4086" s="41" t="s">
        <v>23</v>
      </c>
      <c r="B4086" s="41" t="s">
        <v>32953</v>
      </c>
      <c r="D4086" s="41" t="s">
        <v>32954</v>
      </c>
      <c r="F4086" s="41" t="s">
        <v>32955</v>
      </c>
      <c r="G4086" s="41" t="s">
        <v>32956</v>
      </c>
      <c r="H4086" s="41" t="s">
        <v>32957</v>
      </c>
      <c r="I4086" s="41" t="s">
        <v>32958</v>
      </c>
      <c r="J4086" s="41" t="s">
        <v>32959</v>
      </c>
      <c r="K4086" s="41" t="s">
        <v>32960</v>
      </c>
      <c r="L4086" s="41" t="s">
        <v>891</v>
      </c>
    </row>
    <row r="4087" spans="1:19" x14ac:dyDescent="0.25">
      <c r="A4087" s="41" t="s">
        <v>23</v>
      </c>
      <c r="B4087" s="41" t="s">
        <v>32961</v>
      </c>
      <c r="D4087" s="41" t="s">
        <v>32962</v>
      </c>
      <c r="F4087" s="41" t="s">
        <v>32963</v>
      </c>
      <c r="G4087" s="41" t="s">
        <v>32964</v>
      </c>
      <c r="H4087" s="41" t="s">
        <v>32965</v>
      </c>
      <c r="I4087" s="41" t="s">
        <v>32966</v>
      </c>
      <c r="J4087" s="41" t="s">
        <v>32967</v>
      </c>
      <c r="K4087" s="41" t="s">
        <v>32968</v>
      </c>
      <c r="L4087" s="41" t="s">
        <v>1076</v>
      </c>
    </row>
    <row r="4088" spans="1:19" x14ac:dyDescent="0.25">
      <c r="A4088" s="41" t="s">
        <v>23</v>
      </c>
      <c r="B4088" s="41" t="s">
        <v>32969</v>
      </c>
      <c r="D4088" s="41" t="s">
        <v>32970</v>
      </c>
      <c r="F4088" s="41" t="s">
        <v>32971</v>
      </c>
      <c r="G4088" s="41" t="s">
        <v>32972</v>
      </c>
      <c r="H4088" s="41" t="s">
        <v>32973</v>
      </c>
      <c r="I4088" s="41" t="s">
        <v>32974</v>
      </c>
      <c r="J4088" s="41" t="s">
        <v>32975</v>
      </c>
      <c r="K4088" s="41" t="s">
        <v>32976</v>
      </c>
      <c r="L4088" s="41" t="s">
        <v>1085</v>
      </c>
    </row>
    <row r="4089" spans="1:19" x14ac:dyDescent="0.25">
      <c r="A4089" s="41" t="s">
        <v>23</v>
      </c>
      <c r="B4089" s="41" t="s">
        <v>32977</v>
      </c>
      <c r="D4089" s="41" t="s">
        <v>32978</v>
      </c>
      <c r="F4089" s="41" t="s">
        <v>32979</v>
      </c>
      <c r="G4089" s="41" t="s">
        <v>32980</v>
      </c>
      <c r="H4089" s="41" t="s">
        <v>32981</v>
      </c>
      <c r="I4089" s="41" t="s">
        <v>32982</v>
      </c>
      <c r="J4089" s="41" t="s">
        <v>32983</v>
      </c>
      <c r="K4089" s="41" t="s">
        <v>32984</v>
      </c>
      <c r="L4089" s="41" t="s">
        <v>1094</v>
      </c>
    </row>
    <row r="4090" spans="1:19" x14ac:dyDescent="0.25">
      <c r="A4090" s="41" t="s">
        <v>908</v>
      </c>
      <c r="B4090" s="41" t="s">
        <v>32985</v>
      </c>
    </row>
    <row r="4091" spans="1:19" x14ac:dyDescent="0.25">
      <c r="A4091" s="41" t="s">
        <v>23</v>
      </c>
      <c r="B4091" s="41" t="s">
        <v>32986</v>
      </c>
      <c r="F4091" s="41" t="s">
        <v>32987</v>
      </c>
      <c r="G4091" s="41" t="s">
        <v>32988</v>
      </c>
      <c r="H4091" s="41" t="s">
        <v>32989</v>
      </c>
      <c r="I4091" s="41" t="s">
        <v>32990</v>
      </c>
      <c r="J4091" s="41" t="s">
        <v>32991</v>
      </c>
      <c r="L4091" s="41" t="s">
        <v>4</v>
      </c>
    </row>
    <row r="4092" spans="1:19" x14ac:dyDescent="0.25">
      <c r="A4092" s="41" t="s">
        <v>23</v>
      </c>
      <c r="B4092" s="41" t="s">
        <v>32992</v>
      </c>
      <c r="D4092" s="41" t="s">
        <v>32825</v>
      </c>
      <c r="E4092" s="41" t="s">
        <v>32994</v>
      </c>
      <c r="F4092" s="41" t="s">
        <v>32995</v>
      </c>
      <c r="G4092" s="41" t="s">
        <v>32996</v>
      </c>
      <c r="H4092" s="41" t="s">
        <v>32997</v>
      </c>
      <c r="I4092" s="41" t="s">
        <v>32998</v>
      </c>
      <c r="J4092" s="41" t="s">
        <v>32999</v>
      </c>
      <c r="K4092" s="41" t="s">
        <v>33000</v>
      </c>
      <c r="L4092" s="41" t="s">
        <v>33001</v>
      </c>
      <c r="M4092" s="41" t="s">
        <v>33002</v>
      </c>
      <c r="N4092" s="41" t="s">
        <v>33003</v>
      </c>
      <c r="O4092" s="41" t="s">
        <v>33004</v>
      </c>
      <c r="P4092" s="41" t="s">
        <v>33005</v>
      </c>
      <c r="Q4092" s="41" t="s">
        <v>33006</v>
      </c>
      <c r="R4092" s="41" t="s">
        <v>33007</v>
      </c>
      <c r="S4092" s="41" t="s">
        <v>33008</v>
      </c>
    </row>
    <row r="4093" spans="1:19" x14ac:dyDescent="0.25">
      <c r="A4093" s="41" t="s">
        <v>23</v>
      </c>
      <c r="B4093" s="41" t="s">
        <v>33009</v>
      </c>
      <c r="D4093" s="41" t="s">
        <v>33010</v>
      </c>
      <c r="F4093" s="41" t="s">
        <v>33011</v>
      </c>
      <c r="G4093" s="41" t="s">
        <v>33012</v>
      </c>
      <c r="H4093" s="41" t="s">
        <v>33013</v>
      </c>
      <c r="I4093" s="41" t="s">
        <v>33014</v>
      </c>
      <c r="J4093" s="41" t="s">
        <v>33015</v>
      </c>
      <c r="K4093" s="41" t="s">
        <v>33016</v>
      </c>
      <c r="L4093" s="41" t="s">
        <v>891</v>
      </c>
    </row>
    <row r="4094" spans="1:19" x14ac:dyDescent="0.25">
      <c r="A4094" s="41" t="s">
        <v>23</v>
      </c>
      <c r="B4094" s="41" t="s">
        <v>33017</v>
      </c>
      <c r="D4094" s="41" t="s">
        <v>33018</v>
      </c>
      <c r="F4094" s="41" t="s">
        <v>33019</v>
      </c>
      <c r="G4094" s="41" t="s">
        <v>33020</v>
      </c>
      <c r="H4094" s="41" t="s">
        <v>33021</v>
      </c>
      <c r="I4094" s="41" t="s">
        <v>33022</v>
      </c>
      <c r="J4094" s="41" t="s">
        <v>33023</v>
      </c>
      <c r="K4094" s="41" t="s">
        <v>33024</v>
      </c>
      <c r="L4094" s="41" t="s">
        <v>1076</v>
      </c>
    </row>
    <row r="4095" spans="1:19" x14ac:dyDescent="0.25">
      <c r="A4095" s="41" t="s">
        <v>23</v>
      </c>
      <c r="B4095" s="41" t="s">
        <v>33025</v>
      </c>
      <c r="D4095" s="41" t="s">
        <v>33026</v>
      </c>
      <c r="F4095" s="41" t="s">
        <v>33027</v>
      </c>
      <c r="G4095" s="41" t="s">
        <v>33028</v>
      </c>
      <c r="H4095" s="41" t="s">
        <v>33029</v>
      </c>
      <c r="I4095" s="41" t="s">
        <v>33030</v>
      </c>
      <c r="J4095" s="41" t="s">
        <v>33031</v>
      </c>
      <c r="K4095" s="41" t="s">
        <v>33032</v>
      </c>
      <c r="L4095" s="41" t="s">
        <v>1085</v>
      </c>
    </row>
    <row r="4096" spans="1:19" x14ac:dyDescent="0.25">
      <c r="A4096" s="41" t="s">
        <v>23</v>
      </c>
      <c r="B4096" s="41" t="s">
        <v>33033</v>
      </c>
      <c r="D4096" s="41" t="s">
        <v>33034</v>
      </c>
      <c r="F4096" s="41" t="s">
        <v>33035</v>
      </c>
      <c r="G4096" s="41" t="s">
        <v>33036</v>
      </c>
      <c r="H4096" s="41" t="s">
        <v>33037</v>
      </c>
      <c r="I4096" s="41" t="s">
        <v>33038</v>
      </c>
      <c r="J4096" s="41" t="s">
        <v>33039</v>
      </c>
      <c r="K4096" s="41" t="s">
        <v>33040</v>
      </c>
      <c r="L4096" s="41" t="s">
        <v>1094</v>
      </c>
    </row>
    <row r="4097" spans="1:19" x14ac:dyDescent="0.25">
      <c r="A4097" s="41" t="s">
        <v>908</v>
      </c>
      <c r="B4097" s="41" t="s">
        <v>33041</v>
      </c>
    </row>
    <row r="4098" spans="1:19" x14ac:dyDescent="0.25">
      <c r="A4098" s="41" t="s">
        <v>23</v>
      </c>
      <c r="B4098" s="41" t="s">
        <v>33042</v>
      </c>
      <c r="F4098" s="41" t="s">
        <v>33043</v>
      </c>
      <c r="G4098" s="41" t="s">
        <v>33044</v>
      </c>
      <c r="H4098" s="41" t="s">
        <v>33045</v>
      </c>
      <c r="I4098" s="41" t="s">
        <v>33046</v>
      </c>
      <c r="J4098" s="41" t="s">
        <v>33047</v>
      </c>
      <c r="L4098" s="41" t="s">
        <v>4</v>
      </c>
    </row>
    <row r="4099" spans="1:19" x14ac:dyDescent="0.25">
      <c r="A4099" s="41" t="s">
        <v>23</v>
      </c>
      <c r="B4099" s="41" t="s">
        <v>33048</v>
      </c>
      <c r="D4099" s="41" t="s">
        <v>32881</v>
      </c>
      <c r="E4099" s="41" t="s">
        <v>33050</v>
      </c>
      <c r="F4099" s="41" t="s">
        <v>33051</v>
      </c>
      <c r="G4099" s="41" t="s">
        <v>33052</v>
      </c>
      <c r="H4099" s="41" t="s">
        <v>33053</v>
      </c>
      <c r="I4099" s="41" t="s">
        <v>33054</v>
      </c>
      <c r="J4099" s="41" t="s">
        <v>33055</v>
      </c>
      <c r="K4099" s="41" t="s">
        <v>33056</v>
      </c>
      <c r="L4099" s="41" t="s">
        <v>33057</v>
      </c>
      <c r="M4099" s="41" t="s">
        <v>33058</v>
      </c>
      <c r="N4099" s="41" t="s">
        <v>33059</v>
      </c>
      <c r="O4099" s="41" t="s">
        <v>33060</v>
      </c>
      <c r="P4099" s="41" t="s">
        <v>33061</v>
      </c>
      <c r="Q4099" s="41" t="s">
        <v>33062</v>
      </c>
      <c r="R4099" s="41" t="s">
        <v>33063</v>
      </c>
      <c r="S4099" s="41" t="s">
        <v>33064</v>
      </c>
    </row>
    <row r="4100" spans="1:19" x14ac:dyDescent="0.25">
      <c r="A4100" s="41" t="s">
        <v>23</v>
      </c>
      <c r="B4100" s="41" t="s">
        <v>33065</v>
      </c>
      <c r="D4100" s="41" t="s">
        <v>33066</v>
      </c>
      <c r="F4100" s="41" t="s">
        <v>33067</v>
      </c>
      <c r="G4100" s="41" t="s">
        <v>33068</v>
      </c>
      <c r="H4100" s="41" t="s">
        <v>33069</v>
      </c>
      <c r="I4100" s="41" t="s">
        <v>33070</v>
      </c>
      <c r="J4100" s="41" t="s">
        <v>33071</v>
      </c>
      <c r="K4100" s="41" t="s">
        <v>33072</v>
      </c>
      <c r="L4100" s="41" t="s">
        <v>891</v>
      </c>
    </row>
    <row r="4101" spans="1:19" x14ac:dyDescent="0.25">
      <c r="A4101" s="41" t="s">
        <v>23</v>
      </c>
      <c r="B4101" s="41" t="s">
        <v>33073</v>
      </c>
      <c r="D4101" s="41" t="s">
        <v>33074</v>
      </c>
      <c r="F4101" s="41" t="s">
        <v>33075</v>
      </c>
      <c r="G4101" s="41" t="s">
        <v>33076</v>
      </c>
      <c r="H4101" s="41" t="s">
        <v>33077</v>
      </c>
      <c r="I4101" s="41" t="s">
        <v>33078</v>
      </c>
      <c r="J4101" s="41" t="s">
        <v>33079</v>
      </c>
      <c r="K4101" s="41" t="s">
        <v>33080</v>
      </c>
      <c r="L4101" s="41" t="s">
        <v>1076</v>
      </c>
    </row>
    <row r="4102" spans="1:19" x14ac:dyDescent="0.25">
      <c r="A4102" s="41" t="s">
        <v>23</v>
      </c>
      <c r="B4102" s="41" t="s">
        <v>33081</v>
      </c>
      <c r="D4102" s="41" t="s">
        <v>33082</v>
      </c>
      <c r="F4102" s="41" t="s">
        <v>33083</v>
      </c>
      <c r="G4102" s="41" t="s">
        <v>33084</v>
      </c>
      <c r="H4102" s="41" t="s">
        <v>33085</v>
      </c>
      <c r="I4102" s="41" t="s">
        <v>33086</v>
      </c>
      <c r="J4102" s="41" t="s">
        <v>33087</v>
      </c>
      <c r="K4102" s="41" t="s">
        <v>33088</v>
      </c>
      <c r="L4102" s="41" t="s">
        <v>1085</v>
      </c>
    </row>
    <row r="4103" spans="1:19" x14ac:dyDescent="0.25">
      <c r="A4103" s="41" t="s">
        <v>23</v>
      </c>
      <c r="B4103" s="41" t="s">
        <v>33089</v>
      </c>
      <c r="D4103" s="41" t="s">
        <v>33090</v>
      </c>
      <c r="F4103" s="41" t="s">
        <v>33091</v>
      </c>
      <c r="G4103" s="41" t="s">
        <v>33092</v>
      </c>
      <c r="H4103" s="41" t="s">
        <v>33093</v>
      </c>
      <c r="I4103" s="41" t="s">
        <v>33094</v>
      </c>
      <c r="J4103" s="41" t="s">
        <v>33095</v>
      </c>
      <c r="K4103" s="41" t="s">
        <v>33096</v>
      </c>
      <c r="L4103" s="41" t="s">
        <v>1094</v>
      </c>
    </row>
    <row r="4104" spans="1:19" x14ac:dyDescent="0.25">
      <c r="A4104" s="41" t="s">
        <v>908</v>
      </c>
      <c r="B4104" s="41" t="s">
        <v>33097</v>
      </c>
    </row>
    <row r="4105" spans="1:19" x14ac:dyDescent="0.25">
      <c r="A4105" s="41" t="s">
        <v>23</v>
      </c>
      <c r="B4105" s="41" t="s">
        <v>33098</v>
      </c>
      <c r="F4105" s="41" t="s">
        <v>33099</v>
      </c>
      <c r="G4105" s="41" t="s">
        <v>33100</v>
      </c>
      <c r="H4105" s="41" t="s">
        <v>33101</v>
      </c>
      <c r="I4105" s="41" t="s">
        <v>33102</v>
      </c>
      <c r="J4105" s="41" t="s">
        <v>33103</v>
      </c>
      <c r="L4105" s="41" t="s">
        <v>4</v>
      </c>
    </row>
    <row r="4106" spans="1:19" x14ac:dyDescent="0.25">
      <c r="A4106" s="41" t="s">
        <v>23</v>
      </c>
      <c r="B4106" s="41" t="s">
        <v>33104</v>
      </c>
      <c r="D4106" s="41" t="s">
        <v>32937</v>
      </c>
      <c r="E4106" s="41" t="s">
        <v>33106</v>
      </c>
      <c r="F4106" s="41" t="s">
        <v>33107</v>
      </c>
      <c r="G4106" s="41" t="s">
        <v>33108</v>
      </c>
      <c r="H4106" s="41" t="s">
        <v>33109</v>
      </c>
      <c r="I4106" s="41" t="s">
        <v>33110</v>
      </c>
      <c r="J4106" s="41" t="s">
        <v>33111</v>
      </c>
      <c r="K4106" s="41" t="s">
        <v>33112</v>
      </c>
      <c r="L4106" s="41" t="s">
        <v>33113</v>
      </c>
      <c r="M4106" s="41" t="s">
        <v>33114</v>
      </c>
      <c r="N4106" s="41" t="s">
        <v>33115</v>
      </c>
      <c r="O4106" s="41" t="s">
        <v>33116</v>
      </c>
      <c r="P4106" s="41" t="s">
        <v>33117</v>
      </c>
      <c r="Q4106" s="41" t="s">
        <v>33118</v>
      </c>
      <c r="R4106" s="41" t="s">
        <v>33119</v>
      </c>
      <c r="S4106" s="41" t="s">
        <v>33120</v>
      </c>
    </row>
    <row r="4107" spans="1:19" x14ac:dyDescent="0.25">
      <c r="A4107" s="41" t="s">
        <v>23</v>
      </c>
      <c r="B4107" s="41" t="s">
        <v>33121</v>
      </c>
      <c r="D4107" s="41" t="s">
        <v>33122</v>
      </c>
      <c r="F4107" s="41" t="s">
        <v>33123</v>
      </c>
      <c r="G4107" s="41" t="s">
        <v>33124</v>
      </c>
      <c r="H4107" s="41" t="s">
        <v>33125</v>
      </c>
      <c r="I4107" s="41" t="s">
        <v>33126</v>
      </c>
      <c r="J4107" s="41" t="s">
        <v>33127</v>
      </c>
      <c r="K4107" s="41" t="s">
        <v>33128</v>
      </c>
      <c r="L4107" s="41" t="s">
        <v>891</v>
      </c>
    </row>
    <row r="4108" spans="1:19" x14ac:dyDescent="0.25">
      <c r="A4108" s="41" t="s">
        <v>23</v>
      </c>
      <c r="B4108" s="41" t="s">
        <v>33129</v>
      </c>
      <c r="D4108" s="41" t="s">
        <v>33130</v>
      </c>
      <c r="F4108" s="41" t="s">
        <v>33131</v>
      </c>
      <c r="G4108" s="41" t="s">
        <v>33132</v>
      </c>
      <c r="H4108" s="41" t="s">
        <v>33133</v>
      </c>
      <c r="I4108" s="41" t="s">
        <v>33134</v>
      </c>
      <c r="J4108" s="41" t="s">
        <v>33135</v>
      </c>
      <c r="K4108" s="41" t="s">
        <v>33136</v>
      </c>
      <c r="L4108" s="41" t="s">
        <v>1076</v>
      </c>
    </row>
    <row r="4109" spans="1:19" x14ac:dyDescent="0.25">
      <c r="A4109" s="41" t="s">
        <v>23</v>
      </c>
      <c r="B4109" s="41" t="s">
        <v>33137</v>
      </c>
      <c r="D4109" s="41" t="s">
        <v>33138</v>
      </c>
      <c r="F4109" s="41" t="s">
        <v>33139</v>
      </c>
      <c r="G4109" s="41" t="s">
        <v>33140</v>
      </c>
      <c r="H4109" s="41" t="s">
        <v>33141</v>
      </c>
      <c r="I4109" s="41" t="s">
        <v>33142</v>
      </c>
      <c r="J4109" s="41" t="s">
        <v>33143</v>
      </c>
      <c r="K4109" s="41" t="s">
        <v>33144</v>
      </c>
      <c r="L4109" s="41" t="s">
        <v>1085</v>
      </c>
    </row>
    <row r="4110" spans="1:19" x14ac:dyDescent="0.25">
      <c r="A4110" s="41" t="s">
        <v>23</v>
      </c>
      <c r="B4110" s="41" t="s">
        <v>33145</v>
      </c>
      <c r="D4110" s="41" t="s">
        <v>33146</v>
      </c>
      <c r="F4110" s="41" t="s">
        <v>33147</v>
      </c>
      <c r="G4110" s="41" t="s">
        <v>33148</v>
      </c>
      <c r="H4110" s="41" t="s">
        <v>33149</v>
      </c>
      <c r="I4110" s="41" t="s">
        <v>33150</v>
      </c>
      <c r="J4110" s="41" t="s">
        <v>33151</v>
      </c>
      <c r="K4110" s="41" t="s">
        <v>33152</v>
      </c>
      <c r="L4110" s="41" t="s">
        <v>1094</v>
      </c>
    </row>
    <row r="4111" spans="1:19" x14ac:dyDescent="0.25">
      <c r="A4111" s="41" t="s">
        <v>908</v>
      </c>
      <c r="B4111" s="41" t="s">
        <v>33153</v>
      </c>
    </row>
    <row r="4112" spans="1:19" x14ac:dyDescent="0.25">
      <c r="A4112" s="41" t="s">
        <v>23</v>
      </c>
      <c r="B4112" s="41" t="s">
        <v>33154</v>
      </c>
      <c r="F4112" s="41" t="s">
        <v>33155</v>
      </c>
      <c r="G4112" s="41" t="s">
        <v>33156</v>
      </c>
      <c r="H4112" s="41" t="s">
        <v>33157</v>
      </c>
      <c r="I4112" s="41" t="s">
        <v>33158</v>
      </c>
      <c r="J4112" s="41" t="s">
        <v>33159</v>
      </c>
      <c r="L4112" s="41" t="s">
        <v>4</v>
      </c>
    </row>
    <row r="4113" spans="1:19" x14ac:dyDescent="0.25">
      <c r="A4113" s="41" t="s">
        <v>23</v>
      </c>
      <c r="B4113" s="41" t="s">
        <v>33160</v>
      </c>
      <c r="D4113" s="41" t="s">
        <v>32993</v>
      </c>
      <c r="E4113" s="41" t="s">
        <v>33161</v>
      </c>
      <c r="F4113" s="41" t="s">
        <v>33162</v>
      </c>
      <c r="G4113" s="41" t="s">
        <v>33163</v>
      </c>
      <c r="H4113" s="41" t="s">
        <v>33164</v>
      </c>
      <c r="I4113" s="41" t="s">
        <v>33165</v>
      </c>
      <c r="J4113" s="41" t="s">
        <v>33166</v>
      </c>
      <c r="K4113" s="41" t="s">
        <v>33167</v>
      </c>
      <c r="L4113" s="41" t="s">
        <v>33168</v>
      </c>
      <c r="M4113" s="41" t="s">
        <v>33169</v>
      </c>
      <c r="N4113" s="41" t="s">
        <v>33170</v>
      </c>
      <c r="O4113" s="41" t="s">
        <v>33171</v>
      </c>
      <c r="P4113" s="41" t="s">
        <v>33172</v>
      </c>
      <c r="Q4113" s="41" t="s">
        <v>33173</v>
      </c>
      <c r="R4113" s="41" t="s">
        <v>33174</v>
      </c>
      <c r="S4113" s="41" t="s">
        <v>33175</v>
      </c>
    </row>
    <row r="4114" spans="1:19" x14ac:dyDescent="0.25">
      <c r="A4114" s="41" t="s">
        <v>23</v>
      </c>
      <c r="B4114" s="41" t="s">
        <v>33176</v>
      </c>
      <c r="D4114" s="41" t="s">
        <v>33177</v>
      </c>
      <c r="F4114" s="41" t="s">
        <v>33178</v>
      </c>
      <c r="G4114" s="41" t="s">
        <v>33179</v>
      </c>
      <c r="H4114" s="41" t="s">
        <v>33180</v>
      </c>
      <c r="I4114" s="41" t="s">
        <v>33181</v>
      </c>
      <c r="J4114" s="41" t="s">
        <v>33182</v>
      </c>
      <c r="K4114" s="41" t="s">
        <v>33183</v>
      </c>
      <c r="L4114" s="41" t="s">
        <v>891</v>
      </c>
    </row>
    <row r="4115" spans="1:19" x14ac:dyDescent="0.25">
      <c r="A4115" s="41" t="s">
        <v>23</v>
      </c>
      <c r="B4115" s="41" t="s">
        <v>33184</v>
      </c>
      <c r="D4115" s="41" t="s">
        <v>33185</v>
      </c>
      <c r="F4115" s="41" t="s">
        <v>33186</v>
      </c>
      <c r="G4115" s="41" t="s">
        <v>33187</v>
      </c>
      <c r="H4115" s="41" t="s">
        <v>33188</v>
      </c>
      <c r="I4115" s="41" t="s">
        <v>33189</v>
      </c>
      <c r="J4115" s="41" t="s">
        <v>33190</v>
      </c>
      <c r="K4115" s="41" t="s">
        <v>33191</v>
      </c>
      <c r="L4115" s="41" t="s">
        <v>1076</v>
      </c>
    </row>
    <row r="4116" spans="1:19" x14ac:dyDescent="0.25">
      <c r="A4116" s="41" t="s">
        <v>23</v>
      </c>
      <c r="B4116" s="41" t="s">
        <v>33192</v>
      </c>
      <c r="D4116" s="41" t="s">
        <v>33193</v>
      </c>
      <c r="F4116" s="41" t="s">
        <v>33194</v>
      </c>
      <c r="G4116" s="41" t="s">
        <v>33195</v>
      </c>
      <c r="H4116" s="41" t="s">
        <v>33196</v>
      </c>
      <c r="I4116" s="41" t="s">
        <v>33197</v>
      </c>
      <c r="J4116" s="41" t="s">
        <v>33198</v>
      </c>
      <c r="K4116" s="41" t="s">
        <v>33199</v>
      </c>
      <c r="L4116" s="41" t="s">
        <v>1085</v>
      </c>
    </row>
    <row r="4117" spans="1:19" x14ac:dyDescent="0.25">
      <c r="A4117" s="41" t="s">
        <v>23</v>
      </c>
      <c r="B4117" s="41" t="s">
        <v>33200</v>
      </c>
      <c r="D4117" s="41" t="s">
        <v>33201</v>
      </c>
      <c r="F4117" s="41" t="s">
        <v>33202</v>
      </c>
      <c r="G4117" s="41" t="s">
        <v>33203</v>
      </c>
      <c r="H4117" s="41" t="s">
        <v>33204</v>
      </c>
      <c r="I4117" s="41" t="s">
        <v>33205</v>
      </c>
      <c r="J4117" s="41" t="s">
        <v>33206</v>
      </c>
      <c r="K4117" s="41" t="s">
        <v>33207</v>
      </c>
      <c r="L4117" s="41" t="s">
        <v>1094</v>
      </c>
    </row>
    <row r="4118" spans="1:19" x14ac:dyDescent="0.25">
      <c r="A4118" s="41" t="s">
        <v>908</v>
      </c>
      <c r="B4118" s="41" t="s">
        <v>33208</v>
      </c>
    </row>
    <row r="4119" spans="1:19" x14ac:dyDescent="0.25">
      <c r="A4119" s="41" t="s">
        <v>23</v>
      </c>
      <c r="B4119" s="41" t="s">
        <v>33209</v>
      </c>
      <c r="F4119" s="41" t="s">
        <v>33210</v>
      </c>
      <c r="G4119" s="41" t="s">
        <v>33211</v>
      </c>
      <c r="H4119" s="41" t="s">
        <v>33212</v>
      </c>
      <c r="I4119" s="41" t="s">
        <v>33213</v>
      </c>
      <c r="J4119" s="41" t="s">
        <v>33214</v>
      </c>
      <c r="L4119" s="41" t="s">
        <v>4</v>
      </c>
    </row>
    <row r="4120" spans="1:19" x14ac:dyDescent="0.25">
      <c r="A4120" s="41" t="s">
        <v>23</v>
      </c>
      <c r="B4120" s="41" t="s">
        <v>33215</v>
      </c>
      <c r="D4120" s="41" t="s">
        <v>33049</v>
      </c>
      <c r="E4120" s="41" t="s">
        <v>33217</v>
      </c>
      <c r="F4120" s="41" t="s">
        <v>33218</v>
      </c>
      <c r="G4120" s="41" t="s">
        <v>33219</v>
      </c>
      <c r="H4120" s="41" t="s">
        <v>33220</v>
      </c>
      <c r="I4120" s="41" t="s">
        <v>33221</v>
      </c>
      <c r="J4120" s="41" t="s">
        <v>33222</v>
      </c>
      <c r="K4120" s="41" t="s">
        <v>33223</v>
      </c>
      <c r="L4120" s="41" t="s">
        <v>33224</v>
      </c>
      <c r="M4120" s="41" t="s">
        <v>33225</v>
      </c>
      <c r="N4120" s="41" t="s">
        <v>33226</v>
      </c>
      <c r="O4120" s="41" t="s">
        <v>33227</v>
      </c>
      <c r="P4120" s="41" t="s">
        <v>33228</v>
      </c>
      <c r="Q4120" s="41" t="s">
        <v>33229</v>
      </c>
      <c r="R4120" s="41" t="s">
        <v>33230</v>
      </c>
      <c r="S4120" s="41" t="s">
        <v>33231</v>
      </c>
    </row>
    <row r="4121" spans="1:19" x14ac:dyDescent="0.25">
      <c r="A4121" s="41" t="s">
        <v>23</v>
      </c>
      <c r="B4121" s="41" t="s">
        <v>33232</v>
      </c>
      <c r="D4121" s="41" t="s">
        <v>33233</v>
      </c>
      <c r="F4121" s="41" t="s">
        <v>33234</v>
      </c>
      <c r="G4121" s="41" t="s">
        <v>33235</v>
      </c>
      <c r="H4121" s="41" t="s">
        <v>33236</v>
      </c>
      <c r="I4121" s="41" t="s">
        <v>33237</v>
      </c>
      <c r="J4121" s="41" t="s">
        <v>33238</v>
      </c>
      <c r="K4121" s="41" t="s">
        <v>33239</v>
      </c>
      <c r="L4121" s="41" t="s">
        <v>891</v>
      </c>
    </row>
    <row r="4122" spans="1:19" x14ac:dyDescent="0.25">
      <c r="A4122" s="41" t="s">
        <v>23</v>
      </c>
      <c r="B4122" s="41" t="s">
        <v>33240</v>
      </c>
      <c r="D4122" s="41" t="s">
        <v>33241</v>
      </c>
      <c r="F4122" s="41" t="s">
        <v>33242</v>
      </c>
      <c r="G4122" s="41" t="s">
        <v>33243</v>
      </c>
      <c r="H4122" s="41" t="s">
        <v>33244</v>
      </c>
      <c r="I4122" s="41" t="s">
        <v>33245</v>
      </c>
      <c r="J4122" s="41" t="s">
        <v>33246</v>
      </c>
      <c r="K4122" s="41" t="s">
        <v>33247</v>
      </c>
      <c r="L4122" s="41" t="s">
        <v>1076</v>
      </c>
    </row>
    <row r="4123" spans="1:19" x14ac:dyDescent="0.25">
      <c r="A4123" s="41" t="s">
        <v>23</v>
      </c>
      <c r="B4123" s="41" t="s">
        <v>33248</v>
      </c>
      <c r="D4123" s="41" t="s">
        <v>33249</v>
      </c>
      <c r="F4123" s="41" t="s">
        <v>33250</v>
      </c>
      <c r="G4123" s="41" t="s">
        <v>33251</v>
      </c>
      <c r="H4123" s="41" t="s">
        <v>33252</v>
      </c>
      <c r="I4123" s="41" t="s">
        <v>33253</v>
      </c>
      <c r="J4123" s="41" t="s">
        <v>33254</v>
      </c>
      <c r="K4123" s="41" t="s">
        <v>33255</v>
      </c>
      <c r="L4123" s="41" t="s">
        <v>1085</v>
      </c>
    </row>
    <row r="4124" spans="1:19" x14ac:dyDescent="0.25">
      <c r="A4124" s="41" t="s">
        <v>23</v>
      </c>
      <c r="B4124" s="41" t="s">
        <v>33256</v>
      </c>
      <c r="D4124" s="41" t="s">
        <v>33257</v>
      </c>
      <c r="F4124" s="41" t="s">
        <v>33258</v>
      </c>
      <c r="G4124" s="41" t="s">
        <v>33259</v>
      </c>
      <c r="H4124" s="41" t="s">
        <v>33260</v>
      </c>
      <c r="I4124" s="41" t="s">
        <v>33261</v>
      </c>
      <c r="J4124" s="41" t="s">
        <v>33262</v>
      </c>
      <c r="K4124" s="41" t="s">
        <v>33263</v>
      </c>
      <c r="L4124" s="41" t="s">
        <v>1094</v>
      </c>
    </row>
    <row r="4125" spans="1:19" x14ac:dyDescent="0.25">
      <c r="A4125" s="41" t="s">
        <v>908</v>
      </c>
      <c r="B4125" s="41" t="s">
        <v>33264</v>
      </c>
    </row>
    <row r="4126" spans="1:19" x14ac:dyDescent="0.25">
      <c r="A4126" s="41" t="s">
        <v>23</v>
      </c>
      <c r="B4126" s="41" t="s">
        <v>33265</v>
      </c>
      <c r="F4126" s="41" t="s">
        <v>33266</v>
      </c>
      <c r="G4126" s="41" t="s">
        <v>33267</v>
      </c>
      <c r="H4126" s="41" t="s">
        <v>33268</v>
      </c>
      <c r="I4126" s="41" t="s">
        <v>33269</v>
      </c>
      <c r="J4126" s="41" t="s">
        <v>33270</v>
      </c>
      <c r="L4126" s="41" t="s">
        <v>4</v>
      </c>
    </row>
    <row r="4127" spans="1:19" x14ac:dyDescent="0.25">
      <c r="A4127" s="41" t="s">
        <v>23</v>
      </c>
      <c r="B4127" s="41" t="s">
        <v>33271</v>
      </c>
      <c r="D4127" s="41" t="s">
        <v>33105</v>
      </c>
      <c r="E4127" s="41" t="s">
        <v>33273</v>
      </c>
      <c r="F4127" s="41" t="s">
        <v>33274</v>
      </c>
      <c r="G4127" s="41" t="s">
        <v>33275</v>
      </c>
      <c r="H4127" s="41" t="s">
        <v>33276</v>
      </c>
      <c r="I4127" s="41" t="s">
        <v>33277</v>
      </c>
      <c r="J4127" s="41" t="s">
        <v>33278</v>
      </c>
      <c r="K4127" s="41" t="s">
        <v>33279</v>
      </c>
      <c r="L4127" s="41" t="s">
        <v>33280</v>
      </c>
      <c r="M4127" s="41" t="s">
        <v>33281</v>
      </c>
      <c r="N4127" s="41" t="s">
        <v>33282</v>
      </c>
      <c r="O4127" s="41" t="s">
        <v>33283</v>
      </c>
      <c r="P4127" s="41" t="s">
        <v>33284</v>
      </c>
      <c r="Q4127" s="41" t="s">
        <v>33285</v>
      </c>
      <c r="R4127" s="41" t="s">
        <v>33286</v>
      </c>
      <c r="S4127" s="41" t="s">
        <v>33287</v>
      </c>
    </row>
    <row r="4128" spans="1:19" x14ac:dyDescent="0.25">
      <c r="A4128" s="41" t="s">
        <v>23</v>
      </c>
      <c r="B4128" s="41" t="s">
        <v>33288</v>
      </c>
      <c r="D4128" s="41" t="s">
        <v>33289</v>
      </c>
      <c r="F4128" s="41" t="s">
        <v>33290</v>
      </c>
      <c r="G4128" s="41" t="s">
        <v>33291</v>
      </c>
      <c r="H4128" s="41" t="s">
        <v>33292</v>
      </c>
      <c r="I4128" s="41" t="s">
        <v>33293</v>
      </c>
      <c r="J4128" s="41" t="s">
        <v>33294</v>
      </c>
      <c r="K4128" s="41" t="s">
        <v>33295</v>
      </c>
      <c r="L4128" s="41" t="s">
        <v>891</v>
      </c>
    </row>
    <row r="4129" spans="1:19" x14ac:dyDescent="0.25">
      <c r="A4129" s="41" t="s">
        <v>23</v>
      </c>
      <c r="B4129" s="41" t="s">
        <v>33296</v>
      </c>
      <c r="D4129" s="41" t="s">
        <v>33297</v>
      </c>
      <c r="F4129" s="41" t="s">
        <v>33298</v>
      </c>
      <c r="G4129" s="41" t="s">
        <v>33299</v>
      </c>
      <c r="H4129" s="41" t="s">
        <v>33300</v>
      </c>
      <c r="I4129" s="41" t="s">
        <v>33301</v>
      </c>
      <c r="J4129" s="41" t="s">
        <v>33302</v>
      </c>
      <c r="K4129" s="41" t="s">
        <v>33303</v>
      </c>
      <c r="L4129" s="41" t="s">
        <v>1076</v>
      </c>
    </row>
    <row r="4130" spans="1:19" x14ac:dyDescent="0.25">
      <c r="A4130" s="41" t="s">
        <v>23</v>
      </c>
      <c r="B4130" s="41" t="s">
        <v>33304</v>
      </c>
      <c r="D4130" s="41" t="s">
        <v>33305</v>
      </c>
      <c r="F4130" s="41" t="s">
        <v>33306</v>
      </c>
      <c r="G4130" s="41" t="s">
        <v>33307</v>
      </c>
      <c r="H4130" s="41" t="s">
        <v>33308</v>
      </c>
      <c r="I4130" s="41" t="s">
        <v>33309</v>
      </c>
      <c r="J4130" s="41" t="s">
        <v>33310</v>
      </c>
      <c r="K4130" s="41" t="s">
        <v>33311</v>
      </c>
      <c r="L4130" s="41" t="s">
        <v>1085</v>
      </c>
    </row>
    <row r="4131" spans="1:19" x14ac:dyDescent="0.25">
      <c r="A4131" s="41" t="s">
        <v>23</v>
      </c>
      <c r="B4131" s="41" t="s">
        <v>33312</v>
      </c>
      <c r="D4131" s="41" t="s">
        <v>33313</v>
      </c>
      <c r="F4131" s="41" t="s">
        <v>33314</v>
      </c>
      <c r="G4131" s="41" t="s">
        <v>33315</v>
      </c>
      <c r="H4131" s="41" t="s">
        <v>33316</v>
      </c>
      <c r="I4131" s="41" t="s">
        <v>33317</v>
      </c>
      <c r="J4131" s="41" t="s">
        <v>33318</v>
      </c>
      <c r="K4131" s="41" t="s">
        <v>33319</v>
      </c>
      <c r="L4131" s="41" t="s">
        <v>1094</v>
      </c>
    </row>
    <row r="4132" spans="1:19" x14ac:dyDescent="0.25">
      <c r="A4132" s="41" t="s">
        <v>908</v>
      </c>
      <c r="B4132" s="41" t="s">
        <v>33320</v>
      </c>
    </row>
    <row r="4133" spans="1:19" x14ac:dyDescent="0.25">
      <c r="A4133" s="41" t="s">
        <v>23</v>
      </c>
      <c r="B4133" s="41" t="s">
        <v>33321</v>
      </c>
      <c r="F4133" s="41" t="s">
        <v>33322</v>
      </c>
      <c r="G4133" s="41" t="s">
        <v>33323</v>
      </c>
      <c r="H4133" s="41" t="s">
        <v>33324</v>
      </c>
      <c r="I4133" s="41" t="s">
        <v>33325</v>
      </c>
      <c r="J4133" s="41" t="s">
        <v>33326</v>
      </c>
      <c r="L4133" s="41" t="s">
        <v>4</v>
      </c>
    </row>
    <row r="4134" spans="1:19" x14ac:dyDescent="0.25">
      <c r="A4134" s="41" t="s">
        <v>23</v>
      </c>
      <c r="B4134" s="41" t="s">
        <v>33327</v>
      </c>
      <c r="D4134" s="41" t="s">
        <v>484</v>
      </c>
      <c r="E4134" s="41" t="s">
        <v>33328</v>
      </c>
      <c r="F4134" s="41" t="s">
        <v>33329</v>
      </c>
      <c r="G4134" s="41" t="s">
        <v>33330</v>
      </c>
      <c r="H4134" s="41" t="s">
        <v>33331</v>
      </c>
      <c r="I4134" s="41" t="s">
        <v>33332</v>
      </c>
      <c r="J4134" s="41" t="s">
        <v>33333</v>
      </c>
      <c r="K4134" s="41" t="s">
        <v>33334</v>
      </c>
      <c r="L4134" s="41" t="s">
        <v>33335</v>
      </c>
      <c r="M4134" s="41" t="s">
        <v>33336</v>
      </c>
      <c r="N4134" s="41" t="s">
        <v>33337</v>
      </c>
      <c r="O4134" s="41" t="s">
        <v>33338</v>
      </c>
      <c r="P4134" s="41" t="s">
        <v>33339</v>
      </c>
      <c r="Q4134" s="41" t="s">
        <v>33340</v>
      </c>
      <c r="R4134" s="41" t="s">
        <v>33341</v>
      </c>
      <c r="S4134" s="41" t="s">
        <v>33342</v>
      </c>
    </row>
    <row r="4135" spans="1:19" x14ac:dyDescent="0.25">
      <c r="A4135" s="41" t="s">
        <v>23</v>
      </c>
      <c r="B4135" s="41" t="s">
        <v>33343</v>
      </c>
      <c r="D4135" s="41" t="s">
        <v>33344</v>
      </c>
      <c r="F4135" s="41" t="s">
        <v>33345</v>
      </c>
      <c r="G4135" s="41" t="s">
        <v>33346</v>
      </c>
      <c r="H4135" s="41" t="s">
        <v>33347</v>
      </c>
      <c r="I4135" s="41" t="s">
        <v>33348</v>
      </c>
      <c r="J4135" s="41" t="s">
        <v>33349</v>
      </c>
      <c r="K4135" s="41" t="s">
        <v>33350</v>
      </c>
      <c r="L4135" s="41" t="s">
        <v>891</v>
      </c>
    </row>
    <row r="4136" spans="1:19" x14ac:dyDescent="0.25">
      <c r="A4136" s="41" t="s">
        <v>23</v>
      </c>
      <c r="B4136" s="41" t="s">
        <v>33351</v>
      </c>
      <c r="D4136" s="41" t="s">
        <v>33352</v>
      </c>
      <c r="F4136" s="41" t="s">
        <v>33353</v>
      </c>
      <c r="G4136" s="41" t="s">
        <v>33354</v>
      </c>
      <c r="H4136" s="41" t="s">
        <v>33355</v>
      </c>
      <c r="I4136" s="41" t="s">
        <v>33356</v>
      </c>
      <c r="J4136" s="41" t="s">
        <v>33357</v>
      </c>
      <c r="K4136" s="41" t="s">
        <v>33358</v>
      </c>
      <c r="L4136" s="41" t="s">
        <v>1076</v>
      </c>
    </row>
    <row r="4137" spans="1:19" x14ac:dyDescent="0.25">
      <c r="A4137" s="41" t="s">
        <v>23</v>
      </c>
      <c r="B4137" s="41" t="s">
        <v>33359</v>
      </c>
      <c r="D4137" s="41" t="s">
        <v>33360</v>
      </c>
      <c r="F4137" s="41" t="s">
        <v>33361</v>
      </c>
      <c r="G4137" s="41" t="s">
        <v>33362</v>
      </c>
      <c r="H4137" s="41" t="s">
        <v>33363</v>
      </c>
      <c r="I4137" s="41" t="s">
        <v>33364</v>
      </c>
      <c r="J4137" s="41" t="s">
        <v>33365</v>
      </c>
      <c r="K4137" s="41" t="s">
        <v>33366</v>
      </c>
      <c r="L4137" s="41" t="s">
        <v>1085</v>
      </c>
    </row>
    <row r="4138" spans="1:19" x14ac:dyDescent="0.25">
      <c r="A4138" s="41" t="s">
        <v>23</v>
      </c>
      <c r="B4138" s="41" t="s">
        <v>33367</v>
      </c>
      <c r="D4138" s="41" t="s">
        <v>33368</v>
      </c>
      <c r="F4138" s="41" t="s">
        <v>33369</v>
      </c>
      <c r="G4138" s="41" t="s">
        <v>33370</v>
      </c>
      <c r="H4138" s="41" t="s">
        <v>33371</v>
      </c>
      <c r="I4138" s="41" t="s">
        <v>33372</v>
      </c>
      <c r="J4138" s="41" t="s">
        <v>33373</v>
      </c>
      <c r="K4138" s="41" t="s">
        <v>33374</v>
      </c>
      <c r="L4138" s="41" t="s">
        <v>1094</v>
      </c>
    </row>
    <row r="4139" spans="1:19" x14ac:dyDescent="0.25">
      <c r="A4139" s="41" t="s">
        <v>908</v>
      </c>
      <c r="B4139" s="41" t="s">
        <v>33375</v>
      </c>
    </row>
    <row r="4140" spans="1:19" x14ac:dyDescent="0.25">
      <c r="A4140" s="41" t="s">
        <v>23</v>
      </c>
      <c r="B4140" s="41" t="s">
        <v>33376</v>
      </c>
      <c r="F4140" s="41" t="s">
        <v>33377</v>
      </c>
      <c r="G4140" s="41" t="s">
        <v>33378</v>
      </c>
      <c r="H4140" s="41" t="s">
        <v>33379</v>
      </c>
      <c r="I4140" s="41" t="s">
        <v>33380</v>
      </c>
      <c r="J4140" s="41" t="s">
        <v>33381</v>
      </c>
      <c r="L4140" s="41" t="s">
        <v>4</v>
      </c>
    </row>
    <row r="4141" spans="1:19" x14ac:dyDescent="0.25">
      <c r="A4141" s="41" t="s">
        <v>23</v>
      </c>
      <c r="B4141" s="41" t="s">
        <v>33382</v>
      </c>
      <c r="D4141" s="41" t="s">
        <v>33216</v>
      </c>
      <c r="E4141" s="41" t="s">
        <v>33383</v>
      </c>
      <c r="F4141" s="41" t="s">
        <v>33384</v>
      </c>
      <c r="G4141" s="41" t="s">
        <v>33385</v>
      </c>
      <c r="H4141" s="41" t="s">
        <v>33386</v>
      </c>
      <c r="I4141" s="41" t="s">
        <v>33387</v>
      </c>
      <c r="J4141" s="41" t="s">
        <v>33388</v>
      </c>
      <c r="K4141" s="41" t="s">
        <v>33389</v>
      </c>
      <c r="L4141" s="41" t="s">
        <v>33390</v>
      </c>
      <c r="M4141" s="41" t="s">
        <v>33391</v>
      </c>
      <c r="N4141" s="41" t="s">
        <v>33392</v>
      </c>
      <c r="O4141" s="41" t="s">
        <v>33393</v>
      </c>
      <c r="P4141" s="41" t="s">
        <v>33394</v>
      </c>
      <c r="Q4141" s="41" t="s">
        <v>33395</v>
      </c>
      <c r="R4141" s="41" t="s">
        <v>33396</v>
      </c>
      <c r="S4141" s="41" t="s">
        <v>33397</v>
      </c>
    </row>
    <row r="4142" spans="1:19" x14ac:dyDescent="0.25">
      <c r="A4142" s="41" t="s">
        <v>23</v>
      </c>
      <c r="B4142" s="41" t="s">
        <v>33398</v>
      </c>
      <c r="D4142" s="41" t="s">
        <v>33399</v>
      </c>
      <c r="F4142" s="41" t="s">
        <v>33400</v>
      </c>
      <c r="G4142" s="41" t="s">
        <v>33401</v>
      </c>
      <c r="H4142" s="41" t="s">
        <v>33402</v>
      </c>
      <c r="I4142" s="41" t="s">
        <v>33403</v>
      </c>
      <c r="J4142" s="41" t="s">
        <v>33404</v>
      </c>
      <c r="K4142" s="41" t="s">
        <v>33405</v>
      </c>
      <c r="L4142" s="41" t="s">
        <v>891</v>
      </c>
    </row>
    <row r="4143" spans="1:19" x14ac:dyDescent="0.25">
      <c r="A4143" s="41" t="s">
        <v>23</v>
      </c>
      <c r="B4143" s="41" t="s">
        <v>33406</v>
      </c>
      <c r="D4143" s="41" t="s">
        <v>33407</v>
      </c>
      <c r="F4143" s="41" t="s">
        <v>33408</v>
      </c>
      <c r="G4143" s="41" t="s">
        <v>33409</v>
      </c>
      <c r="H4143" s="41" t="s">
        <v>33410</v>
      </c>
      <c r="I4143" s="41" t="s">
        <v>33411</v>
      </c>
      <c r="J4143" s="41" t="s">
        <v>33412</v>
      </c>
      <c r="K4143" s="41" t="s">
        <v>33413</v>
      </c>
      <c r="L4143" s="41" t="s">
        <v>1076</v>
      </c>
    </row>
    <row r="4144" spans="1:19" x14ac:dyDescent="0.25">
      <c r="A4144" s="41" t="s">
        <v>23</v>
      </c>
      <c r="B4144" s="41" t="s">
        <v>33414</v>
      </c>
      <c r="D4144" s="41" t="s">
        <v>33415</v>
      </c>
      <c r="F4144" s="41" t="s">
        <v>33416</v>
      </c>
      <c r="G4144" s="41" t="s">
        <v>33417</v>
      </c>
      <c r="H4144" s="41" t="s">
        <v>33418</v>
      </c>
      <c r="I4144" s="41" t="s">
        <v>33419</v>
      </c>
      <c r="J4144" s="41" t="s">
        <v>33420</v>
      </c>
      <c r="K4144" s="41" t="s">
        <v>33421</v>
      </c>
      <c r="L4144" s="41" t="s">
        <v>1085</v>
      </c>
    </row>
    <row r="4145" spans="1:19" x14ac:dyDescent="0.25">
      <c r="A4145" s="41" t="s">
        <v>23</v>
      </c>
      <c r="B4145" s="41" t="s">
        <v>33422</v>
      </c>
      <c r="D4145" s="41" t="s">
        <v>33423</v>
      </c>
      <c r="F4145" s="41" t="s">
        <v>33424</v>
      </c>
      <c r="G4145" s="41" t="s">
        <v>33425</v>
      </c>
      <c r="H4145" s="41" t="s">
        <v>33426</v>
      </c>
      <c r="I4145" s="41" t="s">
        <v>33427</v>
      </c>
      <c r="J4145" s="41" t="s">
        <v>33428</v>
      </c>
      <c r="K4145" s="41" t="s">
        <v>33429</v>
      </c>
      <c r="L4145" s="41" t="s">
        <v>1094</v>
      </c>
    </row>
    <row r="4146" spans="1:19" x14ac:dyDescent="0.25">
      <c r="A4146" s="41" t="s">
        <v>908</v>
      </c>
      <c r="B4146" s="41" t="s">
        <v>33430</v>
      </c>
    </row>
    <row r="4147" spans="1:19" x14ac:dyDescent="0.25">
      <c r="A4147" s="41" t="s">
        <v>23</v>
      </c>
      <c r="B4147" s="41" t="s">
        <v>33431</v>
      </c>
      <c r="F4147" s="41" t="s">
        <v>33432</v>
      </c>
      <c r="G4147" s="41" t="s">
        <v>33433</v>
      </c>
      <c r="H4147" s="41" t="s">
        <v>33434</v>
      </c>
      <c r="I4147" s="41" t="s">
        <v>33435</v>
      </c>
      <c r="J4147" s="41" t="s">
        <v>33436</v>
      </c>
      <c r="L4147" s="41" t="s">
        <v>4</v>
      </c>
    </row>
    <row r="4148" spans="1:19" x14ac:dyDescent="0.25">
      <c r="A4148" s="41" t="s">
        <v>23</v>
      </c>
      <c r="B4148" s="41" t="s">
        <v>33437</v>
      </c>
      <c r="D4148" s="41" t="s">
        <v>33272</v>
      </c>
      <c r="E4148" s="41" t="s">
        <v>33438</v>
      </c>
      <c r="F4148" s="41" t="s">
        <v>33439</v>
      </c>
      <c r="G4148" s="41" t="s">
        <v>33440</v>
      </c>
      <c r="H4148" s="41" t="s">
        <v>33441</v>
      </c>
      <c r="I4148" s="41" t="s">
        <v>33442</v>
      </c>
      <c r="J4148" s="41" t="s">
        <v>33443</v>
      </c>
      <c r="K4148" s="41" t="s">
        <v>33444</v>
      </c>
      <c r="L4148" s="41" t="s">
        <v>33445</v>
      </c>
      <c r="M4148" s="41" t="s">
        <v>33446</v>
      </c>
      <c r="N4148" s="41" t="s">
        <v>33447</v>
      </c>
      <c r="O4148" s="41" t="s">
        <v>33448</v>
      </c>
      <c r="P4148" s="41" t="s">
        <v>33449</v>
      </c>
      <c r="Q4148" s="41" t="s">
        <v>33450</v>
      </c>
      <c r="R4148" s="41" t="s">
        <v>33451</v>
      </c>
      <c r="S4148" s="41" t="s">
        <v>33452</v>
      </c>
    </row>
    <row r="4149" spans="1:19" x14ac:dyDescent="0.25">
      <c r="A4149" s="41" t="s">
        <v>23</v>
      </c>
      <c r="B4149" s="41" t="s">
        <v>33453</v>
      </c>
      <c r="D4149" s="41" t="s">
        <v>33454</v>
      </c>
      <c r="F4149" s="41" t="s">
        <v>33455</v>
      </c>
      <c r="G4149" s="41" t="s">
        <v>33456</v>
      </c>
      <c r="H4149" s="41" t="s">
        <v>33457</v>
      </c>
      <c r="I4149" s="41" t="s">
        <v>33458</v>
      </c>
      <c r="J4149" s="41" t="s">
        <v>33459</v>
      </c>
      <c r="K4149" s="41" t="s">
        <v>33460</v>
      </c>
      <c r="L4149" s="41" t="s">
        <v>891</v>
      </c>
    </row>
    <row r="4150" spans="1:19" x14ac:dyDescent="0.25">
      <c r="A4150" s="41" t="s">
        <v>23</v>
      </c>
      <c r="B4150" s="41" t="s">
        <v>33461</v>
      </c>
      <c r="D4150" s="41" t="s">
        <v>33462</v>
      </c>
      <c r="F4150" s="41" t="s">
        <v>33463</v>
      </c>
      <c r="G4150" s="41" t="s">
        <v>33464</v>
      </c>
      <c r="H4150" s="41" t="s">
        <v>33465</v>
      </c>
      <c r="I4150" s="41" t="s">
        <v>33466</v>
      </c>
      <c r="J4150" s="41" t="s">
        <v>33467</v>
      </c>
      <c r="K4150" s="41" t="s">
        <v>33468</v>
      </c>
      <c r="L4150" s="41" t="s">
        <v>1076</v>
      </c>
    </row>
    <row r="4151" spans="1:19" x14ac:dyDescent="0.25">
      <c r="A4151" s="41" t="s">
        <v>23</v>
      </c>
      <c r="B4151" s="41" t="s">
        <v>33469</v>
      </c>
      <c r="D4151" s="41" t="s">
        <v>33470</v>
      </c>
      <c r="F4151" s="41" t="s">
        <v>33471</v>
      </c>
      <c r="G4151" s="41" t="s">
        <v>33472</v>
      </c>
      <c r="H4151" s="41" t="s">
        <v>33473</v>
      </c>
      <c r="I4151" s="41" t="s">
        <v>33474</v>
      </c>
      <c r="J4151" s="41" t="s">
        <v>33475</v>
      </c>
      <c r="K4151" s="41" t="s">
        <v>33476</v>
      </c>
      <c r="L4151" s="41" t="s">
        <v>1085</v>
      </c>
    </row>
    <row r="4152" spans="1:19" x14ac:dyDescent="0.25">
      <c r="A4152" s="41" t="s">
        <v>23</v>
      </c>
      <c r="B4152" s="41" t="s">
        <v>33477</v>
      </c>
      <c r="D4152" s="41" t="s">
        <v>33478</v>
      </c>
      <c r="F4152" s="41" t="s">
        <v>33479</v>
      </c>
      <c r="G4152" s="41" t="s">
        <v>33480</v>
      </c>
      <c r="H4152" s="41" t="s">
        <v>33481</v>
      </c>
      <c r="I4152" s="41" t="s">
        <v>33482</v>
      </c>
      <c r="J4152" s="41" t="s">
        <v>33483</v>
      </c>
      <c r="K4152" s="41" t="s">
        <v>33484</v>
      </c>
      <c r="L4152" s="41" t="s">
        <v>1094</v>
      </c>
    </row>
    <row r="4153" spans="1:19" x14ac:dyDescent="0.25">
      <c r="A4153" s="41" t="s">
        <v>908</v>
      </c>
      <c r="B4153" s="41" t="s">
        <v>33485</v>
      </c>
    </row>
    <row r="4154" spans="1:19" x14ac:dyDescent="0.25">
      <c r="A4154" s="41" t="s">
        <v>23</v>
      </c>
      <c r="B4154" s="41" t="s">
        <v>33486</v>
      </c>
      <c r="F4154" s="41" t="s">
        <v>33487</v>
      </c>
      <c r="G4154" s="41" t="s">
        <v>33488</v>
      </c>
      <c r="H4154" s="41" t="s">
        <v>33489</v>
      </c>
      <c r="I4154" s="41" t="s">
        <v>33490</v>
      </c>
      <c r="J4154" s="41" t="s">
        <v>33491</v>
      </c>
      <c r="L4154" s="41" t="s">
        <v>4</v>
      </c>
    </row>
    <row r="4155" spans="1:19" x14ac:dyDescent="0.25">
      <c r="A4155" s="41" t="s">
        <v>23</v>
      </c>
      <c r="B4155" s="41" t="s">
        <v>33492</v>
      </c>
      <c r="D4155" s="41" t="s">
        <v>485</v>
      </c>
      <c r="E4155" s="41" t="s">
        <v>33493</v>
      </c>
      <c r="F4155" s="41" t="s">
        <v>33494</v>
      </c>
      <c r="G4155" s="41" t="s">
        <v>33495</v>
      </c>
      <c r="H4155" s="41" t="s">
        <v>33496</v>
      </c>
      <c r="I4155" s="41" t="s">
        <v>33497</v>
      </c>
      <c r="J4155" s="41" t="s">
        <v>33498</v>
      </c>
      <c r="K4155" s="41" t="s">
        <v>33499</v>
      </c>
      <c r="L4155" s="41" t="s">
        <v>33500</v>
      </c>
      <c r="M4155" s="41" t="s">
        <v>33501</v>
      </c>
      <c r="N4155" s="41" t="s">
        <v>33502</v>
      </c>
      <c r="O4155" s="41" t="s">
        <v>33503</v>
      </c>
      <c r="P4155" s="41" t="s">
        <v>33504</v>
      </c>
      <c r="Q4155" s="41" t="s">
        <v>33505</v>
      </c>
      <c r="R4155" s="41" t="s">
        <v>33506</v>
      </c>
      <c r="S4155" s="41" t="s">
        <v>33507</v>
      </c>
    </row>
    <row r="4156" spans="1:19" x14ac:dyDescent="0.25">
      <c r="A4156" s="41" t="s">
        <v>23</v>
      </c>
      <c r="B4156" s="41" t="s">
        <v>33508</v>
      </c>
      <c r="D4156" s="41" t="s">
        <v>33509</v>
      </c>
      <c r="F4156" s="41" t="s">
        <v>33510</v>
      </c>
      <c r="G4156" s="41" t="s">
        <v>33511</v>
      </c>
      <c r="H4156" s="41" t="s">
        <v>33512</v>
      </c>
      <c r="I4156" s="41" t="s">
        <v>33513</v>
      </c>
      <c r="J4156" s="41" t="s">
        <v>33514</v>
      </c>
      <c r="K4156" s="41" t="s">
        <v>33515</v>
      </c>
      <c r="L4156" s="41" t="s">
        <v>891</v>
      </c>
    </row>
    <row r="4157" spans="1:19" x14ac:dyDescent="0.25">
      <c r="A4157" s="41" t="s">
        <v>23</v>
      </c>
      <c r="B4157" s="41" t="s">
        <v>33516</v>
      </c>
      <c r="D4157" s="41" t="s">
        <v>33517</v>
      </c>
      <c r="F4157" s="41" t="s">
        <v>33518</v>
      </c>
      <c r="G4157" s="41" t="s">
        <v>33519</v>
      </c>
      <c r="H4157" s="41" t="s">
        <v>33520</v>
      </c>
      <c r="I4157" s="41" t="s">
        <v>33521</v>
      </c>
      <c r="J4157" s="41" t="s">
        <v>33522</v>
      </c>
      <c r="K4157" s="41" t="s">
        <v>33523</v>
      </c>
      <c r="L4157" s="41" t="s">
        <v>1076</v>
      </c>
    </row>
    <row r="4158" spans="1:19" x14ac:dyDescent="0.25">
      <c r="A4158" s="41" t="s">
        <v>23</v>
      </c>
      <c r="B4158" s="41" t="s">
        <v>33524</v>
      </c>
      <c r="D4158" s="41" t="s">
        <v>33525</v>
      </c>
      <c r="F4158" s="41" t="s">
        <v>33526</v>
      </c>
      <c r="G4158" s="41" t="s">
        <v>33527</v>
      </c>
      <c r="H4158" s="41" t="s">
        <v>33528</v>
      </c>
      <c r="I4158" s="41" t="s">
        <v>33529</v>
      </c>
      <c r="J4158" s="41" t="s">
        <v>33530</v>
      </c>
      <c r="K4158" s="41" t="s">
        <v>33531</v>
      </c>
      <c r="L4158" s="41" t="s">
        <v>1085</v>
      </c>
    </row>
    <row r="4159" spans="1:19" x14ac:dyDescent="0.25">
      <c r="A4159" s="41" t="s">
        <v>23</v>
      </c>
      <c r="B4159" s="41" t="s">
        <v>33532</v>
      </c>
      <c r="D4159" s="41" t="s">
        <v>33533</v>
      </c>
      <c r="F4159" s="41" t="s">
        <v>33534</v>
      </c>
      <c r="G4159" s="41" t="s">
        <v>33535</v>
      </c>
      <c r="H4159" s="41" t="s">
        <v>33536</v>
      </c>
      <c r="I4159" s="41" t="s">
        <v>33537</v>
      </c>
      <c r="J4159" s="41" t="s">
        <v>33538</v>
      </c>
      <c r="K4159" s="41" t="s">
        <v>33539</v>
      </c>
      <c r="L4159" s="41" t="s">
        <v>1094</v>
      </c>
    </row>
    <row r="4160" spans="1:19" x14ac:dyDescent="0.25">
      <c r="A4160" s="41" t="s">
        <v>908</v>
      </c>
      <c r="B4160" s="41" t="s">
        <v>33540</v>
      </c>
    </row>
    <row r="4161" spans="1:19" x14ac:dyDescent="0.25">
      <c r="A4161" s="41" t="s">
        <v>23</v>
      </c>
      <c r="B4161" s="41" t="s">
        <v>33541</v>
      </c>
      <c r="F4161" s="41" t="s">
        <v>33542</v>
      </c>
      <c r="G4161" s="41" t="s">
        <v>33543</v>
      </c>
      <c r="H4161" s="41" t="s">
        <v>33544</v>
      </c>
      <c r="I4161" s="41" t="s">
        <v>33545</v>
      </c>
      <c r="J4161" s="41" t="s">
        <v>33546</v>
      </c>
      <c r="L4161" s="41" t="s">
        <v>4</v>
      </c>
    </row>
    <row r="4162" spans="1:19" x14ac:dyDescent="0.25">
      <c r="A4162" s="41" t="s">
        <v>23</v>
      </c>
      <c r="B4162" s="41" t="s">
        <v>33547</v>
      </c>
      <c r="D4162" s="41" t="s">
        <v>486</v>
      </c>
      <c r="E4162" s="41" t="s">
        <v>33548</v>
      </c>
      <c r="F4162" s="41" t="s">
        <v>33549</v>
      </c>
      <c r="G4162" s="41" t="s">
        <v>33550</v>
      </c>
      <c r="H4162" s="41" t="s">
        <v>33551</v>
      </c>
      <c r="I4162" s="41" t="s">
        <v>33552</v>
      </c>
      <c r="J4162" s="41" t="s">
        <v>33553</v>
      </c>
      <c r="K4162" s="41" t="s">
        <v>33554</v>
      </c>
      <c r="L4162" s="41" t="s">
        <v>33555</v>
      </c>
      <c r="M4162" s="41" t="s">
        <v>33556</v>
      </c>
      <c r="N4162" s="41" t="s">
        <v>33557</v>
      </c>
      <c r="O4162" s="41" t="s">
        <v>33558</v>
      </c>
      <c r="P4162" s="41" t="s">
        <v>33559</v>
      </c>
      <c r="Q4162" s="41" t="s">
        <v>33560</v>
      </c>
      <c r="R4162" s="41" t="s">
        <v>33561</v>
      </c>
      <c r="S4162" s="41" t="s">
        <v>33562</v>
      </c>
    </row>
    <row r="4163" spans="1:19" x14ac:dyDescent="0.25">
      <c r="A4163" s="41" t="s">
        <v>23</v>
      </c>
      <c r="B4163" s="41" t="s">
        <v>33563</v>
      </c>
      <c r="D4163" s="41" t="s">
        <v>33564</v>
      </c>
      <c r="F4163" s="41" t="s">
        <v>33565</v>
      </c>
      <c r="G4163" s="41" t="s">
        <v>33566</v>
      </c>
      <c r="H4163" s="41" t="s">
        <v>33567</v>
      </c>
      <c r="I4163" s="41" t="s">
        <v>33568</v>
      </c>
      <c r="J4163" s="41" t="s">
        <v>33569</v>
      </c>
      <c r="K4163" s="41" t="s">
        <v>33570</v>
      </c>
      <c r="L4163" s="41" t="s">
        <v>891</v>
      </c>
    </row>
    <row r="4164" spans="1:19" x14ac:dyDescent="0.25">
      <c r="A4164" s="41" t="s">
        <v>23</v>
      </c>
      <c r="B4164" s="41" t="s">
        <v>33571</v>
      </c>
      <c r="D4164" s="41" t="s">
        <v>33572</v>
      </c>
      <c r="F4164" s="41" t="s">
        <v>33573</v>
      </c>
      <c r="G4164" s="41" t="s">
        <v>33574</v>
      </c>
      <c r="H4164" s="41" t="s">
        <v>33575</v>
      </c>
      <c r="I4164" s="41" t="s">
        <v>33576</v>
      </c>
      <c r="J4164" s="41" t="s">
        <v>33577</v>
      </c>
      <c r="K4164" s="41" t="s">
        <v>33578</v>
      </c>
      <c r="L4164" s="41" t="s">
        <v>1076</v>
      </c>
    </row>
    <row r="4165" spans="1:19" x14ac:dyDescent="0.25">
      <c r="A4165" s="41" t="s">
        <v>23</v>
      </c>
      <c r="B4165" s="41" t="s">
        <v>33579</v>
      </c>
      <c r="D4165" s="41" t="s">
        <v>33580</v>
      </c>
      <c r="F4165" s="41" t="s">
        <v>33581</v>
      </c>
      <c r="G4165" s="41" t="s">
        <v>33582</v>
      </c>
      <c r="H4165" s="41" t="s">
        <v>33583</v>
      </c>
      <c r="I4165" s="41" t="s">
        <v>33584</v>
      </c>
      <c r="J4165" s="41" t="s">
        <v>33585</v>
      </c>
      <c r="K4165" s="41" t="s">
        <v>33586</v>
      </c>
      <c r="L4165" s="41" t="s">
        <v>1085</v>
      </c>
    </row>
    <row r="4166" spans="1:19" x14ac:dyDescent="0.25">
      <c r="A4166" s="41" t="s">
        <v>23</v>
      </c>
      <c r="B4166" s="41" t="s">
        <v>33587</v>
      </c>
      <c r="D4166" s="41" t="s">
        <v>33588</v>
      </c>
      <c r="F4166" s="41" t="s">
        <v>33589</v>
      </c>
      <c r="G4166" s="41" t="s">
        <v>33590</v>
      </c>
      <c r="H4166" s="41" t="s">
        <v>33591</v>
      </c>
      <c r="I4166" s="41" t="s">
        <v>33592</v>
      </c>
      <c r="J4166" s="41" t="s">
        <v>33593</v>
      </c>
      <c r="K4166" s="41" t="s">
        <v>33594</v>
      </c>
      <c r="L4166" s="41" t="s">
        <v>1094</v>
      </c>
    </row>
    <row r="4167" spans="1:19" x14ac:dyDescent="0.25">
      <c r="A4167" s="41" t="s">
        <v>908</v>
      </c>
      <c r="B4167" s="41" t="s">
        <v>33595</v>
      </c>
    </row>
    <row r="4168" spans="1:19" x14ac:dyDescent="0.25">
      <c r="A4168" s="41" t="s">
        <v>23</v>
      </c>
      <c r="B4168" s="41" t="s">
        <v>33596</v>
      </c>
      <c r="F4168" s="41" t="s">
        <v>33597</v>
      </c>
      <c r="G4168" s="41" t="s">
        <v>33598</v>
      </c>
      <c r="H4168" s="41" t="s">
        <v>33599</v>
      </c>
      <c r="I4168" s="41" t="s">
        <v>33600</v>
      </c>
      <c r="J4168" s="41" t="s">
        <v>33601</v>
      </c>
      <c r="L4168" s="41" t="s">
        <v>4</v>
      </c>
    </row>
    <row r="4169" spans="1:19" x14ac:dyDescent="0.25">
      <c r="A4169" s="41" t="s">
        <v>23</v>
      </c>
      <c r="B4169" s="41" t="s">
        <v>33602</v>
      </c>
      <c r="D4169" s="41" t="s">
        <v>487</v>
      </c>
      <c r="E4169" s="41" t="s">
        <v>33604</v>
      </c>
      <c r="F4169" s="41" t="s">
        <v>33605</v>
      </c>
      <c r="G4169" s="41" t="s">
        <v>33606</v>
      </c>
      <c r="H4169" s="41" t="s">
        <v>33607</v>
      </c>
      <c r="I4169" s="41" t="s">
        <v>33608</v>
      </c>
      <c r="J4169" s="41" t="s">
        <v>33609</v>
      </c>
      <c r="K4169" s="41" t="s">
        <v>33610</v>
      </c>
      <c r="L4169" s="41" t="s">
        <v>33611</v>
      </c>
      <c r="M4169" s="41" t="s">
        <v>33612</v>
      </c>
      <c r="N4169" s="41" t="s">
        <v>33613</v>
      </c>
      <c r="O4169" s="41" t="s">
        <v>33614</v>
      </c>
      <c r="P4169" s="41" t="s">
        <v>33615</v>
      </c>
      <c r="Q4169" s="41" t="s">
        <v>33616</v>
      </c>
      <c r="R4169" s="41" t="s">
        <v>33617</v>
      </c>
      <c r="S4169" s="41" t="s">
        <v>33618</v>
      </c>
    </row>
    <row r="4170" spans="1:19" x14ac:dyDescent="0.25">
      <c r="A4170" s="41" t="s">
        <v>23</v>
      </c>
      <c r="B4170" s="41" t="s">
        <v>33619</v>
      </c>
      <c r="D4170" s="41" t="s">
        <v>33620</v>
      </c>
      <c r="F4170" s="41" t="s">
        <v>33621</v>
      </c>
      <c r="G4170" s="41" t="s">
        <v>33622</v>
      </c>
      <c r="H4170" s="41" t="s">
        <v>33623</v>
      </c>
      <c r="I4170" s="41" t="s">
        <v>33624</v>
      </c>
      <c r="J4170" s="41" t="s">
        <v>33625</v>
      </c>
      <c r="K4170" s="41" t="s">
        <v>33626</v>
      </c>
      <c r="L4170" s="41" t="s">
        <v>891</v>
      </c>
    </row>
    <row r="4171" spans="1:19" x14ac:dyDescent="0.25">
      <c r="A4171" s="41" t="s">
        <v>23</v>
      </c>
      <c r="B4171" s="41" t="s">
        <v>33627</v>
      </c>
      <c r="D4171" s="41" t="s">
        <v>33628</v>
      </c>
      <c r="F4171" s="41" t="s">
        <v>33629</v>
      </c>
      <c r="G4171" s="41" t="s">
        <v>33630</v>
      </c>
      <c r="H4171" s="41" t="s">
        <v>33631</v>
      </c>
      <c r="I4171" s="41" t="s">
        <v>33632</v>
      </c>
      <c r="J4171" s="41" t="s">
        <v>33633</v>
      </c>
      <c r="K4171" s="41" t="s">
        <v>33634</v>
      </c>
      <c r="L4171" s="41" t="s">
        <v>1076</v>
      </c>
    </row>
    <row r="4172" spans="1:19" x14ac:dyDescent="0.25">
      <c r="A4172" s="41" t="s">
        <v>23</v>
      </c>
      <c r="B4172" s="41" t="s">
        <v>33635</v>
      </c>
      <c r="D4172" s="41" t="s">
        <v>33636</v>
      </c>
      <c r="F4172" s="41" t="s">
        <v>33637</v>
      </c>
      <c r="G4172" s="41" t="s">
        <v>33638</v>
      </c>
      <c r="H4172" s="41" t="s">
        <v>33639</v>
      </c>
      <c r="I4172" s="41" t="s">
        <v>33640</v>
      </c>
      <c r="J4172" s="41" t="s">
        <v>33641</v>
      </c>
      <c r="K4172" s="41" t="s">
        <v>33642</v>
      </c>
      <c r="L4172" s="41" t="s">
        <v>1085</v>
      </c>
    </row>
    <row r="4173" spans="1:19" x14ac:dyDescent="0.25">
      <c r="A4173" s="41" t="s">
        <v>23</v>
      </c>
      <c r="B4173" s="41" t="s">
        <v>33643</v>
      </c>
      <c r="D4173" s="41" t="s">
        <v>33644</v>
      </c>
      <c r="F4173" s="41" t="s">
        <v>33645</v>
      </c>
      <c r="G4173" s="41" t="s">
        <v>33646</v>
      </c>
      <c r="H4173" s="41" t="s">
        <v>33647</v>
      </c>
      <c r="I4173" s="41" t="s">
        <v>33648</v>
      </c>
      <c r="J4173" s="41" t="s">
        <v>33649</v>
      </c>
      <c r="K4173" s="41" t="s">
        <v>33650</v>
      </c>
      <c r="L4173" s="41" t="s">
        <v>1094</v>
      </c>
    </row>
    <row r="4174" spans="1:19" x14ac:dyDescent="0.25">
      <c r="A4174" s="41" t="s">
        <v>908</v>
      </c>
      <c r="B4174" s="41" t="s">
        <v>33651</v>
      </c>
    </row>
    <row r="4175" spans="1:19" x14ac:dyDescent="0.25">
      <c r="A4175" s="41" t="s">
        <v>23</v>
      </c>
      <c r="B4175" s="41" t="s">
        <v>33652</v>
      </c>
      <c r="F4175" s="41" t="s">
        <v>33653</v>
      </c>
      <c r="G4175" s="41" t="s">
        <v>33654</v>
      </c>
      <c r="H4175" s="41" t="s">
        <v>33655</v>
      </c>
      <c r="I4175" s="41" t="s">
        <v>33656</v>
      </c>
      <c r="J4175" s="41" t="s">
        <v>33657</v>
      </c>
      <c r="L4175" s="41" t="s">
        <v>4</v>
      </c>
    </row>
    <row r="4176" spans="1:19" x14ac:dyDescent="0.25">
      <c r="A4176" s="41" t="s">
        <v>23</v>
      </c>
      <c r="B4176" s="41" t="s">
        <v>33658</v>
      </c>
      <c r="D4176" s="41" t="s">
        <v>488</v>
      </c>
      <c r="E4176" s="41" t="s">
        <v>33659</v>
      </c>
      <c r="F4176" s="41" t="s">
        <v>33660</v>
      </c>
      <c r="G4176" s="41" t="s">
        <v>33661</v>
      </c>
      <c r="H4176" s="41" t="s">
        <v>33662</v>
      </c>
      <c r="I4176" s="41" t="s">
        <v>33663</v>
      </c>
      <c r="J4176" s="41" t="s">
        <v>33664</v>
      </c>
      <c r="K4176" s="41" t="s">
        <v>33665</v>
      </c>
      <c r="L4176" s="41" t="s">
        <v>33666</v>
      </c>
      <c r="M4176" s="41" t="s">
        <v>33667</v>
      </c>
      <c r="N4176" s="41" t="s">
        <v>33668</v>
      </c>
      <c r="O4176" s="41" t="s">
        <v>33669</v>
      </c>
      <c r="P4176" s="41" t="s">
        <v>33670</v>
      </c>
      <c r="Q4176" s="41" t="s">
        <v>33671</v>
      </c>
      <c r="R4176" s="41" t="s">
        <v>33672</v>
      </c>
      <c r="S4176" s="41" t="s">
        <v>33673</v>
      </c>
    </row>
    <row r="4177" spans="1:19" x14ac:dyDescent="0.25">
      <c r="A4177" s="41" t="s">
        <v>23</v>
      </c>
      <c r="B4177" s="41" t="s">
        <v>33674</v>
      </c>
      <c r="D4177" s="41" t="s">
        <v>33675</v>
      </c>
      <c r="F4177" s="41" t="s">
        <v>33676</v>
      </c>
      <c r="G4177" s="41" t="s">
        <v>33677</v>
      </c>
      <c r="H4177" s="41" t="s">
        <v>33678</v>
      </c>
      <c r="I4177" s="41" t="s">
        <v>33679</v>
      </c>
      <c r="J4177" s="41" t="s">
        <v>33680</v>
      </c>
      <c r="K4177" s="41" t="s">
        <v>33681</v>
      </c>
      <c r="L4177" s="41" t="s">
        <v>891</v>
      </c>
    </row>
    <row r="4178" spans="1:19" x14ac:dyDescent="0.25">
      <c r="A4178" s="41" t="s">
        <v>23</v>
      </c>
      <c r="B4178" s="41" t="s">
        <v>33682</v>
      </c>
      <c r="D4178" s="41" t="s">
        <v>33683</v>
      </c>
      <c r="F4178" s="41" t="s">
        <v>33684</v>
      </c>
      <c r="G4178" s="41" t="s">
        <v>33685</v>
      </c>
      <c r="H4178" s="41" t="s">
        <v>33686</v>
      </c>
      <c r="I4178" s="41" t="s">
        <v>33687</v>
      </c>
      <c r="J4178" s="41" t="s">
        <v>33688</v>
      </c>
      <c r="K4178" s="41" t="s">
        <v>33689</v>
      </c>
      <c r="L4178" s="41" t="s">
        <v>1076</v>
      </c>
    </row>
    <row r="4179" spans="1:19" x14ac:dyDescent="0.25">
      <c r="A4179" s="41" t="s">
        <v>23</v>
      </c>
      <c r="B4179" s="41" t="s">
        <v>33690</v>
      </c>
      <c r="D4179" s="41" t="s">
        <v>33691</v>
      </c>
      <c r="F4179" s="41" t="s">
        <v>33692</v>
      </c>
      <c r="G4179" s="41" t="s">
        <v>33693</v>
      </c>
      <c r="H4179" s="41" t="s">
        <v>33694</v>
      </c>
      <c r="I4179" s="41" t="s">
        <v>33695</v>
      </c>
      <c r="J4179" s="41" t="s">
        <v>33696</v>
      </c>
      <c r="K4179" s="41" t="s">
        <v>33697</v>
      </c>
      <c r="L4179" s="41" t="s">
        <v>1085</v>
      </c>
    </row>
    <row r="4180" spans="1:19" x14ac:dyDescent="0.25">
      <c r="A4180" s="41" t="s">
        <v>23</v>
      </c>
      <c r="B4180" s="41" t="s">
        <v>33698</v>
      </c>
      <c r="D4180" s="41" t="s">
        <v>33699</v>
      </c>
      <c r="F4180" s="41" t="s">
        <v>33700</v>
      </c>
      <c r="G4180" s="41" t="s">
        <v>33701</v>
      </c>
      <c r="H4180" s="41" t="s">
        <v>33702</v>
      </c>
      <c r="I4180" s="41" t="s">
        <v>33703</v>
      </c>
      <c r="J4180" s="41" t="s">
        <v>33704</v>
      </c>
      <c r="K4180" s="41" t="s">
        <v>33705</v>
      </c>
      <c r="L4180" s="41" t="s">
        <v>1094</v>
      </c>
    </row>
    <row r="4181" spans="1:19" x14ac:dyDescent="0.25">
      <c r="A4181" s="41" t="s">
        <v>908</v>
      </c>
      <c r="B4181" s="41" t="s">
        <v>33706</v>
      </c>
    </row>
    <row r="4182" spans="1:19" x14ac:dyDescent="0.25">
      <c r="A4182" s="41" t="s">
        <v>23</v>
      </c>
      <c r="B4182" s="41" t="s">
        <v>33707</v>
      </c>
      <c r="F4182" s="41" t="s">
        <v>33708</v>
      </c>
      <c r="G4182" s="41" t="s">
        <v>33709</v>
      </c>
      <c r="H4182" s="41" t="s">
        <v>33710</v>
      </c>
      <c r="I4182" s="41" t="s">
        <v>33711</v>
      </c>
      <c r="J4182" s="41" t="s">
        <v>33712</v>
      </c>
      <c r="L4182" s="41" t="s">
        <v>4</v>
      </c>
    </row>
    <row r="4183" spans="1:19" x14ac:dyDescent="0.25">
      <c r="A4183" s="41" t="s">
        <v>23</v>
      </c>
      <c r="B4183" s="41" t="s">
        <v>33713</v>
      </c>
      <c r="D4183" s="41" t="s">
        <v>489</v>
      </c>
      <c r="E4183" s="41" t="s">
        <v>33715</v>
      </c>
      <c r="F4183" s="41" t="s">
        <v>33716</v>
      </c>
      <c r="G4183" s="41" t="s">
        <v>33717</v>
      </c>
      <c r="H4183" s="41" t="s">
        <v>33718</v>
      </c>
      <c r="I4183" s="41" t="s">
        <v>33719</v>
      </c>
      <c r="J4183" s="41" t="s">
        <v>33720</v>
      </c>
      <c r="K4183" s="41" t="s">
        <v>33721</v>
      </c>
      <c r="L4183" s="41" t="s">
        <v>33722</v>
      </c>
      <c r="M4183" s="41" t="s">
        <v>33723</v>
      </c>
      <c r="N4183" s="41" t="s">
        <v>33724</v>
      </c>
      <c r="O4183" s="41" t="s">
        <v>33725</v>
      </c>
      <c r="P4183" s="41" t="s">
        <v>33726</v>
      </c>
      <c r="Q4183" s="41" t="s">
        <v>33727</v>
      </c>
      <c r="R4183" s="41" t="s">
        <v>33728</v>
      </c>
      <c r="S4183" s="41" t="s">
        <v>33729</v>
      </c>
    </row>
    <row r="4184" spans="1:19" x14ac:dyDescent="0.25">
      <c r="A4184" s="41" t="s">
        <v>23</v>
      </c>
      <c r="B4184" s="41" t="s">
        <v>33730</v>
      </c>
      <c r="D4184" s="41" t="s">
        <v>33731</v>
      </c>
      <c r="F4184" s="41" t="s">
        <v>33732</v>
      </c>
      <c r="G4184" s="41" t="s">
        <v>33733</v>
      </c>
      <c r="H4184" s="41" t="s">
        <v>33734</v>
      </c>
      <c r="I4184" s="41" t="s">
        <v>33735</v>
      </c>
      <c r="J4184" s="41" t="s">
        <v>33736</v>
      </c>
      <c r="K4184" s="41" t="s">
        <v>33737</v>
      </c>
      <c r="L4184" s="41" t="s">
        <v>891</v>
      </c>
    </row>
    <row r="4185" spans="1:19" x14ac:dyDescent="0.25">
      <c r="A4185" s="41" t="s">
        <v>23</v>
      </c>
      <c r="B4185" s="41" t="s">
        <v>33738</v>
      </c>
      <c r="D4185" s="41" t="s">
        <v>33739</v>
      </c>
      <c r="F4185" s="41" t="s">
        <v>33740</v>
      </c>
      <c r="G4185" s="41" t="s">
        <v>33741</v>
      </c>
      <c r="H4185" s="41" t="s">
        <v>33742</v>
      </c>
      <c r="I4185" s="41" t="s">
        <v>33743</v>
      </c>
      <c r="J4185" s="41" t="s">
        <v>33744</v>
      </c>
      <c r="K4185" s="41" t="s">
        <v>33745</v>
      </c>
      <c r="L4185" s="41" t="s">
        <v>1076</v>
      </c>
    </row>
    <row r="4186" spans="1:19" x14ac:dyDescent="0.25">
      <c r="A4186" s="41" t="s">
        <v>23</v>
      </c>
      <c r="B4186" s="41" t="s">
        <v>33746</v>
      </c>
      <c r="D4186" s="41" t="s">
        <v>33747</v>
      </c>
      <c r="F4186" s="41" t="s">
        <v>33748</v>
      </c>
      <c r="G4186" s="41" t="s">
        <v>33749</v>
      </c>
      <c r="H4186" s="41" t="s">
        <v>33750</v>
      </c>
      <c r="I4186" s="41" t="s">
        <v>33751</v>
      </c>
      <c r="J4186" s="41" t="s">
        <v>33752</v>
      </c>
      <c r="K4186" s="41" t="s">
        <v>33753</v>
      </c>
      <c r="L4186" s="41" t="s">
        <v>1085</v>
      </c>
    </row>
    <row r="4187" spans="1:19" x14ac:dyDescent="0.25">
      <c r="A4187" s="41" t="s">
        <v>23</v>
      </c>
      <c r="B4187" s="41" t="s">
        <v>33754</v>
      </c>
      <c r="D4187" s="41" t="s">
        <v>33755</v>
      </c>
      <c r="F4187" s="41" t="s">
        <v>33756</v>
      </c>
      <c r="G4187" s="41" t="s">
        <v>33757</v>
      </c>
      <c r="H4187" s="41" t="s">
        <v>33758</v>
      </c>
      <c r="I4187" s="41" t="s">
        <v>33759</v>
      </c>
      <c r="J4187" s="41" t="s">
        <v>33760</v>
      </c>
      <c r="K4187" s="41" t="s">
        <v>33761</v>
      </c>
      <c r="L4187" s="41" t="s">
        <v>1094</v>
      </c>
    </row>
    <row r="4188" spans="1:19" x14ac:dyDescent="0.25">
      <c r="A4188" s="41" t="s">
        <v>908</v>
      </c>
      <c r="B4188" s="41" t="s">
        <v>33762</v>
      </c>
    </row>
    <row r="4189" spans="1:19" x14ac:dyDescent="0.25">
      <c r="A4189" s="41" t="s">
        <v>23</v>
      </c>
      <c r="B4189" s="41" t="s">
        <v>33763</v>
      </c>
      <c r="F4189" s="41" t="s">
        <v>33764</v>
      </c>
      <c r="G4189" s="41" t="s">
        <v>33765</v>
      </c>
      <c r="H4189" s="41" t="s">
        <v>33766</v>
      </c>
      <c r="I4189" s="41" t="s">
        <v>33767</v>
      </c>
      <c r="J4189" s="41" t="s">
        <v>33768</v>
      </c>
      <c r="L4189" s="41" t="s">
        <v>4</v>
      </c>
    </row>
    <row r="4190" spans="1:19" x14ac:dyDescent="0.25">
      <c r="A4190" s="41" t="s">
        <v>23</v>
      </c>
      <c r="B4190" s="41" t="s">
        <v>33769</v>
      </c>
      <c r="D4190" s="41" t="s">
        <v>33603</v>
      </c>
      <c r="E4190" s="41" t="s">
        <v>33771</v>
      </c>
      <c r="F4190" s="41" t="s">
        <v>33772</v>
      </c>
      <c r="G4190" s="41" t="s">
        <v>33773</v>
      </c>
      <c r="H4190" s="41" t="s">
        <v>33774</v>
      </c>
      <c r="I4190" s="41" t="s">
        <v>33775</v>
      </c>
      <c r="J4190" s="41" t="s">
        <v>33776</v>
      </c>
      <c r="K4190" s="41" t="s">
        <v>33777</v>
      </c>
      <c r="L4190" s="41" t="s">
        <v>33778</v>
      </c>
      <c r="M4190" s="41" t="s">
        <v>33779</v>
      </c>
      <c r="N4190" s="41" t="s">
        <v>33780</v>
      </c>
      <c r="O4190" s="41" t="s">
        <v>33781</v>
      </c>
      <c r="P4190" s="41" t="s">
        <v>33782</v>
      </c>
      <c r="Q4190" s="41" t="s">
        <v>33783</v>
      </c>
      <c r="R4190" s="41" t="s">
        <v>33784</v>
      </c>
      <c r="S4190" s="41" t="s">
        <v>33785</v>
      </c>
    </row>
    <row r="4191" spans="1:19" x14ac:dyDescent="0.25">
      <c r="A4191" s="41" t="s">
        <v>23</v>
      </c>
      <c r="B4191" s="41" t="s">
        <v>33786</v>
      </c>
      <c r="D4191" s="41" t="s">
        <v>33787</v>
      </c>
      <c r="F4191" s="41" t="s">
        <v>33788</v>
      </c>
      <c r="G4191" s="41" t="s">
        <v>33789</v>
      </c>
      <c r="H4191" s="41" t="s">
        <v>33790</v>
      </c>
      <c r="I4191" s="41" t="s">
        <v>33791</v>
      </c>
      <c r="J4191" s="41" t="s">
        <v>33792</v>
      </c>
      <c r="K4191" s="41" t="s">
        <v>33793</v>
      </c>
      <c r="L4191" s="41" t="s">
        <v>891</v>
      </c>
    </row>
    <row r="4192" spans="1:19" x14ac:dyDescent="0.25">
      <c r="A4192" s="41" t="s">
        <v>23</v>
      </c>
      <c r="B4192" s="41" t="s">
        <v>33794</v>
      </c>
      <c r="D4192" s="41" t="s">
        <v>33795</v>
      </c>
      <c r="F4192" s="41" t="s">
        <v>33796</v>
      </c>
      <c r="G4192" s="41" t="s">
        <v>33797</v>
      </c>
      <c r="H4192" s="41" t="s">
        <v>33798</v>
      </c>
      <c r="I4192" s="41" t="s">
        <v>33799</v>
      </c>
      <c r="J4192" s="41" t="s">
        <v>33800</v>
      </c>
      <c r="K4192" s="41" t="s">
        <v>33801</v>
      </c>
      <c r="L4192" s="41" t="s">
        <v>1076</v>
      </c>
    </row>
    <row r="4193" spans="1:19" x14ac:dyDescent="0.25">
      <c r="A4193" s="41" t="s">
        <v>23</v>
      </c>
      <c r="B4193" s="41" t="s">
        <v>33802</v>
      </c>
      <c r="D4193" s="41" t="s">
        <v>33803</v>
      </c>
      <c r="F4193" s="41" t="s">
        <v>33804</v>
      </c>
      <c r="G4193" s="41" t="s">
        <v>33805</v>
      </c>
      <c r="H4193" s="41" t="s">
        <v>33806</v>
      </c>
      <c r="I4193" s="41" t="s">
        <v>33807</v>
      </c>
      <c r="J4193" s="41" t="s">
        <v>33808</v>
      </c>
      <c r="K4193" s="41" t="s">
        <v>33809</v>
      </c>
      <c r="L4193" s="41" t="s">
        <v>1085</v>
      </c>
    </row>
    <row r="4194" spans="1:19" x14ac:dyDescent="0.25">
      <c r="A4194" s="41" t="s">
        <v>23</v>
      </c>
      <c r="B4194" s="41" t="s">
        <v>33810</v>
      </c>
      <c r="D4194" s="41" t="s">
        <v>33811</v>
      </c>
      <c r="F4194" s="41" t="s">
        <v>33812</v>
      </c>
      <c r="G4194" s="41" t="s">
        <v>33813</v>
      </c>
      <c r="H4194" s="41" t="s">
        <v>33814</v>
      </c>
      <c r="I4194" s="41" t="s">
        <v>33815</v>
      </c>
      <c r="J4194" s="41" t="s">
        <v>33816</v>
      </c>
      <c r="K4194" s="41" t="s">
        <v>33817</v>
      </c>
      <c r="L4194" s="41" t="s">
        <v>1094</v>
      </c>
    </row>
    <row r="4195" spans="1:19" x14ac:dyDescent="0.25">
      <c r="A4195" s="41" t="s">
        <v>908</v>
      </c>
      <c r="B4195" s="41" t="s">
        <v>33818</v>
      </c>
    </row>
    <row r="4196" spans="1:19" x14ac:dyDescent="0.25">
      <c r="A4196" s="41" t="s">
        <v>23</v>
      </c>
      <c r="B4196" s="41" t="s">
        <v>33819</v>
      </c>
      <c r="F4196" s="41" t="s">
        <v>33820</v>
      </c>
      <c r="G4196" s="41" t="s">
        <v>33821</v>
      </c>
      <c r="H4196" s="41" t="s">
        <v>33822</v>
      </c>
      <c r="I4196" s="41" t="s">
        <v>33823</v>
      </c>
      <c r="J4196" s="41" t="s">
        <v>33824</v>
      </c>
      <c r="L4196" s="41" t="s">
        <v>4</v>
      </c>
    </row>
    <row r="4197" spans="1:19" x14ac:dyDescent="0.25">
      <c r="A4197" s="41" t="s">
        <v>23</v>
      </c>
      <c r="B4197" s="41" t="s">
        <v>33825</v>
      </c>
      <c r="D4197" s="41" t="s">
        <v>490</v>
      </c>
      <c r="E4197" s="41" t="s">
        <v>33827</v>
      </c>
      <c r="F4197" s="41" t="s">
        <v>33828</v>
      </c>
      <c r="G4197" s="41" t="s">
        <v>33829</v>
      </c>
      <c r="H4197" s="41" t="s">
        <v>33830</v>
      </c>
      <c r="I4197" s="41" t="s">
        <v>33831</v>
      </c>
      <c r="J4197" s="41" t="s">
        <v>33832</v>
      </c>
      <c r="K4197" s="41" t="s">
        <v>33833</v>
      </c>
      <c r="L4197" s="41" t="s">
        <v>33834</v>
      </c>
      <c r="M4197" s="41" t="s">
        <v>33835</v>
      </c>
      <c r="N4197" s="41" t="s">
        <v>33836</v>
      </c>
      <c r="O4197" s="41" t="s">
        <v>33837</v>
      </c>
      <c r="P4197" s="41" t="s">
        <v>33838</v>
      </c>
      <c r="Q4197" s="41" t="s">
        <v>33839</v>
      </c>
      <c r="R4197" s="41" t="s">
        <v>33840</v>
      </c>
      <c r="S4197" s="41" t="s">
        <v>33841</v>
      </c>
    </row>
    <row r="4198" spans="1:19" x14ac:dyDescent="0.25">
      <c r="A4198" s="41" t="s">
        <v>23</v>
      </c>
      <c r="B4198" s="41" t="s">
        <v>33842</v>
      </c>
      <c r="D4198" s="41" t="s">
        <v>33843</v>
      </c>
      <c r="F4198" s="41" t="s">
        <v>33844</v>
      </c>
      <c r="G4198" s="41" t="s">
        <v>33845</v>
      </c>
      <c r="H4198" s="41" t="s">
        <v>33846</v>
      </c>
      <c r="I4198" s="41" t="s">
        <v>33847</v>
      </c>
      <c r="J4198" s="41" t="s">
        <v>33848</v>
      </c>
      <c r="K4198" s="41" t="s">
        <v>33849</v>
      </c>
      <c r="L4198" s="41" t="s">
        <v>891</v>
      </c>
    </row>
    <row r="4199" spans="1:19" x14ac:dyDescent="0.25">
      <c r="A4199" s="41" t="s">
        <v>23</v>
      </c>
      <c r="B4199" s="41" t="s">
        <v>33850</v>
      </c>
      <c r="D4199" s="41" t="s">
        <v>33851</v>
      </c>
      <c r="F4199" s="41" t="s">
        <v>33852</v>
      </c>
      <c r="G4199" s="41" t="s">
        <v>33853</v>
      </c>
      <c r="H4199" s="41" t="s">
        <v>33854</v>
      </c>
      <c r="I4199" s="41" t="s">
        <v>33855</v>
      </c>
      <c r="J4199" s="41" t="s">
        <v>33856</v>
      </c>
      <c r="K4199" s="41" t="s">
        <v>33857</v>
      </c>
      <c r="L4199" s="41" t="s">
        <v>1076</v>
      </c>
    </row>
    <row r="4200" spans="1:19" x14ac:dyDescent="0.25">
      <c r="A4200" s="41" t="s">
        <v>23</v>
      </c>
      <c r="B4200" s="41" t="s">
        <v>33858</v>
      </c>
      <c r="D4200" s="41" t="s">
        <v>33859</v>
      </c>
      <c r="F4200" s="41" t="s">
        <v>33860</v>
      </c>
      <c r="G4200" s="41" t="s">
        <v>33861</v>
      </c>
      <c r="H4200" s="41" t="s">
        <v>33862</v>
      </c>
      <c r="I4200" s="41" t="s">
        <v>33863</v>
      </c>
      <c r="J4200" s="41" t="s">
        <v>33864</v>
      </c>
      <c r="K4200" s="41" t="s">
        <v>33865</v>
      </c>
      <c r="L4200" s="41" t="s">
        <v>1085</v>
      </c>
    </row>
    <row r="4201" spans="1:19" x14ac:dyDescent="0.25">
      <c r="A4201" s="41" t="s">
        <v>23</v>
      </c>
      <c r="B4201" s="41" t="s">
        <v>33866</v>
      </c>
      <c r="D4201" s="41" t="s">
        <v>33867</v>
      </c>
      <c r="F4201" s="41" t="s">
        <v>33868</v>
      </c>
      <c r="G4201" s="41" t="s">
        <v>33869</v>
      </c>
      <c r="H4201" s="41" t="s">
        <v>33870</v>
      </c>
      <c r="I4201" s="41" t="s">
        <v>33871</v>
      </c>
      <c r="J4201" s="41" t="s">
        <v>33872</v>
      </c>
      <c r="K4201" s="41" t="s">
        <v>33873</v>
      </c>
      <c r="L4201" s="41" t="s">
        <v>1094</v>
      </c>
    </row>
    <row r="4202" spans="1:19" x14ac:dyDescent="0.25">
      <c r="A4202" s="41" t="s">
        <v>908</v>
      </c>
      <c r="B4202" s="41" t="s">
        <v>33874</v>
      </c>
    </row>
    <row r="4203" spans="1:19" x14ac:dyDescent="0.25">
      <c r="A4203" s="41" t="s">
        <v>23</v>
      </c>
      <c r="B4203" s="41" t="s">
        <v>33875</v>
      </c>
      <c r="F4203" s="41" t="s">
        <v>33876</v>
      </c>
      <c r="G4203" s="41" t="s">
        <v>33877</v>
      </c>
      <c r="H4203" s="41" t="s">
        <v>33878</v>
      </c>
      <c r="I4203" s="41" t="s">
        <v>33879</v>
      </c>
      <c r="J4203" s="41" t="s">
        <v>33880</v>
      </c>
      <c r="L4203" s="41" t="s">
        <v>4</v>
      </c>
    </row>
    <row r="4204" spans="1:19" x14ac:dyDescent="0.25">
      <c r="A4204" s="41" t="s">
        <v>23</v>
      </c>
      <c r="B4204" s="41" t="s">
        <v>33881</v>
      </c>
      <c r="D4204" s="41" t="s">
        <v>33714</v>
      </c>
      <c r="E4204" s="41" t="s">
        <v>33883</v>
      </c>
      <c r="F4204" s="41" t="s">
        <v>33884</v>
      </c>
      <c r="G4204" s="41" t="s">
        <v>33885</v>
      </c>
      <c r="H4204" s="41" t="s">
        <v>33886</v>
      </c>
      <c r="I4204" s="41" t="s">
        <v>33887</v>
      </c>
      <c r="J4204" s="41" t="s">
        <v>33888</v>
      </c>
      <c r="K4204" s="41" t="s">
        <v>33889</v>
      </c>
      <c r="L4204" s="41" t="s">
        <v>33890</v>
      </c>
      <c r="M4204" s="41" t="s">
        <v>33891</v>
      </c>
      <c r="N4204" s="41" t="s">
        <v>33892</v>
      </c>
      <c r="O4204" s="41" t="s">
        <v>33893</v>
      </c>
      <c r="P4204" s="41" t="s">
        <v>33894</v>
      </c>
      <c r="Q4204" s="41" t="s">
        <v>33895</v>
      </c>
      <c r="R4204" s="41" t="s">
        <v>33896</v>
      </c>
      <c r="S4204" s="41" t="s">
        <v>33897</v>
      </c>
    </row>
    <row r="4205" spans="1:19" x14ac:dyDescent="0.25">
      <c r="A4205" s="41" t="s">
        <v>23</v>
      </c>
      <c r="B4205" s="41" t="s">
        <v>33898</v>
      </c>
      <c r="D4205" s="41" t="s">
        <v>33899</v>
      </c>
      <c r="F4205" s="41" t="s">
        <v>33900</v>
      </c>
      <c r="G4205" s="41" t="s">
        <v>33901</v>
      </c>
      <c r="H4205" s="41" t="s">
        <v>33902</v>
      </c>
      <c r="I4205" s="41" t="s">
        <v>33903</v>
      </c>
      <c r="J4205" s="41" t="s">
        <v>33904</v>
      </c>
      <c r="K4205" s="41" t="s">
        <v>33905</v>
      </c>
      <c r="L4205" s="41" t="s">
        <v>891</v>
      </c>
    </row>
    <row r="4206" spans="1:19" x14ac:dyDescent="0.25">
      <c r="A4206" s="41" t="s">
        <v>23</v>
      </c>
      <c r="B4206" s="41" t="s">
        <v>33906</v>
      </c>
      <c r="D4206" s="41" t="s">
        <v>33907</v>
      </c>
      <c r="F4206" s="41" t="s">
        <v>33908</v>
      </c>
      <c r="G4206" s="41" t="s">
        <v>33909</v>
      </c>
      <c r="H4206" s="41" t="s">
        <v>33910</v>
      </c>
      <c r="I4206" s="41" t="s">
        <v>33911</v>
      </c>
      <c r="J4206" s="41" t="s">
        <v>33912</v>
      </c>
      <c r="K4206" s="41" t="s">
        <v>33913</v>
      </c>
      <c r="L4206" s="41" t="s">
        <v>1076</v>
      </c>
    </row>
    <row r="4207" spans="1:19" x14ac:dyDescent="0.25">
      <c r="A4207" s="41" t="s">
        <v>23</v>
      </c>
      <c r="B4207" s="41" t="s">
        <v>33914</v>
      </c>
      <c r="D4207" s="41" t="s">
        <v>33915</v>
      </c>
      <c r="F4207" s="41" t="s">
        <v>33916</v>
      </c>
      <c r="G4207" s="41" t="s">
        <v>33917</v>
      </c>
      <c r="H4207" s="41" t="s">
        <v>33918</v>
      </c>
      <c r="I4207" s="41" t="s">
        <v>33919</v>
      </c>
      <c r="J4207" s="41" t="s">
        <v>33920</v>
      </c>
      <c r="K4207" s="41" t="s">
        <v>33921</v>
      </c>
      <c r="L4207" s="41" t="s">
        <v>1085</v>
      </c>
    </row>
    <row r="4208" spans="1:19" x14ac:dyDescent="0.25">
      <c r="A4208" s="41" t="s">
        <v>23</v>
      </c>
      <c r="B4208" s="41" t="s">
        <v>33922</v>
      </c>
      <c r="D4208" s="41" t="s">
        <v>33923</v>
      </c>
      <c r="F4208" s="41" t="s">
        <v>33924</v>
      </c>
      <c r="G4208" s="41" t="s">
        <v>33925</v>
      </c>
      <c r="H4208" s="41" t="s">
        <v>33926</v>
      </c>
      <c r="I4208" s="41" t="s">
        <v>33927</v>
      </c>
      <c r="J4208" s="41" t="s">
        <v>33928</v>
      </c>
      <c r="K4208" s="41" t="s">
        <v>33929</v>
      </c>
      <c r="L4208" s="41" t="s">
        <v>1094</v>
      </c>
    </row>
    <row r="4209" spans="1:19" x14ac:dyDescent="0.25">
      <c r="A4209" s="41" t="s">
        <v>908</v>
      </c>
      <c r="B4209" s="41" t="s">
        <v>33930</v>
      </c>
    </row>
    <row r="4210" spans="1:19" x14ac:dyDescent="0.25">
      <c r="A4210" s="41" t="s">
        <v>23</v>
      </c>
      <c r="B4210" s="41" t="s">
        <v>33931</v>
      </c>
      <c r="F4210" s="41" t="s">
        <v>33932</v>
      </c>
      <c r="G4210" s="41" t="s">
        <v>33933</v>
      </c>
      <c r="H4210" s="41" t="s">
        <v>33934</v>
      </c>
      <c r="I4210" s="41" t="s">
        <v>33935</v>
      </c>
      <c r="J4210" s="41" t="s">
        <v>33936</v>
      </c>
      <c r="L4210" s="41" t="s">
        <v>4</v>
      </c>
    </row>
    <row r="4211" spans="1:19" x14ac:dyDescent="0.25">
      <c r="A4211" s="41" t="s">
        <v>23</v>
      </c>
      <c r="B4211" s="41" t="s">
        <v>33937</v>
      </c>
      <c r="D4211" s="41" t="s">
        <v>33770</v>
      </c>
      <c r="E4211" s="41" t="s">
        <v>33939</v>
      </c>
      <c r="F4211" s="41" t="s">
        <v>33940</v>
      </c>
      <c r="G4211" s="41" t="s">
        <v>33941</v>
      </c>
      <c r="H4211" s="41" t="s">
        <v>33942</v>
      </c>
      <c r="I4211" s="41" t="s">
        <v>33943</v>
      </c>
      <c r="J4211" s="41" t="s">
        <v>33944</v>
      </c>
      <c r="K4211" s="41" t="s">
        <v>33945</v>
      </c>
      <c r="L4211" s="41" t="s">
        <v>33946</v>
      </c>
      <c r="M4211" s="41" t="s">
        <v>33947</v>
      </c>
      <c r="N4211" s="41" t="s">
        <v>33948</v>
      </c>
      <c r="O4211" s="41" t="s">
        <v>33949</v>
      </c>
      <c r="P4211" s="41" t="s">
        <v>33950</v>
      </c>
      <c r="Q4211" s="41" t="s">
        <v>33951</v>
      </c>
      <c r="R4211" s="41" t="s">
        <v>33952</v>
      </c>
      <c r="S4211" s="41" t="s">
        <v>33953</v>
      </c>
    </row>
    <row r="4212" spans="1:19" x14ac:dyDescent="0.25">
      <c r="A4212" s="41" t="s">
        <v>23</v>
      </c>
      <c r="B4212" s="41" t="s">
        <v>33954</v>
      </c>
      <c r="D4212" s="41" t="s">
        <v>33955</v>
      </c>
      <c r="F4212" s="41" t="s">
        <v>33956</v>
      </c>
      <c r="G4212" s="41" t="s">
        <v>33957</v>
      </c>
      <c r="H4212" s="41" t="s">
        <v>33958</v>
      </c>
      <c r="I4212" s="41" t="s">
        <v>33959</v>
      </c>
      <c r="J4212" s="41" t="s">
        <v>33960</v>
      </c>
      <c r="K4212" s="41" t="s">
        <v>33961</v>
      </c>
      <c r="L4212" s="41" t="s">
        <v>891</v>
      </c>
    </row>
    <row r="4213" spans="1:19" x14ac:dyDescent="0.25">
      <c r="A4213" s="41" t="s">
        <v>23</v>
      </c>
      <c r="B4213" s="41" t="s">
        <v>33962</v>
      </c>
      <c r="D4213" s="41" t="s">
        <v>33963</v>
      </c>
      <c r="F4213" s="41" t="s">
        <v>33964</v>
      </c>
      <c r="G4213" s="41" t="s">
        <v>33965</v>
      </c>
      <c r="H4213" s="41" t="s">
        <v>33966</v>
      </c>
      <c r="I4213" s="41" t="s">
        <v>33967</v>
      </c>
      <c r="J4213" s="41" t="s">
        <v>33968</v>
      </c>
      <c r="K4213" s="41" t="s">
        <v>33969</v>
      </c>
      <c r="L4213" s="41" t="s">
        <v>1076</v>
      </c>
    </row>
    <row r="4214" spans="1:19" x14ac:dyDescent="0.25">
      <c r="A4214" s="41" t="s">
        <v>23</v>
      </c>
      <c r="B4214" s="41" t="s">
        <v>33970</v>
      </c>
      <c r="D4214" s="41" t="s">
        <v>33971</v>
      </c>
      <c r="F4214" s="41" t="s">
        <v>33972</v>
      </c>
      <c r="G4214" s="41" t="s">
        <v>33973</v>
      </c>
      <c r="H4214" s="41" t="s">
        <v>33974</v>
      </c>
      <c r="I4214" s="41" t="s">
        <v>33975</v>
      </c>
      <c r="J4214" s="41" t="s">
        <v>33976</v>
      </c>
      <c r="K4214" s="41" t="s">
        <v>33977</v>
      </c>
      <c r="L4214" s="41" t="s">
        <v>1085</v>
      </c>
    </row>
    <row r="4215" spans="1:19" x14ac:dyDescent="0.25">
      <c r="A4215" s="41" t="s">
        <v>23</v>
      </c>
      <c r="B4215" s="41" t="s">
        <v>33978</v>
      </c>
      <c r="D4215" s="41" t="s">
        <v>33979</v>
      </c>
      <c r="F4215" s="41" t="s">
        <v>33980</v>
      </c>
      <c r="G4215" s="41" t="s">
        <v>33981</v>
      </c>
      <c r="H4215" s="41" t="s">
        <v>33982</v>
      </c>
      <c r="I4215" s="41" t="s">
        <v>33983</v>
      </c>
      <c r="J4215" s="41" t="s">
        <v>33984</v>
      </c>
      <c r="K4215" s="41" t="s">
        <v>33985</v>
      </c>
      <c r="L4215" s="41" t="s">
        <v>1094</v>
      </c>
    </row>
    <row r="4216" spans="1:19" x14ac:dyDescent="0.25">
      <c r="A4216" s="41" t="s">
        <v>908</v>
      </c>
      <c r="B4216" s="41" t="s">
        <v>33986</v>
      </c>
    </row>
    <row r="4217" spans="1:19" x14ac:dyDescent="0.25">
      <c r="A4217" s="41" t="s">
        <v>23</v>
      </c>
      <c r="B4217" s="41" t="s">
        <v>33987</v>
      </c>
      <c r="F4217" s="41" t="s">
        <v>33988</v>
      </c>
      <c r="G4217" s="41" t="s">
        <v>33989</v>
      </c>
      <c r="H4217" s="41" t="s">
        <v>33990</v>
      </c>
      <c r="I4217" s="41" t="s">
        <v>33991</v>
      </c>
      <c r="J4217" s="41" t="s">
        <v>33992</v>
      </c>
      <c r="L4217" s="41" t="s">
        <v>4</v>
      </c>
    </row>
    <row r="4218" spans="1:19" x14ac:dyDescent="0.25">
      <c r="A4218" s="41" t="s">
        <v>23</v>
      </c>
      <c r="B4218" s="41" t="s">
        <v>33993</v>
      </c>
      <c r="D4218" s="41" t="s">
        <v>33826</v>
      </c>
      <c r="E4218" s="41" t="s">
        <v>33994</v>
      </c>
      <c r="F4218" s="41" t="s">
        <v>33995</v>
      </c>
      <c r="G4218" s="41" t="s">
        <v>33996</v>
      </c>
      <c r="H4218" s="41" t="s">
        <v>33997</v>
      </c>
      <c r="I4218" s="41" t="s">
        <v>33998</v>
      </c>
      <c r="J4218" s="41" t="s">
        <v>33999</v>
      </c>
      <c r="K4218" s="41" t="s">
        <v>34000</v>
      </c>
      <c r="L4218" s="41" t="s">
        <v>34001</v>
      </c>
      <c r="M4218" s="41" t="s">
        <v>34002</v>
      </c>
      <c r="N4218" s="41" t="s">
        <v>34003</v>
      </c>
      <c r="O4218" s="41" t="s">
        <v>34004</v>
      </c>
      <c r="P4218" s="41" t="s">
        <v>34005</v>
      </c>
      <c r="Q4218" s="41" t="s">
        <v>34006</v>
      </c>
      <c r="R4218" s="41" t="s">
        <v>34007</v>
      </c>
      <c r="S4218" s="41" t="s">
        <v>34008</v>
      </c>
    </row>
    <row r="4219" spans="1:19" x14ac:dyDescent="0.25">
      <c r="A4219" s="41" t="s">
        <v>23</v>
      </c>
      <c r="B4219" s="41" t="s">
        <v>34009</v>
      </c>
      <c r="D4219" s="41" t="s">
        <v>34010</v>
      </c>
      <c r="F4219" s="41" t="s">
        <v>34011</v>
      </c>
      <c r="G4219" s="41" t="s">
        <v>34012</v>
      </c>
      <c r="H4219" s="41" t="s">
        <v>34013</v>
      </c>
      <c r="I4219" s="41" t="s">
        <v>34014</v>
      </c>
      <c r="J4219" s="41" t="s">
        <v>34015</v>
      </c>
      <c r="K4219" s="41" t="s">
        <v>34016</v>
      </c>
      <c r="L4219" s="41" t="s">
        <v>891</v>
      </c>
    </row>
    <row r="4220" spans="1:19" x14ac:dyDescent="0.25">
      <c r="A4220" s="41" t="s">
        <v>23</v>
      </c>
      <c r="B4220" s="41" t="s">
        <v>34017</v>
      </c>
      <c r="D4220" s="41" t="s">
        <v>34018</v>
      </c>
      <c r="F4220" s="41" t="s">
        <v>34019</v>
      </c>
      <c r="G4220" s="41" t="s">
        <v>34020</v>
      </c>
      <c r="H4220" s="41" t="s">
        <v>34021</v>
      </c>
      <c r="I4220" s="41" t="s">
        <v>34022</v>
      </c>
      <c r="J4220" s="41" t="s">
        <v>34023</v>
      </c>
      <c r="K4220" s="41" t="s">
        <v>34024</v>
      </c>
      <c r="L4220" s="41" t="s">
        <v>1076</v>
      </c>
    </row>
    <row r="4221" spans="1:19" x14ac:dyDescent="0.25">
      <c r="A4221" s="41" t="s">
        <v>23</v>
      </c>
      <c r="B4221" s="41" t="s">
        <v>34025</v>
      </c>
      <c r="D4221" s="41" t="s">
        <v>34026</v>
      </c>
      <c r="F4221" s="41" t="s">
        <v>34027</v>
      </c>
      <c r="G4221" s="41" t="s">
        <v>34028</v>
      </c>
      <c r="H4221" s="41" t="s">
        <v>34029</v>
      </c>
      <c r="I4221" s="41" t="s">
        <v>34030</v>
      </c>
      <c r="J4221" s="41" t="s">
        <v>34031</v>
      </c>
      <c r="K4221" s="41" t="s">
        <v>34032</v>
      </c>
      <c r="L4221" s="41" t="s">
        <v>1085</v>
      </c>
    </row>
    <row r="4222" spans="1:19" x14ac:dyDescent="0.25">
      <c r="A4222" s="41" t="s">
        <v>23</v>
      </c>
      <c r="B4222" s="41" t="s">
        <v>34033</v>
      </c>
      <c r="D4222" s="41" t="s">
        <v>34034</v>
      </c>
      <c r="F4222" s="41" t="s">
        <v>34035</v>
      </c>
      <c r="G4222" s="41" t="s">
        <v>34036</v>
      </c>
      <c r="H4222" s="41" t="s">
        <v>34037</v>
      </c>
      <c r="I4222" s="41" t="s">
        <v>34038</v>
      </c>
      <c r="J4222" s="41" t="s">
        <v>34039</v>
      </c>
      <c r="K4222" s="41" t="s">
        <v>34040</v>
      </c>
      <c r="L4222" s="41" t="s">
        <v>1094</v>
      </c>
    </row>
    <row r="4223" spans="1:19" x14ac:dyDescent="0.25">
      <c r="A4223" s="41" t="s">
        <v>908</v>
      </c>
      <c r="B4223" s="41" t="s">
        <v>34041</v>
      </c>
    </row>
    <row r="4224" spans="1:19" x14ac:dyDescent="0.25">
      <c r="A4224" s="41" t="s">
        <v>23</v>
      </c>
      <c r="B4224" s="41" t="s">
        <v>34042</v>
      </c>
      <c r="F4224" s="41" t="s">
        <v>34043</v>
      </c>
      <c r="G4224" s="41" t="s">
        <v>34044</v>
      </c>
      <c r="H4224" s="41" t="s">
        <v>34045</v>
      </c>
      <c r="I4224" s="41" t="s">
        <v>34046</v>
      </c>
      <c r="J4224" s="41" t="s">
        <v>34047</v>
      </c>
      <c r="L4224" s="41" t="s">
        <v>4</v>
      </c>
    </row>
    <row r="4225" spans="1:19" x14ac:dyDescent="0.25">
      <c r="A4225" s="41" t="s">
        <v>23</v>
      </c>
      <c r="B4225" s="41" t="s">
        <v>34048</v>
      </c>
      <c r="D4225" s="41" t="s">
        <v>33882</v>
      </c>
      <c r="E4225" s="41" t="s">
        <v>34049</v>
      </c>
      <c r="F4225" s="41" t="s">
        <v>34050</v>
      </c>
      <c r="G4225" s="41" t="s">
        <v>34051</v>
      </c>
      <c r="H4225" s="41" t="s">
        <v>34052</v>
      </c>
      <c r="I4225" s="41" t="s">
        <v>34053</v>
      </c>
      <c r="J4225" s="41" t="s">
        <v>34054</v>
      </c>
      <c r="K4225" s="41" t="s">
        <v>34055</v>
      </c>
      <c r="L4225" s="41" t="s">
        <v>34056</v>
      </c>
      <c r="M4225" s="41" t="s">
        <v>34057</v>
      </c>
      <c r="N4225" s="41" t="s">
        <v>34058</v>
      </c>
      <c r="O4225" s="41" t="s">
        <v>34059</v>
      </c>
      <c r="P4225" s="41" t="s">
        <v>34060</v>
      </c>
      <c r="Q4225" s="41" t="s">
        <v>34061</v>
      </c>
      <c r="R4225" s="41" t="s">
        <v>34062</v>
      </c>
      <c r="S4225" s="41" t="s">
        <v>34063</v>
      </c>
    </row>
    <row r="4226" spans="1:19" x14ac:dyDescent="0.25">
      <c r="A4226" s="41" t="s">
        <v>23</v>
      </c>
      <c r="B4226" s="41" t="s">
        <v>34064</v>
      </c>
      <c r="D4226" s="41" t="s">
        <v>34065</v>
      </c>
      <c r="F4226" s="41" t="s">
        <v>34066</v>
      </c>
      <c r="G4226" s="41" t="s">
        <v>34067</v>
      </c>
      <c r="H4226" s="41" t="s">
        <v>34068</v>
      </c>
      <c r="I4226" s="41" t="s">
        <v>34069</v>
      </c>
      <c r="J4226" s="41" t="s">
        <v>34070</v>
      </c>
      <c r="K4226" s="41" t="s">
        <v>34071</v>
      </c>
      <c r="L4226" s="41" t="s">
        <v>891</v>
      </c>
    </row>
    <row r="4227" spans="1:19" x14ac:dyDescent="0.25">
      <c r="A4227" s="41" t="s">
        <v>23</v>
      </c>
      <c r="B4227" s="41" t="s">
        <v>34072</v>
      </c>
      <c r="D4227" s="41" t="s">
        <v>34073</v>
      </c>
      <c r="F4227" s="41" t="s">
        <v>34074</v>
      </c>
      <c r="G4227" s="41" t="s">
        <v>34075</v>
      </c>
      <c r="H4227" s="41" t="s">
        <v>34076</v>
      </c>
      <c r="I4227" s="41" t="s">
        <v>34077</v>
      </c>
      <c r="J4227" s="41" t="s">
        <v>34078</v>
      </c>
      <c r="K4227" s="41" t="s">
        <v>34079</v>
      </c>
      <c r="L4227" s="41" t="s">
        <v>1076</v>
      </c>
    </row>
    <row r="4228" spans="1:19" x14ac:dyDescent="0.25">
      <c r="A4228" s="41" t="s">
        <v>23</v>
      </c>
      <c r="B4228" s="41" t="s">
        <v>34080</v>
      </c>
      <c r="D4228" s="41" t="s">
        <v>34081</v>
      </c>
      <c r="F4228" s="41" t="s">
        <v>34082</v>
      </c>
      <c r="G4228" s="41" t="s">
        <v>34083</v>
      </c>
      <c r="H4228" s="41" t="s">
        <v>34084</v>
      </c>
      <c r="I4228" s="41" t="s">
        <v>34085</v>
      </c>
      <c r="J4228" s="41" t="s">
        <v>34086</v>
      </c>
      <c r="K4228" s="41" t="s">
        <v>34087</v>
      </c>
      <c r="L4228" s="41" t="s">
        <v>1085</v>
      </c>
    </row>
    <row r="4229" spans="1:19" x14ac:dyDescent="0.25">
      <c r="A4229" s="41" t="s">
        <v>23</v>
      </c>
      <c r="B4229" s="41" t="s">
        <v>34088</v>
      </c>
      <c r="D4229" s="41" t="s">
        <v>34089</v>
      </c>
      <c r="F4229" s="41" t="s">
        <v>34090</v>
      </c>
      <c r="G4229" s="41" t="s">
        <v>34091</v>
      </c>
      <c r="H4229" s="41" t="s">
        <v>34092</v>
      </c>
      <c r="I4229" s="41" t="s">
        <v>34093</v>
      </c>
      <c r="J4229" s="41" t="s">
        <v>34094</v>
      </c>
      <c r="K4229" s="41" t="s">
        <v>34095</v>
      </c>
      <c r="L4229" s="41" t="s">
        <v>1094</v>
      </c>
    </row>
    <row r="4230" spans="1:19" x14ac:dyDescent="0.25">
      <c r="A4230" s="41" t="s">
        <v>908</v>
      </c>
      <c r="B4230" s="41" t="s">
        <v>34096</v>
      </c>
    </row>
    <row r="4231" spans="1:19" x14ac:dyDescent="0.25">
      <c r="A4231" s="41" t="s">
        <v>23</v>
      </c>
      <c r="B4231" s="41" t="s">
        <v>34097</v>
      </c>
      <c r="F4231" s="41" t="s">
        <v>34098</v>
      </c>
      <c r="G4231" s="41" t="s">
        <v>34099</v>
      </c>
      <c r="H4231" s="41" t="s">
        <v>34100</v>
      </c>
      <c r="I4231" s="41" t="s">
        <v>34101</v>
      </c>
      <c r="J4231" s="41" t="s">
        <v>34102</v>
      </c>
      <c r="L4231" s="41" t="s">
        <v>4</v>
      </c>
    </row>
    <row r="4232" spans="1:19" x14ac:dyDescent="0.25">
      <c r="A4232" s="41" t="s">
        <v>23</v>
      </c>
      <c r="B4232" s="41" t="s">
        <v>34103</v>
      </c>
      <c r="D4232" s="41" t="s">
        <v>33938</v>
      </c>
      <c r="E4232" s="41" t="s">
        <v>34104</v>
      </c>
      <c r="F4232" s="41" t="s">
        <v>34105</v>
      </c>
      <c r="G4232" s="41" t="s">
        <v>34106</v>
      </c>
      <c r="H4232" s="41" t="s">
        <v>34107</v>
      </c>
      <c r="I4232" s="41" t="s">
        <v>34108</v>
      </c>
      <c r="J4232" s="41" t="s">
        <v>34109</v>
      </c>
      <c r="K4232" s="41" t="s">
        <v>34110</v>
      </c>
      <c r="L4232" s="41" t="s">
        <v>34111</v>
      </c>
      <c r="M4232" s="41" t="s">
        <v>34112</v>
      </c>
      <c r="N4232" s="41" t="s">
        <v>34113</v>
      </c>
      <c r="O4232" s="41" t="s">
        <v>34114</v>
      </c>
      <c r="P4232" s="41" t="s">
        <v>34115</v>
      </c>
      <c r="Q4232" s="41" t="s">
        <v>34116</v>
      </c>
      <c r="R4232" s="41" t="s">
        <v>34117</v>
      </c>
      <c r="S4232" s="41" t="s">
        <v>34118</v>
      </c>
    </row>
    <row r="4233" spans="1:19" x14ac:dyDescent="0.25">
      <c r="A4233" s="41" t="s">
        <v>23</v>
      </c>
      <c r="B4233" s="41" t="s">
        <v>34119</v>
      </c>
      <c r="D4233" s="41" t="s">
        <v>34120</v>
      </c>
      <c r="F4233" s="41" t="s">
        <v>34121</v>
      </c>
      <c r="G4233" s="41" t="s">
        <v>34122</v>
      </c>
      <c r="H4233" s="41" t="s">
        <v>34123</v>
      </c>
      <c r="I4233" s="41" t="s">
        <v>34124</v>
      </c>
      <c r="J4233" s="41" t="s">
        <v>34125</v>
      </c>
      <c r="K4233" s="41" t="s">
        <v>34126</v>
      </c>
      <c r="L4233" s="41" t="s">
        <v>891</v>
      </c>
    </row>
    <row r="4234" spans="1:19" x14ac:dyDescent="0.25">
      <c r="A4234" s="41" t="s">
        <v>23</v>
      </c>
      <c r="B4234" s="41" t="s">
        <v>34127</v>
      </c>
      <c r="D4234" s="41" t="s">
        <v>34128</v>
      </c>
      <c r="F4234" s="41" t="s">
        <v>34129</v>
      </c>
      <c r="G4234" s="41" t="s">
        <v>34130</v>
      </c>
      <c r="H4234" s="41" t="s">
        <v>34131</v>
      </c>
      <c r="I4234" s="41" t="s">
        <v>34132</v>
      </c>
      <c r="J4234" s="41" t="s">
        <v>34133</v>
      </c>
      <c r="K4234" s="41" t="s">
        <v>34134</v>
      </c>
      <c r="L4234" s="41" t="s">
        <v>1076</v>
      </c>
    </row>
    <row r="4235" spans="1:19" x14ac:dyDescent="0.25">
      <c r="A4235" s="41" t="s">
        <v>23</v>
      </c>
      <c r="B4235" s="41" t="s">
        <v>34135</v>
      </c>
      <c r="D4235" s="41" t="s">
        <v>34136</v>
      </c>
      <c r="F4235" s="41" t="s">
        <v>34137</v>
      </c>
      <c r="G4235" s="41" t="s">
        <v>34138</v>
      </c>
      <c r="H4235" s="41" t="s">
        <v>34139</v>
      </c>
      <c r="I4235" s="41" t="s">
        <v>34140</v>
      </c>
      <c r="J4235" s="41" t="s">
        <v>34141</v>
      </c>
      <c r="K4235" s="41" t="s">
        <v>34142</v>
      </c>
      <c r="L4235" s="41" t="s">
        <v>1085</v>
      </c>
    </row>
    <row r="4236" spans="1:19" x14ac:dyDescent="0.25">
      <c r="A4236" s="41" t="s">
        <v>23</v>
      </c>
      <c r="B4236" s="41" t="s">
        <v>34143</v>
      </c>
      <c r="D4236" s="41" t="s">
        <v>34144</v>
      </c>
      <c r="F4236" s="41" t="s">
        <v>34145</v>
      </c>
      <c r="G4236" s="41" t="s">
        <v>34146</v>
      </c>
      <c r="H4236" s="41" t="s">
        <v>34147</v>
      </c>
      <c r="I4236" s="41" t="s">
        <v>34148</v>
      </c>
      <c r="J4236" s="41" t="s">
        <v>34149</v>
      </c>
      <c r="K4236" s="41" t="s">
        <v>34150</v>
      </c>
      <c r="L4236" s="41" t="s">
        <v>1094</v>
      </c>
    </row>
    <row r="4237" spans="1:19" x14ac:dyDescent="0.25">
      <c r="A4237" s="41" t="s">
        <v>908</v>
      </c>
      <c r="B4237" s="41" t="s">
        <v>34151</v>
      </c>
    </row>
    <row r="4238" spans="1:19" x14ac:dyDescent="0.25">
      <c r="A4238" s="41" t="s">
        <v>23</v>
      </c>
      <c r="B4238" s="41" t="s">
        <v>34152</v>
      </c>
      <c r="F4238" s="41" t="s">
        <v>34153</v>
      </c>
      <c r="G4238" s="41" t="s">
        <v>34154</v>
      </c>
      <c r="H4238" s="41" t="s">
        <v>34155</v>
      </c>
      <c r="I4238" s="41" t="s">
        <v>34156</v>
      </c>
      <c r="J4238" s="41" t="s">
        <v>34157</v>
      </c>
      <c r="L4238" s="41" t="s">
        <v>4</v>
      </c>
    </row>
    <row r="4239" spans="1:19" x14ac:dyDescent="0.25">
      <c r="A4239" s="41" t="s">
        <v>23</v>
      </c>
      <c r="B4239" s="41" t="s">
        <v>34158</v>
      </c>
      <c r="D4239" s="41" t="s">
        <v>491</v>
      </c>
      <c r="E4239" s="41" t="s">
        <v>34159</v>
      </c>
      <c r="F4239" s="41" t="s">
        <v>34160</v>
      </c>
      <c r="G4239" s="41" t="s">
        <v>34161</v>
      </c>
      <c r="H4239" s="41" t="s">
        <v>34162</v>
      </c>
      <c r="I4239" s="41" t="s">
        <v>34163</v>
      </c>
      <c r="J4239" s="41" t="s">
        <v>34164</v>
      </c>
      <c r="K4239" s="41" t="s">
        <v>34165</v>
      </c>
      <c r="L4239" s="41" t="s">
        <v>34166</v>
      </c>
      <c r="M4239" s="41" t="s">
        <v>34167</v>
      </c>
      <c r="N4239" s="41" t="s">
        <v>34168</v>
      </c>
      <c r="O4239" s="41" t="s">
        <v>34169</v>
      </c>
      <c r="P4239" s="41" t="s">
        <v>34170</v>
      </c>
      <c r="Q4239" s="41" t="s">
        <v>34171</v>
      </c>
      <c r="R4239" s="41" t="s">
        <v>34172</v>
      </c>
      <c r="S4239" s="41" t="s">
        <v>34173</v>
      </c>
    </row>
    <row r="4240" spans="1:19" x14ac:dyDescent="0.25">
      <c r="A4240" s="41" t="s">
        <v>23</v>
      </c>
      <c r="B4240" s="41" t="s">
        <v>34174</v>
      </c>
      <c r="D4240" s="41" t="s">
        <v>34175</v>
      </c>
      <c r="F4240" s="41" t="s">
        <v>34176</v>
      </c>
      <c r="G4240" s="41" t="s">
        <v>34177</v>
      </c>
      <c r="H4240" s="41" t="s">
        <v>34178</v>
      </c>
      <c r="I4240" s="41" t="s">
        <v>34179</v>
      </c>
      <c r="J4240" s="41" t="s">
        <v>34180</v>
      </c>
      <c r="K4240" s="41" t="s">
        <v>34181</v>
      </c>
      <c r="L4240" s="41" t="s">
        <v>891</v>
      </c>
    </row>
    <row r="4241" spans="1:19" x14ac:dyDescent="0.25">
      <c r="A4241" s="41" t="s">
        <v>23</v>
      </c>
      <c r="B4241" s="41" t="s">
        <v>34182</v>
      </c>
      <c r="D4241" s="41" t="s">
        <v>34183</v>
      </c>
      <c r="F4241" s="41" t="s">
        <v>34184</v>
      </c>
      <c r="G4241" s="41" t="s">
        <v>34185</v>
      </c>
      <c r="H4241" s="41" t="s">
        <v>34186</v>
      </c>
      <c r="I4241" s="41" t="s">
        <v>34187</v>
      </c>
      <c r="J4241" s="41" t="s">
        <v>34188</v>
      </c>
      <c r="K4241" s="41" t="s">
        <v>34189</v>
      </c>
      <c r="L4241" s="41" t="s">
        <v>1076</v>
      </c>
    </row>
    <row r="4242" spans="1:19" x14ac:dyDescent="0.25">
      <c r="A4242" s="41" t="s">
        <v>23</v>
      </c>
      <c r="B4242" s="41" t="s">
        <v>34190</v>
      </c>
      <c r="D4242" s="41" t="s">
        <v>34191</v>
      </c>
      <c r="F4242" s="41" t="s">
        <v>34192</v>
      </c>
      <c r="G4242" s="41" t="s">
        <v>34193</v>
      </c>
      <c r="H4242" s="41" t="s">
        <v>34194</v>
      </c>
      <c r="I4242" s="41" t="s">
        <v>34195</v>
      </c>
      <c r="J4242" s="41" t="s">
        <v>34196</v>
      </c>
      <c r="K4242" s="41" t="s">
        <v>34197</v>
      </c>
      <c r="L4242" s="41" t="s">
        <v>1085</v>
      </c>
    </row>
    <row r="4243" spans="1:19" x14ac:dyDescent="0.25">
      <c r="A4243" s="41" t="s">
        <v>23</v>
      </c>
      <c r="B4243" s="41" t="s">
        <v>34198</v>
      </c>
      <c r="D4243" s="41" t="s">
        <v>34199</v>
      </c>
      <c r="F4243" s="41" t="s">
        <v>34200</v>
      </c>
      <c r="G4243" s="41" t="s">
        <v>34201</v>
      </c>
      <c r="H4243" s="41" t="s">
        <v>34202</v>
      </c>
      <c r="I4243" s="41" t="s">
        <v>34203</v>
      </c>
      <c r="J4243" s="41" t="s">
        <v>34204</v>
      </c>
      <c r="K4243" s="41" t="s">
        <v>34205</v>
      </c>
      <c r="L4243" s="41" t="s">
        <v>1094</v>
      </c>
    </row>
    <row r="4244" spans="1:19" x14ac:dyDescent="0.25">
      <c r="A4244" s="41" t="s">
        <v>908</v>
      </c>
      <c r="B4244" s="41" t="s">
        <v>34206</v>
      </c>
    </row>
    <row r="4245" spans="1:19" x14ac:dyDescent="0.25">
      <c r="A4245" s="41" t="s">
        <v>23</v>
      </c>
      <c r="B4245" s="41" t="s">
        <v>34207</v>
      </c>
      <c r="F4245" s="41" t="s">
        <v>34208</v>
      </c>
      <c r="G4245" s="41" t="s">
        <v>34209</v>
      </c>
      <c r="H4245" s="41" t="s">
        <v>34210</v>
      </c>
      <c r="I4245" s="41" t="s">
        <v>34211</v>
      </c>
      <c r="J4245" s="41" t="s">
        <v>34212</v>
      </c>
      <c r="L4245" s="41" t="s">
        <v>4</v>
      </c>
    </row>
    <row r="4246" spans="1:19" x14ac:dyDescent="0.25">
      <c r="A4246" s="41" t="s">
        <v>23</v>
      </c>
      <c r="B4246" s="41" t="s">
        <v>34213</v>
      </c>
      <c r="D4246" s="41" t="s">
        <v>492</v>
      </c>
      <c r="E4246" s="41" t="s">
        <v>34214</v>
      </c>
      <c r="F4246" s="41" t="s">
        <v>34215</v>
      </c>
      <c r="G4246" s="41" t="s">
        <v>34216</v>
      </c>
      <c r="H4246" s="41" t="s">
        <v>34217</v>
      </c>
      <c r="I4246" s="41" t="s">
        <v>34218</v>
      </c>
      <c r="J4246" s="41" t="s">
        <v>34219</v>
      </c>
      <c r="K4246" s="41" t="s">
        <v>34220</v>
      </c>
      <c r="L4246" s="41" t="s">
        <v>34221</v>
      </c>
      <c r="M4246" s="41" t="s">
        <v>34222</v>
      </c>
      <c r="N4246" s="41" t="s">
        <v>34223</v>
      </c>
      <c r="O4246" s="41" t="s">
        <v>34224</v>
      </c>
      <c r="P4246" s="41" t="s">
        <v>34225</v>
      </c>
      <c r="Q4246" s="41" t="s">
        <v>34226</v>
      </c>
      <c r="R4246" s="41" t="s">
        <v>34227</v>
      </c>
      <c r="S4246" s="41" t="s">
        <v>34228</v>
      </c>
    </row>
    <row r="4247" spans="1:19" x14ac:dyDescent="0.25">
      <c r="A4247" s="41" t="s">
        <v>23</v>
      </c>
      <c r="B4247" s="41" t="s">
        <v>34229</v>
      </c>
      <c r="D4247" s="41" t="s">
        <v>34230</v>
      </c>
      <c r="F4247" s="41" t="s">
        <v>34231</v>
      </c>
      <c r="G4247" s="41" t="s">
        <v>34232</v>
      </c>
      <c r="H4247" s="41" t="s">
        <v>34233</v>
      </c>
      <c r="I4247" s="41" t="s">
        <v>34234</v>
      </c>
      <c r="J4247" s="41" t="s">
        <v>34235</v>
      </c>
      <c r="K4247" s="41" t="s">
        <v>34236</v>
      </c>
      <c r="L4247" s="41" t="s">
        <v>891</v>
      </c>
    </row>
    <row r="4248" spans="1:19" x14ac:dyDescent="0.25">
      <c r="A4248" s="41" t="s">
        <v>23</v>
      </c>
      <c r="B4248" s="41" t="s">
        <v>34237</v>
      </c>
      <c r="D4248" s="41" t="s">
        <v>34238</v>
      </c>
      <c r="F4248" s="41" t="s">
        <v>34239</v>
      </c>
      <c r="G4248" s="41" t="s">
        <v>34240</v>
      </c>
      <c r="H4248" s="41" t="s">
        <v>34241</v>
      </c>
      <c r="I4248" s="41" t="s">
        <v>34242</v>
      </c>
      <c r="J4248" s="41" t="s">
        <v>34243</v>
      </c>
      <c r="K4248" s="41" t="s">
        <v>34244</v>
      </c>
      <c r="L4248" s="41" t="s">
        <v>1076</v>
      </c>
    </row>
    <row r="4249" spans="1:19" x14ac:dyDescent="0.25">
      <c r="A4249" s="41" t="s">
        <v>23</v>
      </c>
      <c r="B4249" s="41" t="s">
        <v>34245</v>
      </c>
      <c r="D4249" s="41" t="s">
        <v>34246</v>
      </c>
      <c r="F4249" s="41" t="s">
        <v>34247</v>
      </c>
      <c r="G4249" s="41" t="s">
        <v>34248</v>
      </c>
      <c r="H4249" s="41" t="s">
        <v>34249</v>
      </c>
      <c r="I4249" s="41" t="s">
        <v>34250</v>
      </c>
      <c r="J4249" s="41" t="s">
        <v>34251</v>
      </c>
      <c r="K4249" s="41" t="s">
        <v>34252</v>
      </c>
      <c r="L4249" s="41" t="s">
        <v>1085</v>
      </c>
    </row>
    <row r="4250" spans="1:19" x14ac:dyDescent="0.25">
      <c r="A4250" s="41" t="s">
        <v>23</v>
      </c>
      <c r="B4250" s="41" t="s">
        <v>34253</v>
      </c>
      <c r="D4250" s="41" t="s">
        <v>34254</v>
      </c>
      <c r="F4250" s="41" t="s">
        <v>34255</v>
      </c>
      <c r="G4250" s="41" t="s">
        <v>34256</v>
      </c>
      <c r="H4250" s="41" t="s">
        <v>34257</v>
      </c>
      <c r="I4250" s="41" t="s">
        <v>34258</v>
      </c>
      <c r="J4250" s="41" t="s">
        <v>34259</v>
      </c>
      <c r="K4250" s="41" t="s">
        <v>34260</v>
      </c>
      <c r="L4250" s="41" t="s">
        <v>1094</v>
      </c>
    </row>
    <row r="4251" spans="1:19" x14ac:dyDescent="0.25">
      <c r="A4251" s="41" t="s">
        <v>908</v>
      </c>
      <c r="B4251" s="41" t="s">
        <v>34261</v>
      </c>
    </row>
    <row r="4252" spans="1:19" x14ac:dyDescent="0.25">
      <c r="A4252" s="41" t="s">
        <v>23</v>
      </c>
      <c r="B4252" s="41" t="s">
        <v>34262</v>
      </c>
      <c r="F4252" s="41" t="s">
        <v>34263</v>
      </c>
      <c r="G4252" s="41" t="s">
        <v>34264</v>
      </c>
      <c r="H4252" s="41" t="s">
        <v>34265</v>
      </c>
      <c r="I4252" s="41" t="s">
        <v>34266</v>
      </c>
      <c r="J4252" s="41" t="s">
        <v>34267</v>
      </c>
      <c r="L4252" s="41" t="s">
        <v>4</v>
      </c>
    </row>
    <row r="4253" spans="1:19" x14ac:dyDescent="0.25">
      <c r="A4253" s="41" t="s">
        <v>23</v>
      </c>
      <c r="B4253" s="41" t="s">
        <v>34268</v>
      </c>
      <c r="D4253" s="41" t="s">
        <v>493</v>
      </c>
      <c r="E4253" s="41" t="s">
        <v>34269</v>
      </c>
      <c r="F4253" s="41" t="s">
        <v>34270</v>
      </c>
      <c r="G4253" s="41" t="s">
        <v>34271</v>
      </c>
      <c r="H4253" s="41" t="s">
        <v>34272</v>
      </c>
      <c r="I4253" s="41" t="s">
        <v>34273</v>
      </c>
      <c r="J4253" s="41" t="s">
        <v>34274</v>
      </c>
      <c r="K4253" s="41" t="s">
        <v>34275</v>
      </c>
      <c r="L4253" s="41" t="s">
        <v>34276</v>
      </c>
      <c r="M4253" s="41" t="s">
        <v>34277</v>
      </c>
      <c r="N4253" s="41" t="s">
        <v>34278</v>
      </c>
      <c r="O4253" s="41" t="s">
        <v>34279</v>
      </c>
      <c r="P4253" s="41" t="s">
        <v>34280</v>
      </c>
      <c r="Q4253" s="41" t="s">
        <v>34281</v>
      </c>
      <c r="R4253" s="41" t="s">
        <v>34282</v>
      </c>
      <c r="S4253" s="41" t="s">
        <v>34283</v>
      </c>
    </row>
    <row r="4254" spans="1:19" x14ac:dyDescent="0.25">
      <c r="A4254" s="41" t="s">
        <v>23</v>
      </c>
      <c r="B4254" s="41" t="s">
        <v>34284</v>
      </c>
      <c r="D4254" s="41" t="s">
        <v>34285</v>
      </c>
      <c r="F4254" s="41" t="s">
        <v>34286</v>
      </c>
      <c r="G4254" s="41" t="s">
        <v>34287</v>
      </c>
      <c r="H4254" s="41" t="s">
        <v>34288</v>
      </c>
      <c r="I4254" s="41" t="s">
        <v>34289</v>
      </c>
      <c r="J4254" s="41" t="s">
        <v>34290</v>
      </c>
      <c r="K4254" s="41" t="s">
        <v>34291</v>
      </c>
      <c r="L4254" s="41" t="s">
        <v>891</v>
      </c>
    </row>
    <row r="4255" spans="1:19" x14ac:dyDescent="0.25">
      <c r="A4255" s="41" t="s">
        <v>23</v>
      </c>
      <c r="B4255" s="41" t="s">
        <v>34292</v>
      </c>
      <c r="D4255" s="41" t="s">
        <v>34293</v>
      </c>
      <c r="F4255" s="41" t="s">
        <v>34294</v>
      </c>
      <c r="G4255" s="41" t="s">
        <v>34295</v>
      </c>
      <c r="H4255" s="41" t="s">
        <v>34296</v>
      </c>
      <c r="I4255" s="41" t="s">
        <v>34297</v>
      </c>
      <c r="J4255" s="41" t="s">
        <v>34298</v>
      </c>
      <c r="K4255" s="41" t="s">
        <v>34299</v>
      </c>
      <c r="L4255" s="41" t="s">
        <v>1076</v>
      </c>
    </row>
    <row r="4256" spans="1:19" x14ac:dyDescent="0.25">
      <c r="A4256" s="41" t="s">
        <v>23</v>
      </c>
      <c r="B4256" s="41" t="s">
        <v>34300</v>
      </c>
      <c r="D4256" s="41" t="s">
        <v>34301</v>
      </c>
      <c r="F4256" s="41" t="s">
        <v>34302</v>
      </c>
      <c r="G4256" s="41" t="s">
        <v>34303</v>
      </c>
      <c r="H4256" s="41" t="s">
        <v>34304</v>
      </c>
      <c r="I4256" s="41" t="s">
        <v>34305</v>
      </c>
      <c r="J4256" s="41" t="s">
        <v>34306</v>
      </c>
      <c r="K4256" s="41" t="s">
        <v>34307</v>
      </c>
      <c r="L4256" s="41" t="s">
        <v>1085</v>
      </c>
    </row>
    <row r="4257" spans="1:19" x14ac:dyDescent="0.25">
      <c r="A4257" s="41" t="s">
        <v>23</v>
      </c>
      <c r="B4257" s="41" t="s">
        <v>34308</v>
      </c>
      <c r="D4257" s="41" t="s">
        <v>34309</v>
      </c>
      <c r="F4257" s="41" t="s">
        <v>34310</v>
      </c>
      <c r="G4257" s="41" t="s">
        <v>34311</v>
      </c>
      <c r="H4257" s="41" t="s">
        <v>34312</v>
      </c>
      <c r="I4257" s="41" t="s">
        <v>34313</v>
      </c>
      <c r="J4257" s="41" t="s">
        <v>34314</v>
      </c>
      <c r="K4257" s="41" t="s">
        <v>34315</v>
      </c>
      <c r="L4257" s="41" t="s">
        <v>1094</v>
      </c>
    </row>
    <row r="4258" spans="1:19" x14ac:dyDescent="0.25">
      <c r="A4258" s="41" t="s">
        <v>908</v>
      </c>
      <c r="B4258" s="41" t="s">
        <v>34316</v>
      </c>
    </row>
    <row r="4259" spans="1:19" x14ac:dyDescent="0.25">
      <c r="A4259" s="41" t="s">
        <v>23</v>
      </c>
      <c r="B4259" s="41" t="s">
        <v>34317</v>
      </c>
      <c r="F4259" s="41" t="s">
        <v>34318</v>
      </c>
      <c r="G4259" s="41" t="s">
        <v>34319</v>
      </c>
      <c r="H4259" s="41" t="s">
        <v>34320</v>
      </c>
      <c r="I4259" s="41" t="s">
        <v>34321</v>
      </c>
      <c r="J4259" s="41" t="s">
        <v>34322</v>
      </c>
      <c r="L4259" s="41" t="s">
        <v>4</v>
      </c>
    </row>
    <row r="4260" spans="1:19" x14ac:dyDescent="0.25">
      <c r="A4260" s="41" t="s">
        <v>23</v>
      </c>
      <c r="B4260" s="41" t="s">
        <v>34323</v>
      </c>
      <c r="D4260" s="41" t="s">
        <v>494</v>
      </c>
      <c r="E4260" s="41" t="s">
        <v>34324</v>
      </c>
      <c r="F4260" s="41" t="s">
        <v>34325</v>
      </c>
      <c r="G4260" s="41" t="s">
        <v>34326</v>
      </c>
      <c r="H4260" s="41" t="s">
        <v>34327</v>
      </c>
      <c r="I4260" s="41" t="s">
        <v>34328</v>
      </c>
      <c r="J4260" s="41" t="s">
        <v>34329</v>
      </c>
      <c r="K4260" s="41" t="s">
        <v>34330</v>
      </c>
      <c r="L4260" s="41" t="s">
        <v>34331</v>
      </c>
      <c r="M4260" s="41" t="s">
        <v>34332</v>
      </c>
      <c r="N4260" s="41" t="s">
        <v>34333</v>
      </c>
      <c r="O4260" s="41" t="s">
        <v>34334</v>
      </c>
      <c r="P4260" s="41" t="s">
        <v>34335</v>
      </c>
      <c r="Q4260" s="41" t="s">
        <v>34336</v>
      </c>
      <c r="R4260" s="41" t="s">
        <v>34337</v>
      </c>
      <c r="S4260" s="41" t="s">
        <v>34338</v>
      </c>
    </row>
    <row r="4261" spans="1:19" x14ac:dyDescent="0.25">
      <c r="A4261" s="41" t="s">
        <v>23</v>
      </c>
      <c r="B4261" s="41" t="s">
        <v>34339</v>
      </c>
      <c r="D4261" s="41" t="s">
        <v>34340</v>
      </c>
      <c r="F4261" s="41" t="s">
        <v>34341</v>
      </c>
      <c r="G4261" s="41" t="s">
        <v>34342</v>
      </c>
      <c r="H4261" s="41" t="s">
        <v>34343</v>
      </c>
      <c r="I4261" s="41" t="s">
        <v>34344</v>
      </c>
      <c r="J4261" s="41" t="s">
        <v>34345</v>
      </c>
      <c r="K4261" s="41" t="s">
        <v>34346</v>
      </c>
      <c r="L4261" s="41" t="s">
        <v>891</v>
      </c>
    </row>
    <row r="4262" spans="1:19" x14ac:dyDescent="0.25">
      <c r="A4262" s="41" t="s">
        <v>23</v>
      </c>
      <c r="B4262" s="41" t="s">
        <v>34347</v>
      </c>
      <c r="D4262" s="41" t="s">
        <v>34348</v>
      </c>
      <c r="F4262" s="41" t="s">
        <v>34349</v>
      </c>
      <c r="G4262" s="41" t="s">
        <v>34350</v>
      </c>
      <c r="H4262" s="41" t="s">
        <v>34351</v>
      </c>
      <c r="I4262" s="41" t="s">
        <v>34352</v>
      </c>
      <c r="J4262" s="41" t="s">
        <v>34353</v>
      </c>
      <c r="K4262" s="41" t="s">
        <v>34354</v>
      </c>
      <c r="L4262" s="41" t="s">
        <v>1076</v>
      </c>
    </row>
    <row r="4263" spans="1:19" x14ac:dyDescent="0.25">
      <c r="A4263" s="41" t="s">
        <v>23</v>
      </c>
      <c r="B4263" s="41" t="s">
        <v>34355</v>
      </c>
      <c r="D4263" s="41" t="s">
        <v>34356</v>
      </c>
      <c r="F4263" s="41" t="s">
        <v>34357</v>
      </c>
      <c r="G4263" s="41" t="s">
        <v>34358</v>
      </c>
      <c r="H4263" s="41" t="s">
        <v>34359</v>
      </c>
      <c r="I4263" s="41" t="s">
        <v>34360</v>
      </c>
      <c r="J4263" s="41" t="s">
        <v>34361</v>
      </c>
      <c r="K4263" s="41" t="s">
        <v>34362</v>
      </c>
      <c r="L4263" s="41" t="s">
        <v>1085</v>
      </c>
    </row>
    <row r="4264" spans="1:19" x14ac:dyDescent="0.25">
      <c r="A4264" s="41" t="s">
        <v>23</v>
      </c>
      <c r="B4264" s="41" t="s">
        <v>34363</v>
      </c>
      <c r="D4264" s="41" t="s">
        <v>34364</v>
      </c>
      <c r="F4264" s="41" t="s">
        <v>34365</v>
      </c>
      <c r="G4264" s="41" t="s">
        <v>34366</v>
      </c>
      <c r="H4264" s="41" t="s">
        <v>34367</v>
      </c>
      <c r="I4264" s="41" t="s">
        <v>34368</v>
      </c>
      <c r="J4264" s="41" t="s">
        <v>34369</v>
      </c>
      <c r="K4264" s="41" t="s">
        <v>34370</v>
      </c>
      <c r="L4264" s="41" t="s">
        <v>1094</v>
      </c>
    </row>
    <row r="4265" spans="1:19" x14ac:dyDescent="0.25">
      <c r="A4265" s="41" t="s">
        <v>908</v>
      </c>
      <c r="B4265" s="41" t="s">
        <v>34371</v>
      </c>
    </row>
    <row r="4266" spans="1:19" x14ac:dyDescent="0.25">
      <c r="A4266" s="41" t="s">
        <v>23</v>
      </c>
      <c r="B4266" s="41" t="s">
        <v>34372</v>
      </c>
      <c r="F4266" s="41" t="s">
        <v>34373</v>
      </c>
      <c r="G4266" s="41" t="s">
        <v>34374</v>
      </c>
      <c r="H4266" s="41" t="s">
        <v>34375</v>
      </c>
      <c r="I4266" s="41" t="s">
        <v>34376</v>
      </c>
      <c r="J4266" s="41" t="s">
        <v>34377</v>
      </c>
      <c r="L4266" s="41" t="s">
        <v>4</v>
      </c>
    </row>
    <row r="4267" spans="1:19" x14ac:dyDescent="0.25">
      <c r="A4267" s="41" t="s">
        <v>23</v>
      </c>
      <c r="B4267" s="41" t="s">
        <v>34378</v>
      </c>
      <c r="D4267" s="41" t="s">
        <v>495</v>
      </c>
      <c r="E4267" s="41" t="s">
        <v>34380</v>
      </c>
      <c r="F4267" s="41" t="s">
        <v>34381</v>
      </c>
      <c r="G4267" s="41" t="s">
        <v>34382</v>
      </c>
      <c r="H4267" s="41" t="s">
        <v>34383</v>
      </c>
      <c r="I4267" s="41" t="s">
        <v>34384</v>
      </c>
      <c r="J4267" s="41" t="s">
        <v>34385</v>
      </c>
      <c r="K4267" s="41" t="s">
        <v>34386</v>
      </c>
      <c r="L4267" s="41" t="s">
        <v>34387</v>
      </c>
      <c r="M4267" s="41" t="s">
        <v>34388</v>
      </c>
      <c r="N4267" s="41" t="s">
        <v>34389</v>
      </c>
      <c r="O4267" s="41" t="s">
        <v>34390</v>
      </c>
      <c r="P4267" s="41" t="s">
        <v>34391</v>
      </c>
      <c r="Q4267" s="41" t="s">
        <v>34392</v>
      </c>
      <c r="R4267" s="41" t="s">
        <v>34393</v>
      </c>
      <c r="S4267" s="41" t="s">
        <v>34394</v>
      </c>
    </row>
    <row r="4268" spans="1:19" x14ac:dyDescent="0.25">
      <c r="A4268" s="41" t="s">
        <v>23</v>
      </c>
      <c r="B4268" s="41" t="s">
        <v>34395</v>
      </c>
      <c r="D4268" s="41" t="s">
        <v>34396</v>
      </c>
      <c r="F4268" s="41" t="s">
        <v>34397</v>
      </c>
      <c r="G4268" s="41" t="s">
        <v>34398</v>
      </c>
      <c r="H4268" s="41" t="s">
        <v>34399</v>
      </c>
      <c r="I4268" s="41" t="s">
        <v>34400</v>
      </c>
      <c r="J4268" s="41" t="s">
        <v>34401</v>
      </c>
      <c r="K4268" s="41" t="s">
        <v>34402</v>
      </c>
      <c r="L4268" s="41" t="s">
        <v>891</v>
      </c>
    </row>
    <row r="4269" spans="1:19" x14ac:dyDescent="0.25">
      <c r="A4269" s="41" t="s">
        <v>23</v>
      </c>
      <c r="B4269" s="41" t="s">
        <v>34403</v>
      </c>
      <c r="D4269" s="41" t="s">
        <v>34404</v>
      </c>
      <c r="F4269" s="41" t="s">
        <v>34405</v>
      </c>
      <c r="G4269" s="41" t="s">
        <v>34406</v>
      </c>
      <c r="H4269" s="41" t="s">
        <v>34407</v>
      </c>
      <c r="I4269" s="41" t="s">
        <v>34408</v>
      </c>
      <c r="J4269" s="41" t="s">
        <v>34409</v>
      </c>
      <c r="K4269" s="41" t="s">
        <v>34410</v>
      </c>
      <c r="L4269" s="41" t="s">
        <v>1076</v>
      </c>
    </row>
    <row r="4270" spans="1:19" x14ac:dyDescent="0.25">
      <c r="A4270" s="41" t="s">
        <v>23</v>
      </c>
      <c r="B4270" s="41" t="s">
        <v>34411</v>
      </c>
      <c r="D4270" s="41" t="s">
        <v>34412</v>
      </c>
      <c r="F4270" s="41" t="s">
        <v>34413</v>
      </c>
      <c r="G4270" s="41" t="s">
        <v>34414</v>
      </c>
      <c r="H4270" s="41" t="s">
        <v>34415</v>
      </c>
      <c r="I4270" s="41" t="s">
        <v>34416</v>
      </c>
      <c r="J4270" s="41" t="s">
        <v>34417</v>
      </c>
      <c r="K4270" s="41" t="s">
        <v>34418</v>
      </c>
      <c r="L4270" s="41" t="s">
        <v>1085</v>
      </c>
    </row>
    <row r="4271" spans="1:19" x14ac:dyDescent="0.25">
      <c r="A4271" s="41" t="s">
        <v>23</v>
      </c>
      <c r="B4271" s="41" t="s">
        <v>34419</v>
      </c>
      <c r="D4271" s="41" t="s">
        <v>34420</v>
      </c>
      <c r="F4271" s="41" t="s">
        <v>34421</v>
      </c>
      <c r="G4271" s="41" t="s">
        <v>34422</v>
      </c>
      <c r="H4271" s="41" t="s">
        <v>34423</v>
      </c>
      <c r="I4271" s="41" t="s">
        <v>34424</v>
      </c>
      <c r="J4271" s="41" t="s">
        <v>34425</v>
      </c>
      <c r="K4271" s="41" t="s">
        <v>34426</v>
      </c>
      <c r="L4271" s="41" t="s">
        <v>1094</v>
      </c>
    </row>
    <row r="4272" spans="1:19" x14ac:dyDescent="0.25">
      <c r="A4272" s="41" t="s">
        <v>908</v>
      </c>
      <c r="B4272" s="41" t="s">
        <v>34427</v>
      </c>
    </row>
    <row r="4273" spans="1:19" x14ac:dyDescent="0.25">
      <c r="A4273" s="41" t="s">
        <v>23</v>
      </c>
      <c r="B4273" s="41" t="s">
        <v>34428</v>
      </c>
      <c r="F4273" s="41" t="s">
        <v>34429</v>
      </c>
      <c r="G4273" s="41" t="s">
        <v>34430</v>
      </c>
      <c r="H4273" s="41" t="s">
        <v>34431</v>
      </c>
      <c r="I4273" s="41" t="s">
        <v>34432</v>
      </c>
      <c r="J4273" s="41" t="s">
        <v>34433</v>
      </c>
      <c r="L4273" s="41" t="s">
        <v>4</v>
      </c>
    </row>
    <row r="4274" spans="1:19" x14ac:dyDescent="0.25">
      <c r="A4274" s="41" t="s">
        <v>23</v>
      </c>
      <c r="B4274" s="41" t="s">
        <v>34434</v>
      </c>
      <c r="D4274" s="41" t="s">
        <v>865</v>
      </c>
      <c r="E4274" s="41" t="s">
        <v>34436</v>
      </c>
      <c r="F4274" s="41" t="s">
        <v>34437</v>
      </c>
      <c r="G4274" s="41" t="s">
        <v>34438</v>
      </c>
      <c r="H4274" s="41" t="s">
        <v>34439</v>
      </c>
      <c r="I4274" s="41" t="s">
        <v>34440</v>
      </c>
      <c r="J4274" s="41" t="s">
        <v>34441</v>
      </c>
      <c r="K4274" s="41" t="s">
        <v>34442</v>
      </c>
      <c r="L4274" s="41" t="s">
        <v>34443</v>
      </c>
      <c r="M4274" s="41" t="s">
        <v>34444</v>
      </c>
      <c r="N4274" s="41" t="s">
        <v>34445</v>
      </c>
      <c r="O4274" s="41" t="s">
        <v>34446</v>
      </c>
      <c r="P4274" s="41" t="s">
        <v>34447</v>
      </c>
      <c r="Q4274" s="41" t="s">
        <v>34448</v>
      </c>
      <c r="R4274" s="41" t="s">
        <v>34449</v>
      </c>
      <c r="S4274" s="41" t="s">
        <v>34450</v>
      </c>
    </row>
    <row r="4275" spans="1:19" x14ac:dyDescent="0.25">
      <c r="A4275" s="41" t="s">
        <v>23</v>
      </c>
      <c r="B4275" s="41" t="s">
        <v>34451</v>
      </c>
      <c r="D4275" s="41" t="s">
        <v>34452</v>
      </c>
      <c r="F4275" s="41" t="s">
        <v>34453</v>
      </c>
      <c r="G4275" s="41" t="s">
        <v>34454</v>
      </c>
      <c r="H4275" s="41" t="s">
        <v>34455</v>
      </c>
      <c r="I4275" s="41" t="s">
        <v>34456</v>
      </c>
      <c r="J4275" s="41" t="s">
        <v>34457</v>
      </c>
      <c r="K4275" s="41" t="s">
        <v>34458</v>
      </c>
      <c r="L4275" s="41" t="s">
        <v>891</v>
      </c>
    </row>
    <row r="4276" spans="1:19" x14ac:dyDescent="0.25">
      <c r="A4276" s="41" t="s">
        <v>23</v>
      </c>
      <c r="B4276" s="41" t="s">
        <v>34459</v>
      </c>
      <c r="D4276" s="41" t="s">
        <v>34460</v>
      </c>
      <c r="F4276" s="41" t="s">
        <v>34461</v>
      </c>
      <c r="G4276" s="41" t="s">
        <v>34462</v>
      </c>
      <c r="H4276" s="41" t="s">
        <v>34463</v>
      </c>
      <c r="I4276" s="41" t="s">
        <v>34464</v>
      </c>
      <c r="J4276" s="41" t="s">
        <v>34465</v>
      </c>
      <c r="K4276" s="41" t="s">
        <v>34466</v>
      </c>
      <c r="L4276" s="41" t="s">
        <v>1076</v>
      </c>
    </row>
    <row r="4277" spans="1:19" x14ac:dyDescent="0.25">
      <c r="A4277" s="41" t="s">
        <v>23</v>
      </c>
      <c r="B4277" s="41" t="s">
        <v>34467</v>
      </c>
      <c r="D4277" s="41" t="s">
        <v>34468</v>
      </c>
      <c r="F4277" s="41" t="s">
        <v>34469</v>
      </c>
      <c r="G4277" s="41" t="s">
        <v>34470</v>
      </c>
      <c r="H4277" s="41" t="s">
        <v>34471</v>
      </c>
      <c r="I4277" s="41" t="s">
        <v>34472</v>
      </c>
      <c r="J4277" s="41" t="s">
        <v>34473</v>
      </c>
      <c r="K4277" s="41" t="s">
        <v>34474</v>
      </c>
      <c r="L4277" s="41" t="s">
        <v>1085</v>
      </c>
    </row>
    <row r="4278" spans="1:19" x14ac:dyDescent="0.25">
      <c r="A4278" s="41" t="s">
        <v>23</v>
      </c>
      <c r="B4278" s="41" t="s">
        <v>34475</v>
      </c>
      <c r="D4278" s="41" t="s">
        <v>34476</v>
      </c>
      <c r="F4278" s="41" t="s">
        <v>34477</v>
      </c>
      <c r="G4278" s="41" t="s">
        <v>34478</v>
      </c>
      <c r="H4278" s="41" t="s">
        <v>34479</v>
      </c>
      <c r="I4278" s="41" t="s">
        <v>34480</v>
      </c>
      <c r="J4278" s="41" t="s">
        <v>34481</v>
      </c>
      <c r="K4278" s="41" t="s">
        <v>34482</v>
      </c>
      <c r="L4278" s="41" t="s">
        <v>1094</v>
      </c>
    </row>
    <row r="4279" spans="1:19" x14ac:dyDescent="0.25">
      <c r="A4279" s="41" t="s">
        <v>908</v>
      </c>
      <c r="B4279" s="41" t="s">
        <v>34483</v>
      </c>
    </row>
    <row r="4280" spans="1:19" x14ac:dyDescent="0.25">
      <c r="A4280" s="41" t="s">
        <v>23</v>
      </c>
      <c r="B4280" s="41" t="s">
        <v>34484</v>
      </c>
      <c r="F4280" s="41" t="s">
        <v>34485</v>
      </c>
      <c r="G4280" s="41" t="s">
        <v>34486</v>
      </c>
      <c r="H4280" s="41" t="s">
        <v>34487</v>
      </c>
      <c r="I4280" s="41" t="s">
        <v>34488</v>
      </c>
      <c r="J4280" s="41" t="s">
        <v>34489</v>
      </c>
      <c r="L4280" s="41" t="s">
        <v>4</v>
      </c>
    </row>
    <row r="4281" spans="1:19" x14ac:dyDescent="0.25">
      <c r="A4281" s="41" t="s">
        <v>23</v>
      </c>
      <c r="B4281" s="41" t="s">
        <v>34490</v>
      </c>
      <c r="D4281" s="41" t="s">
        <v>866</v>
      </c>
      <c r="E4281" s="41" t="s">
        <v>34492</v>
      </c>
      <c r="F4281" s="41" t="s">
        <v>34493</v>
      </c>
      <c r="G4281" s="41" t="s">
        <v>34494</v>
      </c>
      <c r="H4281" s="41" t="s">
        <v>34495</v>
      </c>
      <c r="I4281" s="41" t="s">
        <v>34496</v>
      </c>
      <c r="J4281" s="41" t="s">
        <v>34497</v>
      </c>
      <c r="K4281" s="41" t="s">
        <v>34498</v>
      </c>
      <c r="L4281" s="41" t="s">
        <v>34499</v>
      </c>
      <c r="M4281" s="41" t="s">
        <v>34500</v>
      </c>
      <c r="N4281" s="41" t="s">
        <v>34501</v>
      </c>
      <c r="O4281" s="41" t="s">
        <v>34502</v>
      </c>
      <c r="P4281" s="41" t="s">
        <v>34503</v>
      </c>
      <c r="Q4281" s="41" t="s">
        <v>34504</v>
      </c>
      <c r="R4281" s="41" t="s">
        <v>34505</v>
      </c>
      <c r="S4281" s="41" t="s">
        <v>34506</v>
      </c>
    </row>
    <row r="4282" spans="1:19" x14ac:dyDescent="0.25">
      <c r="A4282" s="41" t="s">
        <v>23</v>
      </c>
      <c r="B4282" s="41" t="s">
        <v>34507</v>
      </c>
      <c r="D4282" s="41" t="s">
        <v>34508</v>
      </c>
      <c r="F4282" s="41" t="s">
        <v>34509</v>
      </c>
      <c r="G4282" s="41" t="s">
        <v>34510</v>
      </c>
      <c r="H4282" s="41" t="s">
        <v>34511</v>
      </c>
      <c r="I4282" s="41" t="s">
        <v>34512</v>
      </c>
      <c r="J4282" s="41" t="s">
        <v>34513</v>
      </c>
      <c r="K4282" s="41" t="s">
        <v>34514</v>
      </c>
      <c r="L4282" s="41" t="s">
        <v>891</v>
      </c>
    </row>
    <row r="4283" spans="1:19" x14ac:dyDescent="0.25">
      <c r="A4283" s="41" t="s">
        <v>23</v>
      </c>
      <c r="B4283" s="41" t="s">
        <v>34515</v>
      </c>
      <c r="D4283" s="41" t="s">
        <v>34516</v>
      </c>
      <c r="F4283" s="41" t="s">
        <v>34517</v>
      </c>
      <c r="G4283" s="41" t="s">
        <v>34518</v>
      </c>
      <c r="H4283" s="41" t="s">
        <v>34519</v>
      </c>
      <c r="I4283" s="41" t="s">
        <v>34520</v>
      </c>
      <c r="J4283" s="41" t="s">
        <v>34521</v>
      </c>
      <c r="K4283" s="41" t="s">
        <v>34522</v>
      </c>
      <c r="L4283" s="41" t="s">
        <v>1076</v>
      </c>
    </row>
    <row r="4284" spans="1:19" x14ac:dyDescent="0.25">
      <c r="A4284" s="41" t="s">
        <v>23</v>
      </c>
      <c r="B4284" s="41" t="s">
        <v>34523</v>
      </c>
      <c r="D4284" s="41" t="s">
        <v>34524</v>
      </c>
      <c r="F4284" s="41" t="s">
        <v>34525</v>
      </c>
      <c r="G4284" s="41" t="s">
        <v>34526</v>
      </c>
      <c r="H4284" s="41" t="s">
        <v>34527</v>
      </c>
      <c r="I4284" s="41" t="s">
        <v>34528</v>
      </c>
      <c r="J4284" s="41" t="s">
        <v>34529</v>
      </c>
      <c r="K4284" s="41" t="s">
        <v>34530</v>
      </c>
      <c r="L4284" s="41" t="s">
        <v>1085</v>
      </c>
    </row>
    <row r="4285" spans="1:19" x14ac:dyDescent="0.25">
      <c r="A4285" s="41" t="s">
        <v>23</v>
      </c>
      <c r="B4285" s="41" t="s">
        <v>34531</v>
      </c>
      <c r="D4285" s="41" t="s">
        <v>34532</v>
      </c>
      <c r="F4285" s="41" t="s">
        <v>34533</v>
      </c>
      <c r="G4285" s="41" t="s">
        <v>34534</v>
      </c>
      <c r="H4285" s="41" t="s">
        <v>34535</v>
      </c>
      <c r="I4285" s="41" t="s">
        <v>34536</v>
      </c>
      <c r="J4285" s="41" t="s">
        <v>34537</v>
      </c>
      <c r="K4285" s="41" t="s">
        <v>34538</v>
      </c>
      <c r="L4285" s="41" t="s">
        <v>1094</v>
      </c>
    </row>
    <row r="4286" spans="1:19" x14ac:dyDescent="0.25">
      <c r="A4286" s="41" t="s">
        <v>908</v>
      </c>
      <c r="B4286" s="41" t="s">
        <v>34539</v>
      </c>
    </row>
    <row r="4287" spans="1:19" x14ac:dyDescent="0.25">
      <c r="A4287" s="41" t="s">
        <v>23</v>
      </c>
      <c r="B4287" s="41" t="s">
        <v>34540</v>
      </c>
      <c r="F4287" s="41" t="s">
        <v>34541</v>
      </c>
      <c r="G4287" s="41" t="s">
        <v>34542</v>
      </c>
      <c r="H4287" s="41" t="s">
        <v>34543</v>
      </c>
      <c r="I4287" s="41" t="s">
        <v>34544</v>
      </c>
      <c r="J4287" s="41" t="s">
        <v>34545</v>
      </c>
      <c r="L4287" s="41" t="s">
        <v>4</v>
      </c>
    </row>
    <row r="4288" spans="1:19" x14ac:dyDescent="0.25">
      <c r="A4288" s="41" t="s">
        <v>23</v>
      </c>
      <c r="B4288" s="41" t="s">
        <v>34546</v>
      </c>
      <c r="D4288" s="41" t="s">
        <v>34379</v>
      </c>
      <c r="E4288" s="41" t="s">
        <v>34547</v>
      </c>
      <c r="F4288" s="41" t="s">
        <v>34548</v>
      </c>
      <c r="G4288" s="41" t="s">
        <v>34549</v>
      </c>
      <c r="H4288" s="41" t="s">
        <v>34550</v>
      </c>
      <c r="I4288" s="41" t="s">
        <v>34551</v>
      </c>
      <c r="J4288" s="41" t="s">
        <v>34552</v>
      </c>
      <c r="K4288" s="41" t="s">
        <v>34553</v>
      </c>
      <c r="L4288" s="41" t="s">
        <v>34554</v>
      </c>
      <c r="M4288" s="41" t="s">
        <v>34555</v>
      </c>
      <c r="N4288" s="41" t="s">
        <v>34556</v>
      </c>
      <c r="O4288" s="41" t="s">
        <v>34557</v>
      </c>
      <c r="P4288" s="41" t="s">
        <v>34558</v>
      </c>
      <c r="Q4288" s="41" t="s">
        <v>34559</v>
      </c>
      <c r="R4288" s="41" t="s">
        <v>34560</v>
      </c>
      <c r="S4288" s="41" t="s">
        <v>34561</v>
      </c>
    </row>
    <row r="4289" spans="1:19" x14ac:dyDescent="0.25">
      <c r="A4289" s="41" t="s">
        <v>23</v>
      </c>
      <c r="B4289" s="41" t="s">
        <v>34562</v>
      </c>
      <c r="D4289" s="41" t="s">
        <v>34563</v>
      </c>
      <c r="F4289" s="41" t="s">
        <v>34564</v>
      </c>
      <c r="G4289" s="41" t="s">
        <v>34565</v>
      </c>
      <c r="H4289" s="41" t="s">
        <v>34566</v>
      </c>
      <c r="I4289" s="41" t="s">
        <v>34567</v>
      </c>
      <c r="J4289" s="41" t="s">
        <v>34568</v>
      </c>
      <c r="K4289" s="41" t="s">
        <v>34569</v>
      </c>
      <c r="L4289" s="41" t="s">
        <v>891</v>
      </c>
    </row>
    <row r="4290" spans="1:19" x14ac:dyDescent="0.25">
      <c r="A4290" s="41" t="s">
        <v>23</v>
      </c>
      <c r="B4290" s="41" t="s">
        <v>34570</v>
      </c>
      <c r="D4290" s="41" t="s">
        <v>34571</v>
      </c>
      <c r="F4290" s="41" t="s">
        <v>34572</v>
      </c>
      <c r="G4290" s="41" t="s">
        <v>34573</v>
      </c>
      <c r="H4290" s="41" t="s">
        <v>34574</v>
      </c>
      <c r="I4290" s="41" t="s">
        <v>34575</v>
      </c>
      <c r="J4290" s="41" t="s">
        <v>34576</v>
      </c>
      <c r="K4290" s="41" t="s">
        <v>34577</v>
      </c>
      <c r="L4290" s="41" t="s">
        <v>1076</v>
      </c>
    </row>
    <row r="4291" spans="1:19" x14ac:dyDescent="0.25">
      <c r="A4291" s="41" t="s">
        <v>23</v>
      </c>
      <c r="B4291" s="41" t="s">
        <v>34578</v>
      </c>
      <c r="D4291" s="41" t="s">
        <v>34579</v>
      </c>
      <c r="F4291" s="41" t="s">
        <v>34580</v>
      </c>
      <c r="G4291" s="41" t="s">
        <v>34581</v>
      </c>
      <c r="H4291" s="41" t="s">
        <v>34582</v>
      </c>
      <c r="I4291" s="41" t="s">
        <v>34583</v>
      </c>
      <c r="J4291" s="41" t="s">
        <v>34584</v>
      </c>
      <c r="K4291" s="41" t="s">
        <v>34585</v>
      </c>
      <c r="L4291" s="41" t="s">
        <v>1085</v>
      </c>
    </row>
    <row r="4292" spans="1:19" x14ac:dyDescent="0.25">
      <c r="A4292" s="41" t="s">
        <v>23</v>
      </c>
      <c r="B4292" s="41" t="s">
        <v>34586</v>
      </c>
      <c r="D4292" s="41" t="s">
        <v>34587</v>
      </c>
      <c r="F4292" s="41" t="s">
        <v>34588</v>
      </c>
      <c r="G4292" s="41" t="s">
        <v>34589</v>
      </c>
      <c r="H4292" s="41" t="s">
        <v>34590</v>
      </c>
      <c r="I4292" s="41" t="s">
        <v>34591</v>
      </c>
      <c r="J4292" s="41" t="s">
        <v>34592</v>
      </c>
      <c r="K4292" s="41" t="s">
        <v>34593</v>
      </c>
      <c r="L4292" s="41" t="s">
        <v>1094</v>
      </c>
    </row>
    <row r="4293" spans="1:19" x14ac:dyDescent="0.25">
      <c r="A4293" s="41" t="s">
        <v>908</v>
      </c>
      <c r="B4293" s="41" t="s">
        <v>34594</v>
      </c>
    </row>
    <row r="4294" spans="1:19" x14ac:dyDescent="0.25">
      <c r="A4294" s="41" t="s">
        <v>23</v>
      </c>
      <c r="B4294" s="41" t="s">
        <v>34595</v>
      </c>
      <c r="F4294" s="41" t="s">
        <v>34596</v>
      </c>
      <c r="G4294" s="41" t="s">
        <v>34597</v>
      </c>
      <c r="H4294" s="41" t="s">
        <v>34598</v>
      </c>
      <c r="I4294" s="41" t="s">
        <v>34599</v>
      </c>
      <c r="J4294" s="41" t="s">
        <v>34600</v>
      </c>
      <c r="L4294" s="41" t="s">
        <v>4</v>
      </c>
    </row>
    <row r="4295" spans="1:19" x14ac:dyDescent="0.25">
      <c r="A4295" s="41" t="s">
        <v>23</v>
      </c>
      <c r="B4295" s="41" t="s">
        <v>34601</v>
      </c>
      <c r="D4295" s="41" t="s">
        <v>34435</v>
      </c>
      <c r="E4295" s="41" t="s">
        <v>34603</v>
      </c>
      <c r="F4295" s="41" t="s">
        <v>34604</v>
      </c>
      <c r="G4295" s="41" t="s">
        <v>34605</v>
      </c>
      <c r="H4295" s="41" t="s">
        <v>34606</v>
      </c>
      <c r="I4295" s="41" t="s">
        <v>34607</v>
      </c>
      <c r="J4295" s="41" t="s">
        <v>34608</v>
      </c>
      <c r="K4295" s="41" t="s">
        <v>34609</v>
      </c>
      <c r="L4295" s="41" t="s">
        <v>34610</v>
      </c>
      <c r="M4295" s="41" t="s">
        <v>34611</v>
      </c>
      <c r="N4295" s="41" t="s">
        <v>34612</v>
      </c>
      <c r="O4295" s="41" t="s">
        <v>34613</v>
      </c>
      <c r="P4295" s="41" t="s">
        <v>34614</v>
      </c>
      <c r="Q4295" s="41" t="s">
        <v>34615</v>
      </c>
      <c r="R4295" s="41" t="s">
        <v>34616</v>
      </c>
      <c r="S4295" s="41" t="s">
        <v>34617</v>
      </c>
    </row>
    <row r="4296" spans="1:19" x14ac:dyDescent="0.25">
      <c r="A4296" s="41" t="s">
        <v>23</v>
      </c>
      <c r="B4296" s="41" t="s">
        <v>34618</v>
      </c>
      <c r="D4296" s="41" t="s">
        <v>34619</v>
      </c>
      <c r="F4296" s="41" t="s">
        <v>34620</v>
      </c>
      <c r="G4296" s="41" t="s">
        <v>34621</v>
      </c>
      <c r="H4296" s="41" t="s">
        <v>34622</v>
      </c>
      <c r="I4296" s="41" t="s">
        <v>34623</v>
      </c>
      <c r="J4296" s="41" t="s">
        <v>34624</v>
      </c>
      <c r="K4296" s="41" t="s">
        <v>34625</v>
      </c>
      <c r="L4296" s="41" t="s">
        <v>891</v>
      </c>
    </row>
    <row r="4297" spans="1:19" x14ac:dyDescent="0.25">
      <c r="A4297" s="41" t="s">
        <v>23</v>
      </c>
      <c r="B4297" s="41" t="s">
        <v>34626</v>
      </c>
      <c r="D4297" s="41" t="s">
        <v>34627</v>
      </c>
      <c r="F4297" s="41" t="s">
        <v>34628</v>
      </c>
      <c r="G4297" s="41" t="s">
        <v>34629</v>
      </c>
      <c r="H4297" s="41" t="s">
        <v>34630</v>
      </c>
      <c r="I4297" s="41" t="s">
        <v>34631</v>
      </c>
      <c r="J4297" s="41" t="s">
        <v>34632</v>
      </c>
      <c r="K4297" s="41" t="s">
        <v>34633</v>
      </c>
      <c r="L4297" s="41" t="s">
        <v>1076</v>
      </c>
    </row>
    <row r="4298" spans="1:19" x14ac:dyDescent="0.25">
      <c r="A4298" s="41" t="s">
        <v>23</v>
      </c>
      <c r="B4298" s="41" t="s">
        <v>34634</v>
      </c>
      <c r="D4298" s="41" t="s">
        <v>34635</v>
      </c>
      <c r="F4298" s="41" t="s">
        <v>34636</v>
      </c>
      <c r="G4298" s="41" t="s">
        <v>34637</v>
      </c>
      <c r="H4298" s="41" t="s">
        <v>34638</v>
      </c>
      <c r="I4298" s="41" t="s">
        <v>34639</v>
      </c>
      <c r="J4298" s="41" t="s">
        <v>34640</v>
      </c>
      <c r="K4298" s="41" t="s">
        <v>34641</v>
      </c>
      <c r="L4298" s="41" t="s">
        <v>1085</v>
      </c>
    </row>
    <row r="4299" spans="1:19" x14ac:dyDescent="0.25">
      <c r="A4299" s="41" t="s">
        <v>23</v>
      </c>
      <c r="B4299" s="41" t="s">
        <v>34642</v>
      </c>
      <c r="D4299" s="41" t="s">
        <v>34643</v>
      </c>
      <c r="F4299" s="41" t="s">
        <v>34644</v>
      </c>
      <c r="G4299" s="41" t="s">
        <v>34645</v>
      </c>
      <c r="H4299" s="41" t="s">
        <v>34646</v>
      </c>
      <c r="I4299" s="41" t="s">
        <v>34647</v>
      </c>
      <c r="J4299" s="41" t="s">
        <v>34648</v>
      </c>
      <c r="K4299" s="41" t="s">
        <v>34649</v>
      </c>
      <c r="L4299" s="41" t="s">
        <v>1094</v>
      </c>
    </row>
    <row r="4300" spans="1:19" x14ac:dyDescent="0.25">
      <c r="A4300" s="41" t="s">
        <v>908</v>
      </c>
      <c r="B4300" s="41" t="s">
        <v>34650</v>
      </c>
    </row>
    <row r="4301" spans="1:19" x14ac:dyDescent="0.25">
      <c r="A4301" s="41" t="s">
        <v>23</v>
      </c>
      <c r="B4301" s="41" t="s">
        <v>34651</v>
      </c>
      <c r="F4301" s="41" t="s">
        <v>34652</v>
      </c>
      <c r="G4301" s="41" t="s">
        <v>34653</v>
      </c>
      <c r="H4301" s="41" t="s">
        <v>34654</v>
      </c>
      <c r="I4301" s="41" t="s">
        <v>34655</v>
      </c>
      <c r="J4301" s="41" t="s">
        <v>34656</v>
      </c>
      <c r="L4301" s="41" t="s">
        <v>4</v>
      </c>
    </row>
    <row r="4302" spans="1:19" x14ac:dyDescent="0.25">
      <c r="A4302" s="41" t="s">
        <v>23</v>
      </c>
      <c r="B4302" s="41" t="s">
        <v>34657</v>
      </c>
      <c r="D4302" s="41" t="s">
        <v>34491</v>
      </c>
      <c r="E4302" s="41" t="s">
        <v>34659</v>
      </c>
      <c r="F4302" s="41" t="s">
        <v>34660</v>
      </c>
      <c r="G4302" s="41" t="s">
        <v>34661</v>
      </c>
      <c r="H4302" s="41" t="s">
        <v>34662</v>
      </c>
      <c r="I4302" s="41" t="s">
        <v>34663</v>
      </c>
      <c r="J4302" s="41" t="s">
        <v>34664</v>
      </c>
      <c r="K4302" s="41" t="s">
        <v>34665</v>
      </c>
      <c r="L4302" s="41" t="s">
        <v>34666</v>
      </c>
      <c r="M4302" s="41" t="s">
        <v>34667</v>
      </c>
      <c r="N4302" s="41" t="s">
        <v>34668</v>
      </c>
      <c r="O4302" s="41" t="s">
        <v>34669</v>
      </c>
      <c r="P4302" s="41" t="s">
        <v>34670</v>
      </c>
      <c r="Q4302" s="41" t="s">
        <v>34671</v>
      </c>
      <c r="R4302" s="41" t="s">
        <v>34672</v>
      </c>
      <c r="S4302" s="41" t="s">
        <v>34673</v>
      </c>
    </row>
    <row r="4303" spans="1:19" x14ac:dyDescent="0.25">
      <c r="A4303" s="41" t="s">
        <v>23</v>
      </c>
      <c r="B4303" s="41" t="s">
        <v>34674</v>
      </c>
      <c r="D4303" s="41" t="s">
        <v>34675</v>
      </c>
      <c r="F4303" s="41" t="s">
        <v>34676</v>
      </c>
      <c r="G4303" s="41" t="s">
        <v>34677</v>
      </c>
      <c r="H4303" s="41" t="s">
        <v>34678</v>
      </c>
      <c r="I4303" s="41" t="s">
        <v>34679</v>
      </c>
      <c r="J4303" s="41" t="s">
        <v>34680</v>
      </c>
      <c r="K4303" s="41" t="s">
        <v>34681</v>
      </c>
      <c r="L4303" s="41" t="s">
        <v>891</v>
      </c>
    </row>
    <row r="4304" spans="1:19" x14ac:dyDescent="0.25">
      <c r="A4304" s="41" t="s">
        <v>23</v>
      </c>
      <c r="B4304" s="41" t="s">
        <v>34682</v>
      </c>
      <c r="D4304" s="41" t="s">
        <v>34683</v>
      </c>
      <c r="F4304" s="41" t="s">
        <v>34684</v>
      </c>
      <c r="G4304" s="41" t="s">
        <v>34685</v>
      </c>
      <c r="H4304" s="41" t="s">
        <v>34686</v>
      </c>
      <c r="I4304" s="41" t="s">
        <v>34687</v>
      </c>
      <c r="J4304" s="41" t="s">
        <v>34688</v>
      </c>
      <c r="K4304" s="41" t="s">
        <v>34689</v>
      </c>
      <c r="L4304" s="41" t="s">
        <v>1076</v>
      </c>
    </row>
    <row r="4305" spans="1:19" x14ac:dyDescent="0.25">
      <c r="A4305" s="41" t="s">
        <v>23</v>
      </c>
      <c r="B4305" s="41" t="s">
        <v>34690</v>
      </c>
      <c r="D4305" s="41" t="s">
        <v>34691</v>
      </c>
      <c r="F4305" s="41" t="s">
        <v>34692</v>
      </c>
      <c r="G4305" s="41" t="s">
        <v>34693</v>
      </c>
      <c r="H4305" s="41" t="s">
        <v>34694</v>
      </c>
      <c r="I4305" s="41" t="s">
        <v>34695</v>
      </c>
      <c r="J4305" s="41" t="s">
        <v>34696</v>
      </c>
      <c r="K4305" s="41" t="s">
        <v>34697</v>
      </c>
      <c r="L4305" s="41" t="s">
        <v>1085</v>
      </c>
    </row>
    <row r="4306" spans="1:19" x14ac:dyDescent="0.25">
      <c r="A4306" s="41" t="s">
        <v>23</v>
      </c>
      <c r="B4306" s="41" t="s">
        <v>34698</v>
      </c>
      <c r="D4306" s="41" t="s">
        <v>34699</v>
      </c>
      <c r="F4306" s="41" t="s">
        <v>34700</v>
      </c>
      <c r="G4306" s="41" t="s">
        <v>34701</v>
      </c>
      <c r="H4306" s="41" t="s">
        <v>34702</v>
      </c>
      <c r="I4306" s="41" t="s">
        <v>34703</v>
      </c>
      <c r="J4306" s="41" t="s">
        <v>34704</v>
      </c>
      <c r="K4306" s="41" t="s">
        <v>34705</v>
      </c>
      <c r="L4306" s="41" t="s">
        <v>1094</v>
      </c>
    </row>
    <row r="4307" spans="1:19" x14ac:dyDescent="0.25">
      <c r="A4307" s="41" t="s">
        <v>908</v>
      </c>
      <c r="B4307" s="41" t="s">
        <v>34706</v>
      </c>
    </row>
    <row r="4308" spans="1:19" x14ac:dyDescent="0.25">
      <c r="A4308" s="41" t="s">
        <v>23</v>
      </c>
      <c r="B4308" s="41" t="s">
        <v>34707</v>
      </c>
      <c r="F4308" s="41" t="s">
        <v>34708</v>
      </c>
      <c r="G4308" s="41" t="s">
        <v>34709</v>
      </c>
      <c r="H4308" s="41" t="s">
        <v>34710</v>
      </c>
      <c r="I4308" s="41" t="s">
        <v>34711</v>
      </c>
      <c r="J4308" s="41" t="s">
        <v>34712</v>
      </c>
      <c r="L4308" s="41" t="s">
        <v>4</v>
      </c>
    </row>
    <row r="4309" spans="1:19" x14ac:dyDescent="0.25">
      <c r="A4309" s="41" t="s">
        <v>23</v>
      </c>
      <c r="B4309" s="41" t="s">
        <v>34713</v>
      </c>
      <c r="D4309" s="41" t="s">
        <v>496</v>
      </c>
      <c r="E4309" s="41" t="s">
        <v>34714</v>
      </c>
      <c r="F4309" s="41" t="s">
        <v>34715</v>
      </c>
      <c r="G4309" s="41" t="s">
        <v>34716</v>
      </c>
      <c r="H4309" s="41" t="s">
        <v>34717</v>
      </c>
      <c r="I4309" s="41" t="s">
        <v>34718</v>
      </c>
      <c r="J4309" s="41" t="s">
        <v>34719</v>
      </c>
      <c r="K4309" s="41" t="s">
        <v>34720</v>
      </c>
      <c r="L4309" s="41" t="s">
        <v>34721</v>
      </c>
      <c r="M4309" s="41" t="s">
        <v>34722</v>
      </c>
      <c r="N4309" s="41" t="s">
        <v>34723</v>
      </c>
      <c r="O4309" s="41" t="s">
        <v>34724</v>
      </c>
      <c r="P4309" s="41" t="s">
        <v>34725</v>
      </c>
      <c r="Q4309" s="41" t="s">
        <v>34726</v>
      </c>
      <c r="R4309" s="41" t="s">
        <v>34727</v>
      </c>
      <c r="S4309" s="41" t="s">
        <v>34728</v>
      </c>
    </row>
    <row r="4310" spans="1:19" x14ac:dyDescent="0.25">
      <c r="A4310" s="41" t="s">
        <v>23</v>
      </c>
      <c r="B4310" s="41" t="s">
        <v>34729</v>
      </c>
      <c r="D4310" s="41" t="s">
        <v>34730</v>
      </c>
      <c r="F4310" s="41" t="s">
        <v>34731</v>
      </c>
      <c r="G4310" s="41" t="s">
        <v>34732</v>
      </c>
      <c r="H4310" s="41" t="s">
        <v>34733</v>
      </c>
      <c r="I4310" s="41" t="s">
        <v>34734</v>
      </c>
      <c r="J4310" s="41" t="s">
        <v>34735</v>
      </c>
      <c r="K4310" s="41" t="s">
        <v>34736</v>
      </c>
      <c r="L4310" s="41" t="s">
        <v>891</v>
      </c>
    </row>
    <row r="4311" spans="1:19" x14ac:dyDescent="0.25">
      <c r="A4311" s="41" t="s">
        <v>23</v>
      </c>
      <c r="B4311" s="41" t="s">
        <v>34737</v>
      </c>
      <c r="D4311" s="41" t="s">
        <v>34738</v>
      </c>
      <c r="F4311" s="41" t="s">
        <v>34739</v>
      </c>
      <c r="G4311" s="41" t="s">
        <v>34740</v>
      </c>
      <c r="H4311" s="41" t="s">
        <v>34741</v>
      </c>
      <c r="I4311" s="41" t="s">
        <v>34742</v>
      </c>
      <c r="J4311" s="41" t="s">
        <v>34743</v>
      </c>
      <c r="K4311" s="41" t="s">
        <v>34744</v>
      </c>
      <c r="L4311" s="41" t="s">
        <v>1076</v>
      </c>
    </row>
    <row r="4312" spans="1:19" x14ac:dyDescent="0.25">
      <c r="A4312" s="41" t="s">
        <v>23</v>
      </c>
      <c r="B4312" s="41" t="s">
        <v>34745</v>
      </c>
      <c r="D4312" s="41" t="s">
        <v>34746</v>
      </c>
      <c r="F4312" s="41" t="s">
        <v>34747</v>
      </c>
      <c r="G4312" s="41" t="s">
        <v>34748</v>
      </c>
      <c r="H4312" s="41" t="s">
        <v>34749</v>
      </c>
      <c r="I4312" s="41" t="s">
        <v>34750</v>
      </c>
      <c r="J4312" s="41" t="s">
        <v>34751</v>
      </c>
      <c r="K4312" s="41" t="s">
        <v>34752</v>
      </c>
      <c r="L4312" s="41" t="s">
        <v>1085</v>
      </c>
    </row>
    <row r="4313" spans="1:19" x14ac:dyDescent="0.25">
      <c r="A4313" s="41" t="s">
        <v>23</v>
      </c>
      <c r="B4313" s="41" t="s">
        <v>34753</v>
      </c>
      <c r="D4313" s="41" t="s">
        <v>34754</v>
      </c>
      <c r="F4313" s="41" t="s">
        <v>34755</v>
      </c>
      <c r="G4313" s="41" t="s">
        <v>34756</v>
      </c>
      <c r="H4313" s="41" t="s">
        <v>34757</v>
      </c>
      <c r="I4313" s="41" t="s">
        <v>34758</v>
      </c>
      <c r="J4313" s="41" t="s">
        <v>34759</v>
      </c>
      <c r="K4313" s="41" t="s">
        <v>34760</v>
      </c>
      <c r="L4313" s="41" t="s">
        <v>1094</v>
      </c>
    </row>
    <row r="4314" spans="1:19" x14ac:dyDescent="0.25">
      <c r="A4314" s="41" t="s">
        <v>908</v>
      </c>
      <c r="B4314" s="41" t="s">
        <v>34761</v>
      </c>
    </row>
    <row r="4315" spans="1:19" x14ac:dyDescent="0.25">
      <c r="A4315" s="41" t="s">
        <v>23</v>
      </c>
      <c r="B4315" s="41" t="s">
        <v>34762</v>
      </c>
      <c r="F4315" s="41" t="s">
        <v>34763</v>
      </c>
      <c r="G4315" s="41" t="s">
        <v>34764</v>
      </c>
      <c r="H4315" s="41" t="s">
        <v>34765</v>
      </c>
      <c r="I4315" s="41" t="s">
        <v>34766</v>
      </c>
      <c r="J4315" s="41" t="s">
        <v>34767</v>
      </c>
      <c r="L4315" s="41" t="s">
        <v>4</v>
      </c>
    </row>
    <row r="4316" spans="1:19" x14ac:dyDescent="0.25">
      <c r="A4316" s="41" t="s">
        <v>23</v>
      </c>
      <c r="B4316" s="41" t="s">
        <v>34768</v>
      </c>
      <c r="D4316" s="41" t="s">
        <v>34602</v>
      </c>
      <c r="E4316" s="41" t="s">
        <v>34769</v>
      </c>
      <c r="F4316" s="41" t="s">
        <v>34770</v>
      </c>
      <c r="G4316" s="41" t="s">
        <v>34771</v>
      </c>
      <c r="H4316" s="41" t="s">
        <v>34772</v>
      </c>
      <c r="I4316" s="41" t="s">
        <v>34773</v>
      </c>
      <c r="J4316" s="41" t="s">
        <v>34774</v>
      </c>
      <c r="K4316" s="41" t="s">
        <v>34775</v>
      </c>
      <c r="L4316" s="41" t="s">
        <v>34776</v>
      </c>
      <c r="M4316" s="41" t="s">
        <v>34777</v>
      </c>
      <c r="N4316" s="41" t="s">
        <v>34778</v>
      </c>
      <c r="O4316" s="41" t="s">
        <v>34779</v>
      </c>
      <c r="P4316" s="41" t="s">
        <v>34780</v>
      </c>
      <c r="Q4316" s="41" t="s">
        <v>34781</v>
      </c>
      <c r="R4316" s="41" t="s">
        <v>34782</v>
      </c>
      <c r="S4316" s="41" t="s">
        <v>34783</v>
      </c>
    </row>
    <row r="4317" spans="1:19" x14ac:dyDescent="0.25">
      <c r="A4317" s="41" t="s">
        <v>23</v>
      </c>
      <c r="B4317" s="41" t="s">
        <v>34784</v>
      </c>
      <c r="D4317" s="41" t="s">
        <v>34785</v>
      </c>
      <c r="F4317" s="41" t="s">
        <v>34786</v>
      </c>
      <c r="G4317" s="41" t="s">
        <v>34787</v>
      </c>
      <c r="H4317" s="41" t="s">
        <v>34788</v>
      </c>
      <c r="I4317" s="41" t="s">
        <v>34789</v>
      </c>
      <c r="J4317" s="41" t="s">
        <v>34790</v>
      </c>
      <c r="K4317" s="41" t="s">
        <v>34791</v>
      </c>
      <c r="L4317" s="41" t="s">
        <v>891</v>
      </c>
    </row>
    <row r="4318" spans="1:19" x14ac:dyDescent="0.25">
      <c r="A4318" s="41" t="s">
        <v>23</v>
      </c>
      <c r="B4318" s="41" t="s">
        <v>34792</v>
      </c>
      <c r="D4318" s="41" t="s">
        <v>34793</v>
      </c>
      <c r="F4318" s="41" t="s">
        <v>34794</v>
      </c>
      <c r="G4318" s="41" t="s">
        <v>34795</v>
      </c>
      <c r="H4318" s="41" t="s">
        <v>34796</v>
      </c>
      <c r="I4318" s="41" t="s">
        <v>34797</v>
      </c>
      <c r="J4318" s="41" t="s">
        <v>34798</v>
      </c>
      <c r="K4318" s="41" t="s">
        <v>34799</v>
      </c>
      <c r="L4318" s="41" t="s">
        <v>1076</v>
      </c>
    </row>
    <row r="4319" spans="1:19" x14ac:dyDescent="0.25">
      <c r="A4319" s="41" t="s">
        <v>23</v>
      </c>
      <c r="B4319" s="41" t="s">
        <v>34800</v>
      </c>
      <c r="D4319" s="41" t="s">
        <v>34801</v>
      </c>
      <c r="F4319" s="41" t="s">
        <v>34802</v>
      </c>
      <c r="G4319" s="41" t="s">
        <v>34803</v>
      </c>
      <c r="H4319" s="41" t="s">
        <v>34804</v>
      </c>
      <c r="I4319" s="41" t="s">
        <v>34805</v>
      </c>
      <c r="J4319" s="41" t="s">
        <v>34806</v>
      </c>
      <c r="K4319" s="41" t="s">
        <v>34807</v>
      </c>
      <c r="L4319" s="41" t="s">
        <v>1085</v>
      </c>
    </row>
    <row r="4320" spans="1:19" x14ac:dyDescent="0.25">
      <c r="A4320" s="41" t="s">
        <v>23</v>
      </c>
      <c r="B4320" s="41" t="s">
        <v>34808</v>
      </c>
      <c r="D4320" s="41" t="s">
        <v>34809</v>
      </c>
      <c r="F4320" s="41" t="s">
        <v>34810</v>
      </c>
      <c r="G4320" s="41" t="s">
        <v>34811</v>
      </c>
      <c r="H4320" s="41" t="s">
        <v>34812</v>
      </c>
      <c r="I4320" s="41" t="s">
        <v>34813</v>
      </c>
      <c r="J4320" s="41" t="s">
        <v>34814</v>
      </c>
      <c r="K4320" s="41" t="s">
        <v>34815</v>
      </c>
      <c r="L4320" s="41" t="s">
        <v>1094</v>
      </c>
    </row>
    <row r="4321" spans="1:19" x14ac:dyDescent="0.25">
      <c r="A4321" s="41" t="s">
        <v>908</v>
      </c>
      <c r="B4321" s="41" t="s">
        <v>34816</v>
      </c>
    </row>
    <row r="4322" spans="1:19" x14ac:dyDescent="0.25">
      <c r="A4322" s="41" t="s">
        <v>23</v>
      </c>
      <c r="B4322" s="41" t="s">
        <v>34817</v>
      </c>
      <c r="F4322" s="41" t="s">
        <v>34818</v>
      </c>
      <c r="G4322" s="41" t="s">
        <v>34819</v>
      </c>
      <c r="H4322" s="41" t="s">
        <v>34820</v>
      </c>
      <c r="I4322" s="41" t="s">
        <v>34821</v>
      </c>
      <c r="J4322" s="41" t="s">
        <v>34822</v>
      </c>
      <c r="L4322" s="41" t="s">
        <v>4</v>
      </c>
    </row>
    <row r="4323" spans="1:19" x14ac:dyDescent="0.25">
      <c r="A4323" s="41" t="s">
        <v>23</v>
      </c>
      <c r="B4323" s="41" t="s">
        <v>34823</v>
      </c>
      <c r="D4323" s="41" t="s">
        <v>34658</v>
      </c>
      <c r="E4323" s="41" t="s">
        <v>34824</v>
      </c>
      <c r="F4323" s="41" t="s">
        <v>34825</v>
      </c>
      <c r="G4323" s="41" t="s">
        <v>34826</v>
      </c>
      <c r="H4323" s="41" t="s">
        <v>34827</v>
      </c>
      <c r="I4323" s="41" t="s">
        <v>34828</v>
      </c>
      <c r="J4323" s="41" t="s">
        <v>34829</v>
      </c>
      <c r="K4323" s="41" t="s">
        <v>34830</v>
      </c>
      <c r="L4323" s="41" t="s">
        <v>34831</v>
      </c>
      <c r="M4323" s="41" t="s">
        <v>34832</v>
      </c>
      <c r="N4323" s="41" t="s">
        <v>34833</v>
      </c>
      <c r="O4323" s="41" t="s">
        <v>34834</v>
      </c>
      <c r="P4323" s="41" t="s">
        <v>34835</v>
      </c>
      <c r="Q4323" s="41" t="s">
        <v>34836</v>
      </c>
      <c r="R4323" s="41" t="s">
        <v>34837</v>
      </c>
      <c r="S4323" s="41" t="s">
        <v>34838</v>
      </c>
    </row>
    <row r="4324" spans="1:19" x14ac:dyDescent="0.25">
      <c r="A4324" s="41" t="s">
        <v>23</v>
      </c>
      <c r="B4324" s="41" t="s">
        <v>34839</v>
      </c>
      <c r="D4324" s="41" t="s">
        <v>34840</v>
      </c>
      <c r="F4324" s="41" t="s">
        <v>34841</v>
      </c>
      <c r="G4324" s="41" t="s">
        <v>34842</v>
      </c>
      <c r="H4324" s="41" t="s">
        <v>34843</v>
      </c>
      <c r="I4324" s="41" t="s">
        <v>34844</v>
      </c>
      <c r="J4324" s="41" t="s">
        <v>34845</v>
      </c>
      <c r="K4324" s="41" t="s">
        <v>34846</v>
      </c>
      <c r="L4324" s="41" t="s">
        <v>891</v>
      </c>
    </row>
    <row r="4325" spans="1:19" x14ac:dyDescent="0.25">
      <c r="A4325" s="41" t="s">
        <v>23</v>
      </c>
      <c r="B4325" s="41" t="s">
        <v>34847</v>
      </c>
      <c r="D4325" s="41" t="s">
        <v>34848</v>
      </c>
      <c r="F4325" s="41" t="s">
        <v>34849</v>
      </c>
      <c r="G4325" s="41" t="s">
        <v>34850</v>
      </c>
      <c r="H4325" s="41" t="s">
        <v>34851</v>
      </c>
      <c r="I4325" s="41" t="s">
        <v>34852</v>
      </c>
      <c r="J4325" s="41" t="s">
        <v>34853</v>
      </c>
      <c r="K4325" s="41" t="s">
        <v>34854</v>
      </c>
      <c r="L4325" s="41" t="s">
        <v>1076</v>
      </c>
    </row>
    <row r="4326" spans="1:19" x14ac:dyDescent="0.25">
      <c r="A4326" s="41" t="s">
        <v>23</v>
      </c>
      <c r="B4326" s="41" t="s">
        <v>34855</v>
      </c>
      <c r="D4326" s="41" t="s">
        <v>34856</v>
      </c>
      <c r="F4326" s="41" t="s">
        <v>34857</v>
      </c>
      <c r="G4326" s="41" t="s">
        <v>34858</v>
      </c>
      <c r="H4326" s="41" t="s">
        <v>34859</v>
      </c>
      <c r="I4326" s="41" t="s">
        <v>34860</v>
      </c>
      <c r="J4326" s="41" t="s">
        <v>34861</v>
      </c>
      <c r="K4326" s="41" t="s">
        <v>34862</v>
      </c>
      <c r="L4326" s="41" t="s">
        <v>1085</v>
      </c>
    </row>
    <row r="4327" spans="1:19" x14ac:dyDescent="0.25">
      <c r="A4327" s="41" t="s">
        <v>23</v>
      </c>
      <c r="B4327" s="41" t="s">
        <v>34863</v>
      </c>
      <c r="D4327" s="41" t="s">
        <v>34864</v>
      </c>
      <c r="F4327" s="41" t="s">
        <v>34865</v>
      </c>
      <c r="G4327" s="41" t="s">
        <v>34866</v>
      </c>
      <c r="H4327" s="41" t="s">
        <v>34867</v>
      </c>
      <c r="I4327" s="41" t="s">
        <v>34868</v>
      </c>
      <c r="J4327" s="41" t="s">
        <v>34869</v>
      </c>
      <c r="K4327" s="41" t="s">
        <v>34870</v>
      </c>
      <c r="L4327" s="41" t="s">
        <v>1094</v>
      </c>
    </row>
    <row r="4328" spans="1:19" x14ac:dyDescent="0.25">
      <c r="A4328" s="41" t="s">
        <v>908</v>
      </c>
      <c r="B4328" s="41" t="s">
        <v>34871</v>
      </c>
    </row>
    <row r="4329" spans="1:19" x14ac:dyDescent="0.25">
      <c r="A4329" s="41" t="s">
        <v>23</v>
      </c>
      <c r="B4329" s="41" t="s">
        <v>34872</v>
      </c>
      <c r="F4329" s="41" t="s">
        <v>34873</v>
      </c>
      <c r="G4329" s="41" t="s">
        <v>34874</v>
      </c>
      <c r="H4329" s="41" t="s">
        <v>34875</v>
      </c>
      <c r="I4329" s="41" t="s">
        <v>34876</v>
      </c>
      <c r="J4329" s="41" t="s">
        <v>34877</v>
      </c>
      <c r="L4329" s="41" t="s">
        <v>4</v>
      </c>
    </row>
    <row r="4330" spans="1:19" x14ac:dyDescent="0.25">
      <c r="A4330" s="41" t="s">
        <v>23</v>
      </c>
      <c r="B4330" s="41" t="s">
        <v>34878</v>
      </c>
      <c r="D4330" s="41" t="s">
        <v>876</v>
      </c>
      <c r="E4330" s="41" t="s">
        <v>34879</v>
      </c>
      <c r="F4330" s="41" t="s">
        <v>34880</v>
      </c>
      <c r="G4330" s="41" t="s">
        <v>34881</v>
      </c>
      <c r="H4330" s="41" t="s">
        <v>34882</v>
      </c>
      <c r="I4330" s="41" t="s">
        <v>34883</v>
      </c>
      <c r="J4330" s="41" t="s">
        <v>34884</v>
      </c>
      <c r="K4330" s="41" t="s">
        <v>34885</v>
      </c>
      <c r="L4330" s="41" t="s">
        <v>34886</v>
      </c>
      <c r="M4330" s="41" t="s">
        <v>34887</v>
      </c>
      <c r="N4330" s="41" t="s">
        <v>34888</v>
      </c>
      <c r="O4330" s="41" t="s">
        <v>34889</v>
      </c>
      <c r="P4330" s="41" t="s">
        <v>34890</v>
      </c>
      <c r="Q4330" s="41" t="s">
        <v>34891</v>
      </c>
      <c r="R4330" s="41" t="s">
        <v>34892</v>
      </c>
      <c r="S4330" s="41" t="s">
        <v>34893</v>
      </c>
    </row>
    <row r="4331" spans="1:19" x14ac:dyDescent="0.25">
      <c r="A4331" s="41" t="s">
        <v>23</v>
      </c>
      <c r="B4331" s="41" t="s">
        <v>34894</v>
      </c>
      <c r="D4331" s="41" t="s">
        <v>34895</v>
      </c>
      <c r="F4331" s="41" t="s">
        <v>34896</v>
      </c>
      <c r="G4331" s="41" t="s">
        <v>34897</v>
      </c>
      <c r="H4331" s="41" t="s">
        <v>34898</v>
      </c>
      <c r="I4331" s="41" t="s">
        <v>34899</v>
      </c>
      <c r="J4331" s="41" t="s">
        <v>34900</v>
      </c>
      <c r="K4331" s="41" t="s">
        <v>34901</v>
      </c>
      <c r="L4331" s="41" t="s">
        <v>891</v>
      </c>
    </row>
    <row r="4332" spans="1:19" x14ac:dyDescent="0.25">
      <c r="A4332" s="41" t="s">
        <v>23</v>
      </c>
      <c r="B4332" s="41" t="s">
        <v>34902</v>
      </c>
      <c r="D4332" s="41" t="s">
        <v>34903</v>
      </c>
      <c r="F4332" s="41" t="s">
        <v>34904</v>
      </c>
      <c r="G4332" s="41" t="s">
        <v>34905</v>
      </c>
      <c r="H4332" s="41" t="s">
        <v>34906</v>
      </c>
      <c r="I4332" s="41" t="s">
        <v>34907</v>
      </c>
      <c r="J4332" s="41" t="s">
        <v>34908</v>
      </c>
      <c r="K4332" s="41" t="s">
        <v>34909</v>
      </c>
      <c r="L4332" s="41" t="s">
        <v>1076</v>
      </c>
    </row>
    <row r="4333" spans="1:19" x14ac:dyDescent="0.25">
      <c r="A4333" s="41" t="s">
        <v>23</v>
      </c>
      <c r="B4333" s="41" t="s">
        <v>34910</v>
      </c>
      <c r="D4333" s="41" t="s">
        <v>34911</v>
      </c>
      <c r="F4333" s="41" t="s">
        <v>34912</v>
      </c>
      <c r="G4333" s="41" t="s">
        <v>34913</v>
      </c>
      <c r="H4333" s="41" t="s">
        <v>34914</v>
      </c>
      <c r="I4333" s="41" t="s">
        <v>34915</v>
      </c>
      <c r="J4333" s="41" t="s">
        <v>34916</v>
      </c>
      <c r="K4333" s="41" t="s">
        <v>34917</v>
      </c>
      <c r="L4333" s="41" t="s">
        <v>1085</v>
      </c>
    </row>
    <row r="4334" spans="1:19" x14ac:dyDescent="0.25">
      <c r="A4334" s="41" t="s">
        <v>23</v>
      </c>
      <c r="B4334" s="41" t="s">
        <v>34918</v>
      </c>
      <c r="D4334" s="41" t="s">
        <v>34919</v>
      </c>
      <c r="F4334" s="41" t="s">
        <v>34920</v>
      </c>
      <c r="G4334" s="41" t="s">
        <v>34921</v>
      </c>
      <c r="H4334" s="41" t="s">
        <v>34922</v>
      </c>
      <c r="I4334" s="41" t="s">
        <v>34923</v>
      </c>
      <c r="J4334" s="41" t="s">
        <v>34924</v>
      </c>
      <c r="K4334" s="41" t="s">
        <v>34925</v>
      </c>
      <c r="L4334" s="41" t="s">
        <v>1094</v>
      </c>
    </row>
    <row r="4335" spans="1:19" x14ac:dyDescent="0.25">
      <c r="A4335" s="41" t="s">
        <v>908</v>
      </c>
      <c r="B4335" s="41" t="s">
        <v>34926</v>
      </c>
    </row>
    <row r="4336" spans="1:19" x14ac:dyDescent="0.25">
      <c r="A4336" s="41" t="s">
        <v>23</v>
      </c>
      <c r="B4336" s="41" t="s">
        <v>34927</v>
      </c>
      <c r="F4336" s="41" t="s">
        <v>34928</v>
      </c>
      <c r="G4336" s="41" t="s">
        <v>34929</v>
      </c>
      <c r="H4336" s="41" t="s">
        <v>34930</v>
      </c>
      <c r="I4336" s="41" t="s">
        <v>34931</v>
      </c>
      <c r="J4336" s="41" t="s">
        <v>34932</v>
      </c>
      <c r="L4336" s="41" t="s">
        <v>4</v>
      </c>
    </row>
    <row r="4337" spans="1:19" x14ac:dyDescent="0.25">
      <c r="A4337" s="41" t="s">
        <v>23</v>
      </c>
      <c r="B4337" s="41" t="s">
        <v>34933</v>
      </c>
      <c r="D4337" s="41" t="s">
        <v>877</v>
      </c>
      <c r="E4337" s="41" t="s">
        <v>34935</v>
      </c>
      <c r="F4337" s="41" t="s">
        <v>34936</v>
      </c>
      <c r="G4337" s="41" t="s">
        <v>34937</v>
      </c>
      <c r="H4337" s="41" t="s">
        <v>34938</v>
      </c>
      <c r="I4337" s="41" t="s">
        <v>34939</v>
      </c>
      <c r="J4337" s="41" t="s">
        <v>34940</v>
      </c>
      <c r="K4337" s="41" t="s">
        <v>34941</v>
      </c>
      <c r="L4337" s="41" t="s">
        <v>34942</v>
      </c>
      <c r="M4337" s="41" t="s">
        <v>34943</v>
      </c>
      <c r="N4337" s="41" t="s">
        <v>34944</v>
      </c>
      <c r="O4337" s="41" t="s">
        <v>34945</v>
      </c>
      <c r="P4337" s="41" t="s">
        <v>34946</v>
      </c>
      <c r="Q4337" s="41" t="s">
        <v>34947</v>
      </c>
      <c r="R4337" s="41" t="s">
        <v>34948</v>
      </c>
      <c r="S4337" s="41" t="s">
        <v>34949</v>
      </c>
    </row>
    <row r="4338" spans="1:19" x14ac:dyDescent="0.25">
      <c r="A4338" s="41" t="s">
        <v>23</v>
      </c>
      <c r="B4338" s="41" t="s">
        <v>34950</v>
      </c>
      <c r="D4338" s="41" t="s">
        <v>34951</v>
      </c>
      <c r="F4338" s="41" t="s">
        <v>34952</v>
      </c>
      <c r="G4338" s="41" t="s">
        <v>34953</v>
      </c>
      <c r="H4338" s="41" t="s">
        <v>34954</v>
      </c>
      <c r="I4338" s="41" t="s">
        <v>34955</v>
      </c>
      <c r="J4338" s="41" t="s">
        <v>34956</v>
      </c>
      <c r="K4338" s="41" t="s">
        <v>34957</v>
      </c>
      <c r="L4338" s="41" t="s">
        <v>891</v>
      </c>
    </row>
    <row r="4339" spans="1:19" x14ac:dyDescent="0.25">
      <c r="A4339" s="41" t="s">
        <v>23</v>
      </c>
      <c r="B4339" s="41" t="s">
        <v>34958</v>
      </c>
      <c r="D4339" s="41" t="s">
        <v>34959</v>
      </c>
      <c r="F4339" s="41" t="s">
        <v>34960</v>
      </c>
      <c r="G4339" s="41" t="s">
        <v>34961</v>
      </c>
      <c r="H4339" s="41" t="s">
        <v>34962</v>
      </c>
      <c r="I4339" s="41" t="s">
        <v>34963</v>
      </c>
      <c r="J4339" s="41" t="s">
        <v>34964</v>
      </c>
      <c r="K4339" s="41" t="s">
        <v>34965</v>
      </c>
      <c r="L4339" s="41" t="s">
        <v>1076</v>
      </c>
    </row>
    <row r="4340" spans="1:19" x14ac:dyDescent="0.25">
      <c r="A4340" s="41" t="s">
        <v>23</v>
      </c>
      <c r="B4340" s="41" t="s">
        <v>34966</v>
      </c>
      <c r="D4340" s="41" t="s">
        <v>34967</v>
      </c>
      <c r="F4340" s="41" t="s">
        <v>34968</v>
      </c>
      <c r="G4340" s="41" t="s">
        <v>34969</v>
      </c>
      <c r="H4340" s="41" t="s">
        <v>34970</v>
      </c>
      <c r="I4340" s="41" t="s">
        <v>34971</v>
      </c>
      <c r="J4340" s="41" t="s">
        <v>34972</v>
      </c>
      <c r="K4340" s="41" t="s">
        <v>34973</v>
      </c>
      <c r="L4340" s="41" t="s">
        <v>1085</v>
      </c>
    </row>
    <row r="4341" spans="1:19" x14ac:dyDescent="0.25">
      <c r="A4341" s="41" t="s">
        <v>23</v>
      </c>
      <c r="B4341" s="41" t="s">
        <v>34974</v>
      </c>
      <c r="D4341" s="41" t="s">
        <v>34975</v>
      </c>
      <c r="F4341" s="41" t="s">
        <v>34976</v>
      </c>
      <c r="G4341" s="41" t="s">
        <v>34977</v>
      </c>
      <c r="H4341" s="41" t="s">
        <v>34978</v>
      </c>
      <c r="I4341" s="41" t="s">
        <v>34979</v>
      </c>
      <c r="J4341" s="41" t="s">
        <v>34980</v>
      </c>
      <c r="K4341" s="41" t="s">
        <v>34981</v>
      </c>
      <c r="L4341" s="41" t="s">
        <v>1094</v>
      </c>
    </row>
    <row r="4342" spans="1:19" x14ac:dyDescent="0.25">
      <c r="A4342" s="41" t="s">
        <v>908</v>
      </c>
      <c r="B4342" s="41" t="s">
        <v>34982</v>
      </c>
    </row>
    <row r="4343" spans="1:19" x14ac:dyDescent="0.25">
      <c r="A4343" s="41" t="s">
        <v>23</v>
      </c>
      <c r="B4343" s="41" t="s">
        <v>34983</v>
      </c>
      <c r="F4343" s="41" t="s">
        <v>34984</v>
      </c>
      <c r="G4343" s="41" t="s">
        <v>34985</v>
      </c>
      <c r="H4343" s="41" t="s">
        <v>34986</v>
      </c>
      <c r="I4343" s="41" t="s">
        <v>34987</v>
      </c>
      <c r="J4343" s="41" t="s">
        <v>34988</v>
      </c>
      <c r="L4343" s="41" t="s">
        <v>4</v>
      </c>
    </row>
    <row r="4344" spans="1:19" x14ac:dyDescent="0.25">
      <c r="A4344" s="41" t="s">
        <v>23</v>
      </c>
      <c r="B4344" s="41" t="s">
        <v>34989</v>
      </c>
      <c r="D4344" s="41" t="s">
        <v>878</v>
      </c>
      <c r="E4344" s="41" t="s">
        <v>34990</v>
      </c>
      <c r="F4344" s="41" t="s">
        <v>34991</v>
      </c>
      <c r="G4344" s="41" t="s">
        <v>34992</v>
      </c>
      <c r="H4344" s="41" t="s">
        <v>34993</v>
      </c>
      <c r="I4344" s="41" t="s">
        <v>34994</v>
      </c>
      <c r="J4344" s="41" t="s">
        <v>34995</v>
      </c>
      <c r="K4344" s="41" t="s">
        <v>34996</v>
      </c>
      <c r="L4344" s="41" t="s">
        <v>34997</v>
      </c>
      <c r="M4344" s="41" t="s">
        <v>34998</v>
      </c>
      <c r="N4344" s="41" t="s">
        <v>34999</v>
      </c>
      <c r="O4344" s="41" t="s">
        <v>35000</v>
      </c>
      <c r="P4344" s="41" t="s">
        <v>35001</v>
      </c>
      <c r="Q4344" s="41" t="s">
        <v>35002</v>
      </c>
      <c r="R4344" s="41" t="s">
        <v>35003</v>
      </c>
      <c r="S4344" s="41" t="s">
        <v>35004</v>
      </c>
    </row>
    <row r="4345" spans="1:19" x14ac:dyDescent="0.25">
      <c r="A4345" s="41" t="s">
        <v>23</v>
      </c>
      <c r="B4345" s="41" t="s">
        <v>35005</v>
      </c>
      <c r="D4345" s="41" t="s">
        <v>35006</v>
      </c>
      <c r="F4345" s="41" t="s">
        <v>35007</v>
      </c>
      <c r="G4345" s="41" t="s">
        <v>35008</v>
      </c>
      <c r="H4345" s="41" t="s">
        <v>35009</v>
      </c>
      <c r="I4345" s="41" t="s">
        <v>35010</v>
      </c>
      <c r="J4345" s="41" t="s">
        <v>35011</v>
      </c>
      <c r="K4345" s="41" t="s">
        <v>35012</v>
      </c>
      <c r="L4345" s="41" t="s">
        <v>891</v>
      </c>
    </row>
    <row r="4346" spans="1:19" x14ac:dyDescent="0.25">
      <c r="A4346" s="41" t="s">
        <v>23</v>
      </c>
      <c r="B4346" s="41" t="s">
        <v>35013</v>
      </c>
      <c r="D4346" s="41" t="s">
        <v>35014</v>
      </c>
      <c r="F4346" s="41" t="s">
        <v>35015</v>
      </c>
      <c r="G4346" s="41" t="s">
        <v>35016</v>
      </c>
      <c r="H4346" s="41" t="s">
        <v>35017</v>
      </c>
      <c r="I4346" s="41" t="s">
        <v>35018</v>
      </c>
      <c r="J4346" s="41" t="s">
        <v>35019</v>
      </c>
      <c r="K4346" s="41" t="s">
        <v>35020</v>
      </c>
      <c r="L4346" s="41" t="s">
        <v>1076</v>
      </c>
    </row>
    <row r="4347" spans="1:19" x14ac:dyDescent="0.25">
      <c r="A4347" s="41" t="s">
        <v>23</v>
      </c>
      <c r="B4347" s="41" t="s">
        <v>35021</v>
      </c>
      <c r="D4347" s="41" t="s">
        <v>35022</v>
      </c>
      <c r="F4347" s="41" t="s">
        <v>35023</v>
      </c>
      <c r="G4347" s="41" t="s">
        <v>35024</v>
      </c>
      <c r="H4347" s="41" t="s">
        <v>35025</v>
      </c>
      <c r="I4347" s="41" t="s">
        <v>35026</v>
      </c>
      <c r="J4347" s="41" t="s">
        <v>35027</v>
      </c>
      <c r="K4347" s="41" t="s">
        <v>35028</v>
      </c>
      <c r="L4347" s="41" t="s">
        <v>1085</v>
      </c>
    </row>
    <row r="4348" spans="1:19" x14ac:dyDescent="0.25">
      <c r="A4348" s="41" t="s">
        <v>23</v>
      </c>
      <c r="B4348" s="41" t="s">
        <v>35029</v>
      </c>
      <c r="D4348" s="41" t="s">
        <v>35030</v>
      </c>
      <c r="F4348" s="41" t="s">
        <v>35031</v>
      </c>
      <c r="G4348" s="41" t="s">
        <v>35032</v>
      </c>
      <c r="H4348" s="41" t="s">
        <v>35033</v>
      </c>
      <c r="I4348" s="41" t="s">
        <v>35034</v>
      </c>
      <c r="J4348" s="41" t="s">
        <v>35035</v>
      </c>
      <c r="K4348" s="41" t="s">
        <v>35036</v>
      </c>
      <c r="L4348" s="41" t="s">
        <v>1094</v>
      </c>
    </row>
    <row r="4349" spans="1:19" x14ac:dyDescent="0.25">
      <c r="A4349" s="41" t="s">
        <v>908</v>
      </c>
      <c r="B4349" s="41" t="s">
        <v>35037</v>
      </c>
    </row>
    <row r="4350" spans="1:19" x14ac:dyDescent="0.25">
      <c r="A4350" s="41" t="s">
        <v>23</v>
      </c>
      <c r="B4350" s="41" t="s">
        <v>35038</v>
      </c>
      <c r="F4350" s="41" t="s">
        <v>35039</v>
      </c>
      <c r="G4350" s="41" t="s">
        <v>35040</v>
      </c>
      <c r="H4350" s="41" t="s">
        <v>35041</v>
      </c>
      <c r="I4350" s="41" t="s">
        <v>35042</v>
      </c>
      <c r="J4350" s="41" t="s">
        <v>35043</v>
      </c>
      <c r="L4350" s="41" t="s">
        <v>4</v>
      </c>
    </row>
    <row r="4351" spans="1:19" x14ac:dyDescent="0.25">
      <c r="A4351" s="41" t="s">
        <v>23</v>
      </c>
      <c r="B4351" s="41" t="s">
        <v>35044</v>
      </c>
      <c r="D4351" s="41" t="s">
        <v>879</v>
      </c>
      <c r="E4351" s="41" t="s">
        <v>35046</v>
      </c>
      <c r="F4351" s="41" t="s">
        <v>35047</v>
      </c>
      <c r="G4351" s="41" t="s">
        <v>35048</v>
      </c>
      <c r="H4351" s="41" t="s">
        <v>35049</v>
      </c>
      <c r="I4351" s="41" t="s">
        <v>35050</v>
      </c>
      <c r="J4351" s="41" t="s">
        <v>35051</v>
      </c>
      <c r="K4351" s="41" t="s">
        <v>35052</v>
      </c>
      <c r="L4351" s="41" t="s">
        <v>35053</v>
      </c>
      <c r="M4351" s="41" t="s">
        <v>35054</v>
      </c>
      <c r="N4351" s="41" t="s">
        <v>35055</v>
      </c>
      <c r="O4351" s="41" t="s">
        <v>35056</v>
      </c>
      <c r="P4351" s="41" t="s">
        <v>35057</v>
      </c>
      <c r="Q4351" s="41" t="s">
        <v>35058</v>
      </c>
      <c r="R4351" s="41" t="s">
        <v>35059</v>
      </c>
      <c r="S4351" s="41" t="s">
        <v>35060</v>
      </c>
    </row>
    <row r="4352" spans="1:19" x14ac:dyDescent="0.25">
      <c r="A4352" s="41" t="s">
        <v>23</v>
      </c>
      <c r="B4352" s="41" t="s">
        <v>35061</v>
      </c>
      <c r="D4352" s="41" t="s">
        <v>35062</v>
      </c>
      <c r="F4352" s="41" t="s">
        <v>35063</v>
      </c>
      <c r="G4352" s="41" t="s">
        <v>35064</v>
      </c>
      <c r="H4352" s="41" t="s">
        <v>35065</v>
      </c>
      <c r="I4352" s="41" t="s">
        <v>35066</v>
      </c>
      <c r="J4352" s="41" t="s">
        <v>35067</v>
      </c>
      <c r="K4352" s="41" t="s">
        <v>35068</v>
      </c>
      <c r="L4352" s="41" t="s">
        <v>891</v>
      </c>
    </row>
    <row r="4353" spans="1:19" x14ac:dyDescent="0.25">
      <c r="A4353" s="41" t="s">
        <v>23</v>
      </c>
      <c r="B4353" s="41" t="s">
        <v>35069</v>
      </c>
      <c r="D4353" s="41" t="s">
        <v>35070</v>
      </c>
      <c r="F4353" s="41" t="s">
        <v>35071</v>
      </c>
      <c r="G4353" s="41" t="s">
        <v>35072</v>
      </c>
      <c r="H4353" s="41" t="s">
        <v>35073</v>
      </c>
      <c r="I4353" s="41" t="s">
        <v>35074</v>
      </c>
      <c r="J4353" s="41" t="s">
        <v>35075</v>
      </c>
      <c r="K4353" s="41" t="s">
        <v>35076</v>
      </c>
      <c r="L4353" s="41" t="s">
        <v>1076</v>
      </c>
    </row>
    <row r="4354" spans="1:19" x14ac:dyDescent="0.25">
      <c r="A4354" s="41" t="s">
        <v>23</v>
      </c>
      <c r="B4354" s="41" t="s">
        <v>35077</v>
      </c>
      <c r="D4354" s="41" t="s">
        <v>35078</v>
      </c>
      <c r="F4354" s="41" t="s">
        <v>35079</v>
      </c>
      <c r="G4354" s="41" t="s">
        <v>35080</v>
      </c>
      <c r="H4354" s="41" t="s">
        <v>35081</v>
      </c>
      <c r="I4354" s="41" t="s">
        <v>35082</v>
      </c>
      <c r="J4354" s="41" t="s">
        <v>35083</v>
      </c>
      <c r="K4354" s="41" t="s">
        <v>35084</v>
      </c>
      <c r="L4354" s="41" t="s">
        <v>1085</v>
      </c>
    </row>
    <row r="4355" spans="1:19" x14ac:dyDescent="0.25">
      <c r="A4355" s="41" t="s">
        <v>23</v>
      </c>
      <c r="B4355" s="41" t="s">
        <v>35085</v>
      </c>
      <c r="D4355" s="41" t="s">
        <v>35086</v>
      </c>
      <c r="F4355" s="41" t="s">
        <v>35087</v>
      </c>
      <c r="G4355" s="41" t="s">
        <v>35088</v>
      </c>
      <c r="H4355" s="41" t="s">
        <v>35089</v>
      </c>
      <c r="I4355" s="41" t="s">
        <v>35090</v>
      </c>
      <c r="J4355" s="41" t="s">
        <v>35091</v>
      </c>
      <c r="K4355" s="41" t="s">
        <v>35092</v>
      </c>
      <c r="L4355" s="41" t="s">
        <v>1094</v>
      </c>
    </row>
    <row r="4356" spans="1:19" x14ac:dyDescent="0.25">
      <c r="A4356" s="41" t="s">
        <v>908</v>
      </c>
      <c r="B4356" s="41" t="s">
        <v>35093</v>
      </c>
    </row>
    <row r="4357" spans="1:19" x14ac:dyDescent="0.25">
      <c r="A4357" s="41" t="s">
        <v>23</v>
      </c>
      <c r="B4357" s="41" t="s">
        <v>35094</v>
      </c>
      <c r="F4357" s="41" t="s">
        <v>35095</v>
      </c>
      <c r="G4357" s="41" t="s">
        <v>35096</v>
      </c>
      <c r="H4357" s="41" t="s">
        <v>35097</v>
      </c>
      <c r="I4357" s="41" t="s">
        <v>35098</v>
      </c>
      <c r="J4357" s="41" t="s">
        <v>35099</v>
      </c>
      <c r="L4357" s="41" t="s">
        <v>4</v>
      </c>
    </row>
    <row r="4358" spans="1:19" x14ac:dyDescent="0.25">
      <c r="A4358" s="41" t="s">
        <v>23</v>
      </c>
      <c r="B4358" s="41" t="s">
        <v>35100</v>
      </c>
      <c r="D4358" s="41" t="s">
        <v>34934</v>
      </c>
      <c r="E4358" s="41" t="s">
        <v>35102</v>
      </c>
      <c r="F4358" s="41" t="s">
        <v>35103</v>
      </c>
      <c r="G4358" s="41" t="s">
        <v>35104</v>
      </c>
      <c r="H4358" s="41" t="s">
        <v>35105</v>
      </c>
      <c r="I4358" s="41" t="s">
        <v>35106</v>
      </c>
      <c r="J4358" s="41" t="s">
        <v>35107</v>
      </c>
      <c r="K4358" s="41" t="s">
        <v>35108</v>
      </c>
      <c r="L4358" s="41" t="s">
        <v>35109</v>
      </c>
      <c r="M4358" s="41" t="s">
        <v>35110</v>
      </c>
      <c r="N4358" s="41" t="s">
        <v>35111</v>
      </c>
      <c r="O4358" s="41" t="s">
        <v>35112</v>
      </c>
      <c r="P4358" s="41" t="s">
        <v>35113</v>
      </c>
      <c r="Q4358" s="41" t="s">
        <v>35114</v>
      </c>
      <c r="R4358" s="41" t="s">
        <v>35115</v>
      </c>
      <c r="S4358" s="41" t="s">
        <v>35116</v>
      </c>
    </row>
    <row r="4359" spans="1:19" x14ac:dyDescent="0.25">
      <c r="A4359" s="41" t="s">
        <v>23</v>
      </c>
      <c r="B4359" s="41" t="s">
        <v>35117</v>
      </c>
      <c r="D4359" s="41" t="s">
        <v>35118</v>
      </c>
      <c r="F4359" s="41" t="s">
        <v>35119</v>
      </c>
      <c r="G4359" s="41" t="s">
        <v>35120</v>
      </c>
      <c r="H4359" s="41" t="s">
        <v>35121</v>
      </c>
      <c r="I4359" s="41" t="s">
        <v>35122</v>
      </c>
      <c r="J4359" s="41" t="s">
        <v>35123</v>
      </c>
      <c r="K4359" s="41" t="s">
        <v>35124</v>
      </c>
      <c r="L4359" s="41" t="s">
        <v>891</v>
      </c>
    </row>
    <row r="4360" spans="1:19" x14ac:dyDescent="0.25">
      <c r="A4360" s="41" t="s">
        <v>23</v>
      </c>
      <c r="B4360" s="41" t="s">
        <v>35125</v>
      </c>
      <c r="D4360" s="41" t="s">
        <v>35126</v>
      </c>
      <c r="F4360" s="41" t="s">
        <v>35127</v>
      </c>
      <c r="G4360" s="41" t="s">
        <v>35128</v>
      </c>
      <c r="H4360" s="41" t="s">
        <v>35129</v>
      </c>
      <c r="I4360" s="41" t="s">
        <v>35130</v>
      </c>
      <c r="J4360" s="41" t="s">
        <v>35131</v>
      </c>
      <c r="K4360" s="41" t="s">
        <v>35132</v>
      </c>
      <c r="L4360" s="41" t="s">
        <v>1076</v>
      </c>
    </row>
    <row r="4361" spans="1:19" x14ac:dyDescent="0.25">
      <c r="A4361" s="41" t="s">
        <v>23</v>
      </c>
      <c r="B4361" s="41" t="s">
        <v>35133</v>
      </c>
      <c r="D4361" s="41" t="s">
        <v>35134</v>
      </c>
      <c r="F4361" s="41" t="s">
        <v>35135</v>
      </c>
      <c r="G4361" s="41" t="s">
        <v>35136</v>
      </c>
      <c r="H4361" s="41" t="s">
        <v>35137</v>
      </c>
      <c r="I4361" s="41" t="s">
        <v>35138</v>
      </c>
      <c r="J4361" s="41" t="s">
        <v>35139</v>
      </c>
      <c r="K4361" s="41" t="s">
        <v>35140</v>
      </c>
      <c r="L4361" s="41" t="s">
        <v>1085</v>
      </c>
    </row>
    <row r="4362" spans="1:19" x14ac:dyDescent="0.25">
      <c r="A4362" s="41" t="s">
        <v>23</v>
      </c>
      <c r="B4362" s="41" t="s">
        <v>35141</v>
      </c>
      <c r="D4362" s="41" t="s">
        <v>35142</v>
      </c>
      <c r="F4362" s="41" t="s">
        <v>35143</v>
      </c>
      <c r="G4362" s="41" t="s">
        <v>35144</v>
      </c>
      <c r="H4362" s="41" t="s">
        <v>35145</v>
      </c>
      <c r="I4362" s="41" t="s">
        <v>35146</v>
      </c>
      <c r="J4362" s="41" t="s">
        <v>35147</v>
      </c>
      <c r="K4362" s="41" t="s">
        <v>35148</v>
      </c>
      <c r="L4362" s="41" t="s">
        <v>1094</v>
      </c>
    </row>
    <row r="4363" spans="1:19" x14ac:dyDescent="0.25">
      <c r="A4363" s="41" t="s">
        <v>908</v>
      </c>
      <c r="B4363" s="41" t="s">
        <v>35149</v>
      </c>
    </row>
    <row r="4364" spans="1:19" x14ac:dyDescent="0.25">
      <c r="A4364" s="41" t="s">
        <v>23</v>
      </c>
      <c r="B4364" s="41" t="s">
        <v>35150</v>
      </c>
      <c r="F4364" s="41" t="s">
        <v>35151</v>
      </c>
      <c r="G4364" s="41" t="s">
        <v>35152</v>
      </c>
      <c r="H4364" s="41" t="s">
        <v>35153</v>
      </c>
      <c r="I4364" s="41" t="s">
        <v>35154</v>
      </c>
      <c r="J4364" s="41" t="s">
        <v>35155</v>
      </c>
      <c r="L4364" s="41" t="s">
        <v>4</v>
      </c>
    </row>
    <row r="4365" spans="1:19" x14ac:dyDescent="0.25">
      <c r="A4365" s="41" t="s">
        <v>23</v>
      </c>
      <c r="B4365" s="41" t="s">
        <v>35156</v>
      </c>
      <c r="D4365" s="41" t="s">
        <v>880</v>
      </c>
      <c r="E4365" s="41" t="s">
        <v>35158</v>
      </c>
      <c r="F4365" s="41" t="s">
        <v>35159</v>
      </c>
      <c r="G4365" s="41" t="s">
        <v>35160</v>
      </c>
      <c r="H4365" s="41" t="s">
        <v>35161</v>
      </c>
      <c r="I4365" s="41" t="s">
        <v>35162</v>
      </c>
      <c r="J4365" s="41" t="s">
        <v>35163</v>
      </c>
      <c r="K4365" s="41" t="s">
        <v>35164</v>
      </c>
      <c r="L4365" s="41" t="s">
        <v>35165</v>
      </c>
      <c r="M4365" s="41" t="s">
        <v>35166</v>
      </c>
      <c r="N4365" s="41" t="s">
        <v>35167</v>
      </c>
      <c r="O4365" s="41" t="s">
        <v>35168</v>
      </c>
      <c r="P4365" s="41" t="s">
        <v>35169</v>
      </c>
      <c r="Q4365" s="41" t="s">
        <v>35170</v>
      </c>
      <c r="R4365" s="41" t="s">
        <v>35171</v>
      </c>
      <c r="S4365" s="41" t="s">
        <v>35172</v>
      </c>
    </row>
    <row r="4366" spans="1:19" x14ac:dyDescent="0.25">
      <c r="A4366" s="41" t="s">
        <v>23</v>
      </c>
      <c r="B4366" s="41" t="s">
        <v>35173</v>
      </c>
      <c r="D4366" s="41" t="s">
        <v>35174</v>
      </c>
      <c r="F4366" s="41" t="s">
        <v>35175</v>
      </c>
      <c r="G4366" s="41" t="s">
        <v>35176</v>
      </c>
      <c r="H4366" s="41" t="s">
        <v>35177</v>
      </c>
      <c r="I4366" s="41" t="s">
        <v>35178</v>
      </c>
      <c r="J4366" s="41" t="s">
        <v>35179</v>
      </c>
      <c r="K4366" s="41" t="s">
        <v>35180</v>
      </c>
      <c r="L4366" s="41" t="s">
        <v>891</v>
      </c>
    </row>
    <row r="4367" spans="1:19" x14ac:dyDescent="0.25">
      <c r="A4367" s="41" t="s">
        <v>23</v>
      </c>
      <c r="B4367" s="41" t="s">
        <v>35181</v>
      </c>
      <c r="D4367" s="41" t="s">
        <v>35182</v>
      </c>
      <c r="F4367" s="41" t="s">
        <v>35183</v>
      </c>
      <c r="G4367" s="41" t="s">
        <v>35184</v>
      </c>
      <c r="H4367" s="41" t="s">
        <v>35185</v>
      </c>
      <c r="I4367" s="41" t="s">
        <v>35186</v>
      </c>
      <c r="J4367" s="41" t="s">
        <v>35187</v>
      </c>
      <c r="K4367" s="41" t="s">
        <v>35188</v>
      </c>
      <c r="L4367" s="41" t="s">
        <v>1076</v>
      </c>
    </row>
    <row r="4368" spans="1:19" x14ac:dyDescent="0.25">
      <c r="A4368" s="41" t="s">
        <v>23</v>
      </c>
      <c r="B4368" s="41" t="s">
        <v>35189</v>
      </c>
      <c r="D4368" s="41" t="s">
        <v>35190</v>
      </c>
      <c r="F4368" s="41" t="s">
        <v>35191</v>
      </c>
      <c r="G4368" s="41" t="s">
        <v>35192</v>
      </c>
      <c r="H4368" s="41" t="s">
        <v>35193</v>
      </c>
      <c r="I4368" s="41" t="s">
        <v>35194</v>
      </c>
      <c r="J4368" s="41" t="s">
        <v>35195</v>
      </c>
      <c r="K4368" s="41" t="s">
        <v>35196</v>
      </c>
      <c r="L4368" s="41" t="s">
        <v>1085</v>
      </c>
    </row>
    <row r="4369" spans="1:19" x14ac:dyDescent="0.25">
      <c r="A4369" s="41" t="s">
        <v>23</v>
      </c>
      <c r="B4369" s="41" t="s">
        <v>35197</v>
      </c>
      <c r="D4369" s="41" t="s">
        <v>35198</v>
      </c>
      <c r="F4369" s="41" t="s">
        <v>35199</v>
      </c>
      <c r="G4369" s="41" t="s">
        <v>35200</v>
      </c>
      <c r="H4369" s="41" t="s">
        <v>35201</v>
      </c>
      <c r="I4369" s="41" t="s">
        <v>35202</v>
      </c>
      <c r="J4369" s="41" t="s">
        <v>35203</v>
      </c>
      <c r="K4369" s="41" t="s">
        <v>35204</v>
      </c>
      <c r="L4369" s="41" t="s">
        <v>1094</v>
      </c>
    </row>
    <row r="4370" spans="1:19" x14ac:dyDescent="0.25">
      <c r="A4370" s="41" t="s">
        <v>908</v>
      </c>
      <c r="B4370" s="41" t="s">
        <v>35205</v>
      </c>
    </row>
    <row r="4371" spans="1:19" x14ac:dyDescent="0.25">
      <c r="A4371" s="41" t="s">
        <v>23</v>
      </c>
      <c r="B4371" s="41" t="s">
        <v>35206</v>
      </c>
      <c r="F4371" s="41" t="s">
        <v>35207</v>
      </c>
      <c r="G4371" s="41" t="s">
        <v>35208</v>
      </c>
      <c r="H4371" s="41" t="s">
        <v>35209</v>
      </c>
      <c r="I4371" s="41" t="s">
        <v>35210</v>
      </c>
      <c r="J4371" s="41" t="s">
        <v>35211</v>
      </c>
      <c r="L4371" s="41" t="s">
        <v>4</v>
      </c>
    </row>
    <row r="4372" spans="1:19" x14ac:dyDescent="0.25">
      <c r="A4372" s="41" t="s">
        <v>23</v>
      </c>
      <c r="B4372" s="41" t="s">
        <v>35212</v>
      </c>
      <c r="D4372" s="41" t="s">
        <v>35045</v>
      </c>
      <c r="E4372" s="41" t="s">
        <v>35214</v>
      </c>
      <c r="F4372" s="41" t="s">
        <v>35215</v>
      </c>
      <c r="G4372" s="41" t="s">
        <v>35216</v>
      </c>
      <c r="H4372" s="41" t="s">
        <v>35217</v>
      </c>
      <c r="I4372" s="41" t="s">
        <v>35218</v>
      </c>
      <c r="J4372" s="41" t="s">
        <v>35219</v>
      </c>
      <c r="K4372" s="41" t="s">
        <v>35220</v>
      </c>
      <c r="L4372" s="41" t="s">
        <v>35221</v>
      </c>
      <c r="M4372" s="41" t="s">
        <v>35222</v>
      </c>
      <c r="N4372" s="41" t="s">
        <v>35223</v>
      </c>
      <c r="O4372" s="41" t="s">
        <v>35224</v>
      </c>
      <c r="P4372" s="41" t="s">
        <v>35225</v>
      </c>
      <c r="Q4372" s="41" t="s">
        <v>35226</v>
      </c>
      <c r="R4372" s="41" t="s">
        <v>35227</v>
      </c>
      <c r="S4372" s="41" t="s">
        <v>35228</v>
      </c>
    </row>
    <row r="4373" spans="1:19" x14ac:dyDescent="0.25">
      <c r="A4373" s="41" t="s">
        <v>23</v>
      </c>
      <c r="B4373" s="41" t="s">
        <v>35229</v>
      </c>
      <c r="D4373" s="41" t="s">
        <v>35230</v>
      </c>
      <c r="F4373" s="41" t="s">
        <v>35231</v>
      </c>
      <c r="G4373" s="41" t="s">
        <v>35232</v>
      </c>
      <c r="H4373" s="41" t="s">
        <v>35233</v>
      </c>
      <c r="I4373" s="41" t="s">
        <v>35234</v>
      </c>
      <c r="J4373" s="41" t="s">
        <v>35235</v>
      </c>
      <c r="K4373" s="41" t="s">
        <v>35236</v>
      </c>
      <c r="L4373" s="41" t="s">
        <v>891</v>
      </c>
    </row>
    <row r="4374" spans="1:19" x14ac:dyDescent="0.25">
      <c r="A4374" s="41" t="s">
        <v>23</v>
      </c>
      <c r="B4374" s="41" t="s">
        <v>35237</v>
      </c>
      <c r="D4374" s="41" t="s">
        <v>35238</v>
      </c>
      <c r="F4374" s="41" t="s">
        <v>35239</v>
      </c>
      <c r="G4374" s="41" t="s">
        <v>35240</v>
      </c>
      <c r="H4374" s="41" t="s">
        <v>35241</v>
      </c>
      <c r="I4374" s="41" t="s">
        <v>35242</v>
      </c>
      <c r="J4374" s="41" t="s">
        <v>35243</v>
      </c>
      <c r="K4374" s="41" t="s">
        <v>35244</v>
      </c>
      <c r="L4374" s="41" t="s">
        <v>1076</v>
      </c>
    </row>
    <row r="4375" spans="1:19" x14ac:dyDescent="0.25">
      <c r="A4375" s="41" t="s">
        <v>23</v>
      </c>
      <c r="B4375" s="41" t="s">
        <v>35245</v>
      </c>
      <c r="D4375" s="41" t="s">
        <v>35246</v>
      </c>
      <c r="F4375" s="41" t="s">
        <v>35247</v>
      </c>
      <c r="G4375" s="41" t="s">
        <v>35248</v>
      </c>
      <c r="H4375" s="41" t="s">
        <v>35249</v>
      </c>
      <c r="I4375" s="41" t="s">
        <v>35250</v>
      </c>
      <c r="J4375" s="41" t="s">
        <v>35251</v>
      </c>
      <c r="K4375" s="41" t="s">
        <v>35252</v>
      </c>
      <c r="L4375" s="41" t="s">
        <v>1085</v>
      </c>
    </row>
    <row r="4376" spans="1:19" x14ac:dyDescent="0.25">
      <c r="A4376" s="41" t="s">
        <v>23</v>
      </c>
      <c r="B4376" s="41" t="s">
        <v>35253</v>
      </c>
      <c r="D4376" s="41" t="s">
        <v>35254</v>
      </c>
      <c r="F4376" s="41" t="s">
        <v>35255</v>
      </c>
      <c r="G4376" s="41" t="s">
        <v>35256</v>
      </c>
      <c r="H4376" s="41" t="s">
        <v>35257</v>
      </c>
      <c r="I4376" s="41" t="s">
        <v>35258</v>
      </c>
      <c r="J4376" s="41" t="s">
        <v>35259</v>
      </c>
      <c r="K4376" s="41" t="s">
        <v>35260</v>
      </c>
      <c r="L4376" s="41" t="s">
        <v>1094</v>
      </c>
    </row>
    <row r="4377" spans="1:19" x14ac:dyDescent="0.25">
      <c r="A4377" s="41" t="s">
        <v>908</v>
      </c>
      <c r="B4377" s="41" t="s">
        <v>35261</v>
      </c>
    </row>
    <row r="4378" spans="1:19" x14ac:dyDescent="0.25">
      <c r="A4378" s="41" t="s">
        <v>23</v>
      </c>
      <c r="B4378" s="41" t="s">
        <v>35262</v>
      </c>
      <c r="F4378" s="41" t="s">
        <v>35263</v>
      </c>
      <c r="G4378" s="41" t="s">
        <v>35264</v>
      </c>
      <c r="H4378" s="41" t="s">
        <v>35265</v>
      </c>
      <c r="I4378" s="41" t="s">
        <v>35266</v>
      </c>
      <c r="J4378" s="41" t="s">
        <v>35267</v>
      </c>
      <c r="L4378" s="41" t="s">
        <v>4</v>
      </c>
    </row>
    <row r="4379" spans="1:19" x14ac:dyDescent="0.25">
      <c r="A4379" s="41" t="s">
        <v>23</v>
      </c>
      <c r="B4379" s="41" t="s">
        <v>35268</v>
      </c>
      <c r="D4379" s="41" t="s">
        <v>35101</v>
      </c>
      <c r="E4379" s="41" t="s">
        <v>35270</v>
      </c>
      <c r="F4379" s="41" t="s">
        <v>35271</v>
      </c>
      <c r="G4379" s="41" t="s">
        <v>35272</v>
      </c>
      <c r="H4379" s="41" t="s">
        <v>35273</v>
      </c>
      <c r="I4379" s="41" t="s">
        <v>35274</v>
      </c>
      <c r="J4379" s="41" t="s">
        <v>35275</v>
      </c>
      <c r="K4379" s="41" t="s">
        <v>35276</v>
      </c>
      <c r="L4379" s="41" t="s">
        <v>35277</v>
      </c>
      <c r="M4379" s="41" t="s">
        <v>35278</v>
      </c>
      <c r="N4379" s="41" t="s">
        <v>35279</v>
      </c>
      <c r="O4379" s="41" t="s">
        <v>35280</v>
      </c>
      <c r="P4379" s="41" t="s">
        <v>35281</v>
      </c>
      <c r="Q4379" s="41" t="s">
        <v>35282</v>
      </c>
      <c r="R4379" s="41" t="s">
        <v>35283</v>
      </c>
      <c r="S4379" s="41" t="s">
        <v>35284</v>
      </c>
    </row>
    <row r="4380" spans="1:19" x14ac:dyDescent="0.25">
      <c r="A4380" s="41" t="s">
        <v>23</v>
      </c>
      <c r="B4380" s="41" t="s">
        <v>35285</v>
      </c>
      <c r="D4380" s="41" t="s">
        <v>35286</v>
      </c>
      <c r="F4380" s="41" t="s">
        <v>35287</v>
      </c>
      <c r="G4380" s="41" t="s">
        <v>35288</v>
      </c>
      <c r="H4380" s="41" t="s">
        <v>35289</v>
      </c>
      <c r="I4380" s="41" t="s">
        <v>35290</v>
      </c>
      <c r="J4380" s="41" t="s">
        <v>35291</v>
      </c>
      <c r="K4380" s="41" t="s">
        <v>35292</v>
      </c>
      <c r="L4380" s="41" t="s">
        <v>891</v>
      </c>
    </row>
    <row r="4381" spans="1:19" x14ac:dyDescent="0.25">
      <c r="A4381" s="41" t="s">
        <v>23</v>
      </c>
      <c r="B4381" s="41" t="s">
        <v>35293</v>
      </c>
      <c r="D4381" s="41" t="s">
        <v>35294</v>
      </c>
      <c r="F4381" s="41" t="s">
        <v>35295</v>
      </c>
      <c r="G4381" s="41" t="s">
        <v>35296</v>
      </c>
      <c r="H4381" s="41" t="s">
        <v>35297</v>
      </c>
      <c r="I4381" s="41" t="s">
        <v>35298</v>
      </c>
      <c r="J4381" s="41" t="s">
        <v>35299</v>
      </c>
      <c r="K4381" s="41" t="s">
        <v>35300</v>
      </c>
      <c r="L4381" s="41" t="s">
        <v>1076</v>
      </c>
    </row>
    <row r="4382" spans="1:19" x14ac:dyDescent="0.25">
      <c r="A4382" s="41" t="s">
        <v>23</v>
      </c>
      <c r="B4382" s="41" t="s">
        <v>35301</v>
      </c>
      <c r="D4382" s="41" t="s">
        <v>35302</v>
      </c>
      <c r="F4382" s="41" t="s">
        <v>35303</v>
      </c>
      <c r="G4382" s="41" t="s">
        <v>35304</v>
      </c>
      <c r="H4382" s="41" t="s">
        <v>35305</v>
      </c>
      <c r="I4382" s="41" t="s">
        <v>35306</v>
      </c>
      <c r="J4382" s="41" t="s">
        <v>35307</v>
      </c>
      <c r="K4382" s="41" t="s">
        <v>35308</v>
      </c>
      <c r="L4382" s="41" t="s">
        <v>1085</v>
      </c>
    </row>
    <row r="4383" spans="1:19" x14ac:dyDescent="0.25">
      <c r="A4383" s="41" t="s">
        <v>23</v>
      </c>
      <c r="B4383" s="41" t="s">
        <v>35309</v>
      </c>
      <c r="D4383" s="41" t="s">
        <v>35310</v>
      </c>
      <c r="F4383" s="41" t="s">
        <v>35311</v>
      </c>
      <c r="G4383" s="41" t="s">
        <v>35312</v>
      </c>
      <c r="H4383" s="41" t="s">
        <v>35313</v>
      </c>
      <c r="I4383" s="41" t="s">
        <v>35314</v>
      </c>
      <c r="J4383" s="41" t="s">
        <v>35315</v>
      </c>
      <c r="K4383" s="41" t="s">
        <v>35316</v>
      </c>
      <c r="L4383" s="41" t="s">
        <v>1094</v>
      </c>
    </row>
    <row r="4384" spans="1:19" x14ac:dyDescent="0.25">
      <c r="A4384" s="41" t="s">
        <v>908</v>
      </c>
      <c r="B4384" s="41" t="s">
        <v>35317</v>
      </c>
    </row>
    <row r="4385" spans="1:19" x14ac:dyDescent="0.25">
      <c r="A4385" s="41" t="s">
        <v>23</v>
      </c>
      <c r="B4385" s="41" t="s">
        <v>35318</v>
      </c>
      <c r="F4385" s="41" t="s">
        <v>35319</v>
      </c>
      <c r="G4385" s="41" t="s">
        <v>35320</v>
      </c>
      <c r="H4385" s="41" t="s">
        <v>35321</v>
      </c>
      <c r="I4385" s="41" t="s">
        <v>35322</v>
      </c>
      <c r="J4385" s="41" t="s">
        <v>35323</v>
      </c>
      <c r="L4385" s="41" t="s">
        <v>4</v>
      </c>
    </row>
    <row r="4386" spans="1:19" x14ac:dyDescent="0.25">
      <c r="A4386" s="41" t="s">
        <v>23</v>
      </c>
      <c r="B4386" s="41" t="s">
        <v>35324</v>
      </c>
      <c r="D4386" s="41" t="s">
        <v>35157</v>
      </c>
      <c r="E4386" s="41" t="s">
        <v>35326</v>
      </c>
      <c r="F4386" s="41" t="s">
        <v>35327</v>
      </c>
      <c r="G4386" s="41" t="s">
        <v>35328</v>
      </c>
      <c r="H4386" s="41" t="s">
        <v>35329</v>
      </c>
      <c r="I4386" s="41" t="s">
        <v>35330</v>
      </c>
      <c r="J4386" s="41" t="s">
        <v>35331</v>
      </c>
      <c r="K4386" s="41" t="s">
        <v>35332</v>
      </c>
      <c r="L4386" s="41" t="s">
        <v>35333</v>
      </c>
      <c r="M4386" s="41" t="s">
        <v>35334</v>
      </c>
      <c r="N4386" s="41" t="s">
        <v>35335</v>
      </c>
      <c r="O4386" s="41" t="s">
        <v>35336</v>
      </c>
      <c r="P4386" s="41" t="s">
        <v>35337</v>
      </c>
      <c r="Q4386" s="41" t="s">
        <v>35338</v>
      </c>
      <c r="R4386" s="41" t="s">
        <v>35339</v>
      </c>
      <c r="S4386" s="41" t="s">
        <v>35340</v>
      </c>
    </row>
    <row r="4387" spans="1:19" x14ac:dyDescent="0.25">
      <c r="A4387" s="41" t="s">
        <v>23</v>
      </c>
      <c r="B4387" s="41" t="s">
        <v>35341</v>
      </c>
      <c r="D4387" s="41" t="s">
        <v>35342</v>
      </c>
      <c r="F4387" s="41" t="s">
        <v>35343</v>
      </c>
      <c r="G4387" s="41" t="s">
        <v>35344</v>
      </c>
      <c r="H4387" s="41" t="s">
        <v>35345</v>
      </c>
      <c r="I4387" s="41" t="s">
        <v>35346</v>
      </c>
      <c r="J4387" s="41" t="s">
        <v>35347</v>
      </c>
      <c r="K4387" s="41" t="s">
        <v>35348</v>
      </c>
      <c r="L4387" s="41" t="s">
        <v>891</v>
      </c>
    </row>
    <row r="4388" spans="1:19" x14ac:dyDescent="0.25">
      <c r="A4388" s="41" t="s">
        <v>23</v>
      </c>
      <c r="B4388" s="41" t="s">
        <v>35349</v>
      </c>
      <c r="D4388" s="41" t="s">
        <v>35350</v>
      </c>
      <c r="F4388" s="41" t="s">
        <v>35351</v>
      </c>
      <c r="G4388" s="41" t="s">
        <v>35352</v>
      </c>
      <c r="H4388" s="41" t="s">
        <v>35353</v>
      </c>
      <c r="I4388" s="41" t="s">
        <v>35354</v>
      </c>
      <c r="J4388" s="41" t="s">
        <v>35355</v>
      </c>
      <c r="K4388" s="41" t="s">
        <v>35356</v>
      </c>
      <c r="L4388" s="41" t="s">
        <v>1076</v>
      </c>
    </row>
    <row r="4389" spans="1:19" x14ac:dyDescent="0.25">
      <c r="A4389" s="41" t="s">
        <v>23</v>
      </c>
      <c r="B4389" s="41" t="s">
        <v>35357</v>
      </c>
      <c r="D4389" s="41" t="s">
        <v>35358</v>
      </c>
      <c r="F4389" s="41" t="s">
        <v>35359</v>
      </c>
      <c r="G4389" s="41" t="s">
        <v>35360</v>
      </c>
      <c r="H4389" s="41" t="s">
        <v>35361</v>
      </c>
      <c r="I4389" s="41" t="s">
        <v>35362</v>
      </c>
      <c r="J4389" s="41" t="s">
        <v>35363</v>
      </c>
      <c r="K4389" s="41" t="s">
        <v>35364</v>
      </c>
      <c r="L4389" s="41" t="s">
        <v>1085</v>
      </c>
    </row>
    <row r="4390" spans="1:19" x14ac:dyDescent="0.25">
      <c r="A4390" s="41" t="s">
        <v>23</v>
      </c>
      <c r="B4390" s="41" t="s">
        <v>35365</v>
      </c>
      <c r="D4390" s="41" t="s">
        <v>35366</v>
      </c>
      <c r="F4390" s="41" t="s">
        <v>35367</v>
      </c>
      <c r="G4390" s="41" t="s">
        <v>35368</v>
      </c>
      <c r="H4390" s="41" t="s">
        <v>35369</v>
      </c>
      <c r="I4390" s="41" t="s">
        <v>35370</v>
      </c>
      <c r="J4390" s="41" t="s">
        <v>35371</v>
      </c>
      <c r="K4390" s="41" t="s">
        <v>35372</v>
      </c>
      <c r="L4390" s="41" t="s">
        <v>1094</v>
      </c>
    </row>
    <row r="4391" spans="1:19" x14ac:dyDescent="0.25">
      <c r="A4391" s="41" t="s">
        <v>908</v>
      </c>
      <c r="B4391" s="41" t="s">
        <v>35373</v>
      </c>
    </row>
    <row r="4392" spans="1:19" x14ac:dyDescent="0.25">
      <c r="A4392" s="41" t="s">
        <v>23</v>
      </c>
      <c r="B4392" s="41" t="s">
        <v>35374</v>
      </c>
      <c r="F4392" s="41" t="s">
        <v>35375</v>
      </c>
      <c r="G4392" s="41" t="s">
        <v>35376</v>
      </c>
      <c r="H4392" s="41" t="s">
        <v>35377</v>
      </c>
      <c r="I4392" s="41" t="s">
        <v>35378</v>
      </c>
      <c r="J4392" s="41" t="s">
        <v>35379</v>
      </c>
      <c r="L4392" s="41" t="s">
        <v>4</v>
      </c>
    </row>
    <row r="4393" spans="1:19" x14ac:dyDescent="0.25">
      <c r="A4393" s="41" t="s">
        <v>23</v>
      </c>
      <c r="B4393" s="41" t="s">
        <v>35380</v>
      </c>
      <c r="D4393" s="41" t="s">
        <v>35213</v>
      </c>
      <c r="E4393" s="41" t="s">
        <v>35381</v>
      </c>
      <c r="F4393" s="41" t="s">
        <v>35382</v>
      </c>
      <c r="G4393" s="41" t="s">
        <v>35383</v>
      </c>
      <c r="H4393" s="41" t="s">
        <v>35384</v>
      </c>
      <c r="I4393" s="41" t="s">
        <v>35385</v>
      </c>
      <c r="J4393" s="41" t="s">
        <v>35386</v>
      </c>
      <c r="K4393" s="41" t="s">
        <v>35387</v>
      </c>
      <c r="L4393" s="41" t="s">
        <v>35388</v>
      </c>
      <c r="M4393" s="41" t="s">
        <v>35389</v>
      </c>
      <c r="N4393" s="41" t="s">
        <v>35390</v>
      </c>
      <c r="O4393" s="41" t="s">
        <v>35391</v>
      </c>
      <c r="P4393" s="41" t="s">
        <v>35392</v>
      </c>
      <c r="Q4393" s="41" t="s">
        <v>35393</v>
      </c>
      <c r="R4393" s="41" t="s">
        <v>35394</v>
      </c>
      <c r="S4393" s="41" t="s">
        <v>35395</v>
      </c>
    </row>
    <row r="4394" spans="1:19" x14ac:dyDescent="0.25">
      <c r="A4394" s="41" t="s">
        <v>23</v>
      </c>
      <c r="B4394" s="41" t="s">
        <v>35396</v>
      </c>
      <c r="D4394" s="41" t="s">
        <v>35397</v>
      </c>
      <c r="F4394" s="41" t="s">
        <v>35398</v>
      </c>
      <c r="G4394" s="41" t="s">
        <v>35399</v>
      </c>
      <c r="H4394" s="41" t="s">
        <v>35400</v>
      </c>
      <c r="I4394" s="41" t="s">
        <v>35401</v>
      </c>
      <c r="J4394" s="41" t="s">
        <v>35402</v>
      </c>
      <c r="K4394" s="41" t="s">
        <v>35403</v>
      </c>
      <c r="L4394" s="41" t="s">
        <v>891</v>
      </c>
    </row>
    <row r="4395" spans="1:19" x14ac:dyDescent="0.25">
      <c r="A4395" s="41" t="s">
        <v>23</v>
      </c>
      <c r="B4395" s="41" t="s">
        <v>35404</v>
      </c>
      <c r="D4395" s="41" t="s">
        <v>35405</v>
      </c>
      <c r="F4395" s="41" t="s">
        <v>35406</v>
      </c>
      <c r="G4395" s="41" t="s">
        <v>35407</v>
      </c>
      <c r="H4395" s="41" t="s">
        <v>35408</v>
      </c>
      <c r="I4395" s="41" t="s">
        <v>35409</v>
      </c>
      <c r="J4395" s="41" t="s">
        <v>35410</v>
      </c>
      <c r="K4395" s="41" t="s">
        <v>35411</v>
      </c>
      <c r="L4395" s="41" t="s">
        <v>1076</v>
      </c>
    </row>
    <row r="4396" spans="1:19" x14ac:dyDescent="0.25">
      <c r="A4396" s="41" t="s">
        <v>23</v>
      </c>
      <c r="B4396" s="41" t="s">
        <v>35412</v>
      </c>
      <c r="D4396" s="41" t="s">
        <v>35413</v>
      </c>
      <c r="F4396" s="41" t="s">
        <v>35414</v>
      </c>
      <c r="G4396" s="41" t="s">
        <v>35415</v>
      </c>
      <c r="H4396" s="41" t="s">
        <v>35416</v>
      </c>
      <c r="I4396" s="41" t="s">
        <v>35417</v>
      </c>
      <c r="J4396" s="41" t="s">
        <v>35418</v>
      </c>
      <c r="K4396" s="41" t="s">
        <v>35419</v>
      </c>
      <c r="L4396" s="41" t="s">
        <v>1085</v>
      </c>
    </row>
    <row r="4397" spans="1:19" x14ac:dyDescent="0.25">
      <c r="A4397" s="41" t="s">
        <v>23</v>
      </c>
      <c r="B4397" s="41" t="s">
        <v>35420</v>
      </c>
      <c r="D4397" s="41" t="s">
        <v>35421</v>
      </c>
      <c r="F4397" s="41" t="s">
        <v>35422</v>
      </c>
      <c r="G4397" s="41" t="s">
        <v>35423</v>
      </c>
      <c r="H4397" s="41" t="s">
        <v>35424</v>
      </c>
      <c r="I4397" s="41" t="s">
        <v>35425</v>
      </c>
      <c r="J4397" s="41" t="s">
        <v>35426</v>
      </c>
      <c r="K4397" s="41" t="s">
        <v>35427</v>
      </c>
      <c r="L4397" s="41" t="s">
        <v>1094</v>
      </c>
    </row>
    <row r="4398" spans="1:19" x14ac:dyDescent="0.25">
      <c r="A4398" s="41" t="s">
        <v>908</v>
      </c>
      <c r="B4398" s="41" t="s">
        <v>35428</v>
      </c>
    </row>
    <row r="4399" spans="1:19" x14ac:dyDescent="0.25">
      <c r="A4399" s="41" t="s">
        <v>23</v>
      </c>
      <c r="B4399" s="41" t="s">
        <v>35429</v>
      </c>
      <c r="F4399" s="41" t="s">
        <v>35430</v>
      </c>
      <c r="G4399" s="41" t="s">
        <v>35431</v>
      </c>
      <c r="H4399" s="41" t="s">
        <v>35432</v>
      </c>
      <c r="I4399" s="41" t="s">
        <v>35433</v>
      </c>
      <c r="J4399" s="41" t="s">
        <v>35434</v>
      </c>
      <c r="L4399" s="41" t="s">
        <v>4</v>
      </c>
    </row>
    <row r="4400" spans="1:19" x14ac:dyDescent="0.25">
      <c r="A4400" s="41" t="s">
        <v>23</v>
      </c>
      <c r="B4400" s="41" t="s">
        <v>35435</v>
      </c>
      <c r="D4400" s="41" t="s">
        <v>35269</v>
      </c>
      <c r="E4400" s="41" t="s">
        <v>35437</v>
      </c>
      <c r="F4400" s="41" t="s">
        <v>35438</v>
      </c>
      <c r="G4400" s="41" t="s">
        <v>35439</v>
      </c>
      <c r="H4400" s="41" t="s">
        <v>35440</v>
      </c>
      <c r="I4400" s="41" t="s">
        <v>35441</v>
      </c>
      <c r="J4400" s="41" t="s">
        <v>35442</v>
      </c>
      <c r="K4400" s="41" t="s">
        <v>35443</v>
      </c>
      <c r="L4400" s="41" t="s">
        <v>35444</v>
      </c>
      <c r="M4400" s="41" t="s">
        <v>35445</v>
      </c>
      <c r="N4400" s="41" t="s">
        <v>35446</v>
      </c>
      <c r="O4400" s="41" t="s">
        <v>35447</v>
      </c>
      <c r="P4400" s="41" t="s">
        <v>35448</v>
      </c>
      <c r="Q4400" s="41" t="s">
        <v>35449</v>
      </c>
      <c r="R4400" s="41" t="s">
        <v>35450</v>
      </c>
      <c r="S4400" s="41" t="s">
        <v>35451</v>
      </c>
    </row>
    <row r="4401" spans="1:19" x14ac:dyDescent="0.25">
      <c r="A4401" s="41" t="s">
        <v>23</v>
      </c>
      <c r="B4401" s="41" t="s">
        <v>35452</v>
      </c>
      <c r="D4401" s="41" t="s">
        <v>35453</v>
      </c>
      <c r="F4401" s="41" t="s">
        <v>35454</v>
      </c>
      <c r="G4401" s="41" t="s">
        <v>35455</v>
      </c>
      <c r="H4401" s="41" t="s">
        <v>35456</v>
      </c>
      <c r="I4401" s="41" t="s">
        <v>35457</v>
      </c>
      <c r="J4401" s="41" t="s">
        <v>35458</v>
      </c>
      <c r="K4401" s="41" t="s">
        <v>35459</v>
      </c>
      <c r="L4401" s="41" t="s">
        <v>891</v>
      </c>
    </row>
    <row r="4402" spans="1:19" x14ac:dyDescent="0.25">
      <c r="A4402" s="41" t="s">
        <v>23</v>
      </c>
      <c r="B4402" s="41" t="s">
        <v>35460</v>
      </c>
      <c r="D4402" s="41" t="s">
        <v>35461</v>
      </c>
      <c r="F4402" s="41" t="s">
        <v>35462</v>
      </c>
      <c r="G4402" s="41" t="s">
        <v>35463</v>
      </c>
      <c r="H4402" s="41" t="s">
        <v>35464</v>
      </c>
      <c r="I4402" s="41" t="s">
        <v>35465</v>
      </c>
      <c r="J4402" s="41" t="s">
        <v>35466</v>
      </c>
      <c r="K4402" s="41" t="s">
        <v>35467</v>
      </c>
      <c r="L4402" s="41" t="s">
        <v>1076</v>
      </c>
    </row>
    <row r="4403" spans="1:19" x14ac:dyDescent="0.25">
      <c r="A4403" s="41" t="s">
        <v>23</v>
      </c>
      <c r="B4403" s="41" t="s">
        <v>35468</v>
      </c>
      <c r="D4403" s="41" t="s">
        <v>35469</v>
      </c>
      <c r="F4403" s="41" t="s">
        <v>35470</v>
      </c>
      <c r="G4403" s="41" t="s">
        <v>35471</v>
      </c>
      <c r="H4403" s="41" t="s">
        <v>35472</v>
      </c>
      <c r="I4403" s="41" t="s">
        <v>35473</v>
      </c>
      <c r="J4403" s="41" t="s">
        <v>35474</v>
      </c>
      <c r="K4403" s="41" t="s">
        <v>35475</v>
      </c>
      <c r="L4403" s="41" t="s">
        <v>1085</v>
      </c>
    </row>
    <row r="4404" spans="1:19" x14ac:dyDescent="0.25">
      <c r="A4404" s="41" t="s">
        <v>23</v>
      </c>
      <c r="B4404" s="41" t="s">
        <v>35476</v>
      </c>
      <c r="D4404" s="41" t="s">
        <v>35477</v>
      </c>
      <c r="F4404" s="41" t="s">
        <v>35478</v>
      </c>
      <c r="G4404" s="41" t="s">
        <v>35479</v>
      </c>
      <c r="H4404" s="41" t="s">
        <v>35480</v>
      </c>
      <c r="I4404" s="41" t="s">
        <v>35481</v>
      </c>
      <c r="J4404" s="41" t="s">
        <v>35482</v>
      </c>
      <c r="K4404" s="41" t="s">
        <v>35483</v>
      </c>
      <c r="L4404" s="41" t="s">
        <v>1094</v>
      </c>
    </row>
    <row r="4405" spans="1:19" x14ac:dyDescent="0.25">
      <c r="A4405" s="41" t="s">
        <v>908</v>
      </c>
      <c r="B4405" s="41" t="s">
        <v>35484</v>
      </c>
    </row>
    <row r="4406" spans="1:19" x14ac:dyDescent="0.25">
      <c r="A4406" s="41" t="s">
        <v>23</v>
      </c>
      <c r="B4406" s="41" t="s">
        <v>35485</v>
      </c>
      <c r="F4406" s="41" t="s">
        <v>35486</v>
      </c>
      <c r="G4406" s="41" t="s">
        <v>35487</v>
      </c>
      <c r="H4406" s="41" t="s">
        <v>35488</v>
      </c>
      <c r="I4406" s="41" t="s">
        <v>35489</v>
      </c>
      <c r="J4406" s="41" t="s">
        <v>35490</v>
      </c>
      <c r="L4406" s="41" t="s">
        <v>4</v>
      </c>
    </row>
    <row r="4407" spans="1:19" x14ac:dyDescent="0.25">
      <c r="A4407" s="41" t="s">
        <v>23</v>
      </c>
      <c r="B4407" s="41" t="s">
        <v>35491</v>
      </c>
      <c r="D4407" s="41" t="s">
        <v>35325</v>
      </c>
      <c r="E4407" s="41" t="s">
        <v>35493</v>
      </c>
      <c r="F4407" s="41" t="s">
        <v>35494</v>
      </c>
      <c r="G4407" s="41" t="s">
        <v>35495</v>
      </c>
      <c r="H4407" s="41" t="s">
        <v>35496</v>
      </c>
      <c r="I4407" s="41" t="s">
        <v>35497</v>
      </c>
      <c r="J4407" s="41" t="s">
        <v>35498</v>
      </c>
      <c r="K4407" s="41" t="s">
        <v>35499</v>
      </c>
      <c r="L4407" s="41" t="s">
        <v>35500</v>
      </c>
      <c r="M4407" s="41" t="s">
        <v>35501</v>
      </c>
      <c r="N4407" s="41" t="s">
        <v>35502</v>
      </c>
      <c r="O4407" s="41" t="s">
        <v>35503</v>
      </c>
      <c r="P4407" s="41" t="s">
        <v>35504</v>
      </c>
      <c r="Q4407" s="41" t="s">
        <v>35505</v>
      </c>
      <c r="R4407" s="41" t="s">
        <v>35506</v>
      </c>
      <c r="S4407" s="41" t="s">
        <v>35507</v>
      </c>
    </row>
    <row r="4408" spans="1:19" x14ac:dyDescent="0.25">
      <c r="A4408" s="41" t="s">
        <v>23</v>
      </c>
      <c r="B4408" s="41" t="s">
        <v>35508</v>
      </c>
      <c r="D4408" s="41" t="s">
        <v>35509</v>
      </c>
      <c r="F4408" s="41" t="s">
        <v>35510</v>
      </c>
      <c r="G4408" s="41" t="s">
        <v>35511</v>
      </c>
      <c r="H4408" s="41" t="s">
        <v>35512</v>
      </c>
      <c r="I4408" s="41" t="s">
        <v>35513</v>
      </c>
      <c r="J4408" s="41" t="s">
        <v>35514</v>
      </c>
      <c r="K4408" s="41" t="s">
        <v>35515</v>
      </c>
      <c r="L4408" s="41" t="s">
        <v>891</v>
      </c>
    </row>
    <row r="4409" spans="1:19" x14ac:dyDescent="0.25">
      <c r="A4409" s="41" t="s">
        <v>23</v>
      </c>
      <c r="B4409" s="41" t="s">
        <v>35516</v>
      </c>
      <c r="D4409" s="41" t="s">
        <v>35517</v>
      </c>
      <c r="F4409" s="41" t="s">
        <v>35518</v>
      </c>
      <c r="G4409" s="41" t="s">
        <v>35519</v>
      </c>
      <c r="H4409" s="41" t="s">
        <v>35520</v>
      </c>
      <c r="I4409" s="41" t="s">
        <v>35521</v>
      </c>
      <c r="J4409" s="41" t="s">
        <v>35522</v>
      </c>
      <c r="K4409" s="41" t="s">
        <v>35523</v>
      </c>
      <c r="L4409" s="41" t="s">
        <v>1076</v>
      </c>
    </row>
    <row r="4410" spans="1:19" x14ac:dyDescent="0.25">
      <c r="A4410" s="41" t="s">
        <v>23</v>
      </c>
      <c r="B4410" s="41" t="s">
        <v>35524</v>
      </c>
      <c r="D4410" s="41" t="s">
        <v>35525</v>
      </c>
      <c r="F4410" s="41" t="s">
        <v>35526</v>
      </c>
      <c r="G4410" s="41" t="s">
        <v>35527</v>
      </c>
      <c r="H4410" s="41" t="s">
        <v>35528</v>
      </c>
      <c r="I4410" s="41" t="s">
        <v>35529</v>
      </c>
      <c r="J4410" s="41" t="s">
        <v>35530</v>
      </c>
      <c r="K4410" s="41" t="s">
        <v>35531</v>
      </c>
      <c r="L4410" s="41" t="s">
        <v>1085</v>
      </c>
    </row>
    <row r="4411" spans="1:19" x14ac:dyDescent="0.25">
      <c r="A4411" s="41" t="s">
        <v>23</v>
      </c>
      <c r="B4411" s="41" t="s">
        <v>35532</v>
      </c>
      <c r="D4411" s="41" t="s">
        <v>35533</v>
      </c>
      <c r="F4411" s="41" t="s">
        <v>35534</v>
      </c>
      <c r="G4411" s="41" t="s">
        <v>35535</v>
      </c>
      <c r="H4411" s="41" t="s">
        <v>35536</v>
      </c>
      <c r="I4411" s="41" t="s">
        <v>35537</v>
      </c>
      <c r="J4411" s="41" t="s">
        <v>35538</v>
      </c>
      <c r="K4411" s="41" t="s">
        <v>35539</v>
      </c>
      <c r="L4411" s="41" t="s">
        <v>1094</v>
      </c>
    </row>
    <row r="4412" spans="1:19" x14ac:dyDescent="0.25">
      <c r="A4412" s="41" t="s">
        <v>908</v>
      </c>
      <c r="B4412" s="41" t="s">
        <v>35540</v>
      </c>
    </row>
    <row r="4413" spans="1:19" x14ac:dyDescent="0.25">
      <c r="A4413" s="41" t="s">
        <v>23</v>
      </c>
      <c r="B4413" s="41" t="s">
        <v>35541</v>
      </c>
      <c r="F4413" s="41" t="s">
        <v>35542</v>
      </c>
      <c r="G4413" s="41" t="s">
        <v>35543</v>
      </c>
      <c r="H4413" s="41" t="s">
        <v>35544</v>
      </c>
      <c r="I4413" s="41" t="s">
        <v>35545</v>
      </c>
      <c r="J4413" s="41" t="s">
        <v>35546</v>
      </c>
      <c r="L4413" s="41" t="s">
        <v>4</v>
      </c>
    </row>
    <row r="4414" spans="1:19" x14ac:dyDescent="0.25">
      <c r="A4414" s="41" t="s">
        <v>23</v>
      </c>
      <c r="B4414" s="41" t="s">
        <v>35547</v>
      </c>
      <c r="D4414" s="41" t="s">
        <v>497</v>
      </c>
      <c r="E4414" s="41" t="s">
        <v>35549</v>
      </c>
      <c r="F4414" s="41" t="s">
        <v>35550</v>
      </c>
      <c r="G4414" s="41" t="s">
        <v>35551</v>
      </c>
      <c r="H4414" s="41" t="s">
        <v>35552</v>
      </c>
      <c r="I4414" s="41" t="s">
        <v>35553</v>
      </c>
      <c r="J4414" s="41" t="s">
        <v>35554</v>
      </c>
      <c r="K4414" s="41" t="s">
        <v>35555</v>
      </c>
      <c r="L4414" s="41" t="s">
        <v>35556</v>
      </c>
      <c r="M4414" s="41" t="s">
        <v>35557</v>
      </c>
      <c r="N4414" s="41" t="s">
        <v>35558</v>
      </c>
      <c r="O4414" s="41" t="s">
        <v>35559</v>
      </c>
      <c r="P4414" s="41" t="s">
        <v>35560</v>
      </c>
      <c r="Q4414" s="41" t="s">
        <v>35561</v>
      </c>
      <c r="R4414" s="41" t="s">
        <v>35562</v>
      </c>
      <c r="S4414" s="41" t="s">
        <v>35563</v>
      </c>
    </row>
    <row r="4415" spans="1:19" x14ac:dyDescent="0.25">
      <c r="A4415" s="41" t="s">
        <v>23</v>
      </c>
      <c r="B4415" s="41" t="s">
        <v>35564</v>
      </c>
      <c r="D4415" s="41" t="s">
        <v>35565</v>
      </c>
      <c r="F4415" s="41" t="s">
        <v>35566</v>
      </c>
      <c r="G4415" s="41" t="s">
        <v>35567</v>
      </c>
      <c r="H4415" s="41" t="s">
        <v>35568</v>
      </c>
      <c r="I4415" s="41" t="s">
        <v>35569</v>
      </c>
      <c r="J4415" s="41" t="s">
        <v>35570</v>
      </c>
      <c r="K4415" s="41" t="s">
        <v>35571</v>
      </c>
      <c r="L4415" s="41" t="s">
        <v>891</v>
      </c>
    </row>
    <row r="4416" spans="1:19" x14ac:dyDescent="0.25">
      <c r="A4416" s="41" t="s">
        <v>23</v>
      </c>
      <c r="B4416" s="41" t="s">
        <v>35572</v>
      </c>
      <c r="D4416" s="41" t="s">
        <v>35573</v>
      </c>
      <c r="F4416" s="41" t="s">
        <v>35574</v>
      </c>
      <c r="G4416" s="41" t="s">
        <v>35575</v>
      </c>
      <c r="H4416" s="41" t="s">
        <v>35576</v>
      </c>
      <c r="I4416" s="41" t="s">
        <v>35577</v>
      </c>
      <c r="J4416" s="41" t="s">
        <v>35578</v>
      </c>
      <c r="K4416" s="41" t="s">
        <v>35579</v>
      </c>
      <c r="L4416" s="41" t="s">
        <v>1076</v>
      </c>
    </row>
    <row r="4417" spans="1:19" x14ac:dyDescent="0.25">
      <c r="A4417" s="41" t="s">
        <v>23</v>
      </c>
      <c r="B4417" s="41" t="s">
        <v>35580</v>
      </c>
      <c r="D4417" s="41" t="s">
        <v>35581</v>
      </c>
      <c r="F4417" s="41" t="s">
        <v>35582</v>
      </c>
      <c r="G4417" s="41" t="s">
        <v>35583</v>
      </c>
      <c r="H4417" s="41" t="s">
        <v>35584</v>
      </c>
      <c r="I4417" s="41" t="s">
        <v>35585</v>
      </c>
      <c r="J4417" s="41" t="s">
        <v>35586</v>
      </c>
      <c r="K4417" s="41" t="s">
        <v>35587</v>
      </c>
      <c r="L4417" s="41" t="s">
        <v>1085</v>
      </c>
    </row>
    <row r="4418" spans="1:19" x14ac:dyDescent="0.25">
      <c r="A4418" s="41" t="s">
        <v>23</v>
      </c>
      <c r="B4418" s="41" t="s">
        <v>35588</v>
      </c>
      <c r="D4418" s="41" t="s">
        <v>35589</v>
      </c>
      <c r="F4418" s="41" t="s">
        <v>35590</v>
      </c>
      <c r="G4418" s="41" t="s">
        <v>35591</v>
      </c>
      <c r="H4418" s="41" t="s">
        <v>35592</v>
      </c>
      <c r="I4418" s="41" t="s">
        <v>35593</v>
      </c>
      <c r="J4418" s="41" t="s">
        <v>35594</v>
      </c>
      <c r="K4418" s="41" t="s">
        <v>35595</v>
      </c>
      <c r="L4418" s="41" t="s">
        <v>1094</v>
      </c>
    </row>
    <row r="4419" spans="1:19" x14ac:dyDescent="0.25">
      <c r="A4419" s="41" t="s">
        <v>908</v>
      </c>
      <c r="B4419" s="41" t="s">
        <v>35596</v>
      </c>
    </row>
    <row r="4420" spans="1:19" x14ac:dyDescent="0.25">
      <c r="A4420" s="41" t="s">
        <v>23</v>
      </c>
      <c r="B4420" s="41" t="s">
        <v>35597</v>
      </c>
      <c r="F4420" s="41" t="s">
        <v>35598</v>
      </c>
      <c r="G4420" s="41" t="s">
        <v>35599</v>
      </c>
      <c r="H4420" s="41" t="s">
        <v>35600</v>
      </c>
      <c r="I4420" s="41" t="s">
        <v>35601</v>
      </c>
      <c r="J4420" s="41" t="s">
        <v>35602</v>
      </c>
      <c r="L4420" s="41" t="s">
        <v>4</v>
      </c>
    </row>
    <row r="4421" spans="1:19" x14ac:dyDescent="0.25">
      <c r="A4421" s="41" t="s">
        <v>23</v>
      </c>
      <c r="B4421" s="41" t="s">
        <v>35603</v>
      </c>
      <c r="D4421" s="41" t="s">
        <v>35436</v>
      </c>
      <c r="E4421" s="41" t="s">
        <v>35605</v>
      </c>
      <c r="F4421" s="41" t="s">
        <v>35606</v>
      </c>
      <c r="G4421" s="41" t="s">
        <v>35607</v>
      </c>
      <c r="H4421" s="41" t="s">
        <v>35608</v>
      </c>
      <c r="I4421" s="41" t="s">
        <v>35609</v>
      </c>
      <c r="J4421" s="41" t="s">
        <v>35610</v>
      </c>
      <c r="K4421" s="41" t="s">
        <v>35611</v>
      </c>
      <c r="L4421" s="41" t="s">
        <v>35612</v>
      </c>
      <c r="M4421" s="41" t="s">
        <v>35613</v>
      </c>
      <c r="N4421" s="41" t="s">
        <v>35614</v>
      </c>
      <c r="O4421" s="41" t="s">
        <v>35615</v>
      </c>
      <c r="P4421" s="41" t="s">
        <v>35616</v>
      </c>
      <c r="Q4421" s="41" t="s">
        <v>35617</v>
      </c>
      <c r="R4421" s="41" t="s">
        <v>35618</v>
      </c>
      <c r="S4421" s="41" t="s">
        <v>35619</v>
      </c>
    </row>
    <row r="4422" spans="1:19" x14ac:dyDescent="0.25">
      <c r="A4422" s="41" t="s">
        <v>23</v>
      </c>
      <c r="B4422" s="41" t="s">
        <v>35620</v>
      </c>
      <c r="D4422" s="41" t="s">
        <v>35621</v>
      </c>
      <c r="F4422" s="41" t="s">
        <v>35622</v>
      </c>
      <c r="G4422" s="41" t="s">
        <v>35623</v>
      </c>
      <c r="H4422" s="41" t="s">
        <v>35624</v>
      </c>
      <c r="I4422" s="41" t="s">
        <v>35625</v>
      </c>
      <c r="J4422" s="41" t="s">
        <v>35626</v>
      </c>
      <c r="K4422" s="41" t="s">
        <v>35627</v>
      </c>
      <c r="L4422" s="41" t="s">
        <v>891</v>
      </c>
    </row>
    <row r="4423" spans="1:19" x14ac:dyDescent="0.25">
      <c r="A4423" s="41" t="s">
        <v>23</v>
      </c>
      <c r="B4423" s="41" t="s">
        <v>35628</v>
      </c>
      <c r="D4423" s="41" t="s">
        <v>35629</v>
      </c>
      <c r="F4423" s="41" t="s">
        <v>35630</v>
      </c>
      <c r="G4423" s="41" t="s">
        <v>35631</v>
      </c>
      <c r="H4423" s="41" t="s">
        <v>35632</v>
      </c>
      <c r="I4423" s="41" t="s">
        <v>35633</v>
      </c>
      <c r="J4423" s="41" t="s">
        <v>35634</v>
      </c>
      <c r="K4423" s="41" t="s">
        <v>35635</v>
      </c>
      <c r="L4423" s="41" t="s">
        <v>1076</v>
      </c>
    </row>
    <row r="4424" spans="1:19" x14ac:dyDescent="0.25">
      <c r="A4424" s="41" t="s">
        <v>23</v>
      </c>
      <c r="B4424" s="41" t="s">
        <v>35636</v>
      </c>
      <c r="D4424" s="41" t="s">
        <v>35637</v>
      </c>
      <c r="F4424" s="41" t="s">
        <v>35638</v>
      </c>
      <c r="G4424" s="41" t="s">
        <v>35639</v>
      </c>
      <c r="H4424" s="41" t="s">
        <v>35640</v>
      </c>
      <c r="I4424" s="41" t="s">
        <v>35641</v>
      </c>
      <c r="J4424" s="41" t="s">
        <v>35642</v>
      </c>
      <c r="K4424" s="41" t="s">
        <v>35643</v>
      </c>
      <c r="L4424" s="41" t="s">
        <v>1085</v>
      </c>
    </row>
    <row r="4425" spans="1:19" x14ac:dyDescent="0.25">
      <c r="A4425" s="41" t="s">
        <v>23</v>
      </c>
      <c r="B4425" s="41" t="s">
        <v>35644</v>
      </c>
      <c r="D4425" s="41" t="s">
        <v>35645</v>
      </c>
      <c r="F4425" s="41" t="s">
        <v>35646</v>
      </c>
      <c r="G4425" s="41" t="s">
        <v>35647</v>
      </c>
      <c r="H4425" s="41" t="s">
        <v>35648</v>
      </c>
      <c r="I4425" s="41" t="s">
        <v>35649</v>
      </c>
      <c r="J4425" s="41" t="s">
        <v>35650</v>
      </c>
      <c r="K4425" s="41" t="s">
        <v>35651</v>
      </c>
      <c r="L4425" s="41" t="s">
        <v>1094</v>
      </c>
    </row>
    <row r="4426" spans="1:19" x14ac:dyDescent="0.25">
      <c r="A4426" s="41" t="s">
        <v>908</v>
      </c>
      <c r="B4426" s="41" t="s">
        <v>35652</v>
      </c>
    </row>
    <row r="4427" spans="1:19" x14ac:dyDescent="0.25">
      <c r="A4427" s="41" t="s">
        <v>23</v>
      </c>
      <c r="B4427" s="41" t="s">
        <v>35653</v>
      </c>
      <c r="F4427" s="41" t="s">
        <v>35654</v>
      </c>
      <c r="G4427" s="41" t="s">
        <v>35655</v>
      </c>
      <c r="H4427" s="41" t="s">
        <v>35656</v>
      </c>
      <c r="I4427" s="41" t="s">
        <v>35657</v>
      </c>
      <c r="J4427" s="41" t="s">
        <v>35658</v>
      </c>
      <c r="L4427" s="41" t="s">
        <v>4</v>
      </c>
    </row>
    <row r="4428" spans="1:19" x14ac:dyDescent="0.25">
      <c r="A4428" s="41" t="s">
        <v>23</v>
      </c>
      <c r="B4428" s="41" t="s">
        <v>35659</v>
      </c>
      <c r="D4428" s="41" t="s">
        <v>35492</v>
      </c>
      <c r="E4428" s="41" t="s">
        <v>35660</v>
      </c>
      <c r="F4428" s="41" t="s">
        <v>35661</v>
      </c>
      <c r="G4428" s="41" t="s">
        <v>35662</v>
      </c>
      <c r="H4428" s="41" t="s">
        <v>35663</v>
      </c>
      <c r="I4428" s="41" t="s">
        <v>35664</v>
      </c>
      <c r="J4428" s="41" t="s">
        <v>35665</v>
      </c>
      <c r="K4428" s="41" t="s">
        <v>35666</v>
      </c>
      <c r="L4428" s="41" t="s">
        <v>35667</v>
      </c>
      <c r="M4428" s="41" t="s">
        <v>35668</v>
      </c>
      <c r="N4428" s="41" t="s">
        <v>35669</v>
      </c>
      <c r="O4428" s="41" t="s">
        <v>35670</v>
      </c>
      <c r="P4428" s="41" t="s">
        <v>35671</v>
      </c>
      <c r="Q4428" s="41" t="s">
        <v>35672</v>
      </c>
      <c r="R4428" s="41" t="s">
        <v>35673</v>
      </c>
      <c r="S4428" s="41" t="s">
        <v>35674</v>
      </c>
    </row>
    <row r="4429" spans="1:19" x14ac:dyDescent="0.25">
      <c r="A4429" s="41" t="s">
        <v>23</v>
      </c>
      <c r="B4429" s="41" t="s">
        <v>35675</v>
      </c>
      <c r="D4429" s="41" t="s">
        <v>35676</v>
      </c>
      <c r="F4429" s="41" t="s">
        <v>35677</v>
      </c>
      <c r="G4429" s="41" t="s">
        <v>35678</v>
      </c>
      <c r="H4429" s="41" t="s">
        <v>35679</v>
      </c>
      <c r="I4429" s="41" t="s">
        <v>35680</v>
      </c>
      <c r="J4429" s="41" t="s">
        <v>35681</v>
      </c>
      <c r="K4429" s="41" t="s">
        <v>35682</v>
      </c>
      <c r="L4429" s="41" t="s">
        <v>891</v>
      </c>
    </row>
    <row r="4430" spans="1:19" x14ac:dyDescent="0.25">
      <c r="A4430" s="41" t="s">
        <v>23</v>
      </c>
      <c r="B4430" s="41" t="s">
        <v>35683</v>
      </c>
      <c r="D4430" s="41" t="s">
        <v>35684</v>
      </c>
      <c r="F4430" s="41" t="s">
        <v>35685</v>
      </c>
      <c r="G4430" s="41" t="s">
        <v>35686</v>
      </c>
      <c r="H4430" s="41" t="s">
        <v>35687</v>
      </c>
      <c r="I4430" s="41" t="s">
        <v>35688</v>
      </c>
      <c r="J4430" s="41" t="s">
        <v>35689</v>
      </c>
      <c r="K4430" s="41" t="s">
        <v>35690</v>
      </c>
      <c r="L4430" s="41" t="s">
        <v>1076</v>
      </c>
    </row>
    <row r="4431" spans="1:19" x14ac:dyDescent="0.25">
      <c r="A4431" s="41" t="s">
        <v>23</v>
      </c>
      <c r="B4431" s="41" t="s">
        <v>35691</v>
      </c>
      <c r="D4431" s="41" t="s">
        <v>35692</v>
      </c>
      <c r="F4431" s="41" t="s">
        <v>35693</v>
      </c>
      <c r="G4431" s="41" t="s">
        <v>35694</v>
      </c>
      <c r="H4431" s="41" t="s">
        <v>35695</v>
      </c>
      <c r="I4431" s="41" t="s">
        <v>35696</v>
      </c>
      <c r="J4431" s="41" t="s">
        <v>35697</v>
      </c>
      <c r="K4431" s="41" t="s">
        <v>35698</v>
      </c>
      <c r="L4431" s="41" t="s">
        <v>1085</v>
      </c>
    </row>
    <row r="4432" spans="1:19" x14ac:dyDescent="0.25">
      <c r="A4432" s="41" t="s">
        <v>23</v>
      </c>
      <c r="B4432" s="41" t="s">
        <v>35699</v>
      </c>
      <c r="D4432" s="41" t="s">
        <v>35700</v>
      </c>
      <c r="F4432" s="41" t="s">
        <v>35701</v>
      </c>
      <c r="G4432" s="41" t="s">
        <v>35702</v>
      </c>
      <c r="H4432" s="41" t="s">
        <v>35703</v>
      </c>
      <c r="I4432" s="41" t="s">
        <v>35704</v>
      </c>
      <c r="J4432" s="41" t="s">
        <v>35705</v>
      </c>
      <c r="K4432" s="41" t="s">
        <v>35706</v>
      </c>
      <c r="L4432" s="41" t="s">
        <v>1094</v>
      </c>
    </row>
    <row r="4433" spans="1:19" x14ac:dyDescent="0.25">
      <c r="A4433" s="41" t="s">
        <v>908</v>
      </c>
      <c r="B4433" s="41" t="s">
        <v>35707</v>
      </c>
    </row>
    <row r="4434" spans="1:19" x14ac:dyDescent="0.25">
      <c r="A4434" s="41" t="s">
        <v>23</v>
      </c>
      <c r="B4434" s="41" t="s">
        <v>35708</v>
      </c>
      <c r="F4434" s="41" t="s">
        <v>35709</v>
      </c>
      <c r="G4434" s="41" t="s">
        <v>35710</v>
      </c>
      <c r="H4434" s="41" t="s">
        <v>35711</v>
      </c>
      <c r="I4434" s="41" t="s">
        <v>35712</v>
      </c>
      <c r="J4434" s="41" t="s">
        <v>35713</v>
      </c>
      <c r="L4434" s="41" t="s">
        <v>4</v>
      </c>
    </row>
    <row r="4435" spans="1:19" x14ac:dyDescent="0.25">
      <c r="A4435" s="41" t="s">
        <v>23</v>
      </c>
      <c r="B4435" s="41" t="s">
        <v>35714</v>
      </c>
      <c r="D4435" s="41" t="s">
        <v>35548</v>
      </c>
      <c r="E4435" s="41" t="s">
        <v>35716</v>
      </c>
      <c r="F4435" s="41" t="s">
        <v>35717</v>
      </c>
      <c r="G4435" s="41" t="s">
        <v>35718</v>
      </c>
      <c r="H4435" s="41" t="s">
        <v>35719</v>
      </c>
      <c r="I4435" s="41" t="s">
        <v>35720</v>
      </c>
      <c r="J4435" s="41" t="s">
        <v>35721</v>
      </c>
      <c r="K4435" s="41" t="s">
        <v>35722</v>
      </c>
      <c r="L4435" s="41" t="s">
        <v>35723</v>
      </c>
      <c r="M4435" s="41" t="s">
        <v>35724</v>
      </c>
      <c r="N4435" s="41" t="s">
        <v>35725</v>
      </c>
      <c r="O4435" s="41" t="s">
        <v>35726</v>
      </c>
      <c r="P4435" s="41" t="s">
        <v>35727</v>
      </c>
      <c r="Q4435" s="41" t="s">
        <v>35728</v>
      </c>
      <c r="R4435" s="41" t="s">
        <v>35729</v>
      </c>
      <c r="S4435" s="41" t="s">
        <v>35730</v>
      </c>
    </row>
    <row r="4436" spans="1:19" x14ac:dyDescent="0.25">
      <c r="A4436" s="41" t="s">
        <v>23</v>
      </c>
      <c r="B4436" s="41" t="s">
        <v>35731</v>
      </c>
      <c r="D4436" s="41" t="s">
        <v>35732</v>
      </c>
      <c r="F4436" s="41" t="s">
        <v>35733</v>
      </c>
      <c r="G4436" s="41" t="s">
        <v>35734</v>
      </c>
      <c r="H4436" s="41" t="s">
        <v>35735</v>
      </c>
      <c r="I4436" s="41" t="s">
        <v>35736</v>
      </c>
      <c r="J4436" s="41" t="s">
        <v>35737</v>
      </c>
      <c r="K4436" s="41" t="s">
        <v>35738</v>
      </c>
      <c r="L4436" s="41" t="s">
        <v>891</v>
      </c>
    </row>
    <row r="4437" spans="1:19" x14ac:dyDescent="0.25">
      <c r="A4437" s="41" t="s">
        <v>23</v>
      </c>
      <c r="B4437" s="41" t="s">
        <v>35739</v>
      </c>
      <c r="D4437" s="41" t="s">
        <v>35740</v>
      </c>
      <c r="F4437" s="41" t="s">
        <v>35741</v>
      </c>
      <c r="G4437" s="41" t="s">
        <v>35742</v>
      </c>
      <c r="H4437" s="41" t="s">
        <v>35743</v>
      </c>
      <c r="I4437" s="41" t="s">
        <v>35744</v>
      </c>
      <c r="J4437" s="41" t="s">
        <v>35745</v>
      </c>
      <c r="K4437" s="41" t="s">
        <v>35746</v>
      </c>
      <c r="L4437" s="41" t="s">
        <v>1076</v>
      </c>
    </row>
    <row r="4438" spans="1:19" x14ac:dyDescent="0.25">
      <c r="A4438" s="41" t="s">
        <v>23</v>
      </c>
      <c r="B4438" s="41" t="s">
        <v>35747</v>
      </c>
      <c r="D4438" s="41" t="s">
        <v>35748</v>
      </c>
      <c r="F4438" s="41" t="s">
        <v>35749</v>
      </c>
      <c r="G4438" s="41" t="s">
        <v>35750</v>
      </c>
      <c r="H4438" s="41" t="s">
        <v>35751</v>
      </c>
      <c r="I4438" s="41" t="s">
        <v>35752</v>
      </c>
      <c r="J4438" s="41" t="s">
        <v>35753</v>
      </c>
      <c r="K4438" s="41" t="s">
        <v>35754</v>
      </c>
      <c r="L4438" s="41" t="s">
        <v>1085</v>
      </c>
    </row>
    <row r="4439" spans="1:19" x14ac:dyDescent="0.25">
      <c r="A4439" s="41" t="s">
        <v>23</v>
      </c>
      <c r="B4439" s="41" t="s">
        <v>35755</v>
      </c>
      <c r="D4439" s="41" t="s">
        <v>35756</v>
      </c>
      <c r="F4439" s="41" t="s">
        <v>35757</v>
      </c>
      <c r="G4439" s="41" t="s">
        <v>35758</v>
      </c>
      <c r="H4439" s="41" t="s">
        <v>35759</v>
      </c>
      <c r="I4439" s="41" t="s">
        <v>35760</v>
      </c>
      <c r="J4439" s="41" t="s">
        <v>35761</v>
      </c>
      <c r="K4439" s="41" t="s">
        <v>35762</v>
      </c>
      <c r="L4439" s="41" t="s">
        <v>1094</v>
      </c>
    </row>
    <row r="4440" spans="1:19" x14ac:dyDescent="0.25">
      <c r="A4440" s="41" t="s">
        <v>908</v>
      </c>
      <c r="B4440" s="41" t="s">
        <v>35763</v>
      </c>
    </row>
    <row r="4441" spans="1:19" x14ac:dyDescent="0.25">
      <c r="A4441" s="41" t="s">
        <v>23</v>
      </c>
      <c r="B4441" s="41" t="s">
        <v>35764</v>
      </c>
      <c r="F4441" s="41" t="s">
        <v>35765</v>
      </c>
      <c r="G4441" s="41" t="s">
        <v>35766</v>
      </c>
      <c r="H4441" s="41" t="s">
        <v>35767</v>
      </c>
      <c r="I4441" s="41" t="s">
        <v>35768</v>
      </c>
      <c r="J4441" s="41" t="s">
        <v>35769</v>
      </c>
      <c r="L4441" s="41" t="s">
        <v>4</v>
      </c>
    </row>
    <row r="4442" spans="1:19" x14ac:dyDescent="0.25">
      <c r="A4442" s="41" t="s">
        <v>23</v>
      </c>
      <c r="B4442" s="41" t="s">
        <v>35770</v>
      </c>
      <c r="D4442" s="41" t="s">
        <v>35604</v>
      </c>
      <c r="E4442" s="41" t="s">
        <v>35772</v>
      </c>
      <c r="F4442" s="41" t="s">
        <v>35773</v>
      </c>
      <c r="G4442" s="41" t="s">
        <v>35774</v>
      </c>
      <c r="H4442" s="41" t="s">
        <v>35775</v>
      </c>
      <c r="I4442" s="41" t="s">
        <v>35776</v>
      </c>
      <c r="J4442" s="41" t="s">
        <v>35777</v>
      </c>
      <c r="K4442" s="41" t="s">
        <v>35778</v>
      </c>
      <c r="L4442" s="41" t="s">
        <v>35779</v>
      </c>
      <c r="M4442" s="41" t="s">
        <v>35780</v>
      </c>
      <c r="N4442" s="41" t="s">
        <v>35781</v>
      </c>
      <c r="O4442" s="41" t="s">
        <v>35782</v>
      </c>
      <c r="P4442" s="41" t="s">
        <v>35783</v>
      </c>
      <c r="Q4442" s="41" t="s">
        <v>35784</v>
      </c>
      <c r="R4442" s="41" t="s">
        <v>35785</v>
      </c>
      <c r="S4442" s="41" t="s">
        <v>35786</v>
      </c>
    </row>
    <row r="4443" spans="1:19" x14ac:dyDescent="0.25">
      <c r="A4443" s="41" t="s">
        <v>23</v>
      </c>
      <c r="B4443" s="41" t="s">
        <v>35787</v>
      </c>
      <c r="D4443" s="41" t="s">
        <v>35788</v>
      </c>
      <c r="F4443" s="41" t="s">
        <v>35789</v>
      </c>
      <c r="G4443" s="41" t="s">
        <v>35790</v>
      </c>
      <c r="H4443" s="41" t="s">
        <v>35791</v>
      </c>
      <c r="I4443" s="41" t="s">
        <v>35792</v>
      </c>
      <c r="J4443" s="41" t="s">
        <v>35793</v>
      </c>
      <c r="K4443" s="41" t="s">
        <v>35794</v>
      </c>
      <c r="L4443" s="41" t="s">
        <v>891</v>
      </c>
    </row>
    <row r="4444" spans="1:19" x14ac:dyDescent="0.25">
      <c r="A4444" s="41" t="s">
        <v>23</v>
      </c>
      <c r="B4444" s="41" t="s">
        <v>35795</v>
      </c>
      <c r="D4444" s="41" t="s">
        <v>35796</v>
      </c>
      <c r="F4444" s="41" t="s">
        <v>35797</v>
      </c>
      <c r="G4444" s="41" t="s">
        <v>35798</v>
      </c>
      <c r="H4444" s="41" t="s">
        <v>35799</v>
      </c>
      <c r="I4444" s="41" t="s">
        <v>35800</v>
      </c>
      <c r="J4444" s="41" t="s">
        <v>35801</v>
      </c>
      <c r="K4444" s="41" t="s">
        <v>35802</v>
      </c>
      <c r="L4444" s="41" t="s">
        <v>1076</v>
      </c>
    </row>
    <row r="4445" spans="1:19" x14ac:dyDescent="0.25">
      <c r="A4445" s="41" t="s">
        <v>23</v>
      </c>
      <c r="B4445" s="41" t="s">
        <v>35803</v>
      </c>
      <c r="D4445" s="41" t="s">
        <v>35804</v>
      </c>
      <c r="F4445" s="41" t="s">
        <v>35805</v>
      </c>
      <c r="G4445" s="41" t="s">
        <v>35806</v>
      </c>
      <c r="H4445" s="41" t="s">
        <v>35807</v>
      </c>
      <c r="I4445" s="41" t="s">
        <v>35808</v>
      </c>
      <c r="J4445" s="41" t="s">
        <v>35809</v>
      </c>
      <c r="K4445" s="41" t="s">
        <v>35810</v>
      </c>
      <c r="L4445" s="41" t="s">
        <v>1085</v>
      </c>
    </row>
    <row r="4446" spans="1:19" x14ac:dyDescent="0.25">
      <c r="A4446" s="41" t="s">
        <v>23</v>
      </c>
      <c r="B4446" s="41" t="s">
        <v>35811</v>
      </c>
      <c r="D4446" s="41" t="s">
        <v>35812</v>
      </c>
      <c r="F4446" s="41" t="s">
        <v>35813</v>
      </c>
      <c r="G4446" s="41" t="s">
        <v>35814</v>
      </c>
      <c r="H4446" s="41" t="s">
        <v>35815</v>
      </c>
      <c r="I4446" s="41" t="s">
        <v>35816</v>
      </c>
      <c r="J4446" s="41" t="s">
        <v>35817</v>
      </c>
      <c r="K4446" s="41" t="s">
        <v>35818</v>
      </c>
      <c r="L4446" s="41" t="s">
        <v>1094</v>
      </c>
    </row>
    <row r="4447" spans="1:19" x14ac:dyDescent="0.25">
      <c r="A4447" s="41" t="s">
        <v>908</v>
      </c>
      <c r="B4447" s="41" t="s">
        <v>35819</v>
      </c>
    </row>
    <row r="4448" spans="1:19" x14ac:dyDescent="0.25">
      <c r="A4448" s="41" t="s">
        <v>23</v>
      </c>
      <c r="B4448" s="41" t="s">
        <v>35820</v>
      </c>
      <c r="F4448" s="41" t="s">
        <v>35821</v>
      </c>
      <c r="G4448" s="41" t="s">
        <v>35822</v>
      </c>
      <c r="H4448" s="41" t="s">
        <v>35823</v>
      </c>
      <c r="I4448" s="41" t="s">
        <v>35824</v>
      </c>
      <c r="J4448" s="41" t="s">
        <v>35825</v>
      </c>
      <c r="L4448" s="41" t="s">
        <v>4</v>
      </c>
    </row>
    <row r="4449" spans="1:19" x14ac:dyDescent="0.25">
      <c r="A4449" s="41" t="s">
        <v>23</v>
      </c>
      <c r="B4449" s="41" t="s">
        <v>35826</v>
      </c>
      <c r="D4449" s="41" t="s">
        <v>498</v>
      </c>
      <c r="E4449" s="41" t="s">
        <v>35828</v>
      </c>
      <c r="F4449" s="41" t="s">
        <v>35829</v>
      </c>
      <c r="G4449" s="41" t="s">
        <v>35830</v>
      </c>
      <c r="H4449" s="41" t="s">
        <v>35831</v>
      </c>
      <c r="I4449" s="41" t="s">
        <v>35832</v>
      </c>
      <c r="J4449" s="41" t="s">
        <v>35833</v>
      </c>
      <c r="K4449" s="41" t="s">
        <v>35834</v>
      </c>
      <c r="L4449" s="41" t="s">
        <v>35835</v>
      </c>
      <c r="M4449" s="41" t="s">
        <v>35836</v>
      </c>
      <c r="N4449" s="41" t="s">
        <v>35837</v>
      </c>
      <c r="O4449" s="41" t="s">
        <v>35838</v>
      </c>
      <c r="P4449" s="41" t="s">
        <v>35839</v>
      </c>
      <c r="Q4449" s="41" t="s">
        <v>35840</v>
      </c>
      <c r="R4449" s="41" t="s">
        <v>35841</v>
      </c>
      <c r="S4449" s="41" t="s">
        <v>35842</v>
      </c>
    </row>
    <row r="4450" spans="1:19" x14ac:dyDescent="0.25">
      <c r="A4450" s="41" t="s">
        <v>23</v>
      </c>
      <c r="B4450" s="41" t="s">
        <v>35843</v>
      </c>
      <c r="D4450" s="41" t="s">
        <v>35844</v>
      </c>
      <c r="F4450" s="41" t="s">
        <v>35845</v>
      </c>
      <c r="G4450" s="41" t="s">
        <v>35846</v>
      </c>
      <c r="H4450" s="41" t="s">
        <v>35847</v>
      </c>
      <c r="I4450" s="41" t="s">
        <v>35848</v>
      </c>
      <c r="J4450" s="41" t="s">
        <v>35849</v>
      </c>
      <c r="K4450" s="41" t="s">
        <v>35850</v>
      </c>
      <c r="L4450" s="41" t="s">
        <v>891</v>
      </c>
    </row>
    <row r="4451" spans="1:19" x14ac:dyDescent="0.25">
      <c r="A4451" s="41" t="s">
        <v>23</v>
      </c>
      <c r="B4451" s="41" t="s">
        <v>35851</v>
      </c>
      <c r="D4451" s="41" t="s">
        <v>35852</v>
      </c>
      <c r="F4451" s="41" t="s">
        <v>35853</v>
      </c>
      <c r="G4451" s="41" t="s">
        <v>35854</v>
      </c>
      <c r="H4451" s="41" t="s">
        <v>35855</v>
      </c>
      <c r="I4451" s="41" t="s">
        <v>35856</v>
      </c>
      <c r="J4451" s="41" t="s">
        <v>35857</v>
      </c>
      <c r="K4451" s="41" t="s">
        <v>35858</v>
      </c>
      <c r="L4451" s="41" t="s">
        <v>1076</v>
      </c>
    </row>
    <row r="4452" spans="1:19" x14ac:dyDescent="0.25">
      <c r="A4452" s="41" t="s">
        <v>23</v>
      </c>
      <c r="B4452" s="41" t="s">
        <v>35859</v>
      </c>
      <c r="D4452" s="41" t="s">
        <v>35860</v>
      </c>
      <c r="F4452" s="41" t="s">
        <v>35861</v>
      </c>
      <c r="G4452" s="41" t="s">
        <v>35862</v>
      </c>
      <c r="H4452" s="41" t="s">
        <v>35863</v>
      </c>
      <c r="I4452" s="41" t="s">
        <v>35864</v>
      </c>
      <c r="J4452" s="41" t="s">
        <v>35865</v>
      </c>
      <c r="K4452" s="41" t="s">
        <v>35866</v>
      </c>
      <c r="L4452" s="41" t="s">
        <v>1085</v>
      </c>
    </row>
    <row r="4453" spans="1:19" x14ac:dyDescent="0.25">
      <c r="A4453" s="41" t="s">
        <v>23</v>
      </c>
      <c r="B4453" s="41" t="s">
        <v>35867</v>
      </c>
      <c r="D4453" s="41" t="s">
        <v>35868</v>
      </c>
      <c r="F4453" s="41" t="s">
        <v>35869</v>
      </c>
      <c r="G4453" s="41" t="s">
        <v>35870</v>
      </c>
      <c r="H4453" s="41" t="s">
        <v>35871</v>
      </c>
      <c r="I4453" s="41" t="s">
        <v>35872</v>
      </c>
      <c r="J4453" s="41" t="s">
        <v>35873</v>
      </c>
      <c r="K4453" s="41" t="s">
        <v>35874</v>
      </c>
      <c r="L4453" s="41" t="s">
        <v>1094</v>
      </c>
    </row>
    <row r="4454" spans="1:19" x14ac:dyDescent="0.25">
      <c r="A4454" s="41" t="s">
        <v>908</v>
      </c>
      <c r="B4454" s="41" t="s">
        <v>35875</v>
      </c>
    </row>
    <row r="4455" spans="1:19" x14ac:dyDescent="0.25">
      <c r="A4455" s="41" t="s">
        <v>23</v>
      </c>
      <c r="B4455" s="41" t="s">
        <v>35876</v>
      </c>
      <c r="F4455" s="41" t="s">
        <v>35877</v>
      </c>
      <c r="G4455" s="41" t="s">
        <v>35878</v>
      </c>
      <c r="H4455" s="41" t="s">
        <v>35879</v>
      </c>
      <c r="I4455" s="41" t="s">
        <v>35880</v>
      </c>
      <c r="J4455" s="41" t="s">
        <v>35881</v>
      </c>
      <c r="L4455" s="41" t="s">
        <v>4</v>
      </c>
    </row>
    <row r="4456" spans="1:19" x14ac:dyDescent="0.25">
      <c r="A4456" s="41" t="s">
        <v>23</v>
      </c>
      <c r="B4456" s="41" t="s">
        <v>35882</v>
      </c>
      <c r="D4456" s="41" t="s">
        <v>35715</v>
      </c>
      <c r="E4456" s="41" t="s">
        <v>35884</v>
      </c>
      <c r="F4456" s="41" t="s">
        <v>35885</v>
      </c>
      <c r="G4456" s="41" t="s">
        <v>35886</v>
      </c>
      <c r="H4456" s="41" t="s">
        <v>35887</v>
      </c>
      <c r="I4456" s="41" t="s">
        <v>35888</v>
      </c>
      <c r="J4456" s="41" t="s">
        <v>35889</v>
      </c>
      <c r="K4456" s="41" t="s">
        <v>35890</v>
      </c>
      <c r="L4456" s="41" t="s">
        <v>35891</v>
      </c>
      <c r="M4456" s="41" t="s">
        <v>35892</v>
      </c>
      <c r="N4456" s="41" t="s">
        <v>35893</v>
      </c>
      <c r="O4456" s="41" t="s">
        <v>35894</v>
      </c>
      <c r="P4456" s="41" t="s">
        <v>35895</v>
      </c>
      <c r="Q4456" s="41" t="s">
        <v>35896</v>
      </c>
      <c r="R4456" s="41" t="s">
        <v>35897</v>
      </c>
      <c r="S4456" s="41" t="s">
        <v>35898</v>
      </c>
    </row>
    <row r="4457" spans="1:19" x14ac:dyDescent="0.25">
      <c r="A4457" s="41" t="s">
        <v>23</v>
      </c>
      <c r="B4457" s="41" t="s">
        <v>35899</v>
      </c>
      <c r="D4457" s="41" t="s">
        <v>35900</v>
      </c>
      <c r="F4457" s="41" t="s">
        <v>35901</v>
      </c>
      <c r="G4457" s="41" t="s">
        <v>35902</v>
      </c>
      <c r="H4457" s="41" t="s">
        <v>35903</v>
      </c>
      <c r="I4457" s="41" t="s">
        <v>35904</v>
      </c>
      <c r="J4457" s="41" t="s">
        <v>35905</v>
      </c>
      <c r="K4457" s="41" t="s">
        <v>35906</v>
      </c>
      <c r="L4457" s="41" t="s">
        <v>891</v>
      </c>
    </row>
    <row r="4458" spans="1:19" x14ac:dyDescent="0.25">
      <c r="A4458" s="41" t="s">
        <v>23</v>
      </c>
      <c r="B4458" s="41" t="s">
        <v>35907</v>
      </c>
      <c r="D4458" s="41" t="s">
        <v>35908</v>
      </c>
      <c r="F4458" s="41" t="s">
        <v>35909</v>
      </c>
      <c r="G4458" s="41" t="s">
        <v>35910</v>
      </c>
      <c r="H4458" s="41" t="s">
        <v>35911</v>
      </c>
      <c r="I4458" s="41" t="s">
        <v>35912</v>
      </c>
      <c r="J4458" s="41" t="s">
        <v>35913</v>
      </c>
      <c r="K4458" s="41" t="s">
        <v>35914</v>
      </c>
      <c r="L4458" s="41" t="s">
        <v>1076</v>
      </c>
    </row>
    <row r="4459" spans="1:19" x14ac:dyDescent="0.25">
      <c r="A4459" s="41" t="s">
        <v>23</v>
      </c>
      <c r="B4459" s="41" t="s">
        <v>35915</v>
      </c>
      <c r="D4459" s="41" t="s">
        <v>35916</v>
      </c>
      <c r="F4459" s="41" t="s">
        <v>35917</v>
      </c>
      <c r="G4459" s="41" t="s">
        <v>35918</v>
      </c>
      <c r="H4459" s="41" t="s">
        <v>35919</v>
      </c>
      <c r="I4459" s="41" t="s">
        <v>35920</v>
      </c>
      <c r="J4459" s="41" t="s">
        <v>35921</v>
      </c>
      <c r="K4459" s="41" t="s">
        <v>35922</v>
      </c>
      <c r="L4459" s="41" t="s">
        <v>1085</v>
      </c>
    </row>
    <row r="4460" spans="1:19" x14ac:dyDescent="0.25">
      <c r="A4460" s="41" t="s">
        <v>23</v>
      </c>
      <c r="B4460" s="41" t="s">
        <v>35923</v>
      </c>
      <c r="D4460" s="41" t="s">
        <v>35924</v>
      </c>
      <c r="F4460" s="41" t="s">
        <v>35925</v>
      </c>
      <c r="G4460" s="41" t="s">
        <v>35926</v>
      </c>
      <c r="H4460" s="41" t="s">
        <v>35927</v>
      </c>
      <c r="I4460" s="41" t="s">
        <v>35928</v>
      </c>
      <c r="J4460" s="41" t="s">
        <v>35929</v>
      </c>
      <c r="K4460" s="41" t="s">
        <v>35930</v>
      </c>
      <c r="L4460" s="41" t="s">
        <v>1094</v>
      </c>
    </row>
    <row r="4461" spans="1:19" x14ac:dyDescent="0.25">
      <c r="A4461" s="41" t="s">
        <v>908</v>
      </c>
      <c r="B4461" s="41" t="s">
        <v>35931</v>
      </c>
    </row>
    <row r="4462" spans="1:19" x14ac:dyDescent="0.25">
      <c r="A4462" s="41" t="s">
        <v>23</v>
      </c>
      <c r="B4462" s="41" t="s">
        <v>35932</v>
      </c>
      <c r="F4462" s="41" t="s">
        <v>35933</v>
      </c>
      <c r="G4462" s="41" t="s">
        <v>35934</v>
      </c>
      <c r="H4462" s="41" t="s">
        <v>35935</v>
      </c>
      <c r="I4462" s="41" t="s">
        <v>35936</v>
      </c>
      <c r="J4462" s="41" t="s">
        <v>35937</v>
      </c>
      <c r="L4462" s="41" t="s">
        <v>4</v>
      </c>
    </row>
    <row r="4463" spans="1:19" x14ac:dyDescent="0.25">
      <c r="A4463" s="41" t="s">
        <v>23</v>
      </c>
      <c r="B4463" s="41" t="s">
        <v>35938</v>
      </c>
      <c r="D4463" s="41" t="s">
        <v>35771</v>
      </c>
      <c r="E4463" s="41" t="s">
        <v>35940</v>
      </c>
      <c r="F4463" s="41" t="s">
        <v>35941</v>
      </c>
      <c r="G4463" s="41" t="s">
        <v>35942</v>
      </c>
      <c r="H4463" s="41" t="s">
        <v>35943</v>
      </c>
      <c r="I4463" s="41" t="s">
        <v>35944</v>
      </c>
      <c r="J4463" s="41" t="s">
        <v>35945</v>
      </c>
      <c r="K4463" s="41" t="s">
        <v>35946</v>
      </c>
      <c r="L4463" s="41" t="s">
        <v>35947</v>
      </c>
      <c r="M4463" s="41" t="s">
        <v>35948</v>
      </c>
      <c r="N4463" s="41" t="s">
        <v>35949</v>
      </c>
      <c r="O4463" s="41" t="s">
        <v>35950</v>
      </c>
      <c r="P4463" s="41" t="s">
        <v>35951</v>
      </c>
      <c r="Q4463" s="41" t="s">
        <v>35952</v>
      </c>
      <c r="R4463" s="41" t="s">
        <v>35953</v>
      </c>
      <c r="S4463" s="41" t="s">
        <v>35954</v>
      </c>
    </row>
    <row r="4464" spans="1:19" x14ac:dyDescent="0.25">
      <c r="A4464" s="41" t="s">
        <v>23</v>
      </c>
      <c r="B4464" s="41" t="s">
        <v>35955</v>
      </c>
      <c r="D4464" s="41" t="s">
        <v>35956</v>
      </c>
      <c r="F4464" s="41" t="s">
        <v>35957</v>
      </c>
      <c r="G4464" s="41" t="s">
        <v>35958</v>
      </c>
      <c r="H4464" s="41" t="s">
        <v>35959</v>
      </c>
      <c r="I4464" s="41" t="s">
        <v>35960</v>
      </c>
      <c r="J4464" s="41" t="s">
        <v>35961</v>
      </c>
      <c r="K4464" s="41" t="s">
        <v>35962</v>
      </c>
      <c r="L4464" s="41" t="s">
        <v>891</v>
      </c>
    </row>
    <row r="4465" spans="1:19" x14ac:dyDescent="0.25">
      <c r="A4465" s="41" t="s">
        <v>23</v>
      </c>
      <c r="B4465" s="41" t="s">
        <v>35963</v>
      </c>
      <c r="D4465" s="41" t="s">
        <v>35964</v>
      </c>
      <c r="F4465" s="41" t="s">
        <v>35965</v>
      </c>
      <c r="G4465" s="41" t="s">
        <v>35966</v>
      </c>
      <c r="H4465" s="41" t="s">
        <v>35967</v>
      </c>
      <c r="I4465" s="41" t="s">
        <v>35968</v>
      </c>
      <c r="J4465" s="41" t="s">
        <v>35969</v>
      </c>
      <c r="K4465" s="41" t="s">
        <v>35970</v>
      </c>
      <c r="L4465" s="41" t="s">
        <v>1076</v>
      </c>
    </row>
    <row r="4466" spans="1:19" x14ac:dyDescent="0.25">
      <c r="A4466" s="41" t="s">
        <v>23</v>
      </c>
      <c r="B4466" s="41" t="s">
        <v>35971</v>
      </c>
      <c r="D4466" s="41" t="s">
        <v>35972</v>
      </c>
      <c r="F4466" s="41" t="s">
        <v>35973</v>
      </c>
      <c r="G4466" s="41" t="s">
        <v>35974</v>
      </c>
      <c r="H4466" s="41" t="s">
        <v>35975</v>
      </c>
      <c r="I4466" s="41" t="s">
        <v>35976</v>
      </c>
      <c r="J4466" s="41" t="s">
        <v>35977</v>
      </c>
      <c r="K4466" s="41" t="s">
        <v>35978</v>
      </c>
      <c r="L4466" s="41" t="s">
        <v>1085</v>
      </c>
    </row>
    <row r="4467" spans="1:19" x14ac:dyDescent="0.25">
      <c r="A4467" s="41" t="s">
        <v>23</v>
      </c>
      <c r="B4467" s="41" t="s">
        <v>35979</v>
      </c>
      <c r="D4467" s="41" t="s">
        <v>35980</v>
      </c>
      <c r="F4467" s="41" t="s">
        <v>35981</v>
      </c>
      <c r="G4467" s="41" t="s">
        <v>35982</v>
      </c>
      <c r="H4467" s="41" t="s">
        <v>35983</v>
      </c>
      <c r="I4467" s="41" t="s">
        <v>35984</v>
      </c>
      <c r="J4467" s="41" t="s">
        <v>35985</v>
      </c>
      <c r="K4467" s="41" t="s">
        <v>35986</v>
      </c>
      <c r="L4467" s="41" t="s">
        <v>1094</v>
      </c>
    </row>
    <row r="4468" spans="1:19" x14ac:dyDescent="0.25">
      <c r="A4468" s="41" t="s">
        <v>908</v>
      </c>
      <c r="B4468" s="41" t="s">
        <v>35987</v>
      </c>
    </row>
    <row r="4469" spans="1:19" x14ac:dyDescent="0.25">
      <c r="A4469" s="41" t="s">
        <v>23</v>
      </c>
      <c r="B4469" s="41" t="s">
        <v>35988</v>
      </c>
      <c r="F4469" s="41" t="s">
        <v>35989</v>
      </c>
      <c r="G4469" s="41" t="s">
        <v>35990</v>
      </c>
      <c r="H4469" s="41" t="s">
        <v>35991</v>
      </c>
      <c r="I4469" s="41" t="s">
        <v>35992</v>
      </c>
      <c r="J4469" s="41" t="s">
        <v>35993</v>
      </c>
      <c r="L4469" s="41" t="s">
        <v>4</v>
      </c>
    </row>
    <row r="4470" spans="1:19" x14ac:dyDescent="0.25">
      <c r="A4470" s="41" t="s">
        <v>23</v>
      </c>
      <c r="B4470" s="41" t="s">
        <v>35994</v>
      </c>
      <c r="D4470" s="41" t="s">
        <v>35827</v>
      </c>
      <c r="E4470" s="41" t="s">
        <v>35996</v>
      </c>
      <c r="F4470" s="41" t="s">
        <v>35997</v>
      </c>
      <c r="G4470" s="41" t="s">
        <v>35998</v>
      </c>
      <c r="H4470" s="41" t="s">
        <v>35999</v>
      </c>
      <c r="I4470" s="41" t="s">
        <v>36000</v>
      </c>
      <c r="J4470" s="41" t="s">
        <v>36001</v>
      </c>
      <c r="K4470" s="41" t="s">
        <v>36002</v>
      </c>
      <c r="L4470" s="41" t="s">
        <v>36003</v>
      </c>
      <c r="M4470" s="41" t="s">
        <v>36004</v>
      </c>
      <c r="N4470" s="41" t="s">
        <v>36005</v>
      </c>
      <c r="O4470" s="41" t="s">
        <v>36006</v>
      </c>
      <c r="P4470" s="41" t="s">
        <v>36007</v>
      </c>
      <c r="Q4470" s="41" t="s">
        <v>36008</v>
      </c>
      <c r="R4470" s="41" t="s">
        <v>36009</v>
      </c>
      <c r="S4470" s="41" t="s">
        <v>36010</v>
      </c>
    </row>
    <row r="4471" spans="1:19" x14ac:dyDescent="0.25">
      <c r="A4471" s="41" t="s">
        <v>23</v>
      </c>
      <c r="B4471" s="41" t="s">
        <v>36011</v>
      </c>
      <c r="D4471" s="41" t="s">
        <v>36012</v>
      </c>
      <c r="F4471" s="41" t="s">
        <v>36013</v>
      </c>
      <c r="G4471" s="41" t="s">
        <v>36014</v>
      </c>
      <c r="H4471" s="41" t="s">
        <v>36015</v>
      </c>
      <c r="I4471" s="41" t="s">
        <v>36016</v>
      </c>
      <c r="J4471" s="41" t="s">
        <v>36017</v>
      </c>
      <c r="K4471" s="41" t="s">
        <v>36018</v>
      </c>
      <c r="L4471" s="41" t="s">
        <v>891</v>
      </c>
    </row>
    <row r="4472" spans="1:19" x14ac:dyDescent="0.25">
      <c r="A4472" s="41" t="s">
        <v>23</v>
      </c>
      <c r="B4472" s="41" t="s">
        <v>36019</v>
      </c>
      <c r="D4472" s="41" t="s">
        <v>36020</v>
      </c>
      <c r="F4472" s="41" t="s">
        <v>36021</v>
      </c>
      <c r="G4472" s="41" t="s">
        <v>36022</v>
      </c>
      <c r="H4472" s="41" t="s">
        <v>36023</v>
      </c>
      <c r="I4472" s="41" t="s">
        <v>36024</v>
      </c>
      <c r="J4472" s="41" t="s">
        <v>36025</v>
      </c>
      <c r="K4472" s="41" t="s">
        <v>36026</v>
      </c>
      <c r="L4472" s="41" t="s">
        <v>1076</v>
      </c>
    </row>
    <row r="4473" spans="1:19" x14ac:dyDescent="0.25">
      <c r="A4473" s="41" t="s">
        <v>23</v>
      </c>
      <c r="B4473" s="41" t="s">
        <v>36027</v>
      </c>
      <c r="D4473" s="41" t="s">
        <v>36028</v>
      </c>
      <c r="F4473" s="41" t="s">
        <v>36029</v>
      </c>
      <c r="G4473" s="41" t="s">
        <v>36030</v>
      </c>
      <c r="H4473" s="41" t="s">
        <v>36031</v>
      </c>
      <c r="I4473" s="41" t="s">
        <v>36032</v>
      </c>
      <c r="J4473" s="41" t="s">
        <v>36033</v>
      </c>
      <c r="K4473" s="41" t="s">
        <v>36034</v>
      </c>
      <c r="L4473" s="41" t="s">
        <v>1085</v>
      </c>
    </row>
    <row r="4474" spans="1:19" x14ac:dyDescent="0.25">
      <c r="A4474" s="41" t="s">
        <v>23</v>
      </c>
      <c r="B4474" s="41" t="s">
        <v>36035</v>
      </c>
      <c r="D4474" s="41" t="s">
        <v>36036</v>
      </c>
      <c r="F4474" s="41" t="s">
        <v>36037</v>
      </c>
      <c r="G4474" s="41" t="s">
        <v>36038</v>
      </c>
      <c r="H4474" s="41" t="s">
        <v>36039</v>
      </c>
      <c r="I4474" s="41" t="s">
        <v>36040</v>
      </c>
      <c r="J4474" s="41" t="s">
        <v>36041</v>
      </c>
      <c r="K4474" s="41" t="s">
        <v>36042</v>
      </c>
      <c r="L4474" s="41" t="s">
        <v>1094</v>
      </c>
    </row>
    <row r="4475" spans="1:19" x14ac:dyDescent="0.25">
      <c r="A4475" s="41" t="s">
        <v>908</v>
      </c>
      <c r="B4475" s="41" t="s">
        <v>36043</v>
      </c>
    </row>
    <row r="4476" spans="1:19" x14ac:dyDescent="0.25">
      <c r="A4476" s="41" t="s">
        <v>23</v>
      </c>
      <c r="B4476" s="41" t="s">
        <v>36044</v>
      </c>
      <c r="F4476" s="41" t="s">
        <v>36045</v>
      </c>
      <c r="G4476" s="41" t="s">
        <v>36046</v>
      </c>
      <c r="H4476" s="41" t="s">
        <v>36047</v>
      </c>
      <c r="I4476" s="41" t="s">
        <v>36048</v>
      </c>
      <c r="J4476" s="41" t="s">
        <v>36049</v>
      </c>
      <c r="L4476" s="41" t="s">
        <v>4</v>
      </c>
    </row>
    <row r="4477" spans="1:19" x14ac:dyDescent="0.25">
      <c r="A4477" s="41" t="s">
        <v>23</v>
      </c>
      <c r="B4477" s="41" t="s">
        <v>36050</v>
      </c>
      <c r="D4477" s="41" t="s">
        <v>35883</v>
      </c>
      <c r="E4477" s="41" t="s">
        <v>36052</v>
      </c>
      <c r="F4477" s="41" t="s">
        <v>36053</v>
      </c>
      <c r="G4477" s="41" t="s">
        <v>36054</v>
      </c>
      <c r="H4477" s="41" t="s">
        <v>36055</v>
      </c>
      <c r="I4477" s="41" t="s">
        <v>36056</v>
      </c>
      <c r="J4477" s="41" t="s">
        <v>36057</v>
      </c>
      <c r="K4477" s="41" t="s">
        <v>36058</v>
      </c>
      <c r="L4477" s="41" t="s">
        <v>36059</v>
      </c>
      <c r="M4477" s="41" t="s">
        <v>36060</v>
      </c>
      <c r="N4477" s="41" t="s">
        <v>36061</v>
      </c>
      <c r="O4477" s="41" t="s">
        <v>36062</v>
      </c>
      <c r="P4477" s="41" t="s">
        <v>36063</v>
      </c>
      <c r="Q4477" s="41" t="s">
        <v>36064</v>
      </c>
      <c r="R4477" s="41" t="s">
        <v>36065</v>
      </c>
      <c r="S4477" s="41" t="s">
        <v>36066</v>
      </c>
    </row>
    <row r="4478" spans="1:19" x14ac:dyDescent="0.25">
      <c r="A4478" s="41" t="s">
        <v>23</v>
      </c>
      <c r="B4478" s="41" t="s">
        <v>36067</v>
      </c>
      <c r="D4478" s="41" t="s">
        <v>36068</v>
      </c>
      <c r="F4478" s="41" t="s">
        <v>36069</v>
      </c>
      <c r="G4478" s="41" t="s">
        <v>36070</v>
      </c>
      <c r="H4478" s="41" t="s">
        <v>36071</v>
      </c>
      <c r="I4478" s="41" t="s">
        <v>36072</v>
      </c>
      <c r="J4478" s="41" t="s">
        <v>36073</v>
      </c>
      <c r="K4478" s="41" t="s">
        <v>36074</v>
      </c>
      <c r="L4478" s="41" t="s">
        <v>891</v>
      </c>
    </row>
    <row r="4479" spans="1:19" x14ac:dyDescent="0.25">
      <c r="A4479" s="41" t="s">
        <v>23</v>
      </c>
      <c r="B4479" s="41" t="s">
        <v>36075</v>
      </c>
      <c r="D4479" s="41" t="s">
        <v>36076</v>
      </c>
      <c r="F4479" s="41" t="s">
        <v>36077</v>
      </c>
      <c r="G4479" s="41" t="s">
        <v>36078</v>
      </c>
      <c r="H4479" s="41" t="s">
        <v>36079</v>
      </c>
      <c r="I4479" s="41" t="s">
        <v>36080</v>
      </c>
      <c r="J4479" s="41" t="s">
        <v>36081</v>
      </c>
      <c r="K4479" s="41" t="s">
        <v>36082</v>
      </c>
      <c r="L4479" s="41" t="s">
        <v>1076</v>
      </c>
    </row>
    <row r="4480" spans="1:19" x14ac:dyDescent="0.25">
      <c r="A4480" s="41" t="s">
        <v>23</v>
      </c>
      <c r="B4480" s="41" t="s">
        <v>36083</v>
      </c>
      <c r="D4480" s="41" t="s">
        <v>36084</v>
      </c>
      <c r="F4480" s="41" t="s">
        <v>36085</v>
      </c>
      <c r="G4480" s="41" t="s">
        <v>36086</v>
      </c>
      <c r="H4480" s="41" t="s">
        <v>36087</v>
      </c>
      <c r="I4480" s="41" t="s">
        <v>36088</v>
      </c>
      <c r="J4480" s="41" t="s">
        <v>36089</v>
      </c>
      <c r="K4480" s="41" t="s">
        <v>36090</v>
      </c>
      <c r="L4480" s="41" t="s">
        <v>1085</v>
      </c>
    </row>
    <row r="4481" spans="1:19" x14ac:dyDescent="0.25">
      <c r="A4481" s="41" t="s">
        <v>23</v>
      </c>
      <c r="B4481" s="41" t="s">
        <v>36091</v>
      </c>
      <c r="D4481" s="41" t="s">
        <v>36092</v>
      </c>
      <c r="F4481" s="41" t="s">
        <v>36093</v>
      </c>
      <c r="G4481" s="41" t="s">
        <v>36094</v>
      </c>
      <c r="H4481" s="41" t="s">
        <v>36095</v>
      </c>
      <c r="I4481" s="41" t="s">
        <v>36096</v>
      </c>
      <c r="J4481" s="41" t="s">
        <v>36097</v>
      </c>
      <c r="K4481" s="41" t="s">
        <v>36098</v>
      </c>
      <c r="L4481" s="41" t="s">
        <v>1094</v>
      </c>
    </row>
    <row r="4482" spans="1:19" x14ac:dyDescent="0.25">
      <c r="A4482" s="41" t="s">
        <v>908</v>
      </c>
      <c r="B4482" s="41" t="s">
        <v>36099</v>
      </c>
    </row>
    <row r="4483" spans="1:19" x14ac:dyDescent="0.25">
      <c r="A4483" s="41" t="s">
        <v>23</v>
      </c>
      <c r="B4483" s="41" t="s">
        <v>36100</v>
      </c>
      <c r="F4483" s="41" t="s">
        <v>36101</v>
      </c>
      <c r="G4483" s="41" t="s">
        <v>36102</v>
      </c>
      <c r="H4483" s="41" t="s">
        <v>36103</v>
      </c>
      <c r="I4483" s="41" t="s">
        <v>36104</v>
      </c>
      <c r="J4483" s="41" t="s">
        <v>36105</v>
      </c>
      <c r="L4483" s="41" t="s">
        <v>4</v>
      </c>
    </row>
    <row r="4484" spans="1:19" x14ac:dyDescent="0.25">
      <c r="A4484" s="41" t="s">
        <v>23</v>
      </c>
      <c r="B4484" s="41" t="s">
        <v>36106</v>
      </c>
      <c r="D4484" s="41" t="s">
        <v>35939</v>
      </c>
      <c r="E4484" s="41" t="s">
        <v>36108</v>
      </c>
      <c r="F4484" s="41" t="s">
        <v>36109</v>
      </c>
      <c r="G4484" s="41" t="s">
        <v>36110</v>
      </c>
      <c r="H4484" s="41" t="s">
        <v>36111</v>
      </c>
      <c r="I4484" s="41" t="s">
        <v>36112</v>
      </c>
      <c r="J4484" s="41" t="s">
        <v>36113</v>
      </c>
      <c r="K4484" s="41" t="s">
        <v>36114</v>
      </c>
      <c r="L4484" s="41" t="s">
        <v>36115</v>
      </c>
      <c r="M4484" s="41" t="s">
        <v>36116</v>
      </c>
      <c r="N4484" s="41" t="s">
        <v>36117</v>
      </c>
      <c r="O4484" s="41" t="s">
        <v>36118</v>
      </c>
      <c r="P4484" s="41" t="s">
        <v>36119</v>
      </c>
      <c r="Q4484" s="41" t="s">
        <v>36120</v>
      </c>
      <c r="R4484" s="41" t="s">
        <v>36121</v>
      </c>
      <c r="S4484" s="41" t="s">
        <v>36122</v>
      </c>
    </row>
    <row r="4485" spans="1:19" x14ac:dyDescent="0.25">
      <c r="A4485" s="41" t="s">
        <v>23</v>
      </c>
      <c r="B4485" s="41" t="s">
        <v>36123</v>
      </c>
      <c r="D4485" s="41" t="s">
        <v>36124</v>
      </c>
      <c r="F4485" s="41" t="s">
        <v>36125</v>
      </c>
      <c r="G4485" s="41" t="s">
        <v>36126</v>
      </c>
      <c r="H4485" s="41" t="s">
        <v>36127</v>
      </c>
      <c r="I4485" s="41" t="s">
        <v>36128</v>
      </c>
      <c r="J4485" s="41" t="s">
        <v>36129</v>
      </c>
      <c r="K4485" s="41" t="s">
        <v>36130</v>
      </c>
      <c r="L4485" s="41" t="s">
        <v>891</v>
      </c>
    </row>
    <row r="4486" spans="1:19" x14ac:dyDescent="0.25">
      <c r="A4486" s="41" t="s">
        <v>23</v>
      </c>
      <c r="B4486" s="41" t="s">
        <v>36131</v>
      </c>
      <c r="D4486" s="41" t="s">
        <v>36132</v>
      </c>
      <c r="F4486" s="41" t="s">
        <v>36133</v>
      </c>
      <c r="G4486" s="41" t="s">
        <v>36134</v>
      </c>
      <c r="H4486" s="41" t="s">
        <v>36135</v>
      </c>
      <c r="I4486" s="41" t="s">
        <v>36136</v>
      </c>
      <c r="J4486" s="41" t="s">
        <v>36137</v>
      </c>
      <c r="K4486" s="41" t="s">
        <v>36138</v>
      </c>
      <c r="L4486" s="41" t="s">
        <v>1076</v>
      </c>
    </row>
    <row r="4487" spans="1:19" x14ac:dyDescent="0.25">
      <c r="A4487" s="41" t="s">
        <v>23</v>
      </c>
      <c r="B4487" s="41" t="s">
        <v>36139</v>
      </c>
      <c r="D4487" s="41" t="s">
        <v>36140</v>
      </c>
      <c r="F4487" s="41" t="s">
        <v>36141</v>
      </c>
      <c r="G4487" s="41" t="s">
        <v>36142</v>
      </c>
      <c r="H4487" s="41" t="s">
        <v>36143</v>
      </c>
      <c r="I4487" s="41" t="s">
        <v>36144</v>
      </c>
      <c r="J4487" s="41" t="s">
        <v>36145</v>
      </c>
      <c r="K4487" s="41" t="s">
        <v>36146</v>
      </c>
      <c r="L4487" s="41" t="s">
        <v>1085</v>
      </c>
    </row>
    <row r="4488" spans="1:19" x14ac:dyDescent="0.25">
      <c r="A4488" s="41" t="s">
        <v>23</v>
      </c>
      <c r="B4488" s="41" t="s">
        <v>36147</v>
      </c>
      <c r="D4488" s="41" t="s">
        <v>36148</v>
      </c>
      <c r="F4488" s="41" t="s">
        <v>36149</v>
      </c>
      <c r="G4488" s="41" t="s">
        <v>36150</v>
      </c>
      <c r="H4488" s="41" t="s">
        <v>36151</v>
      </c>
      <c r="I4488" s="41" t="s">
        <v>36152</v>
      </c>
      <c r="J4488" s="41" t="s">
        <v>36153</v>
      </c>
      <c r="K4488" s="41" t="s">
        <v>36154</v>
      </c>
      <c r="L4488" s="41" t="s">
        <v>1094</v>
      </c>
    </row>
    <row r="4489" spans="1:19" x14ac:dyDescent="0.25">
      <c r="A4489" s="41" t="s">
        <v>908</v>
      </c>
      <c r="B4489" s="41" t="s">
        <v>36155</v>
      </c>
    </row>
    <row r="4490" spans="1:19" x14ac:dyDescent="0.25">
      <c r="A4490" s="41" t="s">
        <v>23</v>
      </c>
      <c r="B4490" s="41" t="s">
        <v>36156</v>
      </c>
      <c r="F4490" s="41" t="s">
        <v>36157</v>
      </c>
      <c r="G4490" s="41" t="s">
        <v>36158</v>
      </c>
      <c r="H4490" s="41" t="s">
        <v>36159</v>
      </c>
      <c r="I4490" s="41" t="s">
        <v>36160</v>
      </c>
      <c r="J4490" s="41" t="s">
        <v>36161</v>
      </c>
      <c r="L4490" s="41" t="s">
        <v>4</v>
      </c>
    </row>
    <row r="4491" spans="1:19" x14ac:dyDescent="0.25">
      <c r="A4491" s="41" t="s">
        <v>23</v>
      </c>
      <c r="B4491" s="41" t="s">
        <v>36162</v>
      </c>
      <c r="D4491" s="41" t="s">
        <v>35995</v>
      </c>
      <c r="E4491" s="41" t="s">
        <v>36164</v>
      </c>
      <c r="F4491" s="41" t="s">
        <v>36165</v>
      </c>
      <c r="G4491" s="41" t="s">
        <v>36166</v>
      </c>
      <c r="H4491" s="41" t="s">
        <v>36167</v>
      </c>
      <c r="I4491" s="41" t="s">
        <v>36168</v>
      </c>
      <c r="J4491" s="41" t="s">
        <v>36169</v>
      </c>
      <c r="K4491" s="41" t="s">
        <v>36170</v>
      </c>
      <c r="L4491" s="41" t="s">
        <v>36171</v>
      </c>
      <c r="M4491" s="41" t="s">
        <v>36172</v>
      </c>
      <c r="N4491" s="41" t="s">
        <v>36173</v>
      </c>
      <c r="O4491" s="41" t="s">
        <v>36174</v>
      </c>
      <c r="P4491" s="41" t="s">
        <v>36175</v>
      </c>
      <c r="Q4491" s="41" t="s">
        <v>36176</v>
      </c>
      <c r="R4491" s="41" t="s">
        <v>36177</v>
      </c>
      <c r="S4491" s="41" t="s">
        <v>36178</v>
      </c>
    </row>
    <row r="4492" spans="1:19" x14ac:dyDescent="0.25">
      <c r="A4492" s="41" t="s">
        <v>23</v>
      </c>
      <c r="B4492" s="41" t="s">
        <v>36179</v>
      </c>
      <c r="D4492" s="41" t="s">
        <v>36180</v>
      </c>
      <c r="F4492" s="41" t="s">
        <v>36181</v>
      </c>
      <c r="G4492" s="41" t="s">
        <v>36182</v>
      </c>
      <c r="H4492" s="41" t="s">
        <v>36183</v>
      </c>
      <c r="I4492" s="41" t="s">
        <v>36184</v>
      </c>
      <c r="J4492" s="41" t="s">
        <v>36185</v>
      </c>
      <c r="K4492" s="41" t="s">
        <v>36186</v>
      </c>
      <c r="L4492" s="41" t="s">
        <v>891</v>
      </c>
    </row>
    <row r="4493" spans="1:19" x14ac:dyDescent="0.25">
      <c r="A4493" s="41" t="s">
        <v>23</v>
      </c>
      <c r="B4493" s="41" t="s">
        <v>36187</v>
      </c>
      <c r="D4493" s="41" t="s">
        <v>36188</v>
      </c>
      <c r="F4493" s="41" t="s">
        <v>36189</v>
      </c>
      <c r="G4493" s="41" t="s">
        <v>36190</v>
      </c>
      <c r="H4493" s="41" t="s">
        <v>36191</v>
      </c>
      <c r="I4493" s="41" t="s">
        <v>36192</v>
      </c>
      <c r="J4493" s="41" t="s">
        <v>36193</v>
      </c>
      <c r="K4493" s="41" t="s">
        <v>36194</v>
      </c>
      <c r="L4493" s="41" t="s">
        <v>1076</v>
      </c>
    </row>
    <row r="4494" spans="1:19" x14ac:dyDescent="0.25">
      <c r="A4494" s="41" t="s">
        <v>23</v>
      </c>
      <c r="B4494" s="41" t="s">
        <v>36195</v>
      </c>
      <c r="D4494" s="41" t="s">
        <v>36196</v>
      </c>
      <c r="F4494" s="41" t="s">
        <v>36197</v>
      </c>
      <c r="G4494" s="41" t="s">
        <v>36198</v>
      </c>
      <c r="H4494" s="41" t="s">
        <v>36199</v>
      </c>
      <c r="I4494" s="41" t="s">
        <v>36200</v>
      </c>
      <c r="J4494" s="41" t="s">
        <v>36201</v>
      </c>
      <c r="K4494" s="41" t="s">
        <v>36202</v>
      </c>
      <c r="L4494" s="41" t="s">
        <v>1085</v>
      </c>
    </row>
    <row r="4495" spans="1:19" x14ac:dyDescent="0.25">
      <c r="A4495" s="41" t="s">
        <v>23</v>
      </c>
      <c r="B4495" s="41" t="s">
        <v>36203</v>
      </c>
      <c r="D4495" s="41" t="s">
        <v>36204</v>
      </c>
      <c r="F4495" s="41" t="s">
        <v>36205</v>
      </c>
      <c r="G4495" s="41" t="s">
        <v>36206</v>
      </c>
      <c r="H4495" s="41" t="s">
        <v>36207</v>
      </c>
      <c r="I4495" s="41" t="s">
        <v>36208</v>
      </c>
      <c r="J4495" s="41" t="s">
        <v>36209</v>
      </c>
      <c r="K4495" s="41" t="s">
        <v>36210</v>
      </c>
      <c r="L4495" s="41" t="s">
        <v>1094</v>
      </c>
    </row>
    <row r="4496" spans="1:19" x14ac:dyDescent="0.25">
      <c r="A4496" s="41" t="s">
        <v>908</v>
      </c>
      <c r="B4496" s="41" t="s">
        <v>36211</v>
      </c>
    </row>
    <row r="4497" spans="1:19" x14ac:dyDescent="0.25">
      <c r="A4497" s="41" t="s">
        <v>23</v>
      </c>
      <c r="B4497" s="41" t="s">
        <v>36212</v>
      </c>
      <c r="F4497" s="41" t="s">
        <v>36213</v>
      </c>
      <c r="G4497" s="41" t="s">
        <v>36214</v>
      </c>
      <c r="H4497" s="41" t="s">
        <v>36215</v>
      </c>
      <c r="I4497" s="41" t="s">
        <v>36216</v>
      </c>
      <c r="J4497" s="41" t="s">
        <v>36217</v>
      </c>
      <c r="L4497" s="41" t="s">
        <v>4</v>
      </c>
    </row>
    <row r="4498" spans="1:19" x14ac:dyDescent="0.25">
      <c r="A4498" s="41" t="s">
        <v>23</v>
      </c>
      <c r="B4498" s="41" t="s">
        <v>36218</v>
      </c>
      <c r="D4498" s="41" t="s">
        <v>36051</v>
      </c>
      <c r="E4498" s="41" t="s">
        <v>36220</v>
      </c>
      <c r="F4498" s="41" t="s">
        <v>36221</v>
      </c>
      <c r="G4498" s="41" t="s">
        <v>36222</v>
      </c>
      <c r="H4498" s="41" t="s">
        <v>36223</v>
      </c>
      <c r="I4498" s="41" t="s">
        <v>36224</v>
      </c>
      <c r="J4498" s="41" t="s">
        <v>36225</v>
      </c>
      <c r="K4498" s="41" t="s">
        <v>36226</v>
      </c>
      <c r="L4498" s="41" t="s">
        <v>36227</v>
      </c>
      <c r="M4498" s="41" t="s">
        <v>36228</v>
      </c>
      <c r="N4498" s="41" t="s">
        <v>36229</v>
      </c>
      <c r="O4498" s="41" t="s">
        <v>36230</v>
      </c>
      <c r="P4498" s="41" t="s">
        <v>36231</v>
      </c>
      <c r="Q4498" s="41" t="s">
        <v>36232</v>
      </c>
      <c r="R4498" s="41" t="s">
        <v>36233</v>
      </c>
      <c r="S4498" s="41" t="s">
        <v>36234</v>
      </c>
    </row>
    <row r="4499" spans="1:19" x14ac:dyDescent="0.25">
      <c r="A4499" s="41" t="s">
        <v>23</v>
      </c>
      <c r="B4499" s="41" t="s">
        <v>36235</v>
      </c>
      <c r="D4499" s="41" t="s">
        <v>36236</v>
      </c>
      <c r="F4499" s="41" t="s">
        <v>36237</v>
      </c>
      <c r="G4499" s="41" t="s">
        <v>36238</v>
      </c>
      <c r="H4499" s="41" t="s">
        <v>36239</v>
      </c>
      <c r="I4499" s="41" t="s">
        <v>36240</v>
      </c>
      <c r="J4499" s="41" t="s">
        <v>36241</v>
      </c>
      <c r="K4499" s="41" t="s">
        <v>36242</v>
      </c>
      <c r="L4499" s="41" t="s">
        <v>891</v>
      </c>
    </row>
    <row r="4500" spans="1:19" x14ac:dyDescent="0.25">
      <c r="A4500" s="41" t="s">
        <v>23</v>
      </c>
      <c r="B4500" s="41" t="s">
        <v>36243</v>
      </c>
      <c r="D4500" s="41" t="s">
        <v>36244</v>
      </c>
      <c r="F4500" s="41" t="s">
        <v>36245</v>
      </c>
      <c r="G4500" s="41" t="s">
        <v>36246</v>
      </c>
      <c r="H4500" s="41" t="s">
        <v>36247</v>
      </c>
      <c r="I4500" s="41" t="s">
        <v>36248</v>
      </c>
      <c r="J4500" s="41" t="s">
        <v>36249</v>
      </c>
      <c r="K4500" s="41" t="s">
        <v>36250</v>
      </c>
      <c r="L4500" s="41" t="s">
        <v>1076</v>
      </c>
    </row>
    <row r="4501" spans="1:19" x14ac:dyDescent="0.25">
      <c r="A4501" s="41" t="s">
        <v>23</v>
      </c>
      <c r="B4501" s="41" t="s">
        <v>36251</v>
      </c>
      <c r="D4501" s="41" t="s">
        <v>36252</v>
      </c>
      <c r="F4501" s="41" t="s">
        <v>36253</v>
      </c>
      <c r="G4501" s="41" t="s">
        <v>36254</v>
      </c>
      <c r="H4501" s="41" t="s">
        <v>36255</v>
      </c>
      <c r="I4501" s="41" t="s">
        <v>36256</v>
      </c>
      <c r="J4501" s="41" t="s">
        <v>36257</v>
      </c>
      <c r="K4501" s="41" t="s">
        <v>36258</v>
      </c>
      <c r="L4501" s="41" t="s">
        <v>1085</v>
      </c>
    </row>
    <row r="4502" spans="1:19" x14ac:dyDescent="0.25">
      <c r="A4502" s="41" t="s">
        <v>23</v>
      </c>
      <c r="B4502" s="41" t="s">
        <v>36259</v>
      </c>
      <c r="D4502" s="41" t="s">
        <v>36260</v>
      </c>
      <c r="F4502" s="41" t="s">
        <v>36261</v>
      </c>
      <c r="G4502" s="41" t="s">
        <v>36262</v>
      </c>
      <c r="H4502" s="41" t="s">
        <v>36263</v>
      </c>
      <c r="I4502" s="41" t="s">
        <v>36264</v>
      </c>
      <c r="J4502" s="41" t="s">
        <v>36265</v>
      </c>
      <c r="K4502" s="41" t="s">
        <v>36266</v>
      </c>
      <c r="L4502" s="41" t="s">
        <v>1094</v>
      </c>
    </row>
    <row r="4503" spans="1:19" x14ac:dyDescent="0.25">
      <c r="A4503" s="41" t="s">
        <v>908</v>
      </c>
      <c r="B4503" s="41" t="s">
        <v>36267</v>
      </c>
    </row>
    <row r="4504" spans="1:19" x14ac:dyDescent="0.25">
      <c r="A4504" s="41" t="s">
        <v>23</v>
      </c>
      <c r="B4504" s="41" t="s">
        <v>36268</v>
      </c>
      <c r="F4504" s="41" t="s">
        <v>36269</v>
      </c>
      <c r="G4504" s="41" t="s">
        <v>36270</v>
      </c>
      <c r="H4504" s="41" t="s">
        <v>36271</v>
      </c>
      <c r="I4504" s="41" t="s">
        <v>36272</v>
      </c>
      <c r="J4504" s="41" t="s">
        <v>36273</v>
      </c>
      <c r="L4504" s="41" t="s">
        <v>4</v>
      </c>
    </row>
    <row r="4505" spans="1:19" x14ac:dyDescent="0.25">
      <c r="A4505" s="41" t="s">
        <v>23</v>
      </c>
      <c r="B4505" s="41" t="s">
        <v>36274</v>
      </c>
      <c r="D4505" s="41" t="s">
        <v>36107</v>
      </c>
      <c r="E4505" s="41" t="s">
        <v>36276</v>
      </c>
      <c r="F4505" s="41" t="s">
        <v>36277</v>
      </c>
      <c r="G4505" s="41" t="s">
        <v>36278</v>
      </c>
      <c r="H4505" s="41" t="s">
        <v>36279</v>
      </c>
      <c r="I4505" s="41" t="s">
        <v>36280</v>
      </c>
      <c r="J4505" s="41" t="s">
        <v>36281</v>
      </c>
      <c r="K4505" s="41" t="s">
        <v>36282</v>
      </c>
      <c r="L4505" s="41" t="s">
        <v>36283</v>
      </c>
      <c r="M4505" s="41" t="s">
        <v>36284</v>
      </c>
      <c r="N4505" s="41" t="s">
        <v>36285</v>
      </c>
      <c r="O4505" s="41" t="s">
        <v>36286</v>
      </c>
      <c r="P4505" s="41" t="s">
        <v>36287</v>
      </c>
      <c r="Q4505" s="41" t="s">
        <v>36288</v>
      </c>
      <c r="R4505" s="41" t="s">
        <v>36289</v>
      </c>
      <c r="S4505" s="41" t="s">
        <v>36290</v>
      </c>
    </row>
    <row r="4506" spans="1:19" x14ac:dyDescent="0.25">
      <c r="A4506" s="41" t="s">
        <v>23</v>
      </c>
      <c r="B4506" s="41" t="s">
        <v>36291</v>
      </c>
      <c r="D4506" s="41" t="s">
        <v>36292</v>
      </c>
      <c r="F4506" s="41" t="s">
        <v>36293</v>
      </c>
      <c r="G4506" s="41" t="s">
        <v>36294</v>
      </c>
      <c r="H4506" s="41" t="s">
        <v>36295</v>
      </c>
      <c r="I4506" s="41" t="s">
        <v>36296</v>
      </c>
      <c r="J4506" s="41" t="s">
        <v>36297</v>
      </c>
      <c r="K4506" s="41" t="s">
        <v>36298</v>
      </c>
      <c r="L4506" s="41" t="s">
        <v>891</v>
      </c>
    </row>
    <row r="4507" spans="1:19" x14ac:dyDescent="0.25">
      <c r="A4507" s="41" t="s">
        <v>23</v>
      </c>
      <c r="B4507" s="41" t="s">
        <v>36299</v>
      </c>
      <c r="D4507" s="41" t="s">
        <v>36300</v>
      </c>
      <c r="F4507" s="41" t="s">
        <v>36301</v>
      </c>
      <c r="G4507" s="41" t="s">
        <v>36302</v>
      </c>
      <c r="H4507" s="41" t="s">
        <v>36303</v>
      </c>
      <c r="I4507" s="41" t="s">
        <v>36304</v>
      </c>
      <c r="J4507" s="41" t="s">
        <v>36305</v>
      </c>
      <c r="K4507" s="41" t="s">
        <v>36306</v>
      </c>
      <c r="L4507" s="41" t="s">
        <v>1076</v>
      </c>
    </row>
    <row r="4508" spans="1:19" x14ac:dyDescent="0.25">
      <c r="A4508" s="41" t="s">
        <v>23</v>
      </c>
      <c r="B4508" s="41" t="s">
        <v>36307</v>
      </c>
      <c r="D4508" s="41" t="s">
        <v>36308</v>
      </c>
      <c r="F4508" s="41" t="s">
        <v>36309</v>
      </c>
      <c r="G4508" s="41" t="s">
        <v>36310</v>
      </c>
      <c r="H4508" s="41" t="s">
        <v>36311</v>
      </c>
      <c r="I4508" s="41" t="s">
        <v>36312</v>
      </c>
      <c r="J4508" s="41" t="s">
        <v>36313</v>
      </c>
      <c r="K4508" s="41" t="s">
        <v>36314</v>
      </c>
      <c r="L4508" s="41" t="s">
        <v>1085</v>
      </c>
    </row>
    <row r="4509" spans="1:19" x14ac:dyDescent="0.25">
      <c r="A4509" s="41" t="s">
        <v>23</v>
      </c>
      <c r="B4509" s="41" t="s">
        <v>36315</v>
      </c>
      <c r="D4509" s="41" t="s">
        <v>36316</v>
      </c>
      <c r="F4509" s="41" t="s">
        <v>36317</v>
      </c>
      <c r="G4509" s="41" t="s">
        <v>36318</v>
      </c>
      <c r="H4509" s="41" t="s">
        <v>36319</v>
      </c>
      <c r="I4509" s="41" t="s">
        <v>36320</v>
      </c>
      <c r="J4509" s="41" t="s">
        <v>36321</v>
      </c>
      <c r="K4509" s="41" t="s">
        <v>36322</v>
      </c>
      <c r="L4509" s="41" t="s">
        <v>1094</v>
      </c>
    </row>
    <row r="4510" spans="1:19" x14ac:dyDescent="0.25">
      <c r="A4510" s="41" t="s">
        <v>908</v>
      </c>
      <c r="B4510" s="41" t="s">
        <v>36323</v>
      </c>
    </row>
    <row r="4511" spans="1:19" x14ac:dyDescent="0.25">
      <c r="A4511" s="41" t="s">
        <v>23</v>
      </c>
      <c r="B4511" s="41" t="s">
        <v>36324</v>
      </c>
      <c r="F4511" s="41" t="s">
        <v>36325</v>
      </c>
      <c r="G4511" s="41" t="s">
        <v>36326</v>
      </c>
      <c r="H4511" s="41" t="s">
        <v>36327</v>
      </c>
      <c r="I4511" s="41" t="s">
        <v>36328</v>
      </c>
      <c r="J4511" s="41" t="s">
        <v>36329</v>
      </c>
      <c r="L4511" s="41" t="s">
        <v>4</v>
      </c>
    </row>
    <row r="4512" spans="1:19" x14ac:dyDescent="0.25">
      <c r="A4512" s="41" t="s">
        <v>23</v>
      </c>
      <c r="B4512" s="41" t="s">
        <v>36330</v>
      </c>
      <c r="D4512" s="41" t="s">
        <v>36163</v>
      </c>
      <c r="E4512" s="41" t="s">
        <v>36332</v>
      </c>
      <c r="F4512" s="41" t="s">
        <v>36333</v>
      </c>
      <c r="G4512" s="41" t="s">
        <v>36334</v>
      </c>
      <c r="H4512" s="41" t="s">
        <v>36335</v>
      </c>
      <c r="I4512" s="41" t="s">
        <v>36336</v>
      </c>
      <c r="J4512" s="41" t="s">
        <v>36337</v>
      </c>
      <c r="K4512" s="41" t="s">
        <v>36338</v>
      </c>
      <c r="L4512" s="41" t="s">
        <v>36339</v>
      </c>
      <c r="M4512" s="41" t="s">
        <v>36340</v>
      </c>
      <c r="N4512" s="41" t="s">
        <v>36341</v>
      </c>
      <c r="O4512" s="41" t="s">
        <v>36342</v>
      </c>
      <c r="P4512" s="41" t="s">
        <v>36343</v>
      </c>
      <c r="Q4512" s="41" t="s">
        <v>36344</v>
      </c>
      <c r="R4512" s="41" t="s">
        <v>36345</v>
      </c>
      <c r="S4512" s="41" t="s">
        <v>36346</v>
      </c>
    </row>
    <row r="4513" spans="1:19" x14ac:dyDescent="0.25">
      <c r="A4513" s="41" t="s">
        <v>23</v>
      </c>
      <c r="B4513" s="41" t="s">
        <v>36347</v>
      </c>
      <c r="D4513" s="41" t="s">
        <v>36348</v>
      </c>
      <c r="F4513" s="41" t="s">
        <v>36349</v>
      </c>
      <c r="G4513" s="41" t="s">
        <v>36350</v>
      </c>
      <c r="H4513" s="41" t="s">
        <v>36351</v>
      </c>
      <c r="I4513" s="41" t="s">
        <v>36352</v>
      </c>
      <c r="J4513" s="41" t="s">
        <v>36353</v>
      </c>
      <c r="K4513" s="41" t="s">
        <v>36354</v>
      </c>
      <c r="L4513" s="41" t="s">
        <v>891</v>
      </c>
    </row>
    <row r="4514" spans="1:19" x14ac:dyDescent="0.25">
      <c r="A4514" s="41" t="s">
        <v>23</v>
      </c>
      <c r="B4514" s="41" t="s">
        <v>36355</v>
      </c>
      <c r="D4514" s="41" t="s">
        <v>36356</v>
      </c>
      <c r="F4514" s="41" t="s">
        <v>36357</v>
      </c>
      <c r="G4514" s="41" t="s">
        <v>36358</v>
      </c>
      <c r="H4514" s="41" t="s">
        <v>36359</v>
      </c>
      <c r="I4514" s="41" t="s">
        <v>36360</v>
      </c>
      <c r="J4514" s="41" t="s">
        <v>36361</v>
      </c>
      <c r="K4514" s="41" t="s">
        <v>36362</v>
      </c>
      <c r="L4514" s="41" t="s">
        <v>1076</v>
      </c>
    </row>
    <row r="4515" spans="1:19" x14ac:dyDescent="0.25">
      <c r="A4515" s="41" t="s">
        <v>23</v>
      </c>
      <c r="B4515" s="41" t="s">
        <v>36363</v>
      </c>
      <c r="D4515" s="41" t="s">
        <v>36364</v>
      </c>
      <c r="F4515" s="41" t="s">
        <v>36365</v>
      </c>
      <c r="G4515" s="41" t="s">
        <v>36366</v>
      </c>
      <c r="H4515" s="41" t="s">
        <v>36367</v>
      </c>
      <c r="I4515" s="41" t="s">
        <v>36368</v>
      </c>
      <c r="J4515" s="41" t="s">
        <v>36369</v>
      </c>
      <c r="K4515" s="41" t="s">
        <v>36370</v>
      </c>
      <c r="L4515" s="41" t="s">
        <v>1085</v>
      </c>
    </row>
    <row r="4516" spans="1:19" x14ac:dyDescent="0.25">
      <c r="A4516" s="41" t="s">
        <v>23</v>
      </c>
      <c r="B4516" s="41" t="s">
        <v>36371</v>
      </c>
      <c r="D4516" s="41" t="s">
        <v>36372</v>
      </c>
      <c r="F4516" s="41" t="s">
        <v>36373</v>
      </c>
      <c r="G4516" s="41" t="s">
        <v>36374</v>
      </c>
      <c r="H4516" s="41" t="s">
        <v>36375</v>
      </c>
      <c r="I4516" s="41" t="s">
        <v>36376</v>
      </c>
      <c r="J4516" s="41" t="s">
        <v>36377</v>
      </c>
      <c r="K4516" s="41" t="s">
        <v>36378</v>
      </c>
      <c r="L4516" s="41" t="s">
        <v>1094</v>
      </c>
    </row>
    <row r="4517" spans="1:19" x14ac:dyDescent="0.25">
      <c r="A4517" s="41" t="s">
        <v>908</v>
      </c>
      <c r="B4517" s="41" t="s">
        <v>36379</v>
      </c>
    </row>
    <row r="4518" spans="1:19" x14ac:dyDescent="0.25">
      <c r="A4518" s="41" t="s">
        <v>23</v>
      </c>
      <c r="B4518" s="41" t="s">
        <v>36380</v>
      </c>
      <c r="F4518" s="41" t="s">
        <v>36381</v>
      </c>
      <c r="G4518" s="41" t="s">
        <v>36382</v>
      </c>
      <c r="H4518" s="41" t="s">
        <v>36383</v>
      </c>
      <c r="I4518" s="41" t="s">
        <v>36384</v>
      </c>
      <c r="J4518" s="41" t="s">
        <v>36385</v>
      </c>
      <c r="L4518" s="41" t="s">
        <v>4</v>
      </c>
    </row>
    <row r="4519" spans="1:19" x14ac:dyDescent="0.25">
      <c r="A4519" s="41" t="s">
        <v>23</v>
      </c>
      <c r="B4519" s="41" t="s">
        <v>36386</v>
      </c>
      <c r="D4519" s="41" t="s">
        <v>36219</v>
      </c>
      <c r="E4519" s="41" t="s">
        <v>36387</v>
      </c>
      <c r="F4519" s="41" t="s">
        <v>36388</v>
      </c>
      <c r="G4519" s="41" t="s">
        <v>36389</v>
      </c>
      <c r="H4519" s="41" t="s">
        <v>36390</v>
      </c>
      <c r="I4519" s="41" t="s">
        <v>36391</v>
      </c>
      <c r="J4519" s="41" t="s">
        <v>36392</v>
      </c>
      <c r="K4519" s="41" t="s">
        <v>36393</v>
      </c>
      <c r="L4519" s="41" t="s">
        <v>36394</v>
      </c>
      <c r="M4519" s="41" t="s">
        <v>36395</v>
      </c>
      <c r="N4519" s="41" t="s">
        <v>36396</v>
      </c>
      <c r="O4519" s="41" t="s">
        <v>36397</v>
      </c>
      <c r="P4519" s="41" t="s">
        <v>36398</v>
      </c>
      <c r="Q4519" s="41" t="s">
        <v>36399</v>
      </c>
      <c r="R4519" s="41" t="s">
        <v>36400</v>
      </c>
      <c r="S4519" s="41" t="s">
        <v>36401</v>
      </c>
    </row>
    <row r="4520" spans="1:19" x14ac:dyDescent="0.25">
      <c r="A4520" s="41" t="s">
        <v>23</v>
      </c>
      <c r="B4520" s="41" t="s">
        <v>36402</v>
      </c>
      <c r="D4520" s="41" t="s">
        <v>36403</v>
      </c>
      <c r="F4520" s="41" t="s">
        <v>36404</v>
      </c>
      <c r="G4520" s="41" t="s">
        <v>36405</v>
      </c>
      <c r="H4520" s="41" t="s">
        <v>36406</v>
      </c>
      <c r="I4520" s="41" t="s">
        <v>36407</v>
      </c>
      <c r="J4520" s="41" t="s">
        <v>36408</v>
      </c>
      <c r="K4520" s="41" t="s">
        <v>36409</v>
      </c>
      <c r="L4520" s="41" t="s">
        <v>891</v>
      </c>
    </row>
    <row r="4521" spans="1:19" x14ac:dyDescent="0.25">
      <c r="A4521" s="41" t="s">
        <v>23</v>
      </c>
      <c r="B4521" s="41" t="s">
        <v>36410</v>
      </c>
      <c r="D4521" s="41" t="s">
        <v>36411</v>
      </c>
      <c r="F4521" s="41" t="s">
        <v>36412</v>
      </c>
      <c r="G4521" s="41" t="s">
        <v>36413</v>
      </c>
      <c r="H4521" s="41" t="s">
        <v>36414</v>
      </c>
      <c r="I4521" s="41" t="s">
        <v>36415</v>
      </c>
      <c r="J4521" s="41" t="s">
        <v>36416</v>
      </c>
      <c r="K4521" s="41" t="s">
        <v>36417</v>
      </c>
      <c r="L4521" s="41" t="s">
        <v>1076</v>
      </c>
    </row>
    <row r="4522" spans="1:19" x14ac:dyDescent="0.25">
      <c r="A4522" s="41" t="s">
        <v>23</v>
      </c>
      <c r="B4522" s="41" t="s">
        <v>36418</v>
      </c>
      <c r="D4522" s="41" t="s">
        <v>36419</v>
      </c>
      <c r="F4522" s="41" t="s">
        <v>36420</v>
      </c>
      <c r="G4522" s="41" t="s">
        <v>36421</v>
      </c>
      <c r="H4522" s="41" t="s">
        <v>36422</v>
      </c>
      <c r="I4522" s="41" t="s">
        <v>36423</v>
      </c>
      <c r="J4522" s="41" t="s">
        <v>36424</v>
      </c>
      <c r="K4522" s="41" t="s">
        <v>36425</v>
      </c>
      <c r="L4522" s="41" t="s">
        <v>1085</v>
      </c>
    </row>
    <row r="4523" spans="1:19" x14ac:dyDescent="0.25">
      <c r="A4523" s="41" t="s">
        <v>23</v>
      </c>
      <c r="B4523" s="41" t="s">
        <v>36426</v>
      </c>
      <c r="D4523" s="41" t="s">
        <v>36427</v>
      </c>
      <c r="F4523" s="41" t="s">
        <v>36428</v>
      </c>
      <c r="G4523" s="41" t="s">
        <v>36429</v>
      </c>
      <c r="H4523" s="41" t="s">
        <v>36430</v>
      </c>
      <c r="I4523" s="41" t="s">
        <v>36431</v>
      </c>
      <c r="J4523" s="41" t="s">
        <v>36432</v>
      </c>
      <c r="K4523" s="41" t="s">
        <v>36433</v>
      </c>
      <c r="L4523" s="41" t="s">
        <v>1094</v>
      </c>
    </row>
    <row r="4524" spans="1:19" x14ac:dyDescent="0.25">
      <c r="A4524" s="41" t="s">
        <v>908</v>
      </c>
      <c r="B4524" s="41" t="s">
        <v>36434</v>
      </c>
    </row>
    <row r="4525" spans="1:19" x14ac:dyDescent="0.25">
      <c r="A4525" s="41" t="s">
        <v>23</v>
      </c>
      <c r="B4525" s="41" t="s">
        <v>36435</v>
      </c>
      <c r="F4525" s="41" t="s">
        <v>36436</v>
      </c>
      <c r="G4525" s="41" t="s">
        <v>36437</v>
      </c>
      <c r="H4525" s="41" t="s">
        <v>36438</v>
      </c>
      <c r="I4525" s="41" t="s">
        <v>36439</v>
      </c>
      <c r="J4525" s="41" t="s">
        <v>36440</v>
      </c>
      <c r="L4525" s="41" t="s">
        <v>4</v>
      </c>
    </row>
    <row r="4526" spans="1:19" x14ac:dyDescent="0.25">
      <c r="A4526" s="41" t="s">
        <v>23</v>
      </c>
      <c r="B4526" s="41" t="s">
        <v>36441</v>
      </c>
      <c r="D4526" s="41" t="s">
        <v>36275</v>
      </c>
      <c r="E4526" s="41" t="s">
        <v>36442</v>
      </c>
      <c r="F4526" s="41" t="s">
        <v>36443</v>
      </c>
      <c r="G4526" s="41" t="s">
        <v>36444</v>
      </c>
      <c r="H4526" s="41" t="s">
        <v>36445</v>
      </c>
      <c r="I4526" s="41" t="s">
        <v>36446</v>
      </c>
      <c r="J4526" s="41" t="s">
        <v>36447</v>
      </c>
      <c r="K4526" s="41" t="s">
        <v>36448</v>
      </c>
      <c r="L4526" s="41" t="s">
        <v>36449</v>
      </c>
      <c r="M4526" s="41" t="s">
        <v>36450</v>
      </c>
      <c r="N4526" s="41" t="s">
        <v>36451</v>
      </c>
      <c r="O4526" s="41" t="s">
        <v>36452</v>
      </c>
      <c r="P4526" s="41" t="s">
        <v>36453</v>
      </c>
      <c r="Q4526" s="41" t="s">
        <v>36454</v>
      </c>
      <c r="R4526" s="41" t="s">
        <v>36455</v>
      </c>
      <c r="S4526" s="41" t="s">
        <v>36456</v>
      </c>
    </row>
    <row r="4527" spans="1:19" x14ac:dyDescent="0.25">
      <c r="A4527" s="41" t="s">
        <v>23</v>
      </c>
      <c r="B4527" s="41" t="s">
        <v>36457</v>
      </c>
      <c r="D4527" s="41" t="s">
        <v>36458</v>
      </c>
      <c r="F4527" s="41" t="s">
        <v>36459</v>
      </c>
      <c r="G4527" s="41" t="s">
        <v>36460</v>
      </c>
      <c r="H4527" s="41" t="s">
        <v>36461</v>
      </c>
      <c r="I4527" s="41" t="s">
        <v>36462</v>
      </c>
      <c r="J4527" s="41" t="s">
        <v>36463</v>
      </c>
      <c r="K4527" s="41" t="s">
        <v>36464</v>
      </c>
      <c r="L4527" s="41" t="s">
        <v>891</v>
      </c>
    </row>
    <row r="4528" spans="1:19" x14ac:dyDescent="0.25">
      <c r="A4528" s="41" t="s">
        <v>23</v>
      </c>
      <c r="B4528" s="41" t="s">
        <v>36465</v>
      </c>
      <c r="D4528" s="41" t="s">
        <v>36466</v>
      </c>
      <c r="F4528" s="41" t="s">
        <v>36467</v>
      </c>
      <c r="G4528" s="41" t="s">
        <v>36468</v>
      </c>
      <c r="H4528" s="41" t="s">
        <v>36469</v>
      </c>
      <c r="I4528" s="41" t="s">
        <v>36470</v>
      </c>
      <c r="J4528" s="41" t="s">
        <v>36471</v>
      </c>
      <c r="K4528" s="41" t="s">
        <v>36472</v>
      </c>
      <c r="L4528" s="41" t="s">
        <v>1076</v>
      </c>
    </row>
    <row r="4529" spans="1:19" x14ac:dyDescent="0.25">
      <c r="A4529" s="41" t="s">
        <v>23</v>
      </c>
      <c r="B4529" s="41" t="s">
        <v>36473</v>
      </c>
      <c r="D4529" s="41" t="s">
        <v>36474</v>
      </c>
      <c r="F4529" s="41" t="s">
        <v>36475</v>
      </c>
      <c r="G4529" s="41" t="s">
        <v>36476</v>
      </c>
      <c r="H4529" s="41" t="s">
        <v>36477</v>
      </c>
      <c r="I4529" s="41" t="s">
        <v>36478</v>
      </c>
      <c r="J4529" s="41" t="s">
        <v>36479</v>
      </c>
      <c r="K4529" s="41" t="s">
        <v>36480</v>
      </c>
      <c r="L4529" s="41" t="s">
        <v>1085</v>
      </c>
    </row>
    <row r="4530" spans="1:19" x14ac:dyDescent="0.25">
      <c r="A4530" s="41" t="s">
        <v>23</v>
      </c>
      <c r="B4530" s="41" t="s">
        <v>36481</v>
      </c>
      <c r="D4530" s="41" t="s">
        <v>36482</v>
      </c>
      <c r="F4530" s="41" t="s">
        <v>36483</v>
      </c>
      <c r="G4530" s="41" t="s">
        <v>36484</v>
      </c>
      <c r="H4530" s="41" t="s">
        <v>36485</v>
      </c>
      <c r="I4530" s="41" t="s">
        <v>36486</v>
      </c>
      <c r="J4530" s="41" t="s">
        <v>36487</v>
      </c>
      <c r="K4530" s="41" t="s">
        <v>36488</v>
      </c>
      <c r="L4530" s="41" t="s">
        <v>1094</v>
      </c>
    </row>
    <row r="4531" spans="1:19" x14ac:dyDescent="0.25">
      <c r="A4531" s="41" t="s">
        <v>908</v>
      </c>
      <c r="B4531" s="41" t="s">
        <v>36489</v>
      </c>
    </row>
    <row r="4532" spans="1:19" x14ac:dyDescent="0.25">
      <c r="A4532" s="41" t="s">
        <v>23</v>
      </c>
      <c r="B4532" s="41" t="s">
        <v>36490</v>
      </c>
      <c r="F4532" s="41" t="s">
        <v>36491</v>
      </c>
      <c r="G4532" s="41" t="s">
        <v>36492</v>
      </c>
      <c r="H4532" s="41" t="s">
        <v>36493</v>
      </c>
      <c r="I4532" s="41" t="s">
        <v>36494</v>
      </c>
      <c r="J4532" s="41" t="s">
        <v>36495</v>
      </c>
      <c r="L4532" s="41" t="s">
        <v>4</v>
      </c>
    </row>
    <row r="4533" spans="1:19" x14ac:dyDescent="0.25">
      <c r="A4533" s="41" t="s">
        <v>23</v>
      </c>
      <c r="B4533" s="41" t="s">
        <v>36496</v>
      </c>
      <c r="D4533" s="41" t="s">
        <v>36331</v>
      </c>
      <c r="E4533" s="41" t="s">
        <v>36497</v>
      </c>
      <c r="F4533" s="41" t="s">
        <v>36498</v>
      </c>
      <c r="G4533" s="41" t="s">
        <v>36499</v>
      </c>
      <c r="H4533" s="41" t="s">
        <v>36500</v>
      </c>
      <c r="I4533" s="41" t="s">
        <v>36501</v>
      </c>
      <c r="J4533" s="41" t="s">
        <v>36502</v>
      </c>
      <c r="K4533" s="41" t="s">
        <v>36503</v>
      </c>
      <c r="L4533" s="41" t="s">
        <v>36504</v>
      </c>
      <c r="M4533" s="41" t="s">
        <v>36505</v>
      </c>
      <c r="N4533" s="41" t="s">
        <v>36506</v>
      </c>
      <c r="O4533" s="41" t="s">
        <v>36507</v>
      </c>
      <c r="P4533" s="41" t="s">
        <v>36508</v>
      </c>
      <c r="Q4533" s="41" t="s">
        <v>36509</v>
      </c>
      <c r="R4533" s="41" t="s">
        <v>36510</v>
      </c>
      <c r="S4533" s="41" t="s">
        <v>36511</v>
      </c>
    </row>
    <row r="4534" spans="1:19" x14ac:dyDescent="0.25">
      <c r="A4534" s="41" t="s">
        <v>23</v>
      </c>
      <c r="B4534" s="41" t="s">
        <v>36512</v>
      </c>
      <c r="D4534" s="41" t="s">
        <v>36513</v>
      </c>
      <c r="F4534" s="41" t="s">
        <v>36514</v>
      </c>
      <c r="G4534" s="41" t="s">
        <v>36515</v>
      </c>
      <c r="H4534" s="41" t="s">
        <v>36516</v>
      </c>
      <c r="I4534" s="41" t="s">
        <v>36517</v>
      </c>
      <c r="J4534" s="41" t="s">
        <v>36518</v>
      </c>
      <c r="K4534" s="41" t="s">
        <v>36519</v>
      </c>
      <c r="L4534" s="41" t="s">
        <v>891</v>
      </c>
    </row>
    <row r="4535" spans="1:19" x14ac:dyDescent="0.25">
      <c r="A4535" s="41" t="s">
        <v>23</v>
      </c>
      <c r="B4535" s="41" t="s">
        <v>36520</v>
      </c>
      <c r="D4535" s="41" t="s">
        <v>36521</v>
      </c>
      <c r="F4535" s="41" t="s">
        <v>36522</v>
      </c>
      <c r="G4535" s="41" t="s">
        <v>36523</v>
      </c>
      <c r="H4535" s="41" t="s">
        <v>36524</v>
      </c>
      <c r="I4535" s="41" t="s">
        <v>36525</v>
      </c>
      <c r="J4535" s="41" t="s">
        <v>36526</v>
      </c>
      <c r="K4535" s="41" t="s">
        <v>36527</v>
      </c>
      <c r="L4535" s="41" t="s">
        <v>1076</v>
      </c>
    </row>
    <row r="4536" spans="1:19" x14ac:dyDescent="0.25">
      <c r="A4536" s="41" t="s">
        <v>23</v>
      </c>
      <c r="B4536" s="41" t="s">
        <v>36528</v>
      </c>
      <c r="D4536" s="41" t="s">
        <v>36529</v>
      </c>
      <c r="F4536" s="41" t="s">
        <v>36530</v>
      </c>
      <c r="G4536" s="41" t="s">
        <v>36531</v>
      </c>
      <c r="H4536" s="41" t="s">
        <v>36532</v>
      </c>
      <c r="I4536" s="41" t="s">
        <v>36533</v>
      </c>
      <c r="J4536" s="41" t="s">
        <v>36534</v>
      </c>
      <c r="K4536" s="41" t="s">
        <v>36535</v>
      </c>
      <c r="L4536" s="41" t="s">
        <v>1085</v>
      </c>
    </row>
    <row r="4537" spans="1:19" x14ac:dyDescent="0.25">
      <c r="A4537" s="41" t="s">
        <v>23</v>
      </c>
      <c r="B4537" s="41" t="s">
        <v>36536</v>
      </c>
      <c r="D4537" s="41" t="s">
        <v>36537</v>
      </c>
      <c r="F4537" s="41" t="s">
        <v>36538</v>
      </c>
      <c r="G4537" s="41" t="s">
        <v>36539</v>
      </c>
      <c r="H4537" s="41" t="s">
        <v>36540</v>
      </c>
      <c r="I4537" s="41" t="s">
        <v>36541</v>
      </c>
      <c r="J4537" s="41" t="s">
        <v>36542</v>
      </c>
      <c r="K4537" s="41" t="s">
        <v>36543</v>
      </c>
      <c r="L4537" s="41" t="s">
        <v>1094</v>
      </c>
    </row>
    <row r="4538" spans="1:19" x14ac:dyDescent="0.25">
      <c r="A4538" s="41" t="s">
        <v>908</v>
      </c>
      <c r="B4538" s="41" t="s">
        <v>36544</v>
      </c>
    </row>
    <row r="4539" spans="1:19" x14ac:dyDescent="0.25">
      <c r="A4539" s="41" t="s">
        <v>23</v>
      </c>
      <c r="B4539" s="41" t="s">
        <v>36545</v>
      </c>
      <c r="F4539" s="41" t="s">
        <v>36546</v>
      </c>
      <c r="G4539" s="41" t="s">
        <v>36547</v>
      </c>
      <c r="H4539" s="41" t="s">
        <v>36548</v>
      </c>
      <c r="I4539" s="41" t="s">
        <v>36549</v>
      </c>
      <c r="J4539" s="41" t="s">
        <v>36550</v>
      </c>
      <c r="L4539" s="41" t="s">
        <v>4</v>
      </c>
    </row>
    <row r="4540" spans="1:19" x14ac:dyDescent="0.25">
      <c r="A4540" s="41" t="s">
        <v>23</v>
      </c>
      <c r="B4540" s="41" t="s">
        <v>36551</v>
      </c>
      <c r="D4540" s="41" t="s">
        <v>499</v>
      </c>
      <c r="E4540" s="41" t="s">
        <v>36553</v>
      </c>
      <c r="F4540" s="41" t="s">
        <v>36554</v>
      </c>
      <c r="G4540" s="41" t="s">
        <v>36555</v>
      </c>
      <c r="H4540" s="41" t="s">
        <v>36556</v>
      </c>
      <c r="I4540" s="41" t="s">
        <v>36557</v>
      </c>
      <c r="J4540" s="41" t="s">
        <v>36558</v>
      </c>
      <c r="K4540" s="41" t="s">
        <v>36559</v>
      </c>
      <c r="L4540" s="41" t="s">
        <v>36560</v>
      </c>
      <c r="M4540" s="41" t="s">
        <v>36561</v>
      </c>
      <c r="N4540" s="41" t="s">
        <v>36562</v>
      </c>
      <c r="O4540" s="41" t="s">
        <v>36563</v>
      </c>
      <c r="P4540" s="41" t="s">
        <v>36564</v>
      </c>
      <c r="Q4540" s="41" t="s">
        <v>36565</v>
      </c>
      <c r="R4540" s="41" t="s">
        <v>36566</v>
      </c>
      <c r="S4540" s="41" t="s">
        <v>36567</v>
      </c>
    </row>
    <row r="4541" spans="1:19" x14ac:dyDescent="0.25">
      <c r="A4541" s="41" t="s">
        <v>23</v>
      </c>
      <c r="B4541" s="41" t="s">
        <v>36568</v>
      </c>
      <c r="D4541" s="41" t="s">
        <v>36569</v>
      </c>
      <c r="F4541" s="41" t="s">
        <v>36570</v>
      </c>
      <c r="G4541" s="41" t="s">
        <v>36571</v>
      </c>
      <c r="H4541" s="41" t="s">
        <v>36572</v>
      </c>
      <c r="I4541" s="41" t="s">
        <v>36573</v>
      </c>
      <c r="J4541" s="41" t="s">
        <v>36574</v>
      </c>
      <c r="K4541" s="41" t="s">
        <v>36575</v>
      </c>
      <c r="L4541" s="41" t="s">
        <v>891</v>
      </c>
    </row>
    <row r="4542" spans="1:19" x14ac:dyDescent="0.25">
      <c r="A4542" s="41" t="s">
        <v>23</v>
      </c>
      <c r="B4542" s="41" t="s">
        <v>36576</v>
      </c>
      <c r="D4542" s="41" t="s">
        <v>36577</v>
      </c>
      <c r="F4542" s="41" t="s">
        <v>36578</v>
      </c>
      <c r="G4542" s="41" t="s">
        <v>36579</v>
      </c>
      <c r="H4542" s="41" t="s">
        <v>36580</v>
      </c>
      <c r="I4542" s="41" t="s">
        <v>36581</v>
      </c>
      <c r="J4542" s="41" t="s">
        <v>36582</v>
      </c>
      <c r="K4542" s="41" t="s">
        <v>36583</v>
      </c>
      <c r="L4542" s="41" t="s">
        <v>1076</v>
      </c>
    </row>
    <row r="4543" spans="1:19" x14ac:dyDescent="0.25">
      <c r="A4543" s="41" t="s">
        <v>23</v>
      </c>
      <c r="B4543" s="41" t="s">
        <v>36584</v>
      </c>
      <c r="D4543" s="41" t="s">
        <v>36585</v>
      </c>
      <c r="F4543" s="41" t="s">
        <v>36586</v>
      </c>
      <c r="G4543" s="41" t="s">
        <v>36587</v>
      </c>
      <c r="H4543" s="41" t="s">
        <v>36588</v>
      </c>
      <c r="I4543" s="41" t="s">
        <v>36589</v>
      </c>
      <c r="J4543" s="41" t="s">
        <v>36590</v>
      </c>
      <c r="K4543" s="41" t="s">
        <v>36591</v>
      </c>
      <c r="L4543" s="41" t="s">
        <v>1085</v>
      </c>
    </row>
    <row r="4544" spans="1:19" x14ac:dyDescent="0.25">
      <c r="A4544" s="41" t="s">
        <v>23</v>
      </c>
      <c r="B4544" s="41" t="s">
        <v>36592</v>
      </c>
      <c r="D4544" s="41" t="s">
        <v>36593</v>
      </c>
      <c r="F4544" s="41" t="s">
        <v>36594</v>
      </c>
      <c r="G4544" s="41" t="s">
        <v>36595</v>
      </c>
      <c r="H4544" s="41" t="s">
        <v>36596</v>
      </c>
      <c r="I4544" s="41" t="s">
        <v>36597</v>
      </c>
      <c r="J4544" s="41" t="s">
        <v>36598</v>
      </c>
      <c r="K4544" s="41" t="s">
        <v>36599</v>
      </c>
      <c r="L4544" s="41" t="s">
        <v>1094</v>
      </c>
    </row>
    <row r="4545" spans="1:19" x14ac:dyDescent="0.25">
      <c r="A4545" s="41" t="s">
        <v>908</v>
      </c>
      <c r="B4545" s="41" t="s">
        <v>36600</v>
      </c>
    </row>
    <row r="4546" spans="1:19" x14ac:dyDescent="0.25">
      <c r="A4546" s="41" t="s">
        <v>23</v>
      </c>
      <c r="B4546" s="41" t="s">
        <v>36601</v>
      </c>
      <c r="F4546" s="41" t="s">
        <v>36602</v>
      </c>
      <c r="G4546" s="41" t="s">
        <v>36603</v>
      </c>
      <c r="H4546" s="41" t="s">
        <v>36604</v>
      </c>
      <c r="I4546" s="41" t="s">
        <v>36605</v>
      </c>
      <c r="J4546" s="41" t="s">
        <v>36606</v>
      </c>
      <c r="L4546" s="41" t="s">
        <v>4</v>
      </c>
    </row>
    <row r="4547" spans="1:19" x14ac:dyDescent="0.25">
      <c r="A4547" s="41" t="s">
        <v>23</v>
      </c>
      <c r="B4547" s="41" t="s">
        <v>36607</v>
      </c>
      <c r="D4547" s="41" t="s">
        <v>500</v>
      </c>
      <c r="E4547" s="41" t="s">
        <v>36609</v>
      </c>
      <c r="F4547" s="41" t="s">
        <v>36610</v>
      </c>
      <c r="G4547" s="41" t="s">
        <v>36611</v>
      </c>
      <c r="H4547" s="41" t="s">
        <v>36612</v>
      </c>
      <c r="I4547" s="41" t="s">
        <v>36613</v>
      </c>
      <c r="J4547" s="41" t="s">
        <v>36614</v>
      </c>
      <c r="K4547" s="41" t="s">
        <v>36615</v>
      </c>
      <c r="L4547" s="41" t="s">
        <v>36616</v>
      </c>
      <c r="M4547" s="41" t="s">
        <v>36617</v>
      </c>
      <c r="N4547" s="41" t="s">
        <v>36618</v>
      </c>
      <c r="O4547" s="41" t="s">
        <v>36619</v>
      </c>
      <c r="P4547" s="41" t="s">
        <v>36620</v>
      </c>
      <c r="Q4547" s="41" t="s">
        <v>36621</v>
      </c>
      <c r="R4547" s="41" t="s">
        <v>36622</v>
      </c>
      <c r="S4547" s="41" t="s">
        <v>36623</v>
      </c>
    </row>
    <row r="4548" spans="1:19" x14ac:dyDescent="0.25">
      <c r="A4548" s="41" t="s">
        <v>23</v>
      </c>
      <c r="B4548" s="41" t="s">
        <v>36624</v>
      </c>
      <c r="D4548" s="41" t="s">
        <v>36625</v>
      </c>
      <c r="F4548" s="41" t="s">
        <v>36626</v>
      </c>
      <c r="G4548" s="41" t="s">
        <v>36627</v>
      </c>
      <c r="H4548" s="41" t="s">
        <v>36628</v>
      </c>
      <c r="I4548" s="41" t="s">
        <v>36629</v>
      </c>
      <c r="J4548" s="41" t="s">
        <v>36630</v>
      </c>
      <c r="K4548" s="41" t="s">
        <v>36631</v>
      </c>
      <c r="L4548" s="41" t="s">
        <v>891</v>
      </c>
    </row>
    <row r="4549" spans="1:19" x14ac:dyDescent="0.25">
      <c r="A4549" s="41" t="s">
        <v>23</v>
      </c>
      <c r="B4549" s="41" t="s">
        <v>36632</v>
      </c>
      <c r="D4549" s="41" t="s">
        <v>36633</v>
      </c>
      <c r="F4549" s="41" t="s">
        <v>36634</v>
      </c>
      <c r="G4549" s="41" t="s">
        <v>36635</v>
      </c>
      <c r="H4549" s="41" t="s">
        <v>36636</v>
      </c>
      <c r="I4549" s="41" t="s">
        <v>36637</v>
      </c>
      <c r="J4549" s="41" t="s">
        <v>36638</v>
      </c>
      <c r="K4549" s="41" t="s">
        <v>36639</v>
      </c>
      <c r="L4549" s="41" t="s">
        <v>1076</v>
      </c>
    </row>
    <row r="4550" spans="1:19" x14ac:dyDescent="0.25">
      <c r="A4550" s="41" t="s">
        <v>23</v>
      </c>
      <c r="B4550" s="41" t="s">
        <v>36640</v>
      </c>
      <c r="D4550" s="41" t="s">
        <v>36641</v>
      </c>
      <c r="F4550" s="41" t="s">
        <v>36642</v>
      </c>
      <c r="G4550" s="41" t="s">
        <v>36643</v>
      </c>
      <c r="H4550" s="41" t="s">
        <v>36644</v>
      </c>
      <c r="I4550" s="41" t="s">
        <v>36645</v>
      </c>
      <c r="J4550" s="41" t="s">
        <v>36646</v>
      </c>
      <c r="K4550" s="41" t="s">
        <v>36647</v>
      </c>
      <c r="L4550" s="41" t="s">
        <v>1085</v>
      </c>
    </row>
    <row r="4551" spans="1:19" x14ac:dyDescent="0.25">
      <c r="A4551" s="41" t="s">
        <v>23</v>
      </c>
      <c r="B4551" s="41" t="s">
        <v>36648</v>
      </c>
      <c r="D4551" s="41" t="s">
        <v>36649</v>
      </c>
      <c r="F4551" s="41" t="s">
        <v>36650</v>
      </c>
      <c r="G4551" s="41" t="s">
        <v>36651</v>
      </c>
      <c r="H4551" s="41" t="s">
        <v>36652</v>
      </c>
      <c r="I4551" s="41" t="s">
        <v>36653</v>
      </c>
      <c r="J4551" s="41" t="s">
        <v>36654</v>
      </c>
      <c r="K4551" s="41" t="s">
        <v>36655</v>
      </c>
      <c r="L4551" s="41" t="s">
        <v>1094</v>
      </c>
    </row>
    <row r="4552" spans="1:19" x14ac:dyDescent="0.25">
      <c r="A4552" s="41" t="s">
        <v>908</v>
      </c>
      <c r="B4552" s="41" t="s">
        <v>36656</v>
      </c>
    </row>
    <row r="4553" spans="1:19" x14ac:dyDescent="0.25">
      <c r="A4553" s="41" t="s">
        <v>23</v>
      </c>
      <c r="B4553" s="41" t="s">
        <v>36657</v>
      </c>
      <c r="F4553" s="41" t="s">
        <v>36658</v>
      </c>
      <c r="G4553" s="41" t="s">
        <v>36659</v>
      </c>
      <c r="H4553" s="41" t="s">
        <v>36660</v>
      </c>
      <c r="I4553" s="41" t="s">
        <v>36661</v>
      </c>
      <c r="J4553" s="41" t="s">
        <v>36662</v>
      </c>
      <c r="L4553" s="41" t="s">
        <v>4</v>
      </c>
    </row>
    <row r="4554" spans="1:19" x14ac:dyDescent="0.25">
      <c r="A4554" s="41" t="s">
        <v>23</v>
      </c>
      <c r="B4554" s="41" t="s">
        <v>36663</v>
      </c>
      <c r="D4554" s="41" t="s">
        <v>501</v>
      </c>
      <c r="E4554" s="41" t="s">
        <v>36665</v>
      </c>
      <c r="F4554" s="41" t="s">
        <v>36666</v>
      </c>
      <c r="G4554" s="41" t="s">
        <v>36667</v>
      </c>
      <c r="H4554" s="41" t="s">
        <v>36668</v>
      </c>
      <c r="I4554" s="41" t="s">
        <v>36669</v>
      </c>
      <c r="J4554" s="41" t="s">
        <v>36670</v>
      </c>
      <c r="K4554" s="41" t="s">
        <v>36671</v>
      </c>
      <c r="L4554" s="41" t="s">
        <v>36672</v>
      </c>
      <c r="M4554" s="41" t="s">
        <v>36673</v>
      </c>
      <c r="N4554" s="41" t="s">
        <v>36674</v>
      </c>
      <c r="O4554" s="41" t="s">
        <v>36675</v>
      </c>
      <c r="P4554" s="41" t="s">
        <v>36676</v>
      </c>
      <c r="Q4554" s="41" t="s">
        <v>36677</v>
      </c>
      <c r="R4554" s="41" t="s">
        <v>36678</v>
      </c>
      <c r="S4554" s="41" t="s">
        <v>36679</v>
      </c>
    </row>
    <row r="4555" spans="1:19" x14ac:dyDescent="0.25">
      <c r="A4555" s="41" t="s">
        <v>23</v>
      </c>
      <c r="B4555" s="41" t="s">
        <v>36680</v>
      </c>
      <c r="D4555" s="41" t="s">
        <v>36681</v>
      </c>
      <c r="F4555" s="41" t="s">
        <v>36682</v>
      </c>
      <c r="G4555" s="41" t="s">
        <v>36683</v>
      </c>
      <c r="H4555" s="41" t="s">
        <v>36684</v>
      </c>
      <c r="I4555" s="41" t="s">
        <v>36685</v>
      </c>
      <c r="J4555" s="41" t="s">
        <v>36686</v>
      </c>
      <c r="K4555" s="41" t="s">
        <v>36687</v>
      </c>
      <c r="L4555" s="41" t="s">
        <v>891</v>
      </c>
    </row>
    <row r="4556" spans="1:19" x14ac:dyDescent="0.25">
      <c r="A4556" s="41" t="s">
        <v>23</v>
      </c>
      <c r="B4556" s="41" t="s">
        <v>36688</v>
      </c>
      <c r="D4556" s="41" t="s">
        <v>36689</v>
      </c>
      <c r="F4556" s="41" t="s">
        <v>36690</v>
      </c>
      <c r="G4556" s="41" t="s">
        <v>36691</v>
      </c>
      <c r="H4556" s="41" t="s">
        <v>36692</v>
      </c>
      <c r="I4556" s="41" t="s">
        <v>36693</v>
      </c>
      <c r="J4556" s="41" t="s">
        <v>36694</v>
      </c>
      <c r="K4556" s="41" t="s">
        <v>36695</v>
      </c>
      <c r="L4556" s="41" t="s">
        <v>1076</v>
      </c>
    </row>
    <row r="4557" spans="1:19" x14ac:dyDescent="0.25">
      <c r="A4557" s="41" t="s">
        <v>23</v>
      </c>
      <c r="B4557" s="41" t="s">
        <v>36696</v>
      </c>
      <c r="D4557" s="41" t="s">
        <v>36697</v>
      </c>
      <c r="F4557" s="41" t="s">
        <v>36698</v>
      </c>
      <c r="G4557" s="41" t="s">
        <v>36699</v>
      </c>
      <c r="H4557" s="41" t="s">
        <v>36700</v>
      </c>
      <c r="I4557" s="41" t="s">
        <v>36701</v>
      </c>
      <c r="J4557" s="41" t="s">
        <v>36702</v>
      </c>
      <c r="K4557" s="41" t="s">
        <v>36703</v>
      </c>
      <c r="L4557" s="41" t="s">
        <v>1085</v>
      </c>
    </row>
    <row r="4558" spans="1:19" x14ac:dyDescent="0.25">
      <c r="A4558" s="41" t="s">
        <v>23</v>
      </c>
      <c r="B4558" s="41" t="s">
        <v>36704</v>
      </c>
      <c r="D4558" s="41" t="s">
        <v>36705</v>
      </c>
      <c r="F4558" s="41" t="s">
        <v>36706</v>
      </c>
      <c r="G4558" s="41" t="s">
        <v>36707</v>
      </c>
      <c r="H4558" s="41" t="s">
        <v>36708</v>
      </c>
      <c r="I4558" s="41" t="s">
        <v>36709</v>
      </c>
      <c r="J4558" s="41" t="s">
        <v>36710</v>
      </c>
      <c r="K4558" s="41" t="s">
        <v>36711</v>
      </c>
      <c r="L4558" s="41" t="s">
        <v>1094</v>
      </c>
    </row>
    <row r="4559" spans="1:19" x14ac:dyDescent="0.25">
      <c r="A4559" s="41" t="s">
        <v>908</v>
      </c>
      <c r="B4559" s="41" t="s">
        <v>36712</v>
      </c>
    </row>
    <row r="4560" spans="1:19" x14ac:dyDescent="0.25">
      <c r="A4560" s="41" t="s">
        <v>23</v>
      </c>
      <c r="B4560" s="41" t="s">
        <v>36713</v>
      </c>
      <c r="F4560" s="41" t="s">
        <v>36714</v>
      </c>
      <c r="G4560" s="41" t="s">
        <v>36715</v>
      </c>
      <c r="H4560" s="41" t="s">
        <v>36716</v>
      </c>
      <c r="I4560" s="41" t="s">
        <v>36717</v>
      </c>
      <c r="J4560" s="41" t="s">
        <v>36718</v>
      </c>
      <c r="L4560" s="41" t="s">
        <v>4</v>
      </c>
    </row>
    <row r="4561" spans="1:19" x14ac:dyDescent="0.25">
      <c r="A4561" s="41" t="s">
        <v>23</v>
      </c>
      <c r="B4561" s="41" t="s">
        <v>36719</v>
      </c>
      <c r="D4561" s="41" t="s">
        <v>36552</v>
      </c>
      <c r="E4561" s="41" t="s">
        <v>36721</v>
      </c>
      <c r="F4561" s="41" t="s">
        <v>36722</v>
      </c>
      <c r="G4561" s="41" t="s">
        <v>36723</v>
      </c>
      <c r="H4561" s="41" t="s">
        <v>36724</v>
      </c>
      <c r="I4561" s="41" t="s">
        <v>36725</v>
      </c>
      <c r="J4561" s="41" t="s">
        <v>36726</v>
      </c>
      <c r="K4561" s="41" t="s">
        <v>36727</v>
      </c>
      <c r="L4561" s="41" t="s">
        <v>36728</v>
      </c>
      <c r="M4561" s="41" t="s">
        <v>36729</v>
      </c>
      <c r="N4561" s="41" t="s">
        <v>36730</v>
      </c>
      <c r="O4561" s="41" t="s">
        <v>36731</v>
      </c>
      <c r="P4561" s="41" t="s">
        <v>36732</v>
      </c>
      <c r="Q4561" s="41" t="s">
        <v>36733</v>
      </c>
      <c r="R4561" s="41" t="s">
        <v>36734</v>
      </c>
      <c r="S4561" s="41" t="s">
        <v>36735</v>
      </c>
    </row>
    <row r="4562" spans="1:19" x14ac:dyDescent="0.25">
      <c r="A4562" s="41" t="s">
        <v>23</v>
      </c>
      <c r="B4562" s="41" t="s">
        <v>36736</v>
      </c>
      <c r="D4562" s="41" t="s">
        <v>36737</v>
      </c>
      <c r="F4562" s="41" t="s">
        <v>36738</v>
      </c>
      <c r="G4562" s="41" t="s">
        <v>36739</v>
      </c>
      <c r="H4562" s="41" t="s">
        <v>36740</v>
      </c>
      <c r="I4562" s="41" t="s">
        <v>36741</v>
      </c>
      <c r="J4562" s="41" t="s">
        <v>36742</v>
      </c>
      <c r="K4562" s="41" t="s">
        <v>36743</v>
      </c>
      <c r="L4562" s="41" t="s">
        <v>891</v>
      </c>
    </row>
    <row r="4563" spans="1:19" x14ac:dyDescent="0.25">
      <c r="A4563" s="41" t="s">
        <v>23</v>
      </c>
      <c r="B4563" s="41" t="s">
        <v>36744</v>
      </c>
      <c r="D4563" s="41" t="s">
        <v>36745</v>
      </c>
      <c r="F4563" s="41" t="s">
        <v>36746</v>
      </c>
      <c r="G4563" s="41" t="s">
        <v>36747</v>
      </c>
      <c r="H4563" s="41" t="s">
        <v>36748</v>
      </c>
      <c r="I4563" s="41" t="s">
        <v>36749</v>
      </c>
      <c r="J4563" s="41" t="s">
        <v>36750</v>
      </c>
      <c r="K4563" s="41" t="s">
        <v>36751</v>
      </c>
      <c r="L4563" s="41" t="s">
        <v>1076</v>
      </c>
    </row>
    <row r="4564" spans="1:19" x14ac:dyDescent="0.25">
      <c r="A4564" s="41" t="s">
        <v>23</v>
      </c>
      <c r="B4564" s="41" t="s">
        <v>36752</v>
      </c>
      <c r="D4564" s="41" t="s">
        <v>36753</v>
      </c>
      <c r="F4564" s="41" t="s">
        <v>36754</v>
      </c>
      <c r="G4564" s="41" t="s">
        <v>36755</v>
      </c>
      <c r="H4564" s="41" t="s">
        <v>36756</v>
      </c>
      <c r="I4564" s="41" t="s">
        <v>36757</v>
      </c>
      <c r="J4564" s="41" t="s">
        <v>36758</v>
      </c>
      <c r="K4564" s="41" t="s">
        <v>36759</v>
      </c>
      <c r="L4564" s="41" t="s">
        <v>1085</v>
      </c>
    </row>
    <row r="4565" spans="1:19" x14ac:dyDescent="0.25">
      <c r="A4565" s="41" t="s">
        <v>23</v>
      </c>
      <c r="B4565" s="41" t="s">
        <v>36760</v>
      </c>
      <c r="D4565" s="41" t="s">
        <v>36761</v>
      </c>
      <c r="F4565" s="41" t="s">
        <v>36762</v>
      </c>
      <c r="G4565" s="41" t="s">
        <v>36763</v>
      </c>
      <c r="H4565" s="41" t="s">
        <v>36764</v>
      </c>
      <c r="I4565" s="41" t="s">
        <v>36765</v>
      </c>
      <c r="J4565" s="41" t="s">
        <v>36766</v>
      </c>
      <c r="K4565" s="41" t="s">
        <v>36767</v>
      </c>
      <c r="L4565" s="41" t="s">
        <v>1094</v>
      </c>
    </row>
    <row r="4566" spans="1:19" x14ac:dyDescent="0.25">
      <c r="A4566" s="41" t="s">
        <v>908</v>
      </c>
      <c r="B4566" s="41" t="s">
        <v>36768</v>
      </c>
    </row>
    <row r="4567" spans="1:19" x14ac:dyDescent="0.25">
      <c r="A4567" s="41" t="s">
        <v>23</v>
      </c>
      <c r="B4567" s="41" t="s">
        <v>36769</v>
      </c>
      <c r="F4567" s="41" t="s">
        <v>36770</v>
      </c>
      <c r="G4567" s="41" t="s">
        <v>36771</v>
      </c>
      <c r="H4567" s="41" t="s">
        <v>36772</v>
      </c>
      <c r="I4567" s="41" t="s">
        <v>36773</v>
      </c>
      <c r="J4567" s="41" t="s">
        <v>36774</v>
      </c>
      <c r="L4567" s="41" t="s">
        <v>4</v>
      </c>
    </row>
    <row r="4568" spans="1:19" x14ac:dyDescent="0.25">
      <c r="A4568" s="41" t="s">
        <v>23</v>
      </c>
      <c r="B4568" s="41" t="s">
        <v>36775</v>
      </c>
      <c r="D4568" s="41" t="s">
        <v>36608</v>
      </c>
      <c r="E4568" s="41" t="s">
        <v>36777</v>
      </c>
      <c r="F4568" s="41" t="s">
        <v>36778</v>
      </c>
      <c r="G4568" s="41" t="s">
        <v>36779</v>
      </c>
      <c r="H4568" s="41" t="s">
        <v>36780</v>
      </c>
      <c r="I4568" s="41" t="s">
        <v>36781</v>
      </c>
      <c r="J4568" s="41" t="s">
        <v>36782</v>
      </c>
      <c r="K4568" s="41" t="s">
        <v>36783</v>
      </c>
      <c r="L4568" s="41" t="s">
        <v>36784</v>
      </c>
      <c r="M4568" s="41" t="s">
        <v>36785</v>
      </c>
      <c r="N4568" s="41" t="s">
        <v>36786</v>
      </c>
      <c r="O4568" s="41" t="s">
        <v>36787</v>
      </c>
      <c r="P4568" s="41" t="s">
        <v>36788</v>
      </c>
      <c r="Q4568" s="41" t="s">
        <v>36789</v>
      </c>
      <c r="R4568" s="41" t="s">
        <v>36790</v>
      </c>
      <c r="S4568" s="41" t="s">
        <v>36791</v>
      </c>
    </row>
    <row r="4569" spans="1:19" x14ac:dyDescent="0.25">
      <c r="A4569" s="41" t="s">
        <v>23</v>
      </c>
      <c r="B4569" s="41" t="s">
        <v>36792</v>
      </c>
      <c r="D4569" s="41" t="s">
        <v>36793</v>
      </c>
      <c r="F4569" s="41" t="s">
        <v>36794</v>
      </c>
      <c r="G4569" s="41" t="s">
        <v>36795</v>
      </c>
      <c r="H4569" s="41" t="s">
        <v>36796</v>
      </c>
      <c r="I4569" s="41" t="s">
        <v>36797</v>
      </c>
      <c r="J4569" s="41" t="s">
        <v>36798</v>
      </c>
      <c r="K4569" s="41" t="s">
        <v>36799</v>
      </c>
      <c r="L4569" s="41" t="s">
        <v>891</v>
      </c>
    </row>
    <row r="4570" spans="1:19" x14ac:dyDescent="0.25">
      <c r="A4570" s="41" t="s">
        <v>23</v>
      </c>
      <c r="B4570" s="41" t="s">
        <v>36800</v>
      </c>
      <c r="D4570" s="41" t="s">
        <v>36801</v>
      </c>
      <c r="F4570" s="41" t="s">
        <v>36802</v>
      </c>
      <c r="G4570" s="41" t="s">
        <v>36803</v>
      </c>
      <c r="H4570" s="41" t="s">
        <v>36804</v>
      </c>
      <c r="I4570" s="41" t="s">
        <v>36805</v>
      </c>
      <c r="J4570" s="41" t="s">
        <v>36806</v>
      </c>
      <c r="K4570" s="41" t="s">
        <v>36807</v>
      </c>
      <c r="L4570" s="41" t="s">
        <v>1076</v>
      </c>
    </row>
    <row r="4571" spans="1:19" x14ac:dyDescent="0.25">
      <c r="A4571" s="41" t="s">
        <v>23</v>
      </c>
      <c r="B4571" s="41" t="s">
        <v>36808</v>
      </c>
      <c r="D4571" s="41" t="s">
        <v>36809</v>
      </c>
      <c r="F4571" s="41" t="s">
        <v>36810</v>
      </c>
      <c r="G4571" s="41" t="s">
        <v>36811</v>
      </c>
      <c r="H4571" s="41" t="s">
        <v>36812</v>
      </c>
      <c r="I4571" s="41" t="s">
        <v>36813</v>
      </c>
      <c r="J4571" s="41" t="s">
        <v>36814</v>
      </c>
      <c r="K4571" s="41" t="s">
        <v>36815</v>
      </c>
      <c r="L4571" s="41" t="s">
        <v>1085</v>
      </c>
    </row>
    <row r="4572" spans="1:19" x14ac:dyDescent="0.25">
      <c r="A4572" s="41" t="s">
        <v>23</v>
      </c>
      <c r="B4572" s="41" t="s">
        <v>36816</v>
      </c>
      <c r="D4572" s="41" t="s">
        <v>36817</v>
      </c>
      <c r="F4572" s="41" t="s">
        <v>36818</v>
      </c>
      <c r="G4572" s="41" t="s">
        <v>36819</v>
      </c>
      <c r="H4572" s="41" t="s">
        <v>36820</v>
      </c>
      <c r="I4572" s="41" t="s">
        <v>36821</v>
      </c>
      <c r="J4572" s="41" t="s">
        <v>36822</v>
      </c>
      <c r="K4572" s="41" t="s">
        <v>36823</v>
      </c>
      <c r="L4572" s="41" t="s">
        <v>1094</v>
      </c>
    </row>
    <row r="4573" spans="1:19" x14ac:dyDescent="0.25">
      <c r="A4573" s="41" t="s">
        <v>908</v>
      </c>
      <c r="B4573" s="41" t="s">
        <v>36824</v>
      </c>
    </row>
    <row r="4574" spans="1:19" x14ac:dyDescent="0.25">
      <c r="A4574" s="41" t="s">
        <v>23</v>
      </c>
      <c r="B4574" s="41" t="s">
        <v>36825</v>
      </c>
      <c r="F4574" s="41" t="s">
        <v>36826</v>
      </c>
      <c r="G4574" s="41" t="s">
        <v>36827</v>
      </c>
      <c r="H4574" s="41" t="s">
        <v>36828</v>
      </c>
      <c r="I4574" s="41" t="s">
        <v>36829</v>
      </c>
      <c r="J4574" s="41" t="s">
        <v>36830</v>
      </c>
      <c r="L4574" s="41" t="s">
        <v>4</v>
      </c>
    </row>
    <row r="4575" spans="1:19" x14ac:dyDescent="0.25">
      <c r="A4575" s="41" t="s">
        <v>23</v>
      </c>
      <c r="B4575" s="41" t="s">
        <v>36831</v>
      </c>
      <c r="D4575" s="41" t="s">
        <v>36664</v>
      </c>
      <c r="E4575" s="41" t="s">
        <v>36833</v>
      </c>
      <c r="F4575" s="41" t="s">
        <v>36834</v>
      </c>
      <c r="G4575" s="41" t="s">
        <v>36835</v>
      </c>
      <c r="H4575" s="41" t="s">
        <v>36836</v>
      </c>
      <c r="I4575" s="41" t="s">
        <v>36837</v>
      </c>
      <c r="J4575" s="41" t="s">
        <v>36838</v>
      </c>
      <c r="K4575" s="41" t="s">
        <v>36839</v>
      </c>
      <c r="L4575" s="41" t="s">
        <v>36840</v>
      </c>
      <c r="M4575" s="41" t="s">
        <v>36841</v>
      </c>
      <c r="N4575" s="41" t="s">
        <v>36842</v>
      </c>
      <c r="O4575" s="41" t="s">
        <v>36843</v>
      </c>
      <c r="P4575" s="41" t="s">
        <v>36844</v>
      </c>
      <c r="Q4575" s="41" t="s">
        <v>36845</v>
      </c>
      <c r="R4575" s="41" t="s">
        <v>36846</v>
      </c>
      <c r="S4575" s="41" t="s">
        <v>36847</v>
      </c>
    </row>
    <row r="4576" spans="1:19" x14ac:dyDescent="0.25">
      <c r="A4576" s="41" t="s">
        <v>23</v>
      </c>
      <c r="B4576" s="41" t="s">
        <v>36848</v>
      </c>
      <c r="D4576" s="41" t="s">
        <v>36849</v>
      </c>
      <c r="F4576" s="41" t="s">
        <v>36850</v>
      </c>
      <c r="G4576" s="41" t="s">
        <v>36851</v>
      </c>
      <c r="H4576" s="41" t="s">
        <v>36852</v>
      </c>
      <c r="I4576" s="41" t="s">
        <v>36853</v>
      </c>
      <c r="J4576" s="41" t="s">
        <v>36854</v>
      </c>
      <c r="K4576" s="41" t="s">
        <v>36855</v>
      </c>
      <c r="L4576" s="41" t="s">
        <v>891</v>
      </c>
    </row>
    <row r="4577" spans="1:19" x14ac:dyDescent="0.25">
      <c r="A4577" s="41" t="s">
        <v>23</v>
      </c>
      <c r="B4577" s="41" t="s">
        <v>36856</v>
      </c>
      <c r="D4577" s="41" t="s">
        <v>36857</v>
      </c>
      <c r="F4577" s="41" t="s">
        <v>36858</v>
      </c>
      <c r="G4577" s="41" t="s">
        <v>36859</v>
      </c>
      <c r="H4577" s="41" t="s">
        <v>36860</v>
      </c>
      <c r="I4577" s="41" t="s">
        <v>36861</v>
      </c>
      <c r="J4577" s="41" t="s">
        <v>36862</v>
      </c>
      <c r="K4577" s="41" t="s">
        <v>36863</v>
      </c>
      <c r="L4577" s="41" t="s">
        <v>1076</v>
      </c>
    </row>
    <row r="4578" spans="1:19" x14ac:dyDescent="0.25">
      <c r="A4578" s="41" t="s">
        <v>23</v>
      </c>
      <c r="B4578" s="41" t="s">
        <v>36864</v>
      </c>
      <c r="D4578" s="41" t="s">
        <v>36865</v>
      </c>
      <c r="F4578" s="41" t="s">
        <v>36866</v>
      </c>
      <c r="G4578" s="41" t="s">
        <v>36867</v>
      </c>
      <c r="H4578" s="41" t="s">
        <v>36868</v>
      </c>
      <c r="I4578" s="41" t="s">
        <v>36869</v>
      </c>
      <c r="J4578" s="41" t="s">
        <v>36870</v>
      </c>
      <c r="K4578" s="41" t="s">
        <v>36871</v>
      </c>
      <c r="L4578" s="41" t="s">
        <v>1085</v>
      </c>
    </row>
    <row r="4579" spans="1:19" x14ac:dyDescent="0.25">
      <c r="A4579" s="41" t="s">
        <v>23</v>
      </c>
      <c r="B4579" s="41" t="s">
        <v>36872</v>
      </c>
      <c r="D4579" s="41" t="s">
        <v>36873</v>
      </c>
      <c r="F4579" s="41" t="s">
        <v>36874</v>
      </c>
      <c r="G4579" s="41" t="s">
        <v>36875</v>
      </c>
      <c r="H4579" s="41" t="s">
        <v>36876</v>
      </c>
      <c r="I4579" s="41" t="s">
        <v>36877</v>
      </c>
      <c r="J4579" s="41" t="s">
        <v>36878</v>
      </c>
      <c r="K4579" s="41" t="s">
        <v>36879</v>
      </c>
      <c r="L4579" s="41" t="s">
        <v>1094</v>
      </c>
    </row>
    <row r="4580" spans="1:19" x14ac:dyDescent="0.25">
      <c r="A4580" s="41" t="s">
        <v>908</v>
      </c>
      <c r="B4580" s="41" t="s">
        <v>36880</v>
      </c>
    </row>
    <row r="4581" spans="1:19" x14ac:dyDescent="0.25">
      <c r="A4581" s="41" t="s">
        <v>23</v>
      </c>
      <c r="B4581" s="41" t="s">
        <v>36881</v>
      </c>
      <c r="F4581" s="41" t="s">
        <v>36882</v>
      </c>
      <c r="G4581" s="41" t="s">
        <v>36883</v>
      </c>
      <c r="H4581" s="41" t="s">
        <v>36884</v>
      </c>
      <c r="I4581" s="41" t="s">
        <v>36885</v>
      </c>
      <c r="J4581" s="41" t="s">
        <v>36886</v>
      </c>
      <c r="L4581" s="41" t="s">
        <v>4</v>
      </c>
    </row>
    <row r="4582" spans="1:19" x14ac:dyDescent="0.25">
      <c r="A4582" s="41" t="s">
        <v>23</v>
      </c>
      <c r="B4582" s="41" t="s">
        <v>36887</v>
      </c>
      <c r="D4582" s="41" t="s">
        <v>36720</v>
      </c>
      <c r="E4582" s="41" t="s">
        <v>36889</v>
      </c>
      <c r="F4582" s="41" t="s">
        <v>36890</v>
      </c>
      <c r="G4582" s="41" t="s">
        <v>36891</v>
      </c>
      <c r="H4582" s="41" t="s">
        <v>36892</v>
      </c>
      <c r="I4582" s="41" t="s">
        <v>36893</v>
      </c>
      <c r="J4582" s="41" t="s">
        <v>36894</v>
      </c>
      <c r="K4582" s="41" t="s">
        <v>36895</v>
      </c>
      <c r="L4582" s="41" t="s">
        <v>36896</v>
      </c>
      <c r="M4582" s="41" t="s">
        <v>36897</v>
      </c>
      <c r="N4582" s="41" t="s">
        <v>36898</v>
      </c>
      <c r="O4582" s="41" t="s">
        <v>36899</v>
      </c>
      <c r="P4582" s="41" t="s">
        <v>36900</v>
      </c>
      <c r="Q4582" s="41" t="s">
        <v>36901</v>
      </c>
      <c r="R4582" s="41" t="s">
        <v>36902</v>
      </c>
      <c r="S4582" s="41" t="s">
        <v>36903</v>
      </c>
    </row>
    <row r="4583" spans="1:19" x14ac:dyDescent="0.25">
      <c r="A4583" s="41" t="s">
        <v>23</v>
      </c>
      <c r="B4583" s="41" t="s">
        <v>36904</v>
      </c>
      <c r="D4583" s="41" t="s">
        <v>36905</v>
      </c>
      <c r="F4583" s="41" t="s">
        <v>36906</v>
      </c>
      <c r="G4583" s="41" t="s">
        <v>36907</v>
      </c>
      <c r="H4583" s="41" t="s">
        <v>36908</v>
      </c>
      <c r="I4583" s="41" t="s">
        <v>36909</v>
      </c>
      <c r="J4583" s="41" t="s">
        <v>36910</v>
      </c>
      <c r="K4583" s="41" t="s">
        <v>36911</v>
      </c>
      <c r="L4583" s="41" t="s">
        <v>891</v>
      </c>
    </row>
    <row r="4584" spans="1:19" x14ac:dyDescent="0.25">
      <c r="A4584" s="41" t="s">
        <v>23</v>
      </c>
      <c r="B4584" s="41" t="s">
        <v>36912</v>
      </c>
      <c r="D4584" s="41" t="s">
        <v>36913</v>
      </c>
      <c r="F4584" s="41" t="s">
        <v>36914</v>
      </c>
      <c r="G4584" s="41" t="s">
        <v>36915</v>
      </c>
      <c r="H4584" s="41" t="s">
        <v>36916</v>
      </c>
      <c r="I4584" s="41" t="s">
        <v>36917</v>
      </c>
      <c r="J4584" s="41" t="s">
        <v>36918</v>
      </c>
      <c r="K4584" s="41" t="s">
        <v>36919</v>
      </c>
      <c r="L4584" s="41" t="s">
        <v>1076</v>
      </c>
    </row>
    <row r="4585" spans="1:19" x14ac:dyDescent="0.25">
      <c r="A4585" s="41" t="s">
        <v>23</v>
      </c>
      <c r="B4585" s="41" t="s">
        <v>36920</v>
      </c>
      <c r="D4585" s="41" t="s">
        <v>36921</v>
      </c>
      <c r="F4585" s="41" t="s">
        <v>36922</v>
      </c>
      <c r="G4585" s="41" t="s">
        <v>36923</v>
      </c>
      <c r="H4585" s="41" t="s">
        <v>36924</v>
      </c>
      <c r="I4585" s="41" t="s">
        <v>36925</v>
      </c>
      <c r="J4585" s="41" t="s">
        <v>36926</v>
      </c>
      <c r="K4585" s="41" t="s">
        <v>36927</v>
      </c>
      <c r="L4585" s="41" t="s">
        <v>1085</v>
      </c>
    </row>
    <row r="4586" spans="1:19" x14ac:dyDescent="0.25">
      <c r="A4586" s="41" t="s">
        <v>23</v>
      </c>
      <c r="B4586" s="41" t="s">
        <v>36928</v>
      </c>
      <c r="D4586" s="41" t="s">
        <v>36929</v>
      </c>
      <c r="F4586" s="41" t="s">
        <v>36930</v>
      </c>
      <c r="G4586" s="41" t="s">
        <v>36931</v>
      </c>
      <c r="H4586" s="41" t="s">
        <v>36932</v>
      </c>
      <c r="I4586" s="41" t="s">
        <v>36933</v>
      </c>
      <c r="J4586" s="41" t="s">
        <v>36934</v>
      </c>
      <c r="K4586" s="41" t="s">
        <v>36935</v>
      </c>
      <c r="L4586" s="41" t="s">
        <v>1094</v>
      </c>
    </row>
    <row r="4587" spans="1:19" x14ac:dyDescent="0.25">
      <c r="A4587" s="41" t="s">
        <v>908</v>
      </c>
      <c r="B4587" s="41" t="s">
        <v>36936</v>
      </c>
    </row>
    <row r="4588" spans="1:19" x14ac:dyDescent="0.25">
      <c r="A4588" s="41" t="s">
        <v>23</v>
      </c>
      <c r="B4588" s="41" t="s">
        <v>36937</v>
      </c>
      <c r="F4588" s="41" t="s">
        <v>36938</v>
      </c>
      <c r="G4588" s="41" t="s">
        <v>36939</v>
      </c>
      <c r="H4588" s="41" t="s">
        <v>36940</v>
      </c>
      <c r="I4588" s="41" t="s">
        <v>36941</v>
      </c>
      <c r="J4588" s="41" t="s">
        <v>36942</v>
      </c>
      <c r="L4588" s="41" t="s">
        <v>4</v>
      </c>
    </row>
    <row r="4589" spans="1:19" x14ac:dyDescent="0.25">
      <c r="A4589" s="41" t="s">
        <v>23</v>
      </c>
      <c r="B4589" s="41" t="s">
        <v>36943</v>
      </c>
      <c r="D4589" s="41" t="s">
        <v>36776</v>
      </c>
      <c r="E4589" s="41" t="s">
        <v>36945</v>
      </c>
      <c r="F4589" s="41" t="s">
        <v>36946</v>
      </c>
      <c r="G4589" s="41" t="s">
        <v>36947</v>
      </c>
      <c r="H4589" s="41" t="s">
        <v>36948</v>
      </c>
      <c r="I4589" s="41" t="s">
        <v>36949</v>
      </c>
      <c r="J4589" s="41" t="s">
        <v>36950</v>
      </c>
      <c r="K4589" s="41" t="s">
        <v>36951</v>
      </c>
      <c r="L4589" s="41" t="s">
        <v>36952</v>
      </c>
      <c r="M4589" s="41" t="s">
        <v>36953</v>
      </c>
      <c r="N4589" s="41" t="s">
        <v>36954</v>
      </c>
      <c r="O4589" s="41" t="s">
        <v>36955</v>
      </c>
      <c r="P4589" s="41" t="s">
        <v>36956</v>
      </c>
      <c r="Q4589" s="41" t="s">
        <v>36957</v>
      </c>
      <c r="R4589" s="41" t="s">
        <v>36958</v>
      </c>
      <c r="S4589" s="41" t="s">
        <v>36959</v>
      </c>
    </row>
    <row r="4590" spans="1:19" x14ac:dyDescent="0.25">
      <c r="A4590" s="41" t="s">
        <v>23</v>
      </c>
      <c r="B4590" s="41" t="s">
        <v>36960</v>
      </c>
      <c r="D4590" s="41" t="s">
        <v>36963</v>
      </c>
      <c r="F4590" s="41" t="s">
        <v>45111</v>
      </c>
      <c r="G4590" s="41" t="s">
        <v>45112</v>
      </c>
      <c r="H4590" s="41" t="s">
        <v>45113</v>
      </c>
      <c r="I4590" s="41" t="s">
        <v>45114</v>
      </c>
      <c r="J4590" s="41" t="s">
        <v>45115</v>
      </c>
      <c r="K4590" s="41" t="s">
        <v>36961</v>
      </c>
      <c r="L4590" s="41" t="s">
        <v>891</v>
      </c>
    </row>
    <row r="4591" spans="1:19" x14ac:dyDescent="0.25">
      <c r="A4591" s="41" t="s">
        <v>23</v>
      </c>
      <c r="B4591" s="41" t="s">
        <v>36962</v>
      </c>
      <c r="D4591" s="41" t="s">
        <v>36971</v>
      </c>
      <c r="F4591" s="41" t="s">
        <v>36964</v>
      </c>
      <c r="G4591" s="41" t="s">
        <v>36965</v>
      </c>
      <c r="H4591" s="41" t="s">
        <v>36966</v>
      </c>
      <c r="I4591" s="41" t="s">
        <v>36967</v>
      </c>
      <c r="J4591" s="41" t="s">
        <v>36968</v>
      </c>
      <c r="K4591" s="41" t="s">
        <v>36969</v>
      </c>
      <c r="L4591" s="41" t="s">
        <v>1076</v>
      </c>
    </row>
    <row r="4592" spans="1:19" x14ac:dyDescent="0.25">
      <c r="A4592" s="41" t="s">
        <v>23</v>
      </c>
      <c r="B4592" s="41" t="s">
        <v>36970</v>
      </c>
      <c r="D4592" s="41" t="s">
        <v>36979</v>
      </c>
      <c r="F4592" s="41" t="s">
        <v>36972</v>
      </c>
      <c r="G4592" s="41" t="s">
        <v>36973</v>
      </c>
      <c r="H4592" s="41" t="s">
        <v>36974</v>
      </c>
      <c r="I4592" s="41" t="s">
        <v>36975</v>
      </c>
      <c r="J4592" s="41" t="s">
        <v>36976</v>
      </c>
      <c r="K4592" s="41" t="s">
        <v>36977</v>
      </c>
      <c r="L4592" s="41" t="s">
        <v>1085</v>
      </c>
    </row>
    <row r="4593" spans="1:19" x14ac:dyDescent="0.25">
      <c r="A4593" s="41" t="s">
        <v>23</v>
      </c>
      <c r="B4593" s="41" t="s">
        <v>36978</v>
      </c>
      <c r="D4593" s="41" t="s">
        <v>36986</v>
      </c>
      <c r="F4593" s="41" t="s">
        <v>36980</v>
      </c>
      <c r="G4593" s="41" t="s">
        <v>36981</v>
      </c>
      <c r="H4593" s="41" t="s">
        <v>36982</v>
      </c>
      <c r="I4593" s="41" t="s">
        <v>36983</v>
      </c>
      <c r="J4593" s="41" t="s">
        <v>36984</v>
      </c>
      <c r="K4593" s="41" t="s">
        <v>36985</v>
      </c>
      <c r="L4593" s="41" t="s">
        <v>1094</v>
      </c>
    </row>
    <row r="4594" spans="1:19" x14ac:dyDescent="0.25">
      <c r="A4594" s="41" t="s">
        <v>908</v>
      </c>
      <c r="B4594" s="41" t="s">
        <v>45116</v>
      </c>
    </row>
    <row r="4595" spans="1:19" x14ac:dyDescent="0.25">
      <c r="A4595" s="41" t="s">
        <v>23</v>
      </c>
      <c r="B4595" s="41" t="s">
        <v>45117</v>
      </c>
      <c r="F4595" s="41" t="s">
        <v>45118</v>
      </c>
      <c r="G4595" s="41" t="s">
        <v>45119</v>
      </c>
      <c r="H4595" s="41" t="s">
        <v>45120</v>
      </c>
      <c r="I4595" s="41" t="s">
        <v>45121</v>
      </c>
      <c r="J4595" s="41" t="s">
        <v>45122</v>
      </c>
      <c r="L4595" s="41" t="s">
        <v>4</v>
      </c>
    </row>
    <row r="4596" spans="1:19" x14ac:dyDescent="0.25">
      <c r="A4596" s="41" t="s">
        <v>23</v>
      </c>
      <c r="B4596" s="41" t="s">
        <v>45123</v>
      </c>
      <c r="D4596" s="41" t="s">
        <v>36832</v>
      </c>
      <c r="E4596" s="41" t="s">
        <v>45124</v>
      </c>
      <c r="F4596" s="41" t="s">
        <v>45125</v>
      </c>
      <c r="G4596" s="41" t="s">
        <v>45126</v>
      </c>
      <c r="H4596" s="41" t="s">
        <v>45127</v>
      </c>
      <c r="I4596" s="41" t="s">
        <v>45128</v>
      </c>
      <c r="J4596" s="41" t="s">
        <v>45129</v>
      </c>
      <c r="K4596" s="41" t="s">
        <v>45130</v>
      </c>
      <c r="L4596" s="41" t="s">
        <v>45131</v>
      </c>
      <c r="M4596" s="41" t="s">
        <v>45132</v>
      </c>
      <c r="N4596" s="41" t="s">
        <v>45133</v>
      </c>
      <c r="O4596" s="41" t="s">
        <v>45134</v>
      </c>
      <c r="P4596" s="41" t="s">
        <v>45135</v>
      </c>
      <c r="Q4596" s="41" t="s">
        <v>45136</v>
      </c>
      <c r="R4596" s="41" t="s">
        <v>45137</v>
      </c>
      <c r="S4596" s="41" t="s">
        <v>45138</v>
      </c>
    </row>
    <row r="4597" spans="1:19" x14ac:dyDescent="0.25">
      <c r="A4597" s="41" t="s">
        <v>23</v>
      </c>
      <c r="B4597" s="41" t="s">
        <v>36987</v>
      </c>
      <c r="D4597" s="41" t="s">
        <v>45139</v>
      </c>
      <c r="F4597" s="41" t="s">
        <v>45140</v>
      </c>
      <c r="G4597" s="41" t="s">
        <v>45141</v>
      </c>
      <c r="H4597" s="41" t="s">
        <v>45142</v>
      </c>
      <c r="I4597" s="41" t="s">
        <v>45143</v>
      </c>
      <c r="J4597" s="41" t="s">
        <v>45144</v>
      </c>
      <c r="K4597" s="41" t="s">
        <v>36989</v>
      </c>
      <c r="L4597" s="41" t="s">
        <v>891</v>
      </c>
    </row>
    <row r="4598" spans="1:19" x14ac:dyDescent="0.25">
      <c r="A4598" s="41" t="s">
        <v>23</v>
      </c>
      <c r="B4598" s="41" t="s">
        <v>36990</v>
      </c>
      <c r="D4598" s="41" t="s">
        <v>36991</v>
      </c>
      <c r="F4598" s="41" t="s">
        <v>36992</v>
      </c>
      <c r="G4598" s="41" t="s">
        <v>36993</v>
      </c>
      <c r="H4598" s="41" t="s">
        <v>36994</v>
      </c>
      <c r="I4598" s="41" t="s">
        <v>36995</v>
      </c>
      <c r="J4598" s="41" t="s">
        <v>36996</v>
      </c>
      <c r="K4598" s="41" t="s">
        <v>36997</v>
      </c>
      <c r="L4598" s="41" t="s">
        <v>1076</v>
      </c>
    </row>
    <row r="4599" spans="1:19" x14ac:dyDescent="0.25">
      <c r="A4599" s="41" t="s">
        <v>23</v>
      </c>
      <c r="B4599" s="41" t="s">
        <v>36998</v>
      </c>
      <c r="D4599" s="41" t="s">
        <v>36999</v>
      </c>
      <c r="F4599" s="41" t="s">
        <v>37000</v>
      </c>
      <c r="G4599" s="41" t="s">
        <v>37001</v>
      </c>
      <c r="H4599" s="41" t="s">
        <v>37002</v>
      </c>
      <c r="I4599" s="41" t="s">
        <v>37003</v>
      </c>
      <c r="J4599" s="41" t="s">
        <v>37004</v>
      </c>
      <c r="K4599" s="41" t="s">
        <v>37005</v>
      </c>
      <c r="L4599" s="41" t="s">
        <v>1085</v>
      </c>
    </row>
    <row r="4600" spans="1:19" x14ac:dyDescent="0.25">
      <c r="A4600" s="41" t="s">
        <v>23</v>
      </c>
      <c r="B4600" s="41" t="s">
        <v>37006</v>
      </c>
      <c r="D4600" s="41" t="s">
        <v>37007</v>
      </c>
      <c r="F4600" s="41" t="s">
        <v>37008</v>
      </c>
      <c r="G4600" s="41" t="s">
        <v>37009</v>
      </c>
      <c r="H4600" s="41" t="s">
        <v>37010</v>
      </c>
      <c r="I4600" s="41" t="s">
        <v>37011</v>
      </c>
      <c r="J4600" s="41" t="s">
        <v>37012</v>
      </c>
      <c r="K4600" s="41" t="s">
        <v>37013</v>
      </c>
      <c r="L4600" s="41" t="s">
        <v>1094</v>
      </c>
    </row>
    <row r="4601" spans="1:19" x14ac:dyDescent="0.25">
      <c r="A4601" s="41" t="s">
        <v>908</v>
      </c>
      <c r="B4601" s="41" t="s">
        <v>45145</v>
      </c>
    </row>
    <row r="4602" spans="1:19" x14ac:dyDescent="0.25">
      <c r="A4602" s="41" t="s">
        <v>23</v>
      </c>
      <c r="B4602" s="41" t="s">
        <v>45146</v>
      </c>
      <c r="F4602" s="41" t="s">
        <v>45147</v>
      </c>
      <c r="G4602" s="41" t="s">
        <v>45148</v>
      </c>
      <c r="H4602" s="41" t="s">
        <v>45149</v>
      </c>
      <c r="I4602" s="41" t="s">
        <v>45150</v>
      </c>
      <c r="J4602" s="41" t="s">
        <v>45151</v>
      </c>
      <c r="L4602" s="41" t="s">
        <v>4</v>
      </c>
    </row>
    <row r="4603" spans="1:19" x14ac:dyDescent="0.25">
      <c r="A4603" s="41" t="s">
        <v>23</v>
      </c>
      <c r="B4603" s="41" t="s">
        <v>45152</v>
      </c>
      <c r="D4603" s="41" t="s">
        <v>36888</v>
      </c>
      <c r="E4603" s="41" t="s">
        <v>45153</v>
      </c>
      <c r="F4603" s="41" t="s">
        <v>45154</v>
      </c>
      <c r="G4603" s="41" t="s">
        <v>45155</v>
      </c>
      <c r="H4603" s="41" t="s">
        <v>45156</v>
      </c>
      <c r="I4603" s="41" t="s">
        <v>45157</v>
      </c>
      <c r="J4603" s="41" t="s">
        <v>45158</v>
      </c>
      <c r="K4603" s="41" t="s">
        <v>45159</v>
      </c>
      <c r="L4603" s="41" t="s">
        <v>45160</v>
      </c>
      <c r="M4603" s="41" t="s">
        <v>45161</v>
      </c>
      <c r="N4603" s="41" t="s">
        <v>45162</v>
      </c>
      <c r="O4603" s="41" t="s">
        <v>45163</v>
      </c>
      <c r="P4603" s="41" t="s">
        <v>45164</v>
      </c>
      <c r="Q4603" s="41" t="s">
        <v>45165</v>
      </c>
      <c r="R4603" s="41" t="s">
        <v>45166</v>
      </c>
      <c r="S4603" s="41" t="s">
        <v>45167</v>
      </c>
    </row>
    <row r="4604" spans="1:19" x14ac:dyDescent="0.25">
      <c r="A4604" s="41" t="s">
        <v>23</v>
      </c>
      <c r="B4604" s="41" t="s">
        <v>37014</v>
      </c>
      <c r="D4604" s="41" t="s">
        <v>45168</v>
      </c>
      <c r="F4604" s="41" t="s">
        <v>45169</v>
      </c>
      <c r="G4604" s="41" t="s">
        <v>45170</v>
      </c>
      <c r="H4604" s="41" t="s">
        <v>45171</v>
      </c>
      <c r="I4604" s="41" t="s">
        <v>45172</v>
      </c>
      <c r="J4604" s="41" t="s">
        <v>45173</v>
      </c>
      <c r="K4604" s="41" t="s">
        <v>37016</v>
      </c>
      <c r="L4604" s="41" t="s">
        <v>891</v>
      </c>
    </row>
    <row r="4605" spans="1:19" x14ac:dyDescent="0.25">
      <c r="A4605" s="41" t="s">
        <v>23</v>
      </c>
      <c r="B4605" s="41" t="s">
        <v>37017</v>
      </c>
      <c r="D4605" s="41" t="s">
        <v>37018</v>
      </c>
      <c r="F4605" s="41" t="s">
        <v>37019</v>
      </c>
      <c r="G4605" s="41" t="s">
        <v>37020</v>
      </c>
      <c r="H4605" s="41" t="s">
        <v>37021</v>
      </c>
      <c r="I4605" s="41" t="s">
        <v>37022</v>
      </c>
      <c r="J4605" s="41" t="s">
        <v>37023</v>
      </c>
      <c r="K4605" s="41" t="s">
        <v>37024</v>
      </c>
      <c r="L4605" s="41" t="s">
        <v>1076</v>
      </c>
    </row>
    <row r="4606" spans="1:19" x14ac:dyDescent="0.25">
      <c r="A4606" s="41" t="s">
        <v>23</v>
      </c>
      <c r="B4606" s="41" t="s">
        <v>37025</v>
      </c>
      <c r="D4606" s="41" t="s">
        <v>37026</v>
      </c>
      <c r="F4606" s="41" t="s">
        <v>37027</v>
      </c>
      <c r="G4606" s="41" t="s">
        <v>37028</v>
      </c>
      <c r="H4606" s="41" t="s">
        <v>37029</v>
      </c>
      <c r="I4606" s="41" t="s">
        <v>37030</v>
      </c>
      <c r="J4606" s="41" t="s">
        <v>37031</v>
      </c>
      <c r="K4606" s="41" t="s">
        <v>37032</v>
      </c>
      <c r="L4606" s="41" t="s">
        <v>1085</v>
      </c>
    </row>
    <row r="4607" spans="1:19" x14ac:dyDescent="0.25">
      <c r="A4607" s="41" t="s">
        <v>23</v>
      </c>
      <c r="B4607" s="41" t="s">
        <v>37033</v>
      </c>
      <c r="D4607" s="41" t="s">
        <v>37034</v>
      </c>
      <c r="F4607" s="41" t="s">
        <v>37035</v>
      </c>
      <c r="G4607" s="41" t="s">
        <v>37036</v>
      </c>
      <c r="H4607" s="41" t="s">
        <v>37037</v>
      </c>
      <c r="I4607" s="41" t="s">
        <v>37038</v>
      </c>
      <c r="J4607" s="41" t="s">
        <v>37039</v>
      </c>
      <c r="K4607" s="41" t="s">
        <v>37040</v>
      </c>
      <c r="L4607" s="41" t="s">
        <v>1094</v>
      </c>
    </row>
    <row r="4608" spans="1:19" x14ac:dyDescent="0.25">
      <c r="A4608" s="41" t="s">
        <v>908</v>
      </c>
      <c r="B4608" s="41" t="s">
        <v>45174</v>
      </c>
    </row>
    <row r="4609" spans="1:19" x14ac:dyDescent="0.25">
      <c r="A4609" s="41" t="s">
        <v>23</v>
      </c>
      <c r="B4609" s="41" t="s">
        <v>45175</v>
      </c>
      <c r="F4609" s="41" t="s">
        <v>45176</v>
      </c>
      <c r="G4609" s="41" t="s">
        <v>45177</v>
      </c>
      <c r="H4609" s="41" t="s">
        <v>45178</v>
      </c>
      <c r="I4609" s="41" t="s">
        <v>45179</v>
      </c>
      <c r="J4609" s="41" t="s">
        <v>45180</v>
      </c>
      <c r="L4609" s="41" t="s">
        <v>4</v>
      </c>
    </row>
    <row r="4610" spans="1:19" x14ac:dyDescent="0.25">
      <c r="A4610" s="41" t="s">
        <v>23</v>
      </c>
      <c r="B4610" s="41" t="s">
        <v>45181</v>
      </c>
      <c r="D4610" s="41" t="s">
        <v>36944</v>
      </c>
      <c r="E4610" s="41" t="s">
        <v>45182</v>
      </c>
      <c r="F4610" s="41" t="s">
        <v>45183</v>
      </c>
      <c r="G4610" s="41" t="s">
        <v>45184</v>
      </c>
      <c r="H4610" s="41" t="s">
        <v>45185</v>
      </c>
      <c r="I4610" s="41" t="s">
        <v>45186</v>
      </c>
      <c r="J4610" s="41" t="s">
        <v>45187</v>
      </c>
      <c r="K4610" s="41" t="s">
        <v>45188</v>
      </c>
      <c r="L4610" s="41" t="s">
        <v>45189</v>
      </c>
      <c r="M4610" s="41" t="s">
        <v>45190</v>
      </c>
      <c r="N4610" s="41" t="s">
        <v>45191</v>
      </c>
      <c r="O4610" s="41" t="s">
        <v>45192</v>
      </c>
      <c r="P4610" s="41" t="s">
        <v>45193</v>
      </c>
      <c r="Q4610" s="41" t="s">
        <v>45194</v>
      </c>
      <c r="R4610" s="41" t="s">
        <v>45195</v>
      </c>
      <c r="S4610" s="41" t="s">
        <v>45196</v>
      </c>
    </row>
    <row r="4611" spans="1:19" x14ac:dyDescent="0.25">
      <c r="A4611" s="41" t="s">
        <v>23</v>
      </c>
      <c r="B4611" s="41" t="s">
        <v>37041</v>
      </c>
      <c r="D4611" s="41" t="s">
        <v>36944</v>
      </c>
      <c r="E4611" s="41" t="s">
        <v>453</v>
      </c>
      <c r="F4611" s="41" t="s">
        <v>37043</v>
      </c>
      <c r="G4611" s="41" t="s">
        <v>37044</v>
      </c>
      <c r="H4611" s="41" t="s">
        <v>37045</v>
      </c>
      <c r="I4611" s="41" t="s">
        <v>37046</v>
      </c>
      <c r="J4611" s="41" t="s">
        <v>37047</v>
      </c>
      <c r="K4611" s="41" t="s">
        <v>37048</v>
      </c>
      <c r="L4611" s="41" t="s">
        <v>37049</v>
      </c>
      <c r="M4611" s="41" t="s">
        <v>37050</v>
      </c>
      <c r="N4611" s="41" t="s">
        <v>37051</v>
      </c>
      <c r="O4611" s="41" t="s">
        <v>37052</v>
      </c>
      <c r="P4611" s="41" t="s">
        <v>37053</v>
      </c>
      <c r="Q4611" s="41" t="s">
        <v>37054</v>
      </c>
      <c r="R4611" s="41" t="s">
        <v>37055</v>
      </c>
      <c r="S4611" s="41" t="s">
        <v>37056</v>
      </c>
    </row>
    <row r="4612" spans="1:19" x14ac:dyDescent="0.25">
      <c r="A4612" s="41" t="s">
        <v>23</v>
      </c>
      <c r="B4612" s="41" t="s">
        <v>37057</v>
      </c>
      <c r="D4612" s="41" t="s">
        <v>45197</v>
      </c>
      <c r="F4612" s="41" t="s">
        <v>37059</v>
      </c>
      <c r="G4612" s="41" t="s">
        <v>37060</v>
      </c>
      <c r="H4612" s="41" t="s">
        <v>37061</v>
      </c>
      <c r="I4612" s="41" t="s">
        <v>37062</v>
      </c>
      <c r="J4612" s="41" t="s">
        <v>37063</v>
      </c>
      <c r="K4612" s="41" t="s">
        <v>37064</v>
      </c>
      <c r="L4612" s="41" t="s">
        <v>891</v>
      </c>
    </row>
    <row r="4613" spans="1:19" x14ac:dyDescent="0.25">
      <c r="A4613" s="41" t="s">
        <v>23</v>
      </c>
      <c r="B4613" s="41" t="s">
        <v>37065</v>
      </c>
      <c r="D4613" s="41" t="s">
        <v>37058</v>
      </c>
      <c r="F4613" s="41" t="s">
        <v>37067</v>
      </c>
      <c r="G4613" s="41" t="s">
        <v>37068</v>
      </c>
      <c r="H4613" s="41" t="s">
        <v>37069</v>
      </c>
      <c r="I4613" s="41" t="s">
        <v>37070</v>
      </c>
      <c r="J4613" s="41" t="s">
        <v>37071</v>
      </c>
      <c r="K4613" s="41" t="s">
        <v>37072</v>
      </c>
      <c r="L4613" s="41" t="s">
        <v>1076</v>
      </c>
    </row>
    <row r="4614" spans="1:19" x14ac:dyDescent="0.25">
      <c r="A4614" s="41" t="s">
        <v>23</v>
      </c>
      <c r="B4614" s="41" t="s">
        <v>37073</v>
      </c>
      <c r="D4614" s="41" t="s">
        <v>37066</v>
      </c>
      <c r="F4614" s="41" t="s">
        <v>37075</v>
      </c>
      <c r="G4614" s="41" t="s">
        <v>37076</v>
      </c>
      <c r="H4614" s="41" t="s">
        <v>37077</v>
      </c>
      <c r="I4614" s="41" t="s">
        <v>37078</v>
      </c>
      <c r="J4614" s="41" t="s">
        <v>37079</v>
      </c>
      <c r="K4614" s="41" t="s">
        <v>37080</v>
      </c>
      <c r="L4614" s="41" t="s">
        <v>1085</v>
      </c>
    </row>
    <row r="4615" spans="1:19" x14ac:dyDescent="0.25">
      <c r="A4615" s="41" t="s">
        <v>23</v>
      </c>
      <c r="B4615" s="41" t="s">
        <v>37081</v>
      </c>
      <c r="D4615" s="41" t="s">
        <v>37074</v>
      </c>
      <c r="F4615" s="41" t="s">
        <v>37082</v>
      </c>
      <c r="G4615" s="41" t="s">
        <v>37083</v>
      </c>
      <c r="H4615" s="41" t="s">
        <v>37084</v>
      </c>
      <c r="I4615" s="41" t="s">
        <v>37085</v>
      </c>
      <c r="J4615" s="41" t="s">
        <v>37086</v>
      </c>
      <c r="K4615" s="41" t="s">
        <v>37087</v>
      </c>
      <c r="L4615" s="41" t="s">
        <v>1094</v>
      </c>
    </row>
    <row r="4616" spans="1:19" x14ac:dyDescent="0.25">
      <c r="A4616" s="41" t="s">
        <v>908</v>
      </c>
      <c r="B4616" s="41" t="s">
        <v>37088</v>
      </c>
    </row>
    <row r="4617" spans="1:19" x14ac:dyDescent="0.25">
      <c r="A4617" s="41" t="s">
        <v>23</v>
      </c>
      <c r="B4617" s="41" t="s">
        <v>37089</v>
      </c>
      <c r="F4617" s="41" t="s">
        <v>37090</v>
      </c>
      <c r="G4617" s="41" t="s">
        <v>37091</v>
      </c>
      <c r="H4617" s="41" t="s">
        <v>37092</v>
      </c>
      <c r="I4617" s="41" t="s">
        <v>37093</v>
      </c>
      <c r="J4617" s="41" t="s">
        <v>37094</v>
      </c>
      <c r="L4617" s="41" t="s">
        <v>4</v>
      </c>
    </row>
    <row r="4618" spans="1:19" x14ac:dyDescent="0.25">
      <c r="A4618" s="41" t="s">
        <v>23</v>
      </c>
      <c r="B4618" s="41" t="s">
        <v>37095</v>
      </c>
      <c r="D4618" s="41" t="s">
        <v>36988</v>
      </c>
      <c r="E4618" s="41" t="s">
        <v>37097</v>
      </c>
      <c r="F4618" s="41" t="s">
        <v>37098</v>
      </c>
      <c r="G4618" s="41" t="s">
        <v>37099</v>
      </c>
      <c r="H4618" s="41" t="s">
        <v>37100</v>
      </c>
      <c r="I4618" s="41" t="s">
        <v>37101</v>
      </c>
      <c r="J4618" s="41" t="s">
        <v>37102</v>
      </c>
      <c r="K4618" s="41" t="s">
        <v>37103</v>
      </c>
      <c r="L4618" s="41" t="s">
        <v>37104</v>
      </c>
      <c r="M4618" s="41" t="s">
        <v>37105</v>
      </c>
      <c r="N4618" s="41" t="s">
        <v>37106</v>
      </c>
      <c r="O4618" s="41" t="s">
        <v>37107</v>
      </c>
      <c r="P4618" s="41" t="s">
        <v>37108</v>
      </c>
      <c r="Q4618" s="41" t="s">
        <v>37109</v>
      </c>
      <c r="R4618" s="41" t="s">
        <v>37110</v>
      </c>
      <c r="S4618" s="41" t="s">
        <v>37111</v>
      </c>
    </row>
    <row r="4619" spans="1:19" x14ac:dyDescent="0.25">
      <c r="A4619" s="41" t="s">
        <v>23</v>
      </c>
      <c r="B4619" s="41" t="s">
        <v>37112</v>
      </c>
      <c r="D4619" s="41" t="s">
        <v>37113</v>
      </c>
      <c r="F4619" s="41" t="s">
        <v>37114</v>
      </c>
      <c r="G4619" s="41" t="s">
        <v>37115</v>
      </c>
      <c r="H4619" s="41" t="s">
        <v>37116</v>
      </c>
      <c r="I4619" s="41" t="s">
        <v>37117</v>
      </c>
      <c r="J4619" s="41" t="s">
        <v>37118</v>
      </c>
      <c r="K4619" s="41" t="s">
        <v>37119</v>
      </c>
      <c r="L4619" s="41" t="s">
        <v>891</v>
      </c>
    </row>
    <row r="4620" spans="1:19" x14ac:dyDescent="0.25">
      <c r="A4620" s="41" t="s">
        <v>23</v>
      </c>
      <c r="B4620" s="41" t="s">
        <v>37120</v>
      </c>
      <c r="D4620" s="41" t="s">
        <v>37121</v>
      </c>
      <c r="F4620" s="41" t="s">
        <v>37122</v>
      </c>
      <c r="G4620" s="41" t="s">
        <v>37123</v>
      </c>
      <c r="H4620" s="41" t="s">
        <v>37124</v>
      </c>
      <c r="I4620" s="41" t="s">
        <v>37125</v>
      </c>
      <c r="J4620" s="41" t="s">
        <v>37126</v>
      </c>
      <c r="K4620" s="41" t="s">
        <v>37127</v>
      </c>
      <c r="L4620" s="41" t="s">
        <v>1076</v>
      </c>
    </row>
    <row r="4621" spans="1:19" x14ac:dyDescent="0.25">
      <c r="A4621" s="41" t="s">
        <v>23</v>
      </c>
      <c r="B4621" s="41" t="s">
        <v>37128</v>
      </c>
      <c r="D4621" s="41" t="s">
        <v>37129</v>
      </c>
      <c r="F4621" s="41" t="s">
        <v>37130</v>
      </c>
      <c r="G4621" s="41" t="s">
        <v>37131</v>
      </c>
      <c r="H4621" s="41" t="s">
        <v>37132</v>
      </c>
      <c r="I4621" s="41" t="s">
        <v>37133</v>
      </c>
      <c r="J4621" s="41" t="s">
        <v>37134</v>
      </c>
      <c r="K4621" s="41" t="s">
        <v>37135</v>
      </c>
      <c r="L4621" s="41" t="s">
        <v>1085</v>
      </c>
    </row>
    <row r="4622" spans="1:19" x14ac:dyDescent="0.25">
      <c r="A4622" s="41" t="s">
        <v>23</v>
      </c>
      <c r="B4622" s="41" t="s">
        <v>37136</v>
      </c>
      <c r="D4622" s="41" t="s">
        <v>37137</v>
      </c>
      <c r="F4622" s="41" t="s">
        <v>37138</v>
      </c>
      <c r="G4622" s="41" t="s">
        <v>37139</v>
      </c>
      <c r="H4622" s="41" t="s">
        <v>37140</v>
      </c>
      <c r="I4622" s="41" t="s">
        <v>37141</v>
      </c>
      <c r="J4622" s="41" t="s">
        <v>37142</v>
      </c>
      <c r="K4622" s="41" t="s">
        <v>37143</v>
      </c>
      <c r="L4622" s="41" t="s">
        <v>1094</v>
      </c>
    </row>
    <row r="4623" spans="1:19" x14ac:dyDescent="0.25">
      <c r="A4623" s="41" t="s">
        <v>908</v>
      </c>
      <c r="B4623" s="41" t="s">
        <v>37144</v>
      </c>
    </row>
    <row r="4624" spans="1:19" x14ac:dyDescent="0.25">
      <c r="A4624" s="41" t="s">
        <v>23</v>
      </c>
      <c r="B4624" s="41" t="s">
        <v>37145</v>
      </c>
      <c r="F4624" s="41" t="s">
        <v>37146</v>
      </c>
      <c r="G4624" s="41" t="s">
        <v>37147</v>
      </c>
      <c r="H4624" s="41" t="s">
        <v>37148</v>
      </c>
      <c r="I4624" s="41" t="s">
        <v>37149</v>
      </c>
      <c r="J4624" s="41" t="s">
        <v>37150</v>
      </c>
      <c r="L4624" s="41" t="s">
        <v>4</v>
      </c>
    </row>
    <row r="4625" spans="1:19" x14ac:dyDescent="0.25">
      <c r="A4625" s="41" t="s">
        <v>23</v>
      </c>
      <c r="B4625" s="41" t="s">
        <v>37151</v>
      </c>
      <c r="D4625" s="41" t="s">
        <v>37015</v>
      </c>
      <c r="E4625" s="41" t="s">
        <v>37153</v>
      </c>
      <c r="F4625" s="41" t="s">
        <v>37154</v>
      </c>
      <c r="G4625" s="41" t="s">
        <v>37155</v>
      </c>
      <c r="H4625" s="41" t="s">
        <v>37156</v>
      </c>
      <c r="I4625" s="41" t="s">
        <v>37157</v>
      </c>
      <c r="J4625" s="41" t="s">
        <v>37158</v>
      </c>
      <c r="K4625" s="41" t="s">
        <v>37159</v>
      </c>
      <c r="L4625" s="41" t="s">
        <v>37160</v>
      </c>
      <c r="M4625" s="41" t="s">
        <v>37161</v>
      </c>
      <c r="N4625" s="41" t="s">
        <v>37162</v>
      </c>
      <c r="O4625" s="41" t="s">
        <v>37163</v>
      </c>
      <c r="P4625" s="41" t="s">
        <v>37164</v>
      </c>
      <c r="Q4625" s="41" t="s">
        <v>37165</v>
      </c>
      <c r="R4625" s="41" t="s">
        <v>37166</v>
      </c>
      <c r="S4625" s="41" t="s">
        <v>37167</v>
      </c>
    </row>
    <row r="4626" spans="1:19" x14ac:dyDescent="0.25">
      <c r="A4626" s="41" t="s">
        <v>23</v>
      </c>
      <c r="B4626" s="41" t="s">
        <v>37168</v>
      </c>
      <c r="D4626" s="41" t="s">
        <v>37169</v>
      </c>
      <c r="F4626" s="41" t="s">
        <v>37170</v>
      </c>
      <c r="G4626" s="41" t="s">
        <v>37171</v>
      </c>
      <c r="H4626" s="41" t="s">
        <v>37172</v>
      </c>
      <c r="I4626" s="41" t="s">
        <v>37173</v>
      </c>
      <c r="J4626" s="41" t="s">
        <v>37174</v>
      </c>
      <c r="K4626" s="41" t="s">
        <v>37175</v>
      </c>
      <c r="L4626" s="41" t="s">
        <v>891</v>
      </c>
    </row>
    <row r="4627" spans="1:19" x14ac:dyDescent="0.25">
      <c r="A4627" s="41" t="s">
        <v>23</v>
      </c>
      <c r="B4627" s="41" t="s">
        <v>37176</v>
      </c>
      <c r="D4627" s="41" t="s">
        <v>37177</v>
      </c>
      <c r="F4627" s="41" t="s">
        <v>37178</v>
      </c>
      <c r="G4627" s="41" t="s">
        <v>37179</v>
      </c>
      <c r="H4627" s="41" t="s">
        <v>37180</v>
      </c>
      <c r="I4627" s="41" t="s">
        <v>37181</v>
      </c>
      <c r="J4627" s="41" t="s">
        <v>37182</v>
      </c>
      <c r="K4627" s="41" t="s">
        <v>37183</v>
      </c>
      <c r="L4627" s="41" t="s">
        <v>1076</v>
      </c>
    </row>
    <row r="4628" spans="1:19" x14ac:dyDescent="0.25">
      <c r="A4628" s="41" t="s">
        <v>23</v>
      </c>
      <c r="B4628" s="41" t="s">
        <v>37184</v>
      </c>
      <c r="D4628" s="41" t="s">
        <v>37185</v>
      </c>
      <c r="F4628" s="41" t="s">
        <v>37186</v>
      </c>
      <c r="G4628" s="41" t="s">
        <v>37187</v>
      </c>
      <c r="H4628" s="41" t="s">
        <v>37188</v>
      </c>
      <c r="I4628" s="41" t="s">
        <v>37189</v>
      </c>
      <c r="J4628" s="41" t="s">
        <v>37190</v>
      </c>
      <c r="K4628" s="41" t="s">
        <v>37191</v>
      </c>
      <c r="L4628" s="41" t="s">
        <v>1085</v>
      </c>
    </row>
    <row r="4629" spans="1:19" x14ac:dyDescent="0.25">
      <c r="A4629" s="41" t="s">
        <v>23</v>
      </c>
      <c r="B4629" s="41" t="s">
        <v>37192</v>
      </c>
      <c r="D4629" s="41" t="s">
        <v>37193</v>
      </c>
      <c r="F4629" s="41" t="s">
        <v>37194</v>
      </c>
      <c r="G4629" s="41" t="s">
        <v>37195</v>
      </c>
      <c r="H4629" s="41" t="s">
        <v>37196</v>
      </c>
      <c r="I4629" s="41" t="s">
        <v>37197</v>
      </c>
      <c r="J4629" s="41" t="s">
        <v>37198</v>
      </c>
      <c r="K4629" s="41" t="s">
        <v>37199</v>
      </c>
      <c r="L4629" s="41" t="s">
        <v>1094</v>
      </c>
    </row>
    <row r="4630" spans="1:19" x14ac:dyDescent="0.25">
      <c r="A4630" s="41" t="s">
        <v>908</v>
      </c>
      <c r="B4630" s="41" t="s">
        <v>37200</v>
      </c>
    </row>
    <row r="4631" spans="1:19" x14ac:dyDescent="0.25">
      <c r="A4631" s="41" t="s">
        <v>23</v>
      </c>
      <c r="B4631" s="41" t="s">
        <v>37201</v>
      </c>
      <c r="F4631" s="41" t="s">
        <v>37202</v>
      </c>
      <c r="G4631" s="41" t="s">
        <v>37203</v>
      </c>
      <c r="H4631" s="41" t="s">
        <v>37204</v>
      </c>
      <c r="I4631" s="41" t="s">
        <v>37205</v>
      </c>
      <c r="J4631" s="41" t="s">
        <v>37206</v>
      </c>
      <c r="L4631" s="41" t="s">
        <v>4</v>
      </c>
    </row>
    <row r="4632" spans="1:19" x14ac:dyDescent="0.25">
      <c r="A4632" s="41" t="s">
        <v>23</v>
      </c>
      <c r="B4632" s="41" t="s">
        <v>37207</v>
      </c>
      <c r="D4632" s="41" t="s">
        <v>37042</v>
      </c>
      <c r="E4632" s="41" t="s">
        <v>37209</v>
      </c>
      <c r="F4632" s="41" t="s">
        <v>37210</v>
      </c>
      <c r="G4632" s="41" t="s">
        <v>37211</v>
      </c>
      <c r="H4632" s="41" t="s">
        <v>37212</v>
      </c>
      <c r="I4632" s="41" t="s">
        <v>37213</v>
      </c>
      <c r="J4632" s="41" t="s">
        <v>37214</v>
      </c>
      <c r="K4632" s="41" t="s">
        <v>37215</v>
      </c>
      <c r="L4632" s="41" t="s">
        <v>37216</v>
      </c>
      <c r="M4632" s="41" t="s">
        <v>37217</v>
      </c>
      <c r="N4632" s="41" t="s">
        <v>37218</v>
      </c>
      <c r="O4632" s="41" t="s">
        <v>37219</v>
      </c>
      <c r="P4632" s="41" t="s">
        <v>37220</v>
      </c>
      <c r="Q4632" s="41" t="s">
        <v>37221</v>
      </c>
      <c r="R4632" s="41" t="s">
        <v>37222</v>
      </c>
      <c r="S4632" s="41" t="s">
        <v>37223</v>
      </c>
    </row>
    <row r="4633" spans="1:19" x14ac:dyDescent="0.25">
      <c r="A4633" s="41" t="s">
        <v>23</v>
      </c>
      <c r="B4633" s="41" t="s">
        <v>37224</v>
      </c>
      <c r="D4633" s="41" t="s">
        <v>37225</v>
      </c>
      <c r="F4633" s="41" t="s">
        <v>37226</v>
      </c>
      <c r="G4633" s="41" t="s">
        <v>37227</v>
      </c>
      <c r="H4633" s="41" t="s">
        <v>37228</v>
      </c>
      <c r="I4633" s="41" t="s">
        <v>37229</v>
      </c>
      <c r="J4633" s="41" t="s">
        <v>37230</v>
      </c>
      <c r="K4633" s="41" t="s">
        <v>37231</v>
      </c>
      <c r="L4633" s="41" t="s">
        <v>891</v>
      </c>
    </row>
    <row r="4634" spans="1:19" x14ac:dyDescent="0.25">
      <c r="A4634" s="41" t="s">
        <v>23</v>
      </c>
      <c r="B4634" s="41" t="s">
        <v>37232</v>
      </c>
      <c r="D4634" s="41" t="s">
        <v>37233</v>
      </c>
      <c r="F4634" s="41" t="s">
        <v>37234</v>
      </c>
      <c r="G4634" s="41" t="s">
        <v>37235</v>
      </c>
      <c r="H4634" s="41" t="s">
        <v>37236</v>
      </c>
      <c r="I4634" s="41" t="s">
        <v>37237</v>
      </c>
      <c r="J4634" s="41" t="s">
        <v>37238</v>
      </c>
      <c r="K4634" s="41" t="s">
        <v>37239</v>
      </c>
      <c r="L4634" s="41" t="s">
        <v>1076</v>
      </c>
    </row>
    <row r="4635" spans="1:19" x14ac:dyDescent="0.25">
      <c r="A4635" s="41" t="s">
        <v>23</v>
      </c>
      <c r="B4635" s="41" t="s">
        <v>37240</v>
      </c>
      <c r="D4635" s="41" t="s">
        <v>37241</v>
      </c>
      <c r="F4635" s="41" t="s">
        <v>37242</v>
      </c>
      <c r="G4635" s="41" t="s">
        <v>37243</v>
      </c>
      <c r="H4635" s="41" t="s">
        <v>37244</v>
      </c>
      <c r="I4635" s="41" t="s">
        <v>37245</v>
      </c>
      <c r="J4635" s="41" t="s">
        <v>37246</v>
      </c>
      <c r="K4635" s="41" t="s">
        <v>37247</v>
      </c>
      <c r="L4635" s="41" t="s">
        <v>1085</v>
      </c>
    </row>
    <row r="4636" spans="1:19" x14ac:dyDescent="0.25">
      <c r="A4636" s="41" t="s">
        <v>23</v>
      </c>
      <c r="B4636" s="41" t="s">
        <v>37248</v>
      </c>
      <c r="D4636" s="41" t="s">
        <v>37249</v>
      </c>
      <c r="F4636" s="41" t="s">
        <v>37250</v>
      </c>
      <c r="G4636" s="41" t="s">
        <v>37251</v>
      </c>
      <c r="H4636" s="41" t="s">
        <v>37252</v>
      </c>
      <c r="I4636" s="41" t="s">
        <v>37253</v>
      </c>
      <c r="J4636" s="41" t="s">
        <v>37254</v>
      </c>
      <c r="K4636" s="41" t="s">
        <v>37255</v>
      </c>
      <c r="L4636" s="41" t="s">
        <v>1094</v>
      </c>
    </row>
    <row r="4637" spans="1:19" x14ac:dyDescent="0.25">
      <c r="A4637" s="41" t="s">
        <v>908</v>
      </c>
      <c r="B4637" s="41" t="s">
        <v>37256</v>
      </c>
    </row>
    <row r="4638" spans="1:19" x14ac:dyDescent="0.25">
      <c r="A4638" s="41" t="s">
        <v>23</v>
      </c>
      <c r="B4638" s="41" t="s">
        <v>37257</v>
      </c>
      <c r="F4638" s="41" t="s">
        <v>37258</v>
      </c>
      <c r="G4638" s="41" t="s">
        <v>37259</v>
      </c>
      <c r="H4638" s="41" t="s">
        <v>37260</v>
      </c>
      <c r="I4638" s="41" t="s">
        <v>37261</v>
      </c>
      <c r="J4638" s="41" t="s">
        <v>37262</v>
      </c>
      <c r="L4638" s="41" t="s">
        <v>4</v>
      </c>
    </row>
    <row r="4639" spans="1:19" x14ac:dyDescent="0.25">
      <c r="A4639" s="41" t="s">
        <v>23</v>
      </c>
      <c r="B4639" s="41" t="s">
        <v>37263</v>
      </c>
      <c r="D4639" s="41" t="s">
        <v>37096</v>
      </c>
      <c r="E4639" s="41" t="s">
        <v>37265</v>
      </c>
      <c r="F4639" s="41" t="s">
        <v>37266</v>
      </c>
      <c r="G4639" s="41" t="s">
        <v>37267</v>
      </c>
      <c r="H4639" s="41" t="s">
        <v>37268</v>
      </c>
      <c r="I4639" s="41" t="s">
        <v>37269</v>
      </c>
      <c r="J4639" s="41" t="s">
        <v>37270</v>
      </c>
      <c r="K4639" s="41" t="s">
        <v>37271</v>
      </c>
      <c r="L4639" s="41" t="s">
        <v>37272</v>
      </c>
      <c r="M4639" s="41" t="s">
        <v>37273</v>
      </c>
      <c r="N4639" s="41" t="s">
        <v>37274</v>
      </c>
      <c r="O4639" s="41" t="s">
        <v>37275</v>
      </c>
      <c r="P4639" s="41" t="s">
        <v>37276</v>
      </c>
      <c r="Q4639" s="41" t="s">
        <v>37277</v>
      </c>
      <c r="R4639" s="41" t="s">
        <v>37278</v>
      </c>
      <c r="S4639" s="41" t="s">
        <v>37279</v>
      </c>
    </row>
    <row r="4640" spans="1:19" x14ac:dyDescent="0.25">
      <c r="A4640" s="41" t="s">
        <v>23</v>
      </c>
      <c r="B4640" s="41" t="s">
        <v>37280</v>
      </c>
      <c r="D4640" s="41" t="s">
        <v>37281</v>
      </c>
      <c r="F4640" s="41" t="s">
        <v>37282</v>
      </c>
      <c r="G4640" s="41" t="s">
        <v>37283</v>
      </c>
      <c r="H4640" s="41" t="s">
        <v>37284</v>
      </c>
      <c r="I4640" s="41" t="s">
        <v>37285</v>
      </c>
      <c r="J4640" s="41" t="s">
        <v>37286</v>
      </c>
      <c r="K4640" s="41" t="s">
        <v>37287</v>
      </c>
      <c r="L4640" s="41" t="s">
        <v>891</v>
      </c>
    </row>
    <row r="4641" spans="1:19" x14ac:dyDescent="0.25">
      <c r="A4641" s="41" t="s">
        <v>23</v>
      </c>
      <c r="B4641" s="41" t="s">
        <v>37288</v>
      </c>
      <c r="D4641" s="41" t="s">
        <v>37289</v>
      </c>
      <c r="F4641" s="41" t="s">
        <v>37290</v>
      </c>
      <c r="G4641" s="41" t="s">
        <v>37291</v>
      </c>
      <c r="H4641" s="41" t="s">
        <v>37292</v>
      </c>
      <c r="I4641" s="41" t="s">
        <v>37293</v>
      </c>
      <c r="J4641" s="41" t="s">
        <v>37294</v>
      </c>
      <c r="K4641" s="41" t="s">
        <v>37295</v>
      </c>
      <c r="L4641" s="41" t="s">
        <v>1076</v>
      </c>
    </row>
    <row r="4642" spans="1:19" x14ac:dyDescent="0.25">
      <c r="A4642" s="41" t="s">
        <v>23</v>
      </c>
      <c r="B4642" s="41" t="s">
        <v>37296</v>
      </c>
      <c r="D4642" s="41" t="s">
        <v>37297</v>
      </c>
      <c r="F4642" s="41" t="s">
        <v>37298</v>
      </c>
      <c r="G4642" s="41" t="s">
        <v>37299</v>
      </c>
      <c r="H4642" s="41" t="s">
        <v>37300</v>
      </c>
      <c r="I4642" s="41" t="s">
        <v>37301</v>
      </c>
      <c r="J4642" s="41" t="s">
        <v>37302</v>
      </c>
      <c r="K4642" s="41" t="s">
        <v>37303</v>
      </c>
      <c r="L4642" s="41" t="s">
        <v>1085</v>
      </c>
    </row>
    <row r="4643" spans="1:19" x14ac:dyDescent="0.25">
      <c r="A4643" s="41" t="s">
        <v>23</v>
      </c>
      <c r="B4643" s="41" t="s">
        <v>37304</v>
      </c>
      <c r="D4643" s="41" t="s">
        <v>37305</v>
      </c>
      <c r="F4643" s="41" t="s">
        <v>37306</v>
      </c>
      <c r="G4643" s="41" t="s">
        <v>37307</v>
      </c>
      <c r="H4643" s="41" t="s">
        <v>37308</v>
      </c>
      <c r="I4643" s="41" t="s">
        <v>37309</v>
      </c>
      <c r="J4643" s="41" t="s">
        <v>37310</v>
      </c>
      <c r="K4643" s="41" t="s">
        <v>37311</v>
      </c>
      <c r="L4643" s="41" t="s">
        <v>1094</v>
      </c>
    </row>
    <row r="4644" spans="1:19" x14ac:dyDescent="0.25">
      <c r="A4644" s="41" t="s">
        <v>908</v>
      </c>
      <c r="B4644" s="41" t="s">
        <v>37312</v>
      </c>
    </row>
    <row r="4645" spans="1:19" x14ac:dyDescent="0.25">
      <c r="A4645" s="41" t="s">
        <v>23</v>
      </c>
      <c r="B4645" s="41" t="s">
        <v>37313</v>
      </c>
      <c r="F4645" s="41" t="s">
        <v>37314</v>
      </c>
      <c r="G4645" s="41" t="s">
        <v>37315</v>
      </c>
      <c r="H4645" s="41" t="s">
        <v>37316</v>
      </c>
      <c r="I4645" s="41" t="s">
        <v>37317</v>
      </c>
      <c r="J4645" s="41" t="s">
        <v>37318</v>
      </c>
      <c r="L4645" s="41" t="s">
        <v>4</v>
      </c>
    </row>
    <row r="4646" spans="1:19" x14ac:dyDescent="0.25">
      <c r="A4646" s="41" t="s">
        <v>23</v>
      </c>
      <c r="B4646" s="41" t="s">
        <v>37319</v>
      </c>
      <c r="D4646" s="41" t="s">
        <v>37152</v>
      </c>
      <c r="E4646" s="41" t="s">
        <v>37321</v>
      </c>
      <c r="F4646" s="41" t="s">
        <v>37322</v>
      </c>
      <c r="G4646" s="41" t="s">
        <v>37323</v>
      </c>
      <c r="H4646" s="41" t="s">
        <v>37324</v>
      </c>
      <c r="I4646" s="41" t="s">
        <v>37325</v>
      </c>
      <c r="J4646" s="41" t="s">
        <v>37326</v>
      </c>
      <c r="K4646" s="41" t="s">
        <v>37327</v>
      </c>
      <c r="L4646" s="41" t="s">
        <v>37328</v>
      </c>
      <c r="M4646" s="41" t="s">
        <v>37329</v>
      </c>
      <c r="N4646" s="41" t="s">
        <v>37330</v>
      </c>
      <c r="O4646" s="41" t="s">
        <v>37331</v>
      </c>
      <c r="P4646" s="41" t="s">
        <v>37332</v>
      </c>
      <c r="Q4646" s="41" t="s">
        <v>37333</v>
      </c>
      <c r="R4646" s="41" t="s">
        <v>37334</v>
      </c>
      <c r="S4646" s="41" t="s">
        <v>37335</v>
      </c>
    </row>
    <row r="4647" spans="1:19" x14ac:dyDescent="0.25">
      <c r="A4647" s="41" t="s">
        <v>23</v>
      </c>
      <c r="B4647" s="41" t="s">
        <v>37336</v>
      </c>
      <c r="D4647" s="41" t="s">
        <v>37337</v>
      </c>
      <c r="F4647" s="41" t="s">
        <v>37338</v>
      </c>
      <c r="G4647" s="41" t="s">
        <v>37339</v>
      </c>
      <c r="H4647" s="41" t="s">
        <v>37340</v>
      </c>
      <c r="I4647" s="41" t="s">
        <v>37341</v>
      </c>
      <c r="J4647" s="41" t="s">
        <v>37342</v>
      </c>
      <c r="K4647" s="41" t="s">
        <v>37343</v>
      </c>
      <c r="L4647" s="41" t="s">
        <v>891</v>
      </c>
    </row>
    <row r="4648" spans="1:19" x14ac:dyDescent="0.25">
      <c r="A4648" s="41" t="s">
        <v>23</v>
      </c>
      <c r="B4648" s="41" t="s">
        <v>37344</v>
      </c>
      <c r="D4648" s="41" t="s">
        <v>37345</v>
      </c>
      <c r="F4648" s="41" t="s">
        <v>37346</v>
      </c>
      <c r="G4648" s="41" t="s">
        <v>37347</v>
      </c>
      <c r="H4648" s="41" t="s">
        <v>37348</v>
      </c>
      <c r="I4648" s="41" t="s">
        <v>37349</v>
      </c>
      <c r="J4648" s="41" t="s">
        <v>37350</v>
      </c>
      <c r="K4648" s="41" t="s">
        <v>37351</v>
      </c>
      <c r="L4648" s="41" t="s">
        <v>1076</v>
      </c>
    </row>
    <row r="4649" spans="1:19" x14ac:dyDescent="0.25">
      <c r="A4649" s="41" t="s">
        <v>23</v>
      </c>
      <c r="B4649" s="41" t="s">
        <v>37352</v>
      </c>
      <c r="D4649" s="41" t="s">
        <v>37353</v>
      </c>
      <c r="F4649" s="41" t="s">
        <v>37354</v>
      </c>
      <c r="G4649" s="41" t="s">
        <v>37355</v>
      </c>
      <c r="H4649" s="41" t="s">
        <v>37356</v>
      </c>
      <c r="I4649" s="41" t="s">
        <v>37357</v>
      </c>
      <c r="J4649" s="41" t="s">
        <v>37358</v>
      </c>
      <c r="K4649" s="41" t="s">
        <v>37359</v>
      </c>
      <c r="L4649" s="41" t="s">
        <v>1085</v>
      </c>
    </row>
    <row r="4650" spans="1:19" x14ac:dyDescent="0.25">
      <c r="A4650" s="41" t="s">
        <v>23</v>
      </c>
      <c r="B4650" s="41" t="s">
        <v>37360</v>
      </c>
      <c r="D4650" s="41" t="s">
        <v>37361</v>
      </c>
      <c r="F4650" s="41" t="s">
        <v>37362</v>
      </c>
      <c r="G4650" s="41" t="s">
        <v>37363</v>
      </c>
      <c r="H4650" s="41" t="s">
        <v>37364</v>
      </c>
      <c r="I4650" s="41" t="s">
        <v>37365</v>
      </c>
      <c r="J4650" s="41" t="s">
        <v>37366</v>
      </c>
      <c r="K4650" s="41" t="s">
        <v>37367</v>
      </c>
      <c r="L4650" s="41" t="s">
        <v>1094</v>
      </c>
    </row>
    <row r="4651" spans="1:19" x14ac:dyDescent="0.25">
      <c r="A4651" s="41" t="s">
        <v>908</v>
      </c>
      <c r="B4651" s="41" t="s">
        <v>37368</v>
      </c>
    </row>
    <row r="4652" spans="1:19" x14ac:dyDescent="0.25">
      <c r="A4652" s="41" t="s">
        <v>23</v>
      </c>
      <c r="B4652" s="41" t="s">
        <v>37369</v>
      </c>
      <c r="F4652" s="41" t="s">
        <v>37370</v>
      </c>
      <c r="G4652" s="41" t="s">
        <v>37371</v>
      </c>
      <c r="H4652" s="41" t="s">
        <v>37372</v>
      </c>
      <c r="I4652" s="41" t="s">
        <v>37373</v>
      </c>
      <c r="J4652" s="41" t="s">
        <v>37374</v>
      </c>
      <c r="L4652" s="41" t="s">
        <v>4</v>
      </c>
    </row>
    <row r="4653" spans="1:19" x14ac:dyDescent="0.25">
      <c r="A4653" s="41" t="s">
        <v>23</v>
      </c>
      <c r="B4653" s="41" t="s">
        <v>37375</v>
      </c>
      <c r="D4653" s="41" t="s">
        <v>37208</v>
      </c>
      <c r="E4653" s="41" t="s">
        <v>37377</v>
      </c>
      <c r="F4653" s="41" t="s">
        <v>37378</v>
      </c>
      <c r="G4653" s="41" t="s">
        <v>37379</v>
      </c>
      <c r="H4653" s="41" t="s">
        <v>37380</v>
      </c>
      <c r="I4653" s="41" t="s">
        <v>37381</v>
      </c>
      <c r="J4653" s="41" t="s">
        <v>37382</v>
      </c>
      <c r="K4653" s="41" t="s">
        <v>37383</v>
      </c>
      <c r="L4653" s="41" t="s">
        <v>37384</v>
      </c>
      <c r="M4653" s="41" t="s">
        <v>37385</v>
      </c>
      <c r="N4653" s="41" t="s">
        <v>37386</v>
      </c>
      <c r="O4653" s="41" t="s">
        <v>37387</v>
      </c>
      <c r="P4653" s="41" t="s">
        <v>37388</v>
      </c>
      <c r="Q4653" s="41" t="s">
        <v>37389</v>
      </c>
      <c r="R4653" s="41" t="s">
        <v>37390</v>
      </c>
      <c r="S4653" s="41" t="s">
        <v>37391</v>
      </c>
    </row>
    <row r="4654" spans="1:19" x14ac:dyDescent="0.25">
      <c r="A4654" s="41" t="s">
        <v>23</v>
      </c>
      <c r="B4654" s="41" t="s">
        <v>37392</v>
      </c>
      <c r="D4654" s="41" t="s">
        <v>37393</v>
      </c>
      <c r="F4654" s="41" t="s">
        <v>37394</v>
      </c>
      <c r="G4654" s="41" t="s">
        <v>37395</v>
      </c>
      <c r="H4654" s="41" t="s">
        <v>37396</v>
      </c>
      <c r="I4654" s="41" t="s">
        <v>37397</v>
      </c>
      <c r="J4654" s="41" t="s">
        <v>37398</v>
      </c>
      <c r="K4654" s="41" t="s">
        <v>37399</v>
      </c>
      <c r="L4654" s="41" t="s">
        <v>891</v>
      </c>
    </row>
    <row r="4655" spans="1:19" x14ac:dyDescent="0.25">
      <c r="A4655" s="41" t="s">
        <v>23</v>
      </c>
      <c r="B4655" s="41" t="s">
        <v>37400</v>
      </c>
      <c r="D4655" s="41" t="s">
        <v>37401</v>
      </c>
      <c r="F4655" s="41" t="s">
        <v>37402</v>
      </c>
      <c r="G4655" s="41" t="s">
        <v>37403</v>
      </c>
      <c r="H4655" s="41" t="s">
        <v>37404</v>
      </c>
      <c r="I4655" s="41" t="s">
        <v>37405</v>
      </c>
      <c r="J4655" s="41" t="s">
        <v>37406</v>
      </c>
      <c r="K4655" s="41" t="s">
        <v>37407</v>
      </c>
      <c r="L4655" s="41" t="s">
        <v>1076</v>
      </c>
    </row>
    <row r="4656" spans="1:19" x14ac:dyDescent="0.25">
      <c r="A4656" s="41" t="s">
        <v>23</v>
      </c>
      <c r="B4656" s="41" t="s">
        <v>37408</v>
      </c>
      <c r="D4656" s="41" t="s">
        <v>37409</v>
      </c>
      <c r="F4656" s="41" t="s">
        <v>37410</v>
      </c>
      <c r="G4656" s="41" t="s">
        <v>37411</v>
      </c>
      <c r="H4656" s="41" t="s">
        <v>37412</v>
      </c>
      <c r="I4656" s="41" t="s">
        <v>37413</v>
      </c>
      <c r="J4656" s="41" t="s">
        <v>37414</v>
      </c>
      <c r="K4656" s="41" t="s">
        <v>37415</v>
      </c>
      <c r="L4656" s="41" t="s">
        <v>1085</v>
      </c>
    </row>
    <row r="4657" spans="1:19" x14ac:dyDescent="0.25">
      <c r="A4657" s="41" t="s">
        <v>23</v>
      </c>
      <c r="B4657" s="41" t="s">
        <v>37416</v>
      </c>
      <c r="D4657" s="41" t="s">
        <v>37417</v>
      </c>
      <c r="F4657" s="41" t="s">
        <v>37418</v>
      </c>
      <c r="G4657" s="41" t="s">
        <v>37419</v>
      </c>
      <c r="H4657" s="41" t="s">
        <v>37420</v>
      </c>
      <c r="I4657" s="41" t="s">
        <v>37421</v>
      </c>
      <c r="J4657" s="41" t="s">
        <v>37422</v>
      </c>
      <c r="K4657" s="41" t="s">
        <v>37423</v>
      </c>
      <c r="L4657" s="41" t="s">
        <v>1094</v>
      </c>
    </row>
    <row r="4658" spans="1:19" x14ac:dyDescent="0.25">
      <c r="A4658" s="41" t="s">
        <v>908</v>
      </c>
      <c r="B4658" s="41" t="s">
        <v>37424</v>
      </c>
    </row>
    <row r="4659" spans="1:19" x14ac:dyDescent="0.25">
      <c r="A4659" s="41" t="s">
        <v>23</v>
      </c>
      <c r="B4659" s="41" t="s">
        <v>37425</v>
      </c>
      <c r="F4659" s="41" t="s">
        <v>37426</v>
      </c>
      <c r="G4659" s="41" t="s">
        <v>37427</v>
      </c>
      <c r="H4659" s="41" t="s">
        <v>37428</v>
      </c>
      <c r="I4659" s="41" t="s">
        <v>37429</v>
      </c>
      <c r="J4659" s="41" t="s">
        <v>37430</v>
      </c>
      <c r="L4659" s="41" t="s">
        <v>4</v>
      </c>
    </row>
    <row r="4660" spans="1:19" x14ac:dyDescent="0.25">
      <c r="A4660" s="41" t="s">
        <v>23</v>
      </c>
      <c r="B4660" s="41" t="s">
        <v>37431</v>
      </c>
      <c r="D4660" s="41" t="s">
        <v>37264</v>
      </c>
      <c r="E4660" s="41" t="s">
        <v>37432</v>
      </c>
      <c r="F4660" s="41" t="s">
        <v>37433</v>
      </c>
      <c r="G4660" s="41" t="s">
        <v>37434</v>
      </c>
      <c r="H4660" s="41" t="s">
        <v>37435</v>
      </c>
      <c r="I4660" s="41" t="s">
        <v>37436</v>
      </c>
      <c r="J4660" s="41" t="s">
        <v>37437</v>
      </c>
      <c r="K4660" s="41" t="s">
        <v>37438</v>
      </c>
      <c r="L4660" s="41" t="s">
        <v>37439</v>
      </c>
      <c r="M4660" s="41" t="s">
        <v>37440</v>
      </c>
      <c r="N4660" s="41" t="s">
        <v>37441</v>
      </c>
      <c r="O4660" s="41" t="s">
        <v>37442</v>
      </c>
      <c r="P4660" s="41" t="s">
        <v>37443</v>
      </c>
      <c r="Q4660" s="41" t="s">
        <v>37444</v>
      </c>
      <c r="R4660" s="41" t="s">
        <v>37445</v>
      </c>
      <c r="S4660" s="41" t="s">
        <v>37446</v>
      </c>
    </row>
    <row r="4661" spans="1:19" x14ac:dyDescent="0.25">
      <c r="A4661" s="41" t="s">
        <v>23</v>
      </c>
      <c r="B4661" s="41" t="s">
        <v>37447</v>
      </c>
      <c r="D4661" s="41" t="s">
        <v>37448</v>
      </c>
      <c r="F4661" s="41" t="s">
        <v>37449</v>
      </c>
      <c r="G4661" s="41" t="s">
        <v>37450</v>
      </c>
      <c r="H4661" s="41" t="s">
        <v>37451</v>
      </c>
      <c r="I4661" s="41" t="s">
        <v>37452</v>
      </c>
      <c r="J4661" s="41" t="s">
        <v>37453</v>
      </c>
      <c r="K4661" s="41" t="s">
        <v>37454</v>
      </c>
      <c r="L4661" s="41" t="s">
        <v>891</v>
      </c>
    </row>
    <row r="4662" spans="1:19" x14ac:dyDescent="0.25">
      <c r="A4662" s="41" t="s">
        <v>23</v>
      </c>
      <c r="B4662" s="41" t="s">
        <v>37455</v>
      </c>
      <c r="D4662" s="41" t="s">
        <v>37456</v>
      </c>
      <c r="F4662" s="41" t="s">
        <v>37457</v>
      </c>
      <c r="G4662" s="41" t="s">
        <v>37458</v>
      </c>
      <c r="H4662" s="41" t="s">
        <v>37459</v>
      </c>
      <c r="I4662" s="41" t="s">
        <v>37460</v>
      </c>
      <c r="J4662" s="41" t="s">
        <v>37461</v>
      </c>
      <c r="K4662" s="41" t="s">
        <v>37462</v>
      </c>
      <c r="L4662" s="41" t="s">
        <v>1076</v>
      </c>
    </row>
    <row r="4663" spans="1:19" x14ac:dyDescent="0.25">
      <c r="A4663" s="41" t="s">
        <v>23</v>
      </c>
      <c r="B4663" s="41" t="s">
        <v>37463</v>
      </c>
      <c r="D4663" s="41" t="s">
        <v>37464</v>
      </c>
      <c r="F4663" s="41" t="s">
        <v>37465</v>
      </c>
      <c r="G4663" s="41" t="s">
        <v>37466</v>
      </c>
      <c r="H4663" s="41" t="s">
        <v>37467</v>
      </c>
      <c r="I4663" s="41" t="s">
        <v>37468</v>
      </c>
      <c r="J4663" s="41" t="s">
        <v>37469</v>
      </c>
      <c r="K4663" s="41" t="s">
        <v>37470</v>
      </c>
      <c r="L4663" s="41" t="s">
        <v>1085</v>
      </c>
    </row>
    <row r="4664" spans="1:19" x14ac:dyDescent="0.25">
      <c r="A4664" s="41" t="s">
        <v>23</v>
      </c>
      <c r="B4664" s="41" t="s">
        <v>37471</v>
      </c>
      <c r="D4664" s="41" t="s">
        <v>37472</v>
      </c>
      <c r="F4664" s="41" t="s">
        <v>37473</v>
      </c>
      <c r="G4664" s="41" t="s">
        <v>37474</v>
      </c>
      <c r="H4664" s="41" t="s">
        <v>37475</v>
      </c>
      <c r="I4664" s="41" t="s">
        <v>37476</v>
      </c>
      <c r="J4664" s="41" t="s">
        <v>37477</v>
      </c>
      <c r="K4664" s="41" t="s">
        <v>37478</v>
      </c>
      <c r="L4664" s="41" t="s">
        <v>1094</v>
      </c>
    </row>
    <row r="4665" spans="1:19" x14ac:dyDescent="0.25">
      <c r="A4665" s="41" t="s">
        <v>908</v>
      </c>
      <c r="B4665" s="41" t="s">
        <v>37479</v>
      </c>
    </row>
    <row r="4666" spans="1:19" x14ac:dyDescent="0.25">
      <c r="A4666" s="41" t="s">
        <v>23</v>
      </c>
      <c r="B4666" s="41" t="s">
        <v>37480</v>
      </c>
      <c r="F4666" s="41" t="s">
        <v>37481</v>
      </c>
      <c r="G4666" s="41" t="s">
        <v>37482</v>
      </c>
      <c r="H4666" s="41" t="s">
        <v>37483</v>
      </c>
      <c r="I4666" s="41" t="s">
        <v>37484</v>
      </c>
      <c r="J4666" s="41" t="s">
        <v>37485</v>
      </c>
      <c r="L4666" s="41" t="s">
        <v>4</v>
      </c>
    </row>
    <row r="4667" spans="1:19" x14ac:dyDescent="0.25">
      <c r="A4667" s="41" t="s">
        <v>23</v>
      </c>
      <c r="B4667" s="41" t="s">
        <v>37486</v>
      </c>
      <c r="D4667" s="41" t="s">
        <v>37320</v>
      </c>
      <c r="E4667" s="41" t="s">
        <v>37487</v>
      </c>
      <c r="F4667" s="41" t="s">
        <v>37488</v>
      </c>
      <c r="G4667" s="41" t="s">
        <v>37489</v>
      </c>
      <c r="H4667" s="41" t="s">
        <v>37490</v>
      </c>
      <c r="I4667" s="41" t="s">
        <v>37491</v>
      </c>
      <c r="J4667" s="41" t="s">
        <v>37492</v>
      </c>
      <c r="K4667" s="41" t="s">
        <v>37493</v>
      </c>
      <c r="L4667" s="41" t="s">
        <v>37494</v>
      </c>
      <c r="M4667" s="41" t="s">
        <v>37495</v>
      </c>
      <c r="N4667" s="41" t="s">
        <v>37496</v>
      </c>
      <c r="O4667" s="41" t="s">
        <v>37497</v>
      </c>
      <c r="P4667" s="41" t="s">
        <v>37498</v>
      </c>
      <c r="Q4667" s="41" t="s">
        <v>37499</v>
      </c>
      <c r="R4667" s="41" t="s">
        <v>37500</v>
      </c>
      <c r="S4667" s="41" t="s">
        <v>37501</v>
      </c>
    </row>
    <row r="4668" spans="1:19" x14ac:dyDescent="0.25">
      <c r="A4668" s="41" t="s">
        <v>23</v>
      </c>
      <c r="B4668" s="41" t="s">
        <v>37502</v>
      </c>
      <c r="D4668" s="41" t="s">
        <v>37503</v>
      </c>
      <c r="F4668" s="41" t="s">
        <v>37504</v>
      </c>
      <c r="G4668" s="41" t="s">
        <v>37505</v>
      </c>
      <c r="H4668" s="41" t="s">
        <v>37506</v>
      </c>
      <c r="I4668" s="41" t="s">
        <v>37507</v>
      </c>
      <c r="J4668" s="41" t="s">
        <v>37508</v>
      </c>
      <c r="K4668" s="41" t="s">
        <v>37509</v>
      </c>
      <c r="L4668" s="41" t="s">
        <v>891</v>
      </c>
    </row>
    <row r="4669" spans="1:19" x14ac:dyDescent="0.25">
      <c r="A4669" s="41" t="s">
        <v>23</v>
      </c>
      <c r="B4669" s="41" t="s">
        <v>37510</v>
      </c>
      <c r="D4669" s="41" t="s">
        <v>37511</v>
      </c>
      <c r="F4669" s="41" t="s">
        <v>37512</v>
      </c>
      <c r="G4669" s="41" t="s">
        <v>37513</v>
      </c>
      <c r="H4669" s="41" t="s">
        <v>37514</v>
      </c>
      <c r="I4669" s="41" t="s">
        <v>37515</v>
      </c>
      <c r="J4669" s="41" t="s">
        <v>37516</v>
      </c>
      <c r="K4669" s="41" t="s">
        <v>37517</v>
      </c>
      <c r="L4669" s="41" t="s">
        <v>1076</v>
      </c>
    </row>
    <row r="4670" spans="1:19" x14ac:dyDescent="0.25">
      <c r="A4670" s="41" t="s">
        <v>23</v>
      </c>
      <c r="B4670" s="41" t="s">
        <v>37518</v>
      </c>
      <c r="D4670" s="41" t="s">
        <v>37519</v>
      </c>
      <c r="F4670" s="41" t="s">
        <v>37520</v>
      </c>
      <c r="G4670" s="41" t="s">
        <v>37521</v>
      </c>
      <c r="H4670" s="41" t="s">
        <v>37522</v>
      </c>
      <c r="I4670" s="41" t="s">
        <v>37523</v>
      </c>
      <c r="J4670" s="41" t="s">
        <v>37524</v>
      </c>
      <c r="K4670" s="41" t="s">
        <v>37525</v>
      </c>
      <c r="L4670" s="41" t="s">
        <v>1085</v>
      </c>
    </row>
    <row r="4671" spans="1:19" x14ac:dyDescent="0.25">
      <c r="A4671" s="41" t="s">
        <v>23</v>
      </c>
      <c r="B4671" s="41" t="s">
        <v>37526</v>
      </c>
      <c r="D4671" s="41" t="s">
        <v>37527</v>
      </c>
      <c r="F4671" s="41" t="s">
        <v>37528</v>
      </c>
      <c r="G4671" s="41" t="s">
        <v>37529</v>
      </c>
      <c r="H4671" s="41" t="s">
        <v>37530</v>
      </c>
      <c r="I4671" s="41" t="s">
        <v>37531</v>
      </c>
      <c r="J4671" s="41" t="s">
        <v>37532</v>
      </c>
      <c r="K4671" s="41" t="s">
        <v>37533</v>
      </c>
      <c r="L4671" s="41" t="s">
        <v>1094</v>
      </c>
    </row>
    <row r="4672" spans="1:19" x14ac:dyDescent="0.25">
      <c r="A4672" s="41" t="s">
        <v>908</v>
      </c>
      <c r="B4672" s="41" t="s">
        <v>37534</v>
      </c>
    </row>
    <row r="4673" spans="1:19" x14ac:dyDescent="0.25">
      <c r="A4673" s="41" t="s">
        <v>23</v>
      </c>
      <c r="B4673" s="41" t="s">
        <v>37535</v>
      </c>
      <c r="F4673" s="41" t="s">
        <v>37536</v>
      </c>
      <c r="G4673" s="41" t="s">
        <v>37537</v>
      </c>
      <c r="H4673" s="41" t="s">
        <v>37538</v>
      </c>
      <c r="I4673" s="41" t="s">
        <v>37539</v>
      </c>
      <c r="J4673" s="41" t="s">
        <v>37540</v>
      </c>
      <c r="L4673" s="41" t="s">
        <v>4</v>
      </c>
    </row>
    <row r="4674" spans="1:19" x14ac:dyDescent="0.25">
      <c r="A4674" s="41" t="s">
        <v>23</v>
      </c>
      <c r="B4674" s="41" t="s">
        <v>37541</v>
      </c>
      <c r="D4674" s="41" t="s">
        <v>37376</v>
      </c>
      <c r="E4674" s="41" t="s">
        <v>37542</v>
      </c>
      <c r="F4674" s="41" t="s">
        <v>37543</v>
      </c>
      <c r="G4674" s="41" t="s">
        <v>37544</v>
      </c>
      <c r="H4674" s="41" t="s">
        <v>37545</v>
      </c>
      <c r="I4674" s="41" t="s">
        <v>37546</v>
      </c>
      <c r="J4674" s="41" t="s">
        <v>37547</v>
      </c>
      <c r="K4674" s="41" t="s">
        <v>37548</v>
      </c>
      <c r="L4674" s="41" t="s">
        <v>37549</v>
      </c>
      <c r="M4674" s="41" t="s">
        <v>37550</v>
      </c>
      <c r="N4674" s="41" t="s">
        <v>37551</v>
      </c>
      <c r="O4674" s="41" t="s">
        <v>37552</v>
      </c>
      <c r="P4674" s="41" t="s">
        <v>37553</v>
      </c>
      <c r="Q4674" s="41" t="s">
        <v>37554</v>
      </c>
      <c r="R4674" s="41" t="s">
        <v>37555</v>
      </c>
      <c r="S4674" s="41" t="s">
        <v>37556</v>
      </c>
    </row>
    <row r="4675" spans="1:19" x14ac:dyDescent="0.25">
      <c r="A4675" s="41" t="s">
        <v>23</v>
      </c>
      <c r="B4675" s="41" t="s">
        <v>37557</v>
      </c>
      <c r="D4675" s="41" t="s">
        <v>37558</v>
      </c>
      <c r="F4675" s="41" t="s">
        <v>37559</v>
      </c>
      <c r="G4675" s="41" t="s">
        <v>37560</v>
      </c>
      <c r="H4675" s="41" t="s">
        <v>37561</v>
      </c>
      <c r="I4675" s="41" t="s">
        <v>37562</v>
      </c>
      <c r="J4675" s="41" t="s">
        <v>37563</v>
      </c>
      <c r="K4675" s="41" t="s">
        <v>37564</v>
      </c>
      <c r="L4675" s="41" t="s">
        <v>891</v>
      </c>
    </row>
    <row r="4676" spans="1:19" x14ac:dyDescent="0.25">
      <c r="A4676" s="41" t="s">
        <v>23</v>
      </c>
      <c r="B4676" s="41" t="s">
        <v>37565</v>
      </c>
      <c r="D4676" s="41" t="s">
        <v>37566</v>
      </c>
      <c r="F4676" s="41" t="s">
        <v>37567</v>
      </c>
      <c r="G4676" s="41" t="s">
        <v>37568</v>
      </c>
      <c r="H4676" s="41" t="s">
        <v>37569</v>
      </c>
      <c r="I4676" s="41" t="s">
        <v>37570</v>
      </c>
      <c r="J4676" s="41" t="s">
        <v>37571</v>
      </c>
      <c r="K4676" s="41" t="s">
        <v>37572</v>
      </c>
      <c r="L4676" s="41" t="s">
        <v>1076</v>
      </c>
    </row>
    <row r="4677" spans="1:19" x14ac:dyDescent="0.25">
      <c r="A4677" s="41" t="s">
        <v>23</v>
      </c>
      <c r="B4677" s="41" t="s">
        <v>37573</v>
      </c>
      <c r="D4677" s="41" t="s">
        <v>37574</v>
      </c>
      <c r="F4677" s="41" t="s">
        <v>37575</v>
      </c>
      <c r="G4677" s="41" t="s">
        <v>37576</v>
      </c>
      <c r="H4677" s="41" t="s">
        <v>37577</v>
      </c>
      <c r="I4677" s="41" t="s">
        <v>37578</v>
      </c>
      <c r="J4677" s="41" t="s">
        <v>37579</v>
      </c>
      <c r="K4677" s="41" t="s">
        <v>37580</v>
      </c>
      <c r="L4677" s="41" t="s">
        <v>1085</v>
      </c>
    </row>
    <row r="4678" spans="1:19" x14ac:dyDescent="0.25">
      <c r="A4678" s="41" t="s">
        <v>23</v>
      </c>
      <c r="B4678" s="41" t="s">
        <v>37581</v>
      </c>
      <c r="D4678" s="41" t="s">
        <v>37582</v>
      </c>
      <c r="F4678" s="41" t="s">
        <v>37583</v>
      </c>
      <c r="G4678" s="41" t="s">
        <v>37584</v>
      </c>
      <c r="H4678" s="41" t="s">
        <v>37585</v>
      </c>
      <c r="I4678" s="41" t="s">
        <v>37586</v>
      </c>
      <c r="J4678" s="41" t="s">
        <v>37587</v>
      </c>
      <c r="K4678" s="41" t="s">
        <v>37588</v>
      </c>
      <c r="L4678" s="41" t="s">
        <v>1094</v>
      </c>
    </row>
    <row r="4679" spans="1:19" x14ac:dyDescent="0.25">
      <c r="A4679" s="41" t="s">
        <v>908</v>
      </c>
      <c r="B4679" s="41" t="s">
        <v>37589</v>
      </c>
    </row>
    <row r="4680" spans="1:19" x14ac:dyDescent="0.25">
      <c r="A4680" s="41" t="s">
        <v>23</v>
      </c>
      <c r="B4680" s="41" t="s">
        <v>37590</v>
      </c>
      <c r="F4680" s="41" t="s">
        <v>37591</v>
      </c>
      <c r="G4680" s="41" t="s">
        <v>37592</v>
      </c>
      <c r="H4680" s="41" t="s">
        <v>37593</v>
      </c>
      <c r="I4680" s="41" t="s">
        <v>37594</v>
      </c>
      <c r="J4680" s="41" t="s">
        <v>37595</v>
      </c>
      <c r="L4680" s="41" t="s">
        <v>4</v>
      </c>
    </row>
    <row r="4681" spans="1:19" x14ac:dyDescent="0.25">
      <c r="A4681" s="41" t="s">
        <v>23</v>
      </c>
      <c r="B4681" s="41" t="s">
        <v>37596</v>
      </c>
      <c r="D4681" s="41" t="s">
        <v>523</v>
      </c>
      <c r="E4681" s="41" t="s">
        <v>37597</v>
      </c>
      <c r="F4681" s="41" t="s">
        <v>37598</v>
      </c>
      <c r="G4681" s="41" t="s">
        <v>37599</v>
      </c>
      <c r="H4681" s="41" t="s">
        <v>37600</v>
      </c>
      <c r="I4681" s="41" t="s">
        <v>37601</v>
      </c>
      <c r="J4681" s="41" t="s">
        <v>37602</v>
      </c>
      <c r="K4681" s="41" t="s">
        <v>37603</v>
      </c>
      <c r="L4681" s="41" t="s">
        <v>37604</v>
      </c>
      <c r="M4681" s="41" t="s">
        <v>37605</v>
      </c>
      <c r="N4681" s="41" t="s">
        <v>37606</v>
      </c>
      <c r="O4681" s="41" t="s">
        <v>37607</v>
      </c>
      <c r="P4681" s="41" t="s">
        <v>37608</v>
      </c>
      <c r="Q4681" s="41" t="s">
        <v>37609</v>
      </c>
      <c r="R4681" s="41" t="s">
        <v>37610</v>
      </c>
      <c r="S4681" s="41" t="s">
        <v>37611</v>
      </c>
    </row>
    <row r="4682" spans="1:19" x14ac:dyDescent="0.25">
      <c r="A4682" s="41" t="s">
        <v>23</v>
      </c>
      <c r="B4682" s="41" t="s">
        <v>37612</v>
      </c>
      <c r="D4682" s="41" t="s">
        <v>37613</v>
      </c>
      <c r="F4682" s="41" t="s">
        <v>37614</v>
      </c>
      <c r="G4682" s="41" t="s">
        <v>37615</v>
      </c>
      <c r="H4682" s="41" t="s">
        <v>37616</v>
      </c>
      <c r="I4682" s="41" t="s">
        <v>37617</v>
      </c>
      <c r="J4682" s="41" t="s">
        <v>37618</v>
      </c>
      <c r="K4682" s="41" t="s">
        <v>37619</v>
      </c>
      <c r="L4682" s="41" t="s">
        <v>891</v>
      </c>
    </row>
    <row r="4683" spans="1:19" x14ac:dyDescent="0.25">
      <c r="A4683" s="41" t="s">
        <v>23</v>
      </c>
      <c r="B4683" s="41" t="s">
        <v>37620</v>
      </c>
      <c r="D4683" s="41" t="s">
        <v>37621</v>
      </c>
      <c r="F4683" s="41" t="s">
        <v>37622</v>
      </c>
      <c r="G4683" s="41" t="s">
        <v>37623</v>
      </c>
      <c r="H4683" s="41" t="s">
        <v>37624</v>
      </c>
      <c r="I4683" s="41" t="s">
        <v>37625</v>
      </c>
      <c r="J4683" s="41" t="s">
        <v>37626</v>
      </c>
      <c r="K4683" s="41" t="s">
        <v>37627</v>
      </c>
      <c r="L4683" s="41" t="s">
        <v>1076</v>
      </c>
    </row>
    <row r="4684" spans="1:19" x14ac:dyDescent="0.25">
      <c r="A4684" s="41" t="s">
        <v>23</v>
      </c>
      <c r="B4684" s="41" t="s">
        <v>37628</v>
      </c>
      <c r="D4684" s="41" t="s">
        <v>37629</v>
      </c>
      <c r="F4684" s="41" t="s">
        <v>37630</v>
      </c>
      <c r="G4684" s="41" t="s">
        <v>37631</v>
      </c>
      <c r="H4684" s="41" t="s">
        <v>37632</v>
      </c>
      <c r="I4684" s="41" t="s">
        <v>37633</v>
      </c>
      <c r="J4684" s="41" t="s">
        <v>37634</v>
      </c>
      <c r="K4684" s="41" t="s">
        <v>37635</v>
      </c>
      <c r="L4684" s="41" t="s">
        <v>1085</v>
      </c>
    </row>
    <row r="4685" spans="1:19" x14ac:dyDescent="0.25">
      <c r="A4685" s="41" t="s">
        <v>23</v>
      </c>
      <c r="B4685" s="41" t="s">
        <v>37636</v>
      </c>
      <c r="D4685" s="41" t="s">
        <v>37637</v>
      </c>
      <c r="F4685" s="41" t="s">
        <v>37638</v>
      </c>
      <c r="G4685" s="41" t="s">
        <v>37639</v>
      </c>
      <c r="H4685" s="41" t="s">
        <v>37640</v>
      </c>
      <c r="I4685" s="41" t="s">
        <v>37641</v>
      </c>
      <c r="J4685" s="41" t="s">
        <v>37642</v>
      </c>
      <c r="K4685" s="41" t="s">
        <v>37643</v>
      </c>
      <c r="L4685" s="41" t="s">
        <v>1094</v>
      </c>
    </row>
    <row r="4686" spans="1:19" x14ac:dyDescent="0.25">
      <c r="A4686" s="41" t="s">
        <v>908</v>
      </c>
      <c r="B4686" s="41" t="s">
        <v>37644</v>
      </c>
    </row>
    <row r="4687" spans="1:19" x14ac:dyDescent="0.25">
      <c r="A4687" s="41" t="s">
        <v>23</v>
      </c>
      <c r="B4687" s="41" t="s">
        <v>37645</v>
      </c>
      <c r="F4687" s="41" t="s">
        <v>37646</v>
      </c>
      <c r="G4687" s="41" t="s">
        <v>37647</v>
      </c>
      <c r="H4687" s="41" t="s">
        <v>37648</v>
      </c>
      <c r="I4687" s="41" t="s">
        <v>37649</v>
      </c>
      <c r="J4687" s="41" t="s">
        <v>37650</v>
      </c>
      <c r="L4687" s="41" t="s">
        <v>4</v>
      </c>
    </row>
    <row r="4688" spans="1:19" x14ac:dyDescent="0.25">
      <c r="A4688" s="41" t="s">
        <v>23</v>
      </c>
      <c r="B4688" s="41" t="s">
        <v>37651</v>
      </c>
      <c r="D4688" s="41" t="s">
        <v>524</v>
      </c>
      <c r="E4688" s="41" t="s">
        <v>37652</v>
      </c>
      <c r="F4688" s="41" t="s">
        <v>37653</v>
      </c>
      <c r="G4688" s="41" t="s">
        <v>37654</v>
      </c>
      <c r="H4688" s="41" t="s">
        <v>37655</v>
      </c>
      <c r="I4688" s="41" t="s">
        <v>37656</v>
      </c>
      <c r="J4688" s="41" t="s">
        <v>37657</v>
      </c>
      <c r="K4688" s="41" t="s">
        <v>37658</v>
      </c>
      <c r="L4688" s="41" t="s">
        <v>37659</v>
      </c>
      <c r="M4688" s="41" t="s">
        <v>37660</v>
      </c>
      <c r="N4688" s="41" t="s">
        <v>37661</v>
      </c>
      <c r="O4688" s="41" t="s">
        <v>37662</v>
      </c>
      <c r="P4688" s="41" t="s">
        <v>37663</v>
      </c>
      <c r="Q4688" s="41" t="s">
        <v>37664</v>
      </c>
      <c r="R4688" s="41" t="s">
        <v>37665</v>
      </c>
      <c r="S4688" s="41" t="s">
        <v>37666</v>
      </c>
    </row>
    <row r="4689" spans="1:19" x14ac:dyDescent="0.25">
      <c r="A4689" s="41" t="s">
        <v>23</v>
      </c>
      <c r="B4689" s="41" t="s">
        <v>37667</v>
      </c>
      <c r="D4689" s="41" t="s">
        <v>37668</v>
      </c>
      <c r="F4689" s="41" t="s">
        <v>37669</v>
      </c>
      <c r="G4689" s="41" t="s">
        <v>37670</v>
      </c>
      <c r="H4689" s="41" t="s">
        <v>37671</v>
      </c>
      <c r="I4689" s="41" t="s">
        <v>37672</v>
      </c>
      <c r="J4689" s="41" t="s">
        <v>37673</v>
      </c>
      <c r="K4689" s="41" t="s">
        <v>37674</v>
      </c>
      <c r="L4689" s="41" t="s">
        <v>891</v>
      </c>
    </row>
    <row r="4690" spans="1:19" x14ac:dyDescent="0.25">
      <c r="A4690" s="41" t="s">
        <v>23</v>
      </c>
      <c r="B4690" s="41" t="s">
        <v>37675</v>
      </c>
      <c r="D4690" s="41" t="s">
        <v>37676</v>
      </c>
      <c r="F4690" s="41" t="s">
        <v>37677</v>
      </c>
      <c r="G4690" s="41" t="s">
        <v>37678</v>
      </c>
      <c r="H4690" s="41" t="s">
        <v>37679</v>
      </c>
      <c r="I4690" s="41" t="s">
        <v>37680</v>
      </c>
      <c r="J4690" s="41" t="s">
        <v>37681</v>
      </c>
      <c r="K4690" s="41" t="s">
        <v>37682</v>
      </c>
      <c r="L4690" s="41" t="s">
        <v>1076</v>
      </c>
    </row>
    <row r="4691" spans="1:19" x14ac:dyDescent="0.25">
      <c r="A4691" s="41" t="s">
        <v>23</v>
      </c>
      <c r="B4691" s="41" t="s">
        <v>37683</v>
      </c>
      <c r="D4691" s="41" t="s">
        <v>37684</v>
      </c>
      <c r="F4691" s="41" t="s">
        <v>37685</v>
      </c>
      <c r="G4691" s="41" t="s">
        <v>37686</v>
      </c>
      <c r="H4691" s="41" t="s">
        <v>37687</v>
      </c>
      <c r="I4691" s="41" t="s">
        <v>37688</v>
      </c>
      <c r="J4691" s="41" t="s">
        <v>37689</v>
      </c>
      <c r="K4691" s="41" t="s">
        <v>37690</v>
      </c>
      <c r="L4691" s="41" t="s">
        <v>1085</v>
      </c>
    </row>
    <row r="4692" spans="1:19" x14ac:dyDescent="0.25">
      <c r="A4692" s="41" t="s">
        <v>23</v>
      </c>
      <c r="B4692" s="41" t="s">
        <v>37691</v>
      </c>
      <c r="D4692" s="41" t="s">
        <v>37692</v>
      </c>
      <c r="F4692" s="41" t="s">
        <v>37693</v>
      </c>
      <c r="G4692" s="41" t="s">
        <v>37694</v>
      </c>
      <c r="H4692" s="41" t="s">
        <v>37695</v>
      </c>
      <c r="I4692" s="41" t="s">
        <v>37696</v>
      </c>
      <c r="J4692" s="41" t="s">
        <v>37697</v>
      </c>
      <c r="K4692" s="41" t="s">
        <v>37698</v>
      </c>
      <c r="L4692" s="41" t="s">
        <v>1094</v>
      </c>
    </row>
    <row r="4693" spans="1:19" x14ac:dyDescent="0.25">
      <c r="A4693" s="41" t="s">
        <v>908</v>
      </c>
      <c r="B4693" s="41" t="s">
        <v>37699</v>
      </c>
    </row>
    <row r="4694" spans="1:19" x14ac:dyDescent="0.25">
      <c r="A4694" s="41" t="s">
        <v>23</v>
      </c>
      <c r="B4694" s="41" t="s">
        <v>37700</v>
      </c>
      <c r="F4694" s="41" t="s">
        <v>37701</v>
      </c>
      <c r="G4694" s="41" t="s">
        <v>37702</v>
      </c>
      <c r="H4694" s="41" t="s">
        <v>37703</v>
      </c>
      <c r="I4694" s="41" t="s">
        <v>37704</v>
      </c>
      <c r="J4694" s="41" t="s">
        <v>37705</v>
      </c>
      <c r="L4694" s="41" t="s">
        <v>4</v>
      </c>
    </row>
    <row r="4695" spans="1:19" x14ac:dyDescent="0.25">
      <c r="A4695" s="41" t="s">
        <v>23</v>
      </c>
      <c r="B4695" s="41" t="s">
        <v>37706</v>
      </c>
      <c r="D4695" s="41" t="s">
        <v>525</v>
      </c>
      <c r="E4695" s="41" t="s">
        <v>37707</v>
      </c>
      <c r="F4695" s="41" t="s">
        <v>37708</v>
      </c>
      <c r="G4695" s="41" t="s">
        <v>37709</v>
      </c>
      <c r="H4695" s="41" t="s">
        <v>37710</v>
      </c>
      <c r="I4695" s="41" t="s">
        <v>37711</v>
      </c>
      <c r="J4695" s="41" t="s">
        <v>37712</v>
      </c>
      <c r="K4695" s="41" t="s">
        <v>37713</v>
      </c>
      <c r="L4695" s="41" t="s">
        <v>37714</v>
      </c>
      <c r="M4695" s="41" t="s">
        <v>37715</v>
      </c>
      <c r="N4695" s="41" t="s">
        <v>37716</v>
      </c>
      <c r="O4695" s="41" t="s">
        <v>37717</v>
      </c>
      <c r="P4695" s="41" t="s">
        <v>37718</v>
      </c>
      <c r="Q4695" s="41" t="s">
        <v>37719</v>
      </c>
      <c r="R4695" s="41" t="s">
        <v>37720</v>
      </c>
      <c r="S4695" s="41" t="s">
        <v>37721</v>
      </c>
    </row>
    <row r="4696" spans="1:19" x14ac:dyDescent="0.25">
      <c r="A4696" s="41" t="s">
        <v>23</v>
      </c>
      <c r="B4696" s="41" t="s">
        <v>37722</v>
      </c>
      <c r="D4696" s="41" t="s">
        <v>37723</v>
      </c>
      <c r="F4696" s="41" t="s">
        <v>37724</v>
      </c>
      <c r="G4696" s="41" t="s">
        <v>37725</v>
      </c>
      <c r="H4696" s="41" t="s">
        <v>37726</v>
      </c>
      <c r="I4696" s="41" t="s">
        <v>37727</v>
      </c>
      <c r="J4696" s="41" t="s">
        <v>37728</v>
      </c>
      <c r="K4696" s="41" t="s">
        <v>37729</v>
      </c>
      <c r="L4696" s="41" t="s">
        <v>891</v>
      </c>
    </row>
    <row r="4697" spans="1:19" x14ac:dyDescent="0.25">
      <c r="A4697" s="41" t="s">
        <v>23</v>
      </c>
      <c r="B4697" s="41" t="s">
        <v>37730</v>
      </c>
      <c r="D4697" s="41" t="s">
        <v>37731</v>
      </c>
      <c r="F4697" s="41" t="s">
        <v>37732</v>
      </c>
      <c r="G4697" s="41" t="s">
        <v>37733</v>
      </c>
      <c r="H4697" s="41" t="s">
        <v>37734</v>
      </c>
      <c r="I4697" s="41" t="s">
        <v>37735</v>
      </c>
      <c r="J4697" s="41" t="s">
        <v>37736</v>
      </c>
      <c r="K4697" s="41" t="s">
        <v>37737</v>
      </c>
      <c r="L4697" s="41" t="s">
        <v>1076</v>
      </c>
    </row>
    <row r="4698" spans="1:19" x14ac:dyDescent="0.25">
      <c r="A4698" s="41" t="s">
        <v>23</v>
      </c>
      <c r="B4698" s="41" t="s">
        <v>37738</v>
      </c>
      <c r="D4698" s="41" t="s">
        <v>37739</v>
      </c>
      <c r="F4698" s="41" t="s">
        <v>37740</v>
      </c>
      <c r="G4698" s="41" t="s">
        <v>37741</v>
      </c>
      <c r="H4698" s="41" t="s">
        <v>37742</v>
      </c>
      <c r="I4698" s="41" t="s">
        <v>37743</v>
      </c>
      <c r="J4698" s="41" t="s">
        <v>37744</v>
      </c>
      <c r="K4698" s="41" t="s">
        <v>37745</v>
      </c>
      <c r="L4698" s="41" t="s">
        <v>1085</v>
      </c>
    </row>
    <row r="4699" spans="1:19" x14ac:dyDescent="0.25">
      <c r="A4699" s="41" t="s">
        <v>23</v>
      </c>
      <c r="B4699" s="41" t="s">
        <v>37746</v>
      </c>
      <c r="D4699" s="41" t="s">
        <v>37747</v>
      </c>
      <c r="F4699" s="41" t="s">
        <v>37748</v>
      </c>
      <c r="G4699" s="41" t="s">
        <v>37749</v>
      </c>
      <c r="H4699" s="41" t="s">
        <v>37750</v>
      </c>
      <c r="I4699" s="41" t="s">
        <v>37751</v>
      </c>
      <c r="J4699" s="41" t="s">
        <v>37752</v>
      </c>
      <c r="K4699" s="41" t="s">
        <v>37753</v>
      </c>
      <c r="L4699" s="41" t="s">
        <v>1094</v>
      </c>
    </row>
    <row r="4700" spans="1:19" x14ac:dyDescent="0.25">
      <c r="A4700" s="41" t="s">
        <v>908</v>
      </c>
      <c r="B4700" s="41" t="s">
        <v>37754</v>
      </c>
    </row>
    <row r="4701" spans="1:19" x14ac:dyDescent="0.25">
      <c r="A4701" s="41" t="s">
        <v>23</v>
      </c>
      <c r="B4701" s="41" t="s">
        <v>37755</v>
      </c>
      <c r="F4701" s="41" t="s">
        <v>37756</v>
      </c>
      <c r="G4701" s="41" t="s">
        <v>37757</v>
      </c>
      <c r="H4701" s="41" t="s">
        <v>37758</v>
      </c>
      <c r="I4701" s="41" t="s">
        <v>37759</v>
      </c>
      <c r="J4701" s="41" t="s">
        <v>37760</v>
      </c>
      <c r="L4701" s="41" t="s">
        <v>4</v>
      </c>
    </row>
    <row r="4702" spans="1:19" x14ac:dyDescent="0.25">
      <c r="A4702" s="41" t="s">
        <v>23</v>
      </c>
      <c r="B4702" s="41" t="s">
        <v>37761</v>
      </c>
      <c r="D4702" s="41" t="s">
        <v>526</v>
      </c>
      <c r="E4702" s="41" t="s">
        <v>37762</v>
      </c>
      <c r="F4702" s="41" t="s">
        <v>37763</v>
      </c>
      <c r="G4702" s="41" t="s">
        <v>37764</v>
      </c>
      <c r="H4702" s="41" t="s">
        <v>37765</v>
      </c>
      <c r="I4702" s="41" t="s">
        <v>37766</v>
      </c>
      <c r="J4702" s="41" t="s">
        <v>37767</v>
      </c>
      <c r="K4702" s="41" t="s">
        <v>37768</v>
      </c>
      <c r="L4702" s="41" t="s">
        <v>37769</v>
      </c>
      <c r="M4702" s="41" t="s">
        <v>37770</v>
      </c>
      <c r="N4702" s="41" t="s">
        <v>37771</v>
      </c>
      <c r="O4702" s="41" t="s">
        <v>37772</v>
      </c>
      <c r="P4702" s="41" t="s">
        <v>37773</v>
      </c>
      <c r="Q4702" s="41" t="s">
        <v>37774</v>
      </c>
      <c r="R4702" s="41" t="s">
        <v>37775</v>
      </c>
      <c r="S4702" s="41" t="s">
        <v>37776</v>
      </c>
    </row>
    <row r="4703" spans="1:19" x14ac:dyDescent="0.25">
      <c r="A4703" s="41" t="s">
        <v>23</v>
      </c>
      <c r="B4703" s="41" t="s">
        <v>37777</v>
      </c>
      <c r="D4703" s="41" t="s">
        <v>37778</v>
      </c>
      <c r="F4703" s="41" t="s">
        <v>37779</v>
      </c>
      <c r="G4703" s="41" t="s">
        <v>37780</v>
      </c>
      <c r="H4703" s="41" t="s">
        <v>37781</v>
      </c>
      <c r="I4703" s="41" t="s">
        <v>37782</v>
      </c>
      <c r="J4703" s="41" t="s">
        <v>37783</v>
      </c>
      <c r="K4703" s="41" t="s">
        <v>37784</v>
      </c>
      <c r="L4703" s="41" t="s">
        <v>891</v>
      </c>
    </row>
    <row r="4704" spans="1:19" x14ac:dyDescent="0.25">
      <c r="A4704" s="41" t="s">
        <v>23</v>
      </c>
      <c r="B4704" s="41" t="s">
        <v>37785</v>
      </c>
      <c r="D4704" s="41" t="s">
        <v>37786</v>
      </c>
      <c r="F4704" s="41" t="s">
        <v>37787</v>
      </c>
      <c r="G4704" s="41" t="s">
        <v>37788</v>
      </c>
      <c r="H4704" s="41" t="s">
        <v>37789</v>
      </c>
      <c r="I4704" s="41" t="s">
        <v>37790</v>
      </c>
      <c r="J4704" s="41" t="s">
        <v>37791</v>
      </c>
      <c r="K4704" s="41" t="s">
        <v>37792</v>
      </c>
      <c r="L4704" s="41" t="s">
        <v>1076</v>
      </c>
    </row>
    <row r="4705" spans="1:19" x14ac:dyDescent="0.25">
      <c r="A4705" s="41" t="s">
        <v>23</v>
      </c>
      <c r="B4705" s="41" t="s">
        <v>37793</v>
      </c>
      <c r="D4705" s="41" t="s">
        <v>37794</v>
      </c>
      <c r="F4705" s="41" t="s">
        <v>37795</v>
      </c>
      <c r="G4705" s="41" t="s">
        <v>37796</v>
      </c>
      <c r="H4705" s="41" t="s">
        <v>37797</v>
      </c>
      <c r="I4705" s="41" t="s">
        <v>37798</v>
      </c>
      <c r="J4705" s="41" t="s">
        <v>37799</v>
      </c>
      <c r="K4705" s="41" t="s">
        <v>37800</v>
      </c>
      <c r="L4705" s="41" t="s">
        <v>1085</v>
      </c>
    </row>
    <row r="4706" spans="1:19" x14ac:dyDescent="0.25">
      <c r="A4706" s="41" t="s">
        <v>23</v>
      </c>
      <c r="B4706" s="41" t="s">
        <v>37801</v>
      </c>
      <c r="D4706" s="41" t="s">
        <v>37802</v>
      </c>
      <c r="F4706" s="41" t="s">
        <v>37803</v>
      </c>
      <c r="G4706" s="41" t="s">
        <v>37804</v>
      </c>
      <c r="H4706" s="41" t="s">
        <v>37805</v>
      </c>
      <c r="I4706" s="41" t="s">
        <v>37806</v>
      </c>
      <c r="J4706" s="41" t="s">
        <v>37807</v>
      </c>
      <c r="K4706" s="41" t="s">
        <v>37808</v>
      </c>
      <c r="L4706" s="41" t="s">
        <v>1094</v>
      </c>
    </row>
    <row r="4707" spans="1:19" x14ac:dyDescent="0.25">
      <c r="A4707" s="41" t="s">
        <v>908</v>
      </c>
      <c r="B4707" s="41" t="s">
        <v>37809</v>
      </c>
    </row>
    <row r="4708" spans="1:19" x14ac:dyDescent="0.25">
      <c r="A4708" s="41" t="s">
        <v>23</v>
      </c>
      <c r="B4708" s="41" t="s">
        <v>37810</v>
      </c>
      <c r="F4708" s="41" t="s">
        <v>37811</v>
      </c>
      <c r="G4708" s="41" t="s">
        <v>37812</v>
      </c>
      <c r="H4708" s="41" t="s">
        <v>37813</v>
      </c>
      <c r="I4708" s="41" t="s">
        <v>37814</v>
      </c>
      <c r="J4708" s="41" t="s">
        <v>37815</v>
      </c>
      <c r="L4708" s="41" t="s">
        <v>4</v>
      </c>
    </row>
    <row r="4709" spans="1:19" x14ac:dyDescent="0.25">
      <c r="A4709" s="41" t="s">
        <v>23</v>
      </c>
      <c r="B4709" s="41" t="s">
        <v>37816</v>
      </c>
      <c r="D4709" s="41" t="s">
        <v>527</v>
      </c>
      <c r="E4709" s="41" t="s">
        <v>37817</v>
      </c>
      <c r="F4709" s="41" t="s">
        <v>37818</v>
      </c>
      <c r="G4709" s="41" t="s">
        <v>37819</v>
      </c>
      <c r="H4709" s="41" t="s">
        <v>37820</v>
      </c>
      <c r="I4709" s="41" t="s">
        <v>37821</v>
      </c>
      <c r="J4709" s="41" t="s">
        <v>37822</v>
      </c>
      <c r="K4709" s="41" t="s">
        <v>37823</v>
      </c>
      <c r="L4709" s="41" t="s">
        <v>37824</v>
      </c>
      <c r="M4709" s="41" t="s">
        <v>37825</v>
      </c>
      <c r="N4709" s="41" t="s">
        <v>37826</v>
      </c>
      <c r="O4709" s="41" t="s">
        <v>37827</v>
      </c>
      <c r="P4709" s="41" t="s">
        <v>37828</v>
      </c>
      <c r="Q4709" s="41" t="s">
        <v>37829</v>
      </c>
      <c r="R4709" s="41" t="s">
        <v>37830</v>
      </c>
      <c r="S4709" s="41" t="s">
        <v>37831</v>
      </c>
    </row>
    <row r="4710" spans="1:19" x14ac:dyDescent="0.25">
      <c r="A4710" s="41" t="s">
        <v>23</v>
      </c>
      <c r="B4710" s="41" t="s">
        <v>37832</v>
      </c>
      <c r="D4710" s="41" t="s">
        <v>37833</v>
      </c>
      <c r="F4710" s="41" t="s">
        <v>37834</v>
      </c>
      <c r="G4710" s="41" t="s">
        <v>37835</v>
      </c>
      <c r="H4710" s="41" t="s">
        <v>37836</v>
      </c>
      <c r="I4710" s="41" t="s">
        <v>37837</v>
      </c>
      <c r="J4710" s="41" t="s">
        <v>37838</v>
      </c>
      <c r="K4710" s="41" t="s">
        <v>37839</v>
      </c>
      <c r="L4710" s="41" t="s">
        <v>891</v>
      </c>
    </row>
    <row r="4711" spans="1:19" x14ac:dyDescent="0.25">
      <c r="A4711" s="41" t="s">
        <v>23</v>
      </c>
      <c r="B4711" s="41" t="s">
        <v>37840</v>
      </c>
      <c r="D4711" s="41" t="s">
        <v>37841</v>
      </c>
      <c r="F4711" s="41" t="s">
        <v>37842</v>
      </c>
      <c r="G4711" s="41" t="s">
        <v>37843</v>
      </c>
      <c r="H4711" s="41" t="s">
        <v>37844</v>
      </c>
      <c r="I4711" s="41" t="s">
        <v>37845</v>
      </c>
      <c r="J4711" s="41" t="s">
        <v>37846</v>
      </c>
      <c r="K4711" s="41" t="s">
        <v>37847</v>
      </c>
      <c r="L4711" s="41" t="s">
        <v>1076</v>
      </c>
    </row>
    <row r="4712" spans="1:19" x14ac:dyDescent="0.25">
      <c r="A4712" s="41" t="s">
        <v>23</v>
      </c>
      <c r="B4712" s="41" t="s">
        <v>37848</v>
      </c>
      <c r="D4712" s="41" t="s">
        <v>37849</v>
      </c>
      <c r="F4712" s="41" t="s">
        <v>37850</v>
      </c>
      <c r="G4712" s="41" t="s">
        <v>37851</v>
      </c>
      <c r="H4712" s="41" t="s">
        <v>37852</v>
      </c>
      <c r="I4712" s="41" t="s">
        <v>37853</v>
      </c>
      <c r="J4712" s="41" t="s">
        <v>37854</v>
      </c>
      <c r="K4712" s="41" t="s">
        <v>37855</v>
      </c>
      <c r="L4712" s="41" t="s">
        <v>1085</v>
      </c>
    </row>
    <row r="4713" spans="1:19" x14ac:dyDescent="0.25">
      <c r="A4713" s="41" t="s">
        <v>23</v>
      </c>
      <c r="B4713" s="41" t="s">
        <v>37856</v>
      </c>
      <c r="D4713" s="41" t="s">
        <v>37857</v>
      </c>
      <c r="F4713" s="41" t="s">
        <v>37858</v>
      </c>
      <c r="G4713" s="41" t="s">
        <v>37859</v>
      </c>
      <c r="H4713" s="41" t="s">
        <v>37860</v>
      </c>
      <c r="I4713" s="41" t="s">
        <v>37861</v>
      </c>
      <c r="J4713" s="41" t="s">
        <v>37862</v>
      </c>
      <c r="K4713" s="41" t="s">
        <v>37863</v>
      </c>
      <c r="L4713" s="41" t="s">
        <v>1094</v>
      </c>
    </row>
    <row r="4714" spans="1:19" x14ac:dyDescent="0.25">
      <c r="A4714" s="41" t="s">
        <v>908</v>
      </c>
      <c r="B4714" s="41" t="s">
        <v>37864</v>
      </c>
    </row>
    <row r="4715" spans="1:19" x14ac:dyDescent="0.25">
      <c r="A4715" s="41" t="s">
        <v>23</v>
      </c>
      <c r="B4715" s="41" t="s">
        <v>37865</v>
      </c>
      <c r="F4715" s="41" t="s">
        <v>37866</v>
      </c>
      <c r="G4715" s="41" t="s">
        <v>37867</v>
      </c>
      <c r="H4715" s="41" t="s">
        <v>37868</v>
      </c>
      <c r="I4715" s="41" t="s">
        <v>37869</v>
      </c>
      <c r="J4715" s="41" t="s">
        <v>37870</v>
      </c>
      <c r="L4715" s="41" t="s">
        <v>4</v>
      </c>
    </row>
    <row r="4716" spans="1:19" x14ac:dyDescent="0.25">
      <c r="A4716" s="41" t="s">
        <v>23</v>
      </c>
      <c r="B4716" s="41" t="s">
        <v>37871</v>
      </c>
      <c r="D4716" s="41" t="s">
        <v>528</v>
      </c>
      <c r="E4716" s="41" t="s">
        <v>37872</v>
      </c>
      <c r="F4716" s="41" t="s">
        <v>37873</v>
      </c>
      <c r="G4716" s="41" t="s">
        <v>37874</v>
      </c>
      <c r="H4716" s="41" t="s">
        <v>37875</v>
      </c>
      <c r="I4716" s="41" t="s">
        <v>37876</v>
      </c>
      <c r="J4716" s="41" t="s">
        <v>37877</v>
      </c>
      <c r="K4716" s="41" t="s">
        <v>37878</v>
      </c>
      <c r="L4716" s="41" t="s">
        <v>37879</v>
      </c>
      <c r="M4716" s="41" t="s">
        <v>37880</v>
      </c>
      <c r="N4716" s="41" t="s">
        <v>37881</v>
      </c>
      <c r="O4716" s="41" t="s">
        <v>37882</v>
      </c>
      <c r="P4716" s="41" t="s">
        <v>37883</v>
      </c>
      <c r="Q4716" s="41" t="s">
        <v>37884</v>
      </c>
      <c r="R4716" s="41" t="s">
        <v>37885</v>
      </c>
      <c r="S4716" s="41" t="s">
        <v>37886</v>
      </c>
    </row>
    <row r="4717" spans="1:19" x14ac:dyDescent="0.25">
      <c r="A4717" s="41" t="s">
        <v>23</v>
      </c>
      <c r="B4717" s="41" t="s">
        <v>37887</v>
      </c>
      <c r="D4717" s="41" t="s">
        <v>37888</v>
      </c>
      <c r="F4717" s="41" t="s">
        <v>37889</v>
      </c>
      <c r="G4717" s="41" t="s">
        <v>37890</v>
      </c>
      <c r="H4717" s="41" t="s">
        <v>37891</v>
      </c>
      <c r="I4717" s="41" t="s">
        <v>37892</v>
      </c>
      <c r="J4717" s="41" t="s">
        <v>37893</v>
      </c>
      <c r="K4717" s="41" t="s">
        <v>37894</v>
      </c>
      <c r="L4717" s="41" t="s">
        <v>891</v>
      </c>
    </row>
    <row r="4718" spans="1:19" x14ac:dyDescent="0.25">
      <c r="A4718" s="41" t="s">
        <v>23</v>
      </c>
      <c r="B4718" s="41" t="s">
        <v>37895</v>
      </c>
      <c r="D4718" s="41" t="s">
        <v>37896</v>
      </c>
      <c r="F4718" s="41" t="s">
        <v>37897</v>
      </c>
      <c r="G4718" s="41" t="s">
        <v>37898</v>
      </c>
      <c r="H4718" s="41" t="s">
        <v>37899</v>
      </c>
      <c r="I4718" s="41" t="s">
        <v>37900</v>
      </c>
      <c r="J4718" s="41" t="s">
        <v>37901</v>
      </c>
      <c r="K4718" s="41" t="s">
        <v>37902</v>
      </c>
      <c r="L4718" s="41" t="s">
        <v>1076</v>
      </c>
    </row>
    <row r="4719" spans="1:19" x14ac:dyDescent="0.25">
      <c r="A4719" s="41" t="s">
        <v>23</v>
      </c>
      <c r="B4719" s="41" t="s">
        <v>37903</v>
      </c>
      <c r="D4719" s="41" t="s">
        <v>37904</v>
      </c>
      <c r="F4719" s="41" t="s">
        <v>37905</v>
      </c>
      <c r="G4719" s="41" t="s">
        <v>37906</v>
      </c>
      <c r="H4719" s="41" t="s">
        <v>37907</v>
      </c>
      <c r="I4719" s="41" t="s">
        <v>37908</v>
      </c>
      <c r="J4719" s="41" t="s">
        <v>37909</v>
      </c>
      <c r="K4719" s="41" t="s">
        <v>37910</v>
      </c>
      <c r="L4719" s="41" t="s">
        <v>1085</v>
      </c>
    </row>
    <row r="4720" spans="1:19" x14ac:dyDescent="0.25">
      <c r="A4720" s="41" t="s">
        <v>23</v>
      </c>
      <c r="B4720" s="41" t="s">
        <v>37911</v>
      </c>
      <c r="D4720" s="41" t="s">
        <v>37912</v>
      </c>
      <c r="F4720" s="41" t="s">
        <v>37913</v>
      </c>
      <c r="G4720" s="41" t="s">
        <v>37914</v>
      </c>
      <c r="H4720" s="41" t="s">
        <v>37915</v>
      </c>
      <c r="I4720" s="41" t="s">
        <v>37916</v>
      </c>
      <c r="J4720" s="41" t="s">
        <v>37917</v>
      </c>
      <c r="K4720" s="41" t="s">
        <v>37918</v>
      </c>
      <c r="L4720" s="41" t="s">
        <v>1094</v>
      </c>
    </row>
    <row r="4721" spans="1:19" x14ac:dyDescent="0.25">
      <c r="A4721" s="41" t="s">
        <v>908</v>
      </c>
      <c r="B4721" s="41" t="s">
        <v>37919</v>
      </c>
    </row>
    <row r="4722" spans="1:19" x14ac:dyDescent="0.25">
      <c r="A4722" s="41" t="s">
        <v>23</v>
      </c>
      <c r="B4722" s="41" t="s">
        <v>37920</v>
      </c>
      <c r="F4722" s="41" t="s">
        <v>37921</v>
      </c>
      <c r="G4722" s="41" t="s">
        <v>37922</v>
      </c>
      <c r="H4722" s="41" t="s">
        <v>37923</v>
      </c>
      <c r="I4722" s="41" t="s">
        <v>37924</v>
      </c>
      <c r="J4722" s="41" t="s">
        <v>37925</v>
      </c>
      <c r="L4722" s="41" t="s">
        <v>4</v>
      </c>
    </row>
    <row r="4723" spans="1:19" x14ac:dyDescent="0.25">
      <c r="A4723" s="41" t="s">
        <v>23</v>
      </c>
      <c r="B4723" s="41" t="s">
        <v>37926</v>
      </c>
      <c r="D4723" s="41" t="s">
        <v>529</v>
      </c>
      <c r="E4723" s="41" t="s">
        <v>37928</v>
      </c>
      <c r="F4723" s="41" t="s">
        <v>37929</v>
      </c>
      <c r="G4723" s="41" t="s">
        <v>37930</v>
      </c>
      <c r="H4723" s="41" t="s">
        <v>37931</v>
      </c>
      <c r="I4723" s="41" t="s">
        <v>37932</v>
      </c>
      <c r="J4723" s="41" t="s">
        <v>37933</v>
      </c>
      <c r="K4723" s="41" t="s">
        <v>37934</v>
      </c>
      <c r="L4723" s="41" t="s">
        <v>37935</v>
      </c>
      <c r="M4723" s="41" t="s">
        <v>37936</v>
      </c>
      <c r="N4723" s="41" t="s">
        <v>37937</v>
      </c>
      <c r="O4723" s="41" t="s">
        <v>37938</v>
      </c>
      <c r="P4723" s="41" t="s">
        <v>37939</v>
      </c>
      <c r="Q4723" s="41" t="s">
        <v>37940</v>
      </c>
      <c r="R4723" s="41" t="s">
        <v>37941</v>
      </c>
      <c r="S4723" s="41" t="s">
        <v>37942</v>
      </c>
    </row>
    <row r="4724" spans="1:19" x14ac:dyDescent="0.25">
      <c r="A4724" s="41" t="s">
        <v>23</v>
      </c>
      <c r="B4724" s="41" t="s">
        <v>37943</v>
      </c>
      <c r="D4724" s="41" t="s">
        <v>37944</v>
      </c>
      <c r="F4724" s="41" t="s">
        <v>37945</v>
      </c>
      <c r="G4724" s="41" t="s">
        <v>37946</v>
      </c>
      <c r="H4724" s="41" t="s">
        <v>37947</v>
      </c>
      <c r="I4724" s="41" t="s">
        <v>37948</v>
      </c>
      <c r="J4724" s="41" t="s">
        <v>37949</v>
      </c>
      <c r="K4724" s="41" t="s">
        <v>37950</v>
      </c>
      <c r="L4724" s="41" t="s">
        <v>891</v>
      </c>
    </row>
    <row r="4725" spans="1:19" x14ac:dyDescent="0.25">
      <c r="A4725" s="41" t="s">
        <v>23</v>
      </c>
      <c r="B4725" s="41" t="s">
        <v>37951</v>
      </c>
      <c r="D4725" s="41" t="s">
        <v>37952</v>
      </c>
      <c r="F4725" s="41" t="s">
        <v>37953</v>
      </c>
      <c r="G4725" s="41" t="s">
        <v>37954</v>
      </c>
      <c r="H4725" s="41" t="s">
        <v>37955</v>
      </c>
      <c r="I4725" s="41" t="s">
        <v>37956</v>
      </c>
      <c r="J4725" s="41" t="s">
        <v>37957</v>
      </c>
      <c r="K4725" s="41" t="s">
        <v>37958</v>
      </c>
      <c r="L4725" s="41" t="s">
        <v>1076</v>
      </c>
    </row>
    <row r="4726" spans="1:19" x14ac:dyDescent="0.25">
      <c r="A4726" s="41" t="s">
        <v>23</v>
      </c>
      <c r="B4726" s="41" t="s">
        <v>37959</v>
      </c>
      <c r="D4726" s="41" t="s">
        <v>37960</v>
      </c>
      <c r="F4726" s="41" t="s">
        <v>37961</v>
      </c>
      <c r="G4726" s="41" t="s">
        <v>37962</v>
      </c>
      <c r="H4726" s="41" t="s">
        <v>37963</v>
      </c>
      <c r="I4726" s="41" t="s">
        <v>37964</v>
      </c>
      <c r="J4726" s="41" t="s">
        <v>37965</v>
      </c>
      <c r="K4726" s="41" t="s">
        <v>37966</v>
      </c>
      <c r="L4726" s="41" t="s">
        <v>1085</v>
      </c>
    </row>
    <row r="4727" spans="1:19" x14ac:dyDescent="0.25">
      <c r="A4727" s="41" t="s">
        <v>23</v>
      </c>
      <c r="B4727" s="41" t="s">
        <v>37967</v>
      </c>
      <c r="D4727" s="41" t="s">
        <v>37968</v>
      </c>
      <c r="F4727" s="41" t="s">
        <v>37969</v>
      </c>
      <c r="G4727" s="41" t="s">
        <v>37970</v>
      </c>
      <c r="H4727" s="41" t="s">
        <v>37971</v>
      </c>
      <c r="I4727" s="41" t="s">
        <v>37972</v>
      </c>
      <c r="J4727" s="41" t="s">
        <v>37973</v>
      </c>
      <c r="K4727" s="41" t="s">
        <v>37974</v>
      </c>
      <c r="L4727" s="41" t="s">
        <v>1094</v>
      </c>
    </row>
    <row r="4728" spans="1:19" x14ac:dyDescent="0.25">
      <c r="A4728" s="41" t="s">
        <v>908</v>
      </c>
      <c r="B4728" s="41" t="s">
        <v>37975</v>
      </c>
    </row>
    <row r="4729" spans="1:19" x14ac:dyDescent="0.25">
      <c r="A4729" s="41" t="s">
        <v>23</v>
      </c>
      <c r="B4729" s="41" t="s">
        <v>37976</v>
      </c>
      <c r="F4729" s="41" t="s">
        <v>37977</v>
      </c>
      <c r="G4729" s="41" t="s">
        <v>37978</v>
      </c>
      <c r="H4729" s="41" t="s">
        <v>37979</v>
      </c>
      <c r="I4729" s="41" t="s">
        <v>37980</v>
      </c>
      <c r="J4729" s="41" t="s">
        <v>37981</v>
      </c>
      <c r="L4729" s="41" t="s">
        <v>4</v>
      </c>
    </row>
    <row r="4730" spans="1:19" x14ac:dyDescent="0.25">
      <c r="A4730" s="41" t="s">
        <v>23</v>
      </c>
      <c r="B4730" s="41" t="s">
        <v>37982</v>
      </c>
      <c r="D4730" s="41" t="s">
        <v>530</v>
      </c>
      <c r="E4730" s="41" t="s">
        <v>37984</v>
      </c>
      <c r="F4730" s="41" t="s">
        <v>37985</v>
      </c>
      <c r="G4730" s="41" t="s">
        <v>37986</v>
      </c>
      <c r="H4730" s="41" t="s">
        <v>37987</v>
      </c>
      <c r="I4730" s="41" t="s">
        <v>37988</v>
      </c>
      <c r="J4730" s="41" t="s">
        <v>37989</v>
      </c>
      <c r="K4730" s="41" t="s">
        <v>37990</v>
      </c>
      <c r="L4730" s="41" t="s">
        <v>37991</v>
      </c>
      <c r="M4730" s="41" t="s">
        <v>37992</v>
      </c>
      <c r="N4730" s="41" t="s">
        <v>37993</v>
      </c>
      <c r="O4730" s="41" t="s">
        <v>37994</v>
      </c>
      <c r="P4730" s="41" t="s">
        <v>37995</v>
      </c>
      <c r="Q4730" s="41" t="s">
        <v>37996</v>
      </c>
      <c r="R4730" s="41" t="s">
        <v>37997</v>
      </c>
      <c r="S4730" s="41" t="s">
        <v>37998</v>
      </c>
    </row>
    <row r="4731" spans="1:19" x14ac:dyDescent="0.25">
      <c r="A4731" s="41" t="s">
        <v>23</v>
      </c>
      <c r="B4731" s="41" t="s">
        <v>37999</v>
      </c>
      <c r="D4731" s="41" t="s">
        <v>38000</v>
      </c>
      <c r="F4731" s="41" t="s">
        <v>38001</v>
      </c>
      <c r="G4731" s="41" t="s">
        <v>38002</v>
      </c>
      <c r="H4731" s="41" t="s">
        <v>38003</v>
      </c>
      <c r="I4731" s="41" t="s">
        <v>38004</v>
      </c>
      <c r="J4731" s="41" t="s">
        <v>38005</v>
      </c>
      <c r="K4731" s="41" t="s">
        <v>38006</v>
      </c>
      <c r="L4731" s="41" t="s">
        <v>891</v>
      </c>
    </row>
    <row r="4732" spans="1:19" x14ac:dyDescent="0.25">
      <c r="A4732" s="41" t="s">
        <v>23</v>
      </c>
      <c r="B4732" s="41" t="s">
        <v>38007</v>
      </c>
      <c r="D4732" s="41" t="s">
        <v>38008</v>
      </c>
      <c r="F4732" s="41" t="s">
        <v>38009</v>
      </c>
      <c r="G4732" s="41" t="s">
        <v>38010</v>
      </c>
      <c r="H4732" s="41" t="s">
        <v>38011</v>
      </c>
      <c r="I4732" s="41" t="s">
        <v>38012</v>
      </c>
      <c r="J4732" s="41" t="s">
        <v>38013</v>
      </c>
      <c r="K4732" s="41" t="s">
        <v>38014</v>
      </c>
      <c r="L4732" s="41" t="s">
        <v>1076</v>
      </c>
    </row>
    <row r="4733" spans="1:19" x14ac:dyDescent="0.25">
      <c r="A4733" s="41" t="s">
        <v>23</v>
      </c>
      <c r="B4733" s="41" t="s">
        <v>38015</v>
      </c>
      <c r="D4733" s="41" t="s">
        <v>38016</v>
      </c>
      <c r="F4733" s="41" t="s">
        <v>38017</v>
      </c>
      <c r="G4733" s="41" t="s">
        <v>38018</v>
      </c>
      <c r="H4733" s="41" t="s">
        <v>38019</v>
      </c>
      <c r="I4733" s="41" t="s">
        <v>38020</v>
      </c>
      <c r="J4733" s="41" t="s">
        <v>38021</v>
      </c>
      <c r="K4733" s="41" t="s">
        <v>38022</v>
      </c>
      <c r="L4733" s="41" t="s">
        <v>1085</v>
      </c>
    </row>
    <row r="4734" spans="1:19" x14ac:dyDescent="0.25">
      <c r="A4734" s="41" t="s">
        <v>23</v>
      </c>
      <c r="B4734" s="41" t="s">
        <v>38023</v>
      </c>
      <c r="D4734" s="41" t="s">
        <v>38024</v>
      </c>
      <c r="F4734" s="41" t="s">
        <v>38025</v>
      </c>
      <c r="G4734" s="41" t="s">
        <v>38026</v>
      </c>
      <c r="H4734" s="41" t="s">
        <v>38027</v>
      </c>
      <c r="I4734" s="41" t="s">
        <v>38028</v>
      </c>
      <c r="J4734" s="41" t="s">
        <v>38029</v>
      </c>
      <c r="K4734" s="41" t="s">
        <v>38030</v>
      </c>
      <c r="L4734" s="41" t="s">
        <v>1094</v>
      </c>
    </row>
    <row r="4735" spans="1:19" x14ac:dyDescent="0.25">
      <c r="A4735" s="41" t="s">
        <v>908</v>
      </c>
      <c r="B4735" s="41" t="s">
        <v>38031</v>
      </c>
    </row>
    <row r="4736" spans="1:19" x14ac:dyDescent="0.25">
      <c r="A4736" s="41" t="s">
        <v>23</v>
      </c>
      <c r="B4736" s="41" t="s">
        <v>38032</v>
      </c>
      <c r="F4736" s="41" t="s">
        <v>38033</v>
      </c>
      <c r="G4736" s="41" t="s">
        <v>38034</v>
      </c>
      <c r="H4736" s="41" t="s">
        <v>38035</v>
      </c>
      <c r="I4736" s="41" t="s">
        <v>38036</v>
      </c>
      <c r="J4736" s="41" t="s">
        <v>38037</v>
      </c>
      <c r="L4736" s="41" t="s">
        <v>4</v>
      </c>
    </row>
    <row r="4737" spans="1:19" x14ac:dyDescent="0.25">
      <c r="A4737" s="41" t="s">
        <v>23</v>
      </c>
      <c r="B4737" s="41" t="s">
        <v>38038</v>
      </c>
      <c r="D4737" s="41" t="s">
        <v>502</v>
      </c>
      <c r="E4737" s="41" t="s">
        <v>38040</v>
      </c>
      <c r="F4737" s="41" t="s">
        <v>38041</v>
      </c>
      <c r="G4737" s="41" t="s">
        <v>38042</v>
      </c>
      <c r="H4737" s="41" t="s">
        <v>38043</v>
      </c>
      <c r="I4737" s="41" t="s">
        <v>38044</v>
      </c>
      <c r="J4737" s="41" t="s">
        <v>38045</v>
      </c>
      <c r="K4737" s="41" t="s">
        <v>38046</v>
      </c>
      <c r="L4737" s="41" t="s">
        <v>38047</v>
      </c>
      <c r="M4737" s="41" t="s">
        <v>38048</v>
      </c>
      <c r="N4737" s="41" t="s">
        <v>38049</v>
      </c>
      <c r="O4737" s="41" t="s">
        <v>38050</v>
      </c>
      <c r="P4737" s="41" t="s">
        <v>38051</v>
      </c>
      <c r="Q4737" s="41" t="s">
        <v>38052</v>
      </c>
      <c r="R4737" s="41" t="s">
        <v>38053</v>
      </c>
      <c r="S4737" s="41" t="s">
        <v>38054</v>
      </c>
    </row>
    <row r="4738" spans="1:19" x14ac:dyDescent="0.25">
      <c r="A4738" s="41" t="s">
        <v>23</v>
      </c>
      <c r="B4738" s="41" t="s">
        <v>38055</v>
      </c>
      <c r="D4738" s="41" t="s">
        <v>38056</v>
      </c>
      <c r="F4738" s="41" t="s">
        <v>38057</v>
      </c>
      <c r="G4738" s="41" t="s">
        <v>38058</v>
      </c>
      <c r="H4738" s="41" t="s">
        <v>38059</v>
      </c>
      <c r="I4738" s="41" t="s">
        <v>38060</v>
      </c>
      <c r="J4738" s="41" t="s">
        <v>38061</v>
      </c>
      <c r="K4738" s="41" t="s">
        <v>38062</v>
      </c>
      <c r="L4738" s="41" t="s">
        <v>891</v>
      </c>
    </row>
    <row r="4739" spans="1:19" x14ac:dyDescent="0.25">
      <c r="A4739" s="41" t="s">
        <v>23</v>
      </c>
      <c r="B4739" s="41" t="s">
        <v>38063</v>
      </c>
      <c r="D4739" s="41" t="s">
        <v>38064</v>
      </c>
      <c r="F4739" s="41" t="s">
        <v>38065</v>
      </c>
      <c r="G4739" s="41" t="s">
        <v>38066</v>
      </c>
      <c r="H4739" s="41" t="s">
        <v>38067</v>
      </c>
      <c r="I4739" s="41" t="s">
        <v>38068</v>
      </c>
      <c r="J4739" s="41" t="s">
        <v>38069</v>
      </c>
      <c r="K4739" s="41" t="s">
        <v>38070</v>
      </c>
      <c r="L4739" s="41" t="s">
        <v>1076</v>
      </c>
    </row>
    <row r="4740" spans="1:19" x14ac:dyDescent="0.25">
      <c r="A4740" s="41" t="s">
        <v>23</v>
      </c>
      <c r="B4740" s="41" t="s">
        <v>38071</v>
      </c>
      <c r="D4740" s="41" t="s">
        <v>38072</v>
      </c>
      <c r="F4740" s="41" t="s">
        <v>38073</v>
      </c>
      <c r="G4740" s="41" t="s">
        <v>38074</v>
      </c>
      <c r="H4740" s="41" t="s">
        <v>38075</v>
      </c>
      <c r="I4740" s="41" t="s">
        <v>38076</v>
      </c>
      <c r="J4740" s="41" t="s">
        <v>38077</v>
      </c>
      <c r="K4740" s="41" t="s">
        <v>38078</v>
      </c>
      <c r="L4740" s="41" t="s">
        <v>1085</v>
      </c>
    </row>
    <row r="4741" spans="1:19" x14ac:dyDescent="0.25">
      <c r="A4741" s="41" t="s">
        <v>23</v>
      </c>
      <c r="B4741" s="41" t="s">
        <v>38079</v>
      </c>
      <c r="D4741" s="41" t="s">
        <v>38080</v>
      </c>
      <c r="F4741" s="41" t="s">
        <v>38081</v>
      </c>
      <c r="G4741" s="41" t="s">
        <v>38082</v>
      </c>
      <c r="H4741" s="41" t="s">
        <v>38083</v>
      </c>
      <c r="I4741" s="41" t="s">
        <v>38084</v>
      </c>
      <c r="J4741" s="41" t="s">
        <v>38085</v>
      </c>
      <c r="K4741" s="41" t="s">
        <v>38086</v>
      </c>
      <c r="L4741" s="41" t="s">
        <v>1094</v>
      </c>
    </row>
    <row r="4742" spans="1:19" x14ac:dyDescent="0.25">
      <c r="A4742" s="41" t="s">
        <v>908</v>
      </c>
      <c r="B4742" s="41" t="s">
        <v>38087</v>
      </c>
    </row>
    <row r="4743" spans="1:19" x14ac:dyDescent="0.25">
      <c r="A4743" s="41" t="s">
        <v>23</v>
      </c>
      <c r="B4743" s="41" t="s">
        <v>38088</v>
      </c>
      <c r="F4743" s="41" t="s">
        <v>38089</v>
      </c>
      <c r="G4743" s="41" t="s">
        <v>38090</v>
      </c>
      <c r="H4743" s="41" t="s">
        <v>38091</v>
      </c>
      <c r="I4743" s="41" t="s">
        <v>38092</v>
      </c>
      <c r="J4743" s="41" t="s">
        <v>38093</v>
      </c>
      <c r="L4743" s="41" t="s">
        <v>4</v>
      </c>
    </row>
    <row r="4744" spans="1:19" x14ac:dyDescent="0.25">
      <c r="A4744" s="41" t="s">
        <v>23</v>
      </c>
      <c r="B4744" s="41" t="s">
        <v>38094</v>
      </c>
      <c r="D4744" s="41" t="s">
        <v>37927</v>
      </c>
      <c r="E4744" s="41" t="s">
        <v>38096</v>
      </c>
      <c r="F4744" s="41" t="s">
        <v>38097</v>
      </c>
      <c r="G4744" s="41" t="s">
        <v>38098</v>
      </c>
      <c r="H4744" s="41" t="s">
        <v>38099</v>
      </c>
      <c r="I4744" s="41" t="s">
        <v>38100</v>
      </c>
      <c r="J4744" s="41" t="s">
        <v>38101</v>
      </c>
      <c r="K4744" s="41" t="s">
        <v>38102</v>
      </c>
      <c r="L4744" s="41" t="s">
        <v>38103</v>
      </c>
      <c r="M4744" s="41" t="s">
        <v>38104</v>
      </c>
      <c r="N4744" s="41" t="s">
        <v>38105</v>
      </c>
      <c r="O4744" s="41" t="s">
        <v>38106</v>
      </c>
      <c r="P4744" s="41" t="s">
        <v>38107</v>
      </c>
      <c r="Q4744" s="41" t="s">
        <v>38108</v>
      </c>
      <c r="R4744" s="41" t="s">
        <v>38109</v>
      </c>
      <c r="S4744" s="41" t="s">
        <v>38110</v>
      </c>
    </row>
    <row r="4745" spans="1:19" x14ac:dyDescent="0.25">
      <c r="A4745" s="41" t="s">
        <v>23</v>
      </c>
      <c r="B4745" s="41" t="s">
        <v>38111</v>
      </c>
      <c r="D4745" s="41" t="s">
        <v>38112</v>
      </c>
      <c r="F4745" s="41" t="s">
        <v>38113</v>
      </c>
      <c r="G4745" s="41" t="s">
        <v>38114</v>
      </c>
      <c r="H4745" s="41" t="s">
        <v>38115</v>
      </c>
      <c r="I4745" s="41" t="s">
        <v>38116</v>
      </c>
      <c r="J4745" s="41" t="s">
        <v>38117</v>
      </c>
      <c r="K4745" s="41" t="s">
        <v>38118</v>
      </c>
      <c r="L4745" s="41" t="s">
        <v>891</v>
      </c>
    </row>
    <row r="4746" spans="1:19" x14ac:dyDescent="0.25">
      <c r="A4746" s="41" t="s">
        <v>23</v>
      </c>
      <c r="B4746" s="41" t="s">
        <v>38119</v>
      </c>
      <c r="D4746" s="41" t="s">
        <v>38120</v>
      </c>
      <c r="F4746" s="41" t="s">
        <v>38121</v>
      </c>
      <c r="G4746" s="41" t="s">
        <v>38122</v>
      </c>
      <c r="H4746" s="41" t="s">
        <v>38123</v>
      </c>
      <c r="I4746" s="41" t="s">
        <v>38124</v>
      </c>
      <c r="J4746" s="41" t="s">
        <v>38125</v>
      </c>
      <c r="K4746" s="41" t="s">
        <v>38126</v>
      </c>
      <c r="L4746" s="41" t="s">
        <v>1076</v>
      </c>
    </row>
    <row r="4747" spans="1:19" x14ac:dyDescent="0.25">
      <c r="A4747" s="41" t="s">
        <v>23</v>
      </c>
      <c r="B4747" s="41" t="s">
        <v>38127</v>
      </c>
      <c r="D4747" s="41" t="s">
        <v>38128</v>
      </c>
      <c r="F4747" s="41" t="s">
        <v>38129</v>
      </c>
      <c r="G4747" s="41" t="s">
        <v>38130</v>
      </c>
      <c r="H4747" s="41" t="s">
        <v>38131</v>
      </c>
      <c r="I4747" s="41" t="s">
        <v>38132</v>
      </c>
      <c r="J4747" s="41" t="s">
        <v>38133</v>
      </c>
      <c r="K4747" s="41" t="s">
        <v>38134</v>
      </c>
      <c r="L4747" s="41" t="s">
        <v>1085</v>
      </c>
    </row>
    <row r="4748" spans="1:19" x14ac:dyDescent="0.25">
      <c r="A4748" s="41" t="s">
        <v>23</v>
      </c>
      <c r="B4748" s="41" t="s">
        <v>38135</v>
      </c>
      <c r="D4748" s="41" t="s">
        <v>38136</v>
      </c>
      <c r="F4748" s="41" t="s">
        <v>38137</v>
      </c>
      <c r="G4748" s="41" t="s">
        <v>38138</v>
      </c>
      <c r="H4748" s="41" t="s">
        <v>38139</v>
      </c>
      <c r="I4748" s="41" t="s">
        <v>38140</v>
      </c>
      <c r="J4748" s="41" t="s">
        <v>38141</v>
      </c>
      <c r="K4748" s="41" t="s">
        <v>38142</v>
      </c>
      <c r="L4748" s="41" t="s">
        <v>1094</v>
      </c>
    </row>
    <row r="4749" spans="1:19" x14ac:dyDescent="0.25">
      <c r="A4749" s="41" t="s">
        <v>908</v>
      </c>
      <c r="B4749" s="41" t="s">
        <v>38143</v>
      </c>
    </row>
    <row r="4750" spans="1:19" x14ac:dyDescent="0.25">
      <c r="A4750" s="41" t="s">
        <v>23</v>
      </c>
      <c r="B4750" s="41" t="s">
        <v>38144</v>
      </c>
      <c r="F4750" s="41" t="s">
        <v>38145</v>
      </c>
      <c r="G4750" s="41" t="s">
        <v>38146</v>
      </c>
      <c r="H4750" s="41" t="s">
        <v>38147</v>
      </c>
      <c r="I4750" s="41" t="s">
        <v>38148</v>
      </c>
      <c r="J4750" s="41" t="s">
        <v>38149</v>
      </c>
      <c r="L4750" s="41" t="s">
        <v>4</v>
      </c>
    </row>
    <row r="4751" spans="1:19" x14ac:dyDescent="0.25">
      <c r="A4751" s="41" t="s">
        <v>23</v>
      </c>
      <c r="B4751" s="41" t="s">
        <v>38150</v>
      </c>
      <c r="D4751" s="41" t="s">
        <v>37983</v>
      </c>
      <c r="E4751" s="41" t="s">
        <v>38152</v>
      </c>
      <c r="F4751" s="41" t="s">
        <v>38153</v>
      </c>
      <c r="G4751" s="41" t="s">
        <v>38154</v>
      </c>
      <c r="H4751" s="41" t="s">
        <v>38155</v>
      </c>
      <c r="I4751" s="41" t="s">
        <v>38156</v>
      </c>
      <c r="J4751" s="41" t="s">
        <v>38157</v>
      </c>
      <c r="K4751" s="41" t="s">
        <v>38158</v>
      </c>
      <c r="L4751" s="41" t="s">
        <v>38159</v>
      </c>
      <c r="M4751" s="41" t="s">
        <v>38160</v>
      </c>
      <c r="N4751" s="41" t="s">
        <v>38161</v>
      </c>
      <c r="O4751" s="41" t="s">
        <v>38162</v>
      </c>
      <c r="P4751" s="41" t="s">
        <v>38163</v>
      </c>
      <c r="Q4751" s="41" t="s">
        <v>38164</v>
      </c>
      <c r="R4751" s="41" t="s">
        <v>38165</v>
      </c>
      <c r="S4751" s="41" t="s">
        <v>38166</v>
      </c>
    </row>
    <row r="4752" spans="1:19" x14ac:dyDescent="0.25">
      <c r="A4752" s="41" t="s">
        <v>23</v>
      </c>
      <c r="B4752" s="41" t="s">
        <v>38167</v>
      </c>
      <c r="D4752" s="41" t="s">
        <v>38168</v>
      </c>
      <c r="F4752" s="41" t="s">
        <v>38169</v>
      </c>
      <c r="G4752" s="41" t="s">
        <v>38170</v>
      </c>
      <c r="H4752" s="41" t="s">
        <v>38171</v>
      </c>
      <c r="I4752" s="41" t="s">
        <v>38172</v>
      </c>
      <c r="J4752" s="41" t="s">
        <v>38173</v>
      </c>
      <c r="K4752" s="41" t="s">
        <v>38174</v>
      </c>
      <c r="L4752" s="41" t="s">
        <v>891</v>
      </c>
    </row>
    <row r="4753" spans="1:19" x14ac:dyDescent="0.25">
      <c r="A4753" s="41" t="s">
        <v>23</v>
      </c>
      <c r="B4753" s="41" t="s">
        <v>38175</v>
      </c>
      <c r="D4753" s="41" t="s">
        <v>38176</v>
      </c>
      <c r="F4753" s="41" t="s">
        <v>38177</v>
      </c>
      <c r="G4753" s="41" t="s">
        <v>38178</v>
      </c>
      <c r="H4753" s="41" t="s">
        <v>38179</v>
      </c>
      <c r="I4753" s="41" t="s">
        <v>38180</v>
      </c>
      <c r="J4753" s="41" t="s">
        <v>38181</v>
      </c>
      <c r="K4753" s="41" t="s">
        <v>38182</v>
      </c>
      <c r="L4753" s="41" t="s">
        <v>1076</v>
      </c>
    </row>
    <row r="4754" spans="1:19" x14ac:dyDescent="0.25">
      <c r="A4754" s="41" t="s">
        <v>23</v>
      </c>
      <c r="B4754" s="41" t="s">
        <v>38183</v>
      </c>
      <c r="D4754" s="41" t="s">
        <v>38184</v>
      </c>
      <c r="F4754" s="41" t="s">
        <v>38185</v>
      </c>
      <c r="G4754" s="41" t="s">
        <v>38186</v>
      </c>
      <c r="H4754" s="41" t="s">
        <v>38187</v>
      </c>
      <c r="I4754" s="41" t="s">
        <v>38188</v>
      </c>
      <c r="J4754" s="41" t="s">
        <v>38189</v>
      </c>
      <c r="K4754" s="41" t="s">
        <v>38190</v>
      </c>
      <c r="L4754" s="41" t="s">
        <v>1085</v>
      </c>
    </row>
    <row r="4755" spans="1:19" x14ac:dyDescent="0.25">
      <c r="A4755" s="41" t="s">
        <v>23</v>
      </c>
      <c r="B4755" s="41" t="s">
        <v>38191</v>
      </c>
      <c r="D4755" s="41" t="s">
        <v>38192</v>
      </c>
      <c r="F4755" s="41" t="s">
        <v>38193</v>
      </c>
      <c r="G4755" s="41" t="s">
        <v>38194</v>
      </c>
      <c r="H4755" s="41" t="s">
        <v>38195</v>
      </c>
      <c r="I4755" s="41" t="s">
        <v>38196</v>
      </c>
      <c r="J4755" s="41" t="s">
        <v>38197</v>
      </c>
      <c r="K4755" s="41" t="s">
        <v>38198</v>
      </c>
      <c r="L4755" s="41" t="s">
        <v>1094</v>
      </c>
    </row>
    <row r="4756" spans="1:19" x14ac:dyDescent="0.25">
      <c r="A4756" s="41" t="s">
        <v>908</v>
      </c>
      <c r="B4756" s="41" t="s">
        <v>38199</v>
      </c>
    </row>
    <row r="4757" spans="1:19" x14ac:dyDescent="0.25">
      <c r="A4757" s="41" t="s">
        <v>23</v>
      </c>
      <c r="B4757" s="41" t="s">
        <v>38200</v>
      </c>
      <c r="F4757" s="41" t="s">
        <v>38201</v>
      </c>
      <c r="G4757" s="41" t="s">
        <v>38202</v>
      </c>
      <c r="H4757" s="41" t="s">
        <v>38203</v>
      </c>
      <c r="I4757" s="41" t="s">
        <v>38204</v>
      </c>
      <c r="J4757" s="41" t="s">
        <v>38205</v>
      </c>
      <c r="L4757" s="41" t="s">
        <v>4</v>
      </c>
    </row>
    <row r="4758" spans="1:19" x14ac:dyDescent="0.25">
      <c r="A4758" s="41" t="s">
        <v>23</v>
      </c>
      <c r="B4758" s="41" t="s">
        <v>38206</v>
      </c>
      <c r="D4758" s="41" t="s">
        <v>38039</v>
      </c>
      <c r="E4758" s="41" t="s">
        <v>38208</v>
      </c>
      <c r="F4758" s="41" t="s">
        <v>38209</v>
      </c>
      <c r="G4758" s="41" t="s">
        <v>38210</v>
      </c>
      <c r="H4758" s="41" t="s">
        <v>38211</v>
      </c>
      <c r="I4758" s="41" t="s">
        <v>38212</v>
      </c>
      <c r="J4758" s="41" t="s">
        <v>38213</v>
      </c>
      <c r="K4758" s="41" t="s">
        <v>38214</v>
      </c>
      <c r="L4758" s="41" t="s">
        <v>38215</v>
      </c>
      <c r="M4758" s="41" t="s">
        <v>38216</v>
      </c>
      <c r="N4758" s="41" t="s">
        <v>38217</v>
      </c>
      <c r="O4758" s="41" t="s">
        <v>38218</v>
      </c>
      <c r="P4758" s="41" t="s">
        <v>38219</v>
      </c>
      <c r="Q4758" s="41" t="s">
        <v>38220</v>
      </c>
      <c r="R4758" s="41" t="s">
        <v>38221</v>
      </c>
      <c r="S4758" s="41" t="s">
        <v>38222</v>
      </c>
    </row>
    <row r="4759" spans="1:19" x14ac:dyDescent="0.25">
      <c r="A4759" s="41" t="s">
        <v>23</v>
      </c>
      <c r="B4759" s="41" t="s">
        <v>38223</v>
      </c>
      <c r="D4759" s="41" t="s">
        <v>38224</v>
      </c>
      <c r="F4759" s="41" t="s">
        <v>38225</v>
      </c>
      <c r="G4759" s="41" t="s">
        <v>38226</v>
      </c>
      <c r="H4759" s="41" t="s">
        <v>38227</v>
      </c>
      <c r="I4759" s="41" t="s">
        <v>38228</v>
      </c>
      <c r="J4759" s="41" t="s">
        <v>38229</v>
      </c>
      <c r="K4759" s="41" t="s">
        <v>38230</v>
      </c>
      <c r="L4759" s="41" t="s">
        <v>891</v>
      </c>
    </row>
    <row r="4760" spans="1:19" x14ac:dyDescent="0.25">
      <c r="A4760" s="41" t="s">
        <v>23</v>
      </c>
      <c r="B4760" s="41" t="s">
        <v>38231</v>
      </c>
      <c r="D4760" s="41" t="s">
        <v>38232</v>
      </c>
      <c r="F4760" s="41" t="s">
        <v>38233</v>
      </c>
      <c r="G4760" s="41" t="s">
        <v>38234</v>
      </c>
      <c r="H4760" s="41" t="s">
        <v>38235</v>
      </c>
      <c r="I4760" s="41" t="s">
        <v>38236</v>
      </c>
      <c r="J4760" s="41" t="s">
        <v>38237</v>
      </c>
      <c r="K4760" s="41" t="s">
        <v>38238</v>
      </c>
      <c r="L4760" s="41" t="s">
        <v>1076</v>
      </c>
    </row>
    <row r="4761" spans="1:19" x14ac:dyDescent="0.25">
      <c r="A4761" s="41" t="s">
        <v>23</v>
      </c>
      <c r="B4761" s="41" t="s">
        <v>38239</v>
      </c>
      <c r="D4761" s="41" t="s">
        <v>38240</v>
      </c>
      <c r="F4761" s="41" t="s">
        <v>38241</v>
      </c>
      <c r="G4761" s="41" t="s">
        <v>38242</v>
      </c>
      <c r="H4761" s="41" t="s">
        <v>38243</v>
      </c>
      <c r="I4761" s="41" t="s">
        <v>38244</v>
      </c>
      <c r="J4761" s="41" t="s">
        <v>38245</v>
      </c>
      <c r="K4761" s="41" t="s">
        <v>38246</v>
      </c>
      <c r="L4761" s="41" t="s">
        <v>1085</v>
      </c>
    </row>
    <row r="4762" spans="1:19" x14ac:dyDescent="0.25">
      <c r="A4762" s="41" t="s">
        <v>23</v>
      </c>
      <c r="B4762" s="41" t="s">
        <v>38247</v>
      </c>
      <c r="D4762" s="41" t="s">
        <v>38248</v>
      </c>
      <c r="F4762" s="41" t="s">
        <v>38249</v>
      </c>
      <c r="G4762" s="41" t="s">
        <v>38250</v>
      </c>
      <c r="H4762" s="41" t="s">
        <v>38251</v>
      </c>
      <c r="I4762" s="41" t="s">
        <v>38252</v>
      </c>
      <c r="J4762" s="41" t="s">
        <v>38253</v>
      </c>
      <c r="K4762" s="41" t="s">
        <v>38254</v>
      </c>
      <c r="L4762" s="41" t="s">
        <v>1094</v>
      </c>
    </row>
    <row r="4763" spans="1:19" x14ac:dyDescent="0.25">
      <c r="A4763" s="41" t="s">
        <v>908</v>
      </c>
      <c r="B4763" s="41" t="s">
        <v>38255</v>
      </c>
    </row>
    <row r="4764" spans="1:19" x14ac:dyDescent="0.25">
      <c r="A4764" s="41" t="s">
        <v>23</v>
      </c>
      <c r="B4764" s="41" t="s">
        <v>38256</v>
      </c>
      <c r="F4764" s="41" t="s">
        <v>38257</v>
      </c>
      <c r="G4764" s="41" t="s">
        <v>38258</v>
      </c>
      <c r="H4764" s="41" t="s">
        <v>38259</v>
      </c>
      <c r="I4764" s="41" t="s">
        <v>38260</v>
      </c>
      <c r="J4764" s="41" t="s">
        <v>38261</v>
      </c>
      <c r="L4764" s="41" t="s">
        <v>4</v>
      </c>
    </row>
    <row r="4765" spans="1:19" x14ac:dyDescent="0.25">
      <c r="A4765" s="41" t="s">
        <v>23</v>
      </c>
      <c r="B4765" s="41" t="s">
        <v>38262</v>
      </c>
      <c r="D4765" s="41" t="s">
        <v>38095</v>
      </c>
      <c r="E4765" s="41" t="s">
        <v>38264</v>
      </c>
      <c r="F4765" s="41" t="s">
        <v>38265</v>
      </c>
      <c r="G4765" s="41" t="s">
        <v>38266</v>
      </c>
      <c r="H4765" s="41" t="s">
        <v>38267</v>
      </c>
      <c r="I4765" s="41" t="s">
        <v>38268</v>
      </c>
      <c r="J4765" s="41" t="s">
        <v>38269</v>
      </c>
      <c r="K4765" s="41" t="s">
        <v>38270</v>
      </c>
      <c r="L4765" s="41" t="s">
        <v>38271</v>
      </c>
      <c r="M4765" s="41" t="s">
        <v>38272</v>
      </c>
      <c r="N4765" s="41" t="s">
        <v>38273</v>
      </c>
      <c r="O4765" s="41" t="s">
        <v>38274</v>
      </c>
      <c r="P4765" s="41" t="s">
        <v>38275</v>
      </c>
      <c r="Q4765" s="41" t="s">
        <v>38276</v>
      </c>
      <c r="R4765" s="41" t="s">
        <v>38277</v>
      </c>
      <c r="S4765" s="41" t="s">
        <v>38278</v>
      </c>
    </row>
    <row r="4766" spans="1:19" x14ac:dyDescent="0.25">
      <c r="A4766" s="41" t="s">
        <v>23</v>
      </c>
      <c r="B4766" s="41" t="s">
        <v>38279</v>
      </c>
      <c r="D4766" s="41" t="s">
        <v>38280</v>
      </c>
      <c r="F4766" s="41" t="s">
        <v>38281</v>
      </c>
      <c r="G4766" s="41" t="s">
        <v>38282</v>
      </c>
      <c r="H4766" s="41" t="s">
        <v>38283</v>
      </c>
      <c r="I4766" s="41" t="s">
        <v>38284</v>
      </c>
      <c r="J4766" s="41" t="s">
        <v>38285</v>
      </c>
      <c r="K4766" s="41" t="s">
        <v>38286</v>
      </c>
      <c r="L4766" s="41" t="s">
        <v>891</v>
      </c>
    </row>
    <row r="4767" spans="1:19" x14ac:dyDescent="0.25">
      <c r="A4767" s="41" t="s">
        <v>23</v>
      </c>
      <c r="B4767" s="41" t="s">
        <v>38287</v>
      </c>
      <c r="D4767" s="41" t="s">
        <v>38288</v>
      </c>
      <c r="F4767" s="41" t="s">
        <v>38289</v>
      </c>
      <c r="G4767" s="41" t="s">
        <v>38290</v>
      </c>
      <c r="H4767" s="41" t="s">
        <v>38291</v>
      </c>
      <c r="I4767" s="41" t="s">
        <v>38292</v>
      </c>
      <c r="J4767" s="41" t="s">
        <v>38293</v>
      </c>
      <c r="K4767" s="41" t="s">
        <v>38294</v>
      </c>
      <c r="L4767" s="41" t="s">
        <v>1076</v>
      </c>
    </row>
    <row r="4768" spans="1:19" x14ac:dyDescent="0.25">
      <c r="A4768" s="41" t="s">
        <v>23</v>
      </c>
      <c r="B4768" s="41" t="s">
        <v>38295</v>
      </c>
      <c r="D4768" s="41" t="s">
        <v>38296</v>
      </c>
      <c r="F4768" s="41" t="s">
        <v>38297</v>
      </c>
      <c r="G4768" s="41" t="s">
        <v>38298</v>
      </c>
      <c r="H4768" s="41" t="s">
        <v>38299</v>
      </c>
      <c r="I4768" s="41" t="s">
        <v>38300</v>
      </c>
      <c r="J4768" s="41" t="s">
        <v>38301</v>
      </c>
      <c r="K4768" s="41" t="s">
        <v>38302</v>
      </c>
      <c r="L4768" s="41" t="s">
        <v>1085</v>
      </c>
    </row>
    <row r="4769" spans="1:19" x14ac:dyDescent="0.25">
      <c r="A4769" s="41" t="s">
        <v>23</v>
      </c>
      <c r="B4769" s="41" t="s">
        <v>38303</v>
      </c>
      <c r="D4769" s="41" t="s">
        <v>38304</v>
      </c>
      <c r="F4769" s="41" t="s">
        <v>38305</v>
      </c>
      <c r="G4769" s="41" t="s">
        <v>38306</v>
      </c>
      <c r="H4769" s="41" t="s">
        <v>38307</v>
      </c>
      <c r="I4769" s="41" t="s">
        <v>38308</v>
      </c>
      <c r="J4769" s="41" t="s">
        <v>38309</v>
      </c>
      <c r="K4769" s="41" t="s">
        <v>38310</v>
      </c>
      <c r="L4769" s="41" t="s">
        <v>1094</v>
      </c>
    </row>
    <row r="4770" spans="1:19" x14ac:dyDescent="0.25">
      <c r="A4770" s="41" t="s">
        <v>908</v>
      </c>
      <c r="B4770" s="41" t="s">
        <v>38311</v>
      </c>
    </row>
    <row r="4771" spans="1:19" x14ac:dyDescent="0.25">
      <c r="A4771" s="41" t="s">
        <v>23</v>
      </c>
      <c r="B4771" s="41" t="s">
        <v>38312</v>
      </c>
      <c r="F4771" s="41" t="s">
        <v>38313</v>
      </c>
      <c r="G4771" s="41" t="s">
        <v>38314</v>
      </c>
      <c r="H4771" s="41" t="s">
        <v>38315</v>
      </c>
      <c r="I4771" s="41" t="s">
        <v>38316</v>
      </c>
      <c r="J4771" s="41" t="s">
        <v>38317</v>
      </c>
      <c r="L4771" s="41" t="s">
        <v>4</v>
      </c>
    </row>
    <row r="4772" spans="1:19" x14ac:dyDescent="0.25">
      <c r="A4772" s="41" t="s">
        <v>23</v>
      </c>
      <c r="B4772" s="41" t="s">
        <v>38318</v>
      </c>
      <c r="D4772" s="41" t="s">
        <v>38151</v>
      </c>
      <c r="E4772" s="41" t="s">
        <v>38320</v>
      </c>
      <c r="F4772" s="41" t="s">
        <v>38321</v>
      </c>
      <c r="G4772" s="41" t="s">
        <v>38322</v>
      </c>
      <c r="H4772" s="41" t="s">
        <v>38323</v>
      </c>
      <c r="I4772" s="41" t="s">
        <v>38324</v>
      </c>
      <c r="J4772" s="41" t="s">
        <v>38325</v>
      </c>
      <c r="K4772" s="41" t="s">
        <v>38326</v>
      </c>
      <c r="L4772" s="41" t="s">
        <v>38327</v>
      </c>
      <c r="M4772" s="41" t="s">
        <v>38328</v>
      </c>
      <c r="N4772" s="41" t="s">
        <v>38329</v>
      </c>
      <c r="O4772" s="41" t="s">
        <v>38330</v>
      </c>
      <c r="P4772" s="41" t="s">
        <v>38331</v>
      </c>
      <c r="Q4772" s="41" t="s">
        <v>38332</v>
      </c>
      <c r="R4772" s="41" t="s">
        <v>38333</v>
      </c>
      <c r="S4772" s="41" t="s">
        <v>38334</v>
      </c>
    </row>
    <row r="4773" spans="1:19" x14ac:dyDescent="0.25">
      <c r="A4773" s="41" t="s">
        <v>23</v>
      </c>
      <c r="B4773" s="41" t="s">
        <v>38335</v>
      </c>
      <c r="D4773" s="41" t="s">
        <v>38336</v>
      </c>
      <c r="F4773" s="41" t="s">
        <v>38337</v>
      </c>
      <c r="G4773" s="41" t="s">
        <v>38338</v>
      </c>
      <c r="H4773" s="41" t="s">
        <v>38339</v>
      </c>
      <c r="I4773" s="41" t="s">
        <v>38340</v>
      </c>
      <c r="J4773" s="41" t="s">
        <v>38341</v>
      </c>
      <c r="K4773" s="41" t="s">
        <v>38342</v>
      </c>
      <c r="L4773" s="41" t="s">
        <v>891</v>
      </c>
    </row>
    <row r="4774" spans="1:19" x14ac:dyDescent="0.25">
      <c r="A4774" s="41" t="s">
        <v>23</v>
      </c>
      <c r="B4774" s="41" t="s">
        <v>38343</v>
      </c>
      <c r="D4774" s="41" t="s">
        <v>38344</v>
      </c>
      <c r="F4774" s="41" t="s">
        <v>38345</v>
      </c>
      <c r="G4774" s="41" t="s">
        <v>38346</v>
      </c>
      <c r="H4774" s="41" t="s">
        <v>38347</v>
      </c>
      <c r="I4774" s="41" t="s">
        <v>38348</v>
      </c>
      <c r="J4774" s="41" t="s">
        <v>38349</v>
      </c>
      <c r="K4774" s="41" t="s">
        <v>38350</v>
      </c>
      <c r="L4774" s="41" t="s">
        <v>1076</v>
      </c>
    </row>
    <row r="4775" spans="1:19" x14ac:dyDescent="0.25">
      <c r="A4775" s="41" t="s">
        <v>23</v>
      </c>
      <c r="B4775" s="41" t="s">
        <v>38351</v>
      </c>
      <c r="D4775" s="41" t="s">
        <v>38352</v>
      </c>
      <c r="F4775" s="41" t="s">
        <v>38353</v>
      </c>
      <c r="G4775" s="41" t="s">
        <v>38354</v>
      </c>
      <c r="H4775" s="41" t="s">
        <v>38355</v>
      </c>
      <c r="I4775" s="41" t="s">
        <v>38356</v>
      </c>
      <c r="J4775" s="41" t="s">
        <v>38357</v>
      </c>
      <c r="K4775" s="41" t="s">
        <v>38358</v>
      </c>
      <c r="L4775" s="41" t="s">
        <v>1085</v>
      </c>
    </row>
    <row r="4776" spans="1:19" x14ac:dyDescent="0.25">
      <c r="A4776" s="41" t="s">
        <v>23</v>
      </c>
      <c r="B4776" s="41" t="s">
        <v>38359</v>
      </c>
      <c r="D4776" s="41" t="s">
        <v>38360</v>
      </c>
      <c r="F4776" s="41" t="s">
        <v>38361</v>
      </c>
      <c r="G4776" s="41" t="s">
        <v>38362</v>
      </c>
      <c r="H4776" s="41" t="s">
        <v>38363</v>
      </c>
      <c r="I4776" s="41" t="s">
        <v>38364</v>
      </c>
      <c r="J4776" s="41" t="s">
        <v>38365</v>
      </c>
      <c r="K4776" s="41" t="s">
        <v>38366</v>
      </c>
      <c r="L4776" s="41" t="s">
        <v>1094</v>
      </c>
    </row>
    <row r="4777" spans="1:19" x14ac:dyDescent="0.25">
      <c r="A4777" s="41" t="s">
        <v>908</v>
      </c>
      <c r="B4777" s="41" t="s">
        <v>38367</v>
      </c>
    </row>
    <row r="4778" spans="1:19" x14ac:dyDescent="0.25">
      <c r="A4778" s="41" t="s">
        <v>23</v>
      </c>
      <c r="B4778" s="41" t="s">
        <v>38368</v>
      </c>
      <c r="F4778" s="41" t="s">
        <v>38369</v>
      </c>
      <c r="G4778" s="41" t="s">
        <v>38370</v>
      </c>
      <c r="H4778" s="41" t="s">
        <v>38371</v>
      </c>
      <c r="I4778" s="41" t="s">
        <v>38372</v>
      </c>
      <c r="J4778" s="41" t="s">
        <v>38373</v>
      </c>
      <c r="L4778" s="41" t="s">
        <v>4</v>
      </c>
    </row>
    <row r="4779" spans="1:19" x14ac:dyDescent="0.25">
      <c r="A4779" s="41" t="s">
        <v>23</v>
      </c>
      <c r="B4779" s="41" t="s">
        <v>38374</v>
      </c>
      <c r="D4779" s="41" t="s">
        <v>38207</v>
      </c>
      <c r="E4779" s="41" t="s">
        <v>38376</v>
      </c>
      <c r="F4779" s="41" t="s">
        <v>38377</v>
      </c>
      <c r="G4779" s="41" t="s">
        <v>38378</v>
      </c>
      <c r="H4779" s="41" t="s">
        <v>38379</v>
      </c>
      <c r="I4779" s="41" t="s">
        <v>38380</v>
      </c>
      <c r="J4779" s="41" t="s">
        <v>38381</v>
      </c>
      <c r="K4779" s="41" t="s">
        <v>38382</v>
      </c>
      <c r="L4779" s="41" t="s">
        <v>38383</v>
      </c>
      <c r="M4779" s="41" t="s">
        <v>38384</v>
      </c>
      <c r="N4779" s="41" t="s">
        <v>38385</v>
      </c>
      <c r="O4779" s="41" t="s">
        <v>38386</v>
      </c>
      <c r="P4779" s="41" t="s">
        <v>38387</v>
      </c>
      <c r="Q4779" s="41" t="s">
        <v>38388</v>
      </c>
      <c r="R4779" s="41" t="s">
        <v>38389</v>
      </c>
      <c r="S4779" s="41" t="s">
        <v>38390</v>
      </c>
    </row>
    <row r="4780" spans="1:19" x14ac:dyDescent="0.25">
      <c r="A4780" s="41" t="s">
        <v>23</v>
      </c>
      <c r="B4780" s="41" t="s">
        <v>38391</v>
      </c>
      <c r="D4780" s="41" t="s">
        <v>38392</v>
      </c>
      <c r="F4780" s="41" t="s">
        <v>38393</v>
      </c>
      <c r="G4780" s="41" t="s">
        <v>38394</v>
      </c>
      <c r="H4780" s="41" t="s">
        <v>38395</v>
      </c>
      <c r="I4780" s="41" t="s">
        <v>38396</v>
      </c>
      <c r="J4780" s="41" t="s">
        <v>38397</v>
      </c>
      <c r="K4780" s="41" t="s">
        <v>38398</v>
      </c>
      <c r="L4780" s="41" t="s">
        <v>891</v>
      </c>
    </row>
    <row r="4781" spans="1:19" x14ac:dyDescent="0.25">
      <c r="A4781" s="41" t="s">
        <v>23</v>
      </c>
      <c r="B4781" s="41" t="s">
        <v>38399</v>
      </c>
      <c r="D4781" s="41" t="s">
        <v>38400</v>
      </c>
      <c r="F4781" s="41" t="s">
        <v>38401</v>
      </c>
      <c r="G4781" s="41" t="s">
        <v>38402</v>
      </c>
      <c r="H4781" s="41" t="s">
        <v>38403</v>
      </c>
      <c r="I4781" s="41" t="s">
        <v>38404</v>
      </c>
      <c r="J4781" s="41" t="s">
        <v>38405</v>
      </c>
      <c r="K4781" s="41" t="s">
        <v>38406</v>
      </c>
      <c r="L4781" s="41" t="s">
        <v>1076</v>
      </c>
    </row>
    <row r="4782" spans="1:19" x14ac:dyDescent="0.25">
      <c r="A4782" s="41" t="s">
        <v>23</v>
      </c>
      <c r="B4782" s="41" t="s">
        <v>38407</v>
      </c>
      <c r="D4782" s="41" t="s">
        <v>38408</v>
      </c>
      <c r="F4782" s="41" t="s">
        <v>38409</v>
      </c>
      <c r="G4782" s="41" t="s">
        <v>38410</v>
      </c>
      <c r="H4782" s="41" t="s">
        <v>38411</v>
      </c>
      <c r="I4782" s="41" t="s">
        <v>38412</v>
      </c>
      <c r="J4782" s="41" t="s">
        <v>38413</v>
      </c>
      <c r="K4782" s="41" t="s">
        <v>38414</v>
      </c>
      <c r="L4782" s="41" t="s">
        <v>1085</v>
      </c>
    </row>
    <row r="4783" spans="1:19" x14ac:dyDescent="0.25">
      <c r="A4783" s="41" t="s">
        <v>23</v>
      </c>
      <c r="B4783" s="41" t="s">
        <v>38415</v>
      </c>
      <c r="D4783" s="41" t="s">
        <v>38416</v>
      </c>
      <c r="F4783" s="41" t="s">
        <v>38417</v>
      </c>
      <c r="G4783" s="41" t="s">
        <v>38418</v>
      </c>
      <c r="H4783" s="41" t="s">
        <v>38419</v>
      </c>
      <c r="I4783" s="41" t="s">
        <v>38420</v>
      </c>
      <c r="J4783" s="41" t="s">
        <v>38421</v>
      </c>
      <c r="K4783" s="41" t="s">
        <v>38422</v>
      </c>
      <c r="L4783" s="41" t="s">
        <v>1094</v>
      </c>
    </row>
    <row r="4784" spans="1:19" x14ac:dyDescent="0.25">
      <c r="A4784" s="41" t="s">
        <v>908</v>
      </c>
      <c r="B4784" s="41" t="s">
        <v>38423</v>
      </c>
    </row>
    <row r="4785" spans="1:19" x14ac:dyDescent="0.25">
      <c r="A4785" s="41" t="s">
        <v>23</v>
      </c>
      <c r="B4785" s="41" t="s">
        <v>38424</v>
      </c>
      <c r="F4785" s="41" t="s">
        <v>38425</v>
      </c>
      <c r="G4785" s="41" t="s">
        <v>38426</v>
      </c>
      <c r="H4785" s="41" t="s">
        <v>38427</v>
      </c>
      <c r="I4785" s="41" t="s">
        <v>38428</v>
      </c>
      <c r="J4785" s="41" t="s">
        <v>38429</v>
      </c>
      <c r="L4785" s="41" t="s">
        <v>4</v>
      </c>
    </row>
    <row r="4786" spans="1:19" x14ac:dyDescent="0.25">
      <c r="A4786" s="41" t="s">
        <v>23</v>
      </c>
      <c r="B4786" s="41" t="s">
        <v>38430</v>
      </c>
      <c r="D4786" s="41" t="s">
        <v>38263</v>
      </c>
      <c r="E4786" s="41" t="s">
        <v>38432</v>
      </c>
      <c r="F4786" s="41" t="s">
        <v>38433</v>
      </c>
      <c r="G4786" s="41" t="s">
        <v>38434</v>
      </c>
      <c r="H4786" s="41" t="s">
        <v>38435</v>
      </c>
      <c r="I4786" s="41" t="s">
        <v>38436</v>
      </c>
      <c r="J4786" s="41" t="s">
        <v>38437</v>
      </c>
      <c r="K4786" s="41" t="s">
        <v>38438</v>
      </c>
      <c r="L4786" s="41" t="s">
        <v>38439</v>
      </c>
      <c r="M4786" s="41" t="s">
        <v>38440</v>
      </c>
      <c r="N4786" s="41" t="s">
        <v>38441</v>
      </c>
      <c r="O4786" s="41" t="s">
        <v>38442</v>
      </c>
      <c r="P4786" s="41" t="s">
        <v>38443</v>
      </c>
      <c r="Q4786" s="41" t="s">
        <v>38444</v>
      </c>
      <c r="R4786" s="41" t="s">
        <v>38445</v>
      </c>
      <c r="S4786" s="41" t="s">
        <v>38446</v>
      </c>
    </row>
    <row r="4787" spans="1:19" x14ac:dyDescent="0.25">
      <c r="A4787" s="41" t="s">
        <v>23</v>
      </c>
      <c r="B4787" s="41" t="s">
        <v>38447</v>
      </c>
      <c r="D4787" s="41" t="s">
        <v>38448</v>
      </c>
      <c r="F4787" s="41" t="s">
        <v>38449</v>
      </c>
      <c r="G4787" s="41" t="s">
        <v>38450</v>
      </c>
      <c r="H4787" s="41" t="s">
        <v>38451</v>
      </c>
      <c r="I4787" s="41" t="s">
        <v>38452</v>
      </c>
      <c r="J4787" s="41" t="s">
        <v>38453</v>
      </c>
      <c r="K4787" s="41" t="s">
        <v>38454</v>
      </c>
      <c r="L4787" s="41" t="s">
        <v>891</v>
      </c>
    </row>
    <row r="4788" spans="1:19" x14ac:dyDescent="0.25">
      <c r="A4788" s="41" t="s">
        <v>23</v>
      </c>
      <c r="B4788" s="41" t="s">
        <v>38455</v>
      </c>
      <c r="D4788" s="41" t="s">
        <v>38456</v>
      </c>
      <c r="F4788" s="41" t="s">
        <v>38457</v>
      </c>
      <c r="G4788" s="41" t="s">
        <v>38458</v>
      </c>
      <c r="H4788" s="41" t="s">
        <v>38459</v>
      </c>
      <c r="I4788" s="41" t="s">
        <v>38460</v>
      </c>
      <c r="J4788" s="41" t="s">
        <v>38461</v>
      </c>
      <c r="K4788" s="41" t="s">
        <v>38462</v>
      </c>
      <c r="L4788" s="41" t="s">
        <v>1076</v>
      </c>
    </row>
    <row r="4789" spans="1:19" x14ac:dyDescent="0.25">
      <c r="A4789" s="41" t="s">
        <v>23</v>
      </c>
      <c r="B4789" s="41" t="s">
        <v>38463</v>
      </c>
      <c r="D4789" s="41" t="s">
        <v>38464</v>
      </c>
      <c r="F4789" s="41" t="s">
        <v>38465</v>
      </c>
      <c r="G4789" s="41" t="s">
        <v>38466</v>
      </c>
      <c r="H4789" s="41" t="s">
        <v>38467</v>
      </c>
      <c r="I4789" s="41" t="s">
        <v>38468</v>
      </c>
      <c r="J4789" s="41" t="s">
        <v>38469</v>
      </c>
      <c r="K4789" s="41" t="s">
        <v>38470</v>
      </c>
      <c r="L4789" s="41" t="s">
        <v>1085</v>
      </c>
    </row>
    <row r="4790" spans="1:19" x14ac:dyDescent="0.25">
      <c r="A4790" s="41" t="s">
        <v>23</v>
      </c>
      <c r="B4790" s="41" t="s">
        <v>38471</v>
      </c>
      <c r="D4790" s="41" t="s">
        <v>38472</v>
      </c>
      <c r="F4790" s="41" t="s">
        <v>38473</v>
      </c>
      <c r="G4790" s="41" t="s">
        <v>38474</v>
      </c>
      <c r="H4790" s="41" t="s">
        <v>38475</v>
      </c>
      <c r="I4790" s="41" t="s">
        <v>38476</v>
      </c>
      <c r="J4790" s="41" t="s">
        <v>38477</v>
      </c>
      <c r="K4790" s="41" t="s">
        <v>38478</v>
      </c>
      <c r="L4790" s="41" t="s">
        <v>1094</v>
      </c>
    </row>
    <row r="4791" spans="1:19" x14ac:dyDescent="0.25">
      <c r="A4791" s="41" t="s">
        <v>908</v>
      </c>
      <c r="B4791" s="41" t="s">
        <v>38479</v>
      </c>
    </row>
    <row r="4792" spans="1:19" x14ac:dyDescent="0.25">
      <c r="A4792" s="41" t="s">
        <v>23</v>
      </c>
      <c r="B4792" s="41" t="s">
        <v>38480</v>
      </c>
      <c r="F4792" s="41" t="s">
        <v>38481</v>
      </c>
      <c r="G4792" s="41" t="s">
        <v>38482</v>
      </c>
      <c r="H4792" s="41" t="s">
        <v>38483</v>
      </c>
      <c r="I4792" s="41" t="s">
        <v>38484</v>
      </c>
      <c r="J4792" s="41" t="s">
        <v>38485</v>
      </c>
      <c r="L4792" s="41" t="s">
        <v>4</v>
      </c>
    </row>
    <row r="4793" spans="1:19" x14ac:dyDescent="0.25">
      <c r="A4793" s="41" t="s">
        <v>23</v>
      </c>
      <c r="B4793" s="41" t="s">
        <v>38486</v>
      </c>
      <c r="D4793" s="41" t="s">
        <v>38319</v>
      </c>
      <c r="E4793" s="41" t="s">
        <v>38488</v>
      </c>
      <c r="F4793" s="41" t="s">
        <v>38489</v>
      </c>
      <c r="G4793" s="41" t="s">
        <v>38490</v>
      </c>
      <c r="H4793" s="41" t="s">
        <v>38491</v>
      </c>
      <c r="I4793" s="41" t="s">
        <v>38492</v>
      </c>
      <c r="J4793" s="41" t="s">
        <v>38493</v>
      </c>
      <c r="K4793" s="41" t="s">
        <v>38494</v>
      </c>
      <c r="L4793" s="41" t="s">
        <v>38495</v>
      </c>
      <c r="M4793" s="41" t="s">
        <v>38496</v>
      </c>
      <c r="N4793" s="41" t="s">
        <v>38497</v>
      </c>
      <c r="O4793" s="41" t="s">
        <v>38498</v>
      </c>
      <c r="P4793" s="41" t="s">
        <v>38499</v>
      </c>
      <c r="Q4793" s="41" t="s">
        <v>38500</v>
      </c>
      <c r="R4793" s="41" t="s">
        <v>38501</v>
      </c>
      <c r="S4793" s="41" t="s">
        <v>38502</v>
      </c>
    </row>
    <row r="4794" spans="1:19" x14ac:dyDescent="0.25">
      <c r="A4794" s="41" t="s">
        <v>23</v>
      </c>
      <c r="B4794" s="41" t="s">
        <v>38503</v>
      </c>
      <c r="D4794" s="41" t="s">
        <v>38504</v>
      </c>
      <c r="F4794" s="41" t="s">
        <v>38505</v>
      </c>
      <c r="G4794" s="41" t="s">
        <v>38506</v>
      </c>
      <c r="H4794" s="41" t="s">
        <v>38507</v>
      </c>
      <c r="I4794" s="41" t="s">
        <v>38508</v>
      </c>
      <c r="J4794" s="41" t="s">
        <v>38509</v>
      </c>
      <c r="K4794" s="41" t="s">
        <v>38510</v>
      </c>
      <c r="L4794" s="41" t="s">
        <v>891</v>
      </c>
    </row>
    <row r="4795" spans="1:19" x14ac:dyDescent="0.25">
      <c r="A4795" s="41" t="s">
        <v>23</v>
      </c>
      <c r="B4795" s="41" t="s">
        <v>38511</v>
      </c>
      <c r="D4795" s="41" t="s">
        <v>38512</v>
      </c>
      <c r="F4795" s="41" t="s">
        <v>38513</v>
      </c>
      <c r="G4795" s="41" t="s">
        <v>38514</v>
      </c>
      <c r="H4795" s="41" t="s">
        <v>38515</v>
      </c>
      <c r="I4795" s="41" t="s">
        <v>38516</v>
      </c>
      <c r="J4795" s="41" t="s">
        <v>38517</v>
      </c>
      <c r="K4795" s="41" t="s">
        <v>38518</v>
      </c>
      <c r="L4795" s="41" t="s">
        <v>1076</v>
      </c>
    </row>
    <row r="4796" spans="1:19" x14ac:dyDescent="0.25">
      <c r="A4796" s="41" t="s">
        <v>23</v>
      </c>
      <c r="B4796" s="41" t="s">
        <v>38519</v>
      </c>
      <c r="D4796" s="41" t="s">
        <v>38520</v>
      </c>
      <c r="F4796" s="41" t="s">
        <v>38521</v>
      </c>
      <c r="G4796" s="41" t="s">
        <v>38522</v>
      </c>
      <c r="H4796" s="41" t="s">
        <v>38523</v>
      </c>
      <c r="I4796" s="41" t="s">
        <v>38524</v>
      </c>
      <c r="J4796" s="41" t="s">
        <v>38525</v>
      </c>
      <c r="K4796" s="41" t="s">
        <v>38526</v>
      </c>
      <c r="L4796" s="41" t="s">
        <v>1085</v>
      </c>
    </row>
    <row r="4797" spans="1:19" x14ac:dyDescent="0.25">
      <c r="A4797" s="41" t="s">
        <v>23</v>
      </c>
      <c r="B4797" s="41" t="s">
        <v>38527</v>
      </c>
      <c r="D4797" s="41" t="s">
        <v>38528</v>
      </c>
      <c r="F4797" s="41" t="s">
        <v>38529</v>
      </c>
      <c r="G4797" s="41" t="s">
        <v>38530</v>
      </c>
      <c r="H4797" s="41" t="s">
        <v>38531</v>
      </c>
      <c r="I4797" s="41" t="s">
        <v>38532</v>
      </c>
      <c r="J4797" s="41" t="s">
        <v>38533</v>
      </c>
      <c r="K4797" s="41" t="s">
        <v>38534</v>
      </c>
      <c r="L4797" s="41" t="s">
        <v>1094</v>
      </c>
    </row>
    <row r="4798" spans="1:19" x14ac:dyDescent="0.25">
      <c r="A4798" s="41" t="s">
        <v>908</v>
      </c>
      <c r="B4798" s="41" t="s">
        <v>38535</v>
      </c>
    </row>
    <row r="4799" spans="1:19" x14ac:dyDescent="0.25">
      <c r="A4799" s="41" t="s">
        <v>23</v>
      </c>
      <c r="B4799" s="41" t="s">
        <v>38536</v>
      </c>
      <c r="F4799" s="41" t="s">
        <v>38537</v>
      </c>
      <c r="G4799" s="41" t="s">
        <v>38538</v>
      </c>
      <c r="H4799" s="41" t="s">
        <v>38539</v>
      </c>
      <c r="I4799" s="41" t="s">
        <v>38540</v>
      </c>
      <c r="J4799" s="41" t="s">
        <v>38541</v>
      </c>
      <c r="L4799" s="41" t="s">
        <v>4</v>
      </c>
    </row>
    <row r="4800" spans="1:19" x14ac:dyDescent="0.25">
      <c r="A4800" s="41" t="s">
        <v>23</v>
      </c>
      <c r="B4800" s="41" t="s">
        <v>38542</v>
      </c>
      <c r="D4800" s="41" t="s">
        <v>38375</v>
      </c>
      <c r="E4800" s="41" t="s">
        <v>38544</v>
      </c>
      <c r="F4800" s="41" t="s">
        <v>38545</v>
      </c>
      <c r="G4800" s="41" t="s">
        <v>38546</v>
      </c>
      <c r="H4800" s="41" t="s">
        <v>38547</v>
      </c>
      <c r="I4800" s="41" t="s">
        <v>38548</v>
      </c>
      <c r="J4800" s="41" t="s">
        <v>38549</v>
      </c>
      <c r="K4800" s="41" t="s">
        <v>38550</v>
      </c>
      <c r="L4800" s="41" t="s">
        <v>38551</v>
      </c>
      <c r="M4800" s="41" t="s">
        <v>38552</v>
      </c>
      <c r="N4800" s="41" t="s">
        <v>38553</v>
      </c>
      <c r="O4800" s="41" t="s">
        <v>38554</v>
      </c>
      <c r="P4800" s="41" t="s">
        <v>38555</v>
      </c>
      <c r="Q4800" s="41" t="s">
        <v>38556</v>
      </c>
      <c r="R4800" s="41" t="s">
        <v>38557</v>
      </c>
      <c r="S4800" s="41" t="s">
        <v>38558</v>
      </c>
    </row>
    <row r="4801" spans="1:19" x14ac:dyDescent="0.25">
      <c r="A4801" s="41" t="s">
        <v>23</v>
      </c>
      <c r="B4801" s="41" t="s">
        <v>38559</v>
      </c>
      <c r="D4801" s="41" t="s">
        <v>38560</v>
      </c>
      <c r="F4801" s="41" t="s">
        <v>38561</v>
      </c>
      <c r="G4801" s="41" t="s">
        <v>38562</v>
      </c>
      <c r="H4801" s="41" t="s">
        <v>38563</v>
      </c>
      <c r="I4801" s="41" t="s">
        <v>38564</v>
      </c>
      <c r="J4801" s="41" t="s">
        <v>38565</v>
      </c>
      <c r="K4801" s="41" t="s">
        <v>38566</v>
      </c>
      <c r="L4801" s="41" t="s">
        <v>891</v>
      </c>
    </row>
    <row r="4802" spans="1:19" x14ac:dyDescent="0.25">
      <c r="A4802" s="41" t="s">
        <v>23</v>
      </c>
      <c r="B4802" s="41" t="s">
        <v>38567</v>
      </c>
      <c r="D4802" s="41" t="s">
        <v>38568</v>
      </c>
      <c r="F4802" s="41" t="s">
        <v>38569</v>
      </c>
      <c r="G4802" s="41" t="s">
        <v>38570</v>
      </c>
      <c r="H4802" s="41" t="s">
        <v>38571</v>
      </c>
      <c r="I4802" s="41" t="s">
        <v>38572</v>
      </c>
      <c r="J4802" s="41" t="s">
        <v>38573</v>
      </c>
      <c r="K4802" s="41" t="s">
        <v>38574</v>
      </c>
      <c r="L4802" s="41" t="s">
        <v>1076</v>
      </c>
    </row>
    <row r="4803" spans="1:19" x14ac:dyDescent="0.25">
      <c r="A4803" s="41" t="s">
        <v>23</v>
      </c>
      <c r="B4803" s="41" t="s">
        <v>38575</v>
      </c>
      <c r="D4803" s="41" t="s">
        <v>38576</v>
      </c>
      <c r="F4803" s="41" t="s">
        <v>38577</v>
      </c>
      <c r="G4803" s="41" t="s">
        <v>38578</v>
      </c>
      <c r="H4803" s="41" t="s">
        <v>38579</v>
      </c>
      <c r="I4803" s="41" t="s">
        <v>38580</v>
      </c>
      <c r="J4803" s="41" t="s">
        <v>38581</v>
      </c>
      <c r="K4803" s="41" t="s">
        <v>38582</v>
      </c>
      <c r="L4803" s="41" t="s">
        <v>1085</v>
      </c>
    </row>
    <row r="4804" spans="1:19" x14ac:dyDescent="0.25">
      <c r="A4804" s="41" t="s">
        <v>23</v>
      </c>
      <c r="B4804" s="41" t="s">
        <v>38583</v>
      </c>
      <c r="D4804" s="41" t="s">
        <v>38584</v>
      </c>
      <c r="F4804" s="41" t="s">
        <v>38585</v>
      </c>
      <c r="G4804" s="41" t="s">
        <v>38586</v>
      </c>
      <c r="H4804" s="41" t="s">
        <v>38587</v>
      </c>
      <c r="I4804" s="41" t="s">
        <v>38588</v>
      </c>
      <c r="J4804" s="41" t="s">
        <v>38589</v>
      </c>
      <c r="K4804" s="41" t="s">
        <v>38590</v>
      </c>
      <c r="L4804" s="41" t="s">
        <v>1094</v>
      </c>
    </row>
    <row r="4805" spans="1:19" x14ac:dyDescent="0.25">
      <c r="A4805" s="41" t="s">
        <v>908</v>
      </c>
      <c r="B4805" s="41" t="s">
        <v>38591</v>
      </c>
    </row>
    <row r="4806" spans="1:19" x14ac:dyDescent="0.25">
      <c r="A4806" s="41" t="s">
        <v>23</v>
      </c>
      <c r="B4806" s="41" t="s">
        <v>38592</v>
      </c>
      <c r="F4806" s="41" t="s">
        <v>38593</v>
      </c>
      <c r="G4806" s="41" t="s">
        <v>38594</v>
      </c>
      <c r="H4806" s="41" t="s">
        <v>38595</v>
      </c>
      <c r="I4806" s="41" t="s">
        <v>38596</v>
      </c>
      <c r="J4806" s="41" t="s">
        <v>38597</v>
      </c>
      <c r="L4806" s="41" t="s">
        <v>4</v>
      </c>
    </row>
    <row r="4807" spans="1:19" x14ac:dyDescent="0.25">
      <c r="A4807" s="41" t="s">
        <v>23</v>
      </c>
      <c r="B4807" s="41" t="s">
        <v>38598</v>
      </c>
      <c r="D4807" s="41" t="s">
        <v>38431</v>
      </c>
      <c r="E4807" s="41" t="s">
        <v>38600</v>
      </c>
      <c r="F4807" s="41" t="s">
        <v>38601</v>
      </c>
      <c r="G4807" s="41" t="s">
        <v>38602</v>
      </c>
      <c r="H4807" s="41" t="s">
        <v>38603</v>
      </c>
      <c r="I4807" s="41" t="s">
        <v>38604</v>
      </c>
      <c r="J4807" s="41" t="s">
        <v>38605</v>
      </c>
      <c r="K4807" s="41" t="s">
        <v>38606</v>
      </c>
      <c r="L4807" s="41" t="s">
        <v>38607</v>
      </c>
      <c r="M4807" s="41" t="s">
        <v>38608</v>
      </c>
      <c r="N4807" s="41" t="s">
        <v>38609</v>
      </c>
      <c r="O4807" s="41" t="s">
        <v>38610</v>
      </c>
      <c r="P4807" s="41" t="s">
        <v>38611</v>
      </c>
      <c r="Q4807" s="41" t="s">
        <v>38612</v>
      </c>
      <c r="R4807" s="41" t="s">
        <v>38613</v>
      </c>
      <c r="S4807" s="41" t="s">
        <v>38614</v>
      </c>
    </row>
    <row r="4808" spans="1:19" x14ac:dyDescent="0.25">
      <c r="A4808" s="41" t="s">
        <v>23</v>
      </c>
      <c r="B4808" s="41" t="s">
        <v>38615</v>
      </c>
      <c r="D4808" s="41" t="s">
        <v>38616</v>
      </c>
      <c r="F4808" s="41" t="s">
        <v>38617</v>
      </c>
      <c r="G4808" s="41" t="s">
        <v>38618</v>
      </c>
      <c r="H4808" s="41" t="s">
        <v>38619</v>
      </c>
      <c r="I4808" s="41" t="s">
        <v>38620</v>
      </c>
      <c r="J4808" s="41" t="s">
        <v>38621</v>
      </c>
      <c r="K4808" s="41" t="s">
        <v>38622</v>
      </c>
      <c r="L4808" s="41" t="s">
        <v>891</v>
      </c>
    </row>
    <row r="4809" spans="1:19" x14ac:dyDescent="0.25">
      <c r="A4809" s="41" t="s">
        <v>23</v>
      </c>
      <c r="B4809" s="41" t="s">
        <v>38623</v>
      </c>
      <c r="D4809" s="41" t="s">
        <v>38624</v>
      </c>
      <c r="F4809" s="41" t="s">
        <v>38625</v>
      </c>
      <c r="G4809" s="41" t="s">
        <v>38626</v>
      </c>
      <c r="H4809" s="41" t="s">
        <v>38627</v>
      </c>
      <c r="I4809" s="41" t="s">
        <v>38628</v>
      </c>
      <c r="J4809" s="41" t="s">
        <v>38629</v>
      </c>
      <c r="K4809" s="41" t="s">
        <v>38630</v>
      </c>
      <c r="L4809" s="41" t="s">
        <v>1076</v>
      </c>
    </row>
    <row r="4810" spans="1:19" x14ac:dyDescent="0.25">
      <c r="A4810" s="41" t="s">
        <v>23</v>
      </c>
      <c r="B4810" s="41" t="s">
        <v>38631</v>
      </c>
      <c r="D4810" s="41" t="s">
        <v>38632</v>
      </c>
      <c r="F4810" s="41" t="s">
        <v>38633</v>
      </c>
      <c r="G4810" s="41" t="s">
        <v>38634</v>
      </c>
      <c r="H4810" s="41" t="s">
        <v>38635</v>
      </c>
      <c r="I4810" s="41" t="s">
        <v>38636</v>
      </c>
      <c r="J4810" s="41" t="s">
        <v>38637</v>
      </c>
      <c r="K4810" s="41" t="s">
        <v>38638</v>
      </c>
      <c r="L4810" s="41" t="s">
        <v>1085</v>
      </c>
    </row>
    <row r="4811" spans="1:19" x14ac:dyDescent="0.25">
      <c r="A4811" s="41" t="s">
        <v>23</v>
      </c>
      <c r="B4811" s="41" t="s">
        <v>38639</v>
      </c>
      <c r="D4811" s="41" t="s">
        <v>38640</v>
      </c>
      <c r="F4811" s="41" t="s">
        <v>38641</v>
      </c>
      <c r="G4811" s="41" t="s">
        <v>38642</v>
      </c>
      <c r="H4811" s="41" t="s">
        <v>38643</v>
      </c>
      <c r="I4811" s="41" t="s">
        <v>38644</v>
      </c>
      <c r="J4811" s="41" t="s">
        <v>38645</v>
      </c>
      <c r="K4811" s="41" t="s">
        <v>38646</v>
      </c>
      <c r="L4811" s="41" t="s">
        <v>1094</v>
      </c>
    </row>
    <row r="4812" spans="1:19" x14ac:dyDescent="0.25">
      <c r="A4812" s="41" t="s">
        <v>908</v>
      </c>
      <c r="B4812" s="41" t="s">
        <v>38647</v>
      </c>
    </row>
    <row r="4813" spans="1:19" x14ac:dyDescent="0.25">
      <c r="A4813" s="41" t="s">
        <v>23</v>
      </c>
      <c r="B4813" s="41" t="s">
        <v>38648</v>
      </c>
      <c r="F4813" s="41" t="s">
        <v>38649</v>
      </c>
      <c r="G4813" s="41" t="s">
        <v>38650</v>
      </c>
      <c r="H4813" s="41" t="s">
        <v>38651</v>
      </c>
      <c r="I4813" s="41" t="s">
        <v>38652</v>
      </c>
      <c r="J4813" s="41" t="s">
        <v>38653</v>
      </c>
      <c r="L4813" s="41" t="s">
        <v>4</v>
      </c>
    </row>
    <row r="4814" spans="1:19" x14ac:dyDescent="0.25">
      <c r="A4814" s="41" t="s">
        <v>23</v>
      </c>
      <c r="B4814" s="41" t="s">
        <v>38654</v>
      </c>
      <c r="D4814" s="41" t="s">
        <v>38487</v>
      </c>
      <c r="E4814" s="41" t="s">
        <v>38656</v>
      </c>
      <c r="F4814" s="41" t="s">
        <v>38657</v>
      </c>
      <c r="G4814" s="41" t="s">
        <v>38658</v>
      </c>
      <c r="H4814" s="41" t="s">
        <v>38659</v>
      </c>
      <c r="I4814" s="41" t="s">
        <v>38660</v>
      </c>
      <c r="J4814" s="41" t="s">
        <v>38661</v>
      </c>
      <c r="K4814" s="41" t="s">
        <v>38662</v>
      </c>
      <c r="L4814" s="41" t="s">
        <v>38663</v>
      </c>
      <c r="M4814" s="41" t="s">
        <v>38664</v>
      </c>
      <c r="N4814" s="41" t="s">
        <v>38665</v>
      </c>
      <c r="O4814" s="41" t="s">
        <v>38666</v>
      </c>
      <c r="P4814" s="41" t="s">
        <v>38667</v>
      </c>
      <c r="Q4814" s="41" t="s">
        <v>38668</v>
      </c>
      <c r="R4814" s="41" t="s">
        <v>38669</v>
      </c>
      <c r="S4814" s="41" t="s">
        <v>38670</v>
      </c>
    </row>
    <row r="4815" spans="1:19" x14ac:dyDescent="0.25">
      <c r="A4815" s="41" t="s">
        <v>23</v>
      </c>
      <c r="B4815" s="41" t="s">
        <v>38671</v>
      </c>
      <c r="D4815" s="41" t="s">
        <v>38672</v>
      </c>
      <c r="F4815" s="41" t="s">
        <v>38673</v>
      </c>
      <c r="G4815" s="41" t="s">
        <v>38674</v>
      </c>
      <c r="H4815" s="41" t="s">
        <v>38675</v>
      </c>
      <c r="I4815" s="41" t="s">
        <v>38676</v>
      </c>
      <c r="J4815" s="41" t="s">
        <v>38677</v>
      </c>
      <c r="K4815" s="41" t="s">
        <v>38678</v>
      </c>
      <c r="L4815" s="41" t="s">
        <v>891</v>
      </c>
    </row>
    <row r="4816" spans="1:19" x14ac:dyDescent="0.25">
      <c r="A4816" s="41" t="s">
        <v>23</v>
      </c>
      <c r="B4816" s="41" t="s">
        <v>38679</v>
      </c>
      <c r="D4816" s="41" t="s">
        <v>38680</v>
      </c>
      <c r="F4816" s="41" t="s">
        <v>38681</v>
      </c>
      <c r="G4816" s="41" t="s">
        <v>38682</v>
      </c>
      <c r="H4816" s="41" t="s">
        <v>38683</v>
      </c>
      <c r="I4816" s="41" t="s">
        <v>38684</v>
      </c>
      <c r="J4816" s="41" t="s">
        <v>38685</v>
      </c>
      <c r="K4816" s="41" t="s">
        <v>38686</v>
      </c>
      <c r="L4816" s="41" t="s">
        <v>1076</v>
      </c>
    </row>
    <row r="4817" spans="1:19" x14ac:dyDescent="0.25">
      <c r="A4817" s="41" t="s">
        <v>23</v>
      </c>
      <c r="B4817" s="41" t="s">
        <v>38687</v>
      </c>
      <c r="D4817" s="41" t="s">
        <v>38688</v>
      </c>
      <c r="F4817" s="41" t="s">
        <v>38689</v>
      </c>
      <c r="G4817" s="41" t="s">
        <v>38690</v>
      </c>
      <c r="H4817" s="41" t="s">
        <v>38691</v>
      </c>
      <c r="I4817" s="41" t="s">
        <v>38692</v>
      </c>
      <c r="J4817" s="41" t="s">
        <v>38693</v>
      </c>
      <c r="K4817" s="41" t="s">
        <v>38694</v>
      </c>
      <c r="L4817" s="41" t="s">
        <v>1085</v>
      </c>
    </row>
    <row r="4818" spans="1:19" x14ac:dyDescent="0.25">
      <c r="A4818" s="41" t="s">
        <v>23</v>
      </c>
      <c r="B4818" s="41" t="s">
        <v>38695</v>
      </c>
      <c r="D4818" s="41" t="s">
        <v>38696</v>
      </c>
      <c r="F4818" s="41" t="s">
        <v>38697</v>
      </c>
      <c r="G4818" s="41" t="s">
        <v>38698</v>
      </c>
      <c r="H4818" s="41" t="s">
        <v>38699</v>
      </c>
      <c r="I4818" s="41" t="s">
        <v>38700</v>
      </c>
      <c r="J4818" s="41" t="s">
        <v>38701</v>
      </c>
      <c r="K4818" s="41" t="s">
        <v>38702</v>
      </c>
      <c r="L4818" s="41" t="s">
        <v>1094</v>
      </c>
    </row>
    <row r="4819" spans="1:19" x14ac:dyDescent="0.25">
      <c r="A4819" s="41" t="s">
        <v>908</v>
      </c>
      <c r="B4819" s="41" t="s">
        <v>38703</v>
      </c>
    </row>
    <row r="4820" spans="1:19" x14ac:dyDescent="0.25">
      <c r="A4820" s="41" t="s">
        <v>23</v>
      </c>
      <c r="B4820" s="41" t="s">
        <v>38704</v>
      </c>
      <c r="F4820" s="41" t="s">
        <v>38705</v>
      </c>
      <c r="G4820" s="41" t="s">
        <v>38706</v>
      </c>
      <c r="H4820" s="41" t="s">
        <v>38707</v>
      </c>
      <c r="I4820" s="41" t="s">
        <v>38708</v>
      </c>
      <c r="J4820" s="41" t="s">
        <v>38709</v>
      </c>
      <c r="L4820" s="41" t="s">
        <v>4</v>
      </c>
    </row>
    <row r="4821" spans="1:19" x14ac:dyDescent="0.25">
      <c r="A4821" s="41" t="s">
        <v>23</v>
      </c>
      <c r="B4821" s="41" t="s">
        <v>38710</v>
      </c>
      <c r="D4821" s="41" t="s">
        <v>38543</v>
      </c>
      <c r="E4821" s="41" t="s">
        <v>38712</v>
      </c>
      <c r="F4821" s="41" t="s">
        <v>38713</v>
      </c>
      <c r="G4821" s="41" t="s">
        <v>38714</v>
      </c>
      <c r="H4821" s="41" t="s">
        <v>38715</v>
      </c>
      <c r="I4821" s="41" t="s">
        <v>38716</v>
      </c>
      <c r="J4821" s="41" t="s">
        <v>38717</v>
      </c>
      <c r="K4821" s="41" t="s">
        <v>38718</v>
      </c>
      <c r="L4821" s="41" t="s">
        <v>38719</v>
      </c>
      <c r="M4821" s="41" t="s">
        <v>38720</v>
      </c>
      <c r="N4821" s="41" t="s">
        <v>38721</v>
      </c>
      <c r="O4821" s="41" t="s">
        <v>38722</v>
      </c>
      <c r="P4821" s="41" t="s">
        <v>38723</v>
      </c>
      <c r="Q4821" s="41" t="s">
        <v>38724</v>
      </c>
      <c r="R4821" s="41" t="s">
        <v>38725</v>
      </c>
      <c r="S4821" s="41" t="s">
        <v>38726</v>
      </c>
    </row>
    <row r="4822" spans="1:19" x14ac:dyDescent="0.25">
      <c r="A4822" s="41" t="s">
        <v>23</v>
      </c>
      <c r="B4822" s="41" t="s">
        <v>38727</v>
      </c>
      <c r="D4822" s="41" t="s">
        <v>38728</v>
      </c>
      <c r="F4822" s="41" t="s">
        <v>38729</v>
      </c>
      <c r="G4822" s="41" t="s">
        <v>38730</v>
      </c>
      <c r="H4822" s="41" t="s">
        <v>38731</v>
      </c>
      <c r="I4822" s="41" t="s">
        <v>38732</v>
      </c>
      <c r="J4822" s="41" t="s">
        <v>38733</v>
      </c>
      <c r="K4822" s="41" t="s">
        <v>38734</v>
      </c>
      <c r="L4822" s="41" t="s">
        <v>891</v>
      </c>
    </row>
    <row r="4823" spans="1:19" x14ac:dyDescent="0.25">
      <c r="A4823" s="41" t="s">
        <v>23</v>
      </c>
      <c r="B4823" s="41" t="s">
        <v>38735</v>
      </c>
      <c r="D4823" s="41" t="s">
        <v>38736</v>
      </c>
      <c r="F4823" s="41" t="s">
        <v>38737</v>
      </c>
      <c r="G4823" s="41" t="s">
        <v>38738</v>
      </c>
      <c r="H4823" s="41" t="s">
        <v>38739</v>
      </c>
      <c r="I4823" s="41" t="s">
        <v>38740</v>
      </c>
      <c r="J4823" s="41" t="s">
        <v>38741</v>
      </c>
      <c r="K4823" s="41" t="s">
        <v>38742</v>
      </c>
      <c r="L4823" s="41" t="s">
        <v>1076</v>
      </c>
    </row>
    <row r="4824" spans="1:19" x14ac:dyDescent="0.25">
      <c r="A4824" s="41" t="s">
        <v>23</v>
      </c>
      <c r="B4824" s="41" t="s">
        <v>38743</v>
      </c>
      <c r="D4824" s="41" t="s">
        <v>38744</v>
      </c>
      <c r="F4824" s="41" t="s">
        <v>38745</v>
      </c>
      <c r="G4824" s="41" t="s">
        <v>38746</v>
      </c>
      <c r="H4824" s="41" t="s">
        <v>38747</v>
      </c>
      <c r="I4824" s="41" t="s">
        <v>38748</v>
      </c>
      <c r="J4824" s="41" t="s">
        <v>38749</v>
      </c>
      <c r="K4824" s="41" t="s">
        <v>38750</v>
      </c>
      <c r="L4824" s="41" t="s">
        <v>1085</v>
      </c>
    </row>
    <row r="4825" spans="1:19" x14ac:dyDescent="0.25">
      <c r="A4825" s="41" t="s">
        <v>23</v>
      </c>
      <c r="B4825" s="41" t="s">
        <v>38751</v>
      </c>
      <c r="D4825" s="41" t="s">
        <v>38752</v>
      </c>
      <c r="F4825" s="41" t="s">
        <v>38753</v>
      </c>
      <c r="G4825" s="41" t="s">
        <v>38754</v>
      </c>
      <c r="H4825" s="41" t="s">
        <v>38755</v>
      </c>
      <c r="I4825" s="41" t="s">
        <v>38756</v>
      </c>
      <c r="J4825" s="41" t="s">
        <v>38757</v>
      </c>
      <c r="K4825" s="41" t="s">
        <v>38758</v>
      </c>
      <c r="L4825" s="41" t="s">
        <v>1094</v>
      </c>
    </row>
    <row r="4826" spans="1:19" x14ac:dyDescent="0.25">
      <c r="A4826" s="41" t="s">
        <v>908</v>
      </c>
      <c r="B4826" s="41" t="s">
        <v>38759</v>
      </c>
    </row>
    <row r="4827" spans="1:19" x14ac:dyDescent="0.25">
      <c r="A4827" s="41" t="s">
        <v>23</v>
      </c>
      <c r="B4827" s="41" t="s">
        <v>38760</v>
      </c>
      <c r="F4827" s="41" t="s">
        <v>38761</v>
      </c>
      <c r="G4827" s="41" t="s">
        <v>38762</v>
      </c>
      <c r="H4827" s="41" t="s">
        <v>38763</v>
      </c>
      <c r="I4827" s="41" t="s">
        <v>38764</v>
      </c>
      <c r="J4827" s="41" t="s">
        <v>38765</v>
      </c>
      <c r="L4827" s="41" t="s">
        <v>4</v>
      </c>
    </row>
    <row r="4828" spans="1:19" x14ac:dyDescent="0.25">
      <c r="A4828" s="41" t="s">
        <v>23</v>
      </c>
      <c r="B4828" s="41" t="s">
        <v>38766</v>
      </c>
      <c r="D4828" s="41" t="s">
        <v>38599</v>
      </c>
      <c r="E4828" s="41" t="s">
        <v>38768</v>
      </c>
      <c r="F4828" s="41" t="s">
        <v>38769</v>
      </c>
      <c r="G4828" s="41" t="s">
        <v>38770</v>
      </c>
      <c r="H4828" s="41" t="s">
        <v>38771</v>
      </c>
      <c r="I4828" s="41" t="s">
        <v>38772</v>
      </c>
      <c r="J4828" s="41" t="s">
        <v>38773</v>
      </c>
      <c r="K4828" s="41" t="s">
        <v>38774</v>
      </c>
      <c r="L4828" s="41" t="s">
        <v>38775</v>
      </c>
      <c r="M4828" s="41" t="s">
        <v>38776</v>
      </c>
      <c r="N4828" s="41" t="s">
        <v>38777</v>
      </c>
      <c r="O4828" s="41" t="s">
        <v>38778</v>
      </c>
      <c r="P4828" s="41" t="s">
        <v>38779</v>
      </c>
      <c r="Q4828" s="41" t="s">
        <v>38780</v>
      </c>
      <c r="R4828" s="41" t="s">
        <v>38781</v>
      </c>
      <c r="S4828" s="41" t="s">
        <v>38782</v>
      </c>
    </row>
    <row r="4829" spans="1:19" x14ac:dyDescent="0.25">
      <c r="A4829" s="41" t="s">
        <v>23</v>
      </c>
      <c r="B4829" s="41" t="s">
        <v>38783</v>
      </c>
      <c r="D4829" s="41" t="s">
        <v>38784</v>
      </c>
      <c r="F4829" s="41" t="s">
        <v>38785</v>
      </c>
      <c r="G4829" s="41" t="s">
        <v>38786</v>
      </c>
      <c r="H4829" s="41" t="s">
        <v>38787</v>
      </c>
      <c r="I4829" s="41" t="s">
        <v>38788</v>
      </c>
      <c r="J4829" s="41" t="s">
        <v>38789</v>
      </c>
      <c r="K4829" s="41" t="s">
        <v>38790</v>
      </c>
      <c r="L4829" s="41" t="s">
        <v>891</v>
      </c>
    </row>
    <row r="4830" spans="1:19" x14ac:dyDescent="0.25">
      <c r="A4830" s="41" t="s">
        <v>23</v>
      </c>
      <c r="B4830" s="41" t="s">
        <v>38791</v>
      </c>
      <c r="D4830" s="41" t="s">
        <v>38792</v>
      </c>
      <c r="F4830" s="41" t="s">
        <v>38793</v>
      </c>
      <c r="G4830" s="41" t="s">
        <v>38794</v>
      </c>
      <c r="H4830" s="41" t="s">
        <v>38795</v>
      </c>
      <c r="I4830" s="41" t="s">
        <v>38796</v>
      </c>
      <c r="J4830" s="41" t="s">
        <v>38797</v>
      </c>
      <c r="K4830" s="41" t="s">
        <v>38798</v>
      </c>
      <c r="L4830" s="41" t="s">
        <v>1076</v>
      </c>
    </row>
    <row r="4831" spans="1:19" x14ac:dyDescent="0.25">
      <c r="A4831" s="41" t="s">
        <v>23</v>
      </c>
      <c r="B4831" s="41" t="s">
        <v>38799</v>
      </c>
      <c r="D4831" s="41" t="s">
        <v>38800</v>
      </c>
      <c r="F4831" s="41" t="s">
        <v>38801</v>
      </c>
      <c r="G4831" s="41" t="s">
        <v>38802</v>
      </c>
      <c r="H4831" s="41" t="s">
        <v>38803</v>
      </c>
      <c r="I4831" s="41" t="s">
        <v>38804</v>
      </c>
      <c r="J4831" s="41" t="s">
        <v>38805</v>
      </c>
      <c r="K4831" s="41" t="s">
        <v>38806</v>
      </c>
      <c r="L4831" s="41" t="s">
        <v>1085</v>
      </c>
    </row>
    <row r="4832" spans="1:19" x14ac:dyDescent="0.25">
      <c r="A4832" s="41" t="s">
        <v>23</v>
      </c>
      <c r="B4832" s="41" t="s">
        <v>38807</v>
      </c>
      <c r="D4832" s="41" t="s">
        <v>38808</v>
      </c>
      <c r="F4832" s="41" t="s">
        <v>38809</v>
      </c>
      <c r="G4832" s="41" t="s">
        <v>38810</v>
      </c>
      <c r="H4832" s="41" t="s">
        <v>38811</v>
      </c>
      <c r="I4832" s="41" t="s">
        <v>38812</v>
      </c>
      <c r="J4832" s="41" t="s">
        <v>38813</v>
      </c>
      <c r="K4832" s="41" t="s">
        <v>38814</v>
      </c>
      <c r="L4832" s="41" t="s">
        <v>1094</v>
      </c>
    </row>
    <row r="4833" spans="1:19" x14ac:dyDescent="0.25">
      <c r="A4833" s="41" t="s">
        <v>908</v>
      </c>
      <c r="B4833" s="41" t="s">
        <v>38815</v>
      </c>
    </row>
    <row r="4834" spans="1:19" x14ac:dyDescent="0.25">
      <c r="A4834" s="41" t="s">
        <v>23</v>
      </c>
      <c r="B4834" s="41" t="s">
        <v>38816</v>
      </c>
      <c r="F4834" s="41" t="s">
        <v>38817</v>
      </c>
      <c r="G4834" s="41" t="s">
        <v>38818</v>
      </c>
      <c r="H4834" s="41" t="s">
        <v>38819</v>
      </c>
      <c r="I4834" s="41" t="s">
        <v>38820</v>
      </c>
      <c r="J4834" s="41" t="s">
        <v>38821</v>
      </c>
      <c r="L4834" s="41" t="s">
        <v>4</v>
      </c>
    </row>
    <row r="4835" spans="1:19" x14ac:dyDescent="0.25">
      <c r="A4835" s="41" t="s">
        <v>23</v>
      </c>
      <c r="B4835" s="41" t="s">
        <v>38822</v>
      </c>
      <c r="D4835" s="41" t="s">
        <v>38655</v>
      </c>
      <c r="E4835" s="41" t="s">
        <v>38824</v>
      </c>
      <c r="F4835" s="41" t="s">
        <v>38825</v>
      </c>
      <c r="G4835" s="41" t="s">
        <v>38826</v>
      </c>
      <c r="H4835" s="41" t="s">
        <v>38827</v>
      </c>
      <c r="I4835" s="41" t="s">
        <v>38828</v>
      </c>
      <c r="J4835" s="41" t="s">
        <v>38829</v>
      </c>
      <c r="K4835" s="41" t="s">
        <v>38830</v>
      </c>
      <c r="L4835" s="41" t="s">
        <v>38831</v>
      </c>
      <c r="M4835" s="41" t="s">
        <v>38832</v>
      </c>
      <c r="N4835" s="41" t="s">
        <v>38833</v>
      </c>
      <c r="O4835" s="41" t="s">
        <v>38834</v>
      </c>
      <c r="P4835" s="41" t="s">
        <v>38835</v>
      </c>
      <c r="Q4835" s="41" t="s">
        <v>38836</v>
      </c>
      <c r="R4835" s="41" t="s">
        <v>38837</v>
      </c>
      <c r="S4835" s="41" t="s">
        <v>38838</v>
      </c>
    </row>
    <row r="4836" spans="1:19" x14ac:dyDescent="0.25">
      <c r="A4836" s="41" t="s">
        <v>23</v>
      </c>
      <c r="B4836" s="41" t="s">
        <v>38839</v>
      </c>
      <c r="D4836" s="41" t="s">
        <v>38840</v>
      </c>
      <c r="F4836" s="41" t="s">
        <v>38841</v>
      </c>
      <c r="G4836" s="41" t="s">
        <v>38842</v>
      </c>
      <c r="H4836" s="41" t="s">
        <v>38843</v>
      </c>
      <c r="I4836" s="41" t="s">
        <v>38844</v>
      </c>
      <c r="J4836" s="41" t="s">
        <v>38845</v>
      </c>
      <c r="K4836" s="41" t="s">
        <v>38846</v>
      </c>
      <c r="L4836" s="41" t="s">
        <v>891</v>
      </c>
    </row>
    <row r="4837" spans="1:19" x14ac:dyDescent="0.25">
      <c r="A4837" s="41" t="s">
        <v>23</v>
      </c>
      <c r="B4837" s="41" t="s">
        <v>38847</v>
      </c>
      <c r="D4837" s="41" t="s">
        <v>38848</v>
      </c>
      <c r="F4837" s="41" t="s">
        <v>38849</v>
      </c>
      <c r="G4837" s="41" t="s">
        <v>38850</v>
      </c>
      <c r="H4837" s="41" t="s">
        <v>38851</v>
      </c>
      <c r="I4837" s="41" t="s">
        <v>38852</v>
      </c>
      <c r="J4837" s="41" t="s">
        <v>38853</v>
      </c>
      <c r="K4837" s="41" t="s">
        <v>38854</v>
      </c>
      <c r="L4837" s="41" t="s">
        <v>1076</v>
      </c>
    </row>
    <row r="4838" spans="1:19" x14ac:dyDescent="0.25">
      <c r="A4838" s="41" t="s">
        <v>23</v>
      </c>
      <c r="B4838" s="41" t="s">
        <v>38855</v>
      </c>
      <c r="D4838" s="41" t="s">
        <v>38856</v>
      </c>
      <c r="F4838" s="41" t="s">
        <v>38857</v>
      </c>
      <c r="G4838" s="41" t="s">
        <v>38858</v>
      </c>
      <c r="H4838" s="41" t="s">
        <v>38859</v>
      </c>
      <c r="I4838" s="41" t="s">
        <v>38860</v>
      </c>
      <c r="J4838" s="41" t="s">
        <v>38861</v>
      </c>
      <c r="K4838" s="41" t="s">
        <v>38862</v>
      </c>
      <c r="L4838" s="41" t="s">
        <v>1085</v>
      </c>
    </row>
    <row r="4839" spans="1:19" x14ac:dyDescent="0.25">
      <c r="A4839" s="41" t="s">
        <v>23</v>
      </c>
      <c r="B4839" s="41" t="s">
        <v>38863</v>
      </c>
      <c r="D4839" s="41" t="s">
        <v>38864</v>
      </c>
      <c r="F4839" s="41" t="s">
        <v>38865</v>
      </c>
      <c r="G4839" s="41" t="s">
        <v>38866</v>
      </c>
      <c r="H4839" s="41" t="s">
        <v>38867</v>
      </c>
      <c r="I4839" s="41" t="s">
        <v>38868</v>
      </c>
      <c r="J4839" s="41" t="s">
        <v>38869</v>
      </c>
      <c r="K4839" s="41" t="s">
        <v>38870</v>
      </c>
      <c r="L4839" s="41" t="s">
        <v>1094</v>
      </c>
    </row>
    <row r="4840" spans="1:19" x14ac:dyDescent="0.25">
      <c r="A4840" s="41" t="s">
        <v>908</v>
      </c>
      <c r="B4840" s="41" t="s">
        <v>38871</v>
      </c>
    </row>
    <row r="4841" spans="1:19" x14ac:dyDescent="0.25">
      <c r="A4841" s="41" t="s">
        <v>23</v>
      </c>
      <c r="B4841" s="41" t="s">
        <v>38872</v>
      </c>
      <c r="F4841" s="41" t="s">
        <v>38873</v>
      </c>
      <c r="G4841" s="41" t="s">
        <v>38874</v>
      </c>
      <c r="H4841" s="41" t="s">
        <v>38875</v>
      </c>
      <c r="I4841" s="41" t="s">
        <v>38876</v>
      </c>
      <c r="J4841" s="41" t="s">
        <v>38877</v>
      </c>
      <c r="L4841" s="41" t="s">
        <v>4</v>
      </c>
    </row>
    <row r="4842" spans="1:19" x14ac:dyDescent="0.25">
      <c r="A4842" s="41" t="s">
        <v>23</v>
      </c>
      <c r="B4842" s="41" t="s">
        <v>38878</v>
      </c>
      <c r="D4842" s="41" t="s">
        <v>38711</v>
      </c>
      <c r="E4842" s="41" t="s">
        <v>38880</v>
      </c>
      <c r="F4842" s="41" t="s">
        <v>38881</v>
      </c>
      <c r="G4842" s="41" t="s">
        <v>38882</v>
      </c>
      <c r="H4842" s="41" t="s">
        <v>38883</v>
      </c>
      <c r="I4842" s="41" t="s">
        <v>38884</v>
      </c>
      <c r="J4842" s="41" t="s">
        <v>38885</v>
      </c>
      <c r="K4842" s="41" t="s">
        <v>38886</v>
      </c>
      <c r="L4842" s="41" t="s">
        <v>38887</v>
      </c>
      <c r="M4842" s="41" t="s">
        <v>38888</v>
      </c>
      <c r="N4842" s="41" t="s">
        <v>38889</v>
      </c>
      <c r="O4842" s="41" t="s">
        <v>38890</v>
      </c>
      <c r="P4842" s="41" t="s">
        <v>38891</v>
      </c>
      <c r="Q4842" s="41" t="s">
        <v>38892</v>
      </c>
      <c r="R4842" s="41" t="s">
        <v>38893</v>
      </c>
      <c r="S4842" s="41" t="s">
        <v>38894</v>
      </c>
    </row>
    <row r="4843" spans="1:19" x14ac:dyDescent="0.25">
      <c r="A4843" s="41" t="s">
        <v>23</v>
      </c>
      <c r="B4843" s="41" t="s">
        <v>38895</v>
      </c>
      <c r="D4843" s="41" t="s">
        <v>38896</v>
      </c>
      <c r="F4843" s="41" t="s">
        <v>38897</v>
      </c>
      <c r="G4843" s="41" t="s">
        <v>38898</v>
      </c>
      <c r="H4843" s="41" t="s">
        <v>38899</v>
      </c>
      <c r="I4843" s="41" t="s">
        <v>38900</v>
      </c>
      <c r="J4843" s="41" t="s">
        <v>38901</v>
      </c>
      <c r="K4843" s="41" t="s">
        <v>38902</v>
      </c>
      <c r="L4843" s="41" t="s">
        <v>891</v>
      </c>
    </row>
    <row r="4844" spans="1:19" x14ac:dyDescent="0.25">
      <c r="A4844" s="41" t="s">
        <v>23</v>
      </c>
      <c r="B4844" s="41" t="s">
        <v>38903</v>
      </c>
      <c r="D4844" s="41" t="s">
        <v>38904</v>
      </c>
      <c r="F4844" s="41" t="s">
        <v>38905</v>
      </c>
      <c r="G4844" s="41" t="s">
        <v>38906</v>
      </c>
      <c r="H4844" s="41" t="s">
        <v>38907</v>
      </c>
      <c r="I4844" s="41" t="s">
        <v>38908</v>
      </c>
      <c r="J4844" s="41" t="s">
        <v>38909</v>
      </c>
      <c r="K4844" s="41" t="s">
        <v>38910</v>
      </c>
      <c r="L4844" s="41" t="s">
        <v>1076</v>
      </c>
    </row>
    <row r="4845" spans="1:19" x14ac:dyDescent="0.25">
      <c r="A4845" s="41" t="s">
        <v>23</v>
      </c>
      <c r="B4845" s="41" t="s">
        <v>38911</v>
      </c>
      <c r="D4845" s="41" t="s">
        <v>38912</v>
      </c>
      <c r="F4845" s="41" t="s">
        <v>38913</v>
      </c>
      <c r="G4845" s="41" t="s">
        <v>38914</v>
      </c>
      <c r="H4845" s="41" t="s">
        <v>38915</v>
      </c>
      <c r="I4845" s="41" t="s">
        <v>38916</v>
      </c>
      <c r="J4845" s="41" t="s">
        <v>38917</v>
      </c>
      <c r="K4845" s="41" t="s">
        <v>38918</v>
      </c>
      <c r="L4845" s="41" t="s">
        <v>1085</v>
      </c>
    </row>
    <row r="4846" spans="1:19" x14ac:dyDescent="0.25">
      <c r="A4846" s="41" t="s">
        <v>23</v>
      </c>
      <c r="B4846" s="41" t="s">
        <v>38919</v>
      </c>
      <c r="D4846" s="41" t="s">
        <v>38920</v>
      </c>
      <c r="F4846" s="41" t="s">
        <v>38921</v>
      </c>
      <c r="G4846" s="41" t="s">
        <v>38922</v>
      </c>
      <c r="H4846" s="41" t="s">
        <v>38923</v>
      </c>
      <c r="I4846" s="41" t="s">
        <v>38924</v>
      </c>
      <c r="J4846" s="41" t="s">
        <v>38925</v>
      </c>
      <c r="K4846" s="41" t="s">
        <v>38926</v>
      </c>
      <c r="L4846" s="41" t="s">
        <v>1094</v>
      </c>
    </row>
    <row r="4847" spans="1:19" x14ac:dyDescent="0.25">
      <c r="A4847" s="41" t="s">
        <v>908</v>
      </c>
      <c r="B4847" s="41" t="s">
        <v>38927</v>
      </c>
    </row>
    <row r="4848" spans="1:19" x14ac:dyDescent="0.25">
      <c r="A4848" s="41" t="s">
        <v>23</v>
      </c>
      <c r="B4848" s="41" t="s">
        <v>38928</v>
      </c>
      <c r="F4848" s="41" t="s">
        <v>38929</v>
      </c>
      <c r="G4848" s="41" t="s">
        <v>38930</v>
      </c>
      <c r="H4848" s="41" t="s">
        <v>38931</v>
      </c>
      <c r="I4848" s="41" t="s">
        <v>38932</v>
      </c>
      <c r="J4848" s="41" t="s">
        <v>38933</v>
      </c>
      <c r="L4848" s="41" t="s">
        <v>4</v>
      </c>
    </row>
    <row r="4849" spans="1:19" x14ac:dyDescent="0.25">
      <c r="A4849" s="41" t="s">
        <v>23</v>
      </c>
      <c r="B4849" s="41" t="s">
        <v>38934</v>
      </c>
      <c r="D4849" s="41" t="s">
        <v>38767</v>
      </c>
      <c r="E4849" s="41" t="s">
        <v>38936</v>
      </c>
      <c r="F4849" s="41" t="s">
        <v>38937</v>
      </c>
      <c r="G4849" s="41" t="s">
        <v>38938</v>
      </c>
      <c r="H4849" s="41" t="s">
        <v>38939</v>
      </c>
      <c r="I4849" s="41" t="s">
        <v>38940</v>
      </c>
      <c r="J4849" s="41" t="s">
        <v>38941</v>
      </c>
      <c r="K4849" s="41" t="s">
        <v>38942</v>
      </c>
      <c r="L4849" s="41" t="s">
        <v>38943</v>
      </c>
      <c r="M4849" s="41" t="s">
        <v>38944</v>
      </c>
      <c r="N4849" s="41" t="s">
        <v>38945</v>
      </c>
      <c r="O4849" s="41" t="s">
        <v>38946</v>
      </c>
      <c r="P4849" s="41" t="s">
        <v>38947</v>
      </c>
      <c r="Q4849" s="41" t="s">
        <v>38948</v>
      </c>
      <c r="R4849" s="41" t="s">
        <v>38949</v>
      </c>
      <c r="S4849" s="41" t="s">
        <v>38950</v>
      </c>
    </row>
    <row r="4850" spans="1:19" x14ac:dyDescent="0.25">
      <c r="A4850" s="41" t="s">
        <v>23</v>
      </c>
      <c r="B4850" s="41" t="s">
        <v>38951</v>
      </c>
      <c r="D4850" s="41" t="s">
        <v>38952</v>
      </c>
      <c r="F4850" s="41" t="s">
        <v>38953</v>
      </c>
      <c r="G4850" s="41" t="s">
        <v>38954</v>
      </c>
      <c r="H4850" s="41" t="s">
        <v>38955</v>
      </c>
      <c r="I4850" s="41" t="s">
        <v>38956</v>
      </c>
      <c r="J4850" s="41" t="s">
        <v>38957</v>
      </c>
      <c r="K4850" s="41" t="s">
        <v>38958</v>
      </c>
      <c r="L4850" s="41" t="s">
        <v>891</v>
      </c>
    </row>
    <row r="4851" spans="1:19" x14ac:dyDescent="0.25">
      <c r="A4851" s="41" t="s">
        <v>23</v>
      </c>
      <c r="B4851" s="41" t="s">
        <v>38959</v>
      </c>
      <c r="D4851" s="41" t="s">
        <v>38960</v>
      </c>
      <c r="F4851" s="41" t="s">
        <v>38961</v>
      </c>
      <c r="G4851" s="41" t="s">
        <v>38962</v>
      </c>
      <c r="H4851" s="41" t="s">
        <v>38963</v>
      </c>
      <c r="I4851" s="41" t="s">
        <v>38964</v>
      </c>
      <c r="J4851" s="41" t="s">
        <v>38965</v>
      </c>
      <c r="K4851" s="41" t="s">
        <v>38966</v>
      </c>
      <c r="L4851" s="41" t="s">
        <v>1076</v>
      </c>
    </row>
    <row r="4852" spans="1:19" x14ac:dyDescent="0.25">
      <c r="A4852" s="41" t="s">
        <v>23</v>
      </c>
      <c r="B4852" s="41" t="s">
        <v>38967</v>
      </c>
      <c r="D4852" s="41" t="s">
        <v>38968</v>
      </c>
      <c r="F4852" s="41" t="s">
        <v>38969</v>
      </c>
      <c r="G4852" s="41" t="s">
        <v>38970</v>
      </c>
      <c r="H4852" s="41" t="s">
        <v>38971</v>
      </c>
      <c r="I4852" s="41" t="s">
        <v>38972</v>
      </c>
      <c r="J4852" s="41" t="s">
        <v>38973</v>
      </c>
      <c r="K4852" s="41" t="s">
        <v>38974</v>
      </c>
      <c r="L4852" s="41" t="s">
        <v>1085</v>
      </c>
    </row>
    <row r="4853" spans="1:19" x14ac:dyDescent="0.25">
      <c r="A4853" s="41" t="s">
        <v>23</v>
      </c>
      <c r="B4853" s="41" t="s">
        <v>38975</v>
      </c>
      <c r="D4853" s="41" t="s">
        <v>38976</v>
      </c>
      <c r="F4853" s="41" t="s">
        <v>38977</v>
      </c>
      <c r="G4853" s="41" t="s">
        <v>38978</v>
      </c>
      <c r="H4853" s="41" t="s">
        <v>38979</v>
      </c>
      <c r="I4853" s="41" t="s">
        <v>38980</v>
      </c>
      <c r="J4853" s="41" t="s">
        <v>38981</v>
      </c>
      <c r="K4853" s="41" t="s">
        <v>38982</v>
      </c>
      <c r="L4853" s="41" t="s">
        <v>1094</v>
      </c>
    </row>
    <row r="4854" spans="1:19" x14ac:dyDescent="0.25">
      <c r="A4854" s="41" t="s">
        <v>908</v>
      </c>
      <c r="B4854" s="41" t="s">
        <v>38983</v>
      </c>
    </row>
    <row r="4855" spans="1:19" x14ac:dyDescent="0.25">
      <c r="A4855" s="41" t="s">
        <v>23</v>
      </c>
      <c r="B4855" s="41" t="s">
        <v>38984</v>
      </c>
      <c r="F4855" s="41" t="s">
        <v>38985</v>
      </c>
      <c r="G4855" s="41" t="s">
        <v>38986</v>
      </c>
      <c r="H4855" s="41" t="s">
        <v>38987</v>
      </c>
      <c r="I4855" s="41" t="s">
        <v>38988</v>
      </c>
      <c r="J4855" s="41" t="s">
        <v>38989</v>
      </c>
      <c r="L4855" s="41" t="s">
        <v>4</v>
      </c>
    </row>
    <row r="4856" spans="1:19" x14ac:dyDescent="0.25">
      <c r="A4856" s="41" t="s">
        <v>23</v>
      </c>
      <c r="B4856" s="41" t="s">
        <v>38990</v>
      </c>
      <c r="D4856" s="41" t="s">
        <v>38823</v>
      </c>
      <c r="E4856" s="41" t="s">
        <v>38992</v>
      </c>
      <c r="F4856" s="41" t="s">
        <v>38993</v>
      </c>
      <c r="G4856" s="41" t="s">
        <v>38994</v>
      </c>
      <c r="H4856" s="41" t="s">
        <v>38995</v>
      </c>
      <c r="I4856" s="41" t="s">
        <v>38996</v>
      </c>
      <c r="J4856" s="41" t="s">
        <v>38997</v>
      </c>
      <c r="K4856" s="41" t="s">
        <v>38998</v>
      </c>
      <c r="L4856" s="41" t="s">
        <v>38999</v>
      </c>
      <c r="M4856" s="41" t="s">
        <v>39000</v>
      </c>
      <c r="N4856" s="41" t="s">
        <v>39001</v>
      </c>
      <c r="O4856" s="41" t="s">
        <v>39002</v>
      </c>
      <c r="P4856" s="41" t="s">
        <v>39003</v>
      </c>
      <c r="Q4856" s="41" t="s">
        <v>39004</v>
      </c>
      <c r="R4856" s="41" t="s">
        <v>39005</v>
      </c>
      <c r="S4856" s="41" t="s">
        <v>39006</v>
      </c>
    </row>
    <row r="4857" spans="1:19" x14ac:dyDescent="0.25">
      <c r="A4857" s="41" t="s">
        <v>23</v>
      </c>
      <c r="B4857" s="41" t="s">
        <v>39007</v>
      </c>
      <c r="D4857" s="41" t="s">
        <v>39008</v>
      </c>
      <c r="F4857" s="41" t="s">
        <v>39009</v>
      </c>
      <c r="G4857" s="41" t="s">
        <v>39010</v>
      </c>
      <c r="H4857" s="41" t="s">
        <v>39011</v>
      </c>
      <c r="I4857" s="41" t="s">
        <v>39012</v>
      </c>
      <c r="J4857" s="41" t="s">
        <v>39013</v>
      </c>
      <c r="K4857" s="41" t="s">
        <v>39014</v>
      </c>
      <c r="L4857" s="41" t="s">
        <v>891</v>
      </c>
    </row>
    <row r="4858" spans="1:19" x14ac:dyDescent="0.25">
      <c r="A4858" s="41" t="s">
        <v>23</v>
      </c>
      <c r="B4858" s="41" t="s">
        <v>39015</v>
      </c>
      <c r="D4858" s="41" t="s">
        <v>39016</v>
      </c>
      <c r="F4858" s="41" t="s">
        <v>39017</v>
      </c>
      <c r="G4858" s="41" t="s">
        <v>39018</v>
      </c>
      <c r="H4858" s="41" t="s">
        <v>39019</v>
      </c>
      <c r="I4858" s="41" t="s">
        <v>39020</v>
      </c>
      <c r="J4858" s="41" t="s">
        <v>39021</v>
      </c>
      <c r="K4858" s="41" t="s">
        <v>39022</v>
      </c>
      <c r="L4858" s="41" t="s">
        <v>1076</v>
      </c>
    </row>
    <row r="4859" spans="1:19" x14ac:dyDescent="0.25">
      <c r="A4859" s="41" t="s">
        <v>23</v>
      </c>
      <c r="B4859" s="41" t="s">
        <v>39023</v>
      </c>
      <c r="D4859" s="41" t="s">
        <v>39024</v>
      </c>
      <c r="F4859" s="41" t="s">
        <v>39025</v>
      </c>
      <c r="G4859" s="41" t="s">
        <v>39026</v>
      </c>
      <c r="H4859" s="41" t="s">
        <v>39027</v>
      </c>
      <c r="I4859" s="41" t="s">
        <v>39028</v>
      </c>
      <c r="J4859" s="41" t="s">
        <v>39029</v>
      </c>
      <c r="K4859" s="41" t="s">
        <v>39030</v>
      </c>
      <c r="L4859" s="41" t="s">
        <v>1085</v>
      </c>
    </row>
    <row r="4860" spans="1:19" x14ac:dyDescent="0.25">
      <c r="A4860" s="41" t="s">
        <v>23</v>
      </c>
      <c r="B4860" s="41" t="s">
        <v>39031</v>
      </c>
      <c r="D4860" s="41" t="s">
        <v>39032</v>
      </c>
      <c r="F4860" s="41" t="s">
        <v>39033</v>
      </c>
      <c r="G4860" s="41" t="s">
        <v>39034</v>
      </c>
      <c r="H4860" s="41" t="s">
        <v>39035</v>
      </c>
      <c r="I4860" s="41" t="s">
        <v>39036</v>
      </c>
      <c r="J4860" s="41" t="s">
        <v>39037</v>
      </c>
      <c r="K4860" s="41" t="s">
        <v>39038</v>
      </c>
      <c r="L4860" s="41" t="s">
        <v>1094</v>
      </c>
    </row>
    <row r="4861" spans="1:19" x14ac:dyDescent="0.25">
      <c r="A4861" s="41" t="s">
        <v>908</v>
      </c>
      <c r="B4861" s="41" t="s">
        <v>39039</v>
      </c>
    </row>
    <row r="4862" spans="1:19" x14ac:dyDescent="0.25">
      <c r="A4862" s="41" t="s">
        <v>23</v>
      </c>
      <c r="B4862" s="41" t="s">
        <v>39040</v>
      </c>
      <c r="F4862" s="41" t="s">
        <v>39041</v>
      </c>
      <c r="G4862" s="41" t="s">
        <v>39042</v>
      </c>
      <c r="H4862" s="41" t="s">
        <v>39043</v>
      </c>
      <c r="I4862" s="41" t="s">
        <v>39044</v>
      </c>
      <c r="J4862" s="41" t="s">
        <v>39045</v>
      </c>
      <c r="L4862" s="41" t="s">
        <v>4</v>
      </c>
    </row>
    <row r="4863" spans="1:19" x14ac:dyDescent="0.25">
      <c r="A4863" s="41" t="s">
        <v>23</v>
      </c>
      <c r="B4863" s="41" t="s">
        <v>39046</v>
      </c>
      <c r="D4863" s="41" t="s">
        <v>38879</v>
      </c>
      <c r="E4863" s="41" t="s">
        <v>39048</v>
      </c>
      <c r="F4863" s="41" t="s">
        <v>39049</v>
      </c>
      <c r="G4863" s="41" t="s">
        <v>39050</v>
      </c>
      <c r="H4863" s="41" t="s">
        <v>39051</v>
      </c>
      <c r="I4863" s="41" t="s">
        <v>39052</v>
      </c>
      <c r="J4863" s="41" t="s">
        <v>39053</v>
      </c>
      <c r="K4863" s="41" t="s">
        <v>39054</v>
      </c>
      <c r="L4863" s="41" t="s">
        <v>39055</v>
      </c>
      <c r="M4863" s="41" t="s">
        <v>39056</v>
      </c>
      <c r="N4863" s="41" t="s">
        <v>39057</v>
      </c>
      <c r="O4863" s="41" t="s">
        <v>39058</v>
      </c>
      <c r="P4863" s="41" t="s">
        <v>39059</v>
      </c>
      <c r="Q4863" s="41" t="s">
        <v>39060</v>
      </c>
      <c r="R4863" s="41" t="s">
        <v>39061</v>
      </c>
      <c r="S4863" s="41" t="s">
        <v>39062</v>
      </c>
    </row>
    <row r="4864" spans="1:19" x14ac:dyDescent="0.25">
      <c r="A4864" s="41" t="s">
        <v>23</v>
      </c>
      <c r="B4864" s="41" t="s">
        <v>39063</v>
      </c>
      <c r="D4864" s="41" t="s">
        <v>39064</v>
      </c>
      <c r="F4864" s="41" t="s">
        <v>39065</v>
      </c>
      <c r="G4864" s="41" t="s">
        <v>39066</v>
      </c>
      <c r="H4864" s="41" t="s">
        <v>39067</v>
      </c>
      <c r="I4864" s="41" t="s">
        <v>39068</v>
      </c>
      <c r="J4864" s="41" t="s">
        <v>39069</v>
      </c>
      <c r="K4864" s="41" t="s">
        <v>39070</v>
      </c>
      <c r="L4864" s="41" t="s">
        <v>891</v>
      </c>
    </row>
    <row r="4865" spans="1:19" x14ac:dyDescent="0.25">
      <c r="A4865" s="41" t="s">
        <v>23</v>
      </c>
      <c r="B4865" s="41" t="s">
        <v>39071</v>
      </c>
      <c r="D4865" s="41" t="s">
        <v>39072</v>
      </c>
      <c r="F4865" s="41" t="s">
        <v>39073</v>
      </c>
      <c r="G4865" s="41" t="s">
        <v>39074</v>
      </c>
      <c r="H4865" s="41" t="s">
        <v>39075</v>
      </c>
      <c r="I4865" s="41" t="s">
        <v>39076</v>
      </c>
      <c r="J4865" s="41" t="s">
        <v>39077</v>
      </c>
      <c r="K4865" s="41" t="s">
        <v>39078</v>
      </c>
      <c r="L4865" s="41" t="s">
        <v>1076</v>
      </c>
    </row>
    <row r="4866" spans="1:19" x14ac:dyDescent="0.25">
      <c r="A4866" s="41" t="s">
        <v>23</v>
      </c>
      <c r="B4866" s="41" t="s">
        <v>39079</v>
      </c>
      <c r="D4866" s="41" t="s">
        <v>39080</v>
      </c>
      <c r="F4866" s="41" t="s">
        <v>39081</v>
      </c>
      <c r="G4866" s="41" t="s">
        <v>39082</v>
      </c>
      <c r="H4866" s="41" t="s">
        <v>39083</v>
      </c>
      <c r="I4866" s="41" t="s">
        <v>39084</v>
      </c>
      <c r="J4866" s="41" t="s">
        <v>39085</v>
      </c>
      <c r="K4866" s="41" t="s">
        <v>39086</v>
      </c>
      <c r="L4866" s="41" t="s">
        <v>1085</v>
      </c>
    </row>
    <row r="4867" spans="1:19" x14ac:dyDescent="0.25">
      <c r="A4867" s="41" t="s">
        <v>23</v>
      </c>
      <c r="B4867" s="41" t="s">
        <v>39087</v>
      </c>
      <c r="D4867" s="41" t="s">
        <v>39088</v>
      </c>
      <c r="F4867" s="41" t="s">
        <v>39089</v>
      </c>
      <c r="G4867" s="41" t="s">
        <v>39090</v>
      </c>
      <c r="H4867" s="41" t="s">
        <v>39091</v>
      </c>
      <c r="I4867" s="41" t="s">
        <v>39092</v>
      </c>
      <c r="J4867" s="41" t="s">
        <v>39093</v>
      </c>
      <c r="K4867" s="41" t="s">
        <v>39094</v>
      </c>
      <c r="L4867" s="41" t="s">
        <v>1094</v>
      </c>
    </row>
    <row r="4868" spans="1:19" x14ac:dyDescent="0.25">
      <c r="A4868" s="41" t="s">
        <v>908</v>
      </c>
      <c r="B4868" s="41" t="s">
        <v>39095</v>
      </c>
    </row>
    <row r="4869" spans="1:19" x14ac:dyDescent="0.25">
      <c r="A4869" s="41" t="s">
        <v>23</v>
      </c>
      <c r="B4869" s="41" t="s">
        <v>39096</v>
      </c>
      <c r="F4869" s="41" t="s">
        <v>39097</v>
      </c>
      <c r="G4869" s="41" t="s">
        <v>39098</v>
      </c>
      <c r="H4869" s="41" t="s">
        <v>39099</v>
      </c>
      <c r="I4869" s="41" t="s">
        <v>39100</v>
      </c>
      <c r="J4869" s="41" t="s">
        <v>39101</v>
      </c>
      <c r="L4869" s="41" t="s">
        <v>4</v>
      </c>
    </row>
    <row r="4870" spans="1:19" x14ac:dyDescent="0.25">
      <c r="A4870" s="41" t="s">
        <v>23</v>
      </c>
      <c r="B4870" s="41" t="s">
        <v>39102</v>
      </c>
      <c r="D4870" s="41" t="s">
        <v>38935</v>
      </c>
      <c r="E4870" s="41" t="s">
        <v>39104</v>
      </c>
      <c r="F4870" s="41" t="s">
        <v>39105</v>
      </c>
      <c r="G4870" s="41" t="s">
        <v>39106</v>
      </c>
      <c r="H4870" s="41" t="s">
        <v>39107</v>
      </c>
      <c r="I4870" s="41" t="s">
        <v>39108</v>
      </c>
      <c r="J4870" s="41" t="s">
        <v>39109</v>
      </c>
      <c r="K4870" s="41" t="s">
        <v>39110</v>
      </c>
      <c r="L4870" s="41" t="s">
        <v>39111</v>
      </c>
      <c r="M4870" s="41" t="s">
        <v>39112</v>
      </c>
      <c r="N4870" s="41" t="s">
        <v>39113</v>
      </c>
      <c r="O4870" s="41" t="s">
        <v>39114</v>
      </c>
      <c r="P4870" s="41" t="s">
        <v>39115</v>
      </c>
      <c r="Q4870" s="41" t="s">
        <v>39116</v>
      </c>
      <c r="R4870" s="41" t="s">
        <v>39117</v>
      </c>
      <c r="S4870" s="41" t="s">
        <v>39118</v>
      </c>
    </row>
    <row r="4871" spans="1:19" x14ac:dyDescent="0.25">
      <c r="A4871" s="41" t="s">
        <v>23</v>
      </c>
      <c r="B4871" s="41" t="s">
        <v>39119</v>
      </c>
      <c r="D4871" s="41" t="s">
        <v>39120</v>
      </c>
      <c r="F4871" s="41" t="s">
        <v>39121</v>
      </c>
      <c r="G4871" s="41" t="s">
        <v>39122</v>
      </c>
      <c r="H4871" s="41" t="s">
        <v>39123</v>
      </c>
      <c r="I4871" s="41" t="s">
        <v>39124</v>
      </c>
      <c r="J4871" s="41" t="s">
        <v>39125</v>
      </c>
      <c r="K4871" s="41" t="s">
        <v>39126</v>
      </c>
      <c r="L4871" s="41" t="s">
        <v>891</v>
      </c>
    </row>
    <row r="4872" spans="1:19" x14ac:dyDescent="0.25">
      <c r="A4872" s="41" t="s">
        <v>23</v>
      </c>
      <c r="B4872" s="41" t="s">
        <v>39127</v>
      </c>
      <c r="D4872" s="41" t="s">
        <v>39128</v>
      </c>
      <c r="F4872" s="41" t="s">
        <v>39129</v>
      </c>
      <c r="G4872" s="41" t="s">
        <v>39130</v>
      </c>
      <c r="H4872" s="41" t="s">
        <v>39131</v>
      </c>
      <c r="I4872" s="41" t="s">
        <v>39132</v>
      </c>
      <c r="J4872" s="41" t="s">
        <v>39133</v>
      </c>
      <c r="K4872" s="41" t="s">
        <v>39134</v>
      </c>
      <c r="L4872" s="41" t="s">
        <v>1076</v>
      </c>
    </row>
    <row r="4873" spans="1:19" x14ac:dyDescent="0.25">
      <c r="A4873" s="41" t="s">
        <v>23</v>
      </c>
      <c r="B4873" s="41" t="s">
        <v>39135</v>
      </c>
      <c r="D4873" s="41" t="s">
        <v>39136</v>
      </c>
      <c r="F4873" s="41" t="s">
        <v>39137</v>
      </c>
      <c r="G4873" s="41" t="s">
        <v>39138</v>
      </c>
      <c r="H4873" s="41" t="s">
        <v>39139</v>
      </c>
      <c r="I4873" s="41" t="s">
        <v>39140</v>
      </c>
      <c r="J4873" s="41" t="s">
        <v>39141</v>
      </c>
      <c r="K4873" s="41" t="s">
        <v>39142</v>
      </c>
      <c r="L4873" s="41" t="s">
        <v>1085</v>
      </c>
    </row>
    <row r="4874" spans="1:19" x14ac:dyDescent="0.25">
      <c r="A4874" s="41" t="s">
        <v>23</v>
      </c>
      <c r="B4874" s="41" t="s">
        <v>39143</v>
      </c>
      <c r="D4874" s="41" t="s">
        <v>39144</v>
      </c>
      <c r="F4874" s="41" t="s">
        <v>39145</v>
      </c>
      <c r="G4874" s="41" t="s">
        <v>39146</v>
      </c>
      <c r="H4874" s="41" t="s">
        <v>39147</v>
      </c>
      <c r="I4874" s="41" t="s">
        <v>39148</v>
      </c>
      <c r="J4874" s="41" t="s">
        <v>39149</v>
      </c>
      <c r="K4874" s="41" t="s">
        <v>39150</v>
      </c>
      <c r="L4874" s="41" t="s">
        <v>1094</v>
      </c>
    </row>
    <row r="4875" spans="1:19" x14ac:dyDescent="0.25">
      <c r="A4875" s="41" t="s">
        <v>908</v>
      </c>
      <c r="B4875" s="41" t="s">
        <v>39151</v>
      </c>
    </row>
    <row r="4876" spans="1:19" x14ac:dyDescent="0.25">
      <c r="A4876" s="41" t="s">
        <v>23</v>
      </c>
      <c r="B4876" s="41" t="s">
        <v>39152</v>
      </c>
      <c r="F4876" s="41" t="s">
        <v>39153</v>
      </c>
      <c r="G4876" s="41" t="s">
        <v>39154</v>
      </c>
      <c r="H4876" s="41" t="s">
        <v>39155</v>
      </c>
      <c r="I4876" s="41" t="s">
        <v>39156</v>
      </c>
      <c r="J4876" s="41" t="s">
        <v>39157</v>
      </c>
      <c r="L4876" s="41" t="s">
        <v>4</v>
      </c>
    </row>
    <row r="4877" spans="1:19" x14ac:dyDescent="0.25">
      <c r="A4877" s="41" t="s">
        <v>23</v>
      </c>
      <c r="B4877" s="41" t="s">
        <v>39158</v>
      </c>
      <c r="D4877" s="41" t="s">
        <v>38991</v>
      </c>
      <c r="E4877" s="41" t="s">
        <v>39160</v>
      </c>
      <c r="F4877" s="41" t="s">
        <v>39161</v>
      </c>
      <c r="G4877" s="41" t="s">
        <v>39162</v>
      </c>
      <c r="H4877" s="41" t="s">
        <v>39163</v>
      </c>
      <c r="I4877" s="41" t="s">
        <v>39164</v>
      </c>
      <c r="J4877" s="41" t="s">
        <v>39165</v>
      </c>
      <c r="K4877" s="41" t="s">
        <v>39166</v>
      </c>
      <c r="L4877" s="41" t="s">
        <v>39167</v>
      </c>
      <c r="M4877" s="41" t="s">
        <v>39168</v>
      </c>
      <c r="N4877" s="41" t="s">
        <v>39169</v>
      </c>
      <c r="O4877" s="41" t="s">
        <v>39170</v>
      </c>
      <c r="P4877" s="41" t="s">
        <v>39171</v>
      </c>
      <c r="Q4877" s="41" t="s">
        <v>39172</v>
      </c>
      <c r="R4877" s="41" t="s">
        <v>39173</v>
      </c>
      <c r="S4877" s="41" t="s">
        <v>39174</v>
      </c>
    </row>
    <row r="4878" spans="1:19" x14ac:dyDescent="0.25">
      <c r="A4878" s="41" t="s">
        <v>23</v>
      </c>
      <c r="B4878" s="41" t="s">
        <v>39175</v>
      </c>
      <c r="D4878" s="41" t="s">
        <v>39176</v>
      </c>
      <c r="F4878" s="41" t="s">
        <v>39177</v>
      </c>
      <c r="G4878" s="41" t="s">
        <v>39178</v>
      </c>
      <c r="H4878" s="41" t="s">
        <v>39179</v>
      </c>
      <c r="I4878" s="41" t="s">
        <v>39180</v>
      </c>
      <c r="J4878" s="41" t="s">
        <v>39181</v>
      </c>
      <c r="K4878" s="41" t="s">
        <v>39182</v>
      </c>
      <c r="L4878" s="41" t="s">
        <v>891</v>
      </c>
    </row>
    <row r="4879" spans="1:19" x14ac:dyDescent="0.25">
      <c r="A4879" s="41" t="s">
        <v>23</v>
      </c>
      <c r="B4879" s="41" t="s">
        <v>39183</v>
      </c>
      <c r="D4879" s="41" t="s">
        <v>39184</v>
      </c>
      <c r="F4879" s="41" t="s">
        <v>39185</v>
      </c>
      <c r="G4879" s="41" t="s">
        <v>39186</v>
      </c>
      <c r="H4879" s="41" t="s">
        <v>39187</v>
      </c>
      <c r="I4879" s="41" t="s">
        <v>39188</v>
      </c>
      <c r="J4879" s="41" t="s">
        <v>39189</v>
      </c>
      <c r="K4879" s="41" t="s">
        <v>39190</v>
      </c>
      <c r="L4879" s="41" t="s">
        <v>1076</v>
      </c>
    </row>
    <row r="4880" spans="1:19" x14ac:dyDescent="0.25">
      <c r="A4880" s="41" t="s">
        <v>23</v>
      </c>
      <c r="B4880" s="41" t="s">
        <v>39191</v>
      </c>
      <c r="D4880" s="41" t="s">
        <v>39192</v>
      </c>
      <c r="F4880" s="41" t="s">
        <v>39193</v>
      </c>
      <c r="G4880" s="41" t="s">
        <v>39194</v>
      </c>
      <c r="H4880" s="41" t="s">
        <v>39195</v>
      </c>
      <c r="I4880" s="41" t="s">
        <v>39196</v>
      </c>
      <c r="J4880" s="41" t="s">
        <v>39197</v>
      </c>
      <c r="K4880" s="41" t="s">
        <v>39198</v>
      </c>
      <c r="L4880" s="41" t="s">
        <v>1085</v>
      </c>
    </row>
    <row r="4881" spans="1:19" x14ac:dyDescent="0.25">
      <c r="A4881" s="41" t="s">
        <v>23</v>
      </c>
      <c r="B4881" s="41" t="s">
        <v>39199</v>
      </c>
      <c r="D4881" s="41" t="s">
        <v>39200</v>
      </c>
      <c r="F4881" s="41" t="s">
        <v>39201</v>
      </c>
      <c r="G4881" s="41" t="s">
        <v>39202</v>
      </c>
      <c r="H4881" s="41" t="s">
        <v>39203</v>
      </c>
      <c r="I4881" s="41" t="s">
        <v>39204</v>
      </c>
      <c r="J4881" s="41" t="s">
        <v>39205</v>
      </c>
      <c r="K4881" s="41" t="s">
        <v>39206</v>
      </c>
      <c r="L4881" s="41" t="s">
        <v>1094</v>
      </c>
    </row>
    <row r="4882" spans="1:19" x14ac:dyDescent="0.25">
      <c r="A4882" s="41" t="s">
        <v>908</v>
      </c>
      <c r="B4882" s="41" t="s">
        <v>39207</v>
      </c>
    </row>
    <row r="4883" spans="1:19" x14ac:dyDescent="0.25">
      <c r="A4883" s="41" t="s">
        <v>23</v>
      </c>
      <c r="B4883" s="41" t="s">
        <v>39208</v>
      </c>
      <c r="F4883" s="41" t="s">
        <v>39209</v>
      </c>
      <c r="G4883" s="41" t="s">
        <v>39210</v>
      </c>
      <c r="H4883" s="41" t="s">
        <v>39211</v>
      </c>
      <c r="I4883" s="41" t="s">
        <v>39212</v>
      </c>
      <c r="J4883" s="41" t="s">
        <v>39213</v>
      </c>
      <c r="L4883" s="41" t="s">
        <v>4</v>
      </c>
    </row>
    <row r="4884" spans="1:19" x14ac:dyDescent="0.25">
      <c r="A4884" s="41" t="s">
        <v>23</v>
      </c>
      <c r="B4884" s="41" t="s">
        <v>39214</v>
      </c>
      <c r="D4884" s="41" t="s">
        <v>39047</v>
      </c>
      <c r="E4884" s="41" t="s">
        <v>39216</v>
      </c>
      <c r="F4884" s="41" t="s">
        <v>39217</v>
      </c>
      <c r="G4884" s="41" t="s">
        <v>39218</v>
      </c>
      <c r="H4884" s="41" t="s">
        <v>39219</v>
      </c>
      <c r="I4884" s="41" t="s">
        <v>39220</v>
      </c>
      <c r="J4884" s="41" t="s">
        <v>39221</v>
      </c>
      <c r="K4884" s="41" t="s">
        <v>39222</v>
      </c>
      <c r="L4884" s="41" t="s">
        <v>39223</v>
      </c>
      <c r="M4884" s="41" t="s">
        <v>39224</v>
      </c>
      <c r="N4884" s="41" t="s">
        <v>39225</v>
      </c>
      <c r="O4884" s="41" t="s">
        <v>39226</v>
      </c>
      <c r="P4884" s="41" t="s">
        <v>39227</v>
      </c>
      <c r="Q4884" s="41" t="s">
        <v>39228</v>
      </c>
      <c r="R4884" s="41" t="s">
        <v>39229</v>
      </c>
      <c r="S4884" s="41" t="s">
        <v>39230</v>
      </c>
    </row>
    <row r="4885" spans="1:19" x14ac:dyDescent="0.25">
      <c r="A4885" s="41" t="s">
        <v>23</v>
      </c>
      <c r="B4885" s="41" t="s">
        <v>39231</v>
      </c>
      <c r="D4885" s="41" t="s">
        <v>39232</v>
      </c>
      <c r="F4885" s="41" t="s">
        <v>39233</v>
      </c>
      <c r="G4885" s="41" t="s">
        <v>39234</v>
      </c>
      <c r="H4885" s="41" t="s">
        <v>39235</v>
      </c>
      <c r="I4885" s="41" t="s">
        <v>39236</v>
      </c>
      <c r="J4885" s="41" t="s">
        <v>39237</v>
      </c>
      <c r="K4885" s="41" t="s">
        <v>39238</v>
      </c>
      <c r="L4885" s="41" t="s">
        <v>891</v>
      </c>
    </row>
    <row r="4886" spans="1:19" x14ac:dyDescent="0.25">
      <c r="A4886" s="41" t="s">
        <v>23</v>
      </c>
      <c r="B4886" s="41" t="s">
        <v>39239</v>
      </c>
      <c r="D4886" s="41" t="s">
        <v>39240</v>
      </c>
      <c r="F4886" s="41" t="s">
        <v>39241</v>
      </c>
      <c r="G4886" s="41" t="s">
        <v>39242</v>
      </c>
      <c r="H4886" s="41" t="s">
        <v>39243</v>
      </c>
      <c r="I4886" s="41" t="s">
        <v>39244</v>
      </c>
      <c r="J4886" s="41" t="s">
        <v>39245</v>
      </c>
      <c r="K4886" s="41" t="s">
        <v>39246</v>
      </c>
      <c r="L4886" s="41" t="s">
        <v>1076</v>
      </c>
    </row>
    <row r="4887" spans="1:19" x14ac:dyDescent="0.25">
      <c r="A4887" s="41" t="s">
        <v>23</v>
      </c>
      <c r="B4887" s="41" t="s">
        <v>39247</v>
      </c>
      <c r="D4887" s="41" t="s">
        <v>39248</v>
      </c>
      <c r="F4887" s="41" t="s">
        <v>39249</v>
      </c>
      <c r="G4887" s="41" t="s">
        <v>39250</v>
      </c>
      <c r="H4887" s="41" t="s">
        <v>39251</v>
      </c>
      <c r="I4887" s="41" t="s">
        <v>39252</v>
      </c>
      <c r="J4887" s="41" t="s">
        <v>39253</v>
      </c>
      <c r="K4887" s="41" t="s">
        <v>39254</v>
      </c>
      <c r="L4887" s="41" t="s">
        <v>1085</v>
      </c>
    </row>
    <row r="4888" spans="1:19" x14ac:dyDescent="0.25">
      <c r="A4888" s="41" t="s">
        <v>23</v>
      </c>
      <c r="B4888" s="41" t="s">
        <v>39255</v>
      </c>
      <c r="D4888" s="41" t="s">
        <v>39256</v>
      </c>
      <c r="F4888" s="41" t="s">
        <v>39257</v>
      </c>
      <c r="G4888" s="41" t="s">
        <v>39258</v>
      </c>
      <c r="H4888" s="41" t="s">
        <v>39259</v>
      </c>
      <c r="I4888" s="41" t="s">
        <v>39260</v>
      </c>
      <c r="J4888" s="41" t="s">
        <v>39261</v>
      </c>
      <c r="K4888" s="41" t="s">
        <v>39262</v>
      </c>
      <c r="L4888" s="41" t="s">
        <v>1094</v>
      </c>
    </row>
    <row r="4889" spans="1:19" x14ac:dyDescent="0.25">
      <c r="A4889" s="41" t="s">
        <v>908</v>
      </c>
      <c r="B4889" s="41" t="s">
        <v>39263</v>
      </c>
    </row>
    <row r="4890" spans="1:19" x14ac:dyDescent="0.25">
      <c r="A4890" s="41" t="s">
        <v>23</v>
      </c>
      <c r="B4890" s="41" t="s">
        <v>39264</v>
      </c>
      <c r="F4890" s="41" t="s">
        <v>39265</v>
      </c>
      <c r="G4890" s="41" t="s">
        <v>39266</v>
      </c>
      <c r="H4890" s="41" t="s">
        <v>39267</v>
      </c>
      <c r="I4890" s="41" t="s">
        <v>39268</v>
      </c>
      <c r="J4890" s="41" t="s">
        <v>39269</v>
      </c>
      <c r="L4890" s="41" t="s">
        <v>4</v>
      </c>
    </row>
    <row r="4891" spans="1:19" x14ac:dyDescent="0.25">
      <c r="A4891" s="41" t="s">
        <v>23</v>
      </c>
      <c r="B4891" s="41" t="s">
        <v>39270</v>
      </c>
      <c r="D4891" s="41" t="s">
        <v>39103</v>
      </c>
      <c r="E4891" s="41" t="s">
        <v>39272</v>
      </c>
      <c r="F4891" s="41" t="s">
        <v>39273</v>
      </c>
      <c r="G4891" s="41" t="s">
        <v>39274</v>
      </c>
      <c r="H4891" s="41" t="s">
        <v>39275</v>
      </c>
      <c r="I4891" s="41" t="s">
        <v>39276</v>
      </c>
      <c r="J4891" s="41" t="s">
        <v>39277</v>
      </c>
      <c r="K4891" s="41" t="s">
        <v>39278</v>
      </c>
      <c r="L4891" s="41" t="s">
        <v>39279</v>
      </c>
      <c r="M4891" s="41" t="s">
        <v>39280</v>
      </c>
      <c r="N4891" s="41" t="s">
        <v>39281</v>
      </c>
      <c r="O4891" s="41" t="s">
        <v>39282</v>
      </c>
      <c r="P4891" s="41" t="s">
        <v>39283</v>
      </c>
      <c r="Q4891" s="41" t="s">
        <v>39284</v>
      </c>
      <c r="R4891" s="41" t="s">
        <v>39285</v>
      </c>
      <c r="S4891" s="41" t="s">
        <v>39286</v>
      </c>
    </row>
    <row r="4892" spans="1:19" x14ac:dyDescent="0.25">
      <c r="A4892" s="41" t="s">
        <v>23</v>
      </c>
      <c r="B4892" s="41" t="s">
        <v>39287</v>
      </c>
      <c r="D4892" s="41" t="s">
        <v>39288</v>
      </c>
      <c r="F4892" s="41" t="s">
        <v>39289</v>
      </c>
      <c r="G4892" s="41" t="s">
        <v>39290</v>
      </c>
      <c r="H4892" s="41" t="s">
        <v>39291</v>
      </c>
      <c r="I4892" s="41" t="s">
        <v>39292</v>
      </c>
      <c r="J4892" s="41" t="s">
        <v>39293</v>
      </c>
      <c r="K4892" s="41" t="s">
        <v>39294</v>
      </c>
      <c r="L4892" s="41" t="s">
        <v>891</v>
      </c>
    </row>
    <row r="4893" spans="1:19" x14ac:dyDescent="0.25">
      <c r="A4893" s="41" t="s">
        <v>23</v>
      </c>
      <c r="B4893" s="41" t="s">
        <v>39295</v>
      </c>
      <c r="D4893" s="41" t="s">
        <v>39296</v>
      </c>
      <c r="F4893" s="41" t="s">
        <v>39297</v>
      </c>
      <c r="G4893" s="41" t="s">
        <v>39298</v>
      </c>
      <c r="H4893" s="41" t="s">
        <v>39299</v>
      </c>
      <c r="I4893" s="41" t="s">
        <v>39300</v>
      </c>
      <c r="J4893" s="41" t="s">
        <v>39301</v>
      </c>
      <c r="K4893" s="41" t="s">
        <v>39302</v>
      </c>
      <c r="L4893" s="41" t="s">
        <v>1076</v>
      </c>
    </row>
    <row r="4894" spans="1:19" x14ac:dyDescent="0.25">
      <c r="A4894" s="41" t="s">
        <v>23</v>
      </c>
      <c r="B4894" s="41" t="s">
        <v>39303</v>
      </c>
      <c r="D4894" s="41" t="s">
        <v>39304</v>
      </c>
      <c r="F4894" s="41" t="s">
        <v>39305</v>
      </c>
      <c r="G4894" s="41" t="s">
        <v>39306</v>
      </c>
      <c r="H4894" s="41" t="s">
        <v>39307</v>
      </c>
      <c r="I4894" s="41" t="s">
        <v>39308</v>
      </c>
      <c r="J4894" s="41" t="s">
        <v>39309</v>
      </c>
      <c r="K4894" s="41" t="s">
        <v>39310</v>
      </c>
      <c r="L4894" s="41" t="s">
        <v>1085</v>
      </c>
    </row>
    <row r="4895" spans="1:19" x14ac:dyDescent="0.25">
      <c r="A4895" s="41" t="s">
        <v>23</v>
      </c>
      <c r="B4895" s="41" t="s">
        <v>39311</v>
      </c>
      <c r="D4895" s="41" t="s">
        <v>39312</v>
      </c>
      <c r="F4895" s="41" t="s">
        <v>39313</v>
      </c>
      <c r="G4895" s="41" t="s">
        <v>39314</v>
      </c>
      <c r="H4895" s="41" t="s">
        <v>39315</v>
      </c>
      <c r="I4895" s="41" t="s">
        <v>39316</v>
      </c>
      <c r="J4895" s="41" t="s">
        <v>39317</v>
      </c>
      <c r="K4895" s="41" t="s">
        <v>39318</v>
      </c>
      <c r="L4895" s="41" t="s">
        <v>1094</v>
      </c>
    </row>
    <row r="4896" spans="1:19" x14ac:dyDescent="0.25">
      <c r="A4896" s="41" t="s">
        <v>908</v>
      </c>
      <c r="B4896" s="41" t="s">
        <v>39319</v>
      </c>
    </row>
    <row r="4897" spans="1:19" x14ac:dyDescent="0.25">
      <c r="A4897" s="41" t="s">
        <v>23</v>
      </c>
      <c r="B4897" s="41" t="s">
        <v>39320</v>
      </c>
      <c r="F4897" s="41" t="s">
        <v>39321</v>
      </c>
      <c r="G4897" s="41" t="s">
        <v>39322</v>
      </c>
      <c r="H4897" s="41" t="s">
        <v>39323</v>
      </c>
      <c r="I4897" s="41" t="s">
        <v>39324</v>
      </c>
      <c r="J4897" s="41" t="s">
        <v>39325</v>
      </c>
      <c r="L4897" s="41" t="s">
        <v>4</v>
      </c>
    </row>
    <row r="4898" spans="1:19" x14ac:dyDescent="0.25">
      <c r="A4898" s="41" t="s">
        <v>23</v>
      </c>
      <c r="B4898" s="41" t="s">
        <v>39326</v>
      </c>
      <c r="D4898" s="41" t="s">
        <v>39159</v>
      </c>
      <c r="E4898" s="41" t="s">
        <v>39328</v>
      </c>
      <c r="F4898" s="41" t="s">
        <v>39329</v>
      </c>
      <c r="G4898" s="41" t="s">
        <v>39330</v>
      </c>
      <c r="H4898" s="41" t="s">
        <v>39331</v>
      </c>
      <c r="I4898" s="41" t="s">
        <v>39332</v>
      </c>
      <c r="J4898" s="41" t="s">
        <v>39333</v>
      </c>
      <c r="K4898" s="41" t="s">
        <v>39334</v>
      </c>
      <c r="L4898" s="41" t="s">
        <v>39335</v>
      </c>
      <c r="M4898" s="41" t="s">
        <v>39336</v>
      </c>
      <c r="N4898" s="41" t="s">
        <v>39337</v>
      </c>
      <c r="O4898" s="41" t="s">
        <v>39338</v>
      </c>
      <c r="P4898" s="41" t="s">
        <v>39339</v>
      </c>
      <c r="Q4898" s="41" t="s">
        <v>39340</v>
      </c>
      <c r="R4898" s="41" t="s">
        <v>39341</v>
      </c>
      <c r="S4898" s="41" t="s">
        <v>39342</v>
      </c>
    </row>
    <row r="4899" spans="1:19" x14ac:dyDescent="0.25">
      <c r="A4899" s="41" t="s">
        <v>23</v>
      </c>
      <c r="B4899" s="41" t="s">
        <v>39343</v>
      </c>
      <c r="D4899" s="41" t="s">
        <v>39344</v>
      </c>
      <c r="F4899" s="41" t="s">
        <v>39345</v>
      </c>
      <c r="G4899" s="41" t="s">
        <v>39346</v>
      </c>
      <c r="H4899" s="41" t="s">
        <v>39347</v>
      </c>
      <c r="I4899" s="41" t="s">
        <v>39348</v>
      </c>
      <c r="J4899" s="41" t="s">
        <v>39349</v>
      </c>
      <c r="K4899" s="41" t="s">
        <v>39350</v>
      </c>
      <c r="L4899" s="41" t="s">
        <v>891</v>
      </c>
    </row>
    <row r="4900" spans="1:19" x14ac:dyDescent="0.25">
      <c r="A4900" s="41" t="s">
        <v>23</v>
      </c>
      <c r="B4900" s="41" t="s">
        <v>39351</v>
      </c>
      <c r="D4900" s="41" t="s">
        <v>39352</v>
      </c>
      <c r="F4900" s="41" t="s">
        <v>39353</v>
      </c>
      <c r="G4900" s="41" t="s">
        <v>39354</v>
      </c>
      <c r="H4900" s="41" t="s">
        <v>39355</v>
      </c>
      <c r="I4900" s="41" t="s">
        <v>39356</v>
      </c>
      <c r="J4900" s="41" t="s">
        <v>39357</v>
      </c>
      <c r="K4900" s="41" t="s">
        <v>39358</v>
      </c>
      <c r="L4900" s="41" t="s">
        <v>1076</v>
      </c>
    </row>
    <row r="4901" spans="1:19" x14ac:dyDescent="0.25">
      <c r="A4901" s="41" t="s">
        <v>23</v>
      </c>
      <c r="B4901" s="41" t="s">
        <v>39359</v>
      </c>
      <c r="D4901" s="41" t="s">
        <v>39360</v>
      </c>
      <c r="F4901" s="41" t="s">
        <v>39361</v>
      </c>
      <c r="G4901" s="41" t="s">
        <v>39362</v>
      </c>
      <c r="H4901" s="41" t="s">
        <v>39363</v>
      </c>
      <c r="I4901" s="41" t="s">
        <v>39364</v>
      </c>
      <c r="J4901" s="41" t="s">
        <v>39365</v>
      </c>
      <c r="K4901" s="41" t="s">
        <v>39366</v>
      </c>
      <c r="L4901" s="41" t="s">
        <v>1085</v>
      </c>
    </row>
    <row r="4902" spans="1:19" x14ac:dyDescent="0.25">
      <c r="A4902" s="41" t="s">
        <v>23</v>
      </c>
      <c r="B4902" s="41" t="s">
        <v>39367</v>
      </c>
      <c r="D4902" s="41" t="s">
        <v>39368</v>
      </c>
      <c r="F4902" s="41" t="s">
        <v>39369</v>
      </c>
      <c r="G4902" s="41" t="s">
        <v>39370</v>
      </c>
      <c r="H4902" s="41" t="s">
        <v>39371</v>
      </c>
      <c r="I4902" s="41" t="s">
        <v>39372</v>
      </c>
      <c r="J4902" s="41" t="s">
        <v>39373</v>
      </c>
      <c r="K4902" s="41" t="s">
        <v>39374</v>
      </c>
      <c r="L4902" s="41" t="s">
        <v>1094</v>
      </c>
    </row>
    <row r="4903" spans="1:19" x14ac:dyDescent="0.25">
      <c r="A4903" s="41" t="s">
        <v>908</v>
      </c>
      <c r="B4903" s="41" t="s">
        <v>39375</v>
      </c>
    </row>
    <row r="4904" spans="1:19" x14ac:dyDescent="0.25">
      <c r="A4904" s="41" t="s">
        <v>23</v>
      </c>
      <c r="B4904" s="41" t="s">
        <v>39376</v>
      </c>
      <c r="F4904" s="41" t="s">
        <v>39377</v>
      </c>
      <c r="G4904" s="41" t="s">
        <v>39378</v>
      </c>
      <c r="H4904" s="41" t="s">
        <v>39379</v>
      </c>
      <c r="I4904" s="41" t="s">
        <v>39380</v>
      </c>
      <c r="J4904" s="41" t="s">
        <v>39381</v>
      </c>
      <c r="L4904" s="41" t="s">
        <v>4</v>
      </c>
    </row>
    <row r="4905" spans="1:19" x14ac:dyDescent="0.25">
      <c r="A4905" s="41" t="s">
        <v>23</v>
      </c>
      <c r="B4905" s="41" t="s">
        <v>39382</v>
      </c>
      <c r="D4905" s="41" t="s">
        <v>39215</v>
      </c>
      <c r="E4905" s="41" t="s">
        <v>39384</v>
      </c>
      <c r="F4905" s="41" t="s">
        <v>39385</v>
      </c>
      <c r="G4905" s="41" t="s">
        <v>39386</v>
      </c>
      <c r="H4905" s="41" t="s">
        <v>39387</v>
      </c>
      <c r="I4905" s="41" t="s">
        <v>39388</v>
      </c>
      <c r="J4905" s="41" t="s">
        <v>39389</v>
      </c>
      <c r="K4905" s="41" t="s">
        <v>39390</v>
      </c>
      <c r="L4905" s="41" t="s">
        <v>39391</v>
      </c>
      <c r="M4905" s="41" t="s">
        <v>39392</v>
      </c>
      <c r="N4905" s="41" t="s">
        <v>39393</v>
      </c>
      <c r="O4905" s="41" t="s">
        <v>39394</v>
      </c>
      <c r="P4905" s="41" t="s">
        <v>39395</v>
      </c>
      <c r="Q4905" s="41" t="s">
        <v>39396</v>
      </c>
      <c r="R4905" s="41" t="s">
        <v>39397</v>
      </c>
      <c r="S4905" s="41" t="s">
        <v>39398</v>
      </c>
    </row>
    <row r="4906" spans="1:19" x14ac:dyDescent="0.25">
      <c r="A4906" s="41" t="s">
        <v>23</v>
      </c>
      <c r="B4906" s="41" t="s">
        <v>39399</v>
      </c>
      <c r="D4906" s="41" t="s">
        <v>39400</v>
      </c>
      <c r="F4906" s="41" t="s">
        <v>39401</v>
      </c>
      <c r="G4906" s="41" t="s">
        <v>39402</v>
      </c>
      <c r="H4906" s="41" t="s">
        <v>39403</v>
      </c>
      <c r="I4906" s="41" t="s">
        <v>39404</v>
      </c>
      <c r="J4906" s="41" t="s">
        <v>39405</v>
      </c>
      <c r="K4906" s="41" t="s">
        <v>39406</v>
      </c>
      <c r="L4906" s="41" t="s">
        <v>891</v>
      </c>
    </row>
    <row r="4907" spans="1:19" x14ac:dyDescent="0.25">
      <c r="A4907" s="41" t="s">
        <v>23</v>
      </c>
      <c r="B4907" s="41" t="s">
        <v>39407</v>
      </c>
      <c r="D4907" s="41" t="s">
        <v>39408</v>
      </c>
      <c r="F4907" s="41" t="s">
        <v>39409</v>
      </c>
      <c r="G4907" s="41" t="s">
        <v>39410</v>
      </c>
      <c r="H4907" s="41" t="s">
        <v>39411</v>
      </c>
      <c r="I4907" s="41" t="s">
        <v>39412</v>
      </c>
      <c r="J4907" s="41" t="s">
        <v>39413</v>
      </c>
      <c r="K4907" s="41" t="s">
        <v>39414</v>
      </c>
      <c r="L4907" s="41" t="s">
        <v>1076</v>
      </c>
    </row>
    <row r="4908" spans="1:19" x14ac:dyDescent="0.25">
      <c r="A4908" s="41" t="s">
        <v>23</v>
      </c>
      <c r="B4908" s="41" t="s">
        <v>39415</v>
      </c>
      <c r="D4908" s="41" t="s">
        <v>39416</v>
      </c>
      <c r="F4908" s="41" t="s">
        <v>39417</v>
      </c>
      <c r="G4908" s="41" t="s">
        <v>39418</v>
      </c>
      <c r="H4908" s="41" t="s">
        <v>39419</v>
      </c>
      <c r="I4908" s="41" t="s">
        <v>39420</v>
      </c>
      <c r="J4908" s="41" t="s">
        <v>39421</v>
      </c>
      <c r="K4908" s="41" t="s">
        <v>39422</v>
      </c>
      <c r="L4908" s="41" t="s">
        <v>1085</v>
      </c>
    </row>
    <row r="4909" spans="1:19" x14ac:dyDescent="0.25">
      <c r="A4909" s="41" t="s">
        <v>23</v>
      </c>
      <c r="B4909" s="41" t="s">
        <v>39423</v>
      </c>
      <c r="D4909" s="41" t="s">
        <v>39424</v>
      </c>
      <c r="F4909" s="41" t="s">
        <v>39425</v>
      </c>
      <c r="G4909" s="41" t="s">
        <v>39426</v>
      </c>
      <c r="H4909" s="41" t="s">
        <v>39427</v>
      </c>
      <c r="I4909" s="41" t="s">
        <v>39428</v>
      </c>
      <c r="J4909" s="41" t="s">
        <v>39429</v>
      </c>
      <c r="K4909" s="41" t="s">
        <v>39430</v>
      </c>
      <c r="L4909" s="41" t="s">
        <v>1094</v>
      </c>
    </row>
    <row r="4910" spans="1:19" x14ac:dyDescent="0.25">
      <c r="A4910" s="41" t="s">
        <v>908</v>
      </c>
      <c r="B4910" s="41" t="s">
        <v>39431</v>
      </c>
    </row>
    <row r="4911" spans="1:19" x14ac:dyDescent="0.25">
      <c r="A4911" s="41" t="s">
        <v>23</v>
      </c>
      <c r="B4911" s="41" t="s">
        <v>39432</v>
      </c>
      <c r="F4911" s="41" t="s">
        <v>39433</v>
      </c>
      <c r="G4911" s="41" t="s">
        <v>39434</v>
      </c>
      <c r="H4911" s="41" t="s">
        <v>39435</v>
      </c>
      <c r="I4911" s="41" t="s">
        <v>39436</v>
      </c>
      <c r="J4911" s="41" t="s">
        <v>39437</v>
      </c>
      <c r="L4911" s="41" t="s">
        <v>4</v>
      </c>
    </row>
    <row r="4912" spans="1:19" x14ac:dyDescent="0.25">
      <c r="A4912" s="41" t="s">
        <v>23</v>
      </c>
      <c r="B4912" s="41" t="s">
        <v>39438</v>
      </c>
      <c r="D4912" s="41" t="s">
        <v>39271</v>
      </c>
      <c r="E4912" s="41" t="s">
        <v>39440</v>
      </c>
      <c r="F4912" s="41" t="s">
        <v>39441</v>
      </c>
      <c r="G4912" s="41" t="s">
        <v>39442</v>
      </c>
      <c r="H4912" s="41" t="s">
        <v>39443</v>
      </c>
      <c r="I4912" s="41" t="s">
        <v>39444</v>
      </c>
      <c r="J4912" s="41" t="s">
        <v>39445</v>
      </c>
      <c r="K4912" s="41" t="s">
        <v>39446</v>
      </c>
      <c r="L4912" s="41" t="s">
        <v>39447</v>
      </c>
      <c r="M4912" s="41" t="s">
        <v>39448</v>
      </c>
      <c r="N4912" s="41" t="s">
        <v>39449</v>
      </c>
      <c r="O4912" s="41" t="s">
        <v>39450</v>
      </c>
      <c r="P4912" s="41" t="s">
        <v>39451</v>
      </c>
      <c r="Q4912" s="41" t="s">
        <v>39452</v>
      </c>
      <c r="R4912" s="41" t="s">
        <v>39453</v>
      </c>
      <c r="S4912" s="41" t="s">
        <v>39454</v>
      </c>
    </row>
    <row r="4913" spans="1:19" x14ac:dyDescent="0.25">
      <c r="A4913" s="41" t="s">
        <v>23</v>
      </c>
      <c r="B4913" s="41" t="s">
        <v>39455</v>
      </c>
      <c r="D4913" s="41" t="s">
        <v>39456</v>
      </c>
      <c r="F4913" s="41" t="s">
        <v>39457</v>
      </c>
      <c r="G4913" s="41" t="s">
        <v>39458</v>
      </c>
      <c r="H4913" s="41" t="s">
        <v>39459</v>
      </c>
      <c r="I4913" s="41" t="s">
        <v>39460</v>
      </c>
      <c r="J4913" s="41" t="s">
        <v>39461</v>
      </c>
      <c r="K4913" s="41" t="s">
        <v>39462</v>
      </c>
      <c r="L4913" s="41" t="s">
        <v>891</v>
      </c>
    </row>
    <row r="4914" spans="1:19" x14ac:dyDescent="0.25">
      <c r="A4914" s="41" t="s">
        <v>23</v>
      </c>
      <c r="B4914" s="41" t="s">
        <v>39463</v>
      </c>
      <c r="D4914" s="41" t="s">
        <v>39464</v>
      </c>
      <c r="F4914" s="41" t="s">
        <v>39465</v>
      </c>
      <c r="G4914" s="41" t="s">
        <v>39466</v>
      </c>
      <c r="H4914" s="41" t="s">
        <v>39467</v>
      </c>
      <c r="I4914" s="41" t="s">
        <v>39468</v>
      </c>
      <c r="J4914" s="41" t="s">
        <v>39469</v>
      </c>
      <c r="K4914" s="41" t="s">
        <v>39470</v>
      </c>
      <c r="L4914" s="41" t="s">
        <v>1076</v>
      </c>
    </row>
    <row r="4915" spans="1:19" x14ac:dyDescent="0.25">
      <c r="A4915" s="41" t="s">
        <v>23</v>
      </c>
      <c r="B4915" s="41" t="s">
        <v>39471</v>
      </c>
      <c r="D4915" s="41" t="s">
        <v>39472</v>
      </c>
      <c r="F4915" s="41" t="s">
        <v>39473</v>
      </c>
      <c r="G4915" s="41" t="s">
        <v>39474</v>
      </c>
      <c r="H4915" s="41" t="s">
        <v>39475</v>
      </c>
      <c r="I4915" s="41" t="s">
        <v>39476</v>
      </c>
      <c r="J4915" s="41" t="s">
        <v>39477</v>
      </c>
      <c r="K4915" s="41" t="s">
        <v>39478</v>
      </c>
      <c r="L4915" s="41" t="s">
        <v>1085</v>
      </c>
    </row>
    <row r="4916" spans="1:19" x14ac:dyDescent="0.25">
      <c r="A4916" s="41" t="s">
        <v>23</v>
      </c>
      <c r="B4916" s="41" t="s">
        <v>39479</v>
      </c>
      <c r="D4916" s="41" t="s">
        <v>39480</v>
      </c>
      <c r="F4916" s="41" t="s">
        <v>39481</v>
      </c>
      <c r="G4916" s="41" t="s">
        <v>39482</v>
      </c>
      <c r="H4916" s="41" t="s">
        <v>39483</v>
      </c>
      <c r="I4916" s="41" t="s">
        <v>39484</v>
      </c>
      <c r="J4916" s="41" t="s">
        <v>39485</v>
      </c>
      <c r="K4916" s="41" t="s">
        <v>39486</v>
      </c>
      <c r="L4916" s="41" t="s">
        <v>1094</v>
      </c>
    </row>
    <row r="4917" spans="1:19" x14ac:dyDescent="0.25">
      <c r="A4917" s="41" t="s">
        <v>908</v>
      </c>
      <c r="B4917" s="41" t="s">
        <v>39487</v>
      </c>
    </row>
    <row r="4918" spans="1:19" x14ac:dyDescent="0.25">
      <c r="A4918" s="41" t="s">
        <v>23</v>
      </c>
      <c r="B4918" s="41" t="s">
        <v>39488</v>
      </c>
      <c r="F4918" s="41" t="s">
        <v>39489</v>
      </c>
      <c r="G4918" s="41" t="s">
        <v>39490</v>
      </c>
      <c r="H4918" s="41" t="s">
        <v>39491</v>
      </c>
      <c r="I4918" s="41" t="s">
        <v>39492</v>
      </c>
      <c r="J4918" s="41" t="s">
        <v>39493</v>
      </c>
      <c r="L4918" s="41" t="s">
        <v>4</v>
      </c>
    </row>
    <row r="4919" spans="1:19" x14ac:dyDescent="0.25">
      <c r="A4919" s="41" t="s">
        <v>23</v>
      </c>
      <c r="B4919" s="41" t="s">
        <v>39494</v>
      </c>
      <c r="D4919" s="41" t="s">
        <v>39327</v>
      </c>
      <c r="E4919" s="41" t="s">
        <v>39496</v>
      </c>
      <c r="F4919" s="41" t="s">
        <v>39497</v>
      </c>
      <c r="G4919" s="41" t="s">
        <v>39498</v>
      </c>
      <c r="H4919" s="41" t="s">
        <v>39499</v>
      </c>
      <c r="I4919" s="41" t="s">
        <v>39500</v>
      </c>
      <c r="J4919" s="41" t="s">
        <v>39501</v>
      </c>
      <c r="K4919" s="41" t="s">
        <v>39502</v>
      </c>
      <c r="L4919" s="41" t="s">
        <v>39503</v>
      </c>
      <c r="M4919" s="41" t="s">
        <v>39504</v>
      </c>
      <c r="N4919" s="41" t="s">
        <v>39505</v>
      </c>
      <c r="O4919" s="41" t="s">
        <v>39506</v>
      </c>
      <c r="P4919" s="41" t="s">
        <v>39507</v>
      </c>
      <c r="Q4919" s="41" t="s">
        <v>39508</v>
      </c>
      <c r="R4919" s="41" t="s">
        <v>39509</v>
      </c>
      <c r="S4919" s="41" t="s">
        <v>39510</v>
      </c>
    </row>
    <row r="4920" spans="1:19" x14ac:dyDescent="0.25">
      <c r="A4920" s="41" t="s">
        <v>23</v>
      </c>
      <c r="B4920" s="41" t="s">
        <v>39511</v>
      </c>
      <c r="D4920" s="41" t="s">
        <v>39512</v>
      </c>
      <c r="F4920" s="41" t="s">
        <v>39513</v>
      </c>
      <c r="G4920" s="41" t="s">
        <v>39514</v>
      </c>
      <c r="H4920" s="41" t="s">
        <v>39515</v>
      </c>
      <c r="I4920" s="41" t="s">
        <v>39516</v>
      </c>
      <c r="J4920" s="41" t="s">
        <v>39517</v>
      </c>
      <c r="K4920" s="41" t="s">
        <v>39518</v>
      </c>
      <c r="L4920" s="41" t="s">
        <v>891</v>
      </c>
    </row>
    <row r="4921" spans="1:19" x14ac:dyDescent="0.25">
      <c r="A4921" s="41" t="s">
        <v>23</v>
      </c>
      <c r="B4921" s="41" t="s">
        <v>39519</v>
      </c>
      <c r="D4921" s="41" t="s">
        <v>39520</v>
      </c>
      <c r="F4921" s="41" t="s">
        <v>39521</v>
      </c>
      <c r="G4921" s="41" t="s">
        <v>39522</v>
      </c>
      <c r="H4921" s="41" t="s">
        <v>39523</v>
      </c>
      <c r="I4921" s="41" t="s">
        <v>39524</v>
      </c>
      <c r="J4921" s="41" t="s">
        <v>39525</v>
      </c>
      <c r="K4921" s="41" t="s">
        <v>39526</v>
      </c>
      <c r="L4921" s="41" t="s">
        <v>1076</v>
      </c>
    </row>
    <row r="4922" spans="1:19" x14ac:dyDescent="0.25">
      <c r="A4922" s="41" t="s">
        <v>23</v>
      </c>
      <c r="B4922" s="41" t="s">
        <v>39527</v>
      </c>
      <c r="D4922" s="41" t="s">
        <v>39528</v>
      </c>
      <c r="F4922" s="41" t="s">
        <v>39529</v>
      </c>
      <c r="G4922" s="41" t="s">
        <v>39530</v>
      </c>
      <c r="H4922" s="41" t="s">
        <v>39531</v>
      </c>
      <c r="I4922" s="41" t="s">
        <v>39532</v>
      </c>
      <c r="J4922" s="41" t="s">
        <v>39533</v>
      </c>
      <c r="K4922" s="41" t="s">
        <v>39534</v>
      </c>
      <c r="L4922" s="41" t="s">
        <v>1085</v>
      </c>
    </row>
    <row r="4923" spans="1:19" x14ac:dyDescent="0.25">
      <c r="A4923" s="41" t="s">
        <v>23</v>
      </c>
      <c r="B4923" s="41" t="s">
        <v>39535</v>
      </c>
      <c r="D4923" s="41" t="s">
        <v>39536</v>
      </c>
      <c r="F4923" s="41" t="s">
        <v>39537</v>
      </c>
      <c r="G4923" s="41" t="s">
        <v>39538</v>
      </c>
      <c r="H4923" s="41" t="s">
        <v>39539</v>
      </c>
      <c r="I4923" s="41" t="s">
        <v>39540</v>
      </c>
      <c r="J4923" s="41" t="s">
        <v>39541</v>
      </c>
      <c r="K4923" s="41" t="s">
        <v>39542</v>
      </c>
      <c r="L4923" s="41" t="s">
        <v>1094</v>
      </c>
    </row>
    <row r="4924" spans="1:19" x14ac:dyDescent="0.25">
      <c r="A4924" s="41" t="s">
        <v>908</v>
      </c>
      <c r="B4924" s="41" t="s">
        <v>39543</v>
      </c>
    </row>
    <row r="4925" spans="1:19" x14ac:dyDescent="0.25">
      <c r="A4925" s="41" t="s">
        <v>23</v>
      </c>
      <c r="B4925" s="41" t="s">
        <v>39544</v>
      </c>
      <c r="F4925" s="41" t="s">
        <v>39545</v>
      </c>
      <c r="G4925" s="41" t="s">
        <v>39546</v>
      </c>
      <c r="H4925" s="41" t="s">
        <v>39547</v>
      </c>
      <c r="I4925" s="41" t="s">
        <v>39548</v>
      </c>
      <c r="J4925" s="41" t="s">
        <v>39549</v>
      </c>
      <c r="L4925" s="41" t="s">
        <v>4</v>
      </c>
    </row>
    <row r="4926" spans="1:19" x14ac:dyDescent="0.25">
      <c r="A4926" s="41" t="s">
        <v>23</v>
      </c>
      <c r="B4926" s="41" t="s">
        <v>39550</v>
      </c>
      <c r="D4926" s="41" t="s">
        <v>39383</v>
      </c>
      <c r="E4926" s="41" t="s">
        <v>39551</v>
      </c>
      <c r="F4926" s="41" t="s">
        <v>39552</v>
      </c>
      <c r="G4926" s="41" t="s">
        <v>39553</v>
      </c>
      <c r="H4926" s="41" t="s">
        <v>39554</v>
      </c>
      <c r="I4926" s="41" t="s">
        <v>39555</v>
      </c>
      <c r="J4926" s="41" t="s">
        <v>39556</v>
      </c>
      <c r="K4926" s="41" t="s">
        <v>39557</v>
      </c>
      <c r="L4926" s="41" t="s">
        <v>39558</v>
      </c>
      <c r="M4926" s="41" t="s">
        <v>39559</v>
      </c>
      <c r="N4926" s="41" t="s">
        <v>39560</v>
      </c>
      <c r="O4926" s="41" t="s">
        <v>39561</v>
      </c>
      <c r="P4926" s="41" t="s">
        <v>39562</v>
      </c>
      <c r="Q4926" s="41" t="s">
        <v>39563</v>
      </c>
      <c r="R4926" s="41" t="s">
        <v>39564</v>
      </c>
      <c r="S4926" s="41" t="s">
        <v>39565</v>
      </c>
    </row>
    <row r="4927" spans="1:19" x14ac:dyDescent="0.25">
      <c r="A4927" s="41" t="s">
        <v>23</v>
      </c>
      <c r="B4927" s="41" t="s">
        <v>39566</v>
      </c>
      <c r="D4927" s="41" t="s">
        <v>39567</v>
      </c>
      <c r="F4927" s="41" t="s">
        <v>39568</v>
      </c>
      <c r="G4927" s="41" t="s">
        <v>39569</v>
      </c>
      <c r="H4927" s="41" t="s">
        <v>39570</v>
      </c>
      <c r="I4927" s="41" t="s">
        <v>39571</v>
      </c>
      <c r="J4927" s="41" t="s">
        <v>39572</v>
      </c>
      <c r="K4927" s="41" t="s">
        <v>39573</v>
      </c>
      <c r="L4927" s="41" t="s">
        <v>891</v>
      </c>
    </row>
    <row r="4928" spans="1:19" x14ac:dyDescent="0.25">
      <c r="A4928" s="41" t="s">
        <v>23</v>
      </c>
      <c r="B4928" s="41" t="s">
        <v>39574</v>
      </c>
      <c r="D4928" s="41" t="s">
        <v>39575</v>
      </c>
      <c r="F4928" s="41" t="s">
        <v>39576</v>
      </c>
      <c r="G4928" s="41" t="s">
        <v>39577</v>
      </c>
      <c r="H4928" s="41" t="s">
        <v>39578</v>
      </c>
      <c r="I4928" s="41" t="s">
        <v>39579</v>
      </c>
      <c r="J4928" s="41" t="s">
        <v>39580</v>
      </c>
      <c r="K4928" s="41" t="s">
        <v>39581</v>
      </c>
      <c r="L4928" s="41" t="s">
        <v>1076</v>
      </c>
    </row>
    <row r="4929" spans="1:19" x14ac:dyDescent="0.25">
      <c r="A4929" s="41" t="s">
        <v>23</v>
      </c>
      <c r="B4929" s="41" t="s">
        <v>39582</v>
      </c>
      <c r="D4929" s="41" t="s">
        <v>39583</v>
      </c>
      <c r="F4929" s="41" t="s">
        <v>39584</v>
      </c>
      <c r="G4929" s="41" t="s">
        <v>39585</v>
      </c>
      <c r="H4929" s="41" t="s">
        <v>39586</v>
      </c>
      <c r="I4929" s="41" t="s">
        <v>39587</v>
      </c>
      <c r="J4929" s="41" t="s">
        <v>39588</v>
      </c>
      <c r="K4929" s="41" t="s">
        <v>39589</v>
      </c>
      <c r="L4929" s="41" t="s">
        <v>1085</v>
      </c>
    </row>
    <row r="4930" spans="1:19" x14ac:dyDescent="0.25">
      <c r="A4930" s="41" t="s">
        <v>23</v>
      </c>
      <c r="B4930" s="41" t="s">
        <v>39590</v>
      </c>
      <c r="D4930" s="41" t="s">
        <v>39591</v>
      </c>
      <c r="F4930" s="41" t="s">
        <v>39592</v>
      </c>
      <c r="G4930" s="41" t="s">
        <v>39593</v>
      </c>
      <c r="H4930" s="41" t="s">
        <v>39594</v>
      </c>
      <c r="I4930" s="41" t="s">
        <v>39595</v>
      </c>
      <c r="J4930" s="41" t="s">
        <v>39596</v>
      </c>
      <c r="K4930" s="41" t="s">
        <v>39597</v>
      </c>
      <c r="L4930" s="41" t="s">
        <v>1094</v>
      </c>
    </row>
    <row r="4931" spans="1:19" x14ac:dyDescent="0.25">
      <c r="A4931" s="41" t="s">
        <v>908</v>
      </c>
      <c r="B4931" s="41" t="s">
        <v>39598</v>
      </c>
    </row>
    <row r="4932" spans="1:19" x14ac:dyDescent="0.25">
      <c r="A4932" s="41" t="s">
        <v>23</v>
      </c>
      <c r="B4932" s="41" t="s">
        <v>39599</v>
      </c>
      <c r="F4932" s="41" t="s">
        <v>39600</v>
      </c>
      <c r="G4932" s="41" t="s">
        <v>39601</v>
      </c>
      <c r="H4932" s="41" t="s">
        <v>39602</v>
      </c>
      <c r="I4932" s="41" t="s">
        <v>39603</v>
      </c>
      <c r="J4932" s="41" t="s">
        <v>39604</v>
      </c>
      <c r="L4932" s="41" t="s">
        <v>4</v>
      </c>
    </row>
    <row r="4933" spans="1:19" x14ac:dyDescent="0.25">
      <c r="A4933" s="41" t="s">
        <v>23</v>
      </c>
      <c r="B4933" s="41" t="s">
        <v>39605</v>
      </c>
      <c r="D4933" s="41" t="s">
        <v>39439</v>
      </c>
      <c r="E4933" s="41" t="s">
        <v>39606</v>
      </c>
      <c r="F4933" s="41" t="s">
        <v>39607</v>
      </c>
      <c r="G4933" s="41" t="s">
        <v>39608</v>
      </c>
      <c r="H4933" s="41" t="s">
        <v>39609</v>
      </c>
      <c r="I4933" s="41" t="s">
        <v>39610</v>
      </c>
      <c r="J4933" s="41" t="s">
        <v>39611</v>
      </c>
      <c r="K4933" s="41" t="s">
        <v>39612</v>
      </c>
      <c r="L4933" s="41" t="s">
        <v>39613</v>
      </c>
      <c r="M4933" s="41" t="s">
        <v>39614</v>
      </c>
      <c r="N4933" s="41" t="s">
        <v>39615</v>
      </c>
      <c r="O4933" s="41" t="s">
        <v>39616</v>
      </c>
      <c r="P4933" s="41" t="s">
        <v>39617</v>
      </c>
      <c r="Q4933" s="41" t="s">
        <v>39618</v>
      </c>
      <c r="R4933" s="41" t="s">
        <v>39619</v>
      </c>
      <c r="S4933" s="41" t="s">
        <v>39620</v>
      </c>
    </row>
    <row r="4934" spans="1:19" x14ac:dyDescent="0.25">
      <c r="A4934" s="41" t="s">
        <v>23</v>
      </c>
      <c r="B4934" s="41" t="s">
        <v>39621</v>
      </c>
      <c r="D4934" s="41" t="s">
        <v>39622</v>
      </c>
      <c r="F4934" s="41" t="s">
        <v>39623</v>
      </c>
      <c r="G4934" s="41" t="s">
        <v>39624</v>
      </c>
      <c r="H4934" s="41" t="s">
        <v>39625</v>
      </c>
      <c r="I4934" s="41" t="s">
        <v>39626</v>
      </c>
      <c r="J4934" s="41" t="s">
        <v>39627</v>
      </c>
      <c r="K4934" s="41" t="s">
        <v>39628</v>
      </c>
      <c r="L4934" s="41" t="s">
        <v>891</v>
      </c>
    </row>
    <row r="4935" spans="1:19" x14ac:dyDescent="0.25">
      <c r="A4935" s="41" t="s">
        <v>23</v>
      </c>
      <c r="B4935" s="41" t="s">
        <v>39629</v>
      </c>
      <c r="D4935" s="41" t="s">
        <v>39630</v>
      </c>
      <c r="F4935" s="41" t="s">
        <v>39631</v>
      </c>
      <c r="G4935" s="41" t="s">
        <v>39632</v>
      </c>
      <c r="H4935" s="41" t="s">
        <v>39633</v>
      </c>
      <c r="I4935" s="41" t="s">
        <v>39634</v>
      </c>
      <c r="J4935" s="41" t="s">
        <v>39635</v>
      </c>
      <c r="K4935" s="41" t="s">
        <v>39636</v>
      </c>
      <c r="L4935" s="41" t="s">
        <v>1076</v>
      </c>
    </row>
    <row r="4936" spans="1:19" x14ac:dyDescent="0.25">
      <c r="A4936" s="41" t="s">
        <v>23</v>
      </c>
      <c r="B4936" s="41" t="s">
        <v>39637</v>
      </c>
      <c r="D4936" s="41" t="s">
        <v>39638</v>
      </c>
      <c r="F4936" s="41" t="s">
        <v>39639</v>
      </c>
      <c r="G4936" s="41" t="s">
        <v>39640</v>
      </c>
      <c r="H4936" s="41" t="s">
        <v>39641</v>
      </c>
      <c r="I4936" s="41" t="s">
        <v>39642</v>
      </c>
      <c r="J4936" s="41" t="s">
        <v>39643</v>
      </c>
      <c r="K4936" s="41" t="s">
        <v>39644</v>
      </c>
      <c r="L4936" s="41" t="s">
        <v>1085</v>
      </c>
    </row>
    <row r="4937" spans="1:19" x14ac:dyDescent="0.25">
      <c r="A4937" s="41" t="s">
        <v>23</v>
      </c>
      <c r="B4937" s="41" t="s">
        <v>39645</v>
      </c>
      <c r="D4937" s="41" t="s">
        <v>39646</v>
      </c>
      <c r="F4937" s="41" t="s">
        <v>39647</v>
      </c>
      <c r="G4937" s="41" t="s">
        <v>39648</v>
      </c>
      <c r="H4937" s="41" t="s">
        <v>39649</v>
      </c>
      <c r="I4937" s="41" t="s">
        <v>39650</v>
      </c>
      <c r="J4937" s="41" t="s">
        <v>39651</v>
      </c>
      <c r="K4937" s="41" t="s">
        <v>39652</v>
      </c>
      <c r="L4937" s="41" t="s">
        <v>1094</v>
      </c>
    </row>
    <row r="4938" spans="1:19" x14ac:dyDescent="0.25">
      <c r="A4938" s="41" t="s">
        <v>908</v>
      </c>
      <c r="B4938" s="41" t="s">
        <v>39653</v>
      </c>
    </row>
    <row r="4939" spans="1:19" x14ac:dyDescent="0.25">
      <c r="A4939" s="41" t="s">
        <v>23</v>
      </c>
      <c r="B4939" s="41" t="s">
        <v>39654</v>
      </c>
      <c r="F4939" s="41" t="s">
        <v>39655</v>
      </c>
      <c r="G4939" s="41" t="s">
        <v>39656</v>
      </c>
      <c r="H4939" s="41" t="s">
        <v>39657</v>
      </c>
      <c r="I4939" s="41" t="s">
        <v>39658</v>
      </c>
      <c r="J4939" s="41" t="s">
        <v>39659</v>
      </c>
      <c r="L4939" s="41" t="s">
        <v>4</v>
      </c>
    </row>
    <row r="4940" spans="1:19" x14ac:dyDescent="0.25">
      <c r="A4940" s="41" t="s">
        <v>23</v>
      </c>
      <c r="B4940" s="41" t="s">
        <v>39660</v>
      </c>
      <c r="D4940" s="41" t="s">
        <v>39495</v>
      </c>
      <c r="E4940" s="41" t="s">
        <v>39661</v>
      </c>
      <c r="F4940" s="41" t="s">
        <v>39662</v>
      </c>
      <c r="G4940" s="41" t="s">
        <v>39663</v>
      </c>
      <c r="H4940" s="41" t="s">
        <v>39664</v>
      </c>
      <c r="I4940" s="41" t="s">
        <v>39665</v>
      </c>
      <c r="J4940" s="41" t="s">
        <v>39666</v>
      </c>
      <c r="K4940" s="41" t="s">
        <v>39667</v>
      </c>
      <c r="L4940" s="41" t="s">
        <v>39668</v>
      </c>
      <c r="M4940" s="41" t="s">
        <v>39669</v>
      </c>
      <c r="N4940" s="41" t="s">
        <v>39670</v>
      </c>
      <c r="O4940" s="41" t="s">
        <v>39671</v>
      </c>
      <c r="P4940" s="41" t="s">
        <v>39672</v>
      </c>
      <c r="Q4940" s="41" t="s">
        <v>39673</v>
      </c>
      <c r="R4940" s="41" t="s">
        <v>39674</v>
      </c>
      <c r="S4940" s="41" t="s">
        <v>39675</v>
      </c>
    </row>
    <row r="4941" spans="1:19" x14ac:dyDescent="0.25">
      <c r="A4941" s="41" t="s">
        <v>23</v>
      </c>
      <c r="B4941" s="41" t="s">
        <v>39676</v>
      </c>
      <c r="D4941" s="41" t="s">
        <v>39677</v>
      </c>
      <c r="F4941" s="41" t="s">
        <v>39678</v>
      </c>
      <c r="G4941" s="41" t="s">
        <v>39679</v>
      </c>
      <c r="H4941" s="41" t="s">
        <v>39680</v>
      </c>
      <c r="I4941" s="41" t="s">
        <v>39681</v>
      </c>
      <c r="J4941" s="41" t="s">
        <v>39682</v>
      </c>
      <c r="K4941" s="41" t="s">
        <v>39683</v>
      </c>
      <c r="L4941" s="41" t="s">
        <v>891</v>
      </c>
    </row>
    <row r="4942" spans="1:19" x14ac:dyDescent="0.25">
      <c r="A4942" s="41" t="s">
        <v>23</v>
      </c>
      <c r="B4942" s="41" t="s">
        <v>39684</v>
      </c>
      <c r="D4942" s="41" t="s">
        <v>39685</v>
      </c>
      <c r="F4942" s="41" t="s">
        <v>39686</v>
      </c>
      <c r="G4942" s="41" t="s">
        <v>39687</v>
      </c>
      <c r="H4942" s="41" t="s">
        <v>39688</v>
      </c>
      <c r="I4942" s="41" t="s">
        <v>39689</v>
      </c>
      <c r="J4942" s="41" t="s">
        <v>39690</v>
      </c>
      <c r="K4942" s="41" t="s">
        <v>39691</v>
      </c>
      <c r="L4942" s="41" t="s">
        <v>1076</v>
      </c>
    </row>
    <row r="4943" spans="1:19" x14ac:dyDescent="0.25">
      <c r="A4943" s="41" t="s">
        <v>23</v>
      </c>
      <c r="B4943" s="41" t="s">
        <v>39692</v>
      </c>
      <c r="D4943" s="41" t="s">
        <v>39693</v>
      </c>
      <c r="F4943" s="41" t="s">
        <v>39694</v>
      </c>
      <c r="G4943" s="41" t="s">
        <v>39695</v>
      </c>
      <c r="H4943" s="41" t="s">
        <v>39696</v>
      </c>
      <c r="I4943" s="41" t="s">
        <v>39697</v>
      </c>
      <c r="J4943" s="41" t="s">
        <v>39698</v>
      </c>
      <c r="K4943" s="41" t="s">
        <v>39699</v>
      </c>
      <c r="L4943" s="41" t="s">
        <v>1085</v>
      </c>
    </row>
    <row r="4944" spans="1:19" x14ac:dyDescent="0.25">
      <c r="A4944" s="41" t="s">
        <v>23</v>
      </c>
      <c r="B4944" s="41" t="s">
        <v>39700</v>
      </c>
      <c r="D4944" s="41" t="s">
        <v>39701</v>
      </c>
      <c r="F4944" s="41" t="s">
        <v>39702</v>
      </c>
      <c r="G4944" s="41" t="s">
        <v>39703</v>
      </c>
      <c r="H4944" s="41" t="s">
        <v>39704</v>
      </c>
      <c r="I4944" s="41" t="s">
        <v>39705</v>
      </c>
      <c r="J4944" s="41" t="s">
        <v>39706</v>
      </c>
      <c r="K4944" s="41" t="s">
        <v>39707</v>
      </c>
      <c r="L4944" s="41" t="s">
        <v>1094</v>
      </c>
    </row>
    <row r="4945" spans="1:19" x14ac:dyDescent="0.25">
      <c r="A4945" s="41" t="s">
        <v>908</v>
      </c>
      <c r="B4945" s="41" t="s">
        <v>39708</v>
      </c>
    </row>
    <row r="4946" spans="1:19" x14ac:dyDescent="0.25">
      <c r="A4946" s="41" t="s">
        <v>23</v>
      </c>
      <c r="B4946" s="41" t="s">
        <v>39709</v>
      </c>
      <c r="F4946" s="41" t="s">
        <v>39710</v>
      </c>
      <c r="G4946" s="41" t="s">
        <v>39711</v>
      </c>
      <c r="H4946" s="41" t="s">
        <v>39712</v>
      </c>
      <c r="I4946" s="41" t="s">
        <v>39713</v>
      </c>
      <c r="J4946" s="41" t="s">
        <v>39714</v>
      </c>
      <c r="L4946" s="41" t="s">
        <v>4</v>
      </c>
    </row>
    <row r="4947" spans="1:19" x14ac:dyDescent="0.25">
      <c r="A4947" s="41" t="s">
        <v>23</v>
      </c>
      <c r="B4947" s="41" t="s">
        <v>39715</v>
      </c>
      <c r="D4947" s="41" t="s">
        <v>531</v>
      </c>
      <c r="E4947" s="41" t="s">
        <v>39716</v>
      </c>
      <c r="F4947" s="41" t="s">
        <v>39717</v>
      </c>
      <c r="G4947" s="41" t="s">
        <v>39718</v>
      </c>
      <c r="H4947" s="41" t="s">
        <v>39719</v>
      </c>
      <c r="I4947" s="41" t="s">
        <v>39720</v>
      </c>
      <c r="J4947" s="41" t="s">
        <v>39721</v>
      </c>
      <c r="K4947" s="41" t="s">
        <v>39722</v>
      </c>
      <c r="L4947" s="41" t="s">
        <v>39723</v>
      </c>
      <c r="M4947" s="41" t="s">
        <v>39724</v>
      </c>
      <c r="N4947" s="41" t="s">
        <v>39725</v>
      </c>
      <c r="O4947" s="41" t="s">
        <v>39726</v>
      </c>
      <c r="P4947" s="41" t="s">
        <v>39727</v>
      </c>
      <c r="Q4947" s="41" t="s">
        <v>39728</v>
      </c>
      <c r="R4947" s="41" t="s">
        <v>39729</v>
      </c>
      <c r="S4947" s="41" t="s">
        <v>39730</v>
      </c>
    </row>
    <row r="4948" spans="1:19" x14ac:dyDescent="0.25">
      <c r="A4948" s="41" t="s">
        <v>23</v>
      </c>
      <c r="B4948" s="41" t="s">
        <v>39731</v>
      </c>
      <c r="D4948" s="41" t="s">
        <v>39732</v>
      </c>
      <c r="F4948" s="41" t="s">
        <v>39733</v>
      </c>
      <c r="G4948" s="41" t="s">
        <v>39734</v>
      </c>
      <c r="H4948" s="41" t="s">
        <v>39735</v>
      </c>
      <c r="I4948" s="41" t="s">
        <v>39736</v>
      </c>
      <c r="J4948" s="41" t="s">
        <v>39737</v>
      </c>
      <c r="K4948" s="41" t="s">
        <v>39738</v>
      </c>
      <c r="L4948" s="41" t="s">
        <v>891</v>
      </c>
    </row>
    <row r="4949" spans="1:19" x14ac:dyDescent="0.25">
      <c r="A4949" s="41" t="s">
        <v>23</v>
      </c>
      <c r="B4949" s="41" t="s">
        <v>39739</v>
      </c>
      <c r="D4949" s="41" t="s">
        <v>39740</v>
      </c>
      <c r="F4949" s="41" t="s">
        <v>39741</v>
      </c>
      <c r="G4949" s="41" t="s">
        <v>39742</v>
      </c>
      <c r="H4949" s="41" t="s">
        <v>39743</v>
      </c>
      <c r="I4949" s="41" t="s">
        <v>39744</v>
      </c>
      <c r="J4949" s="41" t="s">
        <v>39745</v>
      </c>
      <c r="K4949" s="41" t="s">
        <v>39746</v>
      </c>
      <c r="L4949" s="41" t="s">
        <v>1076</v>
      </c>
    </row>
    <row r="4950" spans="1:19" x14ac:dyDescent="0.25">
      <c r="A4950" s="41" t="s">
        <v>23</v>
      </c>
      <c r="B4950" s="41" t="s">
        <v>39747</v>
      </c>
      <c r="D4950" s="41" t="s">
        <v>39748</v>
      </c>
      <c r="F4950" s="41" t="s">
        <v>39749</v>
      </c>
      <c r="G4950" s="41" t="s">
        <v>39750</v>
      </c>
      <c r="H4950" s="41" t="s">
        <v>39751</v>
      </c>
      <c r="I4950" s="41" t="s">
        <v>39752</v>
      </c>
      <c r="J4950" s="41" t="s">
        <v>39753</v>
      </c>
      <c r="K4950" s="41" t="s">
        <v>39754</v>
      </c>
      <c r="L4950" s="41" t="s">
        <v>1085</v>
      </c>
    </row>
    <row r="4951" spans="1:19" x14ac:dyDescent="0.25">
      <c r="A4951" s="41" t="s">
        <v>23</v>
      </c>
      <c r="B4951" s="41" t="s">
        <v>39755</v>
      </c>
      <c r="D4951" s="41" t="s">
        <v>39756</v>
      </c>
      <c r="F4951" s="41" t="s">
        <v>39757</v>
      </c>
      <c r="G4951" s="41" t="s">
        <v>39758</v>
      </c>
      <c r="H4951" s="41" t="s">
        <v>39759</v>
      </c>
      <c r="I4951" s="41" t="s">
        <v>39760</v>
      </c>
      <c r="J4951" s="41" t="s">
        <v>39761</v>
      </c>
      <c r="K4951" s="41" t="s">
        <v>39762</v>
      </c>
      <c r="L4951" s="41" t="s">
        <v>1094</v>
      </c>
    </row>
    <row r="4952" spans="1:19" x14ac:dyDescent="0.25">
      <c r="A4952" s="41" t="s">
        <v>908</v>
      </c>
      <c r="B4952" s="41" t="s">
        <v>39763</v>
      </c>
    </row>
    <row r="4953" spans="1:19" x14ac:dyDescent="0.25">
      <c r="A4953" s="41" t="s">
        <v>23</v>
      </c>
      <c r="B4953" s="41" t="s">
        <v>39764</v>
      </c>
      <c r="F4953" s="41" t="s">
        <v>39765</v>
      </c>
      <c r="G4953" s="41" t="s">
        <v>39766</v>
      </c>
      <c r="H4953" s="41" t="s">
        <v>39767</v>
      </c>
      <c r="I4953" s="41" t="s">
        <v>39768</v>
      </c>
      <c r="J4953" s="41" t="s">
        <v>39769</v>
      </c>
      <c r="L4953" s="41" t="s">
        <v>4</v>
      </c>
    </row>
    <row r="4954" spans="1:19" x14ac:dyDescent="0.25">
      <c r="A4954" s="41" t="s">
        <v>23</v>
      </c>
      <c r="B4954" s="41" t="s">
        <v>39770</v>
      </c>
      <c r="D4954" s="41" t="s">
        <v>503</v>
      </c>
      <c r="E4954" s="41" t="s">
        <v>39771</v>
      </c>
      <c r="F4954" s="41" t="s">
        <v>39772</v>
      </c>
      <c r="G4954" s="41" t="s">
        <v>39773</v>
      </c>
      <c r="H4954" s="41" t="s">
        <v>39774</v>
      </c>
      <c r="I4954" s="41" t="s">
        <v>39775</v>
      </c>
      <c r="J4954" s="41" t="s">
        <v>39776</v>
      </c>
      <c r="K4954" s="41" t="s">
        <v>39777</v>
      </c>
      <c r="L4954" s="41" t="s">
        <v>39778</v>
      </c>
      <c r="M4954" s="41" t="s">
        <v>39779</v>
      </c>
      <c r="N4954" s="41" t="s">
        <v>39780</v>
      </c>
      <c r="O4954" s="41" t="s">
        <v>39781</v>
      </c>
      <c r="P4954" s="41" t="s">
        <v>39782</v>
      </c>
      <c r="Q4954" s="41" t="s">
        <v>39783</v>
      </c>
      <c r="R4954" s="41" t="s">
        <v>39784</v>
      </c>
      <c r="S4954" s="41" t="s">
        <v>39785</v>
      </c>
    </row>
    <row r="4955" spans="1:19" x14ac:dyDescent="0.25">
      <c r="A4955" s="41" t="s">
        <v>23</v>
      </c>
      <c r="B4955" s="41" t="s">
        <v>39786</v>
      </c>
      <c r="D4955" s="41" t="s">
        <v>39787</v>
      </c>
      <c r="F4955" s="41" t="s">
        <v>39788</v>
      </c>
      <c r="G4955" s="41" t="s">
        <v>39789</v>
      </c>
      <c r="H4955" s="41" t="s">
        <v>39790</v>
      </c>
      <c r="I4955" s="41" t="s">
        <v>39791</v>
      </c>
      <c r="J4955" s="41" t="s">
        <v>39792</v>
      </c>
      <c r="K4955" s="41" t="s">
        <v>39793</v>
      </c>
      <c r="L4955" s="41" t="s">
        <v>891</v>
      </c>
    </row>
    <row r="4956" spans="1:19" x14ac:dyDescent="0.25">
      <c r="A4956" s="41" t="s">
        <v>23</v>
      </c>
      <c r="B4956" s="41" t="s">
        <v>39794</v>
      </c>
      <c r="D4956" s="41" t="s">
        <v>39795</v>
      </c>
      <c r="F4956" s="41" t="s">
        <v>39796</v>
      </c>
      <c r="G4956" s="41" t="s">
        <v>39797</v>
      </c>
      <c r="H4956" s="41" t="s">
        <v>39798</v>
      </c>
      <c r="I4956" s="41" t="s">
        <v>39799</v>
      </c>
      <c r="J4956" s="41" t="s">
        <v>39800</v>
      </c>
      <c r="K4956" s="41" t="s">
        <v>39801</v>
      </c>
      <c r="L4956" s="41" t="s">
        <v>1076</v>
      </c>
    </row>
    <row r="4957" spans="1:19" x14ac:dyDescent="0.25">
      <c r="A4957" s="41" t="s">
        <v>23</v>
      </c>
      <c r="B4957" s="41" t="s">
        <v>39802</v>
      </c>
      <c r="D4957" s="41" t="s">
        <v>39803</v>
      </c>
      <c r="F4957" s="41" t="s">
        <v>39804</v>
      </c>
      <c r="G4957" s="41" t="s">
        <v>39805</v>
      </c>
      <c r="H4957" s="41" t="s">
        <v>39806</v>
      </c>
      <c r="I4957" s="41" t="s">
        <v>39807</v>
      </c>
      <c r="J4957" s="41" t="s">
        <v>39808</v>
      </c>
      <c r="K4957" s="41" t="s">
        <v>39809</v>
      </c>
      <c r="L4957" s="41" t="s">
        <v>1085</v>
      </c>
    </row>
    <row r="4958" spans="1:19" x14ac:dyDescent="0.25">
      <c r="A4958" s="41" t="s">
        <v>23</v>
      </c>
      <c r="B4958" s="41" t="s">
        <v>39810</v>
      </c>
      <c r="D4958" s="41" t="s">
        <v>39811</v>
      </c>
      <c r="F4958" s="41" t="s">
        <v>39812</v>
      </c>
      <c r="G4958" s="41" t="s">
        <v>39813</v>
      </c>
      <c r="H4958" s="41" t="s">
        <v>39814</v>
      </c>
      <c r="I4958" s="41" t="s">
        <v>39815</v>
      </c>
      <c r="J4958" s="41" t="s">
        <v>39816</v>
      </c>
      <c r="K4958" s="41" t="s">
        <v>39817</v>
      </c>
      <c r="L4958" s="41" t="s">
        <v>1094</v>
      </c>
    </row>
    <row r="4959" spans="1:19" x14ac:dyDescent="0.25">
      <c r="A4959" s="41" t="s">
        <v>908</v>
      </c>
      <c r="B4959" s="41" t="s">
        <v>39818</v>
      </c>
    </row>
    <row r="4960" spans="1:19" x14ac:dyDescent="0.25">
      <c r="A4960" s="41" t="s">
        <v>23</v>
      </c>
      <c r="B4960" s="41" t="s">
        <v>39819</v>
      </c>
      <c r="F4960" s="41" t="s">
        <v>39820</v>
      </c>
      <c r="G4960" s="41" t="s">
        <v>39821</v>
      </c>
      <c r="H4960" s="41" t="s">
        <v>39822</v>
      </c>
      <c r="I4960" s="41" t="s">
        <v>39823</v>
      </c>
      <c r="J4960" s="41" t="s">
        <v>39824</v>
      </c>
      <c r="L4960" s="41" t="s">
        <v>4</v>
      </c>
    </row>
    <row r="4961" spans="1:19" x14ac:dyDescent="0.25">
      <c r="A4961" s="41" t="s">
        <v>23</v>
      </c>
      <c r="B4961" s="41" t="s">
        <v>39825</v>
      </c>
      <c r="D4961" s="41" t="s">
        <v>504</v>
      </c>
      <c r="E4961" s="41" t="s">
        <v>39826</v>
      </c>
      <c r="F4961" s="41" t="s">
        <v>39827</v>
      </c>
      <c r="G4961" s="41" t="s">
        <v>39828</v>
      </c>
      <c r="H4961" s="41" t="s">
        <v>39829</v>
      </c>
      <c r="I4961" s="41" t="s">
        <v>39830</v>
      </c>
      <c r="J4961" s="41" t="s">
        <v>39831</v>
      </c>
      <c r="K4961" s="41" t="s">
        <v>39832</v>
      </c>
      <c r="L4961" s="41" t="s">
        <v>39833</v>
      </c>
      <c r="M4961" s="41" t="s">
        <v>39834</v>
      </c>
      <c r="N4961" s="41" t="s">
        <v>39835</v>
      </c>
      <c r="O4961" s="41" t="s">
        <v>39836</v>
      </c>
      <c r="P4961" s="41" t="s">
        <v>39837</v>
      </c>
      <c r="Q4961" s="41" t="s">
        <v>39838</v>
      </c>
      <c r="R4961" s="41" t="s">
        <v>39839</v>
      </c>
      <c r="S4961" s="41" t="s">
        <v>39840</v>
      </c>
    </row>
    <row r="4962" spans="1:19" x14ac:dyDescent="0.25">
      <c r="A4962" s="41" t="s">
        <v>23</v>
      </c>
      <c r="B4962" s="41" t="s">
        <v>39841</v>
      </c>
      <c r="D4962" s="41" t="s">
        <v>39842</v>
      </c>
      <c r="F4962" s="41" t="s">
        <v>39843</v>
      </c>
      <c r="G4962" s="41" t="s">
        <v>39844</v>
      </c>
      <c r="H4962" s="41" t="s">
        <v>39845</v>
      </c>
      <c r="I4962" s="41" t="s">
        <v>39846</v>
      </c>
      <c r="J4962" s="41" t="s">
        <v>39847</v>
      </c>
      <c r="K4962" s="41" t="s">
        <v>39848</v>
      </c>
      <c r="L4962" s="41" t="s">
        <v>891</v>
      </c>
    </row>
    <row r="4963" spans="1:19" x14ac:dyDescent="0.25">
      <c r="A4963" s="41" t="s">
        <v>23</v>
      </c>
      <c r="B4963" s="41" t="s">
        <v>39849</v>
      </c>
      <c r="D4963" s="41" t="s">
        <v>39850</v>
      </c>
      <c r="F4963" s="41" t="s">
        <v>39851</v>
      </c>
      <c r="G4963" s="41" t="s">
        <v>39852</v>
      </c>
      <c r="H4963" s="41" t="s">
        <v>39853</v>
      </c>
      <c r="I4963" s="41" t="s">
        <v>39854</v>
      </c>
      <c r="J4963" s="41" t="s">
        <v>39855</v>
      </c>
      <c r="K4963" s="41" t="s">
        <v>39856</v>
      </c>
      <c r="L4963" s="41" t="s">
        <v>1076</v>
      </c>
    </row>
    <row r="4964" spans="1:19" x14ac:dyDescent="0.25">
      <c r="A4964" s="41" t="s">
        <v>23</v>
      </c>
      <c r="B4964" s="41" t="s">
        <v>39857</v>
      </c>
      <c r="D4964" s="41" t="s">
        <v>39858</v>
      </c>
      <c r="F4964" s="41" t="s">
        <v>39859</v>
      </c>
      <c r="G4964" s="41" t="s">
        <v>39860</v>
      </c>
      <c r="H4964" s="41" t="s">
        <v>39861</v>
      </c>
      <c r="I4964" s="41" t="s">
        <v>39862</v>
      </c>
      <c r="J4964" s="41" t="s">
        <v>39863</v>
      </c>
      <c r="K4964" s="41" t="s">
        <v>39864</v>
      </c>
      <c r="L4964" s="41" t="s">
        <v>1085</v>
      </c>
    </row>
    <row r="4965" spans="1:19" x14ac:dyDescent="0.25">
      <c r="A4965" s="41" t="s">
        <v>23</v>
      </c>
      <c r="B4965" s="41" t="s">
        <v>39865</v>
      </c>
      <c r="D4965" s="41" t="s">
        <v>39866</v>
      </c>
      <c r="F4965" s="41" t="s">
        <v>39867</v>
      </c>
      <c r="G4965" s="41" t="s">
        <v>39868</v>
      </c>
      <c r="H4965" s="41" t="s">
        <v>39869</v>
      </c>
      <c r="I4965" s="41" t="s">
        <v>39870</v>
      </c>
      <c r="J4965" s="41" t="s">
        <v>39871</v>
      </c>
      <c r="K4965" s="41" t="s">
        <v>39872</v>
      </c>
      <c r="L4965" s="41" t="s">
        <v>1094</v>
      </c>
    </row>
    <row r="4966" spans="1:19" x14ac:dyDescent="0.25">
      <c r="A4966" s="41" t="s">
        <v>908</v>
      </c>
      <c r="B4966" s="41" t="s">
        <v>39873</v>
      </c>
    </row>
    <row r="4967" spans="1:19" x14ac:dyDescent="0.25">
      <c r="A4967" s="41" t="s">
        <v>23</v>
      </c>
      <c r="B4967" s="41" t="s">
        <v>39874</v>
      </c>
      <c r="F4967" s="41" t="s">
        <v>39875</v>
      </c>
      <c r="G4967" s="41" t="s">
        <v>39876</v>
      </c>
      <c r="H4967" s="41" t="s">
        <v>39877</v>
      </c>
      <c r="I4967" s="41" t="s">
        <v>39878</v>
      </c>
      <c r="J4967" s="41" t="s">
        <v>39879</v>
      </c>
      <c r="L4967" s="41" t="s">
        <v>4</v>
      </c>
    </row>
    <row r="4968" spans="1:19" x14ac:dyDescent="0.25">
      <c r="A4968" s="41" t="s">
        <v>23</v>
      </c>
      <c r="B4968" s="41" t="s">
        <v>39880</v>
      </c>
      <c r="D4968" s="41" t="s">
        <v>532</v>
      </c>
      <c r="E4968" s="41" t="s">
        <v>39882</v>
      </c>
      <c r="F4968" s="41" t="s">
        <v>39883</v>
      </c>
      <c r="G4968" s="41" t="s">
        <v>39884</v>
      </c>
      <c r="H4968" s="41" t="s">
        <v>39885</v>
      </c>
      <c r="I4968" s="41" t="s">
        <v>39886</v>
      </c>
      <c r="J4968" s="41" t="s">
        <v>39887</v>
      </c>
      <c r="K4968" s="41" t="s">
        <v>39888</v>
      </c>
      <c r="L4968" s="41" t="s">
        <v>39889</v>
      </c>
      <c r="M4968" s="41" t="s">
        <v>39890</v>
      </c>
      <c r="N4968" s="41" t="s">
        <v>39891</v>
      </c>
      <c r="O4968" s="41" t="s">
        <v>39892</v>
      </c>
      <c r="P4968" s="41" t="s">
        <v>39893</v>
      </c>
      <c r="Q4968" s="41" t="s">
        <v>39894</v>
      </c>
      <c r="R4968" s="41" t="s">
        <v>39895</v>
      </c>
      <c r="S4968" s="41" t="s">
        <v>39896</v>
      </c>
    </row>
    <row r="4969" spans="1:19" x14ac:dyDescent="0.25">
      <c r="A4969" s="41" t="s">
        <v>23</v>
      </c>
      <c r="B4969" s="41" t="s">
        <v>39897</v>
      </c>
      <c r="D4969" s="41" t="s">
        <v>39898</v>
      </c>
      <c r="F4969" s="41" t="s">
        <v>39899</v>
      </c>
      <c r="G4969" s="41" t="s">
        <v>39900</v>
      </c>
      <c r="H4969" s="41" t="s">
        <v>39901</v>
      </c>
      <c r="I4969" s="41" t="s">
        <v>39902</v>
      </c>
      <c r="J4969" s="41" t="s">
        <v>39903</v>
      </c>
      <c r="K4969" s="41" t="s">
        <v>39904</v>
      </c>
      <c r="L4969" s="41" t="s">
        <v>891</v>
      </c>
    </row>
    <row r="4970" spans="1:19" x14ac:dyDescent="0.25">
      <c r="A4970" s="41" t="s">
        <v>23</v>
      </c>
      <c r="B4970" s="41" t="s">
        <v>39905</v>
      </c>
      <c r="D4970" s="41" t="s">
        <v>39906</v>
      </c>
      <c r="F4970" s="41" t="s">
        <v>39907</v>
      </c>
      <c r="G4970" s="41" t="s">
        <v>39908</v>
      </c>
      <c r="H4970" s="41" t="s">
        <v>39909</v>
      </c>
      <c r="I4970" s="41" t="s">
        <v>39910</v>
      </c>
      <c r="J4970" s="41" t="s">
        <v>39911</v>
      </c>
      <c r="K4970" s="41" t="s">
        <v>39912</v>
      </c>
      <c r="L4970" s="41" t="s">
        <v>1076</v>
      </c>
    </row>
    <row r="4971" spans="1:19" x14ac:dyDescent="0.25">
      <c r="A4971" s="41" t="s">
        <v>23</v>
      </c>
      <c r="B4971" s="41" t="s">
        <v>39913</v>
      </c>
      <c r="D4971" s="41" t="s">
        <v>39914</v>
      </c>
      <c r="F4971" s="41" t="s">
        <v>39915</v>
      </c>
      <c r="G4971" s="41" t="s">
        <v>39916</v>
      </c>
      <c r="H4971" s="41" t="s">
        <v>39917</v>
      </c>
      <c r="I4971" s="41" t="s">
        <v>39918</v>
      </c>
      <c r="J4971" s="41" t="s">
        <v>39919</v>
      </c>
      <c r="K4971" s="41" t="s">
        <v>39920</v>
      </c>
      <c r="L4971" s="41" t="s">
        <v>1085</v>
      </c>
    </row>
    <row r="4972" spans="1:19" x14ac:dyDescent="0.25">
      <c r="A4972" s="41" t="s">
        <v>23</v>
      </c>
      <c r="B4972" s="41" t="s">
        <v>39921</v>
      </c>
      <c r="D4972" s="41" t="s">
        <v>39922</v>
      </c>
      <c r="F4972" s="41" t="s">
        <v>39923</v>
      </c>
      <c r="G4972" s="41" t="s">
        <v>39924</v>
      </c>
      <c r="H4972" s="41" t="s">
        <v>39925</v>
      </c>
      <c r="I4972" s="41" t="s">
        <v>39926</v>
      </c>
      <c r="J4972" s="41" t="s">
        <v>39927</v>
      </c>
      <c r="K4972" s="41" t="s">
        <v>39928</v>
      </c>
      <c r="L4972" s="41" t="s">
        <v>1094</v>
      </c>
    </row>
    <row r="4973" spans="1:19" x14ac:dyDescent="0.25">
      <c r="A4973" s="41" t="s">
        <v>908</v>
      </c>
      <c r="B4973" s="41" t="s">
        <v>39929</v>
      </c>
    </row>
    <row r="4974" spans="1:19" x14ac:dyDescent="0.25">
      <c r="A4974" s="41" t="s">
        <v>23</v>
      </c>
      <c r="B4974" s="41" t="s">
        <v>39930</v>
      </c>
      <c r="F4974" s="41" t="s">
        <v>39931</v>
      </c>
      <c r="G4974" s="41" t="s">
        <v>39932</v>
      </c>
      <c r="H4974" s="41" t="s">
        <v>39933</v>
      </c>
      <c r="I4974" s="41" t="s">
        <v>39934</v>
      </c>
      <c r="J4974" s="41" t="s">
        <v>39935</v>
      </c>
      <c r="L4974" s="41" t="s">
        <v>4</v>
      </c>
    </row>
    <row r="4975" spans="1:19" x14ac:dyDescent="0.25">
      <c r="A4975" s="41" t="s">
        <v>23</v>
      </c>
      <c r="B4975" s="41" t="s">
        <v>39936</v>
      </c>
      <c r="D4975" s="41" t="s">
        <v>505</v>
      </c>
      <c r="E4975" s="41" t="s">
        <v>39938</v>
      </c>
      <c r="F4975" s="41" t="s">
        <v>39939</v>
      </c>
      <c r="G4975" s="41" t="s">
        <v>39940</v>
      </c>
      <c r="H4975" s="41" t="s">
        <v>39941</v>
      </c>
      <c r="I4975" s="41" t="s">
        <v>39942</v>
      </c>
      <c r="J4975" s="41" t="s">
        <v>39943</v>
      </c>
      <c r="K4975" s="41" t="s">
        <v>39944</v>
      </c>
      <c r="L4975" s="41" t="s">
        <v>39945</v>
      </c>
      <c r="M4975" s="41" t="s">
        <v>39946</v>
      </c>
      <c r="N4975" s="41" t="s">
        <v>39947</v>
      </c>
      <c r="O4975" s="41" t="s">
        <v>39948</v>
      </c>
      <c r="P4975" s="41" t="s">
        <v>39949</v>
      </c>
      <c r="Q4975" s="41" t="s">
        <v>39950</v>
      </c>
      <c r="R4975" s="41" t="s">
        <v>39951</v>
      </c>
      <c r="S4975" s="41" t="s">
        <v>39952</v>
      </c>
    </row>
    <row r="4976" spans="1:19" x14ac:dyDescent="0.25">
      <c r="A4976" s="41" t="s">
        <v>23</v>
      </c>
      <c r="B4976" s="41" t="s">
        <v>39953</v>
      </c>
      <c r="D4976" s="41" t="s">
        <v>39954</v>
      </c>
      <c r="F4976" s="41" t="s">
        <v>39955</v>
      </c>
      <c r="G4976" s="41" t="s">
        <v>39956</v>
      </c>
      <c r="H4976" s="41" t="s">
        <v>39957</v>
      </c>
      <c r="I4976" s="41" t="s">
        <v>39958</v>
      </c>
      <c r="J4976" s="41" t="s">
        <v>39959</v>
      </c>
      <c r="K4976" s="41" t="s">
        <v>39960</v>
      </c>
      <c r="L4976" s="41" t="s">
        <v>891</v>
      </c>
    </row>
    <row r="4977" spans="1:19" x14ac:dyDescent="0.25">
      <c r="A4977" s="41" t="s">
        <v>23</v>
      </c>
      <c r="B4977" s="41" t="s">
        <v>39961</v>
      </c>
      <c r="D4977" s="41" t="s">
        <v>39962</v>
      </c>
      <c r="F4977" s="41" t="s">
        <v>39963</v>
      </c>
      <c r="G4977" s="41" t="s">
        <v>39964</v>
      </c>
      <c r="H4977" s="41" t="s">
        <v>39965</v>
      </c>
      <c r="I4977" s="41" t="s">
        <v>39966</v>
      </c>
      <c r="J4977" s="41" t="s">
        <v>39967</v>
      </c>
      <c r="K4977" s="41" t="s">
        <v>39968</v>
      </c>
      <c r="L4977" s="41" t="s">
        <v>1076</v>
      </c>
    </row>
    <row r="4978" spans="1:19" x14ac:dyDescent="0.25">
      <c r="A4978" s="41" t="s">
        <v>23</v>
      </c>
      <c r="B4978" s="41" t="s">
        <v>39969</v>
      </c>
      <c r="D4978" s="41" t="s">
        <v>39970</v>
      </c>
      <c r="F4978" s="41" t="s">
        <v>39971</v>
      </c>
      <c r="G4978" s="41" t="s">
        <v>39972</v>
      </c>
      <c r="H4978" s="41" t="s">
        <v>39973</v>
      </c>
      <c r="I4978" s="41" t="s">
        <v>39974</v>
      </c>
      <c r="J4978" s="41" t="s">
        <v>39975</v>
      </c>
      <c r="K4978" s="41" t="s">
        <v>39976</v>
      </c>
      <c r="L4978" s="41" t="s">
        <v>1085</v>
      </c>
    </row>
    <row r="4979" spans="1:19" x14ac:dyDescent="0.25">
      <c r="A4979" s="41" t="s">
        <v>23</v>
      </c>
      <c r="B4979" s="41" t="s">
        <v>39977</v>
      </c>
      <c r="D4979" s="41" t="s">
        <v>39978</v>
      </c>
      <c r="F4979" s="41" t="s">
        <v>39979</v>
      </c>
      <c r="G4979" s="41" t="s">
        <v>39980</v>
      </c>
      <c r="H4979" s="41" t="s">
        <v>39981</v>
      </c>
      <c r="I4979" s="41" t="s">
        <v>39982</v>
      </c>
      <c r="J4979" s="41" t="s">
        <v>39983</v>
      </c>
      <c r="K4979" s="41" t="s">
        <v>39984</v>
      </c>
      <c r="L4979" s="41" t="s">
        <v>1094</v>
      </c>
    </row>
    <row r="4980" spans="1:19" x14ac:dyDescent="0.25">
      <c r="A4980" s="41" t="s">
        <v>908</v>
      </c>
      <c r="B4980" s="41" t="s">
        <v>39985</v>
      </c>
    </row>
    <row r="4981" spans="1:19" x14ac:dyDescent="0.25">
      <c r="A4981" s="41" t="s">
        <v>23</v>
      </c>
      <c r="B4981" s="41" t="s">
        <v>39986</v>
      </c>
      <c r="F4981" s="41" t="s">
        <v>39987</v>
      </c>
      <c r="G4981" s="41" t="s">
        <v>39988</v>
      </c>
      <c r="H4981" s="41" t="s">
        <v>39989</v>
      </c>
      <c r="I4981" s="41" t="s">
        <v>39990</v>
      </c>
      <c r="J4981" s="41" t="s">
        <v>39991</v>
      </c>
      <c r="L4981" s="41" t="s">
        <v>4</v>
      </c>
    </row>
    <row r="4982" spans="1:19" x14ac:dyDescent="0.25">
      <c r="A4982" s="41" t="s">
        <v>23</v>
      </c>
      <c r="B4982" s="41" t="s">
        <v>39992</v>
      </c>
      <c r="D4982" s="41" t="s">
        <v>506</v>
      </c>
      <c r="E4982" s="41" t="s">
        <v>39994</v>
      </c>
      <c r="F4982" s="41" t="s">
        <v>39995</v>
      </c>
      <c r="G4982" s="41" t="s">
        <v>39996</v>
      </c>
      <c r="H4982" s="41" t="s">
        <v>39997</v>
      </c>
      <c r="I4982" s="41" t="s">
        <v>39998</v>
      </c>
      <c r="J4982" s="41" t="s">
        <v>39999</v>
      </c>
      <c r="K4982" s="41" t="s">
        <v>40000</v>
      </c>
      <c r="L4982" s="41" t="s">
        <v>40001</v>
      </c>
      <c r="M4982" s="41" t="s">
        <v>40002</v>
      </c>
      <c r="N4982" s="41" t="s">
        <v>40003</v>
      </c>
      <c r="O4982" s="41" t="s">
        <v>40004</v>
      </c>
      <c r="P4982" s="41" t="s">
        <v>40005</v>
      </c>
      <c r="Q4982" s="41" t="s">
        <v>40006</v>
      </c>
      <c r="R4982" s="41" t="s">
        <v>40007</v>
      </c>
      <c r="S4982" s="41" t="s">
        <v>40008</v>
      </c>
    </row>
    <row r="4983" spans="1:19" x14ac:dyDescent="0.25">
      <c r="A4983" s="41" t="s">
        <v>23</v>
      </c>
      <c r="B4983" s="41" t="s">
        <v>40009</v>
      </c>
      <c r="D4983" s="41" t="s">
        <v>40010</v>
      </c>
      <c r="F4983" s="41" t="s">
        <v>40011</v>
      </c>
      <c r="G4983" s="41" t="s">
        <v>40012</v>
      </c>
      <c r="H4983" s="41" t="s">
        <v>40013</v>
      </c>
      <c r="I4983" s="41" t="s">
        <v>40014</v>
      </c>
      <c r="J4983" s="41" t="s">
        <v>40015</v>
      </c>
      <c r="K4983" s="41" t="s">
        <v>40016</v>
      </c>
      <c r="L4983" s="41" t="s">
        <v>891</v>
      </c>
    </row>
    <row r="4984" spans="1:19" x14ac:dyDescent="0.25">
      <c r="A4984" s="41" t="s">
        <v>23</v>
      </c>
      <c r="B4984" s="41" t="s">
        <v>40017</v>
      </c>
      <c r="D4984" s="41" t="s">
        <v>40018</v>
      </c>
      <c r="F4984" s="41" t="s">
        <v>40019</v>
      </c>
      <c r="G4984" s="41" t="s">
        <v>40020</v>
      </c>
      <c r="H4984" s="41" t="s">
        <v>40021</v>
      </c>
      <c r="I4984" s="41" t="s">
        <v>40022</v>
      </c>
      <c r="J4984" s="41" t="s">
        <v>40023</v>
      </c>
      <c r="K4984" s="41" t="s">
        <v>40024</v>
      </c>
      <c r="L4984" s="41" t="s">
        <v>1076</v>
      </c>
    </row>
    <row r="4985" spans="1:19" x14ac:dyDescent="0.25">
      <c r="A4985" s="41" t="s">
        <v>23</v>
      </c>
      <c r="B4985" s="41" t="s">
        <v>40025</v>
      </c>
      <c r="D4985" s="41" t="s">
        <v>40026</v>
      </c>
      <c r="F4985" s="41" t="s">
        <v>40027</v>
      </c>
      <c r="G4985" s="41" t="s">
        <v>40028</v>
      </c>
      <c r="H4985" s="41" t="s">
        <v>40029</v>
      </c>
      <c r="I4985" s="41" t="s">
        <v>40030</v>
      </c>
      <c r="J4985" s="41" t="s">
        <v>40031</v>
      </c>
      <c r="K4985" s="41" t="s">
        <v>40032</v>
      </c>
      <c r="L4985" s="41" t="s">
        <v>1085</v>
      </c>
    </row>
    <row r="4986" spans="1:19" x14ac:dyDescent="0.25">
      <c r="A4986" s="41" t="s">
        <v>23</v>
      </c>
      <c r="B4986" s="41" t="s">
        <v>40033</v>
      </c>
      <c r="D4986" s="41" t="s">
        <v>40034</v>
      </c>
      <c r="F4986" s="41" t="s">
        <v>40035</v>
      </c>
      <c r="G4986" s="41" t="s">
        <v>40036</v>
      </c>
      <c r="H4986" s="41" t="s">
        <v>40037</v>
      </c>
      <c r="I4986" s="41" t="s">
        <v>40038</v>
      </c>
      <c r="J4986" s="41" t="s">
        <v>40039</v>
      </c>
      <c r="K4986" s="41" t="s">
        <v>40040</v>
      </c>
      <c r="L4986" s="41" t="s">
        <v>1094</v>
      </c>
    </row>
    <row r="4987" spans="1:19" x14ac:dyDescent="0.25">
      <c r="A4987" s="41" t="s">
        <v>908</v>
      </c>
      <c r="B4987" s="41" t="s">
        <v>40041</v>
      </c>
    </row>
    <row r="4988" spans="1:19" x14ac:dyDescent="0.25">
      <c r="A4988" s="41" t="s">
        <v>23</v>
      </c>
      <c r="B4988" s="41" t="s">
        <v>40042</v>
      </c>
      <c r="F4988" s="41" t="s">
        <v>40043</v>
      </c>
      <c r="G4988" s="41" t="s">
        <v>40044</v>
      </c>
      <c r="H4988" s="41" t="s">
        <v>40045</v>
      </c>
      <c r="I4988" s="41" t="s">
        <v>40046</v>
      </c>
      <c r="J4988" s="41" t="s">
        <v>40047</v>
      </c>
      <c r="L4988" s="41" t="s">
        <v>4</v>
      </c>
    </row>
    <row r="4989" spans="1:19" x14ac:dyDescent="0.25">
      <c r="A4989" s="41" t="s">
        <v>23</v>
      </c>
      <c r="B4989" s="41" t="s">
        <v>40048</v>
      </c>
      <c r="D4989" s="41" t="s">
        <v>39881</v>
      </c>
      <c r="E4989" s="41" t="s">
        <v>40050</v>
      </c>
      <c r="F4989" s="41" t="s">
        <v>40051</v>
      </c>
      <c r="G4989" s="41" t="s">
        <v>40052</v>
      </c>
      <c r="H4989" s="41" t="s">
        <v>40053</v>
      </c>
      <c r="I4989" s="41" t="s">
        <v>40054</v>
      </c>
      <c r="J4989" s="41" t="s">
        <v>40055</v>
      </c>
      <c r="K4989" s="41" t="s">
        <v>40056</v>
      </c>
      <c r="L4989" s="41" t="s">
        <v>40057</v>
      </c>
      <c r="M4989" s="41" t="s">
        <v>40058</v>
      </c>
      <c r="N4989" s="41" t="s">
        <v>40059</v>
      </c>
      <c r="O4989" s="41" t="s">
        <v>40060</v>
      </c>
      <c r="P4989" s="41" t="s">
        <v>40061</v>
      </c>
      <c r="Q4989" s="41" t="s">
        <v>40062</v>
      </c>
      <c r="R4989" s="41" t="s">
        <v>40063</v>
      </c>
      <c r="S4989" s="41" t="s">
        <v>40064</v>
      </c>
    </row>
    <row r="4990" spans="1:19" x14ac:dyDescent="0.25">
      <c r="A4990" s="41" t="s">
        <v>23</v>
      </c>
      <c r="B4990" s="41" t="s">
        <v>40065</v>
      </c>
      <c r="D4990" s="41" t="s">
        <v>40066</v>
      </c>
      <c r="F4990" s="41" t="s">
        <v>40067</v>
      </c>
      <c r="G4990" s="41" t="s">
        <v>40068</v>
      </c>
      <c r="H4990" s="41" t="s">
        <v>40069</v>
      </c>
      <c r="I4990" s="41" t="s">
        <v>40070</v>
      </c>
      <c r="J4990" s="41" t="s">
        <v>40071</v>
      </c>
      <c r="K4990" s="41" t="s">
        <v>40072</v>
      </c>
      <c r="L4990" s="41" t="s">
        <v>891</v>
      </c>
    </row>
    <row r="4991" spans="1:19" x14ac:dyDescent="0.25">
      <c r="A4991" s="41" t="s">
        <v>23</v>
      </c>
      <c r="B4991" s="41" t="s">
        <v>40073</v>
      </c>
      <c r="D4991" s="41" t="s">
        <v>40074</v>
      </c>
      <c r="F4991" s="41" t="s">
        <v>40075</v>
      </c>
      <c r="G4991" s="41" t="s">
        <v>40076</v>
      </c>
      <c r="H4991" s="41" t="s">
        <v>40077</v>
      </c>
      <c r="I4991" s="41" t="s">
        <v>40078</v>
      </c>
      <c r="J4991" s="41" t="s">
        <v>40079</v>
      </c>
      <c r="K4991" s="41" t="s">
        <v>40080</v>
      </c>
      <c r="L4991" s="41" t="s">
        <v>1076</v>
      </c>
    </row>
    <row r="4992" spans="1:19" x14ac:dyDescent="0.25">
      <c r="A4992" s="41" t="s">
        <v>23</v>
      </c>
      <c r="B4992" s="41" t="s">
        <v>40081</v>
      </c>
      <c r="D4992" s="41" t="s">
        <v>40082</v>
      </c>
      <c r="F4992" s="41" t="s">
        <v>40083</v>
      </c>
      <c r="G4992" s="41" t="s">
        <v>40084</v>
      </c>
      <c r="H4992" s="41" t="s">
        <v>40085</v>
      </c>
      <c r="I4992" s="41" t="s">
        <v>40086</v>
      </c>
      <c r="J4992" s="41" t="s">
        <v>40087</v>
      </c>
      <c r="K4992" s="41" t="s">
        <v>40088</v>
      </c>
      <c r="L4992" s="41" t="s">
        <v>1085</v>
      </c>
    </row>
    <row r="4993" spans="1:19" x14ac:dyDescent="0.25">
      <c r="A4993" s="41" t="s">
        <v>23</v>
      </c>
      <c r="B4993" s="41" t="s">
        <v>40089</v>
      </c>
      <c r="D4993" s="41" t="s">
        <v>40090</v>
      </c>
      <c r="F4993" s="41" t="s">
        <v>40091</v>
      </c>
      <c r="G4993" s="41" t="s">
        <v>40092</v>
      </c>
      <c r="H4993" s="41" t="s">
        <v>40093</v>
      </c>
      <c r="I4993" s="41" t="s">
        <v>40094</v>
      </c>
      <c r="J4993" s="41" t="s">
        <v>40095</v>
      </c>
      <c r="K4993" s="41" t="s">
        <v>40096</v>
      </c>
      <c r="L4993" s="41" t="s">
        <v>1094</v>
      </c>
    </row>
    <row r="4994" spans="1:19" x14ac:dyDescent="0.25">
      <c r="A4994" s="41" t="s">
        <v>908</v>
      </c>
      <c r="B4994" s="41" t="s">
        <v>40097</v>
      </c>
    </row>
    <row r="4995" spans="1:19" x14ac:dyDescent="0.25">
      <c r="A4995" s="41" t="s">
        <v>23</v>
      </c>
      <c r="B4995" s="41" t="s">
        <v>40098</v>
      </c>
      <c r="F4995" s="41" t="s">
        <v>40099</v>
      </c>
      <c r="G4995" s="41" t="s">
        <v>40100</v>
      </c>
      <c r="H4995" s="41" t="s">
        <v>40101</v>
      </c>
      <c r="I4995" s="41" t="s">
        <v>40102</v>
      </c>
      <c r="J4995" s="41" t="s">
        <v>40103</v>
      </c>
      <c r="L4995" s="41" t="s">
        <v>4</v>
      </c>
    </row>
    <row r="4996" spans="1:19" x14ac:dyDescent="0.25">
      <c r="A4996" s="41" t="s">
        <v>23</v>
      </c>
      <c r="B4996" s="41" t="s">
        <v>40104</v>
      </c>
      <c r="D4996" s="41" t="s">
        <v>39937</v>
      </c>
      <c r="E4996" s="41" t="s">
        <v>40106</v>
      </c>
      <c r="F4996" s="41" t="s">
        <v>40107</v>
      </c>
      <c r="G4996" s="41" t="s">
        <v>40108</v>
      </c>
      <c r="H4996" s="41" t="s">
        <v>40109</v>
      </c>
      <c r="I4996" s="41" t="s">
        <v>40110</v>
      </c>
      <c r="J4996" s="41" t="s">
        <v>40111</v>
      </c>
      <c r="K4996" s="41" t="s">
        <v>40112</v>
      </c>
      <c r="L4996" s="41" t="s">
        <v>40113</v>
      </c>
      <c r="M4996" s="41" t="s">
        <v>40114</v>
      </c>
      <c r="N4996" s="41" t="s">
        <v>40115</v>
      </c>
      <c r="O4996" s="41" t="s">
        <v>40116</v>
      </c>
      <c r="P4996" s="41" t="s">
        <v>40117</v>
      </c>
      <c r="Q4996" s="41" t="s">
        <v>40118</v>
      </c>
      <c r="R4996" s="41" t="s">
        <v>40119</v>
      </c>
      <c r="S4996" s="41" t="s">
        <v>40120</v>
      </c>
    </row>
    <row r="4997" spans="1:19" x14ac:dyDescent="0.25">
      <c r="A4997" s="41" t="s">
        <v>23</v>
      </c>
      <c r="B4997" s="41" t="s">
        <v>40121</v>
      </c>
      <c r="D4997" s="41" t="s">
        <v>40122</v>
      </c>
      <c r="F4997" s="41" t="s">
        <v>40123</v>
      </c>
      <c r="G4997" s="41" t="s">
        <v>40124</v>
      </c>
      <c r="H4997" s="41" t="s">
        <v>40125</v>
      </c>
      <c r="I4997" s="41" t="s">
        <v>40126</v>
      </c>
      <c r="J4997" s="41" t="s">
        <v>40127</v>
      </c>
      <c r="K4997" s="41" t="s">
        <v>40128</v>
      </c>
      <c r="L4997" s="41" t="s">
        <v>891</v>
      </c>
    </row>
    <row r="4998" spans="1:19" x14ac:dyDescent="0.25">
      <c r="A4998" s="41" t="s">
        <v>23</v>
      </c>
      <c r="B4998" s="41" t="s">
        <v>40129</v>
      </c>
      <c r="D4998" s="41" t="s">
        <v>40130</v>
      </c>
      <c r="F4998" s="41" t="s">
        <v>40131</v>
      </c>
      <c r="G4998" s="41" t="s">
        <v>40132</v>
      </c>
      <c r="H4998" s="41" t="s">
        <v>40133</v>
      </c>
      <c r="I4998" s="41" t="s">
        <v>40134</v>
      </c>
      <c r="J4998" s="41" t="s">
        <v>40135</v>
      </c>
      <c r="K4998" s="41" t="s">
        <v>40136</v>
      </c>
      <c r="L4998" s="41" t="s">
        <v>1076</v>
      </c>
    </row>
    <row r="4999" spans="1:19" x14ac:dyDescent="0.25">
      <c r="A4999" s="41" t="s">
        <v>23</v>
      </c>
      <c r="B4999" s="41" t="s">
        <v>40137</v>
      </c>
      <c r="D4999" s="41" t="s">
        <v>40138</v>
      </c>
      <c r="F4999" s="41" t="s">
        <v>40139</v>
      </c>
      <c r="G4999" s="41" t="s">
        <v>40140</v>
      </c>
      <c r="H4999" s="41" t="s">
        <v>40141</v>
      </c>
      <c r="I4999" s="41" t="s">
        <v>40142</v>
      </c>
      <c r="J4999" s="41" t="s">
        <v>40143</v>
      </c>
      <c r="K4999" s="41" t="s">
        <v>40144</v>
      </c>
      <c r="L4999" s="41" t="s">
        <v>1085</v>
      </c>
    </row>
    <row r="5000" spans="1:19" x14ac:dyDescent="0.25">
      <c r="A5000" s="41" t="s">
        <v>23</v>
      </c>
      <c r="B5000" s="41" t="s">
        <v>40145</v>
      </c>
      <c r="D5000" s="41" t="s">
        <v>40146</v>
      </c>
      <c r="F5000" s="41" t="s">
        <v>40147</v>
      </c>
      <c r="G5000" s="41" t="s">
        <v>40148</v>
      </c>
      <c r="H5000" s="41" t="s">
        <v>40149</v>
      </c>
      <c r="I5000" s="41" t="s">
        <v>40150</v>
      </c>
      <c r="J5000" s="41" t="s">
        <v>40151</v>
      </c>
      <c r="K5000" s="41" t="s">
        <v>40152</v>
      </c>
      <c r="L5000" s="41" t="s">
        <v>1094</v>
      </c>
    </row>
    <row r="5001" spans="1:19" x14ac:dyDescent="0.25">
      <c r="A5001" s="41" t="s">
        <v>908</v>
      </c>
      <c r="B5001" s="41" t="s">
        <v>40153</v>
      </c>
    </row>
    <row r="5002" spans="1:19" x14ac:dyDescent="0.25">
      <c r="A5002" s="41" t="s">
        <v>23</v>
      </c>
      <c r="B5002" s="41" t="s">
        <v>40154</v>
      </c>
      <c r="F5002" s="41" t="s">
        <v>40155</v>
      </c>
      <c r="G5002" s="41" t="s">
        <v>40156</v>
      </c>
      <c r="H5002" s="41" t="s">
        <v>40157</v>
      </c>
      <c r="I5002" s="41" t="s">
        <v>40158</v>
      </c>
      <c r="J5002" s="41" t="s">
        <v>40159</v>
      </c>
      <c r="L5002" s="41" t="s">
        <v>4</v>
      </c>
    </row>
    <row r="5003" spans="1:19" x14ac:dyDescent="0.25">
      <c r="A5003" s="41" t="s">
        <v>23</v>
      </c>
      <c r="B5003" s="41" t="s">
        <v>40160</v>
      </c>
      <c r="D5003" s="41" t="s">
        <v>39993</v>
      </c>
      <c r="E5003" s="41" t="s">
        <v>40162</v>
      </c>
      <c r="F5003" s="41" t="s">
        <v>40163</v>
      </c>
      <c r="G5003" s="41" t="s">
        <v>40164</v>
      </c>
      <c r="H5003" s="41" t="s">
        <v>40165</v>
      </c>
      <c r="I5003" s="41" t="s">
        <v>40166</v>
      </c>
      <c r="J5003" s="41" t="s">
        <v>40167</v>
      </c>
      <c r="K5003" s="41" t="s">
        <v>40168</v>
      </c>
      <c r="L5003" s="41" t="s">
        <v>40169</v>
      </c>
      <c r="M5003" s="41" t="s">
        <v>40170</v>
      </c>
      <c r="N5003" s="41" t="s">
        <v>40171</v>
      </c>
      <c r="O5003" s="41" t="s">
        <v>40172</v>
      </c>
      <c r="P5003" s="41" t="s">
        <v>40173</v>
      </c>
      <c r="Q5003" s="41" t="s">
        <v>40174</v>
      </c>
      <c r="R5003" s="41" t="s">
        <v>40175</v>
      </c>
      <c r="S5003" s="41" t="s">
        <v>40176</v>
      </c>
    </row>
    <row r="5004" spans="1:19" x14ac:dyDescent="0.25">
      <c r="A5004" s="41" t="s">
        <v>23</v>
      </c>
      <c r="B5004" s="41" t="s">
        <v>40177</v>
      </c>
      <c r="D5004" s="41" t="s">
        <v>40178</v>
      </c>
      <c r="F5004" s="41" t="s">
        <v>40179</v>
      </c>
      <c r="G5004" s="41" t="s">
        <v>40180</v>
      </c>
      <c r="H5004" s="41" t="s">
        <v>40181</v>
      </c>
      <c r="I5004" s="41" t="s">
        <v>40182</v>
      </c>
      <c r="J5004" s="41" t="s">
        <v>40183</v>
      </c>
      <c r="K5004" s="41" t="s">
        <v>40184</v>
      </c>
      <c r="L5004" s="41" t="s">
        <v>891</v>
      </c>
    </row>
    <row r="5005" spans="1:19" x14ac:dyDescent="0.25">
      <c r="A5005" s="41" t="s">
        <v>23</v>
      </c>
      <c r="B5005" s="41" t="s">
        <v>40185</v>
      </c>
      <c r="D5005" s="41" t="s">
        <v>40186</v>
      </c>
      <c r="F5005" s="41" t="s">
        <v>40187</v>
      </c>
      <c r="G5005" s="41" t="s">
        <v>40188</v>
      </c>
      <c r="H5005" s="41" t="s">
        <v>40189</v>
      </c>
      <c r="I5005" s="41" t="s">
        <v>40190</v>
      </c>
      <c r="J5005" s="41" t="s">
        <v>40191</v>
      </c>
      <c r="K5005" s="41" t="s">
        <v>40192</v>
      </c>
      <c r="L5005" s="41" t="s">
        <v>1076</v>
      </c>
    </row>
    <row r="5006" spans="1:19" x14ac:dyDescent="0.25">
      <c r="A5006" s="41" t="s">
        <v>23</v>
      </c>
      <c r="B5006" s="41" t="s">
        <v>40193</v>
      </c>
      <c r="D5006" s="41" t="s">
        <v>40194</v>
      </c>
      <c r="F5006" s="41" t="s">
        <v>40195</v>
      </c>
      <c r="G5006" s="41" t="s">
        <v>40196</v>
      </c>
      <c r="H5006" s="41" t="s">
        <v>40197</v>
      </c>
      <c r="I5006" s="41" t="s">
        <v>40198</v>
      </c>
      <c r="J5006" s="41" t="s">
        <v>40199</v>
      </c>
      <c r="K5006" s="41" t="s">
        <v>40200</v>
      </c>
      <c r="L5006" s="41" t="s">
        <v>1085</v>
      </c>
    </row>
    <row r="5007" spans="1:19" x14ac:dyDescent="0.25">
      <c r="A5007" s="41" t="s">
        <v>23</v>
      </c>
      <c r="B5007" s="41" t="s">
        <v>40201</v>
      </c>
      <c r="D5007" s="41" t="s">
        <v>40202</v>
      </c>
      <c r="F5007" s="41" t="s">
        <v>40203</v>
      </c>
      <c r="G5007" s="41" t="s">
        <v>40204</v>
      </c>
      <c r="H5007" s="41" t="s">
        <v>40205</v>
      </c>
      <c r="I5007" s="41" t="s">
        <v>40206</v>
      </c>
      <c r="J5007" s="41" t="s">
        <v>40207</v>
      </c>
      <c r="K5007" s="41" t="s">
        <v>40208</v>
      </c>
      <c r="L5007" s="41" t="s">
        <v>1094</v>
      </c>
    </row>
    <row r="5008" spans="1:19" x14ac:dyDescent="0.25">
      <c r="A5008" s="41" t="s">
        <v>908</v>
      </c>
      <c r="B5008" s="41" t="s">
        <v>40209</v>
      </c>
    </row>
    <row r="5009" spans="1:19" x14ac:dyDescent="0.25">
      <c r="A5009" s="41" t="s">
        <v>23</v>
      </c>
      <c r="B5009" s="41" t="s">
        <v>40210</v>
      </c>
      <c r="F5009" s="41" t="s">
        <v>40211</v>
      </c>
      <c r="G5009" s="41" t="s">
        <v>40212</v>
      </c>
      <c r="H5009" s="41" t="s">
        <v>40213</v>
      </c>
      <c r="I5009" s="41" t="s">
        <v>40214</v>
      </c>
      <c r="J5009" s="41" t="s">
        <v>40215</v>
      </c>
      <c r="L5009" s="41" t="s">
        <v>4</v>
      </c>
    </row>
    <row r="5010" spans="1:19" x14ac:dyDescent="0.25">
      <c r="A5010" s="41" t="s">
        <v>23</v>
      </c>
      <c r="B5010" s="41" t="s">
        <v>40216</v>
      </c>
      <c r="D5010" s="41" t="s">
        <v>40049</v>
      </c>
      <c r="E5010" s="41" t="s">
        <v>40218</v>
      </c>
      <c r="F5010" s="41" t="s">
        <v>40219</v>
      </c>
      <c r="G5010" s="41" t="s">
        <v>40220</v>
      </c>
      <c r="H5010" s="41" t="s">
        <v>40221</v>
      </c>
      <c r="I5010" s="41" t="s">
        <v>40222</v>
      </c>
      <c r="J5010" s="41" t="s">
        <v>40223</v>
      </c>
      <c r="K5010" s="41" t="s">
        <v>40224</v>
      </c>
      <c r="L5010" s="41" t="s">
        <v>40225</v>
      </c>
      <c r="M5010" s="41" t="s">
        <v>40226</v>
      </c>
      <c r="N5010" s="41" t="s">
        <v>40227</v>
      </c>
      <c r="O5010" s="41" t="s">
        <v>40228</v>
      </c>
      <c r="P5010" s="41" t="s">
        <v>40229</v>
      </c>
      <c r="Q5010" s="41" t="s">
        <v>40230</v>
      </c>
      <c r="R5010" s="41" t="s">
        <v>40231</v>
      </c>
      <c r="S5010" s="41" t="s">
        <v>40232</v>
      </c>
    </row>
    <row r="5011" spans="1:19" x14ac:dyDescent="0.25">
      <c r="A5011" s="41" t="s">
        <v>23</v>
      </c>
      <c r="B5011" s="41" t="s">
        <v>40233</v>
      </c>
      <c r="D5011" s="41" t="s">
        <v>40234</v>
      </c>
      <c r="F5011" s="41" t="s">
        <v>40235</v>
      </c>
      <c r="G5011" s="41" t="s">
        <v>40236</v>
      </c>
      <c r="H5011" s="41" t="s">
        <v>40237</v>
      </c>
      <c r="I5011" s="41" t="s">
        <v>40238</v>
      </c>
      <c r="J5011" s="41" t="s">
        <v>40239</v>
      </c>
      <c r="K5011" s="41" t="s">
        <v>40240</v>
      </c>
      <c r="L5011" s="41" t="s">
        <v>891</v>
      </c>
    </row>
    <row r="5012" spans="1:19" x14ac:dyDescent="0.25">
      <c r="A5012" s="41" t="s">
        <v>23</v>
      </c>
      <c r="B5012" s="41" t="s">
        <v>40241</v>
      </c>
      <c r="D5012" s="41" t="s">
        <v>40242</v>
      </c>
      <c r="F5012" s="41" t="s">
        <v>40243</v>
      </c>
      <c r="G5012" s="41" t="s">
        <v>40244</v>
      </c>
      <c r="H5012" s="41" t="s">
        <v>40245</v>
      </c>
      <c r="I5012" s="41" t="s">
        <v>40246</v>
      </c>
      <c r="J5012" s="41" t="s">
        <v>40247</v>
      </c>
      <c r="K5012" s="41" t="s">
        <v>40248</v>
      </c>
      <c r="L5012" s="41" t="s">
        <v>1076</v>
      </c>
    </row>
    <row r="5013" spans="1:19" x14ac:dyDescent="0.25">
      <c r="A5013" s="41" t="s">
        <v>23</v>
      </c>
      <c r="B5013" s="41" t="s">
        <v>40249</v>
      </c>
      <c r="D5013" s="41" t="s">
        <v>40250</v>
      </c>
      <c r="F5013" s="41" t="s">
        <v>40251</v>
      </c>
      <c r="G5013" s="41" t="s">
        <v>40252</v>
      </c>
      <c r="H5013" s="41" t="s">
        <v>40253</v>
      </c>
      <c r="I5013" s="41" t="s">
        <v>40254</v>
      </c>
      <c r="J5013" s="41" t="s">
        <v>40255</v>
      </c>
      <c r="K5013" s="41" t="s">
        <v>40256</v>
      </c>
      <c r="L5013" s="41" t="s">
        <v>1085</v>
      </c>
    </row>
    <row r="5014" spans="1:19" x14ac:dyDescent="0.25">
      <c r="A5014" s="41" t="s">
        <v>23</v>
      </c>
      <c r="B5014" s="41" t="s">
        <v>40257</v>
      </c>
      <c r="D5014" s="41" t="s">
        <v>40258</v>
      </c>
      <c r="F5014" s="41" t="s">
        <v>40259</v>
      </c>
      <c r="G5014" s="41" t="s">
        <v>40260</v>
      </c>
      <c r="H5014" s="41" t="s">
        <v>40261</v>
      </c>
      <c r="I5014" s="41" t="s">
        <v>40262</v>
      </c>
      <c r="J5014" s="41" t="s">
        <v>40263</v>
      </c>
      <c r="K5014" s="41" t="s">
        <v>40264</v>
      </c>
      <c r="L5014" s="41" t="s">
        <v>1094</v>
      </c>
    </row>
    <row r="5015" spans="1:19" x14ac:dyDescent="0.25">
      <c r="A5015" s="41" t="s">
        <v>908</v>
      </c>
      <c r="B5015" s="41" t="s">
        <v>40265</v>
      </c>
    </row>
    <row r="5016" spans="1:19" x14ac:dyDescent="0.25">
      <c r="A5016" s="41" t="s">
        <v>23</v>
      </c>
      <c r="B5016" s="41" t="s">
        <v>40266</v>
      </c>
      <c r="F5016" s="41" t="s">
        <v>40267</v>
      </c>
      <c r="G5016" s="41" t="s">
        <v>40268</v>
      </c>
      <c r="H5016" s="41" t="s">
        <v>40269</v>
      </c>
      <c r="I5016" s="41" t="s">
        <v>40270</v>
      </c>
      <c r="J5016" s="41" t="s">
        <v>40271</v>
      </c>
      <c r="L5016" s="41" t="s">
        <v>4</v>
      </c>
    </row>
    <row r="5017" spans="1:19" x14ac:dyDescent="0.25">
      <c r="A5017" s="41" t="s">
        <v>23</v>
      </c>
      <c r="B5017" s="41" t="s">
        <v>40272</v>
      </c>
      <c r="D5017" s="41" t="s">
        <v>40105</v>
      </c>
      <c r="E5017" s="41" t="s">
        <v>40274</v>
      </c>
      <c r="F5017" s="41" t="s">
        <v>40275</v>
      </c>
      <c r="G5017" s="41" t="s">
        <v>40276</v>
      </c>
      <c r="H5017" s="41" t="s">
        <v>40277</v>
      </c>
      <c r="I5017" s="41" t="s">
        <v>40278</v>
      </c>
      <c r="J5017" s="41" t="s">
        <v>40279</v>
      </c>
      <c r="K5017" s="41" t="s">
        <v>40280</v>
      </c>
      <c r="L5017" s="41" t="s">
        <v>40281</v>
      </c>
      <c r="M5017" s="41" t="s">
        <v>40282</v>
      </c>
      <c r="N5017" s="41" t="s">
        <v>40283</v>
      </c>
      <c r="O5017" s="41" t="s">
        <v>40284</v>
      </c>
      <c r="P5017" s="41" t="s">
        <v>40285</v>
      </c>
      <c r="Q5017" s="41" t="s">
        <v>40286</v>
      </c>
      <c r="R5017" s="41" t="s">
        <v>40287</v>
      </c>
      <c r="S5017" s="41" t="s">
        <v>40288</v>
      </c>
    </row>
    <row r="5018" spans="1:19" x14ac:dyDescent="0.25">
      <c r="A5018" s="41" t="s">
        <v>23</v>
      </c>
      <c r="B5018" s="41" t="s">
        <v>40289</v>
      </c>
      <c r="D5018" s="41" t="s">
        <v>40290</v>
      </c>
      <c r="F5018" s="41" t="s">
        <v>40291</v>
      </c>
      <c r="G5018" s="41" t="s">
        <v>40292</v>
      </c>
      <c r="H5018" s="41" t="s">
        <v>40293</v>
      </c>
      <c r="I5018" s="41" t="s">
        <v>40294</v>
      </c>
      <c r="J5018" s="41" t="s">
        <v>40295</v>
      </c>
      <c r="K5018" s="41" t="s">
        <v>40296</v>
      </c>
      <c r="L5018" s="41" t="s">
        <v>891</v>
      </c>
    </row>
    <row r="5019" spans="1:19" x14ac:dyDescent="0.25">
      <c r="A5019" s="41" t="s">
        <v>23</v>
      </c>
      <c r="B5019" s="41" t="s">
        <v>40297</v>
      </c>
      <c r="D5019" s="41" t="s">
        <v>40298</v>
      </c>
      <c r="F5019" s="41" t="s">
        <v>40299</v>
      </c>
      <c r="G5019" s="41" t="s">
        <v>40300</v>
      </c>
      <c r="H5019" s="41" t="s">
        <v>40301</v>
      </c>
      <c r="I5019" s="41" t="s">
        <v>40302</v>
      </c>
      <c r="J5019" s="41" t="s">
        <v>40303</v>
      </c>
      <c r="K5019" s="41" t="s">
        <v>40304</v>
      </c>
      <c r="L5019" s="41" t="s">
        <v>1076</v>
      </c>
    </row>
    <row r="5020" spans="1:19" x14ac:dyDescent="0.25">
      <c r="A5020" s="41" t="s">
        <v>23</v>
      </c>
      <c r="B5020" s="41" t="s">
        <v>40305</v>
      </c>
      <c r="D5020" s="41" t="s">
        <v>40306</v>
      </c>
      <c r="F5020" s="41" t="s">
        <v>40307</v>
      </c>
      <c r="G5020" s="41" t="s">
        <v>40308</v>
      </c>
      <c r="H5020" s="41" t="s">
        <v>40309</v>
      </c>
      <c r="I5020" s="41" t="s">
        <v>40310</v>
      </c>
      <c r="J5020" s="41" t="s">
        <v>40311</v>
      </c>
      <c r="K5020" s="41" t="s">
        <v>40312</v>
      </c>
      <c r="L5020" s="41" t="s">
        <v>1085</v>
      </c>
    </row>
    <row r="5021" spans="1:19" x14ac:dyDescent="0.25">
      <c r="A5021" s="41" t="s">
        <v>23</v>
      </c>
      <c r="B5021" s="41" t="s">
        <v>40313</v>
      </c>
      <c r="D5021" s="41" t="s">
        <v>40314</v>
      </c>
      <c r="F5021" s="41" t="s">
        <v>40315</v>
      </c>
      <c r="G5021" s="41" t="s">
        <v>40316</v>
      </c>
      <c r="H5021" s="41" t="s">
        <v>40317</v>
      </c>
      <c r="I5021" s="41" t="s">
        <v>40318</v>
      </c>
      <c r="J5021" s="41" t="s">
        <v>40319</v>
      </c>
      <c r="K5021" s="41" t="s">
        <v>40320</v>
      </c>
      <c r="L5021" s="41" t="s">
        <v>1094</v>
      </c>
    </row>
    <row r="5022" spans="1:19" x14ac:dyDescent="0.25">
      <c r="A5022" s="41" t="s">
        <v>908</v>
      </c>
      <c r="B5022" s="41" t="s">
        <v>40321</v>
      </c>
    </row>
    <row r="5023" spans="1:19" x14ac:dyDescent="0.25">
      <c r="A5023" s="41" t="s">
        <v>23</v>
      </c>
      <c r="B5023" s="41" t="s">
        <v>40322</v>
      </c>
      <c r="F5023" s="41" t="s">
        <v>40323</v>
      </c>
      <c r="G5023" s="41" t="s">
        <v>40324</v>
      </c>
      <c r="H5023" s="41" t="s">
        <v>40325</v>
      </c>
      <c r="I5023" s="41" t="s">
        <v>40326</v>
      </c>
      <c r="J5023" s="41" t="s">
        <v>40327</v>
      </c>
      <c r="L5023" s="41" t="s">
        <v>4</v>
      </c>
    </row>
    <row r="5024" spans="1:19" x14ac:dyDescent="0.25">
      <c r="A5024" s="41" t="s">
        <v>23</v>
      </c>
      <c r="B5024" s="41" t="s">
        <v>40328</v>
      </c>
      <c r="D5024" s="41" t="s">
        <v>40161</v>
      </c>
      <c r="E5024" s="41" t="s">
        <v>40330</v>
      </c>
      <c r="F5024" s="41" t="s">
        <v>40331</v>
      </c>
      <c r="G5024" s="41" t="s">
        <v>40332</v>
      </c>
      <c r="H5024" s="41" t="s">
        <v>40333</v>
      </c>
      <c r="I5024" s="41" t="s">
        <v>40334</v>
      </c>
      <c r="J5024" s="41" t="s">
        <v>40335</v>
      </c>
      <c r="K5024" s="41" t="s">
        <v>40336</v>
      </c>
      <c r="L5024" s="41" t="s">
        <v>40337</v>
      </c>
      <c r="M5024" s="41" t="s">
        <v>40338</v>
      </c>
      <c r="N5024" s="41" t="s">
        <v>40339</v>
      </c>
      <c r="O5024" s="41" t="s">
        <v>40340</v>
      </c>
      <c r="P5024" s="41" t="s">
        <v>40341</v>
      </c>
      <c r="Q5024" s="41" t="s">
        <v>40342</v>
      </c>
      <c r="R5024" s="41" t="s">
        <v>40343</v>
      </c>
      <c r="S5024" s="41" t="s">
        <v>40344</v>
      </c>
    </row>
    <row r="5025" spans="1:19" x14ac:dyDescent="0.25">
      <c r="A5025" s="41" t="s">
        <v>23</v>
      </c>
      <c r="B5025" s="41" t="s">
        <v>40345</v>
      </c>
      <c r="D5025" s="41" t="s">
        <v>40346</v>
      </c>
      <c r="F5025" s="41" t="s">
        <v>40347</v>
      </c>
      <c r="G5025" s="41" t="s">
        <v>40348</v>
      </c>
      <c r="H5025" s="41" t="s">
        <v>40349</v>
      </c>
      <c r="I5025" s="41" t="s">
        <v>40350</v>
      </c>
      <c r="J5025" s="41" t="s">
        <v>40351</v>
      </c>
      <c r="K5025" s="41" t="s">
        <v>40352</v>
      </c>
      <c r="L5025" s="41" t="s">
        <v>891</v>
      </c>
    </row>
    <row r="5026" spans="1:19" x14ac:dyDescent="0.25">
      <c r="A5026" s="41" t="s">
        <v>23</v>
      </c>
      <c r="B5026" s="41" t="s">
        <v>40353</v>
      </c>
      <c r="D5026" s="41" t="s">
        <v>40354</v>
      </c>
      <c r="F5026" s="41" t="s">
        <v>40355</v>
      </c>
      <c r="G5026" s="41" t="s">
        <v>40356</v>
      </c>
      <c r="H5026" s="41" t="s">
        <v>40357</v>
      </c>
      <c r="I5026" s="41" t="s">
        <v>40358</v>
      </c>
      <c r="J5026" s="41" t="s">
        <v>40359</v>
      </c>
      <c r="K5026" s="41" t="s">
        <v>40360</v>
      </c>
      <c r="L5026" s="41" t="s">
        <v>1076</v>
      </c>
    </row>
    <row r="5027" spans="1:19" x14ac:dyDescent="0.25">
      <c r="A5027" s="41" t="s">
        <v>23</v>
      </c>
      <c r="B5027" s="41" t="s">
        <v>40361</v>
      </c>
      <c r="D5027" s="41" t="s">
        <v>40362</v>
      </c>
      <c r="F5027" s="41" t="s">
        <v>40363</v>
      </c>
      <c r="G5027" s="41" t="s">
        <v>40364</v>
      </c>
      <c r="H5027" s="41" t="s">
        <v>40365</v>
      </c>
      <c r="I5027" s="41" t="s">
        <v>40366</v>
      </c>
      <c r="J5027" s="41" t="s">
        <v>40367</v>
      </c>
      <c r="K5027" s="41" t="s">
        <v>40368</v>
      </c>
      <c r="L5027" s="41" t="s">
        <v>1085</v>
      </c>
    </row>
    <row r="5028" spans="1:19" x14ac:dyDescent="0.25">
      <c r="A5028" s="41" t="s">
        <v>23</v>
      </c>
      <c r="B5028" s="41" t="s">
        <v>40369</v>
      </c>
      <c r="D5028" s="41" t="s">
        <v>40370</v>
      </c>
      <c r="F5028" s="41" t="s">
        <v>40371</v>
      </c>
      <c r="G5028" s="41" t="s">
        <v>40372</v>
      </c>
      <c r="H5028" s="41" t="s">
        <v>40373</v>
      </c>
      <c r="I5028" s="41" t="s">
        <v>40374</v>
      </c>
      <c r="J5028" s="41" t="s">
        <v>40375</v>
      </c>
      <c r="K5028" s="41" t="s">
        <v>40376</v>
      </c>
      <c r="L5028" s="41" t="s">
        <v>1094</v>
      </c>
    </row>
    <row r="5029" spans="1:19" x14ac:dyDescent="0.25">
      <c r="A5029" s="41" t="s">
        <v>908</v>
      </c>
      <c r="B5029" s="41" t="s">
        <v>40377</v>
      </c>
    </row>
    <row r="5030" spans="1:19" x14ac:dyDescent="0.25">
      <c r="A5030" s="41" t="s">
        <v>23</v>
      </c>
      <c r="B5030" s="41" t="s">
        <v>40378</v>
      </c>
      <c r="F5030" s="41" t="s">
        <v>40379</v>
      </c>
      <c r="G5030" s="41" t="s">
        <v>40380</v>
      </c>
      <c r="H5030" s="41" t="s">
        <v>40381</v>
      </c>
      <c r="I5030" s="41" t="s">
        <v>40382</v>
      </c>
      <c r="J5030" s="41" t="s">
        <v>40383</v>
      </c>
      <c r="L5030" s="41" t="s">
        <v>4</v>
      </c>
    </row>
    <row r="5031" spans="1:19" x14ac:dyDescent="0.25">
      <c r="A5031" s="41" t="s">
        <v>23</v>
      </c>
      <c r="B5031" s="41" t="s">
        <v>40384</v>
      </c>
      <c r="D5031" s="41" t="s">
        <v>40217</v>
      </c>
      <c r="E5031" s="41" t="s">
        <v>40386</v>
      </c>
      <c r="F5031" s="41" t="s">
        <v>40387</v>
      </c>
      <c r="G5031" s="41" t="s">
        <v>40388</v>
      </c>
      <c r="H5031" s="41" t="s">
        <v>40389</v>
      </c>
      <c r="I5031" s="41" t="s">
        <v>40390</v>
      </c>
      <c r="J5031" s="41" t="s">
        <v>40391</v>
      </c>
      <c r="K5031" s="41" t="s">
        <v>40392</v>
      </c>
      <c r="L5031" s="41" t="s">
        <v>40393</v>
      </c>
      <c r="M5031" s="41" t="s">
        <v>40394</v>
      </c>
      <c r="N5031" s="41" t="s">
        <v>40395</v>
      </c>
      <c r="O5031" s="41" t="s">
        <v>40396</v>
      </c>
      <c r="P5031" s="41" t="s">
        <v>40397</v>
      </c>
      <c r="Q5031" s="41" t="s">
        <v>40398</v>
      </c>
      <c r="R5031" s="41" t="s">
        <v>40399</v>
      </c>
      <c r="S5031" s="41" t="s">
        <v>40400</v>
      </c>
    </row>
    <row r="5032" spans="1:19" x14ac:dyDescent="0.25">
      <c r="A5032" s="41" t="s">
        <v>23</v>
      </c>
      <c r="B5032" s="41" t="s">
        <v>40401</v>
      </c>
      <c r="D5032" s="41" t="s">
        <v>40402</v>
      </c>
      <c r="F5032" s="41" t="s">
        <v>40403</v>
      </c>
      <c r="G5032" s="41" t="s">
        <v>40404</v>
      </c>
      <c r="H5032" s="41" t="s">
        <v>40405</v>
      </c>
      <c r="I5032" s="41" t="s">
        <v>40406</v>
      </c>
      <c r="J5032" s="41" t="s">
        <v>40407</v>
      </c>
      <c r="K5032" s="41" t="s">
        <v>40408</v>
      </c>
      <c r="L5032" s="41" t="s">
        <v>891</v>
      </c>
    </row>
    <row r="5033" spans="1:19" x14ac:dyDescent="0.25">
      <c r="A5033" s="41" t="s">
        <v>23</v>
      </c>
      <c r="B5033" s="41" t="s">
        <v>40409</v>
      </c>
      <c r="D5033" s="41" t="s">
        <v>40410</v>
      </c>
      <c r="F5033" s="41" t="s">
        <v>40411</v>
      </c>
      <c r="G5033" s="41" t="s">
        <v>40412</v>
      </c>
      <c r="H5033" s="41" t="s">
        <v>40413</v>
      </c>
      <c r="I5033" s="41" t="s">
        <v>40414</v>
      </c>
      <c r="J5033" s="41" t="s">
        <v>40415</v>
      </c>
      <c r="K5033" s="41" t="s">
        <v>40416</v>
      </c>
      <c r="L5033" s="41" t="s">
        <v>1076</v>
      </c>
    </row>
    <row r="5034" spans="1:19" x14ac:dyDescent="0.25">
      <c r="A5034" s="41" t="s">
        <v>23</v>
      </c>
      <c r="B5034" s="41" t="s">
        <v>40417</v>
      </c>
      <c r="D5034" s="41" t="s">
        <v>40418</v>
      </c>
      <c r="F5034" s="41" t="s">
        <v>40419</v>
      </c>
      <c r="G5034" s="41" t="s">
        <v>40420</v>
      </c>
      <c r="H5034" s="41" t="s">
        <v>40421</v>
      </c>
      <c r="I5034" s="41" t="s">
        <v>40422</v>
      </c>
      <c r="J5034" s="41" t="s">
        <v>40423</v>
      </c>
      <c r="K5034" s="41" t="s">
        <v>40424</v>
      </c>
      <c r="L5034" s="41" t="s">
        <v>1085</v>
      </c>
    </row>
    <row r="5035" spans="1:19" x14ac:dyDescent="0.25">
      <c r="A5035" s="41" t="s">
        <v>23</v>
      </c>
      <c r="B5035" s="41" t="s">
        <v>40425</v>
      </c>
      <c r="D5035" s="41" t="s">
        <v>40426</v>
      </c>
      <c r="F5035" s="41" t="s">
        <v>40427</v>
      </c>
      <c r="G5035" s="41" t="s">
        <v>40428</v>
      </c>
      <c r="H5035" s="41" t="s">
        <v>40429</v>
      </c>
      <c r="I5035" s="41" t="s">
        <v>40430</v>
      </c>
      <c r="J5035" s="41" t="s">
        <v>40431</v>
      </c>
      <c r="K5035" s="41" t="s">
        <v>40432</v>
      </c>
      <c r="L5035" s="41" t="s">
        <v>1094</v>
      </c>
    </row>
    <row r="5036" spans="1:19" x14ac:dyDescent="0.25">
      <c r="A5036" s="41" t="s">
        <v>908</v>
      </c>
      <c r="B5036" s="41" t="s">
        <v>40433</v>
      </c>
    </row>
    <row r="5037" spans="1:19" x14ac:dyDescent="0.25">
      <c r="A5037" s="41" t="s">
        <v>23</v>
      </c>
      <c r="B5037" s="41" t="s">
        <v>40434</v>
      </c>
      <c r="F5037" s="41" t="s">
        <v>40435</v>
      </c>
      <c r="G5037" s="41" t="s">
        <v>40436</v>
      </c>
      <c r="H5037" s="41" t="s">
        <v>40437</v>
      </c>
      <c r="I5037" s="41" t="s">
        <v>40438</v>
      </c>
      <c r="J5037" s="41" t="s">
        <v>40439</v>
      </c>
      <c r="L5037" s="41" t="s">
        <v>4</v>
      </c>
    </row>
    <row r="5038" spans="1:19" x14ac:dyDescent="0.25">
      <c r="A5038" s="41" t="s">
        <v>23</v>
      </c>
      <c r="B5038" s="41" t="s">
        <v>40440</v>
      </c>
      <c r="D5038" s="41" t="s">
        <v>40273</v>
      </c>
      <c r="E5038" s="41" t="s">
        <v>40442</v>
      </c>
      <c r="F5038" s="41" t="s">
        <v>40443</v>
      </c>
      <c r="G5038" s="41" t="s">
        <v>40444</v>
      </c>
      <c r="H5038" s="41" t="s">
        <v>40445</v>
      </c>
      <c r="I5038" s="41" t="s">
        <v>40446</v>
      </c>
      <c r="J5038" s="41" t="s">
        <v>40447</v>
      </c>
      <c r="K5038" s="41" t="s">
        <v>40448</v>
      </c>
      <c r="L5038" s="41" t="s">
        <v>40449</v>
      </c>
      <c r="M5038" s="41" t="s">
        <v>40450</v>
      </c>
      <c r="N5038" s="41" t="s">
        <v>40451</v>
      </c>
      <c r="O5038" s="41" t="s">
        <v>40452</v>
      </c>
      <c r="P5038" s="41" t="s">
        <v>40453</v>
      </c>
      <c r="Q5038" s="41" t="s">
        <v>40454</v>
      </c>
      <c r="R5038" s="41" t="s">
        <v>40455</v>
      </c>
      <c r="S5038" s="41" t="s">
        <v>40456</v>
      </c>
    </row>
    <row r="5039" spans="1:19" x14ac:dyDescent="0.25">
      <c r="A5039" s="41" t="s">
        <v>23</v>
      </c>
      <c r="B5039" s="41" t="s">
        <v>40457</v>
      </c>
      <c r="D5039" s="41" t="s">
        <v>40458</v>
      </c>
      <c r="F5039" s="41" t="s">
        <v>40459</v>
      </c>
      <c r="G5039" s="41" t="s">
        <v>40460</v>
      </c>
      <c r="H5039" s="41" t="s">
        <v>40461</v>
      </c>
      <c r="I5039" s="41" t="s">
        <v>40462</v>
      </c>
      <c r="J5039" s="41" t="s">
        <v>40463</v>
      </c>
      <c r="K5039" s="41" t="s">
        <v>40464</v>
      </c>
      <c r="L5039" s="41" t="s">
        <v>891</v>
      </c>
    </row>
    <row r="5040" spans="1:19" x14ac:dyDescent="0.25">
      <c r="A5040" s="41" t="s">
        <v>23</v>
      </c>
      <c r="B5040" s="41" t="s">
        <v>40465</v>
      </c>
      <c r="D5040" s="41" t="s">
        <v>40466</v>
      </c>
      <c r="F5040" s="41" t="s">
        <v>40467</v>
      </c>
      <c r="G5040" s="41" t="s">
        <v>40468</v>
      </c>
      <c r="H5040" s="41" t="s">
        <v>40469</v>
      </c>
      <c r="I5040" s="41" t="s">
        <v>40470</v>
      </c>
      <c r="J5040" s="41" t="s">
        <v>40471</v>
      </c>
      <c r="K5040" s="41" t="s">
        <v>40472</v>
      </c>
      <c r="L5040" s="41" t="s">
        <v>1076</v>
      </c>
    </row>
    <row r="5041" spans="1:19" x14ac:dyDescent="0.25">
      <c r="A5041" s="41" t="s">
        <v>23</v>
      </c>
      <c r="B5041" s="41" t="s">
        <v>40473</v>
      </c>
      <c r="D5041" s="41" t="s">
        <v>40474</v>
      </c>
      <c r="F5041" s="41" t="s">
        <v>40475</v>
      </c>
      <c r="G5041" s="41" t="s">
        <v>40476</v>
      </c>
      <c r="H5041" s="41" t="s">
        <v>40477</v>
      </c>
      <c r="I5041" s="41" t="s">
        <v>40478</v>
      </c>
      <c r="J5041" s="41" t="s">
        <v>40479</v>
      </c>
      <c r="K5041" s="41" t="s">
        <v>40480</v>
      </c>
      <c r="L5041" s="41" t="s">
        <v>1085</v>
      </c>
    </row>
    <row r="5042" spans="1:19" x14ac:dyDescent="0.25">
      <c r="A5042" s="41" t="s">
        <v>23</v>
      </c>
      <c r="B5042" s="41" t="s">
        <v>40481</v>
      </c>
      <c r="D5042" s="41" t="s">
        <v>40482</v>
      </c>
      <c r="F5042" s="41" t="s">
        <v>40483</v>
      </c>
      <c r="G5042" s="41" t="s">
        <v>40484</v>
      </c>
      <c r="H5042" s="41" t="s">
        <v>40485</v>
      </c>
      <c r="I5042" s="41" t="s">
        <v>40486</v>
      </c>
      <c r="J5042" s="41" t="s">
        <v>40487</v>
      </c>
      <c r="K5042" s="41" t="s">
        <v>40488</v>
      </c>
      <c r="L5042" s="41" t="s">
        <v>1094</v>
      </c>
    </row>
    <row r="5043" spans="1:19" x14ac:dyDescent="0.25">
      <c r="A5043" s="41" t="s">
        <v>908</v>
      </c>
      <c r="B5043" s="41" t="s">
        <v>40489</v>
      </c>
    </row>
    <row r="5044" spans="1:19" x14ac:dyDescent="0.25">
      <c r="A5044" s="41" t="s">
        <v>23</v>
      </c>
      <c r="B5044" s="41" t="s">
        <v>40490</v>
      </c>
      <c r="F5044" s="41" t="s">
        <v>40491</v>
      </c>
      <c r="G5044" s="41" t="s">
        <v>40492</v>
      </c>
      <c r="H5044" s="41" t="s">
        <v>40493</v>
      </c>
      <c r="I5044" s="41" t="s">
        <v>40494</v>
      </c>
      <c r="J5044" s="41" t="s">
        <v>40495</v>
      </c>
      <c r="L5044" s="41" t="s">
        <v>4</v>
      </c>
    </row>
    <row r="5045" spans="1:19" x14ac:dyDescent="0.25">
      <c r="A5045" s="41" t="s">
        <v>23</v>
      </c>
      <c r="B5045" s="41" t="s">
        <v>40496</v>
      </c>
      <c r="D5045" s="41" t="s">
        <v>40329</v>
      </c>
      <c r="E5045" s="41" t="s">
        <v>40498</v>
      </c>
      <c r="F5045" s="41" t="s">
        <v>40499</v>
      </c>
      <c r="G5045" s="41" t="s">
        <v>40500</v>
      </c>
      <c r="H5045" s="41" t="s">
        <v>40501</v>
      </c>
      <c r="I5045" s="41" t="s">
        <v>40502</v>
      </c>
      <c r="J5045" s="41" t="s">
        <v>40503</v>
      </c>
      <c r="K5045" s="41" t="s">
        <v>40504</v>
      </c>
      <c r="L5045" s="41" t="s">
        <v>40505</v>
      </c>
      <c r="M5045" s="41" t="s">
        <v>40506</v>
      </c>
      <c r="N5045" s="41" t="s">
        <v>40507</v>
      </c>
      <c r="O5045" s="41" t="s">
        <v>40508</v>
      </c>
      <c r="P5045" s="41" t="s">
        <v>40509</v>
      </c>
      <c r="Q5045" s="41" t="s">
        <v>40510</v>
      </c>
      <c r="R5045" s="41" t="s">
        <v>40511</v>
      </c>
      <c r="S5045" s="41" t="s">
        <v>40512</v>
      </c>
    </row>
    <row r="5046" spans="1:19" x14ac:dyDescent="0.25">
      <c r="A5046" s="41" t="s">
        <v>23</v>
      </c>
      <c r="B5046" s="41" t="s">
        <v>40513</v>
      </c>
      <c r="D5046" s="41" t="s">
        <v>40514</v>
      </c>
      <c r="F5046" s="41" t="s">
        <v>40515</v>
      </c>
      <c r="G5046" s="41" t="s">
        <v>40516</v>
      </c>
      <c r="H5046" s="41" t="s">
        <v>40517</v>
      </c>
      <c r="I5046" s="41" t="s">
        <v>40518</v>
      </c>
      <c r="J5046" s="41" t="s">
        <v>40519</v>
      </c>
      <c r="K5046" s="41" t="s">
        <v>40520</v>
      </c>
      <c r="L5046" s="41" t="s">
        <v>891</v>
      </c>
    </row>
    <row r="5047" spans="1:19" x14ac:dyDescent="0.25">
      <c r="A5047" s="41" t="s">
        <v>23</v>
      </c>
      <c r="B5047" s="41" t="s">
        <v>40521</v>
      </c>
      <c r="D5047" s="41" t="s">
        <v>40522</v>
      </c>
      <c r="F5047" s="41" t="s">
        <v>40523</v>
      </c>
      <c r="G5047" s="41" t="s">
        <v>40524</v>
      </c>
      <c r="H5047" s="41" t="s">
        <v>40525</v>
      </c>
      <c r="I5047" s="41" t="s">
        <v>40526</v>
      </c>
      <c r="J5047" s="41" t="s">
        <v>40527</v>
      </c>
      <c r="K5047" s="41" t="s">
        <v>40528</v>
      </c>
      <c r="L5047" s="41" t="s">
        <v>1076</v>
      </c>
    </row>
    <row r="5048" spans="1:19" x14ac:dyDescent="0.25">
      <c r="A5048" s="41" t="s">
        <v>23</v>
      </c>
      <c r="B5048" s="41" t="s">
        <v>40529</v>
      </c>
      <c r="D5048" s="41" t="s">
        <v>40530</v>
      </c>
      <c r="F5048" s="41" t="s">
        <v>40531</v>
      </c>
      <c r="G5048" s="41" t="s">
        <v>40532</v>
      </c>
      <c r="H5048" s="41" t="s">
        <v>40533</v>
      </c>
      <c r="I5048" s="41" t="s">
        <v>40534</v>
      </c>
      <c r="J5048" s="41" t="s">
        <v>40535</v>
      </c>
      <c r="K5048" s="41" t="s">
        <v>40536</v>
      </c>
      <c r="L5048" s="41" t="s">
        <v>1085</v>
      </c>
    </row>
    <row r="5049" spans="1:19" x14ac:dyDescent="0.25">
      <c r="A5049" s="41" t="s">
        <v>23</v>
      </c>
      <c r="B5049" s="41" t="s">
        <v>40537</v>
      </c>
      <c r="D5049" s="41" t="s">
        <v>40538</v>
      </c>
      <c r="F5049" s="41" t="s">
        <v>40539</v>
      </c>
      <c r="G5049" s="41" t="s">
        <v>40540</v>
      </c>
      <c r="H5049" s="41" t="s">
        <v>40541</v>
      </c>
      <c r="I5049" s="41" t="s">
        <v>40542</v>
      </c>
      <c r="J5049" s="41" t="s">
        <v>40543</v>
      </c>
      <c r="K5049" s="41" t="s">
        <v>40544</v>
      </c>
      <c r="L5049" s="41" t="s">
        <v>1094</v>
      </c>
    </row>
    <row r="5050" spans="1:19" x14ac:dyDescent="0.25">
      <c r="A5050" s="41" t="s">
        <v>908</v>
      </c>
      <c r="B5050" s="41" t="s">
        <v>40545</v>
      </c>
    </row>
    <row r="5051" spans="1:19" x14ac:dyDescent="0.25">
      <c r="A5051" s="41" t="s">
        <v>23</v>
      </c>
      <c r="B5051" s="41" t="s">
        <v>40546</v>
      </c>
      <c r="F5051" s="41" t="s">
        <v>40547</v>
      </c>
      <c r="G5051" s="41" t="s">
        <v>40548</v>
      </c>
      <c r="H5051" s="41" t="s">
        <v>40549</v>
      </c>
      <c r="I5051" s="41" t="s">
        <v>40550</v>
      </c>
      <c r="J5051" s="41" t="s">
        <v>40551</v>
      </c>
      <c r="L5051" s="41" t="s">
        <v>4</v>
      </c>
    </row>
    <row r="5052" spans="1:19" x14ac:dyDescent="0.25">
      <c r="A5052" s="41" t="s">
        <v>23</v>
      </c>
      <c r="B5052" s="41" t="s">
        <v>40552</v>
      </c>
      <c r="D5052" s="41" t="s">
        <v>40385</v>
      </c>
      <c r="E5052" s="41" t="s">
        <v>40554</v>
      </c>
      <c r="F5052" s="41" t="s">
        <v>40555</v>
      </c>
      <c r="G5052" s="41" t="s">
        <v>40556</v>
      </c>
      <c r="H5052" s="41" t="s">
        <v>40557</v>
      </c>
      <c r="I5052" s="41" t="s">
        <v>40558</v>
      </c>
      <c r="J5052" s="41" t="s">
        <v>40559</v>
      </c>
      <c r="K5052" s="41" t="s">
        <v>40560</v>
      </c>
      <c r="L5052" s="41" t="s">
        <v>40561</v>
      </c>
      <c r="M5052" s="41" t="s">
        <v>40562</v>
      </c>
      <c r="N5052" s="41" t="s">
        <v>40563</v>
      </c>
      <c r="O5052" s="41" t="s">
        <v>40564</v>
      </c>
      <c r="P5052" s="41" t="s">
        <v>40565</v>
      </c>
      <c r="Q5052" s="41" t="s">
        <v>40566</v>
      </c>
      <c r="R5052" s="41" t="s">
        <v>40567</v>
      </c>
      <c r="S5052" s="41" t="s">
        <v>40568</v>
      </c>
    </row>
    <row r="5053" spans="1:19" x14ac:dyDescent="0.25">
      <c r="A5053" s="41" t="s">
        <v>23</v>
      </c>
      <c r="B5053" s="41" t="s">
        <v>40569</v>
      </c>
      <c r="D5053" s="41" t="s">
        <v>40570</v>
      </c>
      <c r="F5053" s="41" t="s">
        <v>40571</v>
      </c>
      <c r="G5053" s="41" t="s">
        <v>40572</v>
      </c>
      <c r="H5053" s="41" t="s">
        <v>40573</v>
      </c>
      <c r="I5053" s="41" t="s">
        <v>40574</v>
      </c>
      <c r="J5053" s="41" t="s">
        <v>40575</v>
      </c>
      <c r="K5053" s="41" t="s">
        <v>40576</v>
      </c>
      <c r="L5053" s="41" t="s">
        <v>891</v>
      </c>
    </row>
    <row r="5054" spans="1:19" x14ac:dyDescent="0.25">
      <c r="A5054" s="41" t="s">
        <v>23</v>
      </c>
      <c r="B5054" s="41" t="s">
        <v>40577</v>
      </c>
      <c r="D5054" s="41" t="s">
        <v>40578</v>
      </c>
      <c r="F5054" s="41" t="s">
        <v>40579</v>
      </c>
      <c r="G5054" s="41" t="s">
        <v>40580</v>
      </c>
      <c r="H5054" s="41" t="s">
        <v>40581</v>
      </c>
      <c r="I5054" s="41" t="s">
        <v>40582</v>
      </c>
      <c r="J5054" s="41" t="s">
        <v>40583</v>
      </c>
      <c r="K5054" s="41" t="s">
        <v>40584</v>
      </c>
      <c r="L5054" s="41" t="s">
        <v>1076</v>
      </c>
    </row>
    <row r="5055" spans="1:19" x14ac:dyDescent="0.25">
      <c r="A5055" s="41" t="s">
        <v>23</v>
      </c>
      <c r="B5055" s="41" t="s">
        <v>40585</v>
      </c>
      <c r="D5055" s="41" t="s">
        <v>40586</v>
      </c>
      <c r="F5055" s="41" t="s">
        <v>40587</v>
      </c>
      <c r="G5055" s="41" t="s">
        <v>40588</v>
      </c>
      <c r="H5055" s="41" t="s">
        <v>40589</v>
      </c>
      <c r="I5055" s="41" t="s">
        <v>40590</v>
      </c>
      <c r="J5055" s="41" t="s">
        <v>40591</v>
      </c>
      <c r="K5055" s="41" t="s">
        <v>40592</v>
      </c>
      <c r="L5055" s="41" t="s">
        <v>1085</v>
      </c>
    </row>
    <row r="5056" spans="1:19" x14ac:dyDescent="0.25">
      <c r="A5056" s="41" t="s">
        <v>23</v>
      </c>
      <c r="B5056" s="41" t="s">
        <v>40593</v>
      </c>
      <c r="D5056" s="41" t="s">
        <v>40594</v>
      </c>
      <c r="F5056" s="41" t="s">
        <v>40595</v>
      </c>
      <c r="G5056" s="41" t="s">
        <v>40596</v>
      </c>
      <c r="H5056" s="41" t="s">
        <v>40597</v>
      </c>
      <c r="I5056" s="41" t="s">
        <v>40598</v>
      </c>
      <c r="J5056" s="41" t="s">
        <v>40599</v>
      </c>
      <c r="K5056" s="41" t="s">
        <v>40600</v>
      </c>
      <c r="L5056" s="41" t="s">
        <v>1094</v>
      </c>
    </row>
    <row r="5057" spans="1:19" x14ac:dyDescent="0.25">
      <c r="A5057" s="41" t="s">
        <v>908</v>
      </c>
      <c r="B5057" s="41" t="s">
        <v>40601</v>
      </c>
    </row>
    <row r="5058" spans="1:19" x14ac:dyDescent="0.25">
      <c r="A5058" s="41" t="s">
        <v>23</v>
      </c>
      <c r="B5058" s="41" t="s">
        <v>40602</v>
      </c>
      <c r="F5058" s="41" t="s">
        <v>40603</v>
      </c>
      <c r="G5058" s="41" t="s">
        <v>40604</v>
      </c>
      <c r="H5058" s="41" t="s">
        <v>40605</v>
      </c>
      <c r="I5058" s="41" t="s">
        <v>40606</v>
      </c>
      <c r="J5058" s="41" t="s">
        <v>40607</v>
      </c>
      <c r="L5058" s="41" t="s">
        <v>4</v>
      </c>
    </row>
    <row r="5059" spans="1:19" x14ac:dyDescent="0.25">
      <c r="A5059" s="41" t="s">
        <v>23</v>
      </c>
      <c r="B5059" s="41" t="s">
        <v>40608</v>
      </c>
      <c r="D5059" s="41" t="s">
        <v>40441</v>
      </c>
      <c r="E5059" s="41" t="s">
        <v>40610</v>
      </c>
      <c r="F5059" s="41" t="s">
        <v>40611</v>
      </c>
      <c r="G5059" s="41" t="s">
        <v>40612</v>
      </c>
      <c r="H5059" s="41" t="s">
        <v>40613</v>
      </c>
      <c r="I5059" s="41" t="s">
        <v>40614</v>
      </c>
      <c r="J5059" s="41" t="s">
        <v>40615</v>
      </c>
      <c r="K5059" s="41" t="s">
        <v>40616</v>
      </c>
      <c r="L5059" s="41" t="s">
        <v>40617</v>
      </c>
      <c r="M5059" s="41" t="s">
        <v>40618</v>
      </c>
      <c r="N5059" s="41" t="s">
        <v>40619</v>
      </c>
      <c r="O5059" s="41" t="s">
        <v>40620</v>
      </c>
      <c r="P5059" s="41" t="s">
        <v>40621</v>
      </c>
      <c r="Q5059" s="41" t="s">
        <v>40622</v>
      </c>
      <c r="R5059" s="41" t="s">
        <v>40623</v>
      </c>
      <c r="S5059" s="41" t="s">
        <v>40624</v>
      </c>
    </row>
    <row r="5060" spans="1:19" x14ac:dyDescent="0.25">
      <c r="A5060" s="41" t="s">
        <v>23</v>
      </c>
      <c r="B5060" s="41" t="s">
        <v>40625</v>
      </c>
      <c r="D5060" s="41" t="s">
        <v>40626</v>
      </c>
      <c r="F5060" s="41" t="s">
        <v>40627</v>
      </c>
      <c r="G5060" s="41" t="s">
        <v>40628</v>
      </c>
      <c r="H5060" s="41" t="s">
        <v>40629</v>
      </c>
      <c r="I5060" s="41" t="s">
        <v>40630</v>
      </c>
      <c r="J5060" s="41" t="s">
        <v>40631</v>
      </c>
      <c r="K5060" s="41" t="s">
        <v>40632</v>
      </c>
      <c r="L5060" s="41" t="s">
        <v>891</v>
      </c>
    </row>
    <row r="5061" spans="1:19" x14ac:dyDescent="0.25">
      <c r="A5061" s="41" t="s">
        <v>23</v>
      </c>
      <c r="B5061" s="41" t="s">
        <v>40633</v>
      </c>
      <c r="D5061" s="41" t="s">
        <v>40634</v>
      </c>
      <c r="F5061" s="41" t="s">
        <v>40635</v>
      </c>
      <c r="G5061" s="41" t="s">
        <v>40636</v>
      </c>
      <c r="H5061" s="41" t="s">
        <v>40637</v>
      </c>
      <c r="I5061" s="41" t="s">
        <v>40638</v>
      </c>
      <c r="J5061" s="41" t="s">
        <v>40639</v>
      </c>
      <c r="K5061" s="41" t="s">
        <v>40640</v>
      </c>
      <c r="L5061" s="41" t="s">
        <v>1076</v>
      </c>
    </row>
    <row r="5062" spans="1:19" x14ac:dyDescent="0.25">
      <c r="A5062" s="41" t="s">
        <v>23</v>
      </c>
      <c r="B5062" s="41" t="s">
        <v>40641</v>
      </c>
      <c r="D5062" s="41" t="s">
        <v>40642</v>
      </c>
      <c r="F5062" s="41" t="s">
        <v>40643</v>
      </c>
      <c r="G5062" s="41" t="s">
        <v>40644</v>
      </c>
      <c r="H5062" s="41" t="s">
        <v>40645</v>
      </c>
      <c r="I5062" s="41" t="s">
        <v>40646</v>
      </c>
      <c r="J5062" s="41" t="s">
        <v>40647</v>
      </c>
      <c r="K5062" s="41" t="s">
        <v>40648</v>
      </c>
      <c r="L5062" s="41" t="s">
        <v>1085</v>
      </c>
    </row>
    <row r="5063" spans="1:19" x14ac:dyDescent="0.25">
      <c r="A5063" s="41" t="s">
        <v>23</v>
      </c>
      <c r="B5063" s="41" t="s">
        <v>40649</v>
      </c>
      <c r="D5063" s="41" t="s">
        <v>40650</v>
      </c>
      <c r="F5063" s="41" t="s">
        <v>40651</v>
      </c>
      <c r="G5063" s="41" t="s">
        <v>40652</v>
      </c>
      <c r="H5063" s="41" t="s">
        <v>40653</v>
      </c>
      <c r="I5063" s="41" t="s">
        <v>40654</v>
      </c>
      <c r="J5063" s="41" t="s">
        <v>40655</v>
      </c>
      <c r="K5063" s="41" t="s">
        <v>40656</v>
      </c>
      <c r="L5063" s="41" t="s">
        <v>1094</v>
      </c>
    </row>
    <row r="5064" spans="1:19" x14ac:dyDescent="0.25">
      <c r="A5064" s="41" t="s">
        <v>908</v>
      </c>
      <c r="B5064" s="41" t="s">
        <v>40657</v>
      </c>
    </row>
    <row r="5065" spans="1:19" x14ac:dyDescent="0.25">
      <c r="A5065" s="41" t="s">
        <v>23</v>
      </c>
      <c r="B5065" s="41" t="s">
        <v>40658</v>
      </c>
      <c r="F5065" s="41" t="s">
        <v>40659</v>
      </c>
      <c r="G5065" s="41" t="s">
        <v>40660</v>
      </c>
      <c r="H5065" s="41" t="s">
        <v>40661</v>
      </c>
      <c r="I5065" s="41" t="s">
        <v>40662</v>
      </c>
      <c r="J5065" s="41" t="s">
        <v>40663</v>
      </c>
      <c r="L5065" s="41" t="s">
        <v>4</v>
      </c>
    </row>
    <row r="5066" spans="1:19" x14ac:dyDescent="0.25">
      <c r="A5066" s="41" t="s">
        <v>23</v>
      </c>
      <c r="B5066" s="41" t="s">
        <v>40664</v>
      </c>
      <c r="D5066" s="41" t="s">
        <v>40497</v>
      </c>
      <c r="E5066" s="41" t="s">
        <v>40666</v>
      </c>
      <c r="F5066" s="41" t="s">
        <v>40667</v>
      </c>
      <c r="G5066" s="41" t="s">
        <v>40668</v>
      </c>
      <c r="H5066" s="41" t="s">
        <v>40669</v>
      </c>
      <c r="I5066" s="41" t="s">
        <v>40670</v>
      </c>
      <c r="J5066" s="41" t="s">
        <v>40671</v>
      </c>
      <c r="K5066" s="41" t="s">
        <v>40672</v>
      </c>
      <c r="L5066" s="41" t="s">
        <v>40673</v>
      </c>
      <c r="M5066" s="41" t="s">
        <v>40674</v>
      </c>
      <c r="N5066" s="41" t="s">
        <v>40675</v>
      </c>
      <c r="O5066" s="41" t="s">
        <v>40676</v>
      </c>
      <c r="P5066" s="41" t="s">
        <v>40677</v>
      </c>
      <c r="Q5066" s="41" t="s">
        <v>40678</v>
      </c>
      <c r="R5066" s="41" t="s">
        <v>40679</v>
      </c>
      <c r="S5066" s="41" t="s">
        <v>40680</v>
      </c>
    </row>
    <row r="5067" spans="1:19" x14ac:dyDescent="0.25">
      <c r="A5067" s="41" t="s">
        <v>23</v>
      </c>
      <c r="B5067" s="41" t="s">
        <v>40681</v>
      </c>
      <c r="D5067" s="41" t="s">
        <v>40682</v>
      </c>
      <c r="F5067" s="41" t="s">
        <v>40683</v>
      </c>
      <c r="G5067" s="41" t="s">
        <v>40684</v>
      </c>
      <c r="H5067" s="41" t="s">
        <v>40685</v>
      </c>
      <c r="I5067" s="41" t="s">
        <v>40686</v>
      </c>
      <c r="J5067" s="41" t="s">
        <v>40687</v>
      </c>
      <c r="K5067" s="41" t="s">
        <v>40688</v>
      </c>
      <c r="L5067" s="41" t="s">
        <v>891</v>
      </c>
    </row>
    <row r="5068" spans="1:19" x14ac:dyDescent="0.25">
      <c r="A5068" s="41" t="s">
        <v>23</v>
      </c>
      <c r="B5068" s="41" t="s">
        <v>40689</v>
      </c>
      <c r="D5068" s="41" t="s">
        <v>40690</v>
      </c>
      <c r="F5068" s="41" t="s">
        <v>40691</v>
      </c>
      <c r="G5068" s="41" t="s">
        <v>40692</v>
      </c>
      <c r="H5068" s="41" t="s">
        <v>40693</v>
      </c>
      <c r="I5068" s="41" t="s">
        <v>40694</v>
      </c>
      <c r="J5068" s="41" t="s">
        <v>40695</v>
      </c>
      <c r="K5068" s="41" t="s">
        <v>40696</v>
      </c>
      <c r="L5068" s="41" t="s">
        <v>1076</v>
      </c>
    </row>
    <row r="5069" spans="1:19" x14ac:dyDescent="0.25">
      <c r="A5069" s="41" t="s">
        <v>23</v>
      </c>
      <c r="B5069" s="41" t="s">
        <v>40697</v>
      </c>
      <c r="D5069" s="41" t="s">
        <v>40698</v>
      </c>
      <c r="F5069" s="41" t="s">
        <v>40699</v>
      </c>
      <c r="G5069" s="41" t="s">
        <v>40700</v>
      </c>
      <c r="H5069" s="41" t="s">
        <v>40701</v>
      </c>
      <c r="I5069" s="41" t="s">
        <v>40702</v>
      </c>
      <c r="J5069" s="41" t="s">
        <v>40703</v>
      </c>
      <c r="K5069" s="41" t="s">
        <v>40704</v>
      </c>
      <c r="L5069" s="41" t="s">
        <v>1085</v>
      </c>
    </row>
    <row r="5070" spans="1:19" x14ac:dyDescent="0.25">
      <c r="A5070" s="41" t="s">
        <v>23</v>
      </c>
      <c r="B5070" s="41" t="s">
        <v>40705</v>
      </c>
      <c r="D5070" s="41" t="s">
        <v>40706</v>
      </c>
      <c r="F5070" s="41" t="s">
        <v>40707</v>
      </c>
      <c r="G5070" s="41" t="s">
        <v>40708</v>
      </c>
      <c r="H5070" s="41" t="s">
        <v>40709</v>
      </c>
      <c r="I5070" s="41" t="s">
        <v>40710</v>
      </c>
      <c r="J5070" s="41" t="s">
        <v>40711</v>
      </c>
      <c r="K5070" s="41" t="s">
        <v>40712</v>
      </c>
      <c r="L5070" s="41" t="s">
        <v>1094</v>
      </c>
    </row>
    <row r="5071" spans="1:19" x14ac:dyDescent="0.25">
      <c r="A5071" s="41" t="s">
        <v>908</v>
      </c>
      <c r="B5071" s="41" t="s">
        <v>40713</v>
      </c>
    </row>
    <row r="5072" spans="1:19" x14ac:dyDescent="0.25">
      <c r="A5072" s="41" t="s">
        <v>23</v>
      </c>
      <c r="B5072" s="41" t="s">
        <v>40714</v>
      </c>
      <c r="F5072" s="41" t="s">
        <v>40715</v>
      </c>
      <c r="G5072" s="41" t="s">
        <v>40716</v>
      </c>
      <c r="H5072" s="41" t="s">
        <v>40717</v>
      </c>
      <c r="I5072" s="41" t="s">
        <v>40718</v>
      </c>
      <c r="J5072" s="41" t="s">
        <v>40719</v>
      </c>
      <c r="L5072" s="41" t="s">
        <v>4</v>
      </c>
    </row>
    <row r="5073" spans="1:19" x14ac:dyDescent="0.25">
      <c r="A5073" s="41" t="s">
        <v>23</v>
      </c>
      <c r="B5073" s="41" t="s">
        <v>40720</v>
      </c>
      <c r="D5073" s="41" t="s">
        <v>40553</v>
      </c>
      <c r="E5073" s="41" t="s">
        <v>40722</v>
      </c>
      <c r="F5073" s="41" t="s">
        <v>40723</v>
      </c>
      <c r="G5073" s="41" t="s">
        <v>40724</v>
      </c>
      <c r="H5073" s="41" t="s">
        <v>40725</v>
      </c>
      <c r="I5073" s="41" t="s">
        <v>40726</v>
      </c>
      <c r="J5073" s="41" t="s">
        <v>40727</v>
      </c>
      <c r="K5073" s="41" t="s">
        <v>40728</v>
      </c>
      <c r="L5073" s="41" t="s">
        <v>40729</v>
      </c>
      <c r="M5073" s="41" t="s">
        <v>40730</v>
      </c>
      <c r="N5073" s="41" t="s">
        <v>40731</v>
      </c>
      <c r="O5073" s="41" t="s">
        <v>40732</v>
      </c>
      <c r="P5073" s="41" t="s">
        <v>40733</v>
      </c>
      <c r="Q5073" s="41" t="s">
        <v>40734</v>
      </c>
      <c r="R5073" s="41" t="s">
        <v>40735</v>
      </c>
      <c r="S5073" s="41" t="s">
        <v>40736</v>
      </c>
    </row>
    <row r="5074" spans="1:19" x14ac:dyDescent="0.25">
      <c r="A5074" s="41" t="s">
        <v>23</v>
      </c>
      <c r="B5074" s="41" t="s">
        <v>40737</v>
      </c>
      <c r="D5074" s="41" t="s">
        <v>40738</v>
      </c>
      <c r="F5074" s="41" t="s">
        <v>40739</v>
      </c>
      <c r="G5074" s="41" t="s">
        <v>40740</v>
      </c>
      <c r="H5074" s="41" t="s">
        <v>40741</v>
      </c>
      <c r="I5074" s="41" t="s">
        <v>40742</v>
      </c>
      <c r="J5074" s="41" t="s">
        <v>40743</v>
      </c>
      <c r="K5074" s="41" t="s">
        <v>40744</v>
      </c>
      <c r="L5074" s="41" t="s">
        <v>891</v>
      </c>
    </row>
    <row r="5075" spans="1:19" x14ac:dyDescent="0.25">
      <c r="A5075" s="41" t="s">
        <v>23</v>
      </c>
      <c r="B5075" s="41" t="s">
        <v>40745</v>
      </c>
      <c r="D5075" s="41" t="s">
        <v>40746</v>
      </c>
      <c r="F5075" s="41" t="s">
        <v>40747</v>
      </c>
      <c r="G5075" s="41" t="s">
        <v>40748</v>
      </c>
      <c r="H5075" s="41" t="s">
        <v>40749</v>
      </c>
      <c r="I5075" s="41" t="s">
        <v>40750</v>
      </c>
      <c r="J5075" s="41" t="s">
        <v>40751</v>
      </c>
      <c r="K5075" s="41" t="s">
        <v>40752</v>
      </c>
      <c r="L5075" s="41" t="s">
        <v>1076</v>
      </c>
    </row>
    <row r="5076" spans="1:19" x14ac:dyDescent="0.25">
      <c r="A5076" s="41" t="s">
        <v>23</v>
      </c>
      <c r="B5076" s="41" t="s">
        <v>40753</v>
      </c>
      <c r="D5076" s="41" t="s">
        <v>40754</v>
      </c>
      <c r="F5076" s="41" t="s">
        <v>40755</v>
      </c>
      <c r="G5076" s="41" t="s">
        <v>40756</v>
      </c>
      <c r="H5076" s="41" t="s">
        <v>40757</v>
      </c>
      <c r="I5076" s="41" t="s">
        <v>40758</v>
      </c>
      <c r="J5076" s="41" t="s">
        <v>40759</v>
      </c>
      <c r="K5076" s="41" t="s">
        <v>40760</v>
      </c>
      <c r="L5076" s="41" t="s">
        <v>1085</v>
      </c>
    </row>
    <row r="5077" spans="1:19" x14ac:dyDescent="0.25">
      <c r="A5077" s="41" t="s">
        <v>23</v>
      </c>
      <c r="B5077" s="41" t="s">
        <v>40761</v>
      </c>
      <c r="D5077" s="41" t="s">
        <v>40762</v>
      </c>
      <c r="F5077" s="41" t="s">
        <v>40763</v>
      </c>
      <c r="G5077" s="41" t="s">
        <v>40764</v>
      </c>
      <c r="H5077" s="41" t="s">
        <v>40765</v>
      </c>
      <c r="I5077" s="41" t="s">
        <v>40766</v>
      </c>
      <c r="J5077" s="41" t="s">
        <v>40767</v>
      </c>
      <c r="K5077" s="41" t="s">
        <v>40768</v>
      </c>
      <c r="L5077" s="41" t="s">
        <v>1094</v>
      </c>
    </row>
    <row r="5078" spans="1:19" x14ac:dyDescent="0.25">
      <c r="A5078" s="41" t="s">
        <v>908</v>
      </c>
      <c r="B5078" s="41" t="s">
        <v>40769</v>
      </c>
    </row>
    <row r="5079" spans="1:19" x14ac:dyDescent="0.25">
      <c r="A5079" s="41" t="s">
        <v>23</v>
      </c>
      <c r="B5079" s="41" t="s">
        <v>40770</v>
      </c>
      <c r="F5079" s="41" t="s">
        <v>40771</v>
      </c>
      <c r="G5079" s="41" t="s">
        <v>40772</v>
      </c>
      <c r="H5079" s="41" t="s">
        <v>40773</v>
      </c>
      <c r="I5079" s="41" t="s">
        <v>40774</v>
      </c>
      <c r="J5079" s="41" t="s">
        <v>40775</v>
      </c>
      <c r="L5079" s="41" t="s">
        <v>4</v>
      </c>
    </row>
    <row r="5080" spans="1:19" x14ac:dyDescent="0.25">
      <c r="A5080" s="41" t="s">
        <v>23</v>
      </c>
      <c r="B5080" s="41" t="s">
        <v>40776</v>
      </c>
      <c r="D5080" s="41" t="s">
        <v>40609</v>
      </c>
      <c r="E5080" s="41" t="s">
        <v>40778</v>
      </c>
      <c r="F5080" s="41" t="s">
        <v>40779</v>
      </c>
      <c r="G5080" s="41" t="s">
        <v>40780</v>
      </c>
      <c r="H5080" s="41" t="s">
        <v>40781</v>
      </c>
      <c r="I5080" s="41" t="s">
        <v>40782</v>
      </c>
      <c r="J5080" s="41" t="s">
        <v>40783</v>
      </c>
      <c r="K5080" s="41" t="s">
        <v>40784</v>
      </c>
      <c r="L5080" s="41" t="s">
        <v>40785</v>
      </c>
      <c r="M5080" s="41" t="s">
        <v>40786</v>
      </c>
      <c r="N5080" s="41" t="s">
        <v>40787</v>
      </c>
      <c r="O5080" s="41" t="s">
        <v>40788</v>
      </c>
      <c r="P5080" s="41" t="s">
        <v>40789</v>
      </c>
      <c r="Q5080" s="41" t="s">
        <v>40790</v>
      </c>
      <c r="R5080" s="41" t="s">
        <v>40791</v>
      </c>
      <c r="S5080" s="41" t="s">
        <v>40792</v>
      </c>
    </row>
    <row r="5081" spans="1:19" x14ac:dyDescent="0.25">
      <c r="A5081" s="41" t="s">
        <v>23</v>
      </c>
      <c r="B5081" s="41" t="s">
        <v>40793</v>
      </c>
      <c r="D5081" s="41" t="s">
        <v>40794</v>
      </c>
      <c r="F5081" s="41" t="s">
        <v>40795</v>
      </c>
      <c r="G5081" s="41" t="s">
        <v>40796</v>
      </c>
      <c r="H5081" s="41" t="s">
        <v>40797</v>
      </c>
      <c r="I5081" s="41" t="s">
        <v>40798</v>
      </c>
      <c r="J5081" s="41" t="s">
        <v>40799</v>
      </c>
      <c r="K5081" s="41" t="s">
        <v>40800</v>
      </c>
      <c r="L5081" s="41" t="s">
        <v>891</v>
      </c>
    </row>
    <row r="5082" spans="1:19" x14ac:dyDescent="0.25">
      <c r="A5082" s="41" t="s">
        <v>23</v>
      </c>
      <c r="B5082" s="41" t="s">
        <v>40801</v>
      </c>
      <c r="D5082" s="41" t="s">
        <v>40802</v>
      </c>
      <c r="F5082" s="41" t="s">
        <v>40803</v>
      </c>
      <c r="G5082" s="41" t="s">
        <v>40804</v>
      </c>
      <c r="H5082" s="41" t="s">
        <v>40805</v>
      </c>
      <c r="I5082" s="41" t="s">
        <v>40806</v>
      </c>
      <c r="J5082" s="41" t="s">
        <v>40807</v>
      </c>
      <c r="K5082" s="41" t="s">
        <v>40808</v>
      </c>
      <c r="L5082" s="41" t="s">
        <v>1076</v>
      </c>
    </row>
    <row r="5083" spans="1:19" x14ac:dyDescent="0.25">
      <c r="A5083" s="41" t="s">
        <v>23</v>
      </c>
      <c r="B5083" s="41" t="s">
        <v>40809</v>
      </c>
      <c r="D5083" s="41" t="s">
        <v>40810</v>
      </c>
      <c r="F5083" s="41" t="s">
        <v>40811</v>
      </c>
      <c r="G5083" s="41" t="s">
        <v>40812</v>
      </c>
      <c r="H5083" s="41" t="s">
        <v>40813</v>
      </c>
      <c r="I5083" s="41" t="s">
        <v>40814</v>
      </c>
      <c r="J5083" s="41" t="s">
        <v>40815</v>
      </c>
      <c r="K5083" s="41" t="s">
        <v>40816</v>
      </c>
      <c r="L5083" s="41" t="s">
        <v>1085</v>
      </c>
    </row>
    <row r="5084" spans="1:19" x14ac:dyDescent="0.25">
      <c r="A5084" s="41" t="s">
        <v>23</v>
      </c>
      <c r="B5084" s="41" t="s">
        <v>40817</v>
      </c>
      <c r="D5084" s="41" t="s">
        <v>40818</v>
      </c>
      <c r="F5084" s="41" t="s">
        <v>40819</v>
      </c>
      <c r="G5084" s="41" t="s">
        <v>40820</v>
      </c>
      <c r="H5084" s="41" t="s">
        <v>40821</v>
      </c>
      <c r="I5084" s="41" t="s">
        <v>40822</v>
      </c>
      <c r="J5084" s="41" t="s">
        <v>40823</v>
      </c>
      <c r="K5084" s="41" t="s">
        <v>40824</v>
      </c>
      <c r="L5084" s="41" t="s">
        <v>1094</v>
      </c>
    </row>
    <row r="5085" spans="1:19" x14ac:dyDescent="0.25">
      <c r="A5085" s="41" t="s">
        <v>908</v>
      </c>
      <c r="B5085" s="41" t="s">
        <v>40825</v>
      </c>
    </row>
    <row r="5086" spans="1:19" x14ac:dyDescent="0.25">
      <c r="A5086" s="41" t="s">
        <v>23</v>
      </c>
      <c r="B5086" s="41" t="s">
        <v>40826</v>
      </c>
      <c r="F5086" s="41" t="s">
        <v>40827</v>
      </c>
      <c r="G5086" s="41" t="s">
        <v>40828</v>
      </c>
      <c r="H5086" s="41" t="s">
        <v>40829</v>
      </c>
      <c r="I5086" s="41" t="s">
        <v>40830</v>
      </c>
      <c r="J5086" s="41" t="s">
        <v>40831</v>
      </c>
      <c r="L5086" s="41" t="s">
        <v>4</v>
      </c>
    </row>
    <row r="5087" spans="1:19" x14ac:dyDescent="0.25">
      <c r="A5087" s="41" t="s">
        <v>23</v>
      </c>
      <c r="B5087" s="41" t="s">
        <v>40832</v>
      </c>
      <c r="D5087" s="41" t="s">
        <v>40665</v>
      </c>
      <c r="E5087" s="41" t="s">
        <v>40834</v>
      </c>
      <c r="F5087" s="41" t="s">
        <v>40835</v>
      </c>
      <c r="G5087" s="41" t="s">
        <v>40836</v>
      </c>
      <c r="H5087" s="41" t="s">
        <v>40837</v>
      </c>
      <c r="I5087" s="41" t="s">
        <v>40838</v>
      </c>
      <c r="J5087" s="41" t="s">
        <v>40839</v>
      </c>
      <c r="K5087" s="41" t="s">
        <v>40840</v>
      </c>
      <c r="L5087" s="41" t="s">
        <v>40841</v>
      </c>
      <c r="M5087" s="41" t="s">
        <v>40842</v>
      </c>
      <c r="N5087" s="41" t="s">
        <v>40843</v>
      </c>
      <c r="O5087" s="41" t="s">
        <v>40844</v>
      </c>
      <c r="P5087" s="41" t="s">
        <v>40845</v>
      </c>
      <c r="Q5087" s="41" t="s">
        <v>40846</v>
      </c>
      <c r="R5087" s="41" t="s">
        <v>40847</v>
      </c>
      <c r="S5087" s="41" t="s">
        <v>40848</v>
      </c>
    </row>
    <row r="5088" spans="1:19" x14ac:dyDescent="0.25">
      <c r="A5088" s="41" t="s">
        <v>23</v>
      </c>
      <c r="B5088" s="41" t="s">
        <v>40849</v>
      </c>
      <c r="D5088" s="41" t="s">
        <v>40850</v>
      </c>
      <c r="F5088" s="41" t="s">
        <v>40851</v>
      </c>
      <c r="G5088" s="41" t="s">
        <v>40852</v>
      </c>
      <c r="H5088" s="41" t="s">
        <v>40853</v>
      </c>
      <c r="I5088" s="41" t="s">
        <v>40854</v>
      </c>
      <c r="J5088" s="41" t="s">
        <v>40855</v>
      </c>
      <c r="K5088" s="41" t="s">
        <v>40856</v>
      </c>
      <c r="L5088" s="41" t="s">
        <v>891</v>
      </c>
    </row>
    <row r="5089" spans="1:19" x14ac:dyDescent="0.25">
      <c r="A5089" s="41" t="s">
        <v>23</v>
      </c>
      <c r="B5089" s="41" t="s">
        <v>40857</v>
      </c>
      <c r="D5089" s="41" t="s">
        <v>40858</v>
      </c>
      <c r="F5089" s="41" t="s">
        <v>40859</v>
      </c>
      <c r="G5089" s="41" t="s">
        <v>40860</v>
      </c>
      <c r="H5089" s="41" t="s">
        <v>40861</v>
      </c>
      <c r="I5089" s="41" t="s">
        <v>40862</v>
      </c>
      <c r="J5089" s="41" t="s">
        <v>40863</v>
      </c>
      <c r="K5089" s="41" t="s">
        <v>40864</v>
      </c>
      <c r="L5089" s="41" t="s">
        <v>1076</v>
      </c>
    </row>
    <row r="5090" spans="1:19" x14ac:dyDescent="0.25">
      <c r="A5090" s="41" t="s">
        <v>23</v>
      </c>
      <c r="B5090" s="41" t="s">
        <v>40865</v>
      </c>
      <c r="D5090" s="41" t="s">
        <v>40866</v>
      </c>
      <c r="F5090" s="41" t="s">
        <v>40867</v>
      </c>
      <c r="G5090" s="41" t="s">
        <v>40868</v>
      </c>
      <c r="H5090" s="41" t="s">
        <v>40869</v>
      </c>
      <c r="I5090" s="41" t="s">
        <v>40870</v>
      </c>
      <c r="J5090" s="41" t="s">
        <v>40871</v>
      </c>
      <c r="K5090" s="41" t="s">
        <v>40872</v>
      </c>
      <c r="L5090" s="41" t="s">
        <v>1085</v>
      </c>
    </row>
    <row r="5091" spans="1:19" x14ac:dyDescent="0.25">
      <c r="A5091" s="41" t="s">
        <v>23</v>
      </c>
      <c r="B5091" s="41" t="s">
        <v>40873</v>
      </c>
      <c r="D5091" s="41" t="s">
        <v>40874</v>
      </c>
      <c r="F5091" s="41" t="s">
        <v>40875</v>
      </c>
      <c r="G5091" s="41" t="s">
        <v>40876</v>
      </c>
      <c r="H5091" s="41" t="s">
        <v>40877</v>
      </c>
      <c r="I5091" s="41" t="s">
        <v>40878</v>
      </c>
      <c r="J5091" s="41" t="s">
        <v>40879</v>
      </c>
      <c r="K5091" s="41" t="s">
        <v>40880</v>
      </c>
      <c r="L5091" s="41" t="s">
        <v>1094</v>
      </c>
    </row>
    <row r="5092" spans="1:19" x14ac:dyDescent="0.25">
      <c r="A5092" s="41" t="s">
        <v>908</v>
      </c>
      <c r="B5092" s="41" t="s">
        <v>40881</v>
      </c>
    </row>
    <row r="5093" spans="1:19" x14ac:dyDescent="0.25">
      <c r="A5093" s="41" t="s">
        <v>23</v>
      </c>
      <c r="B5093" s="41" t="s">
        <v>40882</v>
      </c>
      <c r="F5093" s="41" t="s">
        <v>40883</v>
      </c>
      <c r="G5093" s="41" t="s">
        <v>40884</v>
      </c>
      <c r="H5093" s="41" t="s">
        <v>40885</v>
      </c>
      <c r="I5093" s="41" t="s">
        <v>40886</v>
      </c>
      <c r="J5093" s="41" t="s">
        <v>40887</v>
      </c>
      <c r="L5093" s="41" t="s">
        <v>4</v>
      </c>
    </row>
    <row r="5094" spans="1:19" x14ac:dyDescent="0.25">
      <c r="A5094" s="41" t="s">
        <v>23</v>
      </c>
      <c r="B5094" s="41" t="s">
        <v>40888</v>
      </c>
      <c r="D5094" s="41" t="s">
        <v>40721</v>
      </c>
      <c r="E5094" s="41" t="s">
        <v>40890</v>
      </c>
      <c r="F5094" s="41" t="s">
        <v>40891</v>
      </c>
      <c r="G5094" s="41" t="s">
        <v>40892</v>
      </c>
      <c r="H5094" s="41" t="s">
        <v>40893</v>
      </c>
      <c r="I5094" s="41" t="s">
        <v>40894</v>
      </c>
      <c r="J5094" s="41" t="s">
        <v>40895</v>
      </c>
      <c r="K5094" s="41" t="s">
        <v>40896</v>
      </c>
      <c r="L5094" s="41" t="s">
        <v>40897</v>
      </c>
      <c r="M5094" s="41" t="s">
        <v>40898</v>
      </c>
      <c r="N5094" s="41" t="s">
        <v>40899</v>
      </c>
      <c r="O5094" s="41" t="s">
        <v>40900</v>
      </c>
      <c r="P5094" s="41" t="s">
        <v>40901</v>
      </c>
      <c r="Q5094" s="41" t="s">
        <v>40902</v>
      </c>
      <c r="R5094" s="41" t="s">
        <v>40903</v>
      </c>
      <c r="S5094" s="41" t="s">
        <v>40904</v>
      </c>
    </row>
    <row r="5095" spans="1:19" x14ac:dyDescent="0.25">
      <c r="A5095" s="41" t="s">
        <v>23</v>
      </c>
      <c r="B5095" s="41" t="s">
        <v>40905</v>
      </c>
      <c r="D5095" s="41" t="s">
        <v>40906</v>
      </c>
      <c r="F5095" s="41" t="s">
        <v>40907</v>
      </c>
      <c r="G5095" s="41" t="s">
        <v>40908</v>
      </c>
      <c r="H5095" s="41" t="s">
        <v>40909</v>
      </c>
      <c r="I5095" s="41" t="s">
        <v>40910</v>
      </c>
      <c r="J5095" s="41" t="s">
        <v>40911</v>
      </c>
      <c r="K5095" s="41" t="s">
        <v>40912</v>
      </c>
      <c r="L5095" s="41" t="s">
        <v>891</v>
      </c>
    </row>
    <row r="5096" spans="1:19" x14ac:dyDescent="0.25">
      <c r="A5096" s="41" t="s">
        <v>23</v>
      </c>
      <c r="B5096" s="41" t="s">
        <v>40913</v>
      </c>
      <c r="D5096" s="41" t="s">
        <v>40914</v>
      </c>
      <c r="F5096" s="41" t="s">
        <v>40915</v>
      </c>
      <c r="G5096" s="41" t="s">
        <v>40916</v>
      </c>
      <c r="H5096" s="41" t="s">
        <v>40917</v>
      </c>
      <c r="I5096" s="41" t="s">
        <v>40918</v>
      </c>
      <c r="J5096" s="41" t="s">
        <v>40919</v>
      </c>
      <c r="K5096" s="41" t="s">
        <v>40920</v>
      </c>
      <c r="L5096" s="41" t="s">
        <v>1076</v>
      </c>
    </row>
    <row r="5097" spans="1:19" x14ac:dyDescent="0.25">
      <c r="A5097" s="41" t="s">
        <v>23</v>
      </c>
      <c r="B5097" s="41" t="s">
        <v>40921</v>
      </c>
      <c r="D5097" s="41" t="s">
        <v>40922</v>
      </c>
      <c r="F5097" s="41" t="s">
        <v>40923</v>
      </c>
      <c r="G5097" s="41" t="s">
        <v>40924</v>
      </c>
      <c r="H5097" s="41" t="s">
        <v>40925</v>
      </c>
      <c r="I5097" s="41" t="s">
        <v>40926</v>
      </c>
      <c r="J5097" s="41" t="s">
        <v>40927</v>
      </c>
      <c r="K5097" s="41" t="s">
        <v>40928</v>
      </c>
      <c r="L5097" s="41" t="s">
        <v>1085</v>
      </c>
    </row>
    <row r="5098" spans="1:19" x14ac:dyDescent="0.25">
      <c r="A5098" s="41" t="s">
        <v>23</v>
      </c>
      <c r="B5098" s="41" t="s">
        <v>40929</v>
      </c>
      <c r="D5098" s="41" t="s">
        <v>40930</v>
      </c>
      <c r="F5098" s="41" t="s">
        <v>40931</v>
      </c>
      <c r="G5098" s="41" t="s">
        <v>40932</v>
      </c>
      <c r="H5098" s="41" t="s">
        <v>40933</v>
      </c>
      <c r="I5098" s="41" t="s">
        <v>40934</v>
      </c>
      <c r="J5098" s="41" t="s">
        <v>40935</v>
      </c>
      <c r="K5098" s="41" t="s">
        <v>40936</v>
      </c>
      <c r="L5098" s="41" t="s">
        <v>1094</v>
      </c>
    </row>
    <row r="5099" spans="1:19" x14ac:dyDescent="0.25">
      <c r="A5099" s="41" t="s">
        <v>908</v>
      </c>
      <c r="B5099" s="41" t="s">
        <v>40937</v>
      </c>
    </row>
    <row r="5100" spans="1:19" x14ac:dyDescent="0.25">
      <c r="A5100" s="41" t="s">
        <v>23</v>
      </c>
      <c r="B5100" s="41" t="s">
        <v>40938</v>
      </c>
      <c r="F5100" s="41" t="s">
        <v>40939</v>
      </c>
      <c r="G5100" s="41" t="s">
        <v>40940</v>
      </c>
      <c r="H5100" s="41" t="s">
        <v>40941</v>
      </c>
      <c r="I5100" s="41" t="s">
        <v>40942</v>
      </c>
      <c r="J5100" s="41" t="s">
        <v>40943</v>
      </c>
      <c r="L5100" s="41" t="s">
        <v>4</v>
      </c>
    </row>
    <row r="5101" spans="1:19" x14ac:dyDescent="0.25">
      <c r="A5101" s="41" t="s">
        <v>23</v>
      </c>
      <c r="B5101" s="41" t="s">
        <v>40944</v>
      </c>
      <c r="D5101" s="41" t="s">
        <v>40777</v>
      </c>
      <c r="E5101" s="41" t="s">
        <v>40946</v>
      </c>
      <c r="F5101" s="41" t="s">
        <v>40947</v>
      </c>
      <c r="G5101" s="41" t="s">
        <v>40948</v>
      </c>
      <c r="H5101" s="41" t="s">
        <v>40949</v>
      </c>
      <c r="I5101" s="41" t="s">
        <v>40950</v>
      </c>
      <c r="J5101" s="41" t="s">
        <v>40951</v>
      </c>
      <c r="K5101" s="41" t="s">
        <v>40952</v>
      </c>
      <c r="L5101" s="41" t="s">
        <v>40953</v>
      </c>
      <c r="M5101" s="41" t="s">
        <v>40954</v>
      </c>
      <c r="N5101" s="41" t="s">
        <v>40955</v>
      </c>
      <c r="O5101" s="41" t="s">
        <v>40956</v>
      </c>
      <c r="P5101" s="41" t="s">
        <v>40957</v>
      </c>
      <c r="Q5101" s="41" t="s">
        <v>40958</v>
      </c>
      <c r="R5101" s="41" t="s">
        <v>40959</v>
      </c>
      <c r="S5101" s="41" t="s">
        <v>40960</v>
      </c>
    </row>
    <row r="5102" spans="1:19" x14ac:dyDescent="0.25">
      <c r="A5102" s="41" t="s">
        <v>23</v>
      </c>
      <c r="B5102" s="41" t="s">
        <v>40961</v>
      </c>
      <c r="D5102" s="41" t="s">
        <v>40962</v>
      </c>
      <c r="F5102" s="41" t="s">
        <v>40963</v>
      </c>
      <c r="G5102" s="41" t="s">
        <v>40964</v>
      </c>
      <c r="H5102" s="41" t="s">
        <v>40965</v>
      </c>
      <c r="I5102" s="41" t="s">
        <v>40966</v>
      </c>
      <c r="J5102" s="41" t="s">
        <v>40967</v>
      </c>
      <c r="K5102" s="41" t="s">
        <v>40968</v>
      </c>
      <c r="L5102" s="41" t="s">
        <v>891</v>
      </c>
    </row>
    <row r="5103" spans="1:19" x14ac:dyDescent="0.25">
      <c r="A5103" s="41" t="s">
        <v>23</v>
      </c>
      <c r="B5103" s="41" t="s">
        <v>40969</v>
      </c>
      <c r="D5103" s="41" t="s">
        <v>40970</v>
      </c>
      <c r="F5103" s="41" t="s">
        <v>40971</v>
      </c>
      <c r="G5103" s="41" t="s">
        <v>40972</v>
      </c>
      <c r="H5103" s="41" t="s">
        <v>40973</v>
      </c>
      <c r="I5103" s="41" t="s">
        <v>40974</v>
      </c>
      <c r="J5103" s="41" t="s">
        <v>40975</v>
      </c>
      <c r="K5103" s="41" t="s">
        <v>40976</v>
      </c>
      <c r="L5103" s="41" t="s">
        <v>1076</v>
      </c>
    </row>
    <row r="5104" spans="1:19" x14ac:dyDescent="0.25">
      <c r="A5104" s="41" t="s">
        <v>23</v>
      </c>
      <c r="B5104" s="41" t="s">
        <v>40977</v>
      </c>
      <c r="D5104" s="41" t="s">
        <v>40978</v>
      </c>
      <c r="F5104" s="41" t="s">
        <v>40979</v>
      </c>
      <c r="G5104" s="41" t="s">
        <v>40980</v>
      </c>
      <c r="H5104" s="41" t="s">
        <v>40981</v>
      </c>
      <c r="I5104" s="41" t="s">
        <v>40982</v>
      </c>
      <c r="J5104" s="41" t="s">
        <v>40983</v>
      </c>
      <c r="K5104" s="41" t="s">
        <v>40984</v>
      </c>
      <c r="L5104" s="41" t="s">
        <v>1085</v>
      </c>
    </row>
    <row r="5105" spans="1:19" x14ac:dyDescent="0.25">
      <c r="A5105" s="41" t="s">
        <v>23</v>
      </c>
      <c r="B5105" s="41" t="s">
        <v>40985</v>
      </c>
      <c r="D5105" s="41" t="s">
        <v>40986</v>
      </c>
      <c r="F5105" s="41" t="s">
        <v>40987</v>
      </c>
      <c r="G5105" s="41" t="s">
        <v>40988</v>
      </c>
      <c r="H5105" s="41" t="s">
        <v>40989</v>
      </c>
      <c r="I5105" s="41" t="s">
        <v>40990</v>
      </c>
      <c r="J5105" s="41" t="s">
        <v>40991</v>
      </c>
      <c r="K5105" s="41" t="s">
        <v>40992</v>
      </c>
      <c r="L5105" s="41" t="s">
        <v>1094</v>
      </c>
    </row>
    <row r="5106" spans="1:19" x14ac:dyDescent="0.25">
      <c r="A5106" s="41" t="s">
        <v>908</v>
      </c>
      <c r="B5106" s="41" t="s">
        <v>40993</v>
      </c>
    </row>
    <row r="5107" spans="1:19" x14ac:dyDescent="0.25">
      <c r="A5107" s="41" t="s">
        <v>23</v>
      </c>
      <c r="B5107" s="41" t="s">
        <v>40994</v>
      </c>
      <c r="F5107" s="41" t="s">
        <v>40995</v>
      </c>
      <c r="G5107" s="41" t="s">
        <v>40996</v>
      </c>
      <c r="H5107" s="41" t="s">
        <v>40997</v>
      </c>
      <c r="I5107" s="41" t="s">
        <v>40998</v>
      </c>
      <c r="J5107" s="41" t="s">
        <v>40999</v>
      </c>
      <c r="L5107" s="41" t="s">
        <v>4</v>
      </c>
    </row>
    <row r="5108" spans="1:19" x14ac:dyDescent="0.25">
      <c r="A5108" s="41" t="s">
        <v>23</v>
      </c>
      <c r="B5108" s="41" t="s">
        <v>41000</v>
      </c>
      <c r="D5108" s="41" t="s">
        <v>40833</v>
      </c>
      <c r="E5108" s="41" t="s">
        <v>41002</v>
      </c>
      <c r="F5108" s="41" t="s">
        <v>41003</v>
      </c>
      <c r="G5108" s="41" t="s">
        <v>41004</v>
      </c>
      <c r="H5108" s="41" t="s">
        <v>41005</v>
      </c>
      <c r="I5108" s="41" t="s">
        <v>41006</v>
      </c>
      <c r="J5108" s="41" t="s">
        <v>41007</v>
      </c>
      <c r="K5108" s="41" t="s">
        <v>41008</v>
      </c>
      <c r="L5108" s="41" t="s">
        <v>41009</v>
      </c>
      <c r="M5108" s="41" t="s">
        <v>41010</v>
      </c>
      <c r="N5108" s="41" t="s">
        <v>41011</v>
      </c>
      <c r="O5108" s="41" t="s">
        <v>41012</v>
      </c>
      <c r="P5108" s="41" t="s">
        <v>41013</v>
      </c>
      <c r="Q5108" s="41" t="s">
        <v>41014</v>
      </c>
      <c r="R5108" s="41" t="s">
        <v>41015</v>
      </c>
      <c r="S5108" s="41" t="s">
        <v>41016</v>
      </c>
    </row>
    <row r="5109" spans="1:19" x14ac:dyDescent="0.25">
      <c r="A5109" s="41" t="s">
        <v>23</v>
      </c>
      <c r="B5109" s="41" t="s">
        <v>41017</v>
      </c>
      <c r="D5109" s="41" t="s">
        <v>41018</v>
      </c>
      <c r="F5109" s="41" t="s">
        <v>41019</v>
      </c>
      <c r="G5109" s="41" t="s">
        <v>41020</v>
      </c>
      <c r="H5109" s="41" t="s">
        <v>41021</v>
      </c>
      <c r="I5109" s="41" t="s">
        <v>41022</v>
      </c>
      <c r="J5109" s="41" t="s">
        <v>41023</v>
      </c>
      <c r="K5109" s="41" t="s">
        <v>41024</v>
      </c>
      <c r="L5109" s="41" t="s">
        <v>891</v>
      </c>
    </row>
    <row r="5110" spans="1:19" x14ac:dyDescent="0.25">
      <c r="A5110" s="41" t="s">
        <v>23</v>
      </c>
      <c r="B5110" s="41" t="s">
        <v>41025</v>
      </c>
      <c r="D5110" s="41" t="s">
        <v>41026</v>
      </c>
      <c r="F5110" s="41" t="s">
        <v>41027</v>
      </c>
      <c r="G5110" s="41" t="s">
        <v>41028</v>
      </c>
      <c r="H5110" s="41" t="s">
        <v>41029</v>
      </c>
      <c r="I5110" s="41" t="s">
        <v>41030</v>
      </c>
      <c r="J5110" s="41" t="s">
        <v>41031</v>
      </c>
      <c r="K5110" s="41" t="s">
        <v>41032</v>
      </c>
      <c r="L5110" s="41" t="s">
        <v>1076</v>
      </c>
    </row>
    <row r="5111" spans="1:19" x14ac:dyDescent="0.25">
      <c r="A5111" s="41" t="s">
        <v>23</v>
      </c>
      <c r="B5111" s="41" t="s">
        <v>41033</v>
      </c>
      <c r="D5111" s="41" t="s">
        <v>41034</v>
      </c>
      <c r="F5111" s="41" t="s">
        <v>41035</v>
      </c>
      <c r="G5111" s="41" t="s">
        <v>41036</v>
      </c>
      <c r="H5111" s="41" t="s">
        <v>41037</v>
      </c>
      <c r="I5111" s="41" t="s">
        <v>41038</v>
      </c>
      <c r="J5111" s="41" t="s">
        <v>41039</v>
      </c>
      <c r="K5111" s="41" t="s">
        <v>41040</v>
      </c>
      <c r="L5111" s="41" t="s">
        <v>1085</v>
      </c>
    </row>
    <row r="5112" spans="1:19" x14ac:dyDescent="0.25">
      <c r="A5112" s="41" t="s">
        <v>23</v>
      </c>
      <c r="B5112" s="41" t="s">
        <v>41041</v>
      </c>
      <c r="D5112" s="41" t="s">
        <v>41042</v>
      </c>
      <c r="F5112" s="41" t="s">
        <v>41043</v>
      </c>
      <c r="G5112" s="41" t="s">
        <v>41044</v>
      </c>
      <c r="H5112" s="41" t="s">
        <v>41045</v>
      </c>
      <c r="I5112" s="41" t="s">
        <v>41046</v>
      </c>
      <c r="J5112" s="41" t="s">
        <v>41047</v>
      </c>
      <c r="K5112" s="41" t="s">
        <v>41048</v>
      </c>
      <c r="L5112" s="41" t="s">
        <v>1094</v>
      </c>
    </row>
    <row r="5113" spans="1:19" x14ac:dyDescent="0.25">
      <c r="A5113" s="41" t="s">
        <v>908</v>
      </c>
      <c r="B5113" s="41" t="s">
        <v>41049</v>
      </c>
    </row>
    <row r="5114" spans="1:19" x14ac:dyDescent="0.25">
      <c r="A5114" s="41" t="s">
        <v>23</v>
      </c>
      <c r="B5114" s="41" t="s">
        <v>41050</v>
      </c>
      <c r="F5114" s="41" t="s">
        <v>41051</v>
      </c>
      <c r="G5114" s="41" t="s">
        <v>41052</v>
      </c>
      <c r="H5114" s="41" t="s">
        <v>41053</v>
      </c>
      <c r="I5114" s="41" t="s">
        <v>41054</v>
      </c>
      <c r="J5114" s="41" t="s">
        <v>41055</v>
      </c>
      <c r="L5114" s="41" t="s">
        <v>4</v>
      </c>
    </row>
    <row r="5115" spans="1:19" x14ac:dyDescent="0.25">
      <c r="A5115" s="41" t="s">
        <v>23</v>
      </c>
      <c r="B5115" s="41" t="s">
        <v>41056</v>
      </c>
      <c r="D5115" s="41" t="s">
        <v>40889</v>
      </c>
      <c r="E5115" s="41" t="s">
        <v>41058</v>
      </c>
      <c r="F5115" s="41" t="s">
        <v>41059</v>
      </c>
      <c r="G5115" s="41" t="s">
        <v>41060</v>
      </c>
      <c r="H5115" s="41" t="s">
        <v>41061</v>
      </c>
      <c r="I5115" s="41" t="s">
        <v>41062</v>
      </c>
      <c r="J5115" s="41" t="s">
        <v>41063</v>
      </c>
      <c r="K5115" s="41" t="s">
        <v>41064</v>
      </c>
      <c r="L5115" s="41" t="s">
        <v>41065</v>
      </c>
      <c r="M5115" s="41" t="s">
        <v>41066</v>
      </c>
      <c r="N5115" s="41" t="s">
        <v>41067</v>
      </c>
      <c r="O5115" s="41" t="s">
        <v>41068</v>
      </c>
      <c r="P5115" s="41" t="s">
        <v>41069</v>
      </c>
      <c r="Q5115" s="41" t="s">
        <v>41070</v>
      </c>
      <c r="R5115" s="41" t="s">
        <v>41071</v>
      </c>
      <c r="S5115" s="41" t="s">
        <v>41072</v>
      </c>
    </row>
    <row r="5116" spans="1:19" x14ac:dyDescent="0.25">
      <c r="A5116" s="41" t="s">
        <v>23</v>
      </c>
      <c r="B5116" s="41" t="s">
        <v>41073</v>
      </c>
      <c r="D5116" s="41" t="s">
        <v>41074</v>
      </c>
      <c r="F5116" s="41" t="s">
        <v>41075</v>
      </c>
      <c r="G5116" s="41" t="s">
        <v>41076</v>
      </c>
      <c r="H5116" s="41" t="s">
        <v>41077</v>
      </c>
      <c r="I5116" s="41" t="s">
        <v>41078</v>
      </c>
      <c r="J5116" s="41" t="s">
        <v>41079</v>
      </c>
      <c r="K5116" s="41" t="s">
        <v>41080</v>
      </c>
      <c r="L5116" s="41" t="s">
        <v>891</v>
      </c>
    </row>
    <row r="5117" spans="1:19" x14ac:dyDescent="0.25">
      <c r="A5117" s="41" t="s">
        <v>23</v>
      </c>
      <c r="B5117" s="41" t="s">
        <v>41081</v>
      </c>
      <c r="D5117" s="41" t="s">
        <v>41082</v>
      </c>
      <c r="F5117" s="41" t="s">
        <v>41083</v>
      </c>
      <c r="G5117" s="41" t="s">
        <v>41084</v>
      </c>
      <c r="H5117" s="41" t="s">
        <v>41085</v>
      </c>
      <c r="I5117" s="41" t="s">
        <v>41086</v>
      </c>
      <c r="J5117" s="41" t="s">
        <v>41087</v>
      </c>
      <c r="K5117" s="41" t="s">
        <v>41088</v>
      </c>
      <c r="L5117" s="41" t="s">
        <v>1076</v>
      </c>
    </row>
    <row r="5118" spans="1:19" x14ac:dyDescent="0.25">
      <c r="A5118" s="41" t="s">
        <v>23</v>
      </c>
      <c r="B5118" s="41" t="s">
        <v>41089</v>
      </c>
      <c r="D5118" s="41" t="s">
        <v>41090</v>
      </c>
      <c r="F5118" s="41" t="s">
        <v>41091</v>
      </c>
      <c r="G5118" s="41" t="s">
        <v>41092</v>
      </c>
      <c r="H5118" s="41" t="s">
        <v>41093</v>
      </c>
      <c r="I5118" s="41" t="s">
        <v>41094</v>
      </c>
      <c r="J5118" s="41" t="s">
        <v>41095</v>
      </c>
      <c r="K5118" s="41" t="s">
        <v>41096</v>
      </c>
      <c r="L5118" s="41" t="s">
        <v>1085</v>
      </c>
    </row>
    <row r="5119" spans="1:19" x14ac:dyDescent="0.25">
      <c r="A5119" s="41" t="s">
        <v>23</v>
      </c>
      <c r="B5119" s="41" t="s">
        <v>41097</v>
      </c>
      <c r="D5119" s="41" t="s">
        <v>41098</v>
      </c>
      <c r="F5119" s="41" t="s">
        <v>41099</v>
      </c>
      <c r="G5119" s="41" t="s">
        <v>41100</v>
      </c>
      <c r="H5119" s="41" t="s">
        <v>41101</v>
      </c>
      <c r="I5119" s="41" t="s">
        <v>41102</v>
      </c>
      <c r="J5119" s="41" t="s">
        <v>41103</v>
      </c>
      <c r="K5119" s="41" t="s">
        <v>41104</v>
      </c>
      <c r="L5119" s="41" t="s">
        <v>1094</v>
      </c>
    </row>
    <row r="5120" spans="1:19" x14ac:dyDescent="0.25">
      <c r="A5120" s="41" t="s">
        <v>908</v>
      </c>
      <c r="B5120" s="41" t="s">
        <v>41105</v>
      </c>
    </row>
    <row r="5121" spans="1:19" x14ac:dyDescent="0.25">
      <c r="A5121" s="41" t="s">
        <v>23</v>
      </c>
      <c r="B5121" s="41" t="s">
        <v>41106</v>
      </c>
      <c r="F5121" s="41" t="s">
        <v>41107</v>
      </c>
      <c r="G5121" s="41" t="s">
        <v>41108</v>
      </c>
      <c r="H5121" s="41" t="s">
        <v>41109</v>
      </c>
      <c r="I5121" s="41" t="s">
        <v>41110</v>
      </c>
      <c r="J5121" s="41" t="s">
        <v>41111</v>
      </c>
      <c r="L5121" s="41" t="s">
        <v>4</v>
      </c>
    </row>
    <row r="5122" spans="1:19" x14ac:dyDescent="0.25">
      <c r="A5122" s="41" t="s">
        <v>23</v>
      </c>
      <c r="B5122" s="41" t="s">
        <v>41112</v>
      </c>
      <c r="D5122" s="41" t="s">
        <v>40945</v>
      </c>
      <c r="E5122" s="41" t="s">
        <v>41114</v>
      </c>
      <c r="F5122" s="41" t="s">
        <v>41115</v>
      </c>
      <c r="G5122" s="41" t="s">
        <v>41116</v>
      </c>
      <c r="H5122" s="41" t="s">
        <v>41117</v>
      </c>
      <c r="I5122" s="41" t="s">
        <v>41118</v>
      </c>
      <c r="J5122" s="41" t="s">
        <v>41119</v>
      </c>
      <c r="K5122" s="41" t="s">
        <v>41120</v>
      </c>
      <c r="L5122" s="41" t="s">
        <v>41121</v>
      </c>
      <c r="M5122" s="41" t="s">
        <v>41122</v>
      </c>
      <c r="N5122" s="41" t="s">
        <v>41123</v>
      </c>
      <c r="O5122" s="41" t="s">
        <v>41124</v>
      </c>
      <c r="P5122" s="41" t="s">
        <v>41125</v>
      </c>
      <c r="Q5122" s="41" t="s">
        <v>41126</v>
      </c>
      <c r="R5122" s="41" t="s">
        <v>41127</v>
      </c>
      <c r="S5122" s="41" t="s">
        <v>41128</v>
      </c>
    </row>
    <row r="5123" spans="1:19" x14ac:dyDescent="0.25">
      <c r="A5123" s="41" t="s">
        <v>23</v>
      </c>
      <c r="B5123" s="41" t="s">
        <v>41129</v>
      </c>
      <c r="D5123" s="41" t="s">
        <v>41130</v>
      </c>
      <c r="F5123" s="41" t="s">
        <v>41131</v>
      </c>
      <c r="G5123" s="41" t="s">
        <v>41132</v>
      </c>
      <c r="H5123" s="41" t="s">
        <v>41133</v>
      </c>
      <c r="I5123" s="41" t="s">
        <v>41134</v>
      </c>
      <c r="J5123" s="41" t="s">
        <v>41135</v>
      </c>
      <c r="K5123" s="41" t="s">
        <v>41136</v>
      </c>
      <c r="L5123" s="41" t="s">
        <v>891</v>
      </c>
    </row>
    <row r="5124" spans="1:19" x14ac:dyDescent="0.25">
      <c r="A5124" s="41" t="s">
        <v>23</v>
      </c>
      <c r="B5124" s="41" t="s">
        <v>41137</v>
      </c>
      <c r="D5124" s="41" t="s">
        <v>41138</v>
      </c>
      <c r="F5124" s="41" t="s">
        <v>41139</v>
      </c>
      <c r="G5124" s="41" t="s">
        <v>41140</v>
      </c>
      <c r="H5124" s="41" t="s">
        <v>41141</v>
      </c>
      <c r="I5124" s="41" t="s">
        <v>41142</v>
      </c>
      <c r="J5124" s="41" t="s">
        <v>41143</v>
      </c>
      <c r="K5124" s="41" t="s">
        <v>41144</v>
      </c>
      <c r="L5124" s="41" t="s">
        <v>1076</v>
      </c>
    </row>
    <row r="5125" spans="1:19" x14ac:dyDescent="0.25">
      <c r="A5125" s="41" t="s">
        <v>23</v>
      </c>
      <c r="B5125" s="41" t="s">
        <v>41145</v>
      </c>
      <c r="D5125" s="41" t="s">
        <v>41146</v>
      </c>
      <c r="F5125" s="41" t="s">
        <v>41147</v>
      </c>
      <c r="G5125" s="41" t="s">
        <v>41148</v>
      </c>
      <c r="H5125" s="41" t="s">
        <v>41149</v>
      </c>
      <c r="I5125" s="41" t="s">
        <v>41150</v>
      </c>
      <c r="J5125" s="41" t="s">
        <v>41151</v>
      </c>
      <c r="K5125" s="41" t="s">
        <v>41152</v>
      </c>
      <c r="L5125" s="41" t="s">
        <v>1085</v>
      </c>
    </row>
    <row r="5126" spans="1:19" x14ac:dyDescent="0.25">
      <c r="A5126" s="41" t="s">
        <v>23</v>
      </c>
      <c r="B5126" s="41" t="s">
        <v>41153</v>
      </c>
      <c r="D5126" s="41" t="s">
        <v>41154</v>
      </c>
      <c r="F5126" s="41" t="s">
        <v>41155</v>
      </c>
      <c r="G5126" s="41" t="s">
        <v>41156</v>
      </c>
      <c r="H5126" s="41" t="s">
        <v>41157</v>
      </c>
      <c r="I5126" s="41" t="s">
        <v>41158</v>
      </c>
      <c r="J5126" s="41" t="s">
        <v>41159</v>
      </c>
      <c r="K5126" s="41" t="s">
        <v>41160</v>
      </c>
      <c r="L5126" s="41" t="s">
        <v>1094</v>
      </c>
    </row>
    <row r="5127" spans="1:19" x14ac:dyDescent="0.25">
      <c r="A5127" s="41" t="s">
        <v>908</v>
      </c>
      <c r="B5127" s="41" t="s">
        <v>41161</v>
      </c>
    </row>
    <row r="5128" spans="1:19" x14ac:dyDescent="0.25">
      <c r="A5128" s="41" t="s">
        <v>23</v>
      </c>
      <c r="B5128" s="41" t="s">
        <v>41162</v>
      </c>
      <c r="F5128" s="41" t="s">
        <v>41163</v>
      </c>
      <c r="G5128" s="41" t="s">
        <v>41164</v>
      </c>
      <c r="H5128" s="41" t="s">
        <v>41165</v>
      </c>
      <c r="I5128" s="41" t="s">
        <v>41166</v>
      </c>
      <c r="J5128" s="41" t="s">
        <v>41167</v>
      </c>
      <c r="L5128" s="41" t="s">
        <v>4</v>
      </c>
    </row>
    <row r="5129" spans="1:19" x14ac:dyDescent="0.25">
      <c r="A5129" s="41" t="s">
        <v>23</v>
      </c>
      <c r="B5129" s="41" t="s">
        <v>41168</v>
      </c>
      <c r="D5129" s="41" t="s">
        <v>41001</v>
      </c>
      <c r="E5129" s="41" t="s">
        <v>41170</v>
      </c>
      <c r="F5129" s="41" t="s">
        <v>41171</v>
      </c>
      <c r="G5129" s="41" t="s">
        <v>41172</v>
      </c>
      <c r="H5129" s="41" t="s">
        <v>41173</v>
      </c>
      <c r="I5129" s="41" t="s">
        <v>41174</v>
      </c>
      <c r="J5129" s="41" t="s">
        <v>41175</v>
      </c>
      <c r="K5129" s="41" t="s">
        <v>41176</v>
      </c>
      <c r="L5129" s="41" t="s">
        <v>41177</v>
      </c>
      <c r="M5129" s="41" t="s">
        <v>41178</v>
      </c>
      <c r="N5129" s="41" t="s">
        <v>41179</v>
      </c>
      <c r="O5129" s="41" t="s">
        <v>41180</v>
      </c>
      <c r="P5129" s="41" t="s">
        <v>41181</v>
      </c>
      <c r="Q5129" s="41" t="s">
        <v>41182</v>
      </c>
      <c r="R5129" s="41" t="s">
        <v>41183</v>
      </c>
      <c r="S5129" s="41" t="s">
        <v>41184</v>
      </c>
    </row>
    <row r="5130" spans="1:19" x14ac:dyDescent="0.25">
      <c r="A5130" s="41" t="s">
        <v>23</v>
      </c>
      <c r="B5130" s="41" t="s">
        <v>41185</v>
      </c>
      <c r="D5130" s="41" t="s">
        <v>41186</v>
      </c>
      <c r="F5130" s="41" t="s">
        <v>41187</v>
      </c>
      <c r="G5130" s="41" t="s">
        <v>41188</v>
      </c>
      <c r="H5130" s="41" t="s">
        <v>41189</v>
      </c>
      <c r="I5130" s="41" t="s">
        <v>41190</v>
      </c>
      <c r="J5130" s="41" t="s">
        <v>41191</v>
      </c>
      <c r="K5130" s="41" t="s">
        <v>41192</v>
      </c>
      <c r="L5130" s="41" t="s">
        <v>891</v>
      </c>
    </row>
    <row r="5131" spans="1:19" x14ac:dyDescent="0.25">
      <c r="A5131" s="41" t="s">
        <v>23</v>
      </c>
      <c r="B5131" s="41" t="s">
        <v>41193</v>
      </c>
      <c r="D5131" s="41" t="s">
        <v>41194</v>
      </c>
      <c r="F5131" s="41" t="s">
        <v>41195</v>
      </c>
      <c r="G5131" s="41" t="s">
        <v>41196</v>
      </c>
      <c r="H5131" s="41" t="s">
        <v>41197</v>
      </c>
      <c r="I5131" s="41" t="s">
        <v>41198</v>
      </c>
      <c r="J5131" s="41" t="s">
        <v>41199</v>
      </c>
      <c r="K5131" s="41" t="s">
        <v>41200</v>
      </c>
      <c r="L5131" s="41" t="s">
        <v>1076</v>
      </c>
    </row>
    <row r="5132" spans="1:19" x14ac:dyDescent="0.25">
      <c r="A5132" s="41" t="s">
        <v>23</v>
      </c>
      <c r="B5132" s="41" t="s">
        <v>41201</v>
      </c>
      <c r="D5132" s="41" t="s">
        <v>41202</v>
      </c>
      <c r="F5132" s="41" t="s">
        <v>41203</v>
      </c>
      <c r="G5132" s="41" t="s">
        <v>41204</v>
      </c>
      <c r="H5132" s="41" t="s">
        <v>41205</v>
      </c>
      <c r="I5132" s="41" t="s">
        <v>41206</v>
      </c>
      <c r="J5132" s="41" t="s">
        <v>41207</v>
      </c>
      <c r="K5132" s="41" t="s">
        <v>41208</v>
      </c>
      <c r="L5132" s="41" t="s">
        <v>1085</v>
      </c>
    </row>
    <row r="5133" spans="1:19" x14ac:dyDescent="0.25">
      <c r="A5133" s="41" t="s">
        <v>23</v>
      </c>
      <c r="B5133" s="41" t="s">
        <v>41209</v>
      </c>
      <c r="D5133" s="41" t="s">
        <v>41210</v>
      </c>
      <c r="F5133" s="41" t="s">
        <v>41211</v>
      </c>
      <c r="G5133" s="41" t="s">
        <v>41212</v>
      </c>
      <c r="H5133" s="41" t="s">
        <v>41213</v>
      </c>
      <c r="I5133" s="41" t="s">
        <v>41214</v>
      </c>
      <c r="J5133" s="41" t="s">
        <v>41215</v>
      </c>
      <c r="K5133" s="41" t="s">
        <v>41216</v>
      </c>
      <c r="L5133" s="41" t="s">
        <v>1094</v>
      </c>
    </row>
    <row r="5134" spans="1:19" x14ac:dyDescent="0.25">
      <c r="A5134" s="41" t="s">
        <v>908</v>
      </c>
      <c r="B5134" s="41" t="s">
        <v>41217</v>
      </c>
    </row>
    <row r="5135" spans="1:19" x14ac:dyDescent="0.25">
      <c r="A5135" s="41" t="s">
        <v>23</v>
      </c>
      <c r="B5135" s="41" t="s">
        <v>41218</v>
      </c>
      <c r="F5135" s="41" t="s">
        <v>41219</v>
      </c>
      <c r="G5135" s="41" t="s">
        <v>41220</v>
      </c>
      <c r="H5135" s="41" t="s">
        <v>41221</v>
      </c>
      <c r="I5135" s="41" t="s">
        <v>41222</v>
      </c>
      <c r="J5135" s="41" t="s">
        <v>41223</v>
      </c>
      <c r="L5135" s="41" t="s">
        <v>4</v>
      </c>
    </row>
    <row r="5136" spans="1:19" x14ac:dyDescent="0.25">
      <c r="A5136" s="41" t="s">
        <v>23</v>
      </c>
      <c r="B5136" s="41" t="s">
        <v>41224</v>
      </c>
      <c r="D5136" s="41" t="s">
        <v>41057</v>
      </c>
      <c r="E5136" s="41" t="s">
        <v>41226</v>
      </c>
      <c r="F5136" s="41" t="s">
        <v>41227</v>
      </c>
      <c r="G5136" s="41" t="s">
        <v>41228</v>
      </c>
      <c r="H5136" s="41" t="s">
        <v>41229</v>
      </c>
      <c r="I5136" s="41" t="s">
        <v>41230</v>
      </c>
      <c r="J5136" s="41" t="s">
        <v>41231</v>
      </c>
      <c r="K5136" s="41" t="s">
        <v>41232</v>
      </c>
      <c r="L5136" s="41" t="s">
        <v>41233</v>
      </c>
      <c r="M5136" s="41" t="s">
        <v>41234</v>
      </c>
      <c r="N5136" s="41" t="s">
        <v>41235</v>
      </c>
      <c r="O5136" s="41" t="s">
        <v>41236</v>
      </c>
      <c r="P5136" s="41" t="s">
        <v>41237</v>
      </c>
      <c r="Q5136" s="41" t="s">
        <v>41238</v>
      </c>
      <c r="R5136" s="41" t="s">
        <v>41239</v>
      </c>
      <c r="S5136" s="41" t="s">
        <v>41240</v>
      </c>
    </row>
    <row r="5137" spans="1:19" x14ac:dyDescent="0.25">
      <c r="A5137" s="41" t="s">
        <v>23</v>
      </c>
      <c r="B5137" s="41" t="s">
        <v>41241</v>
      </c>
      <c r="D5137" s="41" t="s">
        <v>41242</v>
      </c>
      <c r="F5137" s="41" t="s">
        <v>41243</v>
      </c>
      <c r="G5137" s="41" t="s">
        <v>41244</v>
      </c>
      <c r="H5137" s="41" t="s">
        <v>41245</v>
      </c>
      <c r="I5137" s="41" t="s">
        <v>41246</v>
      </c>
      <c r="J5137" s="41" t="s">
        <v>41247</v>
      </c>
      <c r="K5137" s="41" t="s">
        <v>41248</v>
      </c>
      <c r="L5137" s="41" t="s">
        <v>891</v>
      </c>
    </row>
    <row r="5138" spans="1:19" x14ac:dyDescent="0.25">
      <c r="A5138" s="41" t="s">
        <v>23</v>
      </c>
      <c r="B5138" s="41" t="s">
        <v>41249</v>
      </c>
      <c r="D5138" s="41" t="s">
        <v>41250</v>
      </c>
      <c r="F5138" s="41" t="s">
        <v>41251</v>
      </c>
      <c r="G5138" s="41" t="s">
        <v>41252</v>
      </c>
      <c r="H5138" s="41" t="s">
        <v>41253</v>
      </c>
      <c r="I5138" s="41" t="s">
        <v>41254</v>
      </c>
      <c r="J5138" s="41" t="s">
        <v>41255</v>
      </c>
      <c r="K5138" s="41" t="s">
        <v>41256</v>
      </c>
      <c r="L5138" s="41" t="s">
        <v>1076</v>
      </c>
    </row>
    <row r="5139" spans="1:19" x14ac:dyDescent="0.25">
      <c r="A5139" s="41" t="s">
        <v>23</v>
      </c>
      <c r="B5139" s="41" t="s">
        <v>41257</v>
      </c>
      <c r="D5139" s="41" t="s">
        <v>41258</v>
      </c>
      <c r="F5139" s="41" t="s">
        <v>41259</v>
      </c>
      <c r="G5139" s="41" t="s">
        <v>41260</v>
      </c>
      <c r="H5139" s="41" t="s">
        <v>41261</v>
      </c>
      <c r="I5139" s="41" t="s">
        <v>41262</v>
      </c>
      <c r="J5139" s="41" t="s">
        <v>41263</v>
      </c>
      <c r="K5139" s="41" t="s">
        <v>41264</v>
      </c>
      <c r="L5139" s="41" t="s">
        <v>1085</v>
      </c>
    </row>
    <row r="5140" spans="1:19" x14ac:dyDescent="0.25">
      <c r="A5140" s="41" t="s">
        <v>23</v>
      </c>
      <c r="B5140" s="41" t="s">
        <v>41265</v>
      </c>
      <c r="D5140" s="41" t="s">
        <v>41266</v>
      </c>
      <c r="F5140" s="41" t="s">
        <v>41267</v>
      </c>
      <c r="G5140" s="41" t="s">
        <v>41268</v>
      </c>
      <c r="H5140" s="41" t="s">
        <v>41269</v>
      </c>
      <c r="I5140" s="41" t="s">
        <v>41270</v>
      </c>
      <c r="J5140" s="41" t="s">
        <v>41271</v>
      </c>
      <c r="K5140" s="41" t="s">
        <v>41272</v>
      </c>
      <c r="L5140" s="41" t="s">
        <v>1094</v>
      </c>
    </row>
    <row r="5141" spans="1:19" x14ac:dyDescent="0.25">
      <c r="A5141" s="41" t="s">
        <v>908</v>
      </c>
      <c r="B5141" s="41" t="s">
        <v>41273</v>
      </c>
    </row>
    <row r="5142" spans="1:19" x14ac:dyDescent="0.25">
      <c r="A5142" s="41" t="s">
        <v>23</v>
      </c>
      <c r="B5142" s="41" t="s">
        <v>41274</v>
      </c>
      <c r="F5142" s="41" t="s">
        <v>41275</v>
      </c>
      <c r="G5142" s="41" t="s">
        <v>41276</v>
      </c>
      <c r="H5142" s="41" t="s">
        <v>41277</v>
      </c>
      <c r="I5142" s="41" t="s">
        <v>41278</v>
      </c>
      <c r="J5142" s="41" t="s">
        <v>41279</v>
      </c>
      <c r="L5142" s="41" t="s">
        <v>4</v>
      </c>
    </row>
    <row r="5143" spans="1:19" x14ac:dyDescent="0.25">
      <c r="A5143" s="41" t="s">
        <v>23</v>
      </c>
      <c r="B5143" s="41" t="s">
        <v>41280</v>
      </c>
      <c r="D5143" s="41" t="s">
        <v>41113</v>
      </c>
      <c r="E5143" s="41" t="s">
        <v>41282</v>
      </c>
      <c r="F5143" s="41" t="s">
        <v>41283</v>
      </c>
      <c r="G5143" s="41" t="s">
        <v>41284</v>
      </c>
      <c r="H5143" s="41" t="s">
        <v>41285</v>
      </c>
      <c r="I5143" s="41" t="s">
        <v>41286</v>
      </c>
      <c r="J5143" s="41" t="s">
        <v>41287</v>
      </c>
      <c r="K5143" s="41" t="s">
        <v>41288</v>
      </c>
      <c r="L5143" s="41" t="s">
        <v>41289</v>
      </c>
      <c r="M5143" s="41" t="s">
        <v>41290</v>
      </c>
      <c r="N5143" s="41" t="s">
        <v>41291</v>
      </c>
      <c r="O5143" s="41" t="s">
        <v>41292</v>
      </c>
      <c r="P5143" s="41" t="s">
        <v>41293</v>
      </c>
      <c r="Q5143" s="41" t="s">
        <v>41294</v>
      </c>
      <c r="R5143" s="41" t="s">
        <v>41295</v>
      </c>
      <c r="S5143" s="41" t="s">
        <v>41296</v>
      </c>
    </row>
    <row r="5144" spans="1:19" x14ac:dyDescent="0.25">
      <c r="A5144" s="41" t="s">
        <v>23</v>
      </c>
      <c r="B5144" s="41" t="s">
        <v>41297</v>
      </c>
      <c r="D5144" s="41" t="s">
        <v>41298</v>
      </c>
      <c r="F5144" s="41" t="s">
        <v>41299</v>
      </c>
      <c r="G5144" s="41" t="s">
        <v>41300</v>
      </c>
      <c r="H5144" s="41" t="s">
        <v>41301</v>
      </c>
      <c r="I5144" s="41" t="s">
        <v>41302</v>
      </c>
      <c r="J5144" s="41" t="s">
        <v>41303</v>
      </c>
      <c r="K5144" s="41" t="s">
        <v>41304</v>
      </c>
      <c r="L5144" s="41" t="s">
        <v>891</v>
      </c>
    </row>
    <row r="5145" spans="1:19" x14ac:dyDescent="0.25">
      <c r="A5145" s="41" t="s">
        <v>23</v>
      </c>
      <c r="B5145" s="41" t="s">
        <v>41305</v>
      </c>
      <c r="D5145" s="41" t="s">
        <v>41306</v>
      </c>
      <c r="F5145" s="41" t="s">
        <v>41307</v>
      </c>
      <c r="G5145" s="41" t="s">
        <v>41308</v>
      </c>
      <c r="H5145" s="41" t="s">
        <v>41309</v>
      </c>
      <c r="I5145" s="41" t="s">
        <v>41310</v>
      </c>
      <c r="J5145" s="41" t="s">
        <v>41311</v>
      </c>
      <c r="K5145" s="41" t="s">
        <v>41312</v>
      </c>
      <c r="L5145" s="41" t="s">
        <v>1076</v>
      </c>
    </row>
    <row r="5146" spans="1:19" x14ac:dyDescent="0.25">
      <c r="A5146" s="41" t="s">
        <v>23</v>
      </c>
      <c r="B5146" s="41" t="s">
        <v>41313</v>
      </c>
      <c r="D5146" s="41" t="s">
        <v>41314</v>
      </c>
      <c r="F5146" s="41" t="s">
        <v>41315</v>
      </c>
      <c r="G5146" s="41" t="s">
        <v>41316</v>
      </c>
      <c r="H5146" s="41" t="s">
        <v>41317</v>
      </c>
      <c r="I5146" s="41" t="s">
        <v>41318</v>
      </c>
      <c r="J5146" s="41" t="s">
        <v>41319</v>
      </c>
      <c r="K5146" s="41" t="s">
        <v>41320</v>
      </c>
      <c r="L5146" s="41" t="s">
        <v>1085</v>
      </c>
    </row>
    <row r="5147" spans="1:19" x14ac:dyDescent="0.25">
      <c r="A5147" s="41" t="s">
        <v>23</v>
      </c>
      <c r="B5147" s="41" t="s">
        <v>41321</v>
      </c>
      <c r="D5147" s="41" t="s">
        <v>41322</v>
      </c>
      <c r="F5147" s="41" t="s">
        <v>41323</v>
      </c>
      <c r="G5147" s="41" t="s">
        <v>41324</v>
      </c>
      <c r="H5147" s="41" t="s">
        <v>41325</v>
      </c>
      <c r="I5147" s="41" t="s">
        <v>41326</v>
      </c>
      <c r="J5147" s="41" t="s">
        <v>41327</v>
      </c>
      <c r="K5147" s="41" t="s">
        <v>41328</v>
      </c>
      <c r="L5147" s="41" t="s">
        <v>1094</v>
      </c>
    </row>
    <row r="5148" spans="1:19" x14ac:dyDescent="0.25">
      <c r="A5148" s="41" t="s">
        <v>908</v>
      </c>
      <c r="B5148" s="41" t="s">
        <v>41329</v>
      </c>
    </row>
    <row r="5149" spans="1:19" x14ac:dyDescent="0.25">
      <c r="A5149" s="41" t="s">
        <v>23</v>
      </c>
      <c r="B5149" s="41" t="s">
        <v>41330</v>
      </c>
      <c r="F5149" s="41" t="s">
        <v>41331</v>
      </c>
      <c r="G5149" s="41" t="s">
        <v>41332</v>
      </c>
      <c r="H5149" s="41" t="s">
        <v>41333</v>
      </c>
      <c r="I5149" s="41" t="s">
        <v>41334</v>
      </c>
      <c r="J5149" s="41" t="s">
        <v>41335</v>
      </c>
      <c r="L5149" s="41" t="s">
        <v>4</v>
      </c>
    </row>
    <row r="5150" spans="1:19" x14ac:dyDescent="0.25">
      <c r="A5150" s="41" t="s">
        <v>23</v>
      </c>
      <c r="B5150" s="41" t="s">
        <v>41336</v>
      </c>
      <c r="D5150" s="41" t="s">
        <v>41169</v>
      </c>
      <c r="E5150" s="41" t="s">
        <v>41338</v>
      </c>
      <c r="F5150" s="41" t="s">
        <v>41339</v>
      </c>
      <c r="G5150" s="41" t="s">
        <v>41340</v>
      </c>
      <c r="H5150" s="41" t="s">
        <v>41341</v>
      </c>
      <c r="I5150" s="41" t="s">
        <v>41342</v>
      </c>
      <c r="J5150" s="41" t="s">
        <v>41343</v>
      </c>
      <c r="K5150" s="41" t="s">
        <v>41344</v>
      </c>
      <c r="L5150" s="41" t="s">
        <v>41345</v>
      </c>
      <c r="M5150" s="41" t="s">
        <v>41346</v>
      </c>
      <c r="N5150" s="41" t="s">
        <v>41347</v>
      </c>
      <c r="O5150" s="41" t="s">
        <v>41348</v>
      </c>
      <c r="P5150" s="41" t="s">
        <v>41349</v>
      </c>
      <c r="Q5150" s="41" t="s">
        <v>41350</v>
      </c>
      <c r="R5150" s="41" t="s">
        <v>41351</v>
      </c>
      <c r="S5150" s="41" t="s">
        <v>41352</v>
      </c>
    </row>
    <row r="5151" spans="1:19" x14ac:dyDescent="0.25">
      <c r="A5151" s="41" t="s">
        <v>23</v>
      </c>
      <c r="B5151" s="41" t="s">
        <v>41353</v>
      </c>
      <c r="D5151" s="41" t="s">
        <v>41354</v>
      </c>
      <c r="F5151" s="41" t="s">
        <v>41355</v>
      </c>
      <c r="G5151" s="41" t="s">
        <v>41356</v>
      </c>
      <c r="H5151" s="41" t="s">
        <v>41357</v>
      </c>
      <c r="I5151" s="41" t="s">
        <v>41358</v>
      </c>
      <c r="J5151" s="41" t="s">
        <v>41359</v>
      </c>
      <c r="K5151" s="41" t="s">
        <v>41360</v>
      </c>
      <c r="L5151" s="41" t="s">
        <v>891</v>
      </c>
    </row>
    <row r="5152" spans="1:19" x14ac:dyDescent="0.25">
      <c r="A5152" s="41" t="s">
        <v>23</v>
      </c>
      <c r="B5152" s="41" t="s">
        <v>41361</v>
      </c>
      <c r="D5152" s="41" t="s">
        <v>41362</v>
      </c>
      <c r="F5152" s="41" t="s">
        <v>41363</v>
      </c>
      <c r="G5152" s="41" t="s">
        <v>41364</v>
      </c>
      <c r="H5152" s="41" t="s">
        <v>41365</v>
      </c>
      <c r="I5152" s="41" t="s">
        <v>41366</v>
      </c>
      <c r="J5152" s="41" t="s">
        <v>41367</v>
      </c>
      <c r="K5152" s="41" t="s">
        <v>41368</v>
      </c>
      <c r="L5152" s="41" t="s">
        <v>1076</v>
      </c>
    </row>
    <row r="5153" spans="1:19" x14ac:dyDescent="0.25">
      <c r="A5153" s="41" t="s">
        <v>23</v>
      </c>
      <c r="B5153" s="41" t="s">
        <v>41369</v>
      </c>
      <c r="D5153" s="41" t="s">
        <v>41370</v>
      </c>
      <c r="F5153" s="41" t="s">
        <v>41371</v>
      </c>
      <c r="G5153" s="41" t="s">
        <v>41372</v>
      </c>
      <c r="H5153" s="41" t="s">
        <v>41373</v>
      </c>
      <c r="I5153" s="41" t="s">
        <v>41374</v>
      </c>
      <c r="J5153" s="41" t="s">
        <v>41375</v>
      </c>
      <c r="K5153" s="41" t="s">
        <v>41376</v>
      </c>
      <c r="L5153" s="41" t="s">
        <v>1085</v>
      </c>
    </row>
    <row r="5154" spans="1:19" x14ac:dyDescent="0.25">
      <c r="A5154" s="41" t="s">
        <v>23</v>
      </c>
      <c r="B5154" s="41" t="s">
        <v>41377</v>
      </c>
      <c r="D5154" s="41" t="s">
        <v>41378</v>
      </c>
      <c r="F5154" s="41" t="s">
        <v>41379</v>
      </c>
      <c r="G5154" s="41" t="s">
        <v>41380</v>
      </c>
      <c r="H5154" s="41" t="s">
        <v>41381</v>
      </c>
      <c r="I5154" s="41" t="s">
        <v>41382</v>
      </c>
      <c r="J5154" s="41" t="s">
        <v>41383</v>
      </c>
      <c r="K5154" s="41" t="s">
        <v>41384</v>
      </c>
      <c r="L5154" s="41" t="s">
        <v>1094</v>
      </c>
    </row>
    <row r="5155" spans="1:19" x14ac:dyDescent="0.25">
      <c r="A5155" s="41" t="s">
        <v>908</v>
      </c>
      <c r="B5155" s="41" t="s">
        <v>41385</v>
      </c>
    </row>
    <row r="5156" spans="1:19" x14ac:dyDescent="0.25">
      <c r="A5156" s="41" t="s">
        <v>23</v>
      </c>
      <c r="B5156" s="41" t="s">
        <v>41386</v>
      </c>
      <c r="F5156" s="41" t="s">
        <v>41387</v>
      </c>
      <c r="G5156" s="41" t="s">
        <v>41388</v>
      </c>
      <c r="H5156" s="41" t="s">
        <v>41389</v>
      </c>
      <c r="I5156" s="41" t="s">
        <v>41390</v>
      </c>
      <c r="J5156" s="41" t="s">
        <v>41391</v>
      </c>
      <c r="L5156" s="41" t="s">
        <v>4</v>
      </c>
    </row>
    <row r="5157" spans="1:19" x14ac:dyDescent="0.25">
      <c r="A5157" s="41" t="s">
        <v>23</v>
      </c>
      <c r="B5157" s="41" t="s">
        <v>41392</v>
      </c>
      <c r="D5157" s="41" t="s">
        <v>41225</v>
      </c>
      <c r="E5157" s="41" t="s">
        <v>41394</v>
      </c>
      <c r="F5157" s="41" t="s">
        <v>41395</v>
      </c>
      <c r="G5157" s="41" t="s">
        <v>41396</v>
      </c>
      <c r="H5157" s="41" t="s">
        <v>41397</v>
      </c>
      <c r="I5157" s="41" t="s">
        <v>41398</v>
      </c>
      <c r="J5157" s="41" t="s">
        <v>41399</v>
      </c>
      <c r="K5157" s="41" t="s">
        <v>41400</v>
      </c>
      <c r="L5157" s="41" t="s">
        <v>41401</v>
      </c>
      <c r="M5157" s="41" t="s">
        <v>41402</v>
      </c>
      <c r="N5157" s="41" t="s">
        <v>41403</v>
      </c>
      <c r="O5157" s="41" t="s">
        <v>41404</v>
      </c>
      <c r="P5157" s="41" t="s">
        <v>41405</v>
      </c>
      <c r="Q5157" s="41" t="s">
        <v>41406</v>
      </c>
      <c r="R5157" s="41" t="s">
        <v>41407</v>
      </c>
      <c r="S5157" s="41" t="s">
        <v>41408</v>
      </c>
    </row>
    <row r="5158" spans="1:19" x14ac:dyDescent="0.25">
      <c r="A5158" s="41" t="s">
        <v>23</v>
      </c>
      <c r="B5158" s="41" t="s">
        <v>41409</v>
      </c>
      <c r="D5158" s="41" t="s">
        <v>41410</v>
      </c>
      <c r="F5158" s="41" t="s">
        <v>41411</v>
      </c>
      <c r="G5158" s="41" t="s">
        <v>41412</v>
      </c>
      <c r="H5158" s="41" t="s">
        <v>41413</v>
      </c>
      <c r="I5158" s="41" t="s">
        <v>41414</v>
      </c>
      <c r="J5158" s="41" t="s">
        <v>41415</v>
      </c>
      <c r="K5158" s="41" t="s">
        <v>41416</v>
      </c>
      <c r="L5158" s="41" t="s">
        <v>891</v>
      </c>
    </row>
    <row r="5159" spans="1:19" x14ac:dyDescent="0.25">
      <c r="A5159" s="41" t="s">
        <v>23</v>
      </c>
      <c r="B5159" s="41" t="s">
        <v>41417</v>
      </c>
      <c r="D5159" s="41" t="s">
        <v>41418</v>
      </c>
      <c r="F5159" s="41" t="s">
        <v>41419</v>
      </c>
      <c r="G5159" s="41" t="s">
        <v>41420</v>
      </c>
      <c r="H5159" s="41" t="s">
        <v>41421</v>
      </c>
      <c r="I5159" s="41" t="s">
        <v>41422</v>
      </c>
      <c r="J5159" s="41" t="s">
        <v>41423</v>
      </c>
      <c r="K5159" s="41" t="s">
        <v>41424</v>
      </c>
      <c r="L5159" s="41" t="s">
        <v>1076</v>
      </c>
    </row>
    <row r="5160" spans="1:19" x14ac:dyDescent="0.25">
      <c r="A5160" s="41" t="s">
        <v>23</v>
      </c>
      <c r="B5160" s="41" t="s">
        <v>41425</v>
      </c>
      <c r="D5160" s="41" t="s">
        <v>41426</v>
      </c>
      <c r="F5160" s="41" t="s">
        <v>41427</v>
      </c>
      <c r="G5160" s="41" t="s">
        <v>41428</v>
      </c>
      <c r="H5160" s="41" t="s">
        <v>41429</v>
      </c>
      <c r="I5160" s="41" t="s">
        <v>41430</v>
      </c>
      <c r="J5160" s="41" t="s">
        <v>41431</v>
      </c>
      <c r="K5160" s="41" t="s">
        <v>41432</v>
      </c>
      <c r="L5160" s="41" t="s">
        <v>1085</v>
      </c>
    </row>
    <row r="5161" spans="1:19" x14ac:dyDescent="0.25">
      <c r="A5161" s="41" t="s">
        <v>23</v>
      </c>
      <c r="B5161" s="41" t="s">
        <v>41433</v>
      </c>
      <c r="D5161" s="41" t="s">
        <v>41434</v>
      </c>
      <c r="F5161" s="41" t="s">
        <v>41435</v>
      </c>
      <c r="G5161" s="41" t="s">
        <v>41436</v>
      </c>
      <c r="H5161" s="41" t="s">
        <v>41437</v>
      </c>
      <c r="I5161" s="41" t="s">
        <v>41438</v>
      </c>
      <c r="J5161" s="41" t="s">
        <v>41439</v>
      </c>
      <c r="K5161" s="41" t="s">
        <v>41440</v>
      </c>
      <c r="L5161" s="41" t="s">
        <v>1094</v>
      </c>
    </row>
    <row r="5162" spans="1:19" x14ac:dyDescent="0.25">
      <c r="A5162" s="41" t="s">
        <v>908</v>
      </c>
      <c r="B5162" s="41" t="s">
        <v>41441</v>
      </c>
    </row>
    <row r="5163" spans="1:19" x14ac:dyDescent="0.25">
      <c r="A5163" s="41" t="s">
        <v>23</v>
      </c>
      <c r="B5163" s="41" t="s">
        <v>41442</v>
      </c>
      <c r="F5163" s="41" t="s">
        <v>41443</v>
      </c>
      <c r="G5163" s="41" t="s">
        <v>41444</v>
      </c>
      <c r="H5163" s="41" t="s">
        <v>41445</v>
      </c>
      <c r="I5163" s="41" t="s">
        <v>41446</v>
      </c>
      <c r="J5163" s="41" t="s">
        <v>41447</v>
      </c>
      <c r="L5163" s="41" t="s">
        <v>4</v>
      </c>
    </row>
    <row r="5164" spans="1:19" x14ac:dyDescent="0.25">
      <c r="A5164" s="41" t="s">
        <v>23</v>
      </c>
      <c r="B5164" s="41" t="s">
        <v>41448</v>
      </c>
      <c r="D5164" s="41" t="s">
        <v>41281</v>
      </c>
      <c r="E5164" s="41" t="s">
        <v>41450</v>
      </c>
      <c r="F5164" s="41" t="s">
        <v>41451</v>
      </c>
      <c r="G5164" s="41" t="s">
        <v>41452</v>
      </c>
      <c r="H5164" s="41" t="s">
        <v>41453</v>
      </c>
      <c r="I5164" s="41" t="s">
        <v>41454</v>
      </c>
      <c r="J5164" s="41" t="s">
        <v>41455</v>
      </c>
      <c r="K5164" s="41" t="s">
        <v>41456</v>
      </c>
      <c r="L5164" s="41" t="s">
        <v>41457</v>
      </c>
      <c r="M5164" s="41" t="s">
        <v>41458</v>
      </c>
      <c r="N5164" s="41" t="s">
        <v>41459</v>
      </c>
      <c r="O5164" s="41" t="s">
        <v>41460</v>
      </c>
      <c r="P5164" s="41" t="s">
        <v>41461</v>
      </c>
      <c r="Q5164" s="41" t="s">
        <v>41462</v>
      </c>
      <c r="R5164" s="41" t="s">
        <v>41463</v>
      </c>
      <c r="S5164" s="41" t="s">
        <v>41464</v>
      </c>
    </row>
    <row r="5165" spans="1:19" x14ac:dyDescent="0.25">
      <c r="A5165" s="41" t="s">
        <v>23</v>
      </c>
      <c r="B5165" s="41" t="s">
        <v>41465</v>
      </c>
      <c r="D5165" s="41" t="s">
        <v>41466</v>
      </c>
      <c r="F5165" s="41" t="s">
        <v>41467</v>
      </c>
      <c r="G5165" s="41" t="s">
        <v>41468</v>
      </c>
      <c r="H5165" s="41" t="s">
        <v>41469</v>
      </c>
      <c r="I5165" s="41" t="s">
        <v>41470</v>
      </c>
      <c r="J5165" s="41" t="s">
        <v>41471</v>
      </c>
      <c r="K5165" s="41" t="s">
        <v>41472</v>
      </c>
      <c r="L5165" s="41" t="s">
        <v>891</v>
      </c>
    </row>
    <row r="5166" spans="1:19" x14ac:dyDescent="0.25">
      <c r="A5166" s="41" t="s">
        <v>23</v>
      </c>
      <c r="B5166" s="41" t="s">
        <v>41473</v>
      </c>
      <c r="D5166" s="41" t="s">
        <v>41474</v>
      </c>
      <c r="F5166" s="41" t="s">
        <v>41475</v>
      </c>
      <c r="G5166" s="41" t="s">
        <v>41476</v>
      </c>
      <c r="H5166" s="41" t="s">
        <v>41477</v>
      </c>
      <c r="I5166" s="41" t="s">
        <v>41478</v>
      </c>
      <c r="J5166" s="41" t="s">
        <v>41479</v>
      </c>
      <c r="K5166" s="41" t="s">
        <v>41480</v>
      </c>
      <c r="L5166" s="41" t="s">
        <v>1076</v>
      </c>
    </row>
    <row r="5167" spans="1:19" x14ac:dyDescent="0.25">
      <c r="A5167" s="41" t="s">
        <v>23</v>
      </c>
      <c r="B5167" s="41" t="s">
        <v>41481</v>
      </c>
      <c r="D5167" s="41" t="s">
        <v>41482</v>
      </c>
      <c r="F5167" s="41" t="s">
        <v>41483</v>
      </c>
      <c r="G5167" s="41" t="s">
        <v>41484</v>
      </c>
      <c r="H5167" s="41" t="s">
        <v>41485</v>
      </c>
      <c r="I5167" s="41" t="s">
        <v>41486</v>
      </c>
      <c r="J5167" s="41" t="s">
        <v>41487</v>
      </c>
      <c r="K5167" s="41" t="s">
        <v>41488</v>
      </c>
      <c r="L5167" s="41" t="s">
        <v>1085</v>
      </c>
    </row>
    <row r="5168" spans="1:19" x14ac:dyDescent="0.25">
      <c r="A5168" s="41" t="s">
        <v>23</v>
      </c>
      <c r="B5168" s="41" t="s">
        <v>41489</v>
      </c>
      <c r="D5168" s="41" t="s">
        <v>41490</v>
      </c>
      <c r="F5168" s="41" t="s">
        <v>41491</v>
      </c>
      <c r="G5168" s="41" t="s">
        <v>41492</v>
      </c>
      <c r="H5168" s="41" t="s">
        <v>41493</v>
      </c>
      <c r="I5168" s="41" t="s">
        <v>41494</v>
      </c>
      <c r="J5168" s="41" t="s">
        <v>41495</v>
      </c>
      <c r="K5168" s="41" t="s">
        <v>41496</v>
      </c>
      <c r="L5168" s="41" t="s">
        <v>1094</v>
      </c>
    </row>
    <row r="5169" spans="1:19" x14ac:dyDescent="0.25">
      <c r="A5169" s="41" t="s">
        <v>908</v>
      </c>
      <c r="B5169" s="41" t="s">
        <v>41497</v>
      </c>
    </row>
    <row r="5170" spans="1:19" x14ac:dyDescent="0.25">
      <c r="A5170" s="41" t="s">
        <v>23</v>
      </c>
      <c r="B5170" s="41" t="s">
        <v>41498</v>
      </c>
      <c r="F5170" s="41" t="s">
        <v>41499</v>
      </c>
      <c r="G5170" s="41" t="s">
        <v>41500</v>
      </c>
      <c r="H5170" s="41" t="s">
        <v>41501</v>
      </c>
      <c r="I5170" s="41" t="s">
        <v>41502</v>
      </c>
      <c r="J5170" s="41" t="s">
        <v>41503</v>
      </c>
      <c r="L5170" s="41" t="s">
        <v>4</v>
      </c>
    </row>
    <row r="5171" spans="1:19" x14ac:dyDescent="0.25">
      <c r="A5171" s="41" t="s">
        <v>23</v>
      </c>
      <c r="B5171" s="41" t="s">
        <v>41504</v>
      </c>
      <c r="D5171" s="41" t="s">
        <v>41337</v>
      </c>
      <c r="E5171" s="41" t="s">
        <v>41506</v>
      </c>
      <c r="F5171" s="41" t="s">
        <v>41507</v>
      </c>
      <c r="G5171" s="41" t="s">
        <v>41508</v>
      </c>
      <c r="H5171" s="41" t="s">
        <v>41509</v>
      </c>
      <c r="I5171" s="41" t="s">
        <v>41510</v>
      </c>
      <c r="J5171" s="41" t="s">
        <v>41511</v>
      </c>
      <c r="K5171" s="41" t="s">
        <v>41512</v>
      </c>
      <c r="L5171" s="41" t="s">
        <v>41513</v>
      </c>
      <c r="M5171" s="41" t="s">
        <v>41514</v>
      </c>
      <c r="N5171" s="41" t="s">
        <v>41515</v>
      </c>
      <c r="O5171" s="41" t="s">
        <v>41516</v>
      </c>
      <c r="P5171" s="41" t="s">
        <v>41517</v>
      </c>
      <c r="Q5171" s="41" t="s">
        <v>41518</v>
      </c>
      <c r="R5171" s="41" t="s">
        <v>41519</v>
      </c>
      <c r="S5171" s="41" t="s">
        <v>41520</v>
      </c>
    </row>
    <row r="5172" spans="1:19" x14ac:dyDescent="0.25">
      <c r="A5172" s="41" t="s">
        <v>23</v>
      </c>
      <c r="B5172" s="41" t="s">
        <v>41521</v>
      </c>
      <c r="D5172" s="41" t="s">
        <v>41522</v>
      </c>
      <c r="F5172" s="41" t="s">
        <v>41523</v>
      </c>
      <c r="G5172" s="41" t="s">
        <v>41524</v>
      </c>
      <c r="H5172" s="41" t="s">
        <v>41525</v>
      </c>
      <c r="I5172" s="41" t="s">
        <v>41526</v>
      </c>
      <c r="J5172" s="41" t="s">
        <v>41527</v>
      </c>
      <c r="K5172" s="41" t="s">
        <v>41528</v>
      </c>
      <c r="L5172" s="41" t="s">
        <v>891</v>
      </c>
    </row>
    <row r="5173" spans="1:19" x14ac:dyDescent="0.25">
      <c r="A5173" s="41" t="s">
        <v>23</v>
      </c>
      <c r="B5173" s="41" t="s">
        <v>41529</v>
      </c>
      <c r="D5173" s="41" t="s">
        <v>41530</v>
      </c>
      <c r="F5173" s="41" t="s">
        <v>41531</v>
      </c>
      <c r="G5173" s="41" t="s">
        <v>41532</v>
      </c>
      <c r="H5173" s="41" t="s">
        <v>41533</v>
      </c>
      <c r="I5173" s="41" t="s">
        <v>41534</v>
      </c>
      <c r="J5173" s="41" t="s">
        <v>41535</v>
      </c>
      <c r="K5173" s="41" t="s">
        <v>41536</v>
      </c>
      <c r="L5173" s="41" t="s">
        <v>1076</v>
      </c>
    </row>
    <row r="5174" spans="1:19" x14ac:dyDescent="0.25">
      <c r="A5174" s="41" t="s">
        <v>23</v>
      </c>
      <c r="B5174" s="41" t="s">
        <v>41537</v>
      </c>
      <c r="D5174" s="41" t="s">
        <v>41538</v>
      </c>
      <c r="F5174" s="41" t="s">
        <v>41539</v>
      </c>
      <c r="G5174" s="41" t="s">
        <v>41540</v>
      </c>
      <c r="H5174" s="41" t="s">
        <v>41541</v>
      </c>
      <c r="I5174" s="41" t="s">
        <v>41542</v>
      </c>
      <c r="J5174" s="41" t="s">
        <v>41543</v>
      </c>
      <c r="K5174" s="41" t="s">
        <v>41544</v>
      </c>
      <c r="L5174" s="41" t="s">
        <v>1085</v>
      </c>
    </row>
    <row r="5175" spans="1:19" x14ac:dyDescent="0.25">
      <c r="A5175" s="41" t="s">
        <v>23</v>
      </c>
      <c r="B5175" s="41" t="s">
        <v>41545</v>
      </c>
      <c r="D5175" s="41" t="s">
        <v>41546</v>
      </c>
      <c r="F5175" s="41" t="s">
        <v>41547</v>
      </c>
      <c r="G5175" s="41" t="s">
        <v>41548</v>
      </c>
      <c r="H5175" s="41" t="s">
        <v>41549</v>
      </c>
      <c r="I5175" s="41" t="s">
        <v>41550</v>
      </c>
      <c r="J5175" s="41" t="s">
        <v>41551</v>
      </c>
      <c r="K5175" s="41" t="s">
        <v>41552</v>
      </c>
      <c r="L5175" s="41" t="s">
        <v>1094</v>
      </c>
    </row>
    <row r="5176" spans="1:19" x14ac:dyDescent="0.25">
      <c r="A5176" s="41" t="s">
        <v>908</v>
      </c>
      <c r="B5176" s="41" t="s">
        <v>41553</v>
      </c>
    </row>
    <row r="5177" spans="1:19" x14ac:dyDescent="0.25">
      <c r="A5177" s="41" t="s">
        <v>23</v>
      </c>
      <c r="B5177" s="41" t="s">
        <v>41554</v>
      </c>
      <c r="F5177" s="41" t="s">
        <v>41555</v>
      </c>
      <c r="G5177" s="41" t="s">
        <v>41556</v>
      </c>
      <c r="H5177" s="41" t="s">
        <v>41557</v>
      </c>
      <c r="I5177" s="41" t="s">
        <v>41558</v>
      </c>
      <c r="J5177" s="41" t="s">
        <v>41559</v>
      </c>
      <c r="L5177" s="41" t="s">
        <v>4</v>
      </c>
    </row>
    <row r="5178" spans="1:19" x14ac:dyDescent="0.25">
      <c r="A5178" s="41" t="s">
        <v>23</v>
      </c>
      <c r="B5178" s="41" t="s">
        <v>41560</v>
      </c>
      <c r="D5178" s="41" t="s">
        <v>41393</v>
      </c>
      <c r="E5178" s="41" t="s">
        <v>41562</v>
      </c>
      <c r="F5178" s="41" t="s">
        <v>41563</v>
      </c>
      <c r="G5178" s="41" t="s">
        <v>41564</v>
      </c>
      <c r="H5178" s="41" t="s">
        <v>41565</v>
      </c>
      <c r="I5178" s="41" t="s">
        <v>41566</v>
      </c>
      <c r="J5178" s="41" t="s">
        <v>41567</v>
      </c>
      <c r="K5178" s="41" t="s">
        <v>41568</v>
      </c>
      <c r="L5178" s="41" t="s">
        <v>41569</v>
      </c>
      <c r="M5178" s="41" t="s">
        <v>41570</v>
      </c>
      <c r="N5178" s="41" t="s">
        <v>41571</v>
      </c>
      <c r="O5178" s="41" t="s">
        <v>41572</v>
      </c>
      <c r="P5178" s="41" t="s">
        <v>41573</v>
      </c>
      <c r="Q5178" s="41" t="s">
        <v>41574</v>
      </c>
      <c r="R5178" s="41" t="s">
        <v>41575</v>
      </c>
      <c r="S5178" s="41" t="s">
        <v>41576</v>
      </c>
    </row>
    <row r="5179" spans="1:19" x14ac:dyDescent="0.25">
      <c r="A5179" s="41" t="s">
        <v>23</v>
      </c>
      <c r="B5179" s="41" t="s">
        <v>41577</v>
      </c>
      <c r="D5179" s="41" t="s">
        <v>41578</v>
      </c>
      <c r="F5179" s="41" t="s">
        <v>41579</v>
      </c>
      <c r="G5179" s="41" t="s">
        <v>41580</v>
      </c>
      <c r="H5179" s="41" t="s">
        <v>41581</v>
      </c>
      <c r="I5179" s="41" t="s">
        <v>41582</v>
      </c>
      <c r="J5179" s="41" t="s">
        <v>41583</v>
      </c>
      <c r="K5179" s="41" t="s">
        <v>41584</v>
      </c>
      <c r="L5179" s="41" t="s">
        <v>891</v>
      </c>
    </row>
    <row r="5180" spans="1:19" x14ac:dyDescent="0.25">
      <c r="A5180" s="41" t="s">
        <v>23</v>
      </c>
      <c r="B5180" s="41" t="s">
        <v>41585</v>
      </c>
      <c r="D5180" s="41" t="s">
        <v>41586</v>
      </c>
      <c r="F5180" s="41" t="s">
        <v>41587</v>
      </c>
      <c r="G5180" s="41" t="s">
        <v>41588</v>
      </c>
      <c r="H5180" s="41" t="s">
        <v>41589</v>
      </c>
      <c r="I5180" s="41" t="s">
        <v>41590</v>
      </c>
      <c r="J5180" s="41" t="s">
        <v>41591</v>
      </c>
      <c r="K5180" s="41" t="s">
        <v>41592</v>
      </c>
      <c r="L5180" s="41" t="s">
        <v>1076</v>
      </c>
    </row>
    <row r="5181" spans="1:19" x14ac:dyDescent="0.25">
      <c r="A5181" s="41" t="s">
        <v>23</v>
      </c>
      <c r="B5181" s="41" t="s">
        <v>41593</v>
      </c>
      <c r="D5181" s="41" t="s">
        <v>41594</v>
      </c>
      <c r="F5181" s="41" t="s">
        <v>41595</v>
      </c>
      <c r="G5181" s="41" t="s">
        <v>41596</v>
      </c>
      <c r="H5181" s="41" t="s">
        <v>41597</v>
      </c>
      <c r="I5181" s="41" t="s">
        <v>41598</v>
      </c>
      <c r="J5181" s="41" t="s">
        <v>41599</v>
      </c>
      <c r="K5181" s="41" t="s">
        <v>41600</v>
      </c>
      <c r="L5181" s="41" t="s">
        <v>1085</v>
      </c>
    </row>
    <row r="5182" spans="1:19" x14ac:dyDescent="0.25">
      <c r="A5182" s="41" t="s">
        <v>23</v>
      </c>
      <c r="B5182" s="41" t="s">
        <v>41601</v>
      </c>
      <c r="D5182" s="41" t="s">
        <v>41602</v>
      </c>
      <c r="F5182" s="41" t="s">
        <v>41603</v>
      </c>
      <c r="G5182" s="41" t="s">
        <v>41604</v>
      </c>
      <c r="H5182" s="41" t="s">
        <v>41605</v>
      </c>
      <c r="I5182" s="41" t="s">
        <v>41606</v>
      </c>
      <c r="J5182" s="41" t="s">
        <v>41607</v>
      </c>
      <c r="K5182" s="41" t="s">
        <v>41608</v>
      </c>
      <c r="L5182" s="41" t="s">
        <v>1094</v>
      </c>
    </row>
    <row r="5183" spans="1:19" x14ac:dyDescent="0.25">
      <c r="A5183" s="41" t="s">
        <v>908</v>
      </c>
      <c r="B5183" s="41" t="s">
        <v>41609</v>
      </c>
    </row>
    <row r="5184" spans="1:19" x14ac:dyDescent="0.25">
      <c r="A5184" s="41" t="s">
        <v>23</v>
      </c>
      <c r="B5184" s="41" t="s">
        <v>41610</v>
      </c>
      <c r="F5184" s="41" t="s">
        <v>41611</v>
      </c>
      <c r="G5184" s="41" t="s">
        <v>41612</v>
      </c>
      <c r="H5184" s="41" t="s">
        <v>41613</v>
      </c>
      <c r="I5184" s="41" t="s">
        <v>41614</v>
      </c>
      <c r="J5184" s="41" t="s">
        <v>41615</v>
      </c>
      <c r="L5184" s="41" t="s">
        <v>4</v>
      </c>
    </row>
    <row r="5185" spans="1:19" x14ac:dyDescent="0.25">
      <c r="A5185" s="41" t="s">
        <v>23</v>
      </c>
      <c r="B5185" s="41" t="s">
        <v>41616</v>
      </c>
      <c r="D5185" s="41" t="s">
        <v>41449</v>
      </c>
      <c r="E5185" s="41" t="s">
        <v>41617</v>
      </c>
      <c r="F5185" s="41" t="s">
        <v>41618</v>
      </c>
      <c r="G5185" s="41" t="s">
        <v>41619</v>
      </c>
      <c r="H5185" s="41" t="s">
        <v>41620</v>
      </c>
      <c r="I5185" s="41" t="s">
        <v>41621</v>
      </c>
      <c r="J5185" s="41" t="s">
        <v>41622</v>
      </c>
      <c r="K5185" s="41" t="s">
        <v>41623</v>
      </c>
      <c r="L5185" s="41" t="s">
        <v>41624</v>
      </c>
      <c r="M5185" s="41" t="s">
        <v>41625</v>
      </c>
      <c r="N5185" s="41" t="s">
        <v>41626</v>
      </c>
      <c r="O5185" s="41" t="s">
        <v>41627</v>
      </c>
      <c r="P5185" s="41" t="s">
        <v>41628</v>
      </c>
      <c r="Q5185" s="41" t="s">
        <v>41629</v>
      </c>
      <c r="R5185" s="41" t="s">
        <v>41630</v>
      </c>
      <c r="S5185" s="41" t="s">
        <v>41631</v>
      </c>
    </row>
    <row r="5186" spans="1:19" x14ac:dyDescent="0.25">
      <c r="A5186" s="41" t="s">
        <v>23</v>
      </c>
      <c r="B5186" s="41" t="s">
        <v>41632</v>
      </c>
      <c r="D5186" s="41" t="s">
        <v>41633</v>
      </c>
      <c r="F5186" s="41" t="s">
        <v>41634</v>
      </c>
      <c r="G5186" s="41" t="s">
        <v>41635</v>
      </c>
      <c r="H5186" s="41" t="s">
        <v>41636</v>
      </c>
      <c r="I5186" s="41" t="s">
        <v>41637</v>
      </c>
      <c r="J5186" s="41" t="s">
        <v>41638</v>
      </c>
      <c r="K5186" s="41" t="s">
        <v>41639</v>
      </c>
      <c r="L5186" s="41" t="s">
        <v>891</v>
      </c>
    </row>
    <row r="5187" spans="1:19" x14ac:dyDescent="0.25">
      <c r="A5187" s="41" t="s">
        <v>23</v>
      </c>
      <c r="B5187" s="41" t="s">
        <v>41640</v>
      </c>
      <c r="D5187" s="41" t="s">
        <v>41641</v>
      </c>
      <c r="F5187" s="41" t="s">
        <v>41642</v>
      </c>
      <c r="G5187" s="41" t="s">
        <v>41643</v>
      </c>
      <c r="H5187" s="41" t="s">
        <v>41644</v>
      </c>
      <c r="I5187" s="41" t="s">
        <v>41645</v>
      </c>
      <c r="J5187" s="41" t="s">
        <v>41646</v>
      </c>
      <c r="K5187" s="41" t="s">
        <v>41647</v>
      </c>
      <c r="L5187" s="41" t="s">
        <v>1076</v>
      </c>
    </row>
    <row r="5188" spans="1:19" x14ac:dyDescent="0.25">
      <c r="A5188" s="41" t="s">
        <v>23</v>
      </c>
      <c r="B5188" s="41" t="s">
        <v>41648</v>
      </c>
      <c r="D5188" s="41" t="s">
        <v>41649</v>
      </c>
      <c r="F5188" s="41" t="s">
        <v>41650</v>
      </c>
      <c r="G5188" s="41" t="s">
        <v>41651</v>
      </c>
      <c r="H5188" s="41" t="s">
        <v>41652</v>
      </c>
      <c r="I5188" s="41" t="s">
        <v>41653</v>
      </c>
      <c r="J5188" s="41" t="s">
        <v>41654</v>
      </c>
      <c r="K5188" s="41" t="s">
        <v>41655</v>
      </c>
      <c r="L5188" s="41" t="s">
        <v>1085</v>
      </c>
    </row>
    <row r="5189" spans="1:19" x14ac:dyDescent="0.25">
      <c r="A5189" s="41" t="s">
        <v>23</v>
      </c>
      <c r="B5189" s="41" t="s">
        <v>41656</v>
      </c>
      <c r="D5189" s="41" t="s">
        <v>41657</v>
      </c>
      <c r="F5189" s="41" t="s">
        <v>41658</v>
      </c>
      <c r="G5189" s="41" t="s">
        <v>41659</v>
      </c>
      <c r="H5189" s="41" t="s">
        <v>41660</v>
      </c>
      <c r="I5189" s="41" t="s">
        <v>41661</v>
      </c>
      <c r="J5189" s="41" t="s">
        <v>41662</v>
      </c>
      <c r="K5189" s="41" t="s">
        <v>41663</v>
      </c>
      <c r="L5189" s="41" t="s">
        <v>1094</v>
      </c>
    </row>
    <row r="5190" spans="1:19" x14ac:dyDescent="0.25">
      <c r="A5190" s="41" t="s">
        <v>908</v>
      </c>
      <c r="B5190" s="41" t="s">
        <v>41664</v>
      </c>
    </row>
    <row r="5191" spans="1:19" x14ac:dyDescent="0.25">
      <c r="A5191" s="41" t="s">
        <v>23</v>
      </c>
      <c r="B5191" s="41" t="s">
        <v>41665</v>
      </c>
      <c r="F5191" s="41" t="s">
        <v>41666</v>
      </c>
      <c r="G5191" s="41" t="s">
        <v>41667</v>
      </c>
      <c r="H5191" s="41" t="s">
        <v>41668</v>
      </c>
      <c r="I5191" s="41" t="s">
        <v>41669</v>
      </c>
      <c r="J5191" s="41" t="s">
        <v>41670</v>
      </c>
      <c r="L5191" s="41" t="s">
        <v>4</v>
      </c>
    </row>
    <row r="5192" spans="1:19" x14ac:dyDescent="0.25">
      <c r="A5192" s="41" t="s">
        <v>23</v>
      </c>
      <c r="B5192" s="41" t="s">
        <v>41671</v>
      </c>
      <c r="D5192" s="41" t="s">
        <v>41505</v>
      </c>
      <c r="E5192" s="41" t="s">
        <v>41673</v>
      </c>
      <c r="F5192" s="41" t="s">
        <v>41674</v>
      </c>
      <c r="G5192" s="41" t="s">
        <v>41675</v>
      </c>
      <c r="H5192" s="41" t="s">
        <v>41676</v>
      </c>
      <c r="I5192" s="41" t="s">
        <v>41677</v>
      </c>
      <c r="J5192" s="41" t="s">
        <v>41678</v>
      </c>
      <c r="K5192" s="41" t="s">
        <v>41679</v>
      </c>
      <c r="L5192" s="41" t="s">
        <v>41680</v>
      </c>
      <c r="M5192" s="41" t="s">
        <v>41681</v>
      </c>
      <c r="N5192" s="41" t="s">
        <v>41682</v>
      </c>
      <c r="O5192" s="41" t="s">
        <v>41683</v>
      </c>
      <c r="P5192" s="41" t="s">
        <v>41684</v>
      </c>
      <c r="Q5192" s="41" t="s">
        <v>41685</v>
      </c>
      <c r="R5192" s="41" t="s">
        <v>41686</v>
      </c>
      <c r="S5192" s="41" t="s">
        <v>41687</v>
      </c>
    </row>
    <row r="5193" spans="1:19" x14ac:dyDescent="0.25">
      <c r="A5193" s="41" t="s">
        <v>23</v>
      </c>
      <c r="B5193" s="41" t="s">
        <v>41688</v>
      </c>
      <c r="D5193" s="41" t="s">
        <v>41691</v>
      </c>
      <c r="F5193" s="41" t="s">
        <v>45198</v>
      </c>
      <c r="G5193" s="41" t="s">
        <v>45199</v>
      </c>
      <c r="H5193" s="41" t="s">
        <v>45200</v>
      </c>
      <c r="I5193" s="41" t="s">
        <v>45201</v>
      </c>
      <c r="J5193" s="41" t="s">
        <v>45202</v>
      </c>
      <c r="K5193" s="41" t="s">
        <v>41689</v>
      </c>
      <c r="L5193" s="41" t="s">
        <v>891</v>
      </c>
    </row>
    <row r="5194" spans="1:19" x14ac:dyDescent="0.25">
      <c r="A5194" s="41" t="s">
        <v>23</v>
      </c>
      <c r="B5194" s="41" t="s">
        <v>41690</v>
      </c>
      <c r="D5194" s="41" t="s">
        <v>41699</v>
      </c>
      <c r="F5194" s="41" t="s">
        <v>41692</v>
      </c>
      <c r="G5194" s="41" t="s">
        <v>41693</v>
      </c>
      <c r="H5194" s="41" t="s">
        <v>41694</v>
      </c>
      <c r="I5194" s="41" t="s">
        <v>41695</v>
      </c>
      <c r="J5194" s="41" t="s">
        <v>41696</v>
      </c>
      <c r="K5194" s="41" t="s">
        <v>41697</v>
      </c>
      <c r="L5194" s="41" t="s">
        <v>1076</v>
      </c>
    </row>
    <row r="5195" spans="1:19" x14ac:dyDescent="0.25">
      <c r="A5195" s="41" t="s">
        <v>23</v>
      </c>
      <c r="B5195" s="41" t="s">
        <v>41698</v>
      </c>
      <c r="D5195" s="41" t="s">
        <v>41707</v>
      </c>
      <c r="F5195" s="41" t="s">
        <v>41700</v>
      </c>
      <c r="G5195" s="41" t="s">
        <v>41701</v>
      </c>
      <c r="H5195" s="41" t="s">
        <v>41702</v>
      </c>
      <c r="I5195" s="41" t="s">
        <v>41703</v>
      </c>
      <c r="J5195" s="41" t="s">
        <v>41704</v>
      </c>
      <c r="K5195" s="41" t="s">
        <v>41705</v>
      </c>
      <c r="L5195" s="41" t="s">
        <v>1085</v>
      </c>
    </row>
    <row r="5196" spans="1:19" x14ac:dyDescent="0.25">
      <c r="A5196" s="41" t="s">
        <v>23</v>
      </c>
      <c r="B5196" s="41" t="s">
        <v>41706</v>
      </c>
      <c r="D5196" s="41" t="s">
        <v>41714</v>
      </c>
      <c r="F5196" s="41" t="s">
        <v>41708</v>
      </c>
      <c r="G5196" s="41" t="s">
        <v>41709</v>
      </c>
      <c r="H5196" s="41" t="s">
        <v>41710</v>
      </c>
      <c r="I5196" s="41" t="s">
        <v>41711</v>
      </c>
      <c r="J5196" s="41" t="s">
        <v>41712</v>
      </c>
      <c r="K5196" s="41" t="s">
        <v>41713</v>
      </c>
      <c r="L5196" s="41" t="s">
        <v>1094</v>
      </c>
    </row>
    <row r="5197" spans="1:19" x14ac:dyDescent="0.25">
      <c r="A5197" s="41" t="s">
        <v>908</v>
      </c>
      <c r="B5197" s="41" t="s">
        <v>45203</v>
      </c>
    </row>
    <row r="5198" spans="1:19" x14ac:dyDescent="0.25">
      <c r="A5198" s="41" t="s">
        <v>23</v>
      </c>
      <c r="B5198" s="41" t="s">
        <v>45204</v>
      </c>
      <c r="F5198" s="41" t="s">
        <v>45205</v>
      </c>
      <c r="G5198" s="41" t="s">
        <v>45206</v>
      </c>
      <c r="H5198" s="41" t="s">
        <v>45207</v>
      </c>
      <c r="I5198" s="41" t="s">
        <v>45208</v>
      </c>
      <c r="J5198" s="41" t="s">
        <v>45209</v>
      </c>
      <c r="L5198" s="41" t="s">
        <v>4</v>
      </c>
    </row>
    <row r="5199" spans="1:19" x14ac:dyDescent="0.25">
      <c r="A5199" s="41" t="s">
        <v>23</v>
      </c>
      <c r="B5199" s="41" t="s">
        <v>45210</v>
      </c>
      <c r="D5199" s="41" t="s">
        <v>41561</v>
      </c>
      <c r="E5199" s="41" t="s">
        <v>45211</v>
      </c>
      <c r="F5199" s="41" t="s">
        <v>45212</v>
      </c>
      <c r="G5199" s="41" t="s">
        <v>45213</v>
      </c>
      <c r="H5199" s="41" t="s">
        <v>45214</v>
      </c>
      <c r="I5199" s="41" t="s">
        <v>45215</v>
      </c>
      <c r="J5199" s="41" t="s">
        <v>45216</v>
      </c>
      <c r="K5199" s="41" t="s">
        <v>45217</v>
      </c>
      <c r="L5199" s="41" t="s">
        <v>45218</v>
      </c>
      <c r="M5199" s="41" t="s">
        <v>45219</v>
      </c>
      <c r="N5199" s="41" t="s">
        <v>45220</v>
      </c>
      <c r="O5199" s="41" t="s">
        <v>45221</v>
      </c>
      <c r="P5199" s="41" t="s">
        <v>45222</v>
      </c>
      <c r="Q5199" s="41" t="s">
        <v>45223</v>
      </c>
      <c r="R5199" s="41" t="s">
        <v>45224</v>
      </c>
      <c r="S5199" s="41" t="s">
        <v>45225</v>
      </c>
    </row>
    <row r="5200" spans="1:19" x14ac:dyDescent="0.25">
      <c r="A5200" s="41" t="s">
        <v>23</v>
      </c>
      <c r="B5200" s="41" t="s">
        <v>41715</v>
      </c>
      <c r="D5200" s="41" t="s">
        <v>45226</v>
      </c>
      <c r="F5200" s="41" t="s">
        <v>45227</v>
      </c>
      <c r="G5200" s="41" t="s">
        <v>45228</v>
      </c>
      <c r="H5200" s="41" t="s">
        <v>45229</v>
      </c>
      <c r="I5200" s="41" t="s">
        <v>45230</v>
      </c>
      <c r="J5200" s="41" t="s">
        <v>45231</v>
      </c>
      <c r="K5200" s="41" t="s">
        <v>41716</v>
      </c>
      <c r="L5200" s="41" t="s">
        <v>891</v>
      </c>
    </row>
    <row r="5201" spans="1:19" x14ac:dyDescent="0.25">
      <c r="A5201" s="41" t="s">
        <v>23</v>
      </c>
      <c r="B5201" s="41" t="s">
        <v>41717</v>
      </c>
      <c r="D5201" s="41" t="s">
        <v>41718</v>
      </c>
      <c r="F5201" s="41" t="s">
        <v>41719</v>
      </c>
      <c r="G5201" s="41" t="s">
        <v>41720</v>
      </c>
      <c r="H5201" s="41" t="s">
        <v>41721</v>
      </c>
      <c r="I5201" s="41" t="s">
        <v>41722</v>
      </c>
      <c r="J5201" s="41" t="s">
        <v>41723</v>
      </c>
      <c r="K5201" s="41" t="s">
        <v>41724</v>
      </c>
      <c r="L5201" s="41" t="s">
        <v>1076</v>
      </c>
    </row>
    <row r="5202" spans="1:19" x14ac:dyDescent="0.25">
      <c r="A5202" s="41" t="s">
        <v>23</v>
      </c>
      <c r="B5202" s="41" t="s">
        <v>41725</v>
      </c>
      <c r="D5202" s="41" t="s">
        <v>41726</v>
      </c>
      <c r="F5202" s="41" t="s">
        <v>41727</v>
      </c>
      <c r="G5202" s="41" t="s">
        <v>41728</v>
      </c>
      <c r="H5202" s="41" t="s">
        <v>41729</v>
      </c>
      <c r="I5202" s="41" t="s">
        <v>41730</v>
      </c>
      <c r="J5202" s="41" t="s">
        <v>41731</v>
      </c>
      <c r="K5202" s="41" t="s">
        <v>41732</v>
      </c>
      <c r="L5202" s="41" t="s">
        <v>1085</v>
      </c>
    </row>
    <row r="5203" spans="1:19" x14ac:dyDescent="0.25">
      <c r="A5203" s="41" t="s">
        <v>23</v>
      </c>
      <c r="B5203" s="41" t="s">
        <v>41733</v>
      </c>
      <c r="D5203" s="41" t="s">
        <v>41734</v>
      </c>
      <c r="F5203" s="41" t="s">
        <v>41735</v>
      </c>
      <c r="G5203" s="41" t="s">
        <v>41736</v>
      </c>
      <c r="H5203" s="41" t="s">
        <v>41737</v>
      </c>
      <c r="I5203" s="41" t="s">
        <v>41738</v>
      </c>
      <c r="J5203" s="41" t="s">
        <v>41739</v>
      </c>
      <c r="K5203" s="41" t="s">
        <v>41740</v>
      </c>
      <c r="L5203" s="41" t="s">
        <v>1094</v>
      </c>
    </row>
    <row r="5204" spans="1:19" x14ac:dyDescent="0.25">
      <c r="A5204" s="41" t="s">
        <v>908</v>
      </c>
      <c r="B5204" s="41" t="s">
        <v>45232</v>
      </c>
    </row>
    <row r="5205" spans="1:19" x14ac:dyDescent="0.25">
      <c r="A5205" s="41" t="s">
        <v>23</v>
      </c>
      <c r="B5205" s="41" t="s">
        <v>45233</v>
      </c>
      <c r="F5205" s="41" t="s">
        <v>45234</v>
      </c>
      <c r="G5205" s="41" t="s">
        <v>45235</v>
      </c>
      <c r="H5205" s="41" t="s">
        <v>45236</v>
      </c>
      <c r="I5205" s="41" t="s">
        <v>45237</v>
      </c>
      <c r="J5205" s="41" t="s">
        <v>45238</v>
      </c>
      <c r="L5205" s="41" t="s">
        <v>4</v>
      </c>
    </row>
    <row r="5206" spans="1:19" x14ac:dyDescent="0.25">
      <c r="A5206" s="41" t="s">
        <v>23</v>
      </c>
      <c r="B5206" s="41" t="s">
        <v>45239</v>
      </c>
      <c r="D5206" s="41" t="s">
        <v>507</v>
      </c>
      <c r="E5206" s="41" t="s">
        <v>45240</v>
      </c>
      <c r="F5206" s="41" t="s">
        <v>45241</v>
      </c>
      <c r="G5206" s="41" t="s">
        <v>45242</v>
      </c>
      <c r="H5206" s="41" t="s">
        <v>45243</v>
      </c>
      <c r="I5206" s="41" t="s">
        <v>45244</v>
      </c>
      <c r="J5206" s="41" t="s">
        <v>45245</v>
      </c>
      <c r="K5206" s="41" t="s">
        <v>45246</v>
      </c>
      <c r="L5206" s="41" t="s">
        <v>45247</v>
      </c>
      <c r="M5206" s="41" t="s">
        <v>45248</v>
      </c>
      <c r="N5206" s="41" t="s">
        <v>45249</v>
      </c>
      <c r="O5206" s="41" t="s">
        <v>45250</v>
      </c>
      <c r="P5206" s="41" t="s">
        <v>45251</v>
      </c>
      <c r="Q5206" s="41" t="s">
        <v>45252</v>
      </c>
      <c r="R5206" s="41" t="s">
        <v>45253</v>
      </c>
      <c r="S5206" s="41" t="s">
        <v>45254</v>
      </c>
    </row>
    <row r="5207" spans="1:19" x14ac:dyDescent="0.25">
      <c r="A5207" s="41" t="s">
        <v>23</v>
      </c>
      <c r="B5207" s="41" t="s">
        <v>41741</v>
      </c>
      <c r="D5207" s="41" t="s">
        <v>45255</v>
      </c>
      <c r="F5207" s="41" t="s">
        <v>45256</v>
      </c>
      <c r="G5207" s="41" t="s">
        <v>45257</v>
      </c>
      <c r="H5207" s="41" t="s">
        <v>45258</v>
      </c>
      <c r="I5207" s="41" t="s">
        <v>45259</v>
      </c>
      <c r="J5207" s="41" t="s">
        <v>45260</v>
      </c>
      <c r="K5207" s="41" t="s">
        <v>41743</v>
      </c>
      <c r="L5207" s="41" t="s">
        <v>891</v>
      </c>
    </row>
    <row r="5208" spans="1:19" x14ac:dyDescent="0.25">
      <c r="A5208" s="41" t="s">
        <v>23</v>
      </c>
      <c r="B5208" s="41" t="s">
        <v>41744</v>
      </c>
      <c r="D5208" s="41" t="s">
        <v>41745</v>
      </c>
      <c r="F5208" s="41" t="s">
        <v>41746</v>
      </c>
      <c r="G5208" s="41" t="s">
        <v>41747</v>
      </c>
      <c r="H5208" s="41" t="s">
        <v>41748</v>
      </c>
      <c r="I5208" s="41" t="s">
        <v>41749</v>
      </c>
      <c r="J5208" s="41" t="s">
        <v>41750</v>
      </c>
      <c r="K5208" s="41" t="s">
        <v>41751</v>
      </c>
      <c r="L5208" s="41" t="s">
        <v>1076</v>
      </c>
    </row>
    <row r="5209" spans="1:19" x14ac:dyDescent="0.25">
      <c r="A5209" s="41" t="s">
        <v>23</v>
      </c>
      <c r="B5209" s="41" t="s">
        <v>41752</v>
      </c>
      <c r="D5209" s="41" t="s">
        <v>41753</v>
      </c>
      <c r="F5209" s="41" t="s">
        <v>41754</v>
      </c>
      <c r="G5209" s="41" t="s">
        <v>41755</v>
      </c>
      <c r="H5209" s="41" t="s">
        <v>41756</v>
      </c>
      <c r="I5209" s="41" t="s">
        <v>41757</v>
      </c>
      <c r="J5209" s="41" t="s">
        <v>41758</v>
      </c>
      <c r="K5209" s="41" t="s">
        <v>41759</v>
      </c>
      <c r="L5209" s="41" t="s">
        <v>1085</v>
      </c>
    </row>
    <row r="5210" spans="1:19" x14ac:dyDescent="0.25">
      <c r="A5210" s="41" t="s">
        <v>23</v>
      </c>
      <c r="B5210" s="41" t="s">
        <v>41760</v>
      </c>
      <c r="D5210" s="41" t="s">
        <v>41761</v>
      </c>
      <c r="F5210" s="41" t="s">
        <v>41762</v>
      </c>
      <c r="G5210" s="41" t="s">
        <v>41763</v>
      </c>
      <c r="H5210" s="41" t="s">
        <v>41764</v>
      </c>
      <c r="I5210" s="41" t="s">
        <v>41765</v>
      </c>
      <c r="J5210" s="41" t="s">
        <v>41766</v>
      </c>
      <c r="K5210" s="41" t="s">
        <v>41767</v>
      </c>
      <c r="L5210" s="41" t="s">
        <v>1094</v>
      </c>
    </row>
    <row r="5211" spans="1:19" x14ac:dyDescent="0.25">
      <c r="A5211" s="41" t="s">
        <v>908</v>
      </c>
      <c r="B5211" s="41" t="s">
        <v>45261</v>
      </c>
    </row>
    <row r="5212" spans="1:19" x14ac:dyDescent="0.25">
      <c r="A5212" s="41" t="s">
        <v>23</v>
      </c>
      <c r="B5212" s="41" t="s">
        <v>45262</v>
      </c>
      <c r="F5212" s="41" t="s">
        <v>45263</v>
      </c>
      <c r="G5212" s="41" t="s">
        <v>45264</v>
      </c>
      <c r="H5212" s="41" t="s">
        <v>45265</v>
      </c>
      <c r="I5212" s="41" t="s">
        <v>45266</v>
      </c>
      <c r="J5212" s="41" t="s">
        <v>45267</v>
      </c>
      <c r="L5212" s="41" t="s">
        <v>4</v>
      </c>
    </row>
    <row r="5213" spans="1:19" x14ac:dyDescent="0.25">
      <c r="A5213" s="41" t="s">
        <v>23</v>
      </c>
      <c r="B5213" s="41" t="s">
        <v>45268</v>
      </c>
      <c r="D5213" s="41" t="s">
        <v>41672</v>
      </c>
      <c r="E5213" s="41" t="s">
        <v>45269</v>
      </c>
      <c r="F5213" s="41" t="s">
        <v>45270</v>
      </c>
      <c r="G5213" s="41" t="s">
        <v>45271</v>
      </c>
      <c r="H5213" s="41" t="s">
        <v>45272</v>
      </c>
      <c r="I5213" s="41" t="s">
        <v>45273</v>
      </c>
      <c r="J5213" s="41" t="s">
        <v>45274</v>
      </c>
      <c r="K5213" s="41" t="s">
        <v>45275</v>
      </c>
      <c r="L5213" s="41" t="s">
        <v>45276</v>
      </c>
      <c r="M5213" s="41" t="s">
        <v>45277</v>
      </c>
      <c r="N5213" s="41" t="s">
        <v>45278</v>
      </c>
      <c r="O5213" s="41" t="s">
        <v>45279</v>
      </c>
      <c r="P5213" s="41" t="s">
        <v>45280</v>
      </c>
      <c r="Q5213" s="41" t="s">
        <v>45281</v>
      </c>
      <c r="R5213" s="41" t="s">
        <v>45282</v>
      </c>
      <c r="S5213" s="41" t="s">
        <v>45283</v>
      </c>
    </row>
    <row r="5214" spans="1:19" x14ac:dyDescent="0.25">
      <c r="A5214" s="41" t="s">
        <v>23</v>
      </c>
      <c r="B5214" s="41" t="s">
        <v>41768</v>
      </c>
      <c r="D5214" s="41" t="s">
        <v>41672</v>
      </c>
      <c r="E5214" s="41" t="s">
        <v>453</v>
      </c>
      <c r="F5214" s="41" t="s">
        <v>41770</v>
      </c>
      <c r="G5214" s="41" t="s">
        <v>41771</v>
      </c>
      <c r="H5214" s="41" t="s">
        <v>41772</v>
      </c>
      <c r="I5214" s="41" t="s">
        <v>41773</v>
      </c>
      <c r="J5214" s="41" t="s">
        <v>41774</v>
      </c>
      <c r="K5214" s="41" t="s">
        <v>41775</v>
      </c>
      <c r="L5214" s="41" t="s">
        <v>41776</v>
      </c>
      <c r="M5214" s="41" t="s">
        <v>41777</v>
      </c>
      <c r="N5214" s="41" t="s">
        <v>41778</v>
      </c>
      <c r="O5214" s="41" t="s">
        <v>41779</v>
      </c>
      <c r="P5214" s="41" t="s">
        <v>41780</v>
      </c>
      <c r="Q5214" s="41" t="s">
        <v>41781</v>
      </c>
      <c r="R5214" s="41" t="s">
        <v>41782</v>
      </c>
      <c r="S5214" s="41" t="s">
        <v>41783</v>
      </c>
    </row>
    <row r="5215" spans="1:19" x14ac:dyDescent="0.25">
      <c r="A5215" s="41" t="s">
        <v>23</v>
      </c>
      <c r="B5215" s="41" t="s">
        <v>41784</v>
      </c>
      <c r="D5215" s="41" t="s">
        <v>45284</v>
      </c>
      <c r="F5215" s="41" t="s">
        <v>41786</v>
      </c>
      <c r="G5215" s="41" t="s">
        <v>41787</v>
      </c>
      <c r="H5215" s="41" t="s">
        <v>41788</v>
      </c>
      <c r="I5215" s="41" t="s">
        <v>41789</v>
      </c>
      <c r="J5215" s="41" t="s">
        <v>41790</v>
      </c>
      <c r="K5215" s="41" t="s">
        <v>41791</v>
      </c>
      <c r="L5215" s="41" t="s">
        <v>891</v>
      </c>
    </row>
    <row r="5216" spans="1:19" x14ac:dyDescent="0.25">
      <c r="A5216" s="41" t="s">
        <v>23</v>
      </c>
      <c r="B5216" s="41" t="s">
        <v>41792</v>
      </c>
      <c r="D5216" s="41" t="s">
        <v>41785</v>
      </c>
      <c r="F5216" s="41" t="s">
        <v>41794</v>
      </c>
      <c r="G5216" s="41" t="s">
        <v>41795</v>
      </c>
      <c r="H5216" s="41" t="s">
        <v>41796</v>
      </c>
      <c r="I5216" s="41" t="s">
        <v>41797</v>
      </c>
      <c r="J5216" s="41" t="s">
        <v>41798</v>
      </c>
      <c r="K5216" s="41" t="s">
        <v>41799</v>
      </c>
      <c r="L5216" s="41" t="s">
        <v>1076</v>
      </c>
    </row>
    <row r="5217" spans="1:19" x14ac:dyDescent="0.25">
      <c r="A5217" s="41" t="s">
        <v>23</v>
      </c>
      <c r="B5217" s="41" t="s">
        <v>41800</v>
      </c>
      <c r="D5217" s="41" t="s">
        <v>41793</v>
      </c>
      <c r="F5217" s="41" t="s">
        <v>41802</v>
      </c>
      <c r="G5217" s="41" t="s">
        <v>41803</v>
      </c>
      <c r="H5217" s="41" t="s">
        <v>41804</v>
      </c>
      <c r="I5217" s="41" t="s">
        <v>41805</v>
      </c>
      <c r="J5217" s="41" t="s">
        <v>41806</v>
      </c>
      <c r="K5217" s="41" t="s">
        <v>41807</v>
      </c>
      <c r="L5217" s="41" t="s">
        <v>1085</v>
      </c>
    </row>
    <row r="5218" spans="1:19" x14ac:dyDescent="0.25">
      <c r="A5218" s="41" t="s">
        <v>23</v>
      </c>
      <c r="B5218" s="41" t="s">
        <v>41808</v>
      </c>
      <c r="D5218" s="41" t="s">
        <v>41801</v>
      </c>
      <c r="F5218" s="41" t="s">
        <v>41809</v>
      </c>
      <c r="G5218" s="41" t="s">
        <v>41810</v>
      </c>
      <c r="H5218" s="41" t="s">
        <v>41811</v>
      </c>
      <c r="I5218" s="41" t="s">
        <v>41812</v>
      </c>
      <c r="J5218" s="41" t="s">
        <v>41813</v>
      </c>
      <c r="K5218" s="41" t="s">
        <v>41814</v>
      </c>
      <c r="L5218" s="41" t="s">
        <v>1094</v>
      </c>
    </row>
    <row r="5219" spans="1:19" x14ac:dyDescent="0.25">
      <c r="A5219" s="41" t="s">
        <v>908</v>
      </c>
      <c r="B5219" s="41" t="s">
        <v>41815</v>
      </c>
    </row>
    <row r="5220" spans="1:19" x14ac:dyDescent="0.25">
      <c r="A5220" s="41" t="s">
        <v>23</v>
      </c>
      <c r="B5220" s="41" t="s">
        <v>41816</v>
      </c>
      <c r="F5220" s="41" t="s">
        <v>41817</v>
      </c>
      <c r="G5220" s="41" t="s">
        <v>41818</v>
      </c>
      <c r="H5220" s="41" t="s">
        <v>41819</v>
      </c>
      <c r="I5220" s="41" t="s">
        <v>41820</v>
      </c>
      <c r="J5220" s="41" t="s">
        <v>41821</v>
      </c>
      <c r="L5220" s="41" t="s">
        <v>4</v>
      </c>
    </row>
    <row r="5221" spans="1:19" x14ac:dyDescent="0.25">
      <c r="A5221" s="41" t="s">
        <v>23</v>
      </c>
      <c r="B5221" s="41" t="s">
        <v>41822</v>
      </c>
      <c r="D5221" s="41" t="s">
        <v>508</v>
      </c>
      <c r="E5221" s="41" t="s">
        <v>41824</v>
      </c>
      <c r="F5221" s="41" t="s">
        <v>41825</v>
      </c>
      <c r="G5221" s="41" t="s">
        <v>41826</v>
      </c>
      <c r="H5221" s="41" t="s">
        <v>41827</v>
      </c>
      <c r="I5221" s="41" t="s">
        <v>41828</v>
      </c>
      <c r="J5221" s="41" t="s">
        <v>41829</v>
      </c>
      <c r="K5221" s="41" t="s">
        <v>41830</v>
      </c>
      <c r="L5221" s="41" t="s">
        <v>41831</v>
      </c>
      <c r="M5221" s="41" t="s">
        <v>41832</v>
      </c>
      <c r="N5221" s="41" t="s">
        <v>41833</v>
      </c>
      <c r="O5221" s="41" t="s">
        <v>41834</v>
      </c>
      <c r="P5221" s="41" t="s">
        <v>41835</v>
      </c>
      <c r="Q5221" s="41" t="s">
        <v>41836</v>
      </c>
      <c r="R5221" s="41" t="s">
        <v>41837</v>
      </c>
      <c r="S5221" s="41" t="s">
        <v>41838</v>
      </c>
    </row>
    <row r="5222" spans="1:19" x14ac:dyDescent="0.25">
      <c r="A5222" s="41" t="s">
        <v>23</v>
      </c>
      <c r="B5222" s="41" t="s">
        <v>41839</v>
      </c>
      <c r="D5222" s="41" t="s">
        <v>41840</v>
      </c>
      <c r="F5222" s="41" t="s">
        <v>41841</v>
      </c>
      <c r="G5222" s="41" t="s">
        <v>41842</v>
      </c>
      <c r="H5222" s="41" t="s">
        <v>41843</v>
      </c>
      <c r="I5222" s="41" t="s">
        <v>41844</v>
      </c>
      <c r="J5222" s="41" t="s">
        <v>41845</v>
      </c>
      <c r="K5222" s="41" t="s">
        <v>41846</v>
      </c>
      <c r="L5222" s="41" t="s">
        <v>891</v>
      </c>
    </row>
    <row r="5223" spans="1:19" x14ac:dyDescent="0.25">
      <c r="A5223" s="41" t="s">
        <v>23</v>
      </c>
      <c r="B5223" s="41" t="s">
        <v>41847</v>
      </c>
      <c r="D5223" s="41" t="s">
        <v>41848</v>
      </c>
      <c r="F5223" s="41" t="s">
        <v>41849</v>
      </c>
      <c r="G5223" s="41" t="s">
        <v>41850</v>
      </c>
      <c r="H5223" s="41" t="s">
        <v>41851</v>
      </c>
      <c r="I5223" s="41" t="s">
        <v>41852</v>
      </c>
      <c r="J5223" s="41" t="s">
        <v>41853</v>
      </c>
      <c r="K5223" s="41" t="s">
        <v>41854</v>
      </c>
      <c r="L5223" s="41" t="s">
        <v>1076</v>
      </c>
    </row>
    <row r="5224" spans="1:19" x14ac:dyDescent="0.25">
      <c r="A5224" s="41" t="s">
        <v>23</v>
      </c>
      <c r="B5224" s="41" t="s">
        <v>41855</v>
      </c>
      <c r="D5224" s="41" t="s">
        <v>41856</v>
      </c>
      <c r="F5224" s="41" t="s">
        <v>41857</v>
      </c>
      <c r="G5224" s="41" t="s">
        <v>41858</v>
      </c>
      <c r="H5224" s="41" t="s">
        <v>41859</v>
      </c>
      <c r="I5224" s="41" t="s">
        <v>41860</v>
      </c>
      <c r="J5224" s="41" t="s">
        <v>41861</v>
      </c>
      <c r="K5224" s="41" t="s">
        <v>41862</v>
      </c>
      <c r="L5224" s="41" t="s">
        <v>1085</v>
      </c>
    </row>
    <row r="5225" spans="1:19" x14ac:dyDescent="0.25">
      <c r="A5225" s="41" t="s">
        <v>23</v>
      </c>
      <c r="B5225" s="41" t="s">
        <v>41863</v>
      </c>
      <c r="D5225" s="41" t="s">
        <v>41864</v>
      </c>
      <c r="F5225" s="41" t="s">
        <v>41865</v>
      </c>
      <c r="G5225" s="41" t="s">
        <v>41866</v>
      </c>
      <c r="H5225" s="41" t="s">
        <v>41867</v>
      </c>
      <c r="I5225" s="41" t="s">
        <v>41868</v>
      </c>
      <c r="J5225" s="41" t="s">
        <v>41869</v>
      </c>
      <c r="K5225" s="41" t="s">
        <v>41870</v>
      </c>
      <c r="L5225" s="41" t="s">
        <v>1094</v>
      </c>
    </row>
    <row r="5226" spans="1:19" x14ac:dyDescent="0.25">
      <c r="A5226" s="41" t="s">
        <v>908</v>
      </c>
      <c r="B5226" s="41" t="s">
        <v>41871</v>
      </c>
    </row>
    <row r="5227" spans="1:19" x14ac:dyDescent="0.25">
      <c r="A5227" s="41" t="s">
        <v>23</v>
      </c>
      <c r="B5227" s="41" t="s">
        <v>41872</v>
      </c>
      <c r="F5227" s="41" t="s">
        <v>41873</v>
      </c>
      <c r="G5227" s="41" t="s">
        <v>41874</v>
      </c>
      <c r="H5227" s="41" t="s">
        <v>41875</v>
      </c>
      <c r="I5227" s="41" t="s">
        <v>41876</v>
      </c>
      <c r="J5227" s="41" t="s">
        <v>41877</v>
      </c>
      <c r="L5227" s="41" t="s">
        <v>4</v>
      </c>
    </row>
    <row r="5228" spans="1:19" x14ac:dyDescent="0.25">
      <c r="A5228" s="41" t="s">
        <v>23</v>
      </c>
      <c r="B5228" s="41" t="s">
        <v>41878</v>
      </c>
      <c r="D5228" s="41" t="s">
        <v>41742</v>
      </c>
      <c r="E5228" s="41" t="s">
        <v>41880</v>
      </c>
      <c r="F5228" s="41" t="s">
        <v>41881</v>
      </c>
      <c r="G5228" s="41" t="s">
        <v>41882</v>
      </c>
      <c r="H5228" s="41" t="s">
        <v>41883</v>
      </c>
      <c r="I5228" s="41" t="s">
        <v>41884</v>
      </c>
      <c r="J5228" s="41" t="s">
        <v>41885</v>
      </c>
      <c r="K5228" s="41" t="s">
        <v>41886</v>
      </c>
      <c r="L5228" s="41" t="s">
        <v>41887</v>
      </c>
      <c r="M5228" s="41" t="s">
        <v>41888</v>
      </c>
      <c r="N5228" s="41" t="s">
        <v>41889</v>
      </c>
      <c r="O5228" s="41" t="s">
        <v>41890</v>
      </c>
      <c r="P5228" s="41" t="s">
        <v>41891</v>
      </c>
      <c r="Q5228" s="41" t="s">
        <v>41892</v>
      </c>
      <c r="R5228" s="41" t="s">
        <v>41893</v>
      </c>
      <c r="S5228" s="41" t="s">
        <v>41894</v>
      </c>
    </row>
    <row r="5229" spans="1:19" x14ac:dyDescent="0.25">
      <c r="A5229" s="41" t="s">
        <v>23</v>
      </c>
      <c r="B5229" s="41" t="s">
        <v>41895</v>
      </c>
      <c r="D5229" s="41" t="s">
        <v>41896</v>
      </c>
      <c r="F5229" s="41" t="s">
        <v>41897</v>
      </c>
      <c r="G5229" s="41" t="s">
        <v>41898</v>
      </c>
      <c r="H5229" s="41" t="s">
        <v>41899</v>
      </c>
      <c r="I5229" s="41" t="s">
        <v>41900</v>
      </c>
      <c r="J5229" s="41" t="s">
        <v>41901</v>
      </c>
      <c r="K5229" s="41" t="s">
        <v>41902</v>
      </c>
      <c r="L5229" s="41" t="s">
        <v>891</v>
      </c>
    </row>
    <row r="5230" spans="1:19" x14ac:dyDescent="0.25">
      <c r="A5230" s="41" t="s">
        <v>23</v>
      </c>
      <c r="B5230" s="41" t="s">
        <v>41903</v>
      </c>
      <c r="D5230" s="41" t="s">
        <v>41904</v>
      </c>
      <c r="F5230" s="41" t="s">
        <v>41905</v>
      </c>
      <c r="G5230" s="41" t="s">
        <v>41906</v>
      </c>
      <c r="H5230" s="41" t="s">
        <v>41907</v>
      </c>
      <c r="I5230" s="41" t="s">
        <v>41908</v>
      </c>
      <c r="J5230" s="41" t="s">
        <v>41909</v>
      </c>
      <c r="K5230" s="41" t="s">
        <v>41910</v>
      </c>
      <c r="L5230" s="41" t="s">
        <v>1076</v>
      </c>
    </row>
    <row r="5231" spans="1:19" x14ac:dyDescent="0.25">
      <c r="A5231" s="41" t="s">
        <v>23</v>
      </c>
      <c r="B5231" s="41" t="s">
        <v>41911</v>
      </c>
      <c r="D5231" s="41" t="s">
        <v>41912</v>
      </c>
      <c r="F5231" s="41" t="s">
        <v>41913</v>
      </c>
      <c r="G5231" s="41" t="s">
        <v>41914</v>
      </c>
      <c r="H5231" s="41" t="s">
        <v>41915</v>
      </c>
      <c r="I5231" s="41" t="s">
        <v>41916</v>
      </c>
      <c r="J5231" s="41" t="s">
        <v>41917</v>
      </c>
      <c r="K5231" s="41" t="s">
        <v>41918</v>
      </c>
      <c r="L5231" s="41" t="s">
        <v>1085</v>
      </c>
    </row>
    <row r="5232" spans="1:19" x14ac:dyDescent="0.25">
      <c r="A5232" s="41" t="s">
        <v>23</v>
      </c>
      <c r="B5232" s="41" t="s">
        <v>41919</v>
      </c>
      <c r="D5232" s="41" t="s">
        <v>41920</v>
      </c>
      <c r="F5232" s="41" t="s">
        <v>41921</v>
      </c>
      <c r="G5232" s="41" t="s">
        <v>41922</v>
      </c>
      <c r="H5232" s="41" t="s">
        <v>41923</v>
      </c>
      <c r="I5232" s="41" t="s">
        <v>41924</v>
      </c>
      <c r="J5232" s="41" t="s">
        <v>41925</v>
      </c>
      <c r="K5232" s="41" t="s">
        <v>41926</v>
      </c>
      <c r="L5232" s="41" t="s">
        <v>1094</v>
      </c>
    </row>
    <row r="5233" spans="1:19" x14ac:dyDescent="0.25">
      <c r="A5233" s="41" t="s">
        <v>908</v>
      </c>
      <c r="B5233" s="41" t="s">
        <v>41927</v>
      </c>
    </row>
    <row r="5234" spans="1:19" x14ac:dyDescent="0.25">
      <c r="A5234" s="41" t="s">
        <v>23</v>
      </c>
      <c r="B5234" s="41" t="s">
        <v>41928</v>
      </c>
      <c r="F5234" s="41" t="s">
        <v>41929</v>
      </c>
      <c r="G5234" s="41" t="s">
        <v>41930</v>
      </c>
      <c r="H5234" s="41" t="s">
        <v>41931</v>
      </c>
      <c r="I5234" s="41" t="s">
        <v>41932</v>
      </c>
      <c r="J5234" s="41" t="s">
        <v>41933</v>
      </c>
      <c r="L5234" s="41" t="s">
        <v>4</v>
      </c>
    </row>
    <row r="5235" spans="1:19" x14ac:dyDescent="0.25">
      <c r="A5235" s="41" t="s">
        <v>23</v>
      </c>
      <c r="B5235" s="41" t="s">
        <v>41934</v>
      </c>
      <c r="D5235" s="41" t="s">
        <v>41769</v>
      </c>
      <c r="E5235" s="41" t="s">
        <v>41936</v>
      </c>
      <c r="F5235" s="41" t="s">
        <v>41937</v>
      </c>
      <c r="G5235" s="41" t="s">
        <v>41938</v>
      </c>
      <c r="H5235" s="41" t="s">
        <v>41939</v>
      </c>
      <c r="I5235" s="41" t="s">
        <v>41940</v>
      </c>
      <c r="J5235" s="41" t="s">
        <v>41941</v>
      </c>
      <c r="K5235" s="41" t="s">
        <v>41942</v>
      </c>
      <c r="L5235" s="41" t="s">
        <v>41943</v>
      </c>
      <c r="M5235" s="41" t="s">
        <v>41944</v>
      </c>
      <c r="N5235" s="41" t="s">
        <v>41945</v>
      </c>
      <c r="O5235" s="41" t="s">
        <v>41946</v>
      </c>
      <c r="P5235" s="41" t="s">
        <v>41947</v>
      </c>
      <c r="Q5235" s="41" t="s">
        <v>41948</v>
      </c>
      <c r="R5235" s="41" t="s">
        <v>41949</v>
      </c>
      <c r="S5235" s="41" t="s">
        <v>41950</v>
      </c>
    </row>
    <row r="5236" spans="1:19" x14ac:dyDescent="0.25">
      <c r="A5236" s="41" t="s">
        <v>23</v>
      </c>
      <c r="B5236" s="41" t="s">
        <v>41951</v>
      </c>
      <c r="D5236" s="41" t="s">
        <v>41952</v>
      </c>
      <c r="F5236" s="41" t="s">
        <v>41953</v>
      </c>
      <c r="G5236" s="41" t="s">
        <v>41954</v>
      </c>
      <c r="H5236" s="41" t="s">
        <v>41955</v>
      </c>
      <c r="I5236" s="41" t="s">
        <v>41956</v>
      </c>
      <c r="J5236" s="41" t="s">
        <v>41957</v>
      </c>
      <c r="K5236" s="41" t="s">
        <v>41958</v>
      </c>
      <c r="L5236" s="41" t="s">
        <v>891</v>
      </c>
    </row>
    <row r="5237" spans="1:19" x14ac:dyDescent="0.25">
      <c r="A5237" s="41" t="s">
        <v>23</v>
      </c>
      <c r="B5237" s="41" t="s">
        <v>41959</v>
      </c>
      <c r="D5237" s="41" t="s">
        <v>41960</v>
      </c>
      <c r="F5237" s="41" t="s">
        <v>41961</v>
      </c>
      <c r="G5237" s="41" t="s">
        <v>41962</v>
      </c>
      <c r="H5237" s="41" t="s">
        <v>41963</v>
      </c>
      <c r="I5237" s="41" t="s">
        <v>41964</v>
      </c>
      <c r="J5237" s="41" t="s">
        <v>41965</v>
      </c>
      <c r="K5237" s="41" t="s">
        <v>41966</v>
      </c>
      <c r="L5237" s="41" t="s">
        <v>1076</v>
      </c>
    </row>
    <row r="5238" spans="1:19" x14ac:dyDescent="0.25">
      <c r="A5238" s="41" t="s">
        <v>23</v>
      </c>
      <c r="B5238" s="41" t="s">
        <v>41967</v>
      </c>
      <c r="D5238" s="41" t="s">
        <v>41968</v>
      </c>
      <c r="F5238" s="41" t="s">
        <v>41969</v>
      </c>
      <c r="G5238" s="41" t="s">
        <v>41970</v>
      </c>
      <c r="H5238" s="41" t="s">
        <v>41971</v>
      </c>
      <c r="I5238" s="41" t="s">
        <v>41972</v>
      </c>
      <c r="J5238" s="41" t="s">
        <v>41973</v>
      </c>
      <c r="K5238" s="41" t="s">
        <v>41974</v>
      </c>
      <c r="L5238" s="41" t="s">
        <v>1085</v>
      </c>
    </row>
    <row r="5239" spans="1:19" x14ac:dyDescent="0.25">
      <c r="A5239" s="41" t="s">
        <v>23</v>
      </c>
      <c r="B5239" s="41" t="s">
        <v>41975</v>
      </c>
      <c r="D5239" s="41" t="s">
        <v>41976</v>
      </c>
      <c r="F5239" s="41" t="s">
        <v>41977</v>
      </c>
      <c r="G5239" s="41" t="s">
        <v>41978</v>
      </c>
      <c r="H5239" s="41" t="s">
        <v>41979</v>
      </c>
      <c r="I5239" s="41" t="s">
        <v>41980</v>
      </c>
      <c r="J5239" s="41" t="s">
        <v>41981</v>
      </c>
      <c r="K5239" s="41" t="s">
        <v>41982</v>
      </c>
      <c r="L5239" s="41" t="s">
        <v>1094</v>
      </c>
    </row>
    <row r="5240" spans="1:19" x14ac:dyDescent="0.25">
      <c r="A5240" s="41" t="s">
        <v>908</v>
      </c>
      <c r="B5240" s="41" t="s">
        <v>41983</v>
      </c>
    </row>
    <row r="5241" spans="1:19" x14ac:dyDescent="0.25">
      <c r="A5241" s="41" t="s">
        <v>23</v>
      </c>
      <c r="B5241" s="41" t="s">
        <v>41984</v>
      </c>
      <c r="F5241" s="41" t="s">
        <v>41985</v>
      </c>
      <c r="G5241" s="41" t="s">
        <v>41986</v>
      </c>
      <c r="H5241" s="41" t="s">
        <v>41987</v>
      </c>
      <c r="I5241" s="41" t="s">
        <v>41988</v>
      </c>
      <c r="J5241" s="41" t="s">
        <v>41989</v>
      </c>
      <c r="L5241" s="41" t="s">
        <v>4</v>
      </c>
    </row>
    <row r="5242" spans="1:19" x14ac:dyDescent="0.25">
      <c r="A5242" s="41" t="s">
        <v>23</v>
      </c>
      <c r="B5242" s="41" t="s">
        <v>41990</v>
      </c>
      <c r="D5242" s="41" t="s">
        <v>41823</v>
      </c>
      <c r="E5242" s="41" t="s">
        <v>41992</v>
      </c>
      <c r="F5242" s="41" t="s">
        <v>41993</v>
      </c>
      <c r="G5242" s="41" t="s">
        <v>41994</v>
      </c>
      <c r="H5242" s="41" t="s">
        <v>41995</v>
      </c>
      <c r="I5242" s="41" t="s">
        <v>41996</v>
      </c>
      <c r="J5242" s="41" t="s">
        <v>41997</v>
      </c>
      <c r="K5242" s="41" t="s">
        <v>41998</v>
      </c>
      <c r="L5242" s="41" t="s">
        <v>41999</v>
      </c>
      <c r="M5242" s="41" t="s">
        <v>42000</v>
      </c>
      <c r="N5242" s="41" t="s">
        <v>42001</v>
      </c>
      <c r="O5242" s="41" t="s">
        <v>42002</v>
      </c>
      <c r="P5242" s="41" t="s">
        <v>42003</v>
      </c>
      <c r="Q5242" s="41" t="s">
        <v>42004</v>
      </c>
      <c r="R5242" s="41" t="s">
        <v>42005</v>
      </c>
      <c r="S5242" s="41" t="s">
        <v>42006</v>
      </c>
    </row>
    <row r="5243" spans="1:19" x14ac:dyDescent="0.25">
      <c r="A5243" s="41" t="s">
        <v>23</v>
      </c>
      <c r="B5243" s="41" t="s">
        <v>42007</v>
      </c>
      <c r="D5243" s="41" t="s">
        <v>42008</v>
      </c>
      <c r="F5243" s="41" t="s">
        <v>42009</v>
      </c>
      <c r="G5243" s="41" t="s">
        <v>42010</v>
      </c>
      <c r="H5243" s="41" t="s">
        <v>42011</v>
      </c>
      <c r="I5243" s="41" t="s">
        <v>42012</v>
      </c>
      <c r="J5243" s="41" t="s">
        <v>42013</v>
      </c>
      <c r="K5243" s="41" t="s">
        <v>42014</v>
      </c>
      <c r="L5243" s="41" t="s">
        <v>891</v>
      </c>
    </row>
    <row r="5244" spans="1:19" x14ac:dyDescent="0.25">
      <c r="A5244" s="41" t="s">
        <v>23</v>
      </c>
      <c r="B5244" s="41" t="s">
        <v>42015</v>
      </c>
      <c r="D5244" s="41" t="s">
        <v>42016</v>
      </c>
      <c r="F5244" s="41" t="s">
        <v>42017</v>
      </c>
      <c r="G5244" s="41" t="s">
        <v>42018</v>
      </c>
      <c r="H5244" s="41" t="s">
        <v>42019</v>
      </c>
      <c r="I5244" s="41" t="s">
        <v>42020</v>
      </c>
      <c r="J5244" s="41" t="s">
        <v>42021</v>
      </c>
      <c r="K5244" s="41" t="s">
        <v>42022</v>
      </c>
      <c r="L5244" s="41" t="s">
        <v>1076</v>
      </c>
    </row>
    <row r="5245" spans="1:19" x14ac:dyDescent="0.25">
      <c r="A5245" s="41" t="s">
        <v>23</v>
      </c>
      <c r="B5245" s="41" t="s">
        <v>42023</v>
      </c>
      <c r="D5245" s="41" t="s">
        <v>42024</v>
      </c>
      <c r="F5245" s="41" t="s">
        <v>42025</v>
      </c>
      <c r="G5245" s="41" t="s">
        <v>42026</v>
      </c>
      <c r="H5245" s="41" t="s">
        <v>42027</v>
      </c>
      <c r="I5245" s="41" t="s">
        <v>42028</v>
      </c>
      <c r="J5245" s="41" t="s">
        <v>42029</v>
      </c>
      <c r="K5245" s="41" t="s">
        <v>42030</v>
      </c>
      <c r="L5245" s="41" t="s">
        <v>1085</v>
      </c>
    </row>
    <row r="5246" spans="1:19" x14ac:dyDescent="0.25">
      <c r="A5246" s="41" t="s">
        <v>23</v>
      </c>
      <c r="B5246" s="41" t="s">
        <v>42031</v>
      </c>
      <c r="D5246" s="41" t="s">
        <v>42032</v>
      </c>
      <c r="F5246" s="41" t="s">
        <v>42033</v>
      </c>
      <c r="G5246" s="41" t="s">
        <v>42034</v>
      </c>
      <c r="H5246" s="41" t="s">
        <v>42035</v>
      </c>
      <c r="I5246" s="41" t="s">
        <v>42036</v>
      </c>
      <c r="J5246" s="41" t="s">
        <v>42037</v>
      </c>
      <c r="K5246" s="41" t="s">
        <v>42038</v>
      </c>
      <c r="L5246" s="41" t="s">
        <v>1094</v>
      </c>
    </row>
    <row r="5247" spans="1:19" x14ac:dyDescent="0.25">
      <c r="A5247" s="41" t="s">
        <v>908</v>
      </c>
      <c r="B5247" s="41" t="s">
        <v>42039</v>
      </c>
    </row>
    <row r="5248" spans="1:19" x14ac:dyDescent="0.25">
      <c r="A5248" s="41" t="s">
        <v>23</v>
      </c>
      <c r="B5248" s="41" t="s">
        <v>42040</v>
      </c>
      <c r="F5248" s="41" t="s">
        <v>42041</v>
      </c>
      <c r="G5248" s="41" t="s">
        <v>42042</v>
      </c>
      <c r="H5248" s="41" t="s">
        <v>42043</v>
      </c>
      <c r="I5248" s="41" t="s">
        <v>42044</v>
      </c>
      <c r="J5248" s="41" t="s">
        <v>42045</v>
      </c>
      <c r="L5248" s="41" t="s">
        <v>4</v>
      </c>
    </row>
    <row r="5249" spans="1:19" x14ac:dyDescent="0.25">
      <c r="A5249" s="41" t="s">
        <v>23</v>
      </c>
      <c r="B5249" s="41" t="s">
        <v>42046</v>
      </c>
      <c r="D5249" s="41" t="s">
        <v>41879</v>
      </c>
      <c r="E5249" s="41" t="s">
        <v>42048</v>
      </c>
      <c r="F5249" s="41" t="s">
        <v>42049</v>
      </c>
      <c r="G5249" s="41" t="s">
        <v>42050</v>
      </c>
      <c r="H5249" s="41" t="s">
        <v>42051</v>
      </c>
      <c r="I5249" s="41" t="s">
        <v>42052</v>
      </c>
      <c r="J5249" s="41" t="s">
        <v>42053</v>
      </c>
      <c r="K5249" s="41" t="s">
        <v>42054</v>
      </c>
      <c r="L5249" s="41" t="s">
        <v>42055</v>
      </c>
      <c r="M5249" s="41" t="s">
        <v>42056</v>
      </c>
      <c r="N5249" s="41" t="s">
        <v>42057</v>
      </c>
      <c r="O5249" s="41" t="s">
        <v>42058</v>
      </c>
      <c r="P5249" s="41" t="s">
        <v>42059</v>
      </c>
      <c r="Q5249" s="41" t="s">
        <v>42060</v>
      </c>
      <c r="R5249" s="41" t="s">
        <v>42061</v>
      </c>
      <c r="S5249" s="41" t="s">
        <v>42062</v>
      </c>
    </row>
    <row r="5250" spans="1:19" x14ac:dyDescent="0.25">
      <c r="A5250" s="41" t="s">
        <v>23</v>
      </c>
      <c r="B5250" s="41" t="s">
        <v>42063</v>
      </c>
      <c r="D5250" s="41" t="s">
        <v>42064</v>
      </c>
      <c r="F5250" s="41" t="s">
        <v>42065</v>
      </c>
      <c r="G5250" s="41" t="s">
        <v>42066</v>
      </c>
      <c r="H5250" s="41" t="s">
        <v>42067</v>
      </c>
      <c r="I5250" s="41" t="s">
        <v>42068</v>
      </c>
      <c r="J5250" s="41" t="s">
        <v>42069</v>
      </c>
      <c r="K5250" s="41" t="s">
        <v>42070</v>
      </c>
      <c r="L5250" s="41" t="s">
        <v>891</v>
      </c>
    </row>
    <row r="5251" spans="1:19" x14ac:dyDescent="0.25">
      <c r="A5251" s="41" t="s">
        <v>23</v>
      </c>
      <c r="B5251" s="41" t="s">
        <v>42071</v>
      </c>
      <c r="D5251" s="41" t="s">
        <v>42072</v>
      </c>
      <c r="F5251" s="41" t="s">
        <v>42073</v>
      </c>
      <c r="G5251" s="41" t="s">
        <v>42074</v>
      </c>
      <c r="H5251" s="41" t="s">
        <v>42075</v>
      </c>
      <c r="I5251" s="41" t="s">
        <v>42076</v>
      </c>
      <c r="J5251" s="41" t="s">
        <v>42077</v>
      </c>
      <c r="K5251" s="41" t="s">
        <v>42078</v>
      </c>
      <c r="L5251" s="41" t="s">
        <v>1076</v>
      </c>
    </row>
    <row r="5252" spans="1:19" x14ac:dyDescent="0.25">
      <c r="A5252" s="41" t="s">
        <v>23</v>
      </c>
      <c r="B5252" s="41" t="s">
        <v>42079</v>
      </c>
      <c r="D5252" s="41" t="s">
        <v>42080</v>
      </c>
      <c r="F5252" s="41" t="s">
        <v>42081</v>
      </c>
      <c r="G5252" s="41" t="s">
        <v>42082</v>
      </c>
      <c r="H5252" s="41" t="s">
        <v>42083</v>
      </c>
      <c r="I5252" s="41" t="s">
        <v>42084</v>
      </c>
      <c r="J5252" s="41" t="s">
        <v>42085</v>
      </c>
      <c r="K5252" s="41" t="s">
        <v>42086</v>
      </c>
      <c r="L5252" s="41" t="s">
        <v>1085</v>
      </c>
    </row>
    <row r="5253" spans="1:19" x14ac:dyDescent="0.25">
      <c r="A5253" s="41" t="s">
        <v>23</v>
      </c>
      <c r="B5253" s="41" t="s">
        <v>42087</v>
      </c>
      <c r="D5253" s="41" t="s">
        <v>42088</v>
      </c>
      <c r="F5253" s="41" t="s">
        <v>42089</v>
      </c>
      <c r="G5253" s="41" t="s">
        <v>42090</v>
      </c>
      <c r="H5253" s="41" t="s">
        <v>42091</v>
      </c>
      <c r="I5253" s="41" t="s">
        <v>42092</v>
      </c>
      <c r="J5253" s="41" t="s">
        <v>42093</v>
      </c>
      <c r="K5253" s="41" t="s">
        <v>42094</v>
      </c>
      <c r="L5253" s="41" t="s">
        <v>1094</v>
      </c>
    </row>
    <row r="5254" spans="1:19" x14ac:dyDescent="0.25">
      <c r="A5254" s="41" t="s">
        <v>908</v>
      </c>
      <c r="B5254" s="41" t="s">
        <v>42095</v>
      </c>
    </row>
    <row r="5255" spans="1:19" x14ac:dyDescent="0.25">
      <c r="A5255" s="41" t="s">
        <v>23</v>
      </c>
      <c r="B5255" s="41" t="s">
        <v>42096</v>
      </c>
      <c r="F5255" s="41" t="s">
        <v>42097</v>
      </c>
      <c r="G5255" s="41" t="s">
        <v>42098</v>
      </c>
      <c r="H5255" s="41" t="s">
        <v>42099</v>
      </c>
      <c r="I5255" s="41" t="s">
        <v>42100</v>
      </c>
      <c r="J5255" s="41" t="s">
        <v>42101</v>
      </c>
      <c r="L5255" s="41" t="s">
        <v>4</v>
      </c>
    </row>
    <row r="5256" spans="1:19" x14ac:dyDescent="0.25">
      <c r="A5256" s="41" t="s">
        <v>23</v>
      </c>
      <c r="B5256" s="41" t="s">
        <v>42102</v>
      </c>
      <c r="D5256" s="41" t="s">
        <v>41935</v>
      </c>
      <c r="E5256" s="41" t="s">
        <v>42104</v>
      </c>
      <c r="F5256" s="41" t="s">
        <v>42105</v>
      </c>
      <c r="G5256" s="41" t="s">
        <v>42106</v>
      </c>
      <c r="H5256" s="41" t="s">
        <v>42107</v>
      </c>
      <c r="I5256" s="41" t="s">
        <v>42108</v>
      </c>
      <c r="J5256" s="41" t="s">
        <v>42109</v>
      </c>
      <c r="K5256" s="41" t="s">
        <v>42110</v>
      </c>
      <c r="L5256" s="41" t="s">
        <v>42111</v>
      </c>
      <c r="M5256" s="41" t="s">
        <v>42112</v>
      </c>
      <c r="N5256" s="41" t="s">
        <v>42113</v>
      </c>
      <c r="O5256" s="41" t="s">
        <v>42114</v>
      </c>
      <c r="P5256" s="41" t="s">
        <v>42115</v>
      </c>
      <c r="Q5256" s="41" t="s">
        <v>42116</v>
      </c>
      <c r="R5256" s="41" t="s">
        <v>42117</v>
      </c>
      <c r="S5256" s="41" t="s">
        <v>42118</v>
      </c>
    </row>
    <row r="5257" spans="1:19" x14ac:dyDescent="0.25">
      <c r="A5257" s="41" t="s">
        <v>23</v>
      </c>
      <c r="B5257" s="41" t="s">
        <v>42119</v>
      </c>
      <c r="D5257" s="41" t="s">
        <v>42120</v>
      </c>
      <c r="F5257" s="41" t="s">
        <v>42121</v>
      </c>
      <c r="G5257" s="41" t="s">
        <v>42122</v>
      </c>
      <c r="H5257" s="41" t="s">
        <v>42123</v>
      </c>
      <c r="I5257" s="41" t="s">
        <v>42124</v>
      </c>
      <c r="J5257" s="41" t="s">
        <v>42125</v>
      </c>
      <c r="K5257" s="41" t="s">
        <v>42126</v>
      </c>
      <c r="L5257" s="41" t="s">
        <v>891</v>
      </c>
    </row>
    <row r="5258" spans="1:19" x14ac:dyDescent="0.25">
      <c r="A5258" s="41" t="s">
        <v>23</v>
      </c>
      <c r="B5258" s="41" t="s">
        <v>42127</v>
      </c>
      <c r="D5258" s="41" t="s">
        <v>42128</v>
      </c>
      <c r="F5258" s="41" t="s">
        <v>42129</v>
      </c>
      <c r="G5258" s="41" t="s">
        <v>42130</v>
      </c>
      <c r="H5258" s="41" t="s">
        <v>42131</v>
      </c>
      <c r="I5258" s="41" t="s">
        <v>42132</v>
      </c>
      <c r="J5258" s="41" t="s">
        <v>42133</v>
      </c>
      <c r="K5258" s="41" t="s">
        <v>42134</v>
      </c>
      <c r="L5258" s="41" t="s">
        <v>1076</v>
      </c>
    </row>
    <row r="5259" spans="1:19" x14ac:dyDescent="0.25">
      <c r="A5259" s="41" t="s">
        <v>23</v>
      </c>
      <c r="B5259" s="41" t="s">
        <v>42135</v>
      </c>
      <c r="D5259" s="41" t="s">
        <v>42136</v>
      </c>
      <c r="F5259" s="41" t="s">
        <v>42137</v>
      </c>
      <c r="G5259" s="41" t="s">
        <v>42138</v>
      </c>
      <c r="H5259" s="41" t="s">
        <v>42139</v>
      </c>
      <c r="I5259" s="41" t="s">
        <v>42140</v>
      </c>
      <c r="J5259" s="41" t="s">
        <v>42141</v>
      </c>
      <c r="K5259" s="41" t="s">
        <v>42142</v>
      </c>
      <c r="L5259" s="41" t="s">
        <v>1085</v>
      </c>
    </row>
    <row r="5260" spans="1:19" x14ac:dyDescent="0.25">
      <c r="A5260" s="41" t="s">
        <v>23</v>
      </c>
      <c r="B5260" s="41" t="s">
        <v>42143</v>
      </c>
      <c r="D5260" s="41" t="s">
        <v>42144</v>
      </c>
      <c r="F5260" s="41" t="s">
        <v>42145</v>
      </c>
      <c r="G5260" s="41" t="s">
        <v>42146</v>
      </c>
      <c r="H5260" s="41" t="s">
        <v>42147</v>
      </c>
      <c r="I5260" s="41" t="s">
        <v>42148</v>
      </c>
      <c r="J5260" s="41" t="s">
        <v>42149</v>
      </c>
      <c r="K5260" s="41" t="s">
        <v>42150</v>
      </c>
      <c r="L5260" s="41" t="s">
        <v>1094</v>
      </c>
    </row>
    <row r="5261" spans="1:19" x14ac:dyDescent="0.25">
      <c r="A5261" s="41" t="s">
        <v>908</v>
      </c>
      <c r="B5261" s="41" t="s">
        <v>42151</v>
      </c>
    </row>
    <row r="5262" spans="1:19" x14ac:dyDescent="0.25">
      <c r="A5262" s="41" t="s">
        <v>23</v>
      </c>
      <c r="B5262" s="41" t="s">
        <v>42152</v>
      </c>
      <c r="F5262" s="41" t="s">
        <v>42153</v>
      </c>
      <c r="G5262" s="41" t="s">
        <v>42154</v>
      </c>
      <c r="H5262" s="41" t="s">
        <v>42155</v>
      </c>
      <c r="I5262" s="41" t="s">
        <v>42156</v>
      </c>
      <c r="J5262" s="41" t="s">
        <v>42157</v>
      </c>
      <c r="L5262" s="41" t="s">
        <v>4</v>
      </c>
    </row>
    <row r="5263" spans="1:19" x14ac:dyDescent="0.25">
      <c r="A5263" s="41" t="s">
        <v>23</v>
      </c>
      <c r="B5263" s="41" t="s">
        <v>42158</v>
      </c>
      <c r="D5263" s="41" t="s">
        <v>41991</v>
      </c>
      <c r="E5263" s="41" t="s">
        <v>42160</v>
      </c>
      <c r="F5263" s="41" t="s">
        <v>42161</v>
      </c>
      <c r="G5263" s="41" t="s">
        <v>42162</v>
      </c>
      <c r="H5263" s="41" t="s">
        <v>42163</v>
      </c>
      <c r="I5263" s="41" t="s">
        <v>42164</v>
      </c>
      <c r="J5263" s="41" t="s">
        <v>42165</v>
      </c>
      <c r="K5263" s="41" t="s">
        <v>42166</v>
      </c>
      <c r="L5263" s="41" t="s">
        <v>42167</v>
      </c>
      <c r="M5263" s="41" t="s">
        <v>42168</v>
      </c>
      <c r="N5263" s="41" t="s">
        <v>42169</v>
      </c>
      <c r="O5263" s="41" t="s">
        <v>42170</v>
      </c>
      <c r="P5263" s="41" t="s">
        <v>42171</v>
      </c>
      <c r="Q5263" s="41" t="s">
        <v>42172</v>
      </c>
      <c r="R5263" s="41" t="s">
        <v>42173</v>
      </c>
      <c r="S5263" s="41" t="s">
        <v>42174</v>
      </c>
    </row>
    <row r="5264" spans="1:19" x14ac:dyDescent="0.25">
      <c r="A5264" s="41" t="s">
        <v>23</v>
      </c>
      <c r="B5264" s="41" t="s">
        <v>42175</v>
      </c>
      <c r="D5264" s="41" t="s">
        <v>42176</v>
      </c>
      <c r="F5264" s="41" t="s">
        <v>42177</v>
      </c>
      <c r="G5264" s="41" t="s">
        <v>42178</v>
      </c>
      <c r="H5264" s="41" t="s">
        <v>42179</v>
      </c>
      <c r="I5264" s="41" t="s">
        <v>42180</v>
      </c>
      <c r="J5264" s="41" t="s">
        <v>42181</v>
      </c>
      <c r="K5264" s="41" t="s">
        <v>42182</v>
      </c>
      <c r="L5264" s="41" t="s">
        <v>891</v>
      </c>
    </row>
    <row r="5265" spans="1:19" x14ac:dyDescent="0.25">
      <c r="A5265" s="41" t="s">
        <v>23</v>
      </c>
      <c r="B5265" s="41" t="s">
        <v>42183</v>
      </c>
      <c r="D5265" s="41" t="s">
        <v>42184</v>
      </c>
      <c r="F5265" s="41" t="s">
        <v>42185</v>
      </c>
      <c r="G5265" s="41" t="s">
        <v>42186</v>
      </c>
      <c r="H5265" s="41" t="s">
        <v>42187</v>
      </c>
      <c r="I5265" s="41" t="s">
        <v>42188</v>
      </c>
      <c r="J5265" s="41" t="s">
        <v>42189</v>
      </c>
      <c r="K5265" s="41" t="s">
        <v>42190</v>
      </c>
      <c r="L5265" s="41" t="s">
        <v>1076</v>
      </c>
    </row>
    <row r="5266" spans="1:19" x14ac:dyDescent="0.25">
      <c r="A5266" s="41" t="s">
        <v>23</v>
      </c>
      <c r="B5266" s="41" t="s">
        <v>42191</v>
      </c>
      <c r="D5266" s="41" t="s">
        <v>42192</v>
      </c>
      <c r="F5266" s="41" t="s">
        <v>42193</v>
      </c>
      <c r="G5266" s="41" t="s">
        <v>42194</v>
      </c>
      <c r="H5266" s="41" t="s">
        <v>42195</v>
      </c>
      <c r="I5266" s="41" t="s">
        <v>42196</v>
      </c>
      <c r="J5266" s="41" t="s">
        <v>42197</v>
      </c>
      <c r="K5266" s="41" t="s">
        <v>42198</v>
      </c>
      <c r="L5266" s="41" t="s">
        <v>1085</v>
      </c>
    </row>
    <row r="5267" spans="1:19" x14ac:dyDescent="0.25">
      <c r="A5267" s="41" t="s">
        <v>23</v>
      </c>
      <c r="B5267" s="41" t="s">
        <v>42199</v>
      </c>
      <c r="D5267" s="41" t="s">
        <v>42200</v>
      </c>
      <c r="F5267" s="41" t="s">
        <v>42201</v>
      </c>
      <c r="G5267" s="41" t="s">
        <v>42202</v>
      </c>
      <c r="H5267" s="41" t="s">
        <v>42203</v>
      </c>
      <c r="I5267" s="41" t="s">
        <v>42204</v>
      </c>
      <c r="J5267" s="41" t="s">
        <v>42205</v>
      </c>
      <c r="K5267" s="41" t="s">
        <v>42206</v>
      </c>
      <c r="L5267" s="41" t="s">
        <v>1094</v>
      </c>
    </row>
    <row r="5268" spans="1:19" x14ac:dyDescent="0.25">
      <c r="A5268" s="41" t="s">
        <v>908</v>
      </c>
      <c r="B5268" s="41" t="s">
        <v>42207</v>
      </c>
    </row>
    <row r="5269" spans="1:19" x14ac:dyDescent="0.25">
      <c r="A5269" s="41" t="s">
        <v>23</v>
      </c>
      <c r="B5269" s="41" t="s">
        <v>42208</v>
      </c>
      <c r="F5269" s="41" t="s">
        <v>42209</v>
      </c>
      <c r="G5269" s="41" t="s">
        <v>42210</v>
      </c>
      <c r="H5269" s="41" t="s">
        <v>42211</v>
      </c>
      <c r="I5269" s="41" t="s">
        <v>42212</v>
      </c>
      <c r="J5269" s="41" t="s">
        <v>42213</v>
      </c>
      <c r="L5269" s="41" t="s">
        <v>4</v>
      </c>
    </row>
    <row r="5270" spans="1:19" x14ac:dyDescent="0.25">
      <c r="A5270" s="41" t="s">
        <v>23</v>
      </c>
      <c r="B5270" s="41" t="s">
        <v>42214</v>
      </c>
      <c r="D5270" s="41" t="s">
        <v>42047</v>
      </c>
      <c r="E5270" s="41" t="s">
        <v>42216</v>
      </c>
      <c r="F5270" s="41" t="s">
        <v>42217</v>
      </c>
      <c r="G5270" s="41" t="s">
        <v>42218</v>
      </c>
      <c r="H5270" s="41" t="s">
        <v>42219</v>
      </c>
      <c r="I5270" s="41" t="s">
        <v>42220</v>
      </c>
      <c r="J5270" s="41" t="s">
        <v>42221</v>
      </c>
      <c r="K5270" s="41" t="s">
        <v>42222</v>
      </c>
      <c r="L5270" s="41" t="s">
        <v>42223</v>
      </c>
      <c r="M5270" s="41" t="s">
        <v>42224</v>
      </c>
      <c r="N5270" s="41" t="s">
        <v>42225</v>
      </c>
      <c r="O5270" s="41" t="s">
        <v>42226</v>
      </c>
      <c r="P5270" s="41" t="s">
        <v>42227</v>
      </c>
      <c r="Q5270" s="41" t="s">
        <v>42228</v>
      </c>
      <c r="R5270" s="41" t="s">
        <v>42229</v>
      </c>
      <c r="S5270" s="41" t="s">
        <v>42230</v>
      </c>
    </row>
    <row r="5271" spans="1:19" x14ac:dyDescent="0.25">
      <c r="A5271" s="41" t="s">
        <v>23</v>
      </c>
      <c r="B5271" s="41" t="s">
        <v>42231</v>
      </c>
      <c r="D5271" s="41" t="s">
        <v>42232</v>
      </c>
      <c r="F5271" s="41" t="s">
        <v>42233</v>
      </c>
      <c r="G5271" s="41" t="s">
        <v>42234</v>
      </c>
      <c r="H5271" s="41" t="s">
        <v>42235</v>
      </c>
      <c r="I5271" s="41" t="s">
        <v>42236</v>
      </c>
      <c r="J5271" s="41" t="s">
        <v>42237</v>
      </c>
      <c r="K5271" s="41" t="s">
        <v>42238</v>
      </c>
      <c r="L5271" s="41" t="s">
        <v>891</v>
      </c>
    </row>
    <row r="5272" spans="1:19" x14ac:dyDescent="0.25">
      <c r="A5272" s="41" t="s">
        <v>23</v>
      </c>
      <c r="B5272" s="41" t="s">
        <v>42239</v>
      </c>
      <c r="D5272" s="41" t="s">
        <v>42240</v>
      </c>
      <c r="F5272" s="41" t="s">
        <v>42241</v>
      </c>
      <c r="G5272" s="41" t="s">
        <v>42242</v>
      </c>
      <c r="H5272" s="41" t="s">
        <v>42243</v>
      </c>
      <c r="I5272" s="41" t="s">
        <v>42244</v>
      </c>
      <c r="J5272" s="41" t="s">
        <v>42245</v>
      </c>
      <c r="K5272" s="41" t="s">
        <v>42246</v>
      </c>
      <c r="L5272" s="41" t="s">
        <v>1076</v>
      </c>
    </row>
    <row r="5273" spans="1:19" x14ac:dyDescent="0.25">
      <c r="A5273" s="41" t="s">
        <v>23</v>
      </c>
      <c r="B5273" s="41" t="s">
        <v>42247</v>
      </c>
      <c r="D5273" s="41" t="s">
        <v>42248</v>
      </c>
      <c r="F5273" s="41" t="s">
        <v>42249</v>
      </c>
      <c r="G5273" s="41" t="s">
        <v>42250</v>
      </c>
      <c r="H5273" s="41" t="s">
        <v>42251</v>
      </c>
      <c r="I5273" s="41" t="s">
        <v>42252</v>
      </c>
      <c r="J5273" s="41" t="s">
        <v>42253</v>
      </c>
      <c r="K5273" s="41" t="s">
        <v>42254</v>
      </c>
      <c r="L5273" s="41" t="s">
        <v>1085</v>
      </c>
    </row>
    <row r="5274" spans="1:19" x14ac:dyDescent="0.25">
      <c r="A5274" s="41" t="s">
        <v>23</v>
      </c>
      <c r="B5274" s="41" t="s">
        <v>42255</v>
      </c>
      <c r="D5274" s="41" t="s">
        <v>42256</v>
      </c>
      <c r="F5274" s="41" t="s">
        <v>42257</v>
      </c>
      <c r="G5274" s="41" t="s">
        <v>42258</v>
      </c>
      <c r="H5274" s="41" t="s">
        <v>42259</v>
      </c>
      <c r="I5274" s="41" t="s">
        <v>42260</v>
      </c>
      <c r="J5274" s="41" t="s">
        <v>42261</v>
      </c>
      <c r="K5274" s="41" t="s">
        <v>42262</v>
      </c>
      <c r="L5274" s="41" t="s">
        <v>1094</v>
      </c>
    </row>
    <row r="5275" spans="1:19" x14ac:dyDescent="0.25">
      <c r="A5275" s="41" t="s">
        <v>908</v>
      </c>
      <c r="B5275" s="41" t="s">
        <v>42263</v>
      </c>
    </row>
    <row r="5276" spans="1:19" x14ac:dyDescent="0.25">
      <c r="A5276" s="41" t="s">
        <v>23</v>
      </c>
      <c r="B5276" s="41" t="s">
        <v>42264</v>
      </c>
      <c r="F5276" s="41" t="s">
        <v>42265</v>
      </c>
      <c r="G5276" s="41" t="s">
        <v>42266</v>
      </c>
      <c r="H5276" s="41" t="s">
        <v>42267</v>
      </c>
      <c r="I5276" s="41" t="s">
        <v>42268</v>
      </c>
      <c r="J5276" s="41" t="s">
        <v>42269</v>
      </c>
      <c r="L5276" s="41" t="s">
        <v>4</v>
      </c>
    </row>
    <row r="5277" spans="1:19" x14ac:dyDescent="0.25">
      <c r="A5277" s="41" t="s">
        <v>23</v>
      </c>
      <c r="B5277" s="41" t="s">
        <v>42270</v>
      </c>
      <c r="D5277" s="41" t="s">
        <v>42103</v>
      </c>
      <c r="E5277" s="41" t="s">
        <v>42272</v>
      </c>
      <c r="F5277" s="41" t="s">
        <v>42273</v>
      </c>
      <c r="G5277" s="41" t="s">
        <v>42274</v>
      </c>
      <c r="H5277" s="41" t="s">
        <v>42275</v>
      </c>
      <c r="I5277" s="41" t="s">
        <v>42276</v>
      </c>
      <c r="J5277" s="41" t="s">
        <v>42277</v>
      </c>
      <c r="K5277" s="41" t="s">
        <v>42278</v>
      </c>
      <c r="L5277" s="41" t="s">
        <v>42279</v>
      </c>
      <c r="M5277" s="41" t="s">
        <v>42280</v>
      </c>
      <c r="N5277" s="41" t="s">
        <v>42281</v>
      </c>
      <c r="O5277" s="41" t="s">
        <v>42282</v>
      </c>
      <c r="P5277" s="41" t="s">
        <v>42283</v>
      </c>
      <c r="Q5277" s="41" t="s">
        <v>42284</v>
      </c>
      <c r="R5277" s="41" t="s">
        <v>42285</v>
      </c>
      <c r="S5277" s="41" t="s">
        <v>42286</v>
      </c>
    </row>
    <row r="5278" spans="1:19" x14ac:dyDescent="0.25">
      <c r="A5278" s="41" t="s">
        <v>23</v>
      </c>
      <c r="B5278" s="41" t="s">
        <v>42287</v>
      </c>
      <c r="D5278" s="41" t="s">
        <v>42288</v>
      </c>
      <c r="F5278" s="41" t="s">
        <v>42289</v>
      </c>
      <c r="G5278" s="41" t="s">
        <v>42290</v>
      </c>
      <c r="H5278" s="41" t="s">
        <v>42291</v>
      </c>
      <c r="I5278" s="41" t="s">
        <v>42292</v>
      </c>
      <c r="J5278" s="41" t="s">
        <v>42293</v>
      </c>
      <c r="K5278" s="41" t="s">
        <v>42294</v>
      </c>
      <c r="L5278" s="41" t="s">
        <v>891</v>
      </c>
    </row>
    <row r="5279" spans="1:19" x14ac:dyDescent="0.25">
      <c r="A5279" s="41" t="s">
        <v>23</v>
      </c>
      <c r="B5279" s="41" t="s">
        <v>42295</v>
      </c>
      <c r="D5279" s="41" t="s">
        <v>42296</v>
      </c>
      <c r="F5279" s="41" t="s">
        <v>42297</v>
      </c>
      <c r="G5279" s="41" t="s">
        <v>42298</v>
      </c>
      <c r="H5279" s="41" t="s">
        <v>42299</v>
      </c>
      <c r="I5279" s="41" t="s">
        <v>42300</v>
      </c>
      <c r="J5279" s="41" t="s">
        <v>42301</v>
      </c>
      <c r="K5279" s="41" t="s">
        <v>42302</v>
      </c>
      <c r="L5279" s="41" t="s">
        <v>1076</v>
      </c>
    </row>
    <row r="5280" spans="1:19" x14ac:dyDescent="0.25">
      <c r="A5280" s="41" t="s">
        <v>23</v>
      </c>
      <c r="B5280" s="41" t="s">
        <v>42303</v>
      </c>
      <c r="D5280" s="41" t="s">
        <v>42304</v>
      </c>
      <c r="F5280" s="41" t="s">
        <v>42305</v>
      </c>
      <c r="G5280" s="41" t="s">
        <v>42306</v>
      </c>
      <c r="H5280" s="41" t="s">
        <v>42307</v>
      </c>
      <c r="I5280" s="41" t="s">
        <v>42308</v>
      </c>
      <c r="J5280" s="41" t="s">
        <v>42309</v>
      </c>
      <c r="K5280" s="41" t="s">
        <v>42310</v>
      </c>
      <c r="L5280" s="41" t="s">
        <v>1085</v>
      </c>
    </row>
    <row r="5281" spans="1:19" x14ac:dyDescent="0.25">
      <c r="A5281" s="41" t="s">
        <v>23</v>
      </c>
      <c r="B5281" s="41" t="s">
        <v>42311</v>
      </c>
      <c r="D5281" s="41" t="s">
        <v>42312</v>
      </c>
      <c r="F5281" s="41" t="s">
        <v>42313</v>
      </c>
      <c r="G5281" s="41" t="s">
        <v>42314</v>
      </c>
      <c r="H5281" s="41" t="s">
        <v>42315</v>
      </c>
      <c r="I5281" s="41" t="s">
        <v>42316</v>
      </c>
      <c r="J5281" s="41" t="s">
        <v>42317</v>
      </c>
      <c r="K5281" s="41" t="s">
        <v>42318</v>
      </c>
      <c r="L5281" s="41" t="s">
        <v>1094</v>
      </c>
    </row>
    <row r="5282" spans="1:19" x14ac:dyDescent="0.25">
      <c r="A5282" s="41" t="s">
        <v>908</v>
      </c>
      <c r="B5282" s="41" t="s">
        <v>42319</v>
      </c>
    </row>
    <row r="5283" spans="1:19" x14ac:dyDescent="0.25">
      <c r="A5283" s="41" t="s">
        <v>23</v>
      </c>
      <c r="B5283" s="41" t="s">
        <v>42320</v>
      </c>
      <c r="F5283" s="41" t="s">
        <v>42321</v>
      </c>
      <c r="G5283" s="41" t="s">
        <v>42322</v>
      </c>
      <c r="H5283" s="41" t="s">
        <v>42323</v>
      </c>
      <c r="I5283" s="41" t="s">
        <v>42324</v>
      </c>
      <c r="J5283" s="41" t="s">
        <v>42325</v>
      </c>
      <c r="L5283" s="41" t="s">
        <v>4</v>
      </c>
    </row>
    <row r="5284" spans="1:19" x14ac:dyDescent="0.25">
      <c r="A5284" s="41" t="s">
        <v>23</v>
      </c>
      <c r="B5284" s="41" t="s">
        <v>42326</v>
      </c>
      <c r="D5284" s="41" t="s">
        <v>42159</v>
      </c>
      <c r="E5284" s="41" t="s">
        <v>42328</v>
      </c>
      <c r="F5284" s="41" t="s">
        <v>42329</v>
      </c>
      <c r="G5284" s="41" t="s">
        <v>42330</v>
      </c>
      <c r="H5284" s="41" t="s">
        <v>42331</v>
      </c>
      <c r="I5284" s="41" t="s">
        <v>42332</v>
      </c>
      <c r="J5284" s="41" t="s">
        <v>42333</v>
      </c>
      <c r="K5284" s="41" t="s">
        <v>42334</v>
      </c>
      <c r="L5284" s="41" t="s">
        <v>42335</v>
      </c>
      <c r="M5284" s="41" t="s">
        <v>42336</v>
      </c>
      <c r="N5284" s="41" t="s">
        <v>42337</v>
      </c>
      <c r="O5284" s="41" t="s">
        <v>42338</v>
      </c>
      <c r="P5284" s="41" t="s">
        <v>42339</v>
      </c>
      <c r="Q5284" s="41" t="s">
        <v>42340</v>
      </c>
      <c r="R5284" s="41" t="s">
        <v>42341</v>
      </c>
      <c r="S5284" s="41" t="s">
        <v>42342</v>
      </c>
    </row>
    <row r="5285" spans="1:19" x14ac:dyDescent="0.25">
      <c r="A5285" s="41" t="s">
        <v>23</v>
      </c>
      <c r="B5285" s="41" t="s">
        <v>42343</v>
      </c>
      <c r="D5285" s="41" t="s">
        <v>42344</v>
      </c>
      <c r="F5285" s="41" t="s">
        <v>42345</v>
      </c>
      <c r="G5285" s="41" t="s">
        <v>42346</v>
      </c>
      <c r="H5285" s="41" t="s">
        <v>42347</v>
      </c>
      <c r="I5285" s="41" t="s">
        <v>42348</v>
      </c>
      <c r="J5285" s="41" t="s">
        <v>42349</v>
      </c>
      <c r="K5285" s="41" t="s">
        <v>42350</v>
      </c>
      <c r="L5285" s="41" t="s">
        <v>891</v>
      </c>
    </row>
    <row r="5286" spans="1:19" x14ac:dyDescent="0.25">
      <c r="A5286" s="41" t="s">
        <v>23</v>
      </c>
      <c r="B5286" s="41" t="s">
        <v>42351</v>
      </c>
      <c r="D5286" s="41" t="s">
        <v>42352</v>
      </c>
      <c r="F5286" s="41" t="s">
        <v>42353</v>
      </c>
      <c r="G5286" s="41" t="s">
        <v>42354</v>
      </c>
      <c r="H5286" s="41" t="s">
        <v>42355</v>
      </c>
      <c r="I5286" s="41" t="s">
        <v>42356</v>
      </c>
      <c r="J5286" s="41" t="s">
        <v>42357</v>
      </c>
      <c r="K5286" s="41" t="s">
        <v>42358</v>
      </c>
      <c r="L5286" s="41" t="s">
        <v>1076</v>
      </c>
    </row>
    <row r="5287" spans="1:19" x14ac:dyDescent="0.25">
      <c r="A5287" s="41" t="s">
        <v>23</v>
      </c>
      <c r="B5287" s="41" t="s">
        <v>42359</v>
      </c>
      <c r="D5287" s="41" t="s">
        <v>42360</v>
      </c>
      <c r="F5287" s="41" t="s">
        <v>42361</v>
      </c>
      <c r="G5287" s="41" t="s">
        <v>42362</v>
      </c>
      <c r="H5287" s="41" t="s">
        <v>42363</v>
      </c>
      <c r="I5287" s="41" t="s">
        <v>42364</v>
      </c>
      <c r="J5287" s="41" t="s">
        <v>42365</v>
      </c>
      <c r="K5287" s="41" t="s">
        <v>42366</v>
      </c>
      <c r="L5287" s="41" t="s">
        <v>1085</v>
      </c>
    </row>
    <row r="5288" spans="1:19" x14ac:dyDescent="0.25">
      <c r="A5288" s="41" t="s">
        <v>23</v>
      </c>
      <c r="B5288" s="41" t="s">
        <v>42367</v>
      </c>
      <c r="D5288" s="41" t="s">
        <v>42368</v>
      </c>
      <c r="F5288" s="41" t="s">
        <v>42369</v>
      </c>
      <c r="G5288" s="41" t="s">
        <v>42370</v>
      </c>
      <c r="H5288" s="41" t="s">
        <v>42371</v>
      </c>
      <c r="I5288" s="41" t="s">
        <v>42372</v>
      </c>
      <c r="J5288" s="41" t="s">
        <v>42373</v>
      </c>
      <c r="K5288" s="41" t="s">
        <v>42374</v>
      </c>
      <c r="L5288" s="41" t="s">
        <v>1094</v>
      </c>
    </row>
    <row r="5289" spans="1:19" x14ac:dyDescent="0.25">
      <c r="A5289" s="41" t="s">
        <v>908</v>
      </c>
      <c r="B5289" s="41" t="s">
        <v>42375</v>
      </c>
    </row>
    <row r="5290" spans="1:19" x14ac:dyDescent="0.25">
      <c r="A5290" s="41" t="s">
        <v>23</v>
      </c>
      <c r="B5290" s="41" t="s">
        <v>42376</v>
      </c>
      <c r="F5290" s="41" t="s">
        <v>42377</v>
      </c>
      <c r="G5290" s="41" t="s">
        <v>42378</v>
      </c>
      <c r="H5290" s="41" t="s">
        <v>42379</v>
      </c>
      <c r="I5290" s="41" t="s">
        <v>42380</v>
      </c>
      <c r="J5290" s="41" t="s">
        <v>42381</v>
      </c>
      <c r="L5290" s="41" t="s">
        <v>4</v>
      </c>
    </row>
    <row r="5291" spans="1:19" x14ac:dyDescent="0.25">
      <c r="A5291" s="41" t="s">
        <v>23</v>
      </c>
      <c r="B5291" s="41" t="s">
        <v>42382</v>
      </c>
      <c r="D5291" s="41" t="s">
        <v>42215</v>
      </c>
      <c r="E5291" s="41" t="s">
        <v>42384</v>
      </c>
      <c r="F5291" s="41" t="s">
        <v>42385</v>
      </c>
      <c r="G5291" s="41" t="s">
        <v>42386</v>
      </c>
      <c r="H5291" s="41" t="s">
        <v>42387</v>
      </c>
      <c r="I5291" s="41" t="s">
        <v>42388</v>
      </c>
      <c r="J5291" s="41" t="s">
        <v>42389</v>
      </c>
      <c r="K5291" s="41" t="s">
        <v>42390</v>
      </c>
      <c r="L5291" s="41" t="s">
        <v>42391</v>
      </c>
      <c r="M5291" s="41" t="s">
        <v>42392</v>
      </c>
      <c r="N5291" s="41" t="s">
        <v>42393</v>
      </c>
      <c r="O5291" s="41" t="s">
        <v>42394</v>
      </c>
      <c r="P5291" s="41" t="s">
        <v>42395</v>
      </c>
      <c r="Q5291" s="41" t="s">
        <v>42396</v>
      </c>
      <c r="R5291" s="41" t="s">
        <v>42397</v>
      </c>
      <c r="S5291" s="41" t="s">
        <v>42398</v>
      </c>
    </row>
    <row r="5292" spans="1:19" x14ac:dyDescent="0.25">
      <c r="A5292" s="41" t="s">
        <v>23</v>
      </c>
      <c r="B5292" s="41" t="s">
        <v>42399</v>
      </c>
      <c r="D5292" s="41" t="s">
        <v>42400</v>
      </c>
      <c r="F5292" s="41" t="s">
        <v>42401</v>
      </c>
      <c r="G5292" s="41" t="s">
        <v>42402</v>
      </c>
      <c r="H5292" s="41" t="s">
        <v>42403</v>
      </c>
      <c r="I5292" s="41" t="s">
        <v>42404</v>
      </c>
      <c r="J5292" s="41" t="s">
        <v>42405</v>
      </c>
      <c r="K5292" s="41" t="s">
        <v>42406</v>
      </c>
      <c r="L5292" s="41" t="s">
        <v>891</v>
      </c>
    </row>
    <row r="5293" spans="1:19" x14ac:dyDescent="0.25">
      <c r="A5293" s="41" t="s">
        <v>23</v>
      </c>
      <c r="B5293" s="41" t="s">
        <v>42407</v>
      </c>
      <c r="D5293" s="41" t="s">
        <v>42408</v>
      </c>
      <c r="F5293" s="41" t="s">
        <v>42409</v>
      </c>
      <c r="G5293" s="41" t="s">
        <v>42410</v>
      </c>
      <c r="H5293" s="41" t="s">
        <v>42411</v>
      </c>
      <c r="I5293" s="41" t="s">
        <v>42412</v>
      </c>
      <c r="J5293" s="41" t="s">
        <v>42413</v>
      </c>
      <c r="K5293" s="41" t="s">
        <v>42414</v>
      </c>
      <c r="L5293" s="41" t="s">
        <v>1076</v>
      </c>
    </row>
    <row r="5294" spans="1:19" x14ac:dyDescent="0.25">
      <c r="A5294" s="41" t="s">
        <v>23</v>
      </c>
      <c r="B5294" s="41" t="s">
        <v>42415</v>
      </c>
      <c r="D5294" s="41" t="s">
        <v>42416</v>
      </c>
      <c r="F5294" s="41" t="s">
        <v>42417</v>
      </c>
      <c r="G5294" s="41" t="s">
        <v>42418</v>
      </c>
      <c r="H5294" s="41" t="s">
        <v>42419</v>
      </c>
      <c r="I5294" s="41" t="s">
        <v>42420</v>
      </c>
      <c r="J5294" s="41" t="s">
        <v>42421</v>
      </c>
      <c r="K5294" s="41" t="s">
        <v>42422</v>
      </c>
      <c r="L5294" s="41" t="s">
        <v>1085</v>
      </c>
    </row>
    <row r="5295" spans="1:19" x14ac:dyDescent="0.25">
      <c r="A5295" s="41" t="s">
        <v>23</v>
      </c>
      <c r="B5295" s="41" t="s">
        <v>42423</v>
      </c>
      <c r="D5295" s="41" t="s">
        <v>42424</v>
      </c>
      <c r="F5295" s="41" t="s">
        <v>42425</v>
      </c>
      <c r="G5295" s="41" t="s">
        <v>42426</v>
      </c>
      <c r="H5295" s="41" t="s">
        <v>42427</v>
      </c>
      <c r="I5295" s="41" t="s">
        <v>42428</v>
      </c>
      <c r="J5295" s="41" t="s">
        <v>42429</v>
      </c>
      <c r="K5295" s="41" t="s">
        <v>42430</v>
      </c>
      <c r="L5295" s="41" t="s">
        <v>1094</v>
      </c>
    </row>
    <row r="5296" spans="1:19" x14ac:dyDescent="0.25">
      <c r="A5296" s="41" t="s">
        <v>908</v>
      </c>
      <c r="B5296" s="41" t="s">
        <v>42431</v>
      </c>
    </row>
    <row r="5297" spans="1:19" x14ac:dyDescent="0.25">
      <c r="A5297" s="41" t="s">
        <v>23</v>
      </c>
      <c r="B5297" s="41" t="s">
        <v>42432</v>
      </c>
      <c r="F5297" s="41" t="s">
        <v>42433</v>
      </c>
      <c r="G5297" s="41" t="s">
        <v>42434</v>
      </c>
      <c r="H5297" s="41" t="s">
        <v>42435</v>
      </c>
      <c r="I5297" s="41" t="s">
        <v>42436</v>
      </c>
      <c r="J5297" s="41" t="s">
        <v>42437</v>
      </c>
      <c r="L5297" s="41" t="s">
        <v>4</v>
      </c>
    </row>
    <row r="5298" spans="1:19" x14ac:dyDescent="0.25">
      <c r="A5298" s="41" t="s">
        <v>23</v>
      </c>
      <c r="B5298" s="41" t="s">
        <v>42438</v>
      </c>
      <c r="D5298" s="41" t="s">
        <v>42271</v>
      </c>
      <c r="E5298" s="41" t="s">
        <v>42440</v>
      </c>
      <c r="F5298" s="41" t="s">
        <v>42441</v>
      </c>
      <c r="G5298" s="41" t="s">
        <v>42442</v>
      </c>
      <c r="H5298" s="41" t="s">
        <v>42443</v>
      </c>
      <c r="I5298" s="41" t="s">
        <v>42444</v>
      </c>
      <c r="J5298" s="41" t="s">
        <v>42445</v>
      </c>
      <c r="K5298" s="41" t="s">
        <v>42446</v>
      </c>
      <c r="L5298" s="41" t="s">
        <v>42447</v>
      </c>
      <c r="M5298" s="41" t="s">
        <v>42448</v>
      </c>
      <c r="N5298" s="41" t="s">
        <v>42449</v>
      </c>
      <c r="O5298" s="41" t="s">
        <v>42450</v>
      </c>
      <c r="P5298" s="41" t="s">
        <v>42451</v>
      </c>
      <c r="Q5298" s="41" t="s">
        <v>42452</v>
      </c>
      <c r="R5298" s="41" t="s">
        <v>42453</v>
      </c>
      <c r="S5298" s="41" t="s">
        <v>42454</v>
      </c>
    </row>
    <row r="5299" spans="1:19" x14ac:dyDescent="0.25">
      <c r="A5299" s="41" t="s">
        <v>23</v>
      </c>
      <c r="B5299" s="41" t="s">
        <v>42455</v>
      </c>
      <c r="D5299" s="41" t="s">
        <v>42456</v>
      </c>
      <c r="F5299" s="41" t="s">
        <v>42457</v>
      </c>
      <c r="G5299" s="41" t="s">
        <v>42458</v>
      </c>
      <c r="H5299" s="41" t="s">
        <v>42459</v>
      </c>
      <c r="I5299" s="41" t="s">
        <v>42460</v>
      </c>
      <c r="J5299" s="41" t="s">
        <v>42461</v>
      </c>
      <c r="K5299" s="41" t="s">
        <v>42462</v>
      </c>
      <c r="L5299" s="41" t="s">
        <v>891</v>
      </c>
    </row>
    <row r="5300" spans="1:19" x14ac:dyDescent="0.25">
      <c r="A5300" s="41" t="s">
        <v>23</v>
      </c>
      <c r="B5300" s="41" t="s">
        <v>42463</v>
      </c>
      <c r="D5300" s="41" t="s">
        <v>42464</v>
      </c>
      <c r="F5300" s="41" t="s">
        <v>42465</v>
      </c>
      <c r="G5300" s="41" t="s">
        <v>42466</v>
      </c>
      <c r="H5300" s="41" t="s">
        <v>42467</v>
      </c>
      <c r="I5300" s="41" t="s">
        <v>42468</v>
      </c>
      <c r="J5300" s="41" t="s">
        <v>42469</v>
      </c>
      <c r="K5300" s="41" t="s">
        <v>42470</v>
      </c>
      <c r="L5300" s="41" t="s">
        <v>1076</v>
      </c>
    </row>
    <row r="5301" spans="1:19" x14ac:dyDescent="0.25">
      <c r="A5301" s="41" t="s">
        <v>23</v>
      </c>
      <c r="B5301" s="41" t="s">
        <v>42471</v>
      </c>
      <c r="D5301" s="41" t="s">
        <v>42472</v>
      </c>
      <c r="F5301" s="41" t="s">
        <v>42473</v>
      </c>
      <c r="G5301" s="41" t="s">
        <v>42474</v>
      </c>
      <c r="H5301" s="41" t="s">
        <v>42475</v>
      </c>
      <c r="I5301" s="41" t="s">
        <v>42476</v>
      </c>
      <c r="J5301" s="41" t="s">
        <v>42477</v>
      </c>
      <c r="K5301" s="41" t="s">
        <v>42478</v>
      </c>
      <c r="L5301" s="41" t="s">
        <v>1085</v>
      </c>
    </row>
    <row r="5302" spans="1:19" x14ac:dyDescent="0.25">
      <c r="A5302" s="41" t="s">
        <v>23</v>
      </c>
      <c r="B5302" s="41" t="s">
        <v>42479</v>
      </c>
      <c r="D5302" s="41" t="s">
        <v>42480</v>
      </c>
      <c r="F5302" s="41" t="s">
        <v>42481</v>
      </c>
      <c r="G5302" s="41" t="s">
        <v>42482</v>
      </c>
      <c r="H5302" s="41" t="s">
        <v>42483</v>
      </c>
      <c r="I5302" s="41" t="s">
        <v>42484</v>
      </c>
      <c r="J5302" s="41" t="s">
        <v>42485</v>
      </c>
      <c r="K5302" s="41" t="s">
        <v>42486</v>
      </c>
      <c r="L5302" s="41" t="s">
        <v>1094</v>
      </c>
    </row>
    <row r="5303" spans="1:19" x14ac:dyDescent="0.25">
      <c r="A5303" s="41" t="s">
        <v>908</v>
      </c>
      <c r="B5303" s="41" t="s">
        <v>42487</v>
      </c>
    </row>
    <row r="5304" spans="1:19" x14ac:dyDescent="0.25">
      <c r="A5304" s="41" t="s">
        <v>23</v>
      </c>
      <c r="B5304" s="41" t="s">
        <v>42488</v>
      </c>
      <c r="F5304" s="41" t="s">
        <v>42489</v>
      </c>
      <c r="G5304" s="41" t="s">
        <v>42490</v>
      </c>
      <c r="H5304" s="41" t="s">
        <v>42491</v>
      </c>
      <c r="I5304" s="41" t="s">
        <v>42492</v>
      </c>
      <c r="J5304" s="41" t="s">
        <v>42493</v>
      </c>
      <c r="L5304" s="41" t="s">
        <v>4</v>
      </c>
    </row>
    <row r="5305" spans="1:19" x14ac:dyDescent="0.25">
      <c r="A5305" s="41" t="s">
        <v>23</v>
      </c>
      <c r="B5305" s="41" t="s">
        <v>42494</v>
      </c>
      <c r="D5305" s="41" t="s">
        <v>42327</v>
      </c>
      <c r="E5305" s="41" t="s">
        <v>42496</v>
      </c>
      <c r="F5305" s="41" t="s">
        <v>42497</v>
      </c>
      <c r="G5305" s="41" t="s">
        <v>42498</v>
      </c>
      <c r="H5305" s="41" t="s">
        <v>42499</v>
      </c>
      <c r="I5305" s="41" t="s">
        <v>42500</v>
      </c>
      <c r="J5305" s="41" t="s">
        <v>42501</v>
      </c>
      <c r="K5305" s="41" t="s">
        <v>42502</v>
      </c>
      <c r="L5305" s="41" t="s">
        <v>42503</v>
      </c>
      <c r="M5305" s="41" t="s">
        <v>42504</v>
      </c>
      <c r="N5305" s="41" t="s">
        <v>42505</v>
      </c>
      <c r="O5305" s="41" t="s">
        <v>42506</v>
      </c>
      <c r="P5305" s="41" t="s">
        <v>42507</v>
      </c>
      <c r="Q5305" s="41" t="s">
        <v>42508</v>
      </c>
      <c r="R5305" s="41" t="s">
        <v>42509</v>
      </c>
      <c r="S5305" s="41" t="s">
        <v>42510</v>
      </c>
    </row>
    <row r="5306" spans="1:19" x14ac:dyDescent="0.25">
      <c r="A5306" s="41" t="s">
        <v>23</v>
      </c>
      <c r="B5306" s="41" t="s">
        <v>42511</v>
      </c>
      <c r="D5306" s="41" t="s">
        <v>42512</v>
      </c>
      <c r="F5306" s="41" t="s">
        <v>42513</v>
      </c>
      <c r="G5306" s="41" t="s">
        <v>42514</v>
      </c>
      <c r="H5306" s="41" t="s">
        <v>42515</v>
      </c>
      <c r="I5306" s="41" t="s">
        <v>42516</v>
      </c>
      <c r="J5306" s="41" t="s">
        <v>42517</v>
      </c>
      <c r="K5306" s="41" t="s">
        <v>42518</v>
      </c>
      <c r="L5306" s="41" t="s">
        <v>891</v>
      </c>
    </row>
    <row r="5307" spans="1:19" x14ac:dyDescent="0.25">
      <c r="A5307" s="41" t="s">
        <v>23</v>
      </c>
      <c r="B5307" s="41" t="s">
        <v>42519</v>
      </c>
      <c r="D5307" s="41" t="s">
        <v>42520</v>
      </c>
      <c r="F5307" s="41" t="s">
        <v>42521</v>
      </c>
      <c r="G5307" s="41" t="s">
        <v>42522</v>
      </c>
      <c r="H5307" s="41" t="s">
        <v>42523</v>
      </c>
      <c r="I5307" s="41" t="s">
        <v>42524</v>
      </c>
      <c r="J5307" s="41" t="s">
        <v>42525</v>
      </c>
      <c r="K5307" s="41" t="s">
        <v>42526</v>
      </c>
      <c r="L5307" s="41" t="s">
        <v>1076</v>
      </c>
    </row>
    <row r="5308" spans="1:19" x14ac:dyDescent="0.25">
      <c r="A5308" s="41" t="s">
        <v>23</v>
      </c>
      <c r="B5308" s="41" t="s">
        <v>42527</v>
      </c>
      <c r="D5308" s="41" t="s">
        <v>42528</v>
      </c>
      <c r="F5308" s="41" t="s">
        <v>42529</v>
      </c>
      <c r="G5308" s="41" t="s">
        <v>42530</v>
      </c>
      <c r="H5308" s="41" t="s">
        <v>42531</v>
      </c>
      <c r="I5308" s="41" t="s">
        <v>42532</v>
      </c>
      <c r="J5308" s="41" t="s">
        <v>42533</v>
      </c>
      <c r="K5308" s="41" t="s">
        <v>42534</v>
      </c>
      <c r="L5308" s="41" t="s">
        <v>1085</v>
      </c>
    </row>
    <row r="5309" spans="1:19" x14ac:dyDescent="0.25">
      <c r="A5309" s="41" t="s">
        <v>23</v>
      </c>
      <c r="B5309" s="41" t="s">
        <v>42535</v>
      </c>
      <c r="D5309" s="41" t="s">
        <v>42536</v>
      </c>
      <c r="F5309" s="41" t="s">
        <v>42537</v>
      </c>
      <c r="G5309" s="41" t="s">
        <v>42538</v>
      </c>
      <c r="H5309" s="41" t="s">
        <v>42539</v>
      </c>
      <c r="I5309" s="41" t="s">
        <v>42540</v>
      </c>
      <c r="J5309" s="41" t="s">
        <v>42541</v>
      </c>
      <c r="K5309" s="41" t="s">
        <v>42542</v>
      </c>
      <c r="L5309" s="41" t="s">
        <v>1094</v>
      </c>
    </row>
    <row r="5310" spans="1:19" x14ac:dyDescent="0.25">
      <c r="A5310" s="41" t="s">
        <v>908</v>
      </c>
      <c r="B5310" s="41" t="s">
        <v>42543</v>
      </c>
    </row>
    <row r="5311" spans="1:19" x14ac:dyDescent="0.25">
      <c r="A5311" s="41" t="s">
        <v>23</v>
      </c>
      <c r="B5311" s="41" t="s">
        <v>42544</v>
      </c>
      <c r="F5311" s="41" t="s">
        <v>42545</v>
      </c>
      <c r="G5311" s="41" t="s">
        <v>42546</v>
      </c>
      <c r="H5311" s="41" t="s">
        <v>42547</v>
      </c>
      <c r="I5311" s="41" t="s">
        <v>42548</v>
      </c>
      <c r="J5311" s="41" t="s">
        <v>42549</v>
      </c>
      <c r="L5311" s="41" t="s">
        <v>4</v>
      </c>
    </row>
    <row r="5312" spans="1:19" x14ac:dyDescent="0.25">
      <c r="A5312" s="41" t="s">
        <v>23</v>
      </c>
      <c r="B5312" s="41" t="s">
        <v>42550</v>
      </c>
      <c r="D5312" s="41" t="s">
        <v>42383</v>
      </c>
      <c r="E5312" s="41" t="s">
        <v>42552</v>
      </c>
      <c r="F5312" s="41" t="s">
        <v>42553</v>
      </c>
      <c r="G5312" s="41" t="s">
        <v>42554</v>
      </c>
      <c r="H5312" s="41" t="s">
        <v>42555</v>
      </c>
      <c r="I5312" s="41" t="s">
        <v>42556</v>
      </c>
      <c r="J5312" s="41" t="s">
        <v>42557</v>
      </c>
      <c r="K5312" s="41" t="s">
        <v>42558</v>
      </c>
      <c r="L5312" s="41" t="s">
        <v>42559</v>
      </c>
      <c r="M5312" s="41" t="s">
        <v>42560</v>
      </c>
      <c r="N5312" s="41" t="s">
        <v>42561</v>
      </c>
      <c r="O5312" s="41" t="s">
        <v>42562</v>
      </c>
      <c r="P5312" s="41" t="s">
        <v>42563</v>
      </c>
      <c r="Q5312" s="41" t="s">
        <v>42564</v>
      </c>
      <c r="R5312" s="41" t="s">
        <v>42565</v>
      </c>
      <c r="S5312" s="41" t="s">
        <v>42566</v>
      </c>
    </row>
    <row r="5313" spans="1:19" x14ac:dyDescent="0.25">
      <c r="A5313" s="41" t="s">
        <v>23</v>
      </c>
      <c r="B5313" s="41" t="s">
        <v>42567</v>
      </c>
      <c r="D5313" s="41" t="s">
        <v>42568</v>
      </c>
      <c r="F5313" s="41" t="s">
        <v>42569</v>
      </c>
      <c r="G5313" s="41" t="s">
        <v>42570</v>
      </c>
      <c r="H5313" s="41" t="s">
        <v>42571</v>
      </c>
      <c r="I5313" s="41" t="s">
        <v>42572</v>
      </c>
      <c r="J5313" s="41" t="s">
        <v>42573</v>
      </c>
      <c r="K5313" s="41" t="s">
        <v>42574</v>
      </c>
      <c r="L5313" s="41" t="s">
        <v>891</v>
      </c>
    </row>
    <row r="5314" spans="1:19" x14ac:dyDescent="0.25">
      <c r="A5314" s="41" t="s">
        <v>23</v>
      </c>
      <c r="B5314" s="41" t="s">
        <v>42575</v>
      </c>
      <c r="D5314" s="41" t="s">
        <v>42576</v>
      </c>
      <c r="F5314" s="41" t="s">
        <v>42577</v>
      </c>
      <c r="G5314" s="41" t="s">
        <v>42578</v>
      </c>
      <c r="H5314" s="41" t="s">
        <v>42579</v>
      </c>
      <c r="I5314" s="41" t="s">
        <v>42580</v>
      </c>
      <c r="J5314" s="41" t="s">
        <v>42581</v>
      </c>
      <c r="K5314" s="41" t="s">
        <v>42582</v>
      </c>
      <c r="L5314" s="41" t="s">
        <v>1076</v>
      </c>
    </row>
    <row r="5315" spans="1:19" x14ac:dyDescent="0.25">
      <c r="A5315" s="41" t="s">
        <v>23</v>
      </c>
      <c r="B5315" s="41" t="s">
        <v>42583</v>
      </c>
      <c r="D5315" s="41" t="s">
        <v>42584</v>
      </c>
      <c r="F5315" s="41" t="s">
        <v>42585</v>
      </c>
      <c r="G5315" s="41" t="s">
        <v>42586</v>
      </c>
      <c r="H5315" s="41" t="s">
        <v>42587</v>
      </c>
      <c r="I5315" s="41" t="s">
        <v>42588</v>
      </c>
      <c r="J5315" s="41" t="s">
        <v>42589</v>
      </c>
      <c r="K5315" s="41" t="s">
        <v>42590</v>
      </c>
      <c r="L5315" s="41" t="s">
        <v>1085</v>
      </c>
    </row>
    <row r="5316" spans="1:19" x14ac:dyDescent="0.25">
      <c r="A5316" s="41" t="s">
        <v>23</v>
      </c>
      <c r="B5316" s="41" t="s">
        <v>42591</v>
      </c>
      <c r="D5316" s="41" t="s">
        <v>42592</v>
      </c>
      <c r="F5316" s="41" t="s">
        <v>42593</v>
      </c>
      <c r="G5316" s="41" t="s">
        <v>42594</v>
      </c>
      <c r="H5316" s="41" t="s">
        <v>42595</v>
      </c>
      <c r="I5316" s="41" t="s">
        <v>42596</v>
      </c>
      <c r="J5316" s="41" t="s">
        <v>42597</v>
      </c>
      <c r="K5316" s="41" t="s">
        <v>42598</v>
      </c>
      <c r="L5316" s="41" t="s">
        <v>1094</v>
      </c>
    </row>
    <row r="5317" spans="1:19" x14ac:dyDescent="0.25">
      <c r="A5317" s="41" t="s">
        <v>908</v>
      </c>
      <c r="B5317" s="41" t="s">
        <v>42599</v>
      </c>
    </row>
    <row r="5318" spans="1:19" x14ac:dyDescent="0.25">
      <c r="A5318" s="41" t="s">
        <v>23</v>
      </c>
      <c r="B5318" s="41" t="s">
        <v>42600</v>
      </c>
      <c r="F5318" s="41" t="s">
        <v>42601</v>
      </c>
      <c r="G5318" s="41" t="s">
        <v>42602</v>
      </c>
      <c r="H5318" s="41" t="s">
        <v>42603</v>
      </c>
      <c r="I5318" s="41" t="s">
        <v>42604</v>
      </c>
      <c r="J5318" s="41" t="s">
        <v>42605</v>
      </c>
      <c r="L5318" s="41" t="s">
        <v>4</v>
      </c>
    </row>
    <row r="5319" spans="1:19" x14ac:dyDescent="0.25">
      <c r="A5319" s="41" t="s">
        <v>23</v>
      </c>
      <c r="B5319" s="41" t="s">
        <v>42606</v>
      </c>
      <c r="D5319" s="41" t="s">
        <v>42439</v>
      </c>
      <c r="E5319" s="41" t="s">
        <v>42608</v>
      </c>
      <c r="F5319" s="41" t="s">
        <v>42609</v>
      </c>
      <c r="G5319" s="41" t="s">
        <v>42610</v>
      </c>
      <c r="H5319" s="41" t="s">
        <v>42611</v>
      </c>
      <c r="I5319" s="41" t="s">
        <v>42612</v>
      </c>
      <c r="J5319" s="41" t="s">
        <v>42613</v>
      </c>
      <c r="K5319" s="41" t="s">
        <v>42614</v>
      </c>
      <c r="L5319" s="41" t="s">
        <v>42615</v>
      </c>
      <c r="M5319" s="41" t="s">
        <v>42616</v>
      </c>
      <c r="N5319" s="41" t="s">
        <v>42617</v>
      </c>
      <c r="O5319" s="41" t="s">
        <v>42618</v>
      </c>
      <c r="P5319" s="41" t="s">
        <v>42619</v>
      </c>
      <c r="Q5319" s="41" t="s">
        <v>42620</v>
      </c>
      <c r="R5319" s="41" t="s">
        <v>42621</v>
      </c>
      <c r="S5319" s="41" t="s">
        <v>42622</v>
      </c>
    </row>
    <row r="5320" spans="1:19" x14ac:dyDescent="0.25">
      <c r="A5320" s="41" t="s">
        <v>23</v>
      </c>
      <c r="B5320" s="41" t="s">
        <v>42623</v>
      </c>
      <c r="D5320" s="41" t="s">
        <v>42624</v>
      </c>
      <c r="F5320" s="41" t="s">
        <v>42625</v>
      </c>
      <c r="G5320" s="41" t="s">
        <v>42626</v>
      </c>
      <c r="H5320" s="41" t="s">
        <v>42627</v>
      </c>
      <c r="I5320" s="41" t="s">
        <v>42628</v>
      </c>
      <c r="J5320" s="41" t="s">
        <v>42629</v>
      </c>
      <c r="K5320" s="41" t="s">
        <v>42630</v>
      </c>
      <c r="L5320" s="41" t="s">
        <v>891</v>
      </c>
    </row>
    <row r="5321" spans="1:19" x14ac:dyDescent="0.25">
      <c r="A5321" s="41" t="s">
        <v>23</v>
      </c>
      <c r="B5321" s="41" t="s">
        <v>42631</v>
      </c>
      <c r="D5321" s="41" t="s">
        <v>42632</v>
      </c>
      <c r="F5321" s="41" t="s">
        <v>42633</v>
      </c>
      <c r="G5321" s="41" t="s">
        <v>42634</v>
      </c>
      <c r="H5321" s="41" t="s">
        <v>42635</v>
      </c>
      <c r="I5321" s="41" t="s">
        <v>42636</v>
      </c>
      <c r="J5321" s="41" t="s">
        <v>42637</v>
      </c>
      <c r="K5321" s="41" t="s">
        <v>42638</v>
      </c>
      <c r="L5321" s="41" t="s">
        <v>1076</v>
      </c>
    </row>
    <row r="5322" spans="1:19" x14ac:dyDescent="0.25">
      <c r="A5322" s="41" t="s">
        <v>23</v>
      </c>
      <c r="B5322" s="41" t="s">
        <v>42639</v>
      </c>
      <c r="D5322" s="41" t="s">
        <v>42640</v>
      </c>
      <c r="F5322" s="41" t="s">
        <v>42641</v>
      </c>
      <c r="G5322" s="41" t="s">
        <v>42642</v>
      </c>
      <c r="H5322" s="41" t="s">
        <v>42643</v>
      </c>
      <c r="I5322" s="41" t="s">
        <v>42644</v>
      </c>
      <c r="J5322" s="41" t="s">
        <v>42645</v>
      </c>
      <c r="K5322" s="41" t="s">
        <v>42646</v>
      </c>
      <c r="L5322" s="41" t="s">
        <v>1085</v>
      </c>
    </row>
    <row r="5323" spans="1:19" x14ac:dyDescent="0.25">
      <c r="A5323" s="41" t="s">
        <v>23</v>
      </c>
      <c r="B5323" s="41" t="s">
        <v>42647</v>
      </c>
      <c r="D5323" s="41" t="s">
        <v>42648</v>
      </c>
      <c r="F5323" s="41" t="s">
        <v>42649</v>
      </c>
      <c r="G5323" s="41" t="s">
        <v>42650</v>
      </c>
      <c r="H5323" s="41" t="s">
        <v>42651</v>
      </c>
      <c r="I5323" s="41" t="s">
        <v>42652</v>
      </c>
      <c r="J5323" s="41" t="s">
        <v>42653</v>
      </c>
      <c r="K5323" s="41" t="s">
        <v>42654</v>
      </c>
      <c r="L5323" s="41" t="s">
        <v>1094</v>
      </c>
    </row>
    <row r="5324" spans="1:19" x14ac:dyDescent="0.25">
      <c r="A5324" s="41" t="s">
        <v>908</v>
      </c>
      <c r="B5324" s="41" t="s">
        <v>42655</v>
      </c>
    </row>
    <row r="5325" spans="1:19" x14ac:dyDescent="0.25">
      <c r="A5325" s="41" t="s">
        <v>23</v>
      </c>
      <c r="B5325" s="41" t="s">
        <v>42656</v>
      </c>
      <c r="F5325" s="41" t="s">
        <v>42657</v>
      </c>
      <c r="G5325" s="41" t="s">
        <v>42658</v>
      </c>
      <c r="H5325" s="41" t="s">
        <v>42659</v>
      </c>
      <c r="I5325" s="41" t="s">
        <v>42660</v>
      </c>
      <c r="J5325" s="41" t="s">
        <v>42661</v>
      </c>
      <c r="L5325" s="41" t="s">
        <v>4</v>
      </c>
    </row>
    <row r="5326" spans="1:19" x14ac:dyDescent="0.25">
      <c r="A5326" s="41" t="s">
        <v>23</v>
      </c>
      <c r="B5326" s="41" t="s">
        <v>42662</v>
      </c>
      <c r="D5326" s="41" t="s">
        <v>42495</v>
      </c>
      <c r="E5326" s="41" t="s">
        <v>42664</v>
      </c>
      <c r="F5326" s="41" t="s">
        <v>42665</v>
      </c>
      <c r="G5326" s="41" t="s">
        <v>42666</v>
      </c>
      <c r="H5326" s="41" t="s">
        <v>42667</v>
      </c>
      <c r="I5326" s="41" t="s">
        <v>42668</v>
      </c>
      <c r="J5326" s="41" t="s">
        <v>42669</v>
      </c>
      <c r="K5326" s="41" t="s">
        <v>42670</v>
      </c>
      <c r="L5326" s="41" t="s">
        <v>42671</v>
      </c>
      <c r="M5326" s="41" t="s">
        <v>42672</v>
      </c>
      <c r="N5326" s="41" t="s">
        <v>42673</v>
      </c>
      <c r="O5326" s="41" t="s">
        <v>42674</v>
      </c>
      <c r="P5326" s="41" t="s">
        <v>42675</v>
      </c>
      <c r="Q5326" s="41" t="s">
        <v>42676</v>
      </c>
      <c r="R5326" s="41" t="s">
        <v>42677</v>
      </c>
      <c r="S5326" s="41" t="s">
        <v>42678</v>
      </c>
    </row>
    <row r="5327" spans="1:19" x14ac:dyDescent="0.25">
      <c r="A5327" s="41" t="s">
        <v>23</v>
      </c>
      <c r="B5327" s="41" t="s">
        <v>42679</v>
      </c>
      <c r="D5327" s="41" t="s">
        <v>42680</v>
      </c>
      <c r="F5327" s="41" t="s">
        <v>42681</v>
      </c>
      <c r="G5327" s="41" t="s">
        <v>42682</v>
      </c>
      <c r="H5327" s="41" t="s">
        <v>42683</v>
      </c>
      <c r="I5327" s="41" t="s">
        <v>42684</v>
      </c>
      <c r="J5327" s="41" t="s">
        <v>42685</v>
      </c>
      <c r="K5327" s="41" t="s">
        <v>42686</v>
      </c>
      <c r="L5327" s="41" t="s">
        <v>891</v>
      </c>
    </row>
    <row r="5328" spans="1:19" x14ac:dyDescent="0.25">
      <c r="A5328" s="41" t="s">
        <v>23</v>
      </c>
      <c r="B5328" s="41" t="s">
        <v>42687</v>
      </c>
      <c r="D5328" s="41" t="s">
        <v>42688</v>
      </c>
      <c r="F5328" s="41" t="s">
        <v>42689</v>
      </c>
      <c r="G5328" s="41" t="s">
        <v>42690</v>
      </c>
      <c r="H5328" s="41" t="s">
        <v>42691</v>
      </c>
      <c r="I5328" s="41" t="s">
        <v>42692</v>
      </c>
      <c r="J5328" s="41" t="s">
        <v>42693</v>
      </c>
      <c r="K5328" s="41" t="s">
        <v>42694</v>
      </c>
      <c r="L5328" s="41" t="s">
        <v>1076</v>
      </c>
    </row>
    <row r="5329" spans="1:19" x14ac:dyDescent="0.25">
      <c r="A5329" s="41" t="s">
        <v>23</v>
      </c>
      <c r="B5329" s="41" t="s">
        <v>42695</v>
      </c>
      <c r="D5329" s="41" t="s">
        <v>42696</v>
      </c>
      <c r="F5329" s="41" t="s">
        <v>42697</v>
      </c>
      <c r="G5329" s="41" t="s">
        <v>42698</v>
      </c>
      <c r="H5329" s="41" t="s">
        <v>42699</v>
      </c>
      <c r="I5329" s="41" t="s">
        <v>42700</v>
      </c>
      <c r="J5329" s="41" t="s">
        <v>42701</v>
      </c>
      <c r="K5329" s="41" t="s">
        <v>42702</v>
      </c>
      <c r="L5329" s="41" t="s">
        <v>1085</v>
      </c>
    </row>
    <row r="5330" spans="1:19" x14ac:dyDescent="0.25">
      <c r="A5330" s="41" t="s">
        <v>23</v>
      </c>
      <c r="B5330" s="41" t="s">
        <v>42703</v>
      </c>
      <c r="D5330" s="41" t="s">
        <v>42704</v>
      </c>
      <c r="F5330" s="41" t="s">
        <v>42705</v>
      </c>
      <c r="G5330" s="41" t="s">
        <v>42706</v>
      </c>
      <c r="H5330" s="41" t="s">
        <v>42707</v>
      </c>
      <c r="I5330" s="41" t="s">
        <v>42708</v>
      </c>
      <c r="J5330" s="41" t="s">
        <v>42709</v>
      </c>
      <c r="K5330" s="41" t="s">
        <v>42710</v>
      </c>
      <c r="L5330" s="41" t="s">
        <v>1094</v>
      </c>
    </row>
    <row r="5331" spans="1:19" x14ac:dyDescent="0.25">
      <c r="A5331" s="41" t="s">
        <v>908</v>
      </c>
      <c r="B5331" s="41" t="s">
        <v>42711</v>
      </c>
    </row>
    <row r="5332" spans="1:19" x14ac:dyDescent="0.25">
      <c r="A5332" s="41" t="s">
        <v>23</v>
      </c>
      <c r="B5332" s="41" t="s">
        <v>42712</v>
      </c>
      <c r="F5332" s="41" t="s">
        <v>42713</v>
      </c>
      <c r="G5332" s="41" t="s">
        <v>42714</v>
      </c>
      <c r="H5332" s="41" t="s">
        <v>42715</v>
      </c>
      <c r="I5332" s="41" t="s">
        <v>42716</v>
      </c>
      <c r="J5332" s="41" t="s">
        <v>42717</v>
      </c>
      <c r="L5332" s="41" t="s">
        <v>4</v>
      </c>
    </row>
    <row r="5333" spans="1:19" x14ac:dyDescent="0.25">
      <c r="A5333" s="41" t="s">
        <v>23</v>
      </c>
      <c r="B5333" s="41" t="s">
        <v>42718</v>
      </c>
      <c r="D5333" s="41" t="s">
        <v>42551</v>
      </c>
      <c r="E5333" s="41" t="s">
        <v>42720</v>
      </c>
      <c r="F5333" s="41" t="s">
        <v>42721</v>
      </c>
      <c r="G5333" s="41" t="s">
        <v>42722</v>
      </c>
      <c r="H5333" s="41" t="s">
        <v>42723</v>
      </c>
      <c r="I5333" s="41" t="s">
        <v>42724</v>
      </c>
      <c r="J5333" s="41" t="s">
        <v>42725</v>
      </c>
      <c r="K5333" s="41" t="s">
        <v>42726</v>
      </c>
      <c r="L5333" s="41" t="s">
        <v>42727</v>
      </c>
      <c r="M5333" s="41" t="s">
        <v>42728</v>
      </c>
      <c r="N5333" s="41" t="s">
        <v>42729</v>
      </c>
      <c r="O5333" s="41" t="s">
        <v>42730</v>
      </c>
      <c r="P5333" s="41" t="s">
        <v>42731</v>
      </c>
      <c r="Q5333" s="41" t="s">
        <v>42732</v>
      </c>
      <c r="R5333" s="41" t="s">
        <v>42733</v>
      </c>
      <c r="S5333" s="41" t="s">
        <v>42734</v>
      </c>
    </row>
    <row r="5334" spans="1:19" x14ac:dyDescent="0.25">
      <c r="A5334" s="41" t="s">
        <v>23</v>
      </c>
      <c r="B5334" s="41" t="s">
        <v>42735</v>
      </c>
      <c r="D5334" s="41" t="s">
        <v>42736</v>
      </c>
      <c r="F5334" s="41" t="s">
        <v>42737</v>
      </c>
      <c r="G5334" s="41" t="s">
        <v>42738</v>
      </c>
      <c r="H5334" s="41" t="s">
        <v>42739</v>
      </c>
      <c r="I5334" s="41" t="s">
        <v>42740</v>
      </c>
      <c r="J5334" s="41" t="s">
        <v>42741</v>
      </c>
      <c r="K5334" s="41" t="s">
        <v>42742</v>
      </c>
      <c r="L5334" s="41" t="s">
        <v>891</v>
      </c>
    </row>
    <row r="5335" spans="1:19" x14ac:dyDescent="0.25">
      <c r="A5335" s="41" t="s">
        <v>23</v>
      </c>
      <c r="B5335" s="41" t="s">
        <v>42743</v>
      </c>
      <c r="D5335" s="41" t="s">
        <v>42744</v>
      </c>
      <c r="F5335" s="41" t="s">
        <v>42745</v>
      </c>
      <c r="G5335" s="41" t="s">
        <v>42746</v>
      </c>
      <c r="H5335" s="41" t="s">
        <v>42747</v>
      </c>
      <c r="I5335" s="41" t="s">
        <v>42748</v>
      </c>
      <c r="J5335" s="41" t="s">
        <v>42749</v>
      </c>
      <c r="K5335" s="41" t="s">
        <v>42750</v>
      </c>
      <c r="L5335" s="41" t="s">
        <v>1076</v>
      </c>
    </row>
    <row r="5336" spans="1:19" x14ac:dyDescent="0.25">
      <c r="A5336" s="41" t="s">
        <v>23</v>
      </c>
      <c r="B5336" s="41" t="s">
        <v>42751</v>
      </c>
      <c r="D5336" s="41" t="s">
        <v>42752</v>
      </c>
      <c r="F5336" s="41" t="s">
        <v>42753</v>
      </c>
      <c r="G5336" s="41" t="s">
        <v>42754</v>
      </c>
      <c r="H5336" s="41" t="s">
        <v>42755</v>
      </c>
      <c r="I5336" s="41" t="s">
        <v>42756</v>
      </c>
      <c r="J5336" s="41" t="s">
        <v>42757</v>
      </c>
      <c r="K5336" s="41" t="s">
        <v>42758</v>
      </c>
      <c r="L5336" s="41" t="s">
        <v>1085</v>
      </c>
    </row>
    <row r="5337" spans="1:19" x14ac:dyDescent="0.25">
      <c r="A5337" s="41" t="s">
        <v>23</v>
      </c>
      <c r="B5337" s="41" t="s">
        <v>42759</v>
      </c>
      <c r="D5337" s="41" t="s">
        <v>42760</v>
      </c>
      <c r="F5337" s="41" t="s">
        <v>42761</v>
      </c>
      <c r="G5337" s="41" t="s">
        <v>42762</v>
      </c>
      <c r="H5337" s="41" t="s">
        <v>42763</v>
      </c>
      <c r="I5337" s="41" t="s">
        <v>42764</v>
      </c>
      <c r="J5337" s="41" t="s">
        <v>42765</v>
      </c>
      <c r="K5337" s="41" t="s">
        <v>42766</v>
      </c>
      <c r="L5337" s="41" t="s">
        <v>1094</v>
      </c>
    </row>
    <row r="5338" spans="1:19" x14ac:dyDescent="0.25">
      <c r="A5338" s="41" t="s">
        <v>908</v>
      </c>
      <c r="B5338" s="41" t="s">
        <v>42767</v>
      </c>
    </row>
    <row r="5339" spans="1:19" x14ac:dyDescent="0.25">
      <c r="A5339" s="41" t="s">
        <v>23</v>
      </c>
      <c r="B5339" s="41" t="s">
        <v>42768</v>
      </c>
      <c r="F5339" s="41" t="s">
        <v>42769</v>
      </c>
      <c r="G5339" s="41" t="s">
        <v>42770</v>
      </c>
      <c r="H5339" s="41" t="s">
        <v>42771</v>
      </c>
      <c r="I5339" s="41" t="s">
        <v>42772</v>
      </c>
      <c r="J5339" s="41" t="s">
        <v>42773</v>
      </c>
      <c r="L5339" s="41" t="s">
        <v>4</v>
      </c>
    </row>
    <row r="5340" spans="1:19" x14ac:dyDescent="0.25">
      <c r="A5340" s="41" t="s">
        <v>23</v>
      </c>
      <c r="B5340" s="41" t="s">
        <v>42774</v>
      </c>
      <c r="D5340" s="41" t="s">
        <v>42607</v>
      </c>
      <c r="E5340" s="41" t="s">
        <v>42776</v>
      </c>
      <c r="F5340" s="41" t="s">
        <v>42777</v>
      </c>
      <c r="G5340" s="41" t="s">
        <v>42778</v>
      </c>
      <c r="H5340" s="41" t="s">
        <v>42779</v>
      </c>
      <c r="I5340" s="41" t="s">
        <v>42780</v>
      </c>
      <c r="J5340" s="41" t="s">
        <v>42781</v>
      </c>
      <c r="K5340" s="41" t="s">
        <v>42782</v>
      </c>
      <c r="L5340" s="41" t="s">
        <v>42783</v>
      </c>
      <c r="M5340" s="41" t="s">
        <v>42784</v>
      </c>
      <c r="N5340" s="41" t="s">
        <v>42785</v>
      </c>
      <c r="O5340" s="41" t="s">
        <v>42786</v>
      </c>
      <c r="P5340" s="41" t="s">
        <v>42787</v>
      </c>
      <c r="Q5340" s="41" t="s">
        <v>42788</v>
      </c>
      <c r="R5340" s="41" t="s">
        <v>42789</v>
      </c>
      <c r="S5340" s="41" t="s">
        <v>42790</v>
      </c>
    </row>
    <row r="5341" spans="1:19" x14ac:dyDescent="0.25">
      <c r="A5341" s="41" t="s">
        <v>23</v>
      </c>
      <c r="B5341" s="41" t="s">
        <v>42791</v>
      </c>
      <c r="D5341" s="41" t="s">
        <v>42792</v>
      </c>
      <c r="F5341" s="41" t="s">
        <v>42793</v>
      </c>
      <c r="G5341" s="41" t="s">
        <v>42794</v>
      </c>
      <c r="H5341" s="41" t="s">
        <v>42795</v>
      </c>
      <c r="I5341" s="41" t="s">
        <v>42796</v>
      </c>
      <c r="J5341" s="41" t="s">
        <v>42797</v>
      </c>
      <c r="K5341" s="41" t="s">
        <v>42798</v>
      </c>
      <c r="L5341" s="41" t="s">
        <v>891</v>
      </c>
    </row>
    <row r="5342" spans="1:19" x14ac:dyDescent="0.25">
      <c r="A5342" s="41" t="s">
        <v>23</v>
      </c>
      <c r="B5342" s="41" t="s">
        <v>42799</v>
      </c>
      <c r="D5342" s="41" t="s">
        <v>42800</v>
      </c>
      <c r="F5342" s="41" t="s">
        <v>42801</v>
      </c>
      <c r="G5342" s="41" t="s">
        <v>42802</v>
      </c>
      <c r="H5342" s="41" t="s">
        <v>42803</v>
      </c>
      <c r="I5342" s="41" t="s">
        <v>42804</v>
      </c>
      <c r="J5342" s="41" t="s">
        <v>42805</v>
      </c>
      <c r="K5342" s="41" t="s">
        <v>42806</v>
      </c>
      <c r="L5342" s="41" t="s">
        <v>1076</v>
      </c>
    </row>
    <row r="5343" spans="1:19" x14ac:dyDescent="0.25">
      <c r="A5343" s="41" t="s">
        <v>23</v>
      </c>
      <c r="B5343" s="41" t="s">
        <v>42807</v>
      </c>
      <c r="D5343" s="41" t="s">
        <v>42808</v>
      </c>
      <c r="F5343" s="41" t="s">
        <v>42809</v>
      </c>
      <c r="G5343" s="41" t="s">
        <v>42810</v>
      </c>
      <c r="H5343" s="41" t="s">
        <v>42811</v>
      </c>
      <c r="I5343" s="41" t="s">
        <v>42812</v>
      </c>
      <c r="J5343" s="41" t="s">
        <v>42813</v>
      </c>
      <c r="K5343" s="41" t="s">
        <v>42814</v>
      </c>
      <c r="L5343" s="41" t="s">
        <v>1085</v>
      </c>
    </row>
    <row r="5344" spans="1:19" x14ac:dyDescent="0.25">
      <c r="A5344" s="41" t="s">
        <v>23</v>
      </c>
      <c r="B5344" s="41" t="s">
        <v>42815</v>
      </c>
      <c r="D5344" s="41" t="s">
        <v>42816</v>
      </c>
      <c r="F5344" s="41" t="s">
        <v>42817</v>
      </c>
      <c r="G5344" s="41" t="s">
        <v>42818</v>
      </c>
      <c r="H5344" s="41" t="s">
        <v>42819</v>
      </c>
      <c r="I5344" s="41" t="s">
        <v>42820</v>
      </c>
      <c r="J5344" s="41" t="s">
        <v>42821</v>
      </c>
      <c r="K5344" s="41" t="s">
        <v>42822</v>
      </c>
      <c r="L5344" s="41" t="s">
        <v>1094</v>
      </c>
    </row>
    <row r="5345" spans="1:19" x14ac:dyDescent="0.25">
      <c r="A5345" s="41" t="s">
        <v>908</v>
      </c>
      <c r="B5345" s="41" t="s">
        <v>42823</v>
      </c>
    </row>
    <row r="5346" spans="1:19" x14ac:dyDescent="0.25">
      <c r="A5346" s="41" t="s">
        <v>23</v>
      </c>
      <c r="B5346" s="41" t="s">
        <v>42824</v>
      </c>
      <c r="F5346" s="41" t="s">
        <v>42825</v>
      </c>
      <c r="G5346" s="41" t="s">
        <v>42826</v>
      </c>
      <c r="H5346" s="41" t="s">
        <v>42827</v>
      </c>
      <c r="I5346" s="41" t="s">
        <v>42828</v>
      </c>
      <c r="J5346" s="41" t="s">
        <v>42829</v>
      </c>
      <c r="L5346" s="41" t="s">
        <v>4</v>
      </c>
    </row>
    <row r="5347" spans="1:19" x14ac:dyDescent="0.25">
      <c r="A5347" s="41" t="s">
        <v>23</v>
      </c>
      <c r="B5347" s="41" t="s">
        <v>42830</v>
      </c>
      <c r="D5347" s="41" t="s">
        <v>42663</v>
      </c>
      <c r="E5347" s="41" t="s">
        <v>42832</v>
      </c>
      <c r="F5347" s="41" t="s">
        <v>42833</v>
      </c>
      <c r="G5347" s="41" t="s">
        <v>42834</v>
      </c>
      <c r="H5347" s="41" t="s">
        <v>42835</v>
      </c>
      <c r="I5347" s="41" t="s">
        <v>42836</v>
      </c>
      <c r="J5347" s="41" t="s">
        <v>42837</v>
      </c>
      <c r="K5347" s="41" t="s">
        <v>42838</v>
      </c>
      <c r="L5347" s="41" t="s">
        <v>42839</v>
      </c>
      <c r="M5347" s="41" t="s">
        <v>42840</v>
      </c>
      <c r="N5347" s="41" t="s">
        <v>42841</v>
      </c>
      <c r="O5347" s="41" t="s">
        <v>42842</v>
      </c>
      <c r="P5347" s="41" t="s">
        <v>42843</v>
      </c>
      <c r="Q5347" s="41" t="s">
        <v>42844</v>
      </c>
      <c r="R5347" s="41" t="s">
        <v>42845</v>
      </c>
      <c r="S5347" s="41" t="s">
        <v>42846</v>
      </c>
    </row>
    <row r="5348" spans="1:19" x14ac:dyDescent="0.25">
      <c r="A5348" s="41" t="s">
        <v>23</v>
      </c>
      <c r="B5348" s="41" t="s">
        <v>42847</v>
      </c>
      <c r="D5348" s="41" t="s">
        <v>42848</v>
      </c>
      <c r="F5348" s="41" t="s">
        <v>42849</v>
      </c>
      <c r="G5348" s="41" t="s">
        <v>42850</v>
      </c>
      <c r="H5348" s="41" t="s">
        <v>42851</v>
      </c>
      <c r="I5348" s="41" t="s">
        <v>42852</v>
      </c>
      <c r="J5348" s="41" t="s">
        <v>42853</v>
      </c>
      <c r="K5348" s="41" t="s">
        <v>42854</v>
      </c>
      <c r="L5348" s="41" t="s">
        <v>891</v>
      </c>
    </row>
    <row r="5349" spans="1:19" x14ac:dyDescent="0.25">
      <c r="A5349" s="41" t="s">
        <v>23</v>
      </c>
      <c r="B5349" s="41" t="s">
        <v>42855</v>
      </c>
      <c r="D5349" s="41" t="s">
        <v>42856</v>
      </c>
      <c r="F5349" s="41" t="s">
        <v>42857</v>
      </c>
      <c r="G5349" s="41" t="s">
        <v>42858</v>
      </c>
      <c r="H5349" s="41" t="s">
        <v>42859</v>
      </c>
      <c r="I5349" s="41" t="s">
        <v>42860</v>
      </c>
      <c r="J5349" s="41" t="s">
        <v>42861</v>
      </c>
      <c r="K5349" s="41" t="s">
        <v>42862</v>
      </c>
      <c r="L5349" s="41" t="s">
        <v>1076</v>
      </c>
    </row>
    <row r="5350" spans="1:19" x14ac:dyDescent="0.25">
      <c r="A5350" s="41" t="s">
        <v>23</v>
      </c>
      <c r="B5350" s="41" t="s">
        <v>42863</v>
      </c>
      <c r="D5350" s="41" t="s">
        <v>42864</v>
      </c>
      <c r="F5350" s="41" t="s">
        <v>42865</v>
      </c>
      <c r="G5350" s="41" t="s">
        <v>42866</v>
      </c>
      <c r="H5350" s="41" t="s">
        <v>42867</v>
      </c>
      <c r="I5350" s="41" t="s">
        <v>42868</v>
      </c>
      <c r="J5350" s="41" t="s">
        <v>42869</v>
      </c>
      <c r="K5350" s="41" t="s">
        <v>42870</v>
      </c>
      <c r="L5350" s="41" t="s">
        <v>1085</v>
      </c>
    </row>
    <row r="5351" spans="1:19" x14ac:dyDescent="0.25">
      <c r="A5351" s="41" t="s">
        <v>23</v>
      </c>
      <c r="B5351" s="41" t="s">
        <v>42871</v>
      </c>
      <c r="D5351" s="41" t="s">
        <v>42872</v>
      </c>
      <c r="F5351" s="41" t="s">
        <v>42873</v>
      </c>
      <c r="G5351" s="41" t="s">
        <v>42874</v>
      </c>
      <c r="H5351" s="41" t="s">
        <v>42875</v>
      </c>
      <c r="I5351" s="41" t="s">
        <v>42876</v>
      </c>
      <c r="J5351" s="41" t="s">
        <v>42877</v>
      </c>
      <c r="K5351" s="41" t="s">
        <v>42878</v>
      </c>
      <c r="L5351" s="41" t="s">
        <v>1094</v>
      </c>
    </row>
    <row r="5352" spans="1:19" x14ac:dyDescent="0.25">
      <c r="A5352" s="41" t="s">
        <v>908</v>
      </c>
      <c r="B5352" s="41" t="s">
        <v>42879</v>
      </c>
    </row>
    <row r="5353" spans="1:19" x14ac:dyDescent="0.25">
      <c r="A5353" s="41" t="s">
        <v>23</v>
      </c>
      <c r="B5353" s="41" t="s">
        <v>42880</v>
      </c>
      <c r="F5353" s="41" t="s">
        <v>42881</v>
      </c>
      <c r="G5353" s="41" t="s">
        <v>42882</v>
      </c>
      <c r="H5353" s="41" t="s">
        <v>42883</v>
      </c>
      <c r="I5353" s="41" t="s">
        <v>42884</v>
      </c>
      <c r="J5353" s="41" t="s">
        <v>42885</v>
      </c>
      <c r="L5353" s="41" t="s">
        <v>4</v>
      </c>
    </row>
    <row r="5354" spans="1:19" x14ac:dyDescent="0.25">
      <c r="A5354" s="41" t="s">
        <v>23</v>
      </c>
      <c r="B5354" s="41" t="s">
        <v>42886</v>
      </c>
      <c r="D5354" s="41" t="s">
        <v>42719</v>
      </c>
      <c r="E5354" s="41" t="s">
        <v>42888</v>
      </c>
      <c r="F5354" s="41" t="s">
        <v>42889</v>
      </c>
      <c r="G5354" s="41" t="s">
        <v>42890</v>
      </c>
      <c r="H5354" s="41" t="s">
        <v>42891</v>
      </c>
      <c r="I5354" s="41" t="s">
        <v>42892</v>
      </c>
      <c r="J5354" s="41" t="s">
        <v>42893</v>
      </c>
      <c r="K5354" s="41" t="s">
        <v>42894</v>
      </c>
      <c r="L5354" s="41" t="s">
        <v>42895</v>
      </c>
      <c r="M5354" s="41" t="s">
        <v>42896</v>
      </c>
      <c r="N5354" s="41" t="s">
        <v>42897</v>
      </c>
      <c r="O5354" s="41" t="s">
        <v>42898</v>
      </c>
      <c r="P5354" s="41" t="s">
        <v>42899</v>
      </c>
      <c r="Q5354" s="41" t="s">
        <v>42900</v>
      </c>
      <c r="R5354" s="41" t="s">
        <v>42901</v>
      </c>
      <c r="S5354" s="41" t="s">
        <v>42902</v>
      </c>
    </row>
    <row r="5355" spans="1:19" x14ac:dyDescent="0.25">
      <c r="A5355" s="41" t="s">
        <v>23</v>
      </c>
      <c r="B5355" s="41" t="s">
        <v>42903</v>
      </c>
      <c r="D5355" s="41" t="s">
        <v>42904</v>
      </c>
      <c r="F5355" s="41" t="s">
        <v>42905</v>
      </c>
      <c r="G5355" s="41" t="s">
        <v>42906</v>
      </c>
      <c r="H5355" s="41" t="s">
        <v>42907</v>
      </c>
      <c r="I5355" s="41" t="s">
        <v>42908</v>
      </c>
      <c r="J5355" s="41" t="s">
        <v>42909</v>
      </c>
      <c r="K5355" s="41" t="s">
        <v>42910</v>
      </c>
      <c r="L5355" s="41" t="s">
        <v>891</v>
      </c>
    </row>
    <row r="5356" spans="1:19" x14ac:dyDescent="0.25">
      <c r="A5356" s="41" t="s">
        <v>23</v>
      </c>
      <c r="B5356" s="41" t="s">
        <v>42911</v>
      </c>
      <c r="D5356" s="41" t="s">
        <v>42912</v>
      </c>
      <c r="F5356" s="41" t="s">
        <v>42913</v>
      </c>
      <c r="G5356" s="41" t="s">
        <v>42914</v>
      </c>
      <c r="H5356" s="41" t="s">
        <v>42915</v>
      </c>
      <c r="I5356" s="41" t="s">
        <v>42916</v>
      </c>
      <c r="J5356" s="41" t="s">
        <v>42917</v>
      </c>
      <c r="K5356" s="41" t="s">
        <v>42918</v>
      </c>
      <c r="L5356" s="41" t="s">
        <v>1076</v>
      </c>
    </row>
    <row r="5357" spans="1:19" x14ac:dyDescent="0.25">
      <c r="A5357" s="41" t="s">
        <v>23</v>
      </c>
      <c r="B5357" s="41" t="s">
        <v>42919</v>
      </c>
      <c r="D5357" s="41" t="s">
        <v>42920</v>
      </c>
      <c r="F5357" s="41" t="s">
        <v>42921</v>
      </c>
      <c r="G5357" s="41" t="s">
        <v>42922</v>
      </c>
      <c r="H5357" s="41" t="s">
        <v>42923</v>
      </c>
      <c r="I5357" s="41" t="s">
        <v>42924</v>
      </c>
      <c r="J5357" s="41" t="s">
        <v>42925</v>
      </c>
      <c r="K5357" s="41" t="s">
        <v>42926</v>
      </c>
      <c r="L5357" s="41" t="s">
        <v>1085</v>
      </c>
    </row>
    <row r="5358" spans="1:19" x14ac:dyDescent="0.25">
      <c r="A5358" s="41" t="s">
        <v>23</v>
      </c>
      <c r="B5358" s="41" t="s">
        <v>42927</v>
      </c>
      <c r="D5358" s="41" t="s">
        <v>42928</v>
      </c>
      <c r="F5358" s="41" t="s">
        <v>42929</v>
      </c>
      <c r="G5358" s="41" t="s">
        <v>42930</v>
      </c>
      <c r="H5358" s="41" t="s">
        <v>42931</v>
      </c>
      <c r="I5358" s="41" t="s">
        <v>42932</v>
      </c>
      <c r="J5358" s="41" t="s">
        <v>42933</v>
      </c>
      <c r="K5358" s="41" t="s">
        <v>42934</v>
      </c>
      <c r="L5358" s="41" t="s">
        <v>1094</v>
      </c>
    </row>
    <row r="5359" spans="1:19" x14ac:dyDescent="0.25">
      <c r="A5359" s="41" t="s">
        <v>908</v>
      </c>
      <c r="B5359" s="41" t="s">
        <v>42935</v>
      </c>
    </row>
    <row r="5360" spans="1:19" x14ac:dyDescent="0.25">
      <c r="A5360" s="41" t="s">
        <v>23</v>
      </c>
      <c r="B5360" s="41" t="s">
        <v>42936</v>
      </c>
      <c r="F5360" s="41" t="s">
        <v>42937</v>
      </c>
      <c r="G5360" s="41" t="s">
        <v>42938</v>
      </c>
      <c r="H5360" s="41" t="s">
        <v>42939</v>
      </c>
      <c r="I5360" s="41" t="s">
        <v>42940</v>
      </c>
      <c r="J5360" s="41" t="s">
        <v>42941</v>
      </c>
      <c r="L5360" s="41" t="s">
        <v>4</v>
      </c>
    </row>
    <row r="5361" spans="1:19" x14ac:dyDescent="0.25">
      <c r="A5361" s="41" t="s">
        <v>23</v>
      </c>
      <c r="B5361" s="41" t="s">
        <v>42942</v>
      </c>
      <c r="D5361" s="41" t="s">
        <v>42775</v>
      </c>
      <c r="E5361" s="41" t="s">
        <v>42944</v>
      </c>
      <c r="F5361" s="41" t="s">
        <v>42945</v>
      </c>
      <c r="G5361" s="41" t="s">
        <v>42946</v>
      </c>
      <c r="H5361" s="41" t="s">
        <v>42947</v>
      </c>
      <c r="I5361" s="41" t="s">
        <v>42948</v>
      </c>
      <c r="J5361" s="41" t="s">
        <v>42949</v>
      </c>
      <c r="K5361" s="41" t="s">
        <v>42950</v>
      </c>
      <c r="L5361" s="41" t="s">
        <v>42951</v>
      </c>
      <c r="M5361" s="41" t="s">
        <v>42952</v>
      </c>
      <c r="N5361" s="41" t="s">
        <v>42953</v>
      </c>
      <c r="O5361" s="41" t="s">
        <v>42954</v>
      </c>
      <c r="P5361" s="41" t="s">
        <v>42955</v>
      </c>
      <c r="Q5361" s="41" t="s">
        <v>42956</v>
      </c>
      <c r="R5361" s="41" t="s">
        <v>42957</v>
      </c>
      <c r="S5361" s="41" t="s">
        <v>42958</v>
      </c>
    </row>
    <row r="5362" spans="1:19" x14ac:dyDescent="0.25">
      <c r="A5362" s="41" t="s">
        <v>23</v>
      </c>
      <c r="B5362" s="41" t="s">
        <v>42959</v>
      </c>
      <c r="D5362" s="41" t="s">
        <v>42960</v>
      </c>
      <c r="F5362" s="41" t="s">
        <v>42961</v>
      </c>
      <c r="G5362" s="41" t="s">
        <v>42962</v>
      </c>
      <c r="H5362" s="41" t="s">
        <v>42963</v>
      </c>
      <c r="I5362" s="41" t="s">
        <v>42964</v>
      </c>
      <c r="J5362" s="41" t="s">
        <v>42965</v>
      </c>
      <c r="K5362" s="41" t="s">
        <v>42966</v>
      </c>
      <c r="L5362" s="41" t="s">
        <v>891</v>
      </c>
    </row>
    <row r="5363" spans="1:19" x14ac:dyDescent="0.25">
      <c r="A5363" s="41" t="s">
        <v>23</v>
      </c>
      <c r="B5363" s="41" t="s">
        <v>42967</v>
      </c>
      <c r="D5363" s="41" t="s">
        <v>42968</v>
      </c>
      <c r="F5363" s="41" t="s">
        <v>42969</v>
      </c>
      <c r="G5363" s="41" t="s">
        <v>42970</v>
      </c>
      <c r="H5363" s="41" t="s">
        <v>42971</v>
      </c>
      <c r="I5363" s="41" t="s">
        <v>42972</v>
      </c>
      <c r="J5363" s="41" t="s">
        <v>42973</v>
      </c>
      <c r="K5363" s="41" t="s">
        <v>42974</v>
      </c>
      <c r="L5363" s="41" t="s">
        <v>1076</v>
      </c>
    </row>
    <row r="5364" spans="1:19" x14ac:dyDescent="0.25">
      <c r="A5364" s="41" t="s">
        <v>23</v>
      </c>
      <c r="B5364" s="41" t="s">
        <v>42975</v>
      </c>
      <c r="D5364" s="41" t="s">
        <v>42976</v>
      </c>
      <c r="F5364" s="41" t="s">
        <v>42977</v>
      </c>
      <c r="G5364" s="41" t="s">
        <v>42978</v>
      </c>
      <c r="H5364" s="41" t="s">
        <v>42979</v>
      </c>
      <c r="I5364" s="41" t="s">
        <v>42980</v>
      </c>
      <c r="J5364" s="41" t="s">
        <v>42981</v>
      </c>
      <c r="K5364" s="41" t="s">
        <v>42982</v>
      </c>
      <c r="L5364" s="41" t="s">
        <v>1085</v>
      </c>
    </row>
    <row r="5365" spans="1:19" x14ac:dyDescent="0.25">
      <c r="A5365" s="41" t="s">
        <v>23</v>
      </c>
      <c r="B5365" s="41" t="s">
        <v>42983</v>
      </c>
      <c r="D5365" s="41" t="s">
        <v>42984</v>
      </c>
      <c r="F5365" s="41" t="s">
        <v>42985</v>
      </c>
      <c r="G5365" s="41" t="s">
        <v>42986</v>
      </c>
      <c r="H5365" s="41" t="s">
        <v>42987</v>
      </c>
      <c r="I5365" s="41" t="s">
        <v>42988</v>
      </c>
      <c r="J5365" s="41" t="s">
        <v>42989</v>
      </c>
      <c r="K5365" s="41" t="s">
        <v>42990</v>
      </c>
      <c r="L5365" s="41" t="s">
        <v>1094</v>
      </c>
    </row>
    <row r="5366" spans="1:19" x14ac:dyDescent="0.25">
      <c r="A5366" s="41" t="s">
        <v>908</v>
      </c>
      <c r="B5366" s="41" t="s">
        <v>42991</v>
      </c>
    </row>
    <row r="5367" spans="1:19" x14ac:dyDescent="0.25">
      <c r="A5367" s="41" t="s">
        <v>23</v>
      </c>
      <c r="B5367" s="41" t="s">
        <v>42992</v>
      </c>
      <c r="F5367" s="41" t="s">
        <v>42993</v>
      </c>
      <c r="G5367" s="41" t="s">
        <v>42994</v>
      </c>
      <c r="H5367" s="41" t="s">
        <v>42995</v>
      </c>
      <c r="I5367" s="41" t="s">
        <v>42996</v>
      </c>
      <c r="J5367" s="41" t="s">
        <v>42997</v>
      </c>
      <c r="L5367" s="41" t="s">
        <v>4</v>
      </c>
    </row>
    <row r="5368" spans="1:19" x14ac:dyDescent="0.25">
      <c r="A5368" s="41" t="s">
        <v>23</v>
      </c>
      <c r="B5368" s="41" t="s">
        <v>42998</v>
      </c>
      <c r="D5368" s="41" t="s">
        <v>42831</v>
      </c>
      <c r="E5368" s="41" t="s">
        <v>43000</v>
      </c>
      <c r="F5368" s="41" t="s">
        <v>43001</v>
      </c>
      <c r="G5368" s="41" t="s">
        <v>43002</v>
      </c>
      <c r="H5368" s="41" t="s">
        <v>43003</v>
      </c>
      <c r="I5368" s="41" t="s">
        <v>43004</v>
      </c>
      <c r="J5368" s="41" t="s">
        <v>43005</v>
      </c>
      <c r="K5368" s="41" t="s">
        <v>43006</v>
      </c>
      <c r="L5368" s="41" t="s">
        <v>43007</v>
      </c>
      <c r="M5368" s="41" t="s">
        <v>43008</v>
      </c>
      <c r="N5368" s="41" t="s">
        <v>43009</v>
      </c>
      <c r="O5368" s="41" t="s">
        <v>43010</v>
      </c>
      <c r="P5368" s="41" t="s">
        <v>43011</v>
      </c>
      <c r="Q5368" s="41" t="s">
        <v>43012</v>
      </c>
      <c r="R5368" s="41" t="s">
        <v>43013</v>
      </c>
      <c r="S5368" s="41" t="s">
        <v>43014</v>
      </c>
    </row>
    <row r="5369" spans="1:19" x14ac:dyDescent="0.25">
      <c r="A5369" s="41" t="s">
        <v>23</v>
      </c>
      <c r="B5369" s="41" t="s">
        <v>43015</v>
      </c>
      <c r="D5369" s="41" t="s">
        <v>43016</v>
      </c>
      <c r="F5369" s="41" t="s">
        <v>43017</v>
      </c>
      <c r="G5369" s="41" t="s">
        <v>43018</v>
      </c>
      <c r="H5369" s="41" t="s">
        <v>43019</v>
      </c>
      <c r="I5369" s="41" t="s">
        <v>43020</v>
      </c>
      <c r="J5369" s="41" t="s">
        <v>43021</v>
      </c>
      <c r="K5369" s="41" t="s">
        <v>43022</v>
      </c>
      <c r="L5369" s="41" t="s">
        <v>891</v>
      </c>
    </row>
    <row r="5370" spans="1:19" x14ac:dyDescent="0.25">
      <c r="A5370" s="41" t="s">
        <v>23</v>
      </c>
      <c r="B5370" s="41" t="s">
        <v>43023</v>
      </c>
      <c r="D5370" s="41" t="s">
        <v>43024</v>
      </c>
      <c r="F5370" s="41" t="s">
        <v>43025</v>
      </c>
      <c r="G5370" s="41" t="s">
        <v>43026</v>
      </c>
      <c r="H5370" s="41" t="s">
        <v>43027</v>
      </c>
      <c r="I5370" s="41" t="s">
        <v>43028</v>
      </c>
      <c r="J5370" s="41" t="s">
        <v>43029</v>
      </c>
      <c r="K5370" s="41" t="s">
        <v>43030</v>
      </c>
      <c r="L5370" s="41" t="s">
        <v>1076</v>
      </c>
    </row>
    <row r="5371" spans="1:19" x14ac:dyDescent="0.25">
      <c r="A5371" s="41" t="s">
        <v>23</v>
      </c>
      <c r="B5371" s="41" t="s">
        <v>43031</v>
      </c>
      <c r="D5371" s="41" t="s">
        <v>43032</v>
      </c>
      <c r="F5371" s="41" t="s">
        <v>43033</v>
      </c>
      <c r="G5371" s="41" t="s">
        <v>43034</v>
      </c>
      <c r="H5371" s="41" t="s">
        <v>43035</v>
      </c>
      <c r="I5371" s="41" t="s">
        <v>43036</v>
      </c>
      <c r="J5371" s="41" t="s">
        <v>43037</v>
      </c>
      <c r="K5371" s="41" t="s">
        <v>43038</v>
      </c>
      <c r="L5371" s="41" t="s">
        <v>1085</v>
      </c>
    </row>
    <row r="5372" spans="1:19" x14ac:dyDescent="0.25">
      <c r="A5372" s="41" t="s">
        <v>23</v>
      </c>
      <c r="B5372" s="41" t="s">
        <v>43039</v>
      </c>
      <c r="D5372" s="41" t="s">
        <v>43040</v>
      </c>
      <c r="F5372" s="41" t="s">
        <v>43041</v>
      </c>
      <c r="G5372" s="41" t="s">
        <v>43042</v>
      </c>
      <c r="H5372" s="41" t="s">
        <v>43043</v>
      </c>
      <c r="I5372" s="41" t="s">
        <v>43044</v>
      </c>
      <c r="J5372" s="41" t="s">
        <v>43045</v>
      </c>
      <c r="K5372" s="41" t="s">
        <v>43046</v>
      </c>
      <c r="L5372" s="41" t="s">
        <v>1094</v>
      </c>
    </row>
    <row r="5373" spans="1:19" x14ac:dyDescent="0.25">
      <c r="A5373" s="41" t="s">
        <v>908</v>
      </c>
      <c r="B5373" s="41" t="s">
        <v>43047</v>
      </c>
    </row>
    <row r="5374" spans="1:19" x14ac:dyDescent="0.25">
      <c r="A5374" s="41" t="s">
        <v>23</v>
      </c>
      <c r="B5374" s="41" t="s">
        <v>43048</v>
      </c>
      <c r="F5374" s="41" t="s">
        <v>43049</v>
      </c>
      <c r="G5374" s="41" t="s">
        <v>43050</v>
      </c>
      <c r="H5374" s="41" t="s">
        <v>43051</v>
      </c>
      <c r="I5374" s="41" t="s">
        <v>43052</v>
      </c>
      <c r="J5374" s="41" t="s">
        <v>43053</v>
      </c>
      <c r="L5374" s="41" t="s">
        <v>4</v>
      </c>
    </row>
    <row r="5375" spans="1:19" x14ac:dyDescent="0.25">
      <c r="A5375" s="41" t="s">
        <v>23</v>
      </c>
      <c r="B5375" s="41" t="s">
        <v>43054</v>
      </c>
      <c r="D5375" s="41" t="s">
        <v>42887</v>
      </c>
      <c r="E5375" s="41" t="s">
        <v>43056</v>
      </c>
      <c r="F5375" s="41" t="s">
        <v>43057</v>
      </c>
      <c r="G5375" s="41" t="s">
        <v>43058</v>
      </c>
      <c r="H5375" s="41" t="s">
        <v>43059</v>
      </c>
      <c r="I5375" s="41" t="s">
        <v>43060</v>
      </c>
      <c r="J5375" s="41" t="s">
        <v>43061</v>
      </c>
      <c r="K5375" s="41" t="s">
        <v>43062</v>
      </c>
      <c r="L5375" s="41" t="s">
        <v>43063</v>
      </c>
      <c r="M5375" s="41" t="s">
        <v>43064</v>
      </c>
      <c r="N5375" s="41" t="s">
        <v>43065</v>
      </c>
      <c r="O5375" s="41" t="s">
        <v>43066</v>
      </c>
      <c r="P5375" s="41" t="s">
        <v>43067</v>
      </c>
      <c r="Q5375" s="41" t="s">
        <v>43068</v>
      </c>
      <c r="R5375" s="41" t="s">
        <v>43069</v>
      </c>
      <c r="S5375" s="41" t="s">
        <v>43070</v>
      </c>
    </row>
    <row r="5376" spans="1:19" x14ac:dyDescent="0.25">
      <c r="A5376" s="41" t="s">
        <v>23</v>
      </c>
      <c r="B5376" s="41" t="s">
        <v>43071</v>
      </c>
      <c r="D5376" s="41" t="s">
        <v>43072</v>
      </c>
      <c r="F5376" s="41" t="s">
        <v>43073</v>
      </c>
      <c r="G5376" s="41" t="s">
        <v>43074</v>
      </c>
      <c r="H5376" s="41" t="s">
        <v>43075</v>
      </c>
      <c r="I5376" s="41" t="s">
        <v>43076</v>
      </c>
      <c r="J5376" s="41" t="s">
        <v>43077</v>
      </c>
      <c r="K5376" s="41" t="s">
        <v>43078</v>
      </c>
      <c r="L5376" s="41" t="s">
        <v>891</v>
      </c>
    </row>
    <row r="5377" spans="1:19" x14ac:dyDescent="0.25">
      <c r="A5377" s="41" t="s">
        <v>23</v>
      </c>
      <c r="B5377" s="41" t="s">
        <v>43079</v>
      </c>
      <c r="D5377" s="41" t="s">
        <v>43080</v>
      </c>
      <c r="F5377" s="41" t="s">
        <v>43081</v>
      </c>
      <c r="G5377" s="41" t="s">
        <v>43082</v>
      </c>
      <c r="H5377" s="41" t="s">
        <v>43083</v>
      </c>
      <c r="I5377" s="41" t="s">
        <v>43084</v>
      </c>
      <c r="J5377" s="41" t="s">
        <v>43085</v>
      </c>
      <c r="K5377" s="41" t="s">
        <v>43086</v>
      </c>
      <c r="L5377" s="41" t="s">
        <v>1076</v>
      </c>
    </row>
    <row r="5378" spans="1:19" x14ac:dyDescent="0.25">
      <c r="A5378" s="41" t="s">
        <v>23</v>
      </c>
      <c r="B5378" s="41" t="s">
        <v>43087</v>
      </c>
      <c r="D5378" s="41" t="s">
        <v>43088</v>
      </c>
      <c r="F5378" s="41" t="s">
        <v>43089</v>
      </c>
      <c r="G5378" s="41" t="s">
        <v>43090</v>
      </c>
      <c r="H5378" s="41" t="s">
        <v>43091</v>
      </c>
      <c r="I5378" s="41" t="s">
        <v>43092</v>
      </c>
      <c r="J5378" s="41" t="s">
        <v>43093</v>
      </c>
      <c r="K5378" s="41" t="s">
        <v>43094</v>
      </c>
      <c r="L5378" s="41" t="s">
        <v>1085</v>
      </c>
    </row>
    <row r="5379" spans="1:19" x14ac:dyDescent="0.25">
      <c r="A5379" s="41" t="s">
        <v>23</v>
      </c>
      <c r="B5379" s="41" t="s">
        <v>43095</v>
      </c>
      <c r="D5379" s="41" t="s">
        <v>43096</v>
      </c>
      <c r="F5379" s="41" t="s">
        <v>43097</v>
      </c>
      <c r="G5379" s="41" t="s">
        <v>43098</v>
      </c>
      <c r="H5379" s="41" t="s">
        <v>43099</v>
      </c>
      <c r="I5379" s="41" t="s">
        <v>43100</v>
      </c>
      <c r="J5379" s="41" t="s">
        <v>43101</v>
      </c>
      <c r="K5379" s="41" t="s">
        <v>43102</v>
      </c>
      <c r="L5379" s="41" t="s">
        <v>1094</v>
      </c>
    </row>
    <row r="5380" spans="1:19" x14ac:dyDescent="0.25">
      <c r="A5380" s="41" t="s">
        <v>908</v>
      </c>
      <c r="B5380" s="41" t="s">
        <v>43103</v>
      </c>
    </row>
    <row r="5381" spans="1:19" x14ac:dyDescent="0.25">
      <c r="A5381" s="41" t="s">
        <v>23</v>
      </c>
      <c r="B5381" s="41" t="s">
        <v>43104</v>
      </c>
      <c r="F5381" s="41" t="s">
        <v>43105</v>
      </c>
      <c r="G5381" s="41" t="s">
        <v>43106</v>
      </c>
      <c r="H5381" s="41" t="s">
        <v>43107</v>
      </c>
      <c r="I5381" s="41" t="s">
        <v>43108</v>
      </c>
      <c r="J5381" s="41" t="s">
        <v>43109</v>
      </c>
      <c r="L5381" s="41" t="s">
        <v>4</v>
      </c>
    </row>
    <row r="5382" spans="1:19" x14ac:dyDescent="0.25">
      <c r="A5382" s="41" t="s">
        <v>23</v>
      </c>
      <c r="B5382" s="41" t="s">
        <v>43110</v>
      </c>
      <c r="D5382" s="41" t="s">
        <v>42943</v>
      </c>
      <c r="E5382" s="41" t="s">
        <v>43112</v>
      </c>
      <c r="F5382" s="41" t="s">
        <v>43113</v>
      </c>
      <c r="G5382" s="41" t="s">
        <v>43114</v>
      </c>
      <c r="H5382" s="41" t="s">
        <v>43115</v>
      </c>
      <c r="I5382" s="41" t="s">
        <v>43116</v>
      </c>
      <c r="J5382" s="41" t="s">
        <v>43117</v>
      </c>
      <c r="K5382" s="41" t="s">
        <v>43118</v>
      </c>
      <c r="L5382" s="41" t="s">
        <v>43119</v>
      </c>
      <c r="M5382" s="41" t="s">
        <v>43120</v>
      </c>
      <c r="N5382" s="41" t="s">
        <v>43121</v>
      </c>
      <c r="O5382" s="41" t="s">
        <v>43122</v>
      </c>
      <c r="P5382" s="41" t="s">
        <v>43123</v>
      </c>
      <c r="Q5382" s="41" t="s">
        <v>43124</v>
      </c>
      <c r="R5382" s="41" t="s">
        <v>43125</v>
      </c>
      <c r="S5382" s="41" t="s">
        <v>43126</v>
      </c>
    </row>
    <row r="5383" spans="1:19" x14ac:dyDescent="0.25">
      <c r="A5383" s="41" t="s">
        <v>23</v>
      </c>
      <c r="B5383" s="41" t="s">
        <v>43127</v>
      </c>
      <c r="D5383" s="41" t="s">
        <v>43128</v>
      </c>
      <c r="F5383" s="41" t="s">
        <v>43129</v>
      </c>
      <c r="G5383" s="41" t="s">
        <v>43130</v>
      </c>
      <c r="H5383" s="41" t="s">
        <v>43131</v>
      </c>
      <c r="I5383" s="41" t="s">
        <v>43132</v>
      </c>
      <c r="J5383" s="41" t="s">
        <v>43133</v>
      </c>
      <c r="K5383" s="41" t="s">
        <v>43134</v>
      </c>
      <c r="L5383" s="41" t="s">
        <v>891</v>
      </c>
    </row>
    <row r="5384" spans="1:19" x14ac:dyDescent="0.25">
      <c r="A5384" s="41" t="s">
        <v>23</v>
      </c>
      <c r="B5384" s="41" t="s">
        <v>43135</v>
      </c>
      <c r="D5384" s="41" t="s">
        <v>43136</v>
      </c>
      <c r="F5384" s="41" t="s">
        <v>43137</v>
      </c>
      <c r="G5384" s="41" t="s">
        <v>43138</v>
      </c>
      <c r="H5384" s="41" t="s">
        <v>43139</v>
      </c>
      <c r="I5384" s="41" t="s">
        <v>43140</v>
      </c>
      <c r="J5384" s="41" t="s">
        <v>43141</v>
      </c>
      <c r="K5384" s="41" t="s">
        <v>43142</v>
      </c>
      <c r="L5384" s="41" t="s">
        <v>1076</v>
      </c>
    </row>
    <row r="5385" spans="1:19" x14ac:dyDescent="0.25">
      <c r="A5385" s="41" t="s">
        <v>23</v>
      </c>
      <c r="B5385" s="41" t="s">
        <v>43143</v>
      </c>
      <c r="D5385" s="41" t="s">
        <v>43144</v>
      </c>
      <c r="F5385" s="41" t="s">
        <v>43145</v>
      </c>
      <c r="G5385" s="41" t="s">
        <v>43146</v>
      </c>
      <c r="H5385" s="41" t="s">
        <v>43147</v>
      </c>
      <c r="I5385" s="41" t="s">
        <v>43148</v>
      </c>
      <c r="J5385" s="41" t="s">
        <v>43149</v>
      </c>
      <c r="K5385" s="41" t="s">
        <v>43150</v>
      </c>
      <c r="L5385" s="41" t="s">
        <v>1085</v>
      </c>
    </row>
    <row r="5386" spans="1:19" x14ac:dyDescent="0.25">
      <c r="A5386" s="41" t="s">
        <v>23</v>
      </c>
      <c r="B5386" s="41" t="s">
        <v>43151</v>
      </c>
      <c r="D5386" s="41" t="s">
        <v>43152</v>
      </c>
      <c r="F5386" s="41" t="s">
        <v>43153</v>
      </c>
      <c r="G5386" s="41" t="s">
        <v>43154</v>
      </c>
      <c r="H5386" s="41" t="s">
        <v>43155</v>
      </c>
      <c r="I5386" s="41" t="s">
        <v>43156</v>
      </c>
      <c r="J5386" s="41" t="s">
        <v>43157</v>
      </c>
      <c r="K5386" s="41" t="s">
        <v>43158</v>
      </c>
      <c r="L5386" s="41" t="s">
        <v>1094</v>
      </c>
    </row>
    <row r="5387" spans="1:19" x14ac:dyDescent="0.25">
      <c r="A5387" s="41" t="s">
        <v>908</v>
      </c>
      <c r="B5387" s="41" t="s">
        <v>43159</v>
      </c>
    </row>
    <row r="5388" spans="1:19" x14ac:dyDescent="0.25">
      <c r="A5388" s="41" t="s">
        <v>23</v>
      </c>
      <c r="B5388" s="41" t="s">
        <v>43160</v>
      </c>
      <c r="F5388" s="41" t="s">
        <v>43161</v>
      </c>
      <c r="G5388" s="41" t="s">
        <v>43162</v>
      </c>
      <c r="H5388" s="41" t="s">
        <v>43163</v>
      </c>
      <c r="I5388" s="41" t="s">
        <v>43164</v>
      </c>
      <c r="J5388" s="41" t="s">
        <v>43165</v>
      </c>
      <c r="L5388" s="41" t="s">
        <v>4</v>
      </c>
    </row>
    <row r="5389" spans="1:19" x14ac:dyDescent="0.25">
      <c r="A5389" s="41" t="s">
        <v>23</v>
      </c>
      <c r="B5389" s="41" t="s">
        <v>43166</v>
      </c>
      <c r="D5389" s="41" t="s">
        <v>42999</v>
      </c>
      <c r="E5389" s="41" t="s">
        <v>43168</v>
      </c>
      <c r="F5389" s="41" t="s">
        <v>43169</v>
      </c>
      <c r="G5389" s="41" t="s">
        <v>43170</v>
      </c>
      <c r="H5389" s="41" t="s">
        <v>43171</v>
      </c>
      <c r="I5389" s="41" t="s">
        <v>43172</v>
      </c>
      <c r="J5389" s="41" t="s">
        <v>43173</v>
      </c>
      <c r="K5389" s="41" t="s">
        <v>43174</v>
      </c>
      <c r="L5389" s="41" t="s">
        <v>43175</v>
      </c>
      <c r="M5389" s="41" t="s">
        <v>43176</v>
      </c>
      <c r="N5389" s="41" t="s">
        <v>43177</v>
      </c>
      <c r="O5389" s="41" t="s">
        <v>43178</v>
      </c>
      <c r="P5389" s="41" t="s">
        <v>43179</v>
      </c>
      <c r="Q5389" s="41" t="s">
        <v>43180</v>
      </c>
      <c r="R5389" s="41" t="s">
        <v>43181</v>
      </c>
      <c r="S5389" s="41" t="s">
        <v>43182</v>
      </c>
    </row>
    <row r="5390" spans="1:19" x14ac:dyDescent="0.25">
      <c r="A5390" s="41" t="s">
        <v>23</v>
      </c>
      <c r="B5390" s="41" t="s">
        <v>43183</v>
      </c>
      <c r="D5390" s="41" t="s">
        <v>43184</v>
      </c>
      <c r="F5390" s="41" t="s">
        <v>43185</v>
      </c>
      <c r="G5390" s="41" t="s">
        <v>43186</v>
      </c>
      <c r="H5390" s="41" t="s">
        <v>43187</v>
      </c>
      <c r="I5390" s="41" t="s">
        <v>43188</v>
      </c>
      <c r="J5390" s="41" t="s">
        <v>43189</v>
      </c>
      <c r="K5390" s="41" t="s">
        <v>43190</v>
      </c>
      <c r="L5390" s="41" t="s">
        <v>891</v>
      </c>
    </row>
    <row r="5391" spans="1:19" x14ac:dyDescent="0.25">
      <c r="A5391" s="41" t="s">
        <v>23</v>
      </c>
      <c r="B5391" s="41" t="s">
        <v>43191</v>
      </c>
      <c r="D5391" s="41" t="s">
        <v>43192</v>
      </c>
      <c r="F5391" s="41" t="s">
        <v>43193</v>
      </c>
      <c r="G5391" s="41" t="s">
        <v>43194</v>
      </c>
      <c r="H5391" s="41" t="s">
        <v>43195</v>
      </c>
      <c r="I5391" s="41" t="s">
        <v>43196</v>
      </c>
      <c r="J5391" s="41" t="s">
        <v>43197</v>
      </c>
      <c r="K5391" s="41" t="s">
        <v>43198</v>
      </c>
      <c r="L5391" s="41" t="s">
        <v>1076</v>
      </c>
    </row>
    <row r="5392" spans="1:19" x14ac:dyDescent="0.25">
      <c r="A5392" s="41" t="s">
        <v>23</v>
      </c>
      <c r="B5392" s="41" t="s">
        <v>43199</v>
      </c>
      <c r="D5392" s="41" t="s">
        <v>43200</v>
      </c>
      <c r="F5392" s="41" t="s">
        <v>43201</v>
      </c>
      <c r="G5392" s="41" t="s">
        <v>43202</v>
      </c>
      <c r="H5392" s="41" t="s">
        <v>43203</v>
      </c>
      <c r="I5392" s="41" t="s">
        <v>43204</v>
      </c>
      <c r="J5392" s="41" t="s">
        <v>43205</v>
      </c>
      <c r="K5392" s="41" t="s">
        <v>43206</v>
      </c>
      <c r="L5392" s="41" t="s">
        <v>1085</v>
      </c>
    </row>
    <row r="5393" spans="1:19" x14ac:dyDescent="0.25">
      <c r="A5393" s="41" t="s">
        <v>23</v>
      </c>
      <c r="B5393" s="41" t="s">
        <v>43207</v>
      </c>
      <c r="D5393" s="41" t="s">
        <v>43208</v>
      </c>
      <c r="F5393" s="41" t="s">
        <v>43209</v>
      </c>
      <c r="G5393" s="41" t="s">
        <v>43210</v>
      </c>
      <c r="H5393" s="41" t="s">
        <v>43211</v>
      </c>
      <c r="I5393" s="41" t="s">
        <v>43212</v>
      </c>
      <c r="J5393" s="41" t="s">
        <v>43213</v>
      </c>
      <c r="K5393" s="41" t="s">
        <v>43214</v>
      </c>
      <c r="L5393" s="41" t="s">
        <v>1094</v>
      </c>
    </row>
    <row r="5394" spans="1:19" x14ac:dyDescent="0.25">
      <c r="A5394" s="41" t="s">
        <v>908</v>
      </c>
      <c r="B5394" s="41" t="s">
        <v>43215</v>
      </c>
    </row>
    <row r="5395" spans="1:19" x14ac:dyDescent="0.25">
      <c r="A5395" s="41" t="s">
        <v>23</v>
      </c>
      <c r="B5395" s="41" t="s">
        <v>43216</v>
      </c>
      <c r="F5395" s="41" t="s">
        <v>43217</v>
      </c>
      <c r="G5395" s="41" t="s">
        <v>43218</v>
      </c>
      <c r="H5395" s="41" t="s">
        <v>43219</v>
      </c>
      <c r="I5395" s="41" t="s">
        <v>43220</v>
      </c>
      <c r="J5395" s="41" t="s">
        <v>43221</v>
      </c>
      <c r="L5395" s="41" t="s">
        <v>4</v>
      </c>
    </row>
    <row r="5396" spans="1:19" x14ac:dyDescent="0.25">
      <c r="A5396" s="41" t="s">
        <v>23</v>
      </c>
      <c r="B5396" s="41" t="s">
        <v>43222</v>
      </c>
      <c r="D5396" s="41" t="s">
        <v>43055</v>
      </c>
      <c r="E5396" s="41" t="s">
        <v>43224</v>
      </c>
      <c r="F5396" s="41" t="s">
        <v>43225</v>
      </c>
      <c r="G5396" s="41" t="s">
        <v>43226</v>
      </c>
      <c r="H5396" s="41" t="s">
        <v>43227</v>
      </c>
      <c r="I5396" s="41" t="s">
        <v>43228</v>
      </c>
      <c r="J5396" s="41" t="s">
        <v>43229</v>
      </c>
      <c r="K5396" s="41" t="s">
        <v>43230</v>
      </c>
      <c r="L5396" s="41" t="s">
        <v>43231</v>
      </c>
      <c r="M5396" s="41" t="s">
        <v>43232</v>
      </c>
      <c r="N5396" s="41" t="s">
        <v>43233</v>
      </c>
      <c r="O5396" s="41" t="s">
        <v>43234</v>
      </c>
      <c r="P5396" s="41" t="s">
        <v>43235</v>
      </c>
      <c r="Q5396" s="41" t="s">
        <v>43236</v>
      </c>
      <c r="R5396" s="41" t="s">
        <v>43237</v>
      </c>
      <c r="S5396" s="41" t="s">
        <v>43238</v>
      </c>
    </row>
    <row r="5397" spans="1:19" x14ac:dyDescent="0.25">
      <c r="A5397" s="41" t="s">
        <v>23</v>
      </c>
      <c r="B5397" s="41" t="s">
        <v>43239</v>
      </c>
      <c r="D5397" s="41" t="s">
        <v>43240</v>
      </c>
      <c r="F5397" s="41" t="s">
        <v>43241</v>
      </c>
      <c r="G5397" s="41" t="s">
        <v>43242</v>
      </c>
      <c r="H5397" s="41" t="s">
        <v>43243</v>
      </c>
      <c r="I5397" s="41" t="s">
        <v>43244</v>
      </c>
      <c r="J5397" s="41" t="s">
        <v>43245</v>
      </c>
      <c r="K5397" s="41" t="s">
        <v>43246</v>
      </c>
      <c r="L5397" s="41" t="s">
        <v>891</v>
      </c>
    </row>
    <row r="5398" spans="1:19" x14ac:dyDescent="0.25">
      <c r="A5398" s="41" t="s">
        <v>23</v>
      </c>
      <c r="B5398" s="41" t="s">
        <v>43247</v>
      </c>
      <c r="D5398" s="41" t="s">
        <v>43248</v>
      </c>
      <c r="F5398" s="41" t="s">
        <v>43249</v>
      </c>
      <c r="G5398" s="41" t="s">
        <v>43250</v>
      </c>
      <c r="H5398" s="41" t="s">
        <v>43251</v>
      </c>
      <c r="I5398" s="41" t="s">
        <v>43252</v>
      </c>
      <c r="J5398" s="41" t="s">
        <v>43253</v>
      </c>
      <c r="K5398" s="41" t="s">
        <v>43254</v>
      </c>
      <c r="L5398" s="41" t="s">
        <v>1076</v>
      </c>
    </row>
    <row r="5399" spans="1:19" x14ac:dyDescent="0.25">
      <c r="A5399" s="41" t="s">
        <v>23</v>
      </c>
      <c r="B5399" s="41" t="s">
        <v>43255</v>
      </c>
      <c r="D5399" s="41" t="s">
        <v>43256</v>
      </c>
      <c r="F5399" s="41" t="s">
        <v>43257</v>
      </c>
      <c r="G5399" s="41" t="s">
        <v>43258</v>
      </c>
      <c r="H5399" s="41" t="s">
        <v>43259</v>
      </c>
      <c r="I5399" s="41" t="s">
        <v>43260</v>
      </c>
      <c r="J5399" s="41" t="s">
        <v>43261</v>
      </c>
      <c r="K5399" s="41" t="s">
        <v>43262</v>
      </c>
      <c r="L5399" s="41" t="s">
        <v>1085</v>
      </c>
    </row>
    <row r="5400" spans="1:19" x14ac:dyDescent="0.25">
      <c r="A5400" s="41" t="s">
        <v>23</v>
      </c>
      <c r="B5400" s="41" t="s">
        <v>43263</v>
      </c>
      <c r="D5400" s="41" t="s">
        <v>43264</v>
      </c>
      <c r="F5400" s="41" t="s">
        <v>43265</v>
      </c>
      <c r="G5400" s="41" t="s">
        <v>43266</v>
      </c>
      <c r="H5400" s="41" t="s">
        <v>43267</v>
      </c>
      <c r="I5400" s="41" t="s">
        <v>43268</v>
      </c>
      <c r="J5400" s="41" t="s">
        <v>43269</v>
      </c>
      <c r="K5400" s="41" t="s">
        <v>43270</v>
      </c>
      <c r="L5400" s="41" t="s">
        <v>1094</v>
      </c>
    </row>
    <row r="5401" spans="1:19" x14ac:dyDescent="0.25">
      <c r="A5401" s="41" t="s">
        <v>908</v>
      </c>
      <c r="B5401" s="41" t="s">
        <v>43271</v>
      </c>
    </row>
    <row r="5402" spans="1:19" x14ac:dyDescent="0.25">
      <c r="A5402" s="41" t="s">
        <v>23</v>
      </c>
      <c r="B5402" s="41" t="s">
        <v>43272</v>
      </c>
      <c r="F5402" s="41" t="s">
        <v>43273</v>
      </c>
      <c r="G5402" s="41" t="s">
        <v>43274</v>
      </c>
      <c r="H5402" s="41" t="s">
        <v>43275</v>
      </c>
      <c r="I5402" s="41" t="s">
        <v>43276</v>
      </c>
      <c r="J5402" s="41" t="s">
        <v>43277</v>
      </c>
      <c r="L5402" s="41" t="s">
        <v>4</v>
      </c>
    </row>
    <row r="5403" spans="1:19" x14ac:dyDescent="0.25">
      <c r="A5403" s="41" t="s">
        <v>23</v>
      </c>
      <c r="B5403" s="41" t="s">
        <v>43278</v>
      </c>
      <c r="D5403" s="41" t="s">
        <v>43111</v>
      </c>
      <c r="E5403" s="41" t="s">
        <v>43280</v>
      </c>
      <c r="F5403" s="41" t="s">
        <v>43281</v>
      </c>
      <c r="G5403" s="41" t="s">
        <v>43282</v>
      </c>
      <c r="H5403" s="41" t="s">
        <v>43283</v>
      </c>
      <c r="I5403" s="41" t="s">
        <v>43284</v>
      </c>
      <c r="J5403" s="41" t="s">
        <v>43285</v>
      </c>
      <c r="K5403" s="41" t="s">
        <v>43286</v>
      </c>
      <c r="L5403" s="41" t="s">
        <v>43287</v>
      </c>
      <c r="M5403" s="41" t="s">
        <v>43288</v>
      </c>
      <c r="N5403" s="41" t="s">
        <v>43289</v>
      </c>
      <c r="O5403" s="41" t="s">
        <v>43290</v>
      </c>
      <c r="P5403" s="41" t="s">
        <v>43291</v>
      </c>
      <c r="Q5403" s="41" t="s">
        <v>43292</v>
      </c>
      <c r="R5403" s="41" t="s">
        <v>43293</v>
      </c>
      <c r="S5403" s="41" t="s">
        <v>43294</v>
      </c>
    </row>
    <row r="5404" spans="1:19" x14ac:dyDescent="0.25">
      <c r="A5404" s="41" t="s">
        <v>23</v>
      </c>
      <c r="B5404" s="41" t="s">
        <v>43295</v>
      </c>
      <c r="D5404" s="41" t="s">
        <v>43296</v>
      </c>
      <c r="F5404" s="41" t="s">
        <v>43297</v>
      </c>
      <c r="G5404" s="41" t="s">
        <v>43298</v>
      </c>
      <c r="H5404" s="41" t="s">
        <v>43299</v>
      </c>
      <c r="I5404" s="41" t="s">
        <v>43300</v>
      </c>
      <c r="J5404" s="41" t="s">
        <v>43301</v>
      </c>
      <c r="K5404" s="41" t="s">
        <v>43302</v>
      </c>
      <c r="L5404" s="41" t="s">
        <v>891</v>
      </c>
    </row>
    <row r="5405" spans="1:19" x14ac:dyDescent="0.25">
      <c r="A5405" s="41" t="s">
        <v>23</v>
      </c>
      <c r="B5405" s="41" t="s">
        <v>43303</v>
      </c>
      <c r="D5405" s="41" t="s">
        <v>43304</v>
      </c>
      <c r="F5405" s="41" t="s">
        <v>43305</v>
      </c>
      <c r="G5405" s="41" t="s">
        <v>43306</v>
      </c>
      <c r="H5405" s="41" t="s">
        <v>43307</v>
      </c>
      <c r="I5405" s="41" t="s">
        <v>43308</v>
      </c>
      <c r="J5405" s="41" t="s">
        <v>43309</v>
      </c>
      <c r="K5405" s="41" t="s">
        <v>43310</v>
      </c>
      <c r="L5405" s="41" t="s">
        <v>1076</v>
      </c>
    </row>
    <row r="5406" spans="1:19" x14ac:dyDescent="0.25">
      <c r="A5406" s="41" t="s">
        <v>23</v>
      </c>
      <c r="B5406" s="41" t="s">
        <v>43311</v>
      </c>
      <c r="D5406" s="41" t="s">
        <v>43312</v>
      </c>
      <c r="F5406" s="41" t="s">
        <v>43313</v>
      </c>
      <c r="G5406" s="41" t="s">
        <v>43314</v>
      </c>
      <c r="H5406" s="41" t="s">
        <v>43315</v>
      </c>
      <c r="I5406" s="41" t="s">
        <v>43316</v>
      </c>
      <c r="J5406" s="41" t="s">
        <v>43317</v>
      </c>
      <c r="K5406" s="41" t="s">
        <v>43318</v>
      </c>
      <c r="L5406" s="41" t="s">
        <v>1085</v>
      </c>
    </row>
    <row r="5407" spans="1:19" x14ac:dyDescent="0.25">
      <c r="A5407" s="41" t="s">
        <v>23</v>
      </c>
      <c r="B5407" s="41" t="s">
        <v>43319</v>
      </c>
      <c r="D5407" s="41" t="s">
        <v>43320</v>
      </c>
      <c r="F5407" s="41" t="s">
        <v>43321</v>
      </c>
      <c r="G5407" s="41" t="s">
        <v>43322</v>
      </c>
      <c r="H5407" s="41" t="s">
        <v>43323</v>
      </c>
      <c r="I5407" s="41" t="s">
        <v>43324</v>
      </c>
      <c r="J5407" s="41" t="s">
        <v>43325</v>
      </c>
      <c r="K5407" s="41" t="s">
        <v>43326</v>
      </c>
      <c r="L5407" s="41" t="s">
        <v>1094</v>
      </c>
    </row>
    <row r="5408" spans="1:19" x14ac:dyDescent="0.25">
      <c r="A5408" s="41" t="s">
        <v>908</v>
      </c>
      <c r="B5408" s="41" t="s">
        <v>43327</v>
      </c>
    </row>
    <row r="5409" spans="1:19" x14ac:dyDescent="0.25">
      <c r="A5409" s="41" t="s">
        <v>23</v>
      </c>
      <c r="B5409" s="41" t="s">
        <v>43328</v>
      </c>
      <c r="F5409" s="41" t="s">
        <v>43329</v>
      </c>
      <c r="G5409" s="41" t="s">
        <v>43330</v>
      </c>
      <c r="H5409" s="41" t="s">
        <v>43331</v>
      </c>
      <c r="I5409" s="41" t="s">
        <v>43332</v>
      </c>
      <c r="J5409" s="41" t="s">
        <v>43333</v>
      </c>
      <c r="L5409" s="41" t="s">
        <v>4</v>
      </c>
    </row>
    <row r="5410" spans="1:19" x14ac:dyDescent="0.25">
      <c r="A5410" s="41" t="s">
        <v>23</v>
      </c>
      <c r="B5410" s="41" t="s">
        <v>43334</v>
      </c>
      <c r="D5410" s="41" t="s">
        <v>43167</v>
      </c>
      <c r="E5410" s="41" t="s">
        <v>43336</v>
      </c>
      <c r="F5410" s="41" t="s">
        <v>43337</v>
      </c>
      <c r="G5410" s="41" t="s">
        <v>43338</v>
      </c>
      <c r="H5410" s="41" t="s">
        <v>43339</v>
      </c>
      <c r="I5410" s="41" t="s">
        <v>43340</v>
      </c>
      <c r="J5410" s="41" t="s">
        <v>43341</v>
      </c>
      <c r="K5410" s="41" t="s">
        <v>43342</v>
      </c>
      <c r="L5410" s="41" t="s">
        <v>43343</v>
      </c>
      <c r="M5410" s="41" t="s">
        <v>43344</v>
      </c>
      <c r="N5410" s="41" t="s">
        <v>43345</v>
      </c>
      <c r="O5410" s="41" t="s">
        <v>43346</v>
      </c>
      <c r="P5410" s="41" t="s">
        <v>43347</v>
      </c>
      <c r="Q5410" s="41" t="s">
        <v>43348</v>
      </c>
      <c r="R5410" s="41" t="s">
        <v>43349</v>
      </c>
      <c r="S5410" s="41" t="s">
        <v>43350</v>
      </c>
    </row>
    <row r="5411" spans="1:19" x14ac:dyDescent="0.25">
      <c r="A5411" s="41" t="s">
        <v>23</v>
      </c>
      <c r="B5411" s="41" t="s">
        <v>43351</v>
      </c>
      <c r="D5411" s="41" t="s">
        <v>43352</v>
      </c>
      <c r="F5411" s="41" t="s">
        <v>43353</v>
      </c>
      <c r="G5411" s="41" t="s">
        <v>43354</v>
      </c>
      <c r="H5411" s="41" t="s">
        <v>43355</v>
      </c>
      <c r="I5411" s="41" t="s">
        <v>43356</v>
      </c>
      <c r="J5411" s="41" t="s">
        <v>43357</v>
      </c>
      <c r="K5411" s="41" t="s">
        <v>43358</v>
      </c>
      <c r="L5411" s="41" t="s">
        <v>891</v>
      </c>
    </row>
    <row r="5412" spans="1:19" x14ac:dyDescent="0.25">
      <c r="A5412" s="41" t="s">
        <v>23</v>
      </c>
      <c r="B5412" s="41" t="s">
        <v>43359</v>
      </c>
      <c r="D5412" s="41" t="s">
        <v>43360</v>
      </c>
      <c r="F5412" s="41" t="s">
        <v>43361</v>
      </c>
      <c r="G5412" s="41" t="s">
        <v>43362</v>
      </c>
      <c r="H5412" s="41" t="s">
        <v>43363</v>
      </c>
      <c r="I5412" s="41" t="s">
        <v>43364</v>
      </c>
      <c r="J5412" s="41" t="s">
        <v>43365</v>
      </c>
      <c r="K5412" s="41" t="s">
        <v>43366</v>
      </c>
      <c r="L5412" s="41" t="s">
        <v>1076</v>
      </c>
    </row>
    <row r="5413" spans="1:19" x14ac:dyDescent="0.25">
      <c r="A5413" s="41" t="s">
        <v>23</v>
      </c>
      <c r="B5413" s="41" t="s">
        <v>43367</v>
      </c>
      <c r="D5413" s="41" t="s">
        <v>43368</v>
      </c>
      <c r="F5413" s="41" t="s">
        <v>43369</v>
      </c>
      <c r="G5413" s="41" t="s">
        <v>43370</v>
      </c>
      <c r="H5413" s="41" t="s">
        <v>43371</v>
      </c>
      <c r="I5413" s="41" t="s">
        <v>43372</v>
      </c>
      <c r="J5413" s="41" t="s">
        <v>43373</v>
      </c>
      <c r="K5413" s="41" t="s">
        <v>43374</v>
      </c>
      <c r="L5413" s="41" t="s">
        <v>1085</v>
      </c>
    </row>
    <row r="5414" spans="1:19" x14ac:dyDescent="0.25">
      <c r="A5414" s="41" t="s">
        <v>23</v>
      </c>
      <c r="B5414" s="41" t="s">
        <v>43375</v>
      </c>
      <c r="D5414" s="41" t="s">
        <v>43376</v>
      </c>
      <c r="F5414" s="41" t="s">
        <v>43377</v>
      </c>
      <c r="G5414" s="41" t="s">
        <v>43378</v>
      </c>
      <c r="H5414" s="41" t="s">
        <v>43379</v>
      </c>
      <c r="I5414" s="41" t="s">
        <v>43380</v>
      </c>
      <c r="J5414" s="41" t="s">
        <v>43381</v>
      </c>
      <c r="K5414" s="41" t="s">
        <v>43382</v>
      </c>
      <c r="L5414" s="41" t="s">
        <v>1094</v>
      </c>
    </row>
    <row r="5415" spans="1:19" x14ac:dyDescent="0.25">
      <c r="A5415" s="41" t="s">
        <v>908</v>
      </c>
      <c r="B5415" s="41" t="s">
        <v>43383</v>
      </c>
    </row>
    <row r="5416" spans="1:19" x14ac:dyDescent="0.25">
      <c r="A5416" s="41" t="s">
        <v>23</v>
      </c>
      <c r="B5416" s="41" t="s">
        <v>43384</v>
      </c>
      <c r="F5416" s="41" t="s">
        <v>43385</v>
      </c>
      <c r="G5416" s="41" t="s">
        <v>43386</v>
      </c>
      <c r="H5416" s="41" t="s">
        <v>43387</v>
      </c>
      <c r="I5416" s="41" t="s">
        <v>43388</v>
      </c>
      <c r="J5416" s="41" t="s">
        <v>43389</v>
      </c>
      <c r="L5416" s="41" t="s">
        <v>4</v>
      </c>
    </row>
    <row r="5417" spans="1:19" x14ac:dyDescent="0.25">
      <c r="A5417" s="41" t="s">
        <v>23</v>
      </c>
      <c r="B5417" s="41" t="s">
        <v>43390</v>
      </c>
      <c r="D5417" s="41" t="s">
        <v>43223</v>
      </c>
      <c r="E5417" s="41" t="s">
        <v>43392</v>
      </c>
      <c r="F5417" s="41" t="s">
        <v>43393</v>
      </c>
      <c r="G5417" s="41" t="s">
        <v>43394</v>
      </c>
      <c r="H5417" s="41" t="s">
        <v>43395</v>
      </c>
      <c r="I5417" s="41" t="s">
        <v>43396</v>
      </c>
      <c r="J5417" s="41" t="s">
        <v>43397</v>
      </c>
      <c r="K5417" s="41" t="s">
        <v>43398</v>
      </c>
      <c r="L5417" s="41" t="s">
        <v>43399</v>
      </c>
      <c r="M5417" s="41" t="s">
        <v>43400</v>
      </c>
      <c r="N5417" s="41" t="s">
        <v>43401</v>
      </c>
      <c r="O5417" s="41" t="s">
        <v>43402</v>
      </c>
      <c r="P5417" s="41" t="s">
        <v>43403</v>
      </c>
      <c r="Q5417" s="41" t="s">
        <v>43404</v>
      </c>
      <c r="R5417" s="41" t="s">
        <v>43405</v>
      </c>
      <c r="S5417" s="41" t="s">
        <v>43406</v>
      </c>
    </row>
    <row r="5418" spans="1:19" x14ac:dyDescent="0.25">
      <c r="A5418" s="41" t="s">
        <v>23</v>
      </c>
      <c r="B5418" s="41" t="s">
        <v>43407</v>
      </c>
      <c r="D5418" s="41" t="s">
        <v>43408</v>
      </c>
      <c r="F5418" s="41" t="s">
        <v>43409</v>
      </c>
      <c r="G5418" s="41" t="s">
        <v>43410</v>
      </c>
      <c r="H5418" s="41" t="s">
        <v>43411</v>
      </c>
      <c r="I5418" s="41" t="s">
        <v>43412</v>
      </c>
      <c r="J5418" s="41" t="s">
        <v>43413</v>
      </c>
      <c r="K5418" s="41" t="s">
        <v>43414</v>
      </c>
      <c r="L5418" s="41" t="s">
        <v>891</v>
      </c>
    </row>
    <row r="5419" spans="1:19" x14ac:dyDescent="0.25">
      <c r="A5419" s="41" t="s">
        <v>23</v>
      </c>
      <c r="B5419" s="41" t="s">
        <v>43415</v>
      </c>
      <c r="D5419" s="41" t="s">
        <v>43416</v>
      </c>
      <c r="F5419" s="41" t="s">
        <v>43417</v>
      </c>
      <c r="G5419" s="41" t="s">
        <v>43418</v>
      </c>
      <c r="H5419" s="41" t="s">
        <v>43419</v>
      </c>
      <c r="I5419" s="41" t="s">
        <v>43420</v>
      </c>
      <c r="J5419" s="41" t="s">
        <v>43421</v>
      </c>
      <c r="K5419" s="41" t="s">
        <v>43422</v>
      </c>
      <c r="L5419" s="41" t="s">
        <v>1076</v>
      </c>
    </row>
    <row r="5420" spans="1:19" x14ac:dyDescent="0.25">
      <c r="A5420" s="41" t="s">
        <v>23</v>
      </c>
      <c r="B5420" s="41" t="s">
        <v>43423</v>
      </c>
      <c r="D5420" s="41" t="s">
        <v>43424</v>
      </c>
      <c r="F5420" s="41" t="s">
        <v>43425</v>
      </c>
      <c r="G5420" s="41" t="s">
        <v>43426</v>
      </c>
      <c r="H5420" s="41" t="s">
        <v>43427</v>
      </c>
      <c r="I5420" s="41" t="s">
        <v>43428</v>
      </c>
      <c r="J5420" s="41" t="s">
        <v>43429</v>
      </c>
      <c r="K5420" s="41" t="s">
        <v>43430</v>
      </c>
      <c r="L5420" s="41" t="s">
        <v>1085</v>
      </c>
    </row>
    <row r="5421" spans="1:19" x14ac:dyDescent="0.25">
      <c r="A5421" s="41" t="s">
        <v>23</v>
      </c>
      <c r="B5421" s="41" t="s">
        <v>43431</v>
      </c>
      <c r="D5421" s="41" t="s">
        <v>43432</v>
      </c>
      <c r="F5421" s="41" t="s">
        <v>43433</v>
      </c>
      <c r="G5421" s="41" t="s">
        <v>43434</v>
      </c>
      <c r="H5421" s="41" t="s">
        <v>43435</v>
      </c>
      <c r="I5421" s="41" t="s">
        <v>43436</v>
      </c>
      <c r="J5421" s="41" t="s">
        <v>43437</v>
      </c>
      <c r="K5421" s="41" t="s">
        <v>43438</v>
      </c>
      <c r="L5421" s="41" t="s">
        <v>1094</v>
      </c>
    </row>
    <row r="5422" spans="1:19" x14ac:dyDescent="0.25">
      <c r="A5422" s="41" t="s">
        <v>908</v>
      </c>
      <c r="B5422" s="41" t="s">
        <v>43439</v>
      </c>
    </row>
    <row r="5423" spans="1:19" x14ac:dyDescent="0.25">
      <c r="A5423" s="41" t="s">
        <v>23</v>
      </c>
      <c r="B5423" s="41" t="s">
        <v>43440</v>
      </c>
      <c r="F5423" s="41" t="s">
        <v>43441</v>
      </c>
      <c r="G5423" s="41" t="s">
        <v>43442</v>
      </c>
      <c r="H5423" s="41" t="s">
        <v>43443</v>
      </c>
      <c r="I5423" s="41" t="s">
        <v>43444</v>
      </c>
      <c r="J5423" s="41" t="s">
        <v>43445</v>
      </c>
      <c r="L5423" s="41" t="s">
        <v>4</v>
      </c>
    </row>
    <row r="5424" spans="1:19" x14ac:dyDescent="0.25">
      <c r="A5424" s="41" t="s">
        <v>23</v>
      </c>
      <c r="B5424" s="41" t="s">
        <v>43446</v>
      </c>
      <c r="D5424" s="41" t="s">
        <v>43279</v>
      </c>
      <c r="E5424" s="41" t="s">
        <v>43448</v>
      </c>
      <c r="F5424" s="41" t="s">
        <v>43449</v>
      </c>
      <c r="G5424" s="41" t="s">
        <v>43450</v>
      </c>
      <c r="H5424" s="41" t="s">
        <v>43451</v>
      </c>
      <c r="I5424" s="41" t="s">
        <v>43452</v>
      </c>
      <c r="J5424" s="41" t="s">
        <v>43453</v>
      </c>
      <c r="K5424" s="41" t="s">
        <v>43454</v>
      </c>
      <c r="L5424" s="41" t="s">
        <v>43455</v>
      </c>
      <c r="M5424" s="41" t="s">
        <v>43456</v>
      </c>
      <c r="N5424" s="41" t="s">
        <v>43457</v>
      </c>
      <c r="O5424" s="41" t="s">
        <v>43458</v>
      </c>
      <c r="P5424" s="41" t="s">
        <v>43459</v>
      </c>
      <c r="Q5424" s="41" t="s">
        <v>43460</v>
      </c>
      <c r="R5424" s="41" t="s">
        <v>43461</v>
      </c>
      <c r="S5424" s="41" t="s">
        <v>43462</v>
      </c>
    </row>
    <row r="5425" spans="1:19" x14ac:dyDescent="0.25">
      <c r="A5425" s="41" t="s">
        <v>23</v>
      </c>
      <c r="B5425" s="41" t="s">
        <v>43463</v>
      </c>
      <c r="D5425" s="41" t="s">
        <v>43464</v>
      </c>
      <c r="F5425" s="41" t="s">
        <v>43465</v>
      </c>
      <c r="G5425" s="41" t="s">
        <v>43466</v>
      </c>
      <c r="H5425" s="41" t="s">
        <v>43467</v>
      </c>
      <c r="I5425" s="41" t="s">
        <v>43468</v>
      </c>
      <c r="J5425" s="41" t="s">
        <v>43469</v>
      </c>
      <c r="K5425" s="41" t="s">
        <v>43470</v>
      </c>
      <c r="L5425" s="41" t="s">
        <v>891</v>
      </c>
    </row>
    <row r="5426" spans="1:19" x14ac:dyDescent="0.25">
      <c r="A5426" s="41" t="s">
        <v>23</v>
      </c>
      <c r="B5426" s="41" t="s">
        <v>43471</v>
      </c>
      <c r="D5426" s="41" t="s">
        <v>43472</v>
      </c>
      <c r="F5426" s="41" t="s">
        <v>43473</v>
      </c>
      <c r="G5426" s="41" t="s">
        <v>43474</v>
      </c>
      <c r="H5426" s="41" t="s">
        <v>43475</v>
      </c>
      <c r="I5426" s="41" t="s">
        <v>43476</v>
      </c>
      <c r="J5426" s="41" t="s">
        <v>43477</v>
      </c>
      <c r="K5426" s="41" t="s">
        <v>43478</v>
      </c>
      <c r="L5426" s="41" t="s">
        <v>1076</v>
      </c>
    </row>
    <row r="5427" spans="1:19" x14ac:dyDescent="0.25">
      <c r="A5427" s="41" t="s">
        <v>23</v>
      </c>
      <c r="B5427" s="41" t="s">
        <v>43479</v>
      </c>
      <c r="D5427" s="41" t="s">
        <v>43480</v>
      </c>
      <c r="F5427" s="41" t="s">
        <v>43481</v>
      </c>
      <c r="G5427" s="41" t="s">
        <v>43482</v>
      </c>
      <c r="H5427" s="41" t="s">
        <v>43483</v>
      </c>
      <c r="I5427" s="41" t="s">
        <v>43484</v>
      </c>
      <c r="J5427" s="41" t="s">
        <v>43485</v>
      </c>
      <c r="K5427" s="41" t="s">
        <v>43486</v>
      </c>
      <c r="L5427" s="41" t="s">
        <v>1085</v>
      </c>
    </row>
    <row r="5428" spans="1:19" x14ac:dyDescent="0.25">
      <c r="A5428" s="41" t="s">
        <v>23</v>
      </c>
      <c r="B5428" s="41" t="s">
        <v>43487</v>
      </c>
      <c r="D5428" s="41" t="s">
        <v>43488</v>
      </c>
      <c r="F5428" s="41" t="s">
        <v>43489</v>
      </c>
      <c r="G5428" s="41" t="s">
        <v>43490</v>
      </c>
      <c r="H5428" s="41" t="s">
        <v>43491</v>
      </c>
      <c r="I5428" s="41" t="s">
        <v>43492</v>
      </c>
      <c r="J5428" s="41" t="s">
        <v>43493</v>
      </c>
      <c r="K5428" s="41" t="s">
        <v>43494</v>
      </c>
      <c r="L5428" s="41" t="s">
        <v>1094</v>
      </c>
    </row>
    <row r="5429" spans="1:19" x14ac:dyDescent="0.25">
      <c r="A5429" s="41" t="s">
        <v>908</v>
      </c>
      <c r="B5429" s="41" t="s">
        <v>43495</v>
      </c>
    </row>
    <row r="5430" spans="1:19" x14ac:dyDescent="0.25">
      <c r="A5430" s="41" t="s">
        <v>23</v>
      </c>
      <c r="B5430" s="41" t="s">
        <v>43496</v>
      </c>
      <c r="F5430" s="41" t="s">
        <v>43497</v>
      </c>
      <c r="G5430" s="41" t="s">
        <v>43498</v>
      </c>
      <c r="H5430" s="41" t="s">
        <v>43499</v>
      </c>
      <c r="I5430" s="41" t="s">
        <v>43500</v>
      </c>
      <c r="J5430" s="41" t="s">
        <v>43501</v>
      </c>
      <c r="L5430" s="41" t="s">
        <v>4</v>
      </c>
    </row>
    <row r="5431" spans="1:19" x14ac:dyDescent="0.25">
      <c r="A5431" s="41" t="s">
        <v>23</v>
      </c>
      <c r="B5431" s="41" t="s">
        <v>43502</v>
      </c>
      <c r="D5431" s="41" t="s">
        <v>43335</v>
      </c>
      <c r="E5431" s="41" t="s">
        <v>43504</v>
      </c>
      <c r="F5431" s="41" t="s">
        <v>43505</v>
      </c>
      <c r="G5431" s="41" t="s">
        <v>43506</v>
      </c>
      <c r="H5431" s="41" t="s">
        <v>43507</v>
      </c>
      <c r="I5431" s="41" t="s">
        <v>43508</v>
      </c>
      <c r="J5431" s="41" t="s">
        <v>43509</v>
      </c>
      <c r="K5431" s="41" t="s">
        <v>43510</v>
      </c>
      <c r="L5431" s="41" t="s">
        <v>43511</v>
      </c>
      <c r="M5431" s="41" t="s">
        <v>43512</v>
      </c>
      <c r="N5431" s="41" t="s">
        <v>43513</v>
      </c>
      <c r="O5431" s="41" t="s">
        <v>43514</v>
      </c>
      <c r="P5431" s="41" t="s">
        <v>43515</v>
      </c>
      <c r="Q5431" s="41" t="s">
        <v>43516</v>
      </c>
      <c r="R5431" s="41" t="s">
        <v>43517</v>
      </c>
      <c r="S5431" s="41" t="s">
        <v>43518</v>
      </c>
    </row>
    <row r="5432" spans="1:19" x14ac:dyDescent="0.25">
      <c r="A5432" s="41" t="s">
        <v>23</v>
      </c>
      <c r="B5432" s="41" t="s">
        <v>43519</v>
      </c>
      <c r="D5432" s="41" t="s">
        <v>43520</v>
      </c>
      <c r="F5432" s="41" t="s">
        <v>43521</v>
      </c>
      <c r="G5432" s="41" t="s">
        <v>43522</v>
      </c>
      <c r="H5432" s="41" t="s">
        <v>43523</v>
      </c>
      <c r="I5432" s="41" t="s">
        <v>43524</v>
      </c>
      <c r="J5432" s="41" t="s">
        <v>43525</v>
      </c>
      <c r="K5432" s="41" t="s">
        <v>43526</v>
      </c>
      <c r="L5432" s="41" t="s">
        <v>891</v>
      </c>
    </row>
    <row r="5433" spans="1:19" x14ac:dyDescent="0.25">
      <c r="A5433" s="41" t="s">
        <v>23</v>
      </c>
      <c r="B5433" s="41" t="s">
        <v>43527</v>
      </c>
      <c r="D5433" s="41" t="s">
        <v>43528</v>
      </c>
      <c r="F5433" s="41" t="s">
        <v>43529</v>
      </c>
      <c r="G5433" s="41" t="s">
        <v>43530</v>
      </c>
      <c r="H5433" s="41" t="s">
        <v>43531</v>
      </c>
      <c r="I5433" s="41" t="s">
        <v>43532</v>
      </c>
      <c r="J5433" s="41" t="s">
        <v>43533</v>
      </c>
      <c r="K5433" s="41" t="s">
        <v>43534</v>
      </c>
      <c r="L5433" s="41" t="s">
        <v>1076</v>
      </c>
    </row>
    <row r="5434" spans="1:19" x14ac:dyDescent="0.25">
      <c r="A5434" s="41" t="s">
        <v>23</v>
      </c>
      <c r="B5434" s="41" t="s">
        <v>43535</v>
      </c>
      <c r="D5434" s="41" t="s">
        <v>43536</v>
      </c>
      <c r="F5434" s="41" t="s">
        <v>43537</v>
      </c>
      <c r="G5434" s="41" t="s">
        <v>43538</v>
      </c>
      <c r="H5434" s="41" t="s">
        <v>43539</v>
      </c>
      <c r="I5434" s="41" t="s">
        <v>43540</v>
      </c>
      <c r="J5434" s="41" t="s">
        <v>43541</v>
      </c>
      <c r="K5434" s="41" t="s">
        <v>43542</v>
      </c>
      <c r="L5434" s="41" t="s">
        <v>1085</v>
      </c>
    </row>
    <row r="5435" spans="1:19" x14ac:dyDescent="0.25">
      <c r="A5435" s="41" t="s">
        <v>23</v>
      </c>
      <c r="B5435" s="41" t="s">
        <v>43543</v>
      </c>
      <c r="D5435" s="41" t="s">
        <v>43544</v>
      </c>
      <c r="F5435" s="41" t="s">
        <v>43545</v>
      </c>
      <c r="G5435" s="41" t="s">
        <v>43546</v>
      </c>
      <c r="H5435" s="41" t="s">
        <v>43547</v>
      </c>
      <c r="I5435" s="41" t="s">
        <v>43548</v>
      </c>
      <c r="J5435" s="41" t="s">
        <v>43549</v>
      </c>
      <c r="K5435" s="41" t="s">
        <v>43550</v>
      </c>
      <c r="L5435" s="41" t="s">
        <v>1094</v>
      </c>
    </row>
    <row r="5436" spans="1:19" x14ac:dyDescent="0.25">
      <c r="A5436" s="41" t="s">
        <v>908</v>
      </c>
      <c r="B5436" s="41" t="s">
        <v>43551</v>
      </c>
    </row>
    <row r="5437" spans="1:19" x14ac:dyDescent="0.25">
      <c r="A5437" s="41" t="s">
        <v>23</v>
      </c>
      <c r="B5437" s="41" t="s">
        <v>43552</v>
      </c>
      <c r="F5437" s="41" t="s">
        <v>43553</v>
      </c>
      <c r="G5437" s="41" t="s">
        <v>43554</v>
      </c>
      <c r="H5437" s="41" t="s">
        <v>43555</v>
      </c>
      <c r="I5437" s="41" t="s">
        <v>43556</v>
      </c>
      <c r="J5437" s="41" t="s">
        <v>43557</v>
      </c>
      <c r="L5437" s="41" t="s">
        <v>4</v>
      </c>
    </row>
    <row r="5438" spans="1:19" x14ac:dyDescent="0.25">
      <c r="A5438" s="41" t="s">
        <v>23</v>
      </c>
      <c r="B5438" s="41" t="s">
        <v>43558</v>
      </c>
      <c r="D5438" s="41" t="s">
        <v>43391</v>
      </c>
      <c r="E5438" s="41" t="s">
        <v>43560</v>
      </c>
      <c r="F5438" s="41" t="s">
        <v>43561</v>
      </c>
      <c r="G5438" s="41" t="s">
        <v>43562</v>
      </c>
      <c r="H5438" s="41" t="s">
        <v>43563</v>
      </c>
      <c r="I5438" s="41" t="s">
        <v>43564</v>
      </c>
      <c r="J5438" s="41" t="s">
        <v>43565</v>
      </c>
      <c r="K5438" s="41" t="s">
        <v>43566</v>
      </c>
      <c r="L5438" s="41" t="s">
        <v>43567</v>
      </c>
      <c r="M5438" s="41" t="s">
        <v>43568</v>
      </c>
      <c r="N5438" s="41" t="s">
        <v>43569</v>
      </c>
      <c r="O5438" s="41" t="s">
        <v>43570</v>
      </c>
      <c r="P5438" s="41" t="s">
        <v>43571</v>
      </c>
      <c r="Q5438" s="41" t="s">
        <v>43572</v>
      </c>
      <c r="R5438" s="41" t="s">
        <v>43573</v>
      </c>
      <c r="S5438" s="41" t="s">
        <v>43574</v>
      </c>
    </row>
    <row r="5439" spans="1:19" x14ac:dyDescent="0.25">
      <c r="A5439" s="41" t="s">
        <v>23</v>
      </c>
      <c r="B5439" s="41" t="s">
        <v>43575</v>
      </c>
      <c r="D5439" s="41" t="s">
        <v>43576</v>
      </c>
      <c r="F5439" s="41" t="s">
        <v>43577</v>
      </c>
      <c r="G5439" s="41" t="s">
        <v>43578</v>
      </c>
      <c r="H5439" s="41" t="s">
        <v>43579</v>
      </c>
      <c r="I5439" s="41" t="s">
        <v>43580</v>
      </c>
      <c r="J5439" s="41" t="s">
        <v>43581</v>
      </c>
      <c r="K5439" s="41" t="s">
        <v>43582</v>
      </c>
      <c r="L5439" s="41" t="s">
        <v>891</v>
      </c>
    </row>
    <row r="5440" spans="1:19" x14ac:dyDescent="0.25">
      <c r="A5440" s="41" t="s">
        <v>23</v>
      </c>
      <c r="B5440" s="41" t="s">
        <v>43583</v>
      </c>
      <c r="D5440" s="41" t="s">
        <v>43584</v>
      </c>
      <c r="F5440" s="41" t="s">
        <v>43585</v>
      </c>
      <c r="G5440" s="41" t="s">
        <v>43586</v>
      </c>
      <c r="H5440" s="41" t="s">
        <v>43587</v>
      </c>
      <c r="I5440" s="41" t="s">
        <v>43588</v>
      </c>
      <c r="J5440" s="41" t="s">
        <v>43589</v>
      </c>
      <c r="K5440" s="41" t="s">
        <v>43590</v>
      </c>
      <c r="L5440" s="41" t="s">
        <v>1076</v>
      </c>
    </row>
    <row r="5441" spans="1:19" x14ac:dyDescent="0.25">
      <c r="A5441" s="41" t="s">
        <v>23</v>
      </c>
      <c r="B5441" s="41" t="s">
        <v>43591</v>
      </c>
      <c r="D5441" s="41" t="s">
        <v>43592</v>
      </c>
      <c r="F5441" s="41" t="s">
        <v>43593</v>
      </c>
      <c r="G5441" s="41" t="s">
        <v>43594</v>
      </c>
      <c r="H5441" s="41" t="s">
        <v>43595</v>
      </c>
      <c r="I5441" s="41" t="s">
        <v>43596</v>
      </c>
      <c r="J5441" s="41" t="s">
        <v>43597</v>
      </c>
      <c r="K5441" s="41" t="s">
        <v>43598</v>
      </c>
      <c r="L5441" s="41" t="s">
        <v>1085</v>
      </c>
    </row>
    <row r="5442" spans="1:19" x14ac:dyDescent="0.25">
      <c r="A5442" s="41" t="s">
        <v>23</v>
      </c>
      <c r="B5442" s="41" t="s">
        <v>43599</v>
      </c>
      <c r="D5442" s="41" t="s">
        <v>43600</v>
      </c>
      <c r="F5442" s="41" t="s">
        <v>43601</v>
      </c>
      <c r="G5442" s="41" t="s">
        <v>43602</v>
      </c>
      <c r="H5442" s="41" t="s">
        <v>43603</v>
      </c>
      <c r="I5442" s="41" t="s">
        <v>43604</v>
      </c>
      <c r="J5442" s="41" t="s">
        <v>43605</v>
      </c>
      <c r="K5442" s="41" t="s">
        <v>43606</v>
      </c>
      <c r="L5442" s="41" t="s">
        <v>1094</v>
      </c>
    </row>
    <row r="5443" spans="1:19" x14ac:dyDescent="0.25">
      <c r="A5443" s="41" t="s">
        <v>908</v>
      </c>
      <c r="B5443" s="41" t="s">
        <v>43607</v>
      </c>
    </row>
    <row r="5444" spans="1:19" x14ac:dyDescent="0.25">
      <c r="A5444" s="41" t="s">
        <v>23</v>
      </c>
      <c r="B5444" s="41" t="s">
        <v>43608</v>
      </c>
      <c r="F5444" s="41" t="s">
        <v>43609</v>
      </c>
      <c r="G5444" s="41" t="s">
        <v>43610</v>
      </c>
      <c r="H5444" s="41" t="s">
        <v>43611</v>
      </c>
      <c r="I5444" s="41" t="s">
        <v>43612</v>
      </c>
      <c r="J5444" s="41" t="s">
        <v>43613</v>
      </c>
      <c r="L5444" s="41" t="s">
        <v>4</v>
      </c>
    </row>
    <row r="5445" spans="1:19" x14ac:dyDescent="0.25">
      <c r="A5445" s="41" t="s">
        <v>23</v>
      </c>
      <c r="B5445" s="41" t="s">
        <v>43614</v>
      </c>
      <c r="D5445" s="41" t="s">
        <v>43447</v>
      </c>
      <c r="E5445" s="41" t="s">
        <v>43616</v>
      </c>
      <c r="F5445" s="41" t="s">
        <v>43617</v>
      </c>
      <c r="G5445" s="41" t="s">
        <v>43618</v>
      </c>
      <c r="H5445" s="41" t="s">
        <v>43619</v>
      </c>
      <c r="I5445" s="41" t="s">
        <v>43620</v>
      </c>
      <c r="J5445" s="41" t="s">
        <v>43621</v>
      </c>
      <c r="K5445" s="41" t="s">
        <v>43622</v>
      </c>
      <c r="L5445" s="41" t="s">
        <v>43623</v>
      </c>
      <c r="M5445" s="41" t="s">
        <v>43624</v>
      </c>
      <c r="N5445" s="41" t="s">
        <v>43625</v>
      </c>
      <c r="O5445" s="41" t="s">
        <v>43626</v>
      </c>
      <c r="P5445" s="41" t="s">
        <v>43627</v>
      </c>
      <c r="Q5445" s="41" t="s">
        <v>43628</v>
      </c>
      <c r="R5445" s="41" t="s">
        <v>43629</v>
      </c>
      <c r="S5445" s="41" t="s">
        <v>43630</v>
      </c>
    </row>
    <row r="5446" spans="1:19" x14ac:dyDescent="0.25">
      <c r="A5446" s="41" t="s">
        <v>23</v>
      </c>
      <c r="B5446" s="41" t="s">
        <v>43631</v>
      </c>
      <c r="D5446" s="41" t="s">
        <v>43632</v>
      </c>
      <c r="F5446" s="41" t="s">
        <v>43633</v>
      </c>
      <c r="G5446" s="41" t="s">
        <v>43634</v>
      </c>
      <c r="H5446" s="41" t="s">
        <v>43635</v>
      </c>
      <c r="I5446" s="41" t="s">
        <v>43636</v>
      </c>
      <c r="J5446" s="41" t="s">
        <v>43637</v>
      </c>
      <c r="K5446" s="41" t="s">
        <v>43638</v>
      </c>
      <c r="L5446" s="41" t="s">
        <v>891</v>
      </c>
    </row>
    <row r="5447" spans="1:19" x14ac:dyDescent="0.25">
      <c r="A5447" s="41" t="s">
        <v>23</v>
      </c>
      <c r="B5447" s="41" t="s">
        <v>43639</v>
      </c>
      <c r="D5447" s="41" t="s">
        <v>43640</v>
      </c>
      <c r="F5447" s="41" t="s">
        <v>43641</v>
      </c>
      <c r="G5447" s="41" t="s">
        <v>43642</v>
      </c>
      <c r="H5447" s="41" t="s">
        <v>43643</v>
      </c>
      <c r="I5447" s="41" t="s">
        <v>43644</v>
      </c>
      <c r="J5447" s="41" t="s">
        <v>43645</v>
      </c>
      <c r="K5447" s="41" t="s">
        <v>43646</v>
      </c>
      <c r="L5447" s="41" t="s">
        <v>1076</v>
      </c>
    </row>
    <row r="5448" spans="1:19" x14ac:dyDescent="0.25">
      <c r="A5448" s="41" t="s">
        <v>23</v>
      </c>
      <c r="B5448" s="41" t="s">
        <v>43647</v>
      </c>
      <c r="D5448" s="41" t="s">
        <v>43648</v>
      </c>
      <c r="F5448" s="41" t="s">
        <v>43649</v>
      </c>
      <c r="G5448" s="41" t="s">
        <v>43650</v>
      </c>
      <c r="H5448" s="41" t="s">
        <v>43651</v>
      </c>
      <c r="I5448" s="41" t="s">
        <v>43652</v>
      </c>
      <c r="J5448" s="41" t="s">
        <v>43653</v>
      </c>
      <c r="K5448" s="41" t="s">
        <v>43654</v>
      </c>
      <c r="L5448" s="41" t="s">
        <v>1085</v>
      </c>
    </row>
    <row r="5449" spans="1:19" x14ac:dyDescent="0.25">
      <c r="A5449" s="41" t="s">
        <v>23</v>
      </c>
      <c r="B5449" s="41" t="s">
        <v>43655</v>
      </c>
      <c r="D5449" s="41" t="s">
        <v>43656</v>
      </c>
      <c r="F5449" s="41" t="s">
        <v>43657</v>
      </c>
      <c r="G5449" s="41" t="s">
        <v>43658</v>
      </c>
      <c r="H5449" s="41" t="s">
        <v>43659</v>
      </c>
      <c r="I5449" s="41" t="s">
        <v>43660</v>
      </c>
      <c r="J5449" s="41" t="s">
        <v>43661</v>
      </c>
      <c r="K5449" s="41" t="s">
        <v>43662</v>
      </c>
      <c r="L5449" s="41" t="s">
        <v>1094</v>
      </c>
    </row>
    <row r="5450" spans="1:19" x14ac:dyDescent="0.25">
      <c r="A5450" s="41" t="s">
        <v>908</v>
      </c>
      <c r="B5450" s="41" t="s">
        <v>43663</v>
      </c>
    </row>
    <row r="5451" spans="1:19" x14ac:dyDescent="0.25">
      <c r="A5451" s="41" t="s">
        <v>23</v>
      </c>
      <c r="B5451" s="41" t="s">
        <v>43664</v>
      </c>
      <c r="F5451" s="41" t="s">
        <v>43665</v>
      </c>
      <c r="G5451" s="41" t="s">
        <v>43666</v>
      </c>
      <c r="H5451" s="41" t="s">
        <v>43667</v>
      </c>
      <c r="I5451" s="41" t="s">
        <v>43668</v>
      </c>
      <c r="J5451" s="41" t="s">
        <v>43669</v>
      </c>
      <c r="L5451" s="41" t="s">
        <v>4</v>
      </c>
    </row>
    <row r="5452" spans="1:19" x14ac:dyDescent="0.25">
      <c r="A5452" s="41" t="s">
        <v>23</v>
      </c>
      <c r="B5452" s="41" t="s">
        <v>43670</v>
      </c>
      <c r="D5452" s="41" t="s">
        <v>43503</v>
      </c>
      <c r="E5452" s="41" t="s">
        <v>43672</v>
      </c>
      <c r="F5452" s="41" t="s">
        <v>43673</v>
      </c>
      <c r="G5452" s="41" t="s">
        <v>43674</v>
      </c>
      <c r="H5452" s="41" t="s">
        <v>43675</v>
      </c>
      <c r="I5452" s="41" t="s">
        <v>43676</v>
      </c>
      <c r="J5452" s="41" t="s">
        <v>43677</v>
      </c>
      <c r="K5452" s="41" t="s">
        <v>43678</v>
      </c>
      <c r="L5452" s="41" t="s">
        <v>43679</v>
      </c>
      <c r="M5452" s="41" t="s">
        <v>43680</v>
      </c>
      <c r="N5452" s="41" t="s">
        <v>43681</v>
      </c>
      <c r="O5452" s="41" t="s">
        <v>43682</v>
      </c>
      <c r="P5452" s="41" t="s">
        <v>43683</v>
      </c>
      <c r="Q5452" s="41" t="s">
        <v>43684</v>
      </c>
      <c r="R5452" s="41" t="s">
        <v>43685</v>
      </c>
      <c r="S5452" s="41" t="s">
        <v>43686</v>
      </c>
    </row>
    <row r="5453" spans="1:19" x14ac:dyDescent="0.25">
      <c r="A5453" s="41" t="s">
        <v>23</v>
      </c>
      <c r="B5453" s="41" t="s">
        <v>43687</v>
      </c>
      <c r="D5453" s="41" t="s">
        <v>43688</v>
      </c>
      <c r="F5453" s="41" t="s">
        <v>43689</v>
      </c>
      <c r="G5453" s="41" t="s">
        <v>43690</v>
      </c>
      <c r="H5453" s="41" t="s">
        <v>43691</v>
      </c>
      <c r="I5453" s="41" t="s">
        <v>43692</v>
      </c>
      <c r="J5453" s="41" t="s">
        <v>43693</v>
      </c>
      <c r="K5453" s="41" t="s">
        <v>43694</v>
      </c>
      <c r="L5453" s="41" t="s">
        <v>891</v>
      </c>
    </row>
    <row r="5454" spans="1:19" x14ac:dyDescent="0.25">
      <c r="A5454" s="41" t="s">
        <v>23</v>
      </c>
      <c r="B5454" s="41" t="s">
        <v>43695</v>
      </c>
      <c r="D5454" s="41" t="s">
        <v>43696</v>
      </c>
      <c r="F5454" s="41" t="s">
        <v>43697</v>
      </c>
      <c r="G5454" s="41" t="s">
        <v>43698</v>
      </c>
      <c r="H5454" s="41" t="s">
        <v>43699</v>
      </c>
      <c r="I5454" s="41" t="s">
        <v>43700</v>
      </c>
      <c r="J5454" s="41" t="s">
        <v>43701</v>
      </c>
      <c r="K5454" s="41" t="s">
        <v>43702</v>
      </c>
      <c r="L5454" s="41" t="s">
        <v>1076</v>
      </c>
    </row>
    <row r="5455" spans="1:19" x14ac:dyDescent="0.25">
      <c r="A5455" s="41" t="s">
        <v>23</v>
      </c>
      <c r="B5455" s="41" t="s">
        <v>43703</v>
      </c>
      <c r="D5455" s="41" t="s">
        <v>43704</v>
      </c>
      <c r="F5455" s="41" t="s">
        <v>43705</v>
      </c>
      <c r="G5455" s="41" t="s">
        <v>43706</v>
      </c>
      <c r="H5455" s="41" t="s">
        <v>43707</v>
      </c>
      <c r="I5455" s="41" t="s">
        <v>43708</v>
      </c>
      <c r="J5455" s="41" t="s">
        <v>43709</v>
      </c>
      <c r="K5455" s="41" t="s">
        <v>43710</v>
      </c>
      <c r="L5455" s="41" t="s">
        <v>1085</v>
      </c>
    </row>
    <row r="5456" spans="1:19" x14ac:dyDescent="0.25">
      <c r="A5456" s="41" t="s">
        <v>23</v>
      </c>
      <c r="B5456" s="41" t="s">
        <v>43711</v>
      </c>
      <c r="D5456" s="41" t="s">
        <v>43712</v>
      </c>
      <c r="F5456" s="41" t="s">
        <v>43713</v>
      </c>
      <c r="G5456" s="41" t="s">
        <v>43714</v>
      </c>
      <c r="H5456" s="41" t="s">
        <v>43715</v>
      </c>
      <c r="I5456" s="41" t="s">
        <v>43716</v>
      </c>
      <c r="J5456" s="41" t="s">
        <v>43717</v>
      </c>
      <c r="K5456" s="41" t="s">
        <v>43718</v>
      </c>
      <c r="L5456" s="41" t="s">
        <v>1094</v>
      </c>
    </row>
    <row r="5457" spans="1:19" x14ac:dyDescent="0.25">
      <c r="A5457" s="41" t="s">
        <v>908</v>
      </c>
      <c r="B5457" s="41" t="s">
        <v>43719</v>
      </c>
    </row>
    <row r="5458" spans="1:19" x14ac:dyDescent="0.25">
      <c r="A5458" s="41" t="s">
        <v>23</v>
      </c>
      <c r="B5458" s="41" t="s">
        <v>43720</v>
      </c>
      <c r="F5458" s="41" t="s">
        <v>43721</v>
      </c>
      <c r="G5458" s="41" t="s">
        <v>43722</v>
      </c>
      <c r="H5458" s="41" t="s">
        <v>43723</v>
      </c>
      <c r="I5458" s="41" t="s">
        <v>43724</v>
      </c>
      <c r="J5458" s="41" t="s">
        <v>43725</v>
      </c>
      <c r="L5458" s="41" t="s">
        <v>4</v>
      </c>
    </row>
    <row r="5459" spans="1:19" x14ac:dyDescent="0.25">
      <c r="A5459" s="41" t="s">
        <v>23</v>
      </c>
      <c r="B5459" s="41" t="s">
        <v>43726</v>
      </c>
      <c r="D5459" s="41" t="s">
        <v>43559</v>
      </c>
      <c r="E5459" s="41" t="s">
        <v>43728</v>
      </c>
      <c r="F5459" s="41" t="s">
        <v>43729</v>
      </c>
      <c r="G5459" s="41" t="s">
        <v>43730</v>
      </c>
      <c r="H5459" s="41" t="s">
        <v>43731</v>
      </c>
      <c r="I5459" s="41" t="s">
        <v>43732</v>
      </c>
      <c r="J5459" s="41" t="s">
        <v>43733</v>
      </c>
      <c r="K5459" s="41" t="s">
        <v>43734</v>
      </c>
      <c r="L5459" s="41" t="s">
        <v>43735</v>
      </c>
      <c r="M5459" s="41" t="s">
        <v>43736</v>
      </c>
      <c r="N5459" s="41" t="s">
        <v>43737</v>
      </c>
      <c r="O5459" s="41" t="s">
        <v>43738</v>
      </c>
      <c r="P5459" s="41" t="s">
        <v>43739</v>
      </c>
      <c r="Q5459" s="41" t="s">
        <v>43740</v>
      </c>
      <c r="R5459" s="41" t="s">
        <v>43741</v>
      </c>
      <c r="S5459" s="41" t="s">
        <v>43742</v>
      </c>
    </row>
    <row r="5460" spans="1:19" x14ac:dyDescent="0.25">
      <c r="A5460" s="41" t="s">
        <v>23</v>
      </c>
      <c r="B5460" s="41" t="s">
        <v>43743</v>
      </c>
      <c r="D5460" s="41" t="s">
        <v>43744</v>
      </c>
      <c r="F5460" s="41" t="s">
        <v>43745</v>
      </c>
      <c r="G5460" s="41" t="s">
        <v>43746</v>
      </c>
      <c r="H5460" s="41" t="s">
        <v>43747</v>
      </c>
      <c r="I5460" s="41" t="s">
        <v>43748</v>
      </c>
      <c r="J5460" s="41" t="s">
        <v>43749</v>
      </c>
      <c r="K5460" s="41" t="s">
        <v>43750</v>
      </c>
      <c r="L5460" s="41" t="s">
        <v>891</v>
      </c>
    </row>
    <row r="5461" spans="1:19" x14ac:dyDescent="0.25">
      <c r="A5461" s="41" t="s">
        <v>23</v>
      </c>
      <c r="B5461" s="41" t="s">
        <v>43751</v>
      </c>
      <c r="D5461" s="41" t="s">
        <v>43752</v>
      </c>
      <c r="F5461" s="41" t="s">
        <v>43753</v>
      </c>
      <c r="G5461" s="41" t="s">
        <v>43754</v>
      </c>
      <c r="H5461" s="41" t="s">
        <v>43755</v>
      </c>
      <c r="I5461" s="41" t="s">
        <v>43756</v>
      </c>
      <c r="J5461" s="41" t="s">
        <v>43757</v>
      </c>
      <c r="K5461" s="41" t="s">
        <v>43758</v>
      </c>
      <c r="L5461" s="41" t="s">
        <v>1076</v>
      </c>
    </row>
    <row r="5462" spans="1:19" x14ac:dyDescent="0.25">
      <c r="A5462" s="41" t="s">
        <v>23</v>
      </c>
      <c r="B5462" s="41" t="s">
        <v>43759</v>
      </c>
      <c r="D5462" s="41" t="s">
        <v>43760</v>
      </c>
      <c r="F5462" s="41" t="s">
        <v>43761</v>
      </c>
      <c r="G5462" s="41" t="s">
        <v>43762</v>
      </c>
      <c r="H5462" s="41" t="s">
        <v>43763</v>
      </c>
      <c r="I5462" s="41" t="s">
        <v>43764</v>
      </c>
      <c r="J5462" s="41" t="s">
        <v>43765</v>
      </c>
      <c r="K5462" s="41" t="s">
        <v>43766</v>
      </c>
      <c r="L5462" s="41" t="s">
        <v>1085</v>
      </c>
    </row>
    <row r="5463" spans="1:19" x14ac:dyDescent="0.25">
      <c r="A5463" s="41" t="s">
        <v>23</v>
      </c>
      <c r="B5463" s="41" t="s">
        <v>43767</v>
      </c>
      <c r="D5463" s="41" t="s">
        <v>43768</v>
      </c>
      <c r="F5463" s="41" t="s">
        <v>43769</v>
      </c>
      <c r="G5463" s="41" t="s">
        <v>43770</v>
      </c>
      <c r="H5463" s="41" t="s">
        <v>43771</v>
      </c>
      <c r="I5463" s="41" t="s">
        <v>43772</v>
      </c>
      <c r="J5463" s="41" t="s">
        <v>43773</v>
      </c>
      <c r="K5463" s="41" t="s">
        <v>43774</v>
      </c>
      <c r="L5463" s="41" t="s">
        <v>1094</v>
      </c>
    </row>
    <row r="5464" spans="1:19" x14ac:dyDescent="0.25">
      <c r="A5464" s="41" t="s">
        <v>908</v>
      </c>
      <c r="B5464" s="41" t="s">
        <v>43775</v>
      </c>
    </row>
    <row r="5465" spans="1:19" x14ac:dyDescent="0.25">
      <c r="A5465" s="41" t="s">
        <v>23</v>
      </c>
      <c r="B5465" s="41" t="s">
        <v>43776</v>
      </c>
      <c r="F5465" s="41" t="s">
        <v>43777</v>
      </c>
      <c r="G5465" s="41" t="s">
        <v>43778</v>
      </c>
      <c r="H5465" s="41" t="s">
        <v>43779</v>
      </c>
      <c r="I5465" s="41" t="s">
        <v>43780</v>
      </c>
      <c r="J5465" s="41" t="s">
        <v>43781</v>
      </c>
      <c r="L5465" s="41" t="s">
        <v>4</v>
      </c>
    </row>
    <row r="5466" spans="1:19" x14ac:dyDescent="0.25">
      <c r="A5466" s="41" t="s">
        <v>23</v>
      </c>
      <c r="B5466" s="41" t="s">
        <v>43782</v>
      </c>
      <c r="D5466" s="41" t="s">
        <v>43615</v>
      </c>
      <c r="E5466" s="41" t="s">
        <v>43783</v>
      </c>
      <c r="F5466" s="41" t="s">
        <v>43784</v>
      </c>
      <c r="G5466" s="41" t="s">
        <v>43785</v>
      </c>
      <c r="H5466" s="41" t="s">
        <v>43786</v>
      </c>
      <c r="I5466" s="41" t="s">
        <v>43787</v>
      </c>
      <c r="J5466" s="41" t="s">
        <v>43788</v>
      </c>
      <c r="K5466" s="41" t="s">
        <v>43789</v>
      </c>
      <c r="L5466" s="41" t="s">
        <v>43790</v>
      </c>
      <c r="M5466" s="41" t="s">
        <v>43791</v>
      </c>
      <c r="N5466" s="41" t="s">
        <v>43792</v>
      </c>
      <c r="O5466" s="41" t="s">
        <v>43793</v>
      </c>
      <c r="P5466" s="41" t="s">
        <v>43794</v>
      </c>
      <c r="Q5466" s="41" t="s">
        <v>43795</v>
      </c>
      <c r="R5466" s="41" t="s">
        <v>43796</v>
      </c>
      <c r="S5466" s="41" t="s">
        <v>43797</v>
      </c>
    </row>
    <row r="5467" spans="1:19" x14ac:dyDescent="0.25">
      <c r="A5467" s="41" t="s">
        <v>23</v>
      </c>
      <c r="B5467" s="41" t="s">
        <v>43798</v>
      </c>
      <c r="D5467" s="41" t="s">
        <v>43801</v>
      </c>
      <c r="F5467" s="41" t="s">
        <v>45285</v>
      </c>
      <c r="G5467" s="41" t="s">
        <v>45286</v>
      </c>
      <c r="H5467" s="41" t="s">
        <v>45287</v>
      </c>
      <c r="I5467" s="41" t="s">
        <v>45288</v>
      </c>
      <c r="J5467" s="41" t="s">
        <v>45289</v>
      </c>
      <c r="K5467" s="41" t="s">
        <v>43799</v>
      </c>
      <c r="L5467" s="41" t="s">
        <v>891</v>
      </c>
    </row>
    <row r="5468" spans="1:19" x14ac:dyDescent="0.25">
      <c r="A5468" s="41" t="s">
        <v>23</v>
      </c>
      <c r="B5468" s="41" t="s">
        <v>43800</v>
      </c>
      <c r="D5468" s="41" t="s">
        <v>43809</v>
      </c>
      <c r="F5468" s="41" t="s">
        <v>43802</v>
      </c>
      <c r="G5468" s="41" t="s">
        <v>43803</v>
      </c>
      <c r="H5468" s="41" t="s">
        <v>43804</v>
      </c>
      <c r="I5468" s="41" t="s">
        <v>43805</v>
      </c>
      <c r="J5468" s="41" t="s">
        <v>43806</v>
      </c>
      <c r="K5468" s="41" t="s">
        <v>43807</v>
      </c>
      <c r="L5468" s="41" t="s">
        <v>1076</v>
      </c>
    </row>
    <row r="5469" spans="1:19" x14ac:dyDescent="0.25">
      <c r="A5469" s="41" t="s">
        <v>23</v>
      </c>
      <c r="B5469" s="41" t="s">
        <v>43808</v>
      </c>
      <c r="D5469" s="41" t="s">
        <v>43817</v>
      </c>
      <c r="F5469" s="41" t="s">
        <v>43810</v>
      </c>
      <c r="G5469" s="41" t="s">
        <v>43811</v>
      </c>
      <c r="H5469" s="41" t="s">
        <v>43812</v>
      </c>
      <c r="I5469" s="41" t="s">
        <v>43813</v>
      </c>
      <c r="J5469" s="41" t="s">
        <v>43814</v>
      </c>
      <c r="K5469" s="41" t="s">
        <v>43815</v>
      </c>
      <c r="L5469" s="41" t="s">
        <v>1085</v>
      </c>
    </row>
    <row r="5470" spans="1:19" x14ac:dyDescent="0.25">
      <c r="A5470" s="41" t="s">
        <v>23</v>
      </c>
      <c r="B5470" s="41" t="s">
        <v>43816</v>
      </c>
      <c r="D5470" s="41" t="s">
        <v>43824</v>
      </c>
      <c r="F5470" s="41" t="s">
        <v>43818</v>
      </c>
      <c r="G5470" s="41" t="s">
        <v>43819</v>
      </c>
      <c r="H5470" s="41" t="s">
        <v>43820</v>
      </c>
      <c r="I5470" s="41" t="s">
        <v>43821</v>
      </c>
      <c r="J5470" s="41" t="s">
        <v>43822</v>
      </c>
      <c r="K5470" s="41" t="s">
        <v>43823</v>
      </c>
      <c r="L5470" s="41" t="s">
        <v>1094</v>
      </c>
    </row>
    <row r="5471" spans="1:19" x14ac:dyDescent="0.25">
      <c r="A5471" s="41" t="s">
        <v>908</v>
      </c>
      <c r="B5471" s="41" t="s">
        <v>45290</v>
      </c>
    </row>
    <row r="5472" spans="1:19" x14ac:dyDescent="0.25">
      <c r="A5472" s="41" t="s">
        <v>23</v>
      </c>
      <c r="B5472" s="41" t="s">
        <v>45291</v>
      </c>
      <c r="F5472" s="41" t="s">
        <v>45292</v>
      </c>
      <c r="G5472" s="41" t="s">
        <v>45293</v>
      </c>
      <c r="H5472" s="41" t="s">
        <v>45294</v>
      </c>
      <c r="I5472" s="41" t="s">
        <v>45295</v>
      </c>
      <c r="J5472" s="41" t="s">
        <v>45296</v>
      </c>
      <c r="L5472" s="41" t="s">
        <v>4</v>
      </c>
    </row>
    <row r="5473" spans="1:19" x14ac:dyDescent="0.25">
      <c r="A5473" s="41" t="s">
        <v>23</v>
      </c>
      <c r="B5473" s="41" t="s">
        <v>45297</v>
      </c>
      <c r="D5473" s="41" t="s">
        <v>43671</v>
      </c>
      <c r="E5473" s="41" t="s">
        <v>45298</v>
      </c>
      <c r="F5473" s="41" t="s">
        <v>45299</v>
      </c>
      <c r="G5473" s="41" t="s">
        <v>45300</v>
      </c>
      <c r="H5473" s="41" t="s">
        <v>45301</v>
      </c>
      <c r="I5473" s="41" t="s">
        <v>45302</v>
      </c>
      <c r="J5473" s="41" t="s">
        <v>45303</v>
      </c>
      <c r="K5473" s="41" t="s">
        <v>45304</v>
      </c>
      <c r="L5473" s="41" t="s">
        <v>45305</v>
      </c>
      <c r="M5473" s="41" t="s">
        <v>45306</v>
      </c>
      <c r="N5473" s="41" t="s">
        <v>45307</v>
      </c>
      <c r="O5473" s="41" t="s">
        <v>45308</v>
      </c>
      <c r="P5473" s="41" t="s">
        <v>45309</v>
      </c>
      <c r="Q5473" s="41" t="s">
        <v>45310</v>
      </c>
      <c r="R5473" s="41" t="s">
        <v>45311</v>
      </c>
      <c r="S5473" s="41" t="s">
        <v>45312</v>
      </c>
    </row>
    <row r="5474" spans="1:19" x14ac:dyDescent="0.25">
      <c r="A5474" s="41" t="s">
        <v>23</v>
      </c>
      <c r="B5474" s="41" t="s">
        <v>43825</v>
      </c>
      <c r="D5474" s="41" t="s">
        <v>43671</v>
      </c>
      <c r="E5474" s="41" t="s">
        <v>1518</v>
      </c>
      <c r="F5474" s="41" t="s">
        <v>43827</v>
      </c>
      <c r="G5474" s="41" t="s">
        <v>43828</v>
      </c>
      <c r="H5474" s="41" t="s">
        <v>43829</v>
      </c>
      <c r="I5474" s="41" t="s">
        <v>43830</v>
      </c>
      <c r="J5474" s="41" t="s">
        <v>43831</v>
      </c>
      <c r="K5474" s="41" t="s">
        <v>43832</v>
      </c>
      <c r="L5474" s="41" t="s">
        <v>43833</v>
      </c>
      <c r="M5474" s="41" t="s">
        <v>43834</v>
      </c>
      <c r="N5474" s="41" t="s">
        <v>43835</v>
      </c>
      <c r="O5474" s="41" t="s">
        <v>43836</v>
      </c>
      <c r="P5474" s="41" t="s">
        <v>43837</v>
      </c>
      <c r="Q5474" s="41" t="s">
        <v>43838</v>
      </c>
      <c r="R5474" s="41" t="s">
        <v>43839</v>
      </c>
      <c r="S5474" s="41" t="s">
        <v>43840</v>
      </c>
    </row>
    <row r="5475" spans="1:19" x14ac:dyDescent="0.25">
      <c r="A5475" s="41" t="s">
        <v>23</v>
      </c>
      <c r="B5475" s="41" t="s">
        <v>43841</v>
      </c>
      <c r="D5475" s="41" t="s">
        <v>45313</v>
      </c>
      <c r="F5475" s="41" t="s">
        <v>43843</v>
      </c>
      <c r="G5475" s="41" t="s">
        <v>43844</v>
      </c>
      <c r="H5475" s="41" t="s">
        <v>43845</v>
      </c>
      <c r="I5475" s="41" t="s">
        <v>43846</v>
      </c>
      <c r="J5475" s="41" t="s">
        <v>43847</v>
      </c>
      <c r="K5475" s="41" t="s">
        <v>43848</v>
      </c>
      <c r="L5475" s="41" t="s">
        <v>891</v>
      </c>
    </row>
    <row r="5476" spans="1:19" x14ac:dyDescent="0.25">
      <c r="A5476" s="41" t="s">
        <v>23</v>
      </c>
      <c r="B5476" s="41" t="s">
        <v>43849</v>
      </c>
      <c r="D5476" s="41" t="s">
        <v>43842</v>
      </c>
      <c r="F5476" s="41" t="s">
        <v>43851</v>
      </c>
      <c r="G5476" s="41" t="s">
        <v>43852</v>
      </c>
      <c r="H5476" s="41" t="s">
        <v>43853</v>
      </c>
      <c r="I5476" s="41" t="s">
        <v>43854</v>
      </c>
      <c r="J5476" s="41" t="s">
        <v>43855</v>
      </c>
      <c r="K5476" s="41" t="s">
        <v>43856</v>
      </c>
      <c r="L5476" s="41" t="s">
        <v>1076</v>
      </c>
    </row>
    <row r="5477" spans="1:19" x14ac:dyDescent="0.25">
      <c r="A5477" s="41" t="s">
        <v>23</v>
      </c>
      <c r="B5477" s="41" t="s">
        <v>43857</v>
      </c>
      <c r="D5477" s="41" t="s">
        <v>43850</v>
      </c>
      <c r="F5477" s="41" t="s">
        <v>43859</v>
      </c>
      <c r="G5477" s="41" t="s">
        <v>43860</v>
      </c>
      <c r="H5477" s="41" t="s">
        <v>43861</v>
      </c>
      <c r="I5477" s="41" t="s">
        <v>43862</v>
      </c>
      <c r="J5477" s="41" t="s">
        <v>43863</v>
      </c>
      <c r="K5477" s="41" t="s">
        <v>43864</v>
      </c>
      <c r="L5477" s="41" t="s">
        <v>1085</v>
      </c>
    </row>
    <row r="5478" spans="1:19" x14ac:dyDescent="0.25">
      <c r="A5478" s="41" t="s">
        <v>23</v>
      </c>
      <c r="B5478" s="41" t="s">
        <v>43865</v>
      </c>
      <c r="D5478" s="41" t="s">
        <v>43858</v>
      </c>
      <c r="F5478" s="41" t="s">
        <v>43866</v>
      </c>
      <c r="G5478" s="41" t="s">
        <v>43867</v>
      </c>
      <c r="H5478" s="41" t="s">
        <v>43868</v>
      </c>
      <c r="I5478" s="41" t="s">
        <v>43869</v>
      </c>
      <c r="J5478" s="41" t="s">
        <v>43870</v>
      </c>
      <c r="K5478" s="41" t="s">
        <v>43871</v>
      </c>
      <c r="L5478" s="41" t="s">
        <v>1094</v>
      </c>
    </row>
    <row r="5479" spans="1:19" x14ac:dyDescent="0.25">
      <c r="A5479" s="41" t="s">
        <v>908</v>
      </c>
      <c r="B5479" s="41" t="s">
        <v>43872</v>
      </c>
    </row>
    <row r="5480" spans="1:19" x14ac:dyDescent="0.25">
      <c r="A5480" s="41" t="s">
        <v>23</v>
      </c>
      <c r="B5480" s="41" t="s">
        <v>43873</v>
      </c>
      <c r="F5480" s="41" t="s">
        <v>43874</v>
      </c>
      <c r="G5480" s="41" t="s">
        <v>43875</v>
      </c>
      <c r="H5480" s="41" t="s">
        <v>43876</v>
      </c>
      <c r="I5480" s="41" t="s">
        <v>43877</v>
      </c>
      <c r="J5480" s="41" t="s">
        <v>43878</v>
      </c>
      <c r="L5480" s="41" t="s">
        <v>4</v>
      </c>
    </row>
    <row r="5481" spans="1:19" x14ac:dyDescent="0.25">
      <c r="A5481" s="41" t="s">
        <v>23</v>
      </c>
      <c r="B5481" s="41" t="s">
        <v>43879</v>
      </c>
      <c r="D5481" s="41" t="s">
        <v>43727</v>
      </c>
      <c r="E5481" s="41" t="s">
        <v>43881</v>
      </c>
      <c r="F5481" s="41" t="s">
        <v>43882</v>
      </c>
      <c r="G5481" s="41" t="s">
        <v>43883</v>
      </c>
      <c r="H5481" s="41" t="s">
        <v>43884</v>
      </c>
      <c r="I5481" s="41" t="s">
        <v>43885</v>
      </c>
      <c r="J5481" s="41" t="s">
        <v>43886</v>
      </c>
      <c r="K5481" s="41" t="s">
        <v>43887</v>
      </c>
      <c r="L5481" s="41" t="s">
        <v>43888</v>
      </c>
      <c r="M5481" s="41" t="s">
        <v>43889</v>
      </c>
      <c r="N5481" s="41" t="s">
        <v>43890</v>
      </c>
      <c r="O5481" s="41" t="s">
        <v>43891</v>
      </c>
      <c r="P5481" s="41" t="s">
        <v>43892</v>
      </c>
      <c r="Q5481" s="41" t="s">
        <v>43893</v>
      </c>
      <c r="R5481" s="41" t="s">
        <v>43894</v>
      </c>
      <c r="S5481" s="41" t="s">
        <v>43895</v>
      </c>
    </row>
    <row r="5482" spans="1:19" x14ac:dyDescent="0.25">
      <c r="A5482" s="41" t="s">
        <v>23</v>
      </c>
      <c r="B5482" s="41" t="s">
        <v>43896</v>
      </c>
      <c r="D5482" s="41" t="s">
        <v>43897</v>
      </c>
      <c r="F5482" s="41" t="s">
        <v>43898</v>
      </c>
      <c r="G5482" s="41" t="s">
        <v>43899</v>
      </c>
      <c r="H5482" s="41" t="s">
        <v>43900</v>
      </c>
      <c r="I5482" s="41" t="s">
        <v>43901</v>
      </c>
      <c r="J5482" s="41" t="s">
        <v>43902</v>
      </c>
      <c r="K5482" s="41" t="s">
        <v>43903</v>
      </c>
      <c r="L5482" s="41" t="s">
        <v>891</v>
      </c>
    </row>
    <row r="5483" spans="1:19" x14ac:dyDescent="0.25">
      <c r="A5483" s="41" t="s">
        <v>23</v>
      </c>
      <c r="B5483" s="41" t="s">
        <v>43904</v>
      </c>
      <c r="D5483" s="41" t="s">
        <v>43905</v>
      </c>
      <c r="F5483" s="41" t="s">
        <v>43906</v>
      </c>
      <c r="G5483" s="41" t="s">
        <v>43907</v>
      </c>
      <c r="H5483" s="41" t="s">
        <v>43908</v>
      </c>
      <c r="I5483" s="41" t="s">
        <v>43909</v>
      </c>
      <c r="J5483" s="41" t="s">
        <v>43910</v>
      </c>
      <c r="K5483" s="41" t="s">
        <v>43911</v>
      </c>
      <c r="L5483" s="41" t="s">
        <v>1076</v>
      </c>
    </row>
    <row r="5484" spans="1:19" x14ac:dyDescent="0.25">
      <c r="A5484" s="41" t="s">
        <v>23</v>
      </c>
      <c r="B5484" s="41" t="s">
        <v>43912</v>
      </c>
      <c r="D5484" s="41" t="s">
        <v>43913</v>
      </c>
      <c r="F5484" s="41" t="s">
        <v>43914</v>
      </c>
      <c r="G5484" s="41" t="s">
        <v>43915</v>
      </c>
      <c r="H5484" s="41" t="s">
        <v>43916</v>
      </c>
      <c r="I5484" s="41" t="s">
        <v>43917</v>
      </c>
      <c r="J5484" s="41" t="s">
        <v>43918</v>
      </c>
      <c r="K5484" s="41" t="s">
        <v>43919</v>
      </c>
      <c r="L5484" s="41" t="s">
        <v>1085</v>
      </c>
    </row>
    <row r="5485" spans="1:19" x14ac:dyDescent="0.25">
      <c r="A5485" s="41" t="s">
        <v>23</v>
      </c>
      <c r="B5485" s="41" t="s">
        <v>43920</v>
      </c>
      <c r="D5485" s="41" t="s">
        <v>43921</v>
      </c>
      <c r="F5485" s="41" t="s">
        <v>43922</v>
      </c>
      <c r="G5485" s="41" t="s">
        <v>43923</v>
      </c>
      <c r="H5485" s="41" t="s">
        <v>43924</v>
      </c>
      <c r="I5485" s="41" t="s">
        <v>43925</v>
      </c>
      <c r="J5485" s="41" t="s">
        <v>43926</v>
      </c>
      <c r="K5485" s="41" t="s">
        <v>43927</v>
      </c>
      <c r="L5485" s="41" t="s">
        <v>1094</v>
      </c>
    </row>
    <row r="5486" spans="1:19" x14ac:dyDescent="0.25">
      <c r="A5486" s="41" t="s">
        <v>908</v>
      </c>
      <c r="B5486" s="41" t="s">
        <v>43928</v>
      </c>
    </row>
    <row r="5487" spans="1:19" x14ac:dyDescent="0.25">
      <c r="A5487" s="41" t="s">
        <v>23</v>
      </c>
      <c r="B5487" s="41" t="s">
        <v>43929</v>
      </c>
      <c r="F5487" s="41" t="s">
        <v>43930</v>
      </c>
      <c r="G5487" s="41" t="s">
        <v>43931</v>
      </c>
      <c r="H5487" s="41" t="s">
        <v>43932</v>
      </c>
      <c r="I5487" s="41" t="s">
        <v>43933</v>
      </c>
      <c r="J5487" s="41" t="s">
        <v>43934</v>
      </c>
      <c r="L5487" s="41" t="s">
        <v>4</v>
      </c>
    </row>
    <row r="5488" spans="1:19" x14ac:dyDescent="0.25">
      <c r="A5488" s="41" t="s">
        <v>23</v>
      </c>
      <c r="B5488" s="41" t="s">
        <v>43935</v>
      </c>
      <c r="D5488" s="41" t="s">
        <v>867</v>
      </c>
      <c r="E5488" s="41" t="s">
        <v>43937</v>
      </c>
      <c r="F5488" s="41" t="s">
        <v>43938</v>
      </c>
      <c r="G5488" s="41" t="s">
        <v>43939</v>
      </c>
      <c r="H5488" s="41" t="s">
        <v>43940</v>
      </c>
      <c r="I5488" s="41" t="s">
        <v>43941</v>
      </c>
      <c r="J5488" s="41" t="s">
        <v>43942</v>
      </c>
      <c r="K5488" s="41" t="s">
        <v>43943</v>
      </c>
      <c r="L5488" s="41" t="s">
        <v>43944</v>
      </c>
      <c r="M5488" s="41" t="s">
        <v>43945</v>
      </c>
      <c r="N5488" s="41" t="s">
        <v>43946</v>
      </c>
      <c r="O5488" s="41" t="s">
        <v>43947</v>
      </c>
      <c r="P5488" s="41" t="s">
        <v>43948</v>
      </c>
      <c r="Q5488" s="41" t="s">
        <v>43949</v>
      </c>
      <c r="R5488" s="41" t="s">
        <v>43950</v>
      </c>
      <c r="S5488" s="41" t="s">
        <v>43951</v>
      </c>
    </row>
    <row r="5489" spans="1:19" x14ac:dyDescent="0.25">
      <c r="A5489" s="41" t="s">
        <v>23</v>
      </c>
      <c r="B5489" s="41" t="s">
        <v>43952</v>
      </c>
      <c r="D5489" s="41" t="s">
        <v>867</v>
      </c>
      <c r="E5489" s="41" t="s">
        <v>177</v>
      </c>
      <c r="F5489" s="41" t="s">
        <v>45314</v>
      </c>
      <c r="G5489" s="41" t="s">
        <v>45315</v>
      </c>
      <c r="H5489" s="41" t="s">
        <v>45316</v>
      </c>
      <c r="I5489" s="41" t="s">
        <v>45317</v>
      </c>
      <c r="J5489" s="41" t="s">
        <v>45318</v>
      </c>
      <c r="K5489" s="41" t="s">
        <v>43954</v>
      </c>
      <c r="L5489" s="41" t="s">
        <v>45319</v>
      </c>
      <c r="M5489" s="41" t="s">
        <v>45320</v>
      </c>
      <c r="N5489" s="41" t="s">
        <v>45321</v>
      </c>
      <c r="O5489" s="41" t="s">
        <v>45322</v>
      </c>
      <c r="P5489" s="41" t="s">
        <v>45323</v>
      </c>
      <c r="Q5489" s="41" t="s">
        <v>45324</v>
      </c>
      <c r="R5489" s="41" t="s">
        <v>45325</v>
      </c>
      <c r="S5489" s="41" t="s">
        <v>45326</v>
      </c>
    </row>
    <row r="5490" spans="1:19" x14ac:dyDescent="0.25">
      <c r="A5490" s="41" t="s">
        <v>23</v>
      </c>
      <c r="B5490" s="41" t="s">
        <v>43955</v>
      </c>
      <c r="D5490" s="41" t="s">
        <v>43953</v>
      </c>
      <c r="F5490" s="41" t="s">
        <v>43957</v>
      </c>
      <c r="G5490" s="41" t="s">
        <v>43958</v>
      </c>
      <c r="H5490" s="41" t="s">
        <v>43959</v>
      </c>
      <c r="I5490" s="41" t="s">
        <v>43960</v>
      </c>
      <c r="J5490" s="41" t="s">
        <v>43961</v>
      </c>
      <c r="K5490" s="41" t="s">
        <v>43962</v>
      </c>
      <c r="L5490" s="41" t="s">
        <v>891</v>
      </c>
    </row>
    <row r="5491" spans="1:19" x14ac:dyDescent="0.25">
      <c r="A5491" s="41" t="s">
        <v>23</v>
      </c>
      <c r="B5491" s="41" t="s">
        <v>43963</v>
      </c>
      <c r="D5491" s="41" t="s">
        <v>43956</v>
      </c>
      <c r="F5491" s="41" t="s">
        <v>43965</v>
      </c>
      <c r="G5491" s="41" t="s">
        <v>43966</v>
      </c>
      <c r="H5491" s="41" t="s">
        <v>43967</v>
      </c>
      <c r="I5491" s="41" t="s">
        <v>43968</v>
      </c>
      <c r="J5491" s="41" t="s">
        <v>43969</v>
      </c>
      <c r="K5491" s="41" t="s">
        <v>43970</v>
      </c>
      <c r="L5491" s="41" t="s">
        <v>1076</v>
      </c>
    </row>
    <row r="5492" spans="1:19" x14ac:dyDescent="0.25">
      <c r="A5492" s="41" t="s">
        <v>23</v>
      </c>
      <c r="B5492" s="41" t="s">
        <v>43971</v>
      </c>
      <c r="D5492" s="41" t="s">
        <v>43964</v>
      </c>
      <c r="F5492" s="41" t="s">
        <v>43973</v>
      </c>
      <c r="G5492" s="41" t="s">
        <v>43974</v>
      </c>
      <c r="H5492" s="41" t="s">
        <v>43975</v>
      </c>
      <c r="I5492" s="41" t="s">
        <v>43976</v>
      </c>
      <c r="J5492" s="41" t="s">
        <v>43977</v>
      </c>
      <c r="K5492" s="41" t="s">
        <v>43978</v>
      </c>
      <c r="L5492" s="41" t="s">
        <v>1085</v>
      </c>
    </row>
    <row r="5493" spans="1:19" x14ac:dyDescent="0.25">
      <c r="A5493" s="41" t="s">
        <v>23</v>
      </c>
      <c r="B5493" s="41" t="s">
        <v>45327</v>
      </c>
      <c r="D5493" s="41" t="s">
        <v>43972</v>
      </c>
      <c r="F5493" s="41" t="s">
        <v>45328</v>
      </c>
      <c r="G5493" s="41" t="s">
        <v>45329</v>
      </c>
      <c r="H5493" s="41" t="s">
        <v>45330</v>
      </c>
      <c r="I5493" s="41" t="s">
        <v>45331</v>
      </c>
      <c r="J5493" s="41" t="s">
        <v>45332</v>
      </c>
      <c r="K5493" s="41" t="s">
        <v>45333</v>
      </c>
      <c r="L5493" s="41" t="s">
        <v>1094</v>
      </c>
    </row>
    <row r="5494" spans="1:19" x14ac:dyDescent="0.25">
      <c r="A5494" s="41" t="s">
        <v>908</v>
      </c>
      <c r="B5494" s="41" t="s">
        <v>45334</v>
      </c>
    </row>
    <row r="5495" spans="1:19" x14ac:dyDescent="0.25">
      <c r="A5495" s="41" t="s">
        <v>23</v>
      </c>
      <c r="B5495" s="41" t="s">
        <v>45335</v>
      </c>
      <c r="F5495" s="41" t="s">
        <v>45336</v>
      </c>
      <c r="G5495" s="41" t="s">
        <v>45337</v>
      </c>
      <c r="H5495" s="41" t="s">
        <v>45338</v>
      </c>
      <c r="I5495" s="41" t="s">
        <v>45339</v>
      </c>
      <c r="J5495" s="41" t="s">
        <v>45340</v>
      </c>
      <c r="L5495" s="41" t="s">
        <v>4</v>
      </c>
    </row>
    <row r="5496" spans="1:19" x14ac:dyDescent="0.25">
      <c r="A5496" s="41" t="s">
        <v>23</v>
      </c>
      <c r="B5496" s="41" t="s">
        <v>43980</v>
      </c>
      <c r="D5496" s="41" t="s">
        <v>43826</v>
      </c>
      <c r="E5496" s="41" t="s">
        <v>45341</v>
      </c>
      <c r="F5496" s="41" t="s">
        <v>45342</v>
      </c>
      <c r="G5496" s="41" t="s">
        <v>45343</v>
      </c>
      <c r="H5496" s="41" t="s">
        <v>45344</v>
      </c>
      <c r="I5496" s="41" t="s">
        <v>45345</v>
      </c>
      <c r="J5496" s="41" t="s">
        <v>45346</v>
      </c>
      <c r="K5496" s="41" t="s">
        <v>43981</v>
      </c>
      <c r="L5496" s="41" t="s">
        <v>45347</v>
      </c>
      <c r="M5496" s="41" t="s">
        <v>45348</v>
      </c>
      <c r="N5496" s="41" t="s">
        <v>45349</v>
      </c>
      <c r="O5496" s="41" t="s">
        <v>45350</v>
      </c>
      <c r="P5496" s="41" t="s">
        <v>45351</v>
      </c>
      <c r="Q5496" s="41" t="s">
        <v>45352</v>
      </c>
      <c r="R5496" s="41" t="s">
        <v>45353</v>
      </c>
      <c r="S5496" s="41" t="s">
        <v>45354</v>
      </c>
    </row>
    <row r="5497" spans="1:19" x14ac:dyDescent="0.25">
      <c r="A5497" s="41" t="s">
        <v>23</v>
      </c>
      <c r="B5497" s="41" t="s">
        <v>43982</v>
      </c>
      <c r="D5497" s="41" t="s">
        <v>43983</v>
      </c>
      <c r="F5497" s="41" t="s">
        <v>43984</v>
      </c>
      <c r="G5497" s="41" t="s">
        <v>43985</v>
      </c>
      <c r="H5497" s="41" t="s">
        <v>43986</v>
      </c>
      <c r="I5497" s="41" t="s">
        <v>43987</v>
      </c>
      <c r="J5497" s="41" t="s">
        <v>43988</v>
      </c>
      <c r="K5497" s="41" t="s">
        <v>43989</v>
      </c>
      <c r="L5497" s="41" t="s">
        <v>891</v>
      </c>
    </row>
    <row r="5498" spans="1:19" x14ac:dyDescent="0.25">
      <c r="A5498" s="41" t="s">
        <v>23</v>
      </c>
      <c r="B5498" s="41" t="s">
        <v>43990</v>
      </c>
      <c r="D5498" s="41" t="s">
        <v>43991</v>
      </c>
      <c r="F5498" s="41" t="s">
        <v>43992</v>
      </c>
      <c r="G5498" s="41" t="s">
        <v>43993</v>
      </c>
      <c r="H5498" s="41" t="s">
        <v>43994</v>
      </c>
      <c r="I5498" s="41" t="s">
        <v>43995</v>
      </c>
      <c r="J5498" s="41" t="s">
        <v>43996</v>
      </c>
      <c r="K5498" s="41" t="s">
        <v>43997</v>
      </c>
      <c r="L5498" s="41" t="s">
        <v>1076</v>
      </c>
    </row>
    <row r="5499" spans="1:19" x14ac:dyDescent="0.25">
      <c r="A5499" s="41" t="s">
        <v>23</v>
      </c>
      <c r="B5499" s="41" t="s">
        <v>43998</v>
      </c>
      <c r="D5499" s="41" t="s">
        <v>43999</v>
      </c>
      <c r="F5499" s="41" t="s">
        <v>44000</v>
      </c>
      <c r="G5499" s="41" t="s">
        <v>44001</v>
      </c>
      <c r="H5499" s="41" t="s">
        <v>44002</v>
      </c>
      <c r="I5499" s="41" t="s">
        <v>44003</v>
      </c>
      <c r="J5499" s="41" t="s">
        <v>44004</v>
      </c>
      <c r="K5499" s="41" t="s">
        <v>44005</v>
      </c>
      <c r="L5499" s="41" t="s">
        <v>1085</v>
      </c>
    </row>
    <row r="5500" spans="1:19" x14ac:dyDescent="0.25">
      <c r="A5500" s="41" t="s">
        <v>23</v>
      </c>
      <c r="B5500" s="41" t="s">
        <v>45355</v>
      </c>
      <c r="D5500" s="41" t="s">
        <v>45356</v>
      </c>
      <c r="F5500" s="41" t="s">
        <v>45357</v>
      </c>
      <c r="G5500" s="41" t="s">
        <v>45358</v>
      </c>
      <c r="H5500" s="41" t="s">
        <v>45359</v>
      </c>
      <c r="I5500" s="41" t="s">
        <v>45360</v>
      </c>
      <c r="J5500" s="41" t="s">
        <v>45361</v>
      </c>
      <c r="K5500" s="41" t="s">
        <v>45362</v>
      </c>
      <c r="L5500" s="41" t="s">
        <v>1094</v>
      </c>
    </row>
    <row r="5501" spans="1:19" x14ac:dyDescent="0.25">
      <c r="A5501" s="41" t="s">
        <v>908</v>
      </c>
      <c r="B5501" s="41" t="s">
        <v>45363</v>
      </c>
    </row>
    <row r="5502" spans="1:19" x14ac:dyDescent="0.25">
      <c r="A5502" s="41" t="s">
        <v>23</v>
      </c>
      <c r="B5502" s="41" t="s">
        <v>45364</v>
      </c>
      <c r="F5502" s="41" t="s">
        <v>45365</v>
      </c>
      <c r="G5502" s="41" t="s">
        <v>45366</v>
      </c>
      <c r="H5502" s="41" t="s">
        <v>45367</v>
      </c>
      <c r="I5502" s="41" t="s">
        <v>45368</v>
      </c>
      <c r="J5502" s="41" t="s">
        <v>45369</v>
      </c>
      <c r="L5502" s="41" t="s">
        <v>4</v>
      </c>
    </row>
    <row r="5503" spans="1:19" x14ac:dyDescent="0.25">
      <c r="A5503" s="41" t="s">
        <v>23</v>
      </c>
      <c r="B5503" s="41" t="s">
        <v>44007</v>
      </c>
      <c r="D5503" s="41" t="s">
        <v>43880</v>
      </c>
      <c r="E5503" s="41" t="s">
        <v>45370</v>
      </c>
      <c r="F5503" s="41" t="s">
        <v>45371</v>
      </c>
      <c r="G5503" s="41" t="s">
        <v>45372</v>
      </c>
      <c r="H5503" s="41" t="s">
        <v>45373</v>
      </c>
      <c r="I5503" s="41" t="s">
        <v>45374</v>
      </c>
      <c r="J5503" s="41" t="s">
        <v>45375</v>
      </c>
      <c r="K5503" s="41" t="s">
        <v>44008</v>
      </c>
      <c r="L5503" s="41" t="s">
        <v>45376</v>
      </c>
      <c r="M5503" s="41" t="s">
        <v>45377</v>
      </c>
      <c r="N5503" s="41" t="s">
        <v>45378</v>
      </c>
      <c r="O5503" s="41" t="s">
        <v>45379</v>
      </c>
      <c r="P5503" s="41" t="s">
        <v>45380</v>
      </c>
      <c r="Q5503" s="41" t="s">
        <v>45381</v>
      </c>
      <c r="R5503" s="41" t="s">
        <v>45382</v>
      </c>
      <c r="S5503" s="41" t="s">
        <v>45383</v>
      </c>
    </row>
    <row r="5504" spans="1:19" x14ac:dyDescent="0.25">
      <c r="A5504" s="41" t="s">
        <v>23</v>
      </c>
      <c r="B5504" s="41" t="s">
        <v>44009</v>
      </c>
      <c r="D5504" s="41" t="s">
        <v>44010</v>
      </c>
      <c r="F5504" s="41" t="s">
        <v>44011</v>
      </c>
      <c r="G5504" s="41" t="s">
        <v>44012</v>
      </c>
      <c r="H5504" s="41" t="s">
        <v>44013</v>
      </c>
      <c r="I5504" s="41" t="s">
        <v>44014</v>
      </c>
      <c r="J5504" s="41" t="s">
        <v>44015</v>
      </c>
      <c r="K5504" s="41" t="s">
        <v>44016</v>
      </c>
      <c r="L5504" s="41" t="s">
        <v>891</v>
      </c>
    </row>
    <row r="5505" spans="1:19" x14ac:dyDescent="0.25">
      <c r="A5505" s="41" t="s">
        <v>23</v>
      </c>
      <c r="B5505" s="41" t="s">
        <v>44017</v>
      </c>
      <c r="D5505" s="41" t="s">
        <v>44018</v>
      </c>
      <c r="F5505" s="41" t="s">
        <v>44019</v>
      </c>
      <c r="G5505" s="41" t="s">
        <v>44020</v>
      </c>
      <c r="H5505" s="41" t="s">
        <v>44021</v>
      </c>
      <c r="I5505" s="41" t="s">
        <v>44022</v>
      </c>
      <c r="J5505" s="41" t="s">
        <v>44023</v>
      </c>
      <c r="K5505" s="41" t="s">
        <v>44024</v>
      </c>
      <c r="L5505" s="41" t="s">
        <v>1076</v>
      </c>
    </row>
    <row r="5506" spans="1:19" x14ac:dyDescent="0.25">
      <c r="A5506" s="41" t="s">
        <v>23</v>
      </c>
      <c r="B5506" s="41" t="s">
        <v>44025</v>
      </c>
      <c r="D5506" s="41" t="s">
        <v>44026</v>
      </c>
      <c r="F5506" s="41" t="s">
        <v>44027</v>
      </c>
      <c r="G5506" s="41" t="s">
        <v>44028</v>
      </c>
      <c r="H5506" s="41" t="s">
        <v>44029</v>
      </c>
      <c r="I5506" s="41" t="s">
        <v>44030</v>
      </c>
      <c r="J5506" s="41" t="s">
        <v>44031</v>
      </c>
      <c r="K5506" s="41" t="s">
        <v>44032</v>
      </c>
      <c r="L5506" s="41" t="s">
        <v>1085</v>
      </c>
    </row>
    <row r="5507" spans="1:19" x14ac:dyDescent="0.25">
      <c r="A5507" s="41" t="s">
        <v>23</v>
      </c>
      <c r="B5507" s="41" t="s">
        <v>45384</v>
      </c>
      <c r="D5507" s="41" t="s">
        <v>45385</v>
      </c>
      <c r="F5507" s="41" t="s">
        <v>45386</v>
      </c>
      <c r="G5507" s="41" t="s">
        <v>45387</v>
      </c>
      <c r="H5507" s="41" t="s">
        <v>45388</v>
      </c>
      <c r="I5507" s="41" t="s">
        <v>45389</v>
      </c>
      <c r="J5507" s="41" t="s">
        <v>45390</v>
      </c>
      <c r="K5507" s="41" t="s">
        <v>45391</v>
      </c>
      <c r="L5507" s="41" t="s">
        <v>1094</v>
      </c>
    </row>
    <row r="5508" spans="1:19" x14ac:dyDescent="0.25">
      <c r="A5508" s="41" t="s">
        <v>908</v>
      </c>
      <c r="B5508" s="41" t="s">
        <v>45392</v>
      </c>
    </row>
    <row r="5509" spans="1:19" x14ac:dyDescent="0.25">
      <c r="A5509" s="41" t="s">
        <v>23</v>
      </c>
      <c r="B5509" s="41" t="s">
        <v>45393</v>
      </c>
      <c r="F5509" s="41" t="s">
        <v>45394</v>
      </c>
      <c r="G5509" s="41" t="s">
        <v>45395</v>
      </c>
      <c r="H5509" s="41" t="s">
        <v>45396</v>
      </c>
      <c r="I5509" s="41" t="s">
        <v>45397</v>
      </c>
      <c r="J5509" s="41" t="s">
        <v>45398</v>
      </c>
      <c r="L5509" s="41" t="s">
        <v>4</v>
      </c>
    </row>
    <row r="5510" spans="1:19" x14ac:dyDescent="0.25">
      <c r="A5510" s="41" t="s">
        <v>23</v>
      </c>
      <c r="B5510" s="41" t="s">
        <v>44034</v>
      </c>
      <c r="D5510" s="41" t="s">
        <v>43936</v>
      </c>
      <c r="E5510" s="41" t="s">
        <v>45399</v>
      </c>
      <c r="F5510" s="41" t="s">
        <v>45400</v>
      </c>
      <c r="G5510" s="41" t="s">
        <v>45401</v>
      </c>
      <c r="H5510" s="41" t="s">
        <v>45402</v>
      </c>
      <c r="I5510" s="41" t="s">
        <v>45403</v>
      </c>
      <c r="J5510" s="41" t="s">
        <v>45404</v>
      </c>
      <c r="K5510" s="41" t="s">
        <v>44035</v>
      </c>
      <c r="L5510" s="41" t="s">
        <v>45405</v>
      </c>
      <c r="M5510" s="41" t="s">
        <v>45406</v>
      </c>
      <c r="N5510" s="41" t="s">
        <v>45407</v>
      </c>
      <c r="O5510" s="41" t="s">
        <v>45408</v>
      </c>
      <c r="P5510" s="41" t="s">
        <v>45409</v>
      </c>
      <c r="Q5510" s="41" t="s">
        <v>45410</v>
      </c>
      <c r="R5510" s="41" t="s">
        <v>45411</v>
      </c>
      <c r="S5510" s="41" t="s">
        <v>45412</v>
      </c>
    </row>
    <row r="5511" spans="1:19" x14ac:dyDescent="0.25">
      <c r="A5511" s="41" t="s">
        <v>23</v>
      </c>
      <c r="B5511" s="41" t="s">
        <v>44036</v>
      </c>
      <c r="D5511" s="41" t="s">
        <v>44037</v>
      </c>
      <c r="F5511" s="41" t="s">
        <v>44038</v>
      </c>
      <c r="G5511" s="41" t="s">
        <v>44039</v>
      </c>
      <c r="H5511" s="41" t="s">
        <v>44040</v>
      </c>
      <c r="I5511" s="41" t="s">
        <v>44041</v>
      </c>
      <c r="J5511" s="41" t="s">
        <v>44042</v>
      </c>
      <c r="K5511" s="41" t="s">
        <v>44043</v>
      </c>
      <c r="L5511" s="41" t="s">
        <v>891</v>
      </c>
    </row>
    <row r="5512" spans="1:19" x14ac:dyDescent="0.25">
      <c r="A5512" s="41" t="s">
        <v>23</v>
      </c>
      <c r="B5512" s="41" t="s">
        <v>44044</v>
      </c>
      <c r="D5512" s="41" t="s">
        <v>44045</v>
      </c>
      <c r="F5512" s="41" t="s">
        <v>44046</v>
      </c>
      <c r="G5512" s="41" t="s">
        <v>44047</v>
      </c>
      <c r="H5512" s="41" t="s">
        <v>44048</v>
      </c>
      <c r="I5512" s="41" t="s">
        <v>44049</v>
      </c>
      <c r="J5512" s="41" t="s">
        <v>44050</v>
      </c>
      <c r="K5512" s="41" t="s">
        <v>44051</v>
      </c>
      <c r="L5512" s="41" t="s">
        <v>1076</v>
      </c>
    </row>
    <row r="5513" spans="1:19" x14ac:dyDescent="0.25">
      <c r="A5513" s="41" t="s">
        <v>23</v>
      </c>
      <c r="B5513" s="41" t="s">
        <v>44052</v>
      </c>
      <c r="D5513" s="41" t="s">
        <v>44053</v>
      </c>
      <c r="F5513" s="41" t="s">
        <v>44054</v>
      </c>
      <c r="G5513" s="41" t="s">
        <v>44055</v>
      </c>
      <c r="H5513" s="41" t="s">
        <v>44056</v>
      </c>
      <c r="I5513" s="41" t="s">
        <v>44057</v>
      </c>
      <c r="J5513" s="41" t="s">
        <v>44058</v>
      </c>
      <c r="K5513" s="41" t="s">
        <v>44059</v>
      </c>
      <c r="L5513" s="41" t="s">
        <v>1085</v>
      </c>
    </row>
    <row r="5514" spans="1:19" x14ac:dyDescent="0.25">
      <c r="A5514" s="41" t="s">
        <v>23</v>
      </c>
      <c r="B5514" s="41" t="s">
        <v>45413</v>
      </c>
      <c r="D5514" s="41" t="s">
        <v>45414</v>
      </c>
      <c r="F5514" s="41" t="s">
        <v>45415</v>
      </c>
      <c r="G5514" s="41" t="s">
        <v>45416</v>
      </c>
      <c r="H5514" s="41" t="s">
        <v>45417</v>
      </c>
      <c r="I5514" s="41" t="s">
        <v>45418</v>
      </c>
      <c r="J5514" s="41" t="s">
        <v>45419</v>
      </c>
      <c r="K5514" s="41" t="s">
        <v>45420</v>
      </c>
      <c r="L5514" s="41" t="s">
        <v>1094</v>
      </c>
    </row>
    <row r="5515" spans="1:19" x14ac:dyDescent="0.25">
      <c r="A5515" s="41" t="s">
        <v>908</v>
      </c>
      <c r="B5515" s="41" t="s">
        <v>45421</v>
      </c>
    </row>
    <row r="5516" spans="1:19" x14ac:dyDescent="0.25">
      <c r="A5516" s="41" t="s">
        <v>23</v>
      </c>
      <c r="B5516" s="41" t="s">
        <v>45422</v>
      </c>
      <c r="F5516" s="41" t="s">
        <v>45423</v>
      </c>
      <c r="G5516" s="41" t="s">
        <v>45424</v>
      </c>
      <c r="H5516" s="41" t="s">
        <v>45425</v>
      </c>
      <c r="I5516" s="41" t="s">
        <v>45426</v>
      </c>
      <c r="J5516" s="41" t="s">
        <v>45427</v>
      </c>
      <c r="L5516" s="41" t="s">
        <v>4</v>
      </c>
    </row>
    <row r="5517" spans="1:19" x14ac:dyDescent="0.25">
      <c r="A5517" s="41" t="s">
        <v>23</v>
      </c>
      <c r="B5517" s="41" t="s">
        <v>44061</v>
      </c>
      <c r="D5517" s="41" t="s">
        <v>43979</v>
      </c>
      <c r="E5517" s="41" t="s">
        <v>45428</v>
      </c>
      <c r="F5517" s="41" t="s">
        <v>45429</v>
      </c>
      <c r="G5517" s="41" t="s">
        <v>45430</v>
      </c>
      <c r="H5517" s="41" t="s">
        <v>45431</v>
      </c>
      <c r="I5517" s="41" t="s">
        <v>45432</v>
      </c>
      <c r="J5517" s="41" t="s">
        <v>45433</v>
      </c>
      <c r="K5517" s="41" t="s">
        <v>44062</v>
      </c>
      <c r="L5517" s="41" t="s">
        <v>45434</v>
      </c>
      <c r="M5517" s="41" t="s">
        <v>45435</v>
      </c>
      <c r="N5517" s="41" t="s">
        <v>45436</v>
      </c>
      <c r="O5517" s="41" t="s">
        <v>45437</v>
      </c>
      <c r="P5517" s="41" t="s">
        <v>45438</v>
      </c>
      <c r="Q5517" s="41" t="s">
        <v>45439</v>
      </c>
      <c r="R5517" s="41" t="s">
        <v>45440</v>
      </c>
      <c r="S5517" s="41" t="s">
        <v>45441</v>
      </c>
    </row>
    <row r="5518" spans="1:19" x14ac:dyDescent="0.25">
      <c r="A5518" s="41" t="s">
        <v>23</v>
      </c>
      <c r="B5518" s="41" t="s">
        <v>44063</v>
      </c>
      <c r="D5518" s="41" t="s">
        <v>44064</v>
      </c>
      <c r="F5518" s="41" t="s">
        <v>44065</v>
      </c>
      <c r="G5518" s="41" t="s">
        <v>44066</v>
      </c>
      <c r="H5518" s="41" t="s">
        <v>44067</v>
      </c>
      <c r="I5518" s="41" t="s">
        <v>44068</v>
      </c>
      <c r="J5518" s="41" t="s">
        <v>44069</v>
      </c>
      <c r="K5518" s="41" t="s">
        <v>44070</v>
      </c>
      <c r="L5518" s="41" t="s">
        <v>891</v>
      </c>
    </row>
    <row r="5519" spans="1:19" x14ac:dyDescent="0.25">
      <c r="A5519" s="41" t="s">
        <v>23</v>
      </c>
      <c r="B5519" s="41" t="s">
        <v>44071</v>
      </c>
      <c r="D5519" s="41" t="s">
        <v>44072</v>
      </c>
      <c r="F5519" s="41" t="s">
        <v>44073</v>
      </c>
      <c r="G5519" s="41" t="s">
        <v>44074</v>
      </c>
      <c r="H5519" s="41" t="s">
        <v>44075</v>
      </c>
      <c r="I5519" s="41" t="s">
        <v>44076</v>
      </c>
      <c r="J5519" s="41" t="s">
        <v>44077</v>
      </c>
      <c r="K5519" s="41" t="s">
        <v>44078</v>
      </c>
      <c r="L5519" s="41" t="s">
        <v>1076</v>
      </c>
    </row>
    <row r="5520" spans="1:19" x14ac:dyDescent="0.25">
      <c r="A5520" s="41" t="s">
        <v>23</v>
      </c>
      <c r="B5520" s="41" t="s">
        <v>44079</v>
      </c>
      <c r="D5520" s="41" t="s">
        <v>44080</v>
      </c>
      <c r="F5520" s="41" t="s">
        <v>44081</v>
      </c>
      <c r="G5520" s="41" t="s">
        <v>44082</v>
      </c>
      <c r="H5520" s="41" t="s">
        <v>44083</v>
      </c>
      <c r="I5520" s="41" t="s">
        <v>44084</v>
      </c>
      <c r="J5520" s="41" t="s">
        <v>44085</v>
      </c>
      <c r="K5520" s="41" t="s">
        <v>44086</v>
      </c>
      <c r="L5520" s="41" t="s">
        <v>1085</v>
      </c>
    </row>
    <row r="5521" spans="1:19" x14ac:dyDescent="0.25">
      <c r="A5521" s="41" t="s">
        <v>23</v>
      </c>
      <c r="B5521" s="41" t="s">
        <v>45442</v>
      </c>
      <c r="D5521" s="41" t="s">
        <v>45443</v>
      </c>
      <c r="F5521" s="41" t="s">
        <v>45444</v>
      </c>
      <c r="G5521" s="41" t="s">
        <v>45445</v>
      </c>
      <c r="H5521" s="41" t="s">
        <v>45446</v>
      </c>
      <c r="I5521" s="41" t="s">
        <v>45447</v>
      </c>
      <c r="J5521" s="41" t="s">
        <v>45448</v>
      </c>
      <c r="K5521" s="41" t="s">
        <v>45449</v>
      </c>
      <c r="L5521" s="41" t="s">
        <v>1094</v>
      </c>
    </row>
    <row r="5522" spans="1:19" x14ac:dyDescent="0.25">
      <c r="A5522" s="41" t="s">
        <v>908</v>
      </c>
      <c r="B5522" s="41" t="s">
        <v>45450</v>
      </c>
    </row>
    <row r="5523" spans="1:19" x14ac:dyDescent="0.25">
      <c r="A5523" s="41" t="s">
        <v>23</v>
      </c>
      <c r="B5523" s="41" t="s">
        <v>45451</v>
      </c>
      <c r="F5523" s="41" t="s">
        <v>45452</v>
      </c>
      <c r="G5523" s="41" t="s">
        <v>45453</v>
      </c>
      <c r="H5523" s="41" t="s">
        <v>45454</v>
      </c>
      <c r="I5523" s="41" t="s">
        <v>45455</v>
      </c>
      <c r="J5523" s="41" t="s">
        <v>45456</v>
      </c>
      <c r="L5523" s="41" t="s">
        <v>4</v>
      </c>
    </row>
    <row r="5524" spans="1:19" x14ac:dyDescent="0.25">
      <c r="A5524" s="41" t="s">
        <v>23</v>
      </c>
      <c r="B5524" s="41" t="s">
        <v>44088</v>
      </c>
      <c r="D5524" s="41" t="s">
        <v>44006</v>
      </c>
      <c r="E5524" s="41" t="s">
        <v>45457</v>
      </c>
      <c r="F5524" s="41" t="s">
        <v>45458</v>
      </c>
      <c r="G5524" s="41" t="s">
        <v>45459</v>
      </c>
      <c r="H5524" s="41" t="s">
        <v>45460</v>
      </c>
      <c r="I5524" s="41" t="s">
        <v>45461</v>
      </c>
      <c r="J5524" s="41" t="s">
        <v>45462</v>
      </c>
      <c r="K5524" s="41" t="s">
        <v>44089</v>
      </c>
      <c r="L5524" s="41" t="s">
        <v>45463</v>
      </c>
      <c r="M5524" s="41" t="s">
        <v>45464</v>
      </c>
      <c r="N5524" s="41" t="s">
        <v>45465</v>
      </c>
      <c r="O5524" s="41" t="s">
        <v>45466</v>
      </c>
      <c r="P5524" s="41" t="s">
        <v>45467</v>
      </c>
      <c r="Q5524" s="41" t="s">
        <v>45468</v>
      </c>
      <c r="R5524" s="41" t="s">
        <v>45469</v>
      </c>
      <c r="S5524" s="41" t="s">
        <v>45470</v>
      </c>
    </row>
    <row r="5525" spans="1:19" x14ac:dyDescent="0.25">
      <c r="A5525" s="41" t="s">
        <v>23</v>
      </c>
      <c r="B5525" s="41" t="s">
        <v>44090</v>
      </c>
      <c r="D5525" s="41" t="s">
        <v>44091</v>
      </c>
      <c r="F5525" s="41" t="s">
        <v>44092</v>
      </c>
      <c r="G5525" s="41" t="s">
        <v>44093</v>
      </c>
      <c r="H5525" s="41" t="s">
        <v>44094</v>
      </c>
      <c r="I5525" s="41" t="s">
        <v>44095</v>
      </c>
      <c r="J5525" s="41" t="s">
        <v>44096</v>
      </c>
      <c r="K5525" s="41" t="s">
        <v>44097</v>
      </c>
      <c r="L5525" s="41" t="s">
        <v>891</v>
      </c>
    </row>
    <row r="5526" spans="1:19" x14ac:dyDescent="0.25">
      <c r="A5526" s="41" t="s">
        <v>23</v>
      </c>
      <c r="B5526" s="41" t="s">
        <v>44098</v>
      </c>
      <c r="D5526" s="41" t="s">
        <v>44099</v>
      </c>
      <c r="F5526" s="41" t="s">
        <v>44100</v>
      </c>
      <c r="G5526" s="41" t="s">
        <v>44101</v>
      </c>
      <c r="H5526" s="41" t="s">
        <v>44102</v>
      </c>
      <c r="I5526" s="41" t="s">
        <v>44103</v>
      </c>
      <c r="J5526" s="41" t="s">
        <v>44104</v>
      </c>
      <c r="K5526" s="41" t="s">
        <v>44105</v>
      </c>
      <c r="L5526" s="41" t="s">
        <v>1076</v>
      </c>
    </row>
    <row r="5527" spans="1:19" x14ac:dyDescent="0.25">
      <c r="A5527" s="41" t="s">
        <v>23</v>
      </c>
      <c r="B5527" s="41" t="s">
        <v>44106</v>
      </c>
      <c r="D5527" s="41" t="s">
        <v>44107</v>
      </c>
      <c r="F5527" s="41" t="s">
        <v>44108</v>
      </c>
      <c r="G5527" s="41" t="s">
        <v>44109</v>
      </c>
      <c r="H5527" s="41" t="s">
        <v>44110</v>
      </c>
      <c r="I5527" s="41" t="s">
        <v>44111</v>
      </c>
      <c r="J5527" s="41" t="s">
        <v>44112</v>
      </c>
      <c r="K5527" s="41" t="s">
        <v>44113</v>
      </c>
      <c r="L5527" s="41" t="s">
        <v>1085</v>
      </c>
    </row>
    <row r="5528" spans="1:19" x14ac:dyDescent="0.25">
      <c r="A5528" s="41" t="s">
        <v>23</v>
      </c>
      <c r="B5528" s="41" t="s">
        <v>45471</v>
      </c>
      <c r="D5528" s="41" t="s">
        <v>45472</v>
      </c>
      <c r="F5528" s="41" t="s">
        <v>45473</v>
      </c>
      <c r="G5528" s="41" t="s">
        <v>45474</v>
      </c>
      <c r="H5528" s="41" t="s">
        <v>45475</v>
      </c>
      <c r="I5528" s="41" t="s">
        <v>45476</v>
      </c>
      <c r="J5528" s="41" t="s">
        <v>45477</v>
      </c>
      <c r="K5528" s="41" t="s">
        <v>45478</v>
      </c>
      <c r="L5528" s="41" t="s">
        <v>1094</v>
      </c>
    </row>
    <row r="5529" spans="1:19" x14ac:dyDescent="0.25">
      <c r="A5529" s="41" t="s">
        <v>908</v>
      </c>
      <c r="B5529" s="41" t="s">
        <v>45479</v>
      </c>
    </row>
    <row r="5530" spans="1:19" x14ac:dyDescent="0.25">
      <c r="A5530" s="41" t="s">
        <v>23</v>
      </c>
      <c r="B5530" s="41" t="s">
        <v>45480</v>
      </c>
      <c r="F5530" s="41" t="s">
        <v>45481</v>
      </c>
      <c r="G5530" s="41" t="s">
        <v>45482</v>
      </c>
      <c r="H5530" s="41" t="s">
        <v>45483</v>
      </c>
      <c r="I5530" s="41" t="s">
        <v>45484</v>
      </c>
      <c r="J5530" s="41" t="s">
        <v>45485</v>
      </c>
      <c r="L5530" s="41" t="s">
        <v>4</v>
      </c>
    </row>
    <row r="5531" spans="1:19" x14ac:dyDescent="0.25">
      <c r="A5531" s="41" t="s">
        <v>23</v>
      </c>
      <c r="B5531" s="41" t="s">
        <v>44115</v>
      </c>
      <c r="D5531" s="41" t="s">
        <v>44033</v>
      </c>
      <c r="E5531" s="41" t="s">
        <v>45486</v>
      </c>
      <c r="F5531" s="41" t="s">
        <v>45487</v>
      </c>
      <c r="G5531" s="41" t="s">
        <v>45488</v>
      </c>
      <c r="H5531" s="41" t="s">
        <v>45489</v>
      </c>
      <c r="I5531" s="41" t="s">
        <v>45490</v>
      </c>
      <c r="J5531" s="41" t="s">
        <v>45491</v>
      </c>
      <c r="K5531" s="41" t="s">
        <v>44116</v>
      </c>
      <c r="L5531" s="41" t="s">
        <v>45492</v>
      </c>
      <c r="M5531" s="41" t="s">
        <v>45493</v>
      </c>
      <c r="N5531" s="41" t="s">
        <v>45494</v>
      </c>
      <c r="O5531" s="41" t="s">
        <v>45495</v>
      </c>
      <c r="P5531" s="41" t="s">
        <v>45496</v>
      </c>
      <c r="Q5531" s="41" t="s">
        <v>45497</v>
      </c>
      <c r="R5531" s="41" t="s">
        <v>45498</v>
      </c>
      <c r="S5531" s="41" t="s">
        <v>45499</v>
      </c>
    </row>
    <row r="5532" spans="1:19" x14ac:dyDescent="0.25">
      <c r="A5532" s="41" t="s">
        <v>23</v>
      </c>
      <c r="B5532" s="41" t="s">
        <v>44117</v>
      </c>
      <c r="D5532" s="41" t="s">
        <v>44118</v>
      </c>
      <c r="F5532" s="41" t="s">
        <v>44119</v>
      </c>
      <c r="G5532" s="41" t="s">
        <v>44120</v>
      </c>
      <c r="H5532" s="41" t="s">
        <v>44121</v>
      </c>
      <c r="I5532" s="41" t="s">
        <v>44122</v>
      </c>
      <c r="J5532" s="41" t="s">
        <v>44123</v>
      </c>
      <c r="K5532" s="41" t="s">
        <v>44124</v>
      </c>
      <c r="L5532" s="41" t="s">
        <v>891</v>
      </c>
    </row>
    <row r="5533" spans="1:19" x14ac:dyDescent="0.25">
      <c r="A5533" s="41" t="s">
        <v>23</v>
      </c>
      <c r="B5533" s="41" t="s">
        <v>44125</v>
      </c>
      <c r="D5533" s="41" t="s">
        <v>44126</v>
      </c>
      <c r="F5533" s="41" t="s">
        <v>44127</v>
      </c>
      <c r="G5533" s="41" t="s">
        <v>44128</v>
      </c>
      <c r="H5533" s="41" t="s">
        <v>44129</v>
      </c>
      <c r="I5533" s="41" t="s">
        <v>44130</v>
      </c>
      <c r="J5533" s="41" t="s">
        <v>44131</v>
      </c>
      <c r="K5533" s="41" t="s">
        <v>44132</v>
      </c>
      <c r="L5533" s="41" t="s">
        <v>1076</v>
      </c>
    </row>
    <row r="5534" spans="1:19" x14ac:dyDescent="0.25">
      <c r="A5534" s="41" t="s">
        <v>23</v>
      </c>
      <c r="B5534" s="41" t="s">
        <v>44133</v>
      </c>
      <c r="D5534" s="41" t="s">
        <v>44134</v>
      </c>
      <c r="F5534" s="41" t="s">
        <v>44135</v>
      </c>
      <c r="G5534" s="41" t="s">
        <v>44136</v>
      </c>
      <c r="H5534" s="41" t="s">
        <v>44137</v>
      </c>
      <c r="I5534" s="41" t="s">
        <v>44138</v>
      </c>
      <c r="J5534" s="41" t="s">
        <v>44139</v>
      </c>
      <c r="K5534" s="41" t="s">
        <v>44140</v>
      </c>
      <c r="L5534" s="41" t="s">
        <v>1085</v>
      </c>
    </row>
    <row r="5535" spans="1:19" x14ac:dyDescent="0.25">
      <c r="A5535" s="41" t="s">
        <v>23</v>
      </c>
      <c r="B5535" s="41" t="s">
        <v>45500</v>
      </c>
      <c r="D5535" s="41" t="s">
        <v>45501</v>
      </c>
      <c r="F5535" s="41" t="s">
        <v>45502</v>
      </c>
      <c r="G5535" s="41" t="s">
        <v>45503</v>
      </c>
      <c r="H5535" s="41" t="s">
        <v>45504</v>
      </c>
      <c r="I5535" s="41" t="s">
        <v>45505</v>
      </c>
      <c r="J5535" s="41" t="s">
        <v>45506</v>
      </c>
      <c r="K5535" s="41" t="s">
        <v>45507</v>
      </c>
      <c r="L5535" s="41" t="s">
        <v>1094</v>
      </c>
    </row>
    <row r="5536" spans="1:19" x14ac:dyDescent="0.25">
      <c r="A5536" s="41" t="s">
        <v>908</v>
      </c>
      <c r="B5536" s="41" t="s">
        <v>45508</v>
      </c>
    </row>
    <row r="5537" spans="1:19" x14ac:dyDescent="0.25">
      <c r="A5537" s="41" t="s">
        <v>23</v>
      </c>
      <c r="B5537" s="41" t="s">
        <v>45509</v>
      </c>
      <c r="F5537" s="41" t="s">
        <v>45510</v>
      </c>
      <c r="G5537" s="41" t="s">
        <v>45511</v>
      </c>
      <c r="H5537" s="41" t="s">
        <v>45512</v>
      </c>
      <c r="I5537" s="41" t="s">
        <v>45513</v>
      </c>
      <c r="J5537" s="41" t="s">
        <v>45514</v>
      </c>
      <c r="L5537" s="41" t="s">
        <v>4</v>
      </c>
    </row>
    <row r="5538" spans="1:19" x14ac:dyDescent="0.25">
      <c r="A5538" s="41" t="s">
        <v>23</v>
      </c>
      <c r="B5538" s="41" t="s">
        <v>44141</v>
      </c>
      <c r="D5538" s="41" t="s">
        <v>44060</v>
      </c>
      <c r="E5538" s="41" t="s">
        <v>45515</v>
      </c>
      <c r="F5538" s="41" t="s">
        <v>45516</v>
      </c>
      <c r="G5538" s="41" t="s">
        <v>45517</v>
      </c>
      <c r="H5538" s="41" t="s">
        <v>45518</v>
      </c>
      <c r="I5538" s="41" t="s">
        <v>45519</v>
      </c>
      <c r="J5538" s="41" t="s">
        <v>45520</v>
      </c>
      <c r="K5538" s="41" t="s">
        <v>44142</v>
      </c>
      <c r="L5538" s="41" t="s">
        <v>45521</v>
      </c>
      <c r="M5538" s="41" t="s">
        <v>45522</v>
      </c>
      <c r="N5538" s="41" t="s">
        <v>45523</v>
      </c>
      <c r="O5538" s="41" t="s">
        <v>45524</v>
      </c>
      <c r="P5538" s="41" t="s">
        <v>45525</v>
      </c>
      <c r="Q5538" s="41" t="s">
        <v>45526</v>
      </c>
      <c r="R5538" s="41" t="s">
        <v>45527</v>
      </c>
      <c r="S5538" s="41" t="s">
        <v>45528</v>
      </c>
    </row>
    <row r="5539" spans="1:19" x14ac:dyDescent="0.25">
      <c r="A5539" s="41" t="s">
        <v>23</v>
      </c>
      <c r="B5539" s="41" t="s">
        <v>44143</v>
      </c>
      <c r="D5539" s="41" t="s">
        <v>44144</v>
      </c>
      <c r="F5539" s="41" t="s">
        <v>44145</v>
      </c>
      <c r="G5539" s="41" t="s">
        <v>44146</v>
      </c>
      <c r="H5539" s="41" t="s">
        <v>44147</v>
      </c>
      <c r="I5539" s="41" t="s">
        <v>44148</v>
      </c>
      <c r="J5539" s="41" t="s">
        <v>44149</v>
      </c>
      <c r="K5539" s="41" t="s">
        <v>44150</v>
      </c>
      <c r="L5539" s="41" t="s">
        <v>891</v>
      </c>
    </row>
    <row r="5540" spans="1:19" x14ac:dyDescent="0.25">
      <c r="A5540" s="41" t="s">
        <v>23</v>
      </c>
      <c r="B5540" s="41" t="s">
        <v>44151</v>
      </c>
      <c r="D5540" s="41" t="s">
        <v>44152</v>
      </c>
      <c r="F5540" s="41" t="s">
        <v>44153</v>
      </c>
      <c r="G5540" s="41" t="s">
        <v>44154</v>
      </c>
      <c r="H5540" s="41" t="s">
        <v>44155</v>
      </c>
      <c r="I5540" s="41" t="s">
        <v>44156</v>
      </c>
      <c r="J5540" s="41" t="s">
        <v>44157</v>
      </c>
      <c r="K5540" s="41" t="s">
        <v>44158</v>
      </c>
      <c r="L5540" s="41" t="s">
        <v>1076</v>
      </c>
    </row>
    <row r="5541" spans="1:19" x14ac:dyDescent="0.25">
      <c r="A5541" s="41" t="s">
        <v>23</v>
      </c>
      <c r="B5541" s="41" t="s">
        <v>44159</v>
      </c>
      <c r="D5541" s="41" t="s">
        <v>44160</v>
      </c>
      <c r="F5541" s="41" t="s">
        <v>44161</v>
      </c>
      <c r="G5541" s="41" t="s">
        <v>44162</v>
      </c>
      <c r="H5541" s="41" t="s">
        <v>44163</v>
      </c>
      <c r="I5541" s="41" t="s">
        <v>44164</v>
      </c>
      <c r="J5541" s="41" t="s">
        <v>44165</v>
      </c>
      <c r="K5541" s="41" t="s">
        <v>44166</v>
      </c>
      <c r="L5541" s="41" t="s">
        <v>1085</v>
      </c>
    </row>
    <row r="5542" spans="1:19" x14ac:dyDescent="0.25">
      <c r="A5542" s="41" t="s">
        <v>23</v>
      </c>
      <c r="B5542" s="41" t="s">
        <v>45529</v>
      </c>
      <c r="D5542" s="41" t="s">
        <v>45530</v>
      </c>
      <c r="F5542" s="41" t="s">
        <v>45531</v>
      </c>
      <c r="G5542" s="41" t="s">
        <v>45532</v>
      </c>
      <c r="H5542" s="41" t="s">
        <v>45533</v>
      </c>
      <c r="I5542" s="41" t="s">
        <v>45534</v>
      </c>
      <c r="J5542" s="41" t="s">
        <v>45535</v>
      </c>
      <c r="K5542" s="41" t="s">
        <v>45536</v>
      </c>
      <c r="L5542" s="41" t="s">
        <v>1094</v>
      </c>
    </row>
    <row r="5543" spans="1:19" x14ac:dyDescent="0.25">
      <c r="A5543" s="41" t="s">
        <v>908</v>
      </c>
      <c r="B5543" s="41" t="s">
        <v>45537</v>
      </c>
    </row>
    <row r="5544" spans="1:19" x14ac:dyDescent="0.25">
      <c r="A5544" s="41" t="s">
        <v>23</v>
      </c>
      <c r="B5544" s="41" t="s">
        <v>45538</v>
      </c>
      <c r="F5544" s="41" t="s">
        <v>45539</v>
      </c>
      <c r="G5544" s="41" t="s">
        <v>45540</v>
      </c>
      <c r="H5544" s="41" t="s">
        <v>45541</v>
      </c>
      <c r="I5544" s="41" t="s">
        <v>45542</v>
      </c>
      <c r="J5544" s="41" t="s">
        <v>45543</v>
      </c>
      <c r="L5544" s="41" t="s">
        <v>4</v>
      </c>
    </row>
    <row r="5545" spans="1:19" x14ac:dyDescent="0.25">
      <c r="A5545" s="41" t="s">
        <v>23</v>
      </c>
      <c r="B5545" s="41" t="s">
        <v>44168</v>
      </c>
      <c r="D5545" s="41" t="s">
        <v>44087</v>
      </c>
      <c r="E5545" s="41" t="s">
        <v>45544</v>
      </c>
      <c r="F5545" s="41" t="s">
        <v>45545</v>
      </c>
      <c r="G5545" s="41" t="s">
        <v>45546</v>
      </c>
      <c r="H5545" s="41" t="s">
        <v>45547</v>
      </c>
      <c r="I5545" s="41" t="s">
        <v>45548</v>
      </c>
      <c r="J5545" s="41" t="s">
        <v>45549</v>
      </c>
      <c r="K5545" s="41" t="s">
        <v>44169</v>
      </c>
      <c r="L5545" s="41" t="s">
        <v>45550</v>
      </c>
      <c r="M5545" s="41" t="s">
        <v>45551</v>
      </c>
      <c r="N5545" s="41" t="s">
        <v>45552</v>
      </c>
      <c r="O5545" s="41" t="s">
        <v>45553</v>
      </c>
      <c r="P5545" s="41" t="s">
        <v>45554</v>
      </c>
      <c r="Q5545" s="41" t="s">
        <v>45555</v>
      </c>
      <c r="R5545" s="41" t="s">
        <v>45556</v>
      </c>
      <c r="S5545" s="41" t="s">
        <v>45557</v>
      </c>
    </row>
    <row r="5546" spans="1:19" x14ac:dyDescent="0.25">
      <c r="A5546" s="41" t="s">
        <v>23</v>
      </c>
      <c r="B5546" s="41" t="s">
        <v>44170</v>
      </c>
      <c r="D5546" s="41" t="s">
        <v>44171</v>
      </c>
      <c r="F5546" s="41" t="s">
        <v>44172</v>
      </c>
      <c r="G5546" s="41" t="s">
        <v>44173</v>
      </c>
      <c r="H5546" s="41" t="s">
        <v>44174</v>
      </c>
      <c r="I5546" s="41" t="s">
        <v>44175</v>
      </c>
      <c r="J5546" s="41" t="s">
        <v>44176</v>
      </c>
      <c r="K5546" s="41" t="s">
        <v>44177</v>
      </c>
      <c r="L5546" s="41" t="s">
        <v>891</v>
      </c>
    </row>
    <row r="5547" spans="1:19" x14ac:dyDescent="0.25">
      <c r="A5547" s="41" t="s">
        <v>23</v>
      </c>
      <c r="B5547" s="41" t="s">
        <v>44178</v>
      </c>
      <c r="D5547" s="41" t="s">
        <v>44179</v>
      </c>
      <c r="F5547" s="41" t="s">
        <v>44180</v>
      </c>
      <c r="G5547" s="41" t="s">
        <v>44181</v>
      </c>
      <c r="H5547" s="41" t="s">
        <v>44182</v>
      </c>
      <c r="I5547" s="41" t="s">
        <v>44183</v>
      </c>
      <c r="J5547" s="41" t="s">
        <v>44184</v>
      </c>
      <c r="K5547" s="41" t="s">
        <v>44185</v>
      </c>
      <c r="L5547" s="41" t="s">
        <v>1076</v>
      </c>
    </row>
    <row r="5548" spans="1:19" x14ac:dyDescent="0.25">
      <c r="A5548" s="41" t="s">
        <v>23</v>
      </c>
      <c r="B5548" s="41" t="s">
        <v>44186</v>
      </c>
      <c r="D5548" s="41" t="s">
        <v>44187</v>
      </c>
      <c r="F5548" s="41" t="s">
        <v>44188</v>
      </c>
      <c r="G5548" s="41" t="s">
        <v>44189</v>
      </c>
      <c r="H5548" s="41" t="s">
        <v>44190</v>
      </c>
      <c r="I5548" s="41" t="s">
        <v>44191</v>
      </c>
      <c r="J5548" s="41" t="s">
        <v>44192</v>
      </c>
      <c r="K5548" s="41" t="s">
        <v>44193</v>
      </c>
      <c r="L5548" s="41" t="s">
        <v>1085</v>
      </c>
    </row>
    <row r="5549" spans="1:19" x14ac:dyDescent="0.25">
      <c r="A5549" s="41" t="s">
        <v>23</v>
      </c>
      <c r="B5549" s="41" t="s">
        <v>45558</v>
      </c>
      <c r="D5549" s="41" t="s">
        <v>45559</v>
      </c>
      <c r="F5549" s="41" t="s">
        <v>45560</v>
      </c>
      <c r="G5549" s="41" t="s">
        <v>45561</v>
      </c>
      <c r="H5549" s="41" t="s">
        <v>45562</v>
      </c>
      <c r="I5549" s="41" t="s">
        <v>45563</v>
      </c>
      <c r="J5549" s="41" t="s">
        <v>45564</v>
      </c>
      <c r="K5549" s="41" t="s">
        <v>45565</v>
      </c>
      <c r="L5549" s="41" t="s">
        <v>1094</v>
      </c>
    </row>
    <row r="5550" spans="1:19" x14ac:dyDescent="0.25">
      <c r="A5550" s="41" t="s">
        <v>908</v>
      </c>
      <c r="B5550" s="41" t="s">
        <v>45566</v>
      </c>
    </row>
    <row r="5551" spans="1:19" x14ac:dyDescent="0.25">
      <c r="A5551" s="41" t="s">
        <v>23</v>
      </c>
      <c r="B5551" s="41" t="s">
        <v>45567</v>
      </c>
      <c r="F5551" s="41" t="s">
        <v>45568</v>
      </c>
      <c r="G5551" s="41" t="s">
        <v>45569</v>
      </c>
      <c r="H5551" s="41" t="s">
        <v>45570</v>
      </c>
      <c r="I5551" s="41" t="s">
        <v>45571</v>
      </c>
      <c r="J5551" s="41" t="s">
        <v>45572</v>
      </c>
      <c r="L5551" s="41" t="s">
        <v>4</v>
      </c>
    </row>
    <row r="5552" spans="1:19" x14ac:dyDescent="0.25">
      <c r="A5552" s="41" t="s">
        <v>23</v>
      </c>
      <c r="B5552" s="41" t="s">
        <v>44195</v>
      </c>
      <c r="D5552" s="41" t="s">
        <v>44114</v>
      </c>
      <c r="E5552" s="41" t="s">
        <v>45573</v>
      </c>
      <c r="F5552" s="41" t="s">
        <v>45574</v>
      </c>
      <c r="G5552" s="41" t="s">
        <v>45575</v>
      </c>
      <c r="H5552" s="41" t="s">
        <v>45576</v>
      </c>
      <c r="I5552" s="41" t="s">
        <v>45577</v>
      </c>
      <c r="J5552" s="41" t="s">
        <v>45578</v>
      </c>
      <c r="K5552" s="41" t="s">
        <v>44196</v>
      </c>
      <c r="L5552" s="41" t="s">
        <v>45579</v>
      </c>
      <c r="M5552" s="41" t="s">
        <v>45580</v>
      </c>
      <c r="N5552" s="41" t="s">
        <v>45581</v>
      </c>
      <c r="O5552" s="41" t="s">
        <v>45582</v>
      </c>
      <c r="P5552" s="41" t="s">
        <v>45583</v>
      </c>
      <c r="Q5552" s="41" t="s">
        <v>45584</v>
      </c>
      <c r="R5552" s="41" t="s">
        <v>45585</v>
      </c>
      <c r="S5552" s="41" t="s">
        <v>45586</v>
      </c>
    </row>
    <row r="5553" spans="1:19" x14ac:dyDescent="0.25">
      <c r="A5553" s="41" t="s">
        <v>23</v>
      </c>
      <c r="B5553" s="41" t="s">
        <v>44197</v>
      </c>
      <c r="D5553" s="41" t="s">
        <v>44198</v>
      </c>
      <c r="F5553" s="41" t="s">
        <v>44199</v>
      </c>
      <c r="G5553" s="41" t="s">
        <v>44200</v>
      </c>
      <c r="H5553" s="41" t="s">
        <v>44201</v>
      </c>
      <c r="I5553" s="41" t="s">
        <v>44202</v>
      </c>
      <c r="J5553" s="41" t="s">
        <v>44203</v>
      </c>
      <c r="K5553" s="41" t="s">
        <v>44204</v>
      </c>
      <c r="L5553" s="41" t="s">
        <v>891</v>
      </c>
    </row>
    <row r="5554" spans="1:19" x14ac:dyDescent="0.25">
      <c r="A5554" s="41" t="s">
        <v>23</v>
      </c>
      <c r="B5554" s="41" t="s">
        <v>44205</v>
      </c>
      <c r="D5554" s="41" t="s">
        <v>44206</v>
      </c>
      <c r="F5554" s="41" t="s">
        <v>44207</v>
      </c>
      <c r="G5554" s="41" t="s">
        <v>44208</v>
      </c>
      <c r="H5554" s="41" t="s">
        <v>44209</v>
      </c>
      <c r="I5554" s="41" t="s">
        <v>44210</v>
      </c>
      <c r="J5554" s="41" t="s">
        <v>44211</v>
      </c>
      <c r="K5554" s="41" t="s">
        <v>44212</v>
      </c>
      <c r="L5554" s="41" t="s">
        <v>1076</v>
      </c>
    </row>
    <row r="5555" spans="1:19" x14ac:dyDescent="0.25">
      <c r="A5555" s="41" t="s">
        <v>23</v>
      </c>
      <c r="B5555" s="41" t="s">
        <v>44213</v>
      </c>
      <c r="D5555" s="41" t="s">
        <v>44214</v>
      </c>
      <c r="F5555" s="41" t="s">
        <v>44215</v>
      </c>
      <c r="G5555" s="41" t="s">
        <v>44216</v>
      </c>
      <c r="H5555" s="41" t="s">
        <v>44217</v>
      </c>
      <c r="I5555" s="41" t="s">
        <v>44218</v>
      </c>
      <c r="J5555" s="41" t="s">
        <v>44219</v>
      </c>
      <c r="K5555" s="41" t="s">
        <v>44220</v>
      </c>
      <c r="L5555" s="41" t="s">
        <v>1085</v>
      </c>
    </row>
    <row r="5556" spans="1:19" x14ac:dyDescent="0.25">
      <c r="A5556" s="41" t="s">
        <v>23</v>
      </c>
      <c r="B5556" s="41" t="s">
        <v>45587</v>
      </c>
      <c r="D5556" s="41" t="s">
        <v>45588</v>
      </c>
      <c r="F5556" s="41" t="s">
        <v>45589</v>
      </c>
      <c r="G5556" s="41" t="s">
        <v>45590</v>
      </c>
      <c r="H5556" s="41" t="s">
        <v>45591</v>
      </c>
      <c r="I5556" s="41" t="s">
        <v>45592</v>
      </c>
      <c r="J5556" s="41" t="s">
        <v>45593</v>
      </c>
      <c r="K5556" s="41" t="s">
        <v>45594</v>
      </c>
      <c r="L5556" s="41" t="s">
        <v>1094</v>
      </c>
    </row>
    <row r="5557" spans="1:19" x14ac:dyDescent="0.25">
      <c r="A5557" s="41" t="s">
        <v>908</v>
      </c>
      <c r="B5557" s="41" t="s">
        <v>45595</v>
      </c>
    </row>
    <row r="5558" spans="1:19" x14ac:dyDescent="0.25">
      <c r="A5558" s="41" t="s">
        <v>23</v>
      </c>
      <c r="B5558" s="41" t="s">
        <v>45596</v>
      </c>
      <c r="F5558" s="41" t="s">
        <v>45597</v>
      </c>
      <c r="G5558" s="41" t="s">
        <v>45598</v>
      </c>
      <c r="H5558" s="41" t="s">
        <v>45599</v>
      </c>
      <c r="I5558" s="41" t="s">
        <v>45600</v>
      </c>
      <c r="J5558" s="41" t="s">
        <v>45601</v>
      </c>
      <c r="L5558" s="41" t="s">
        <v>4</v>
      </c>
    </row>
    <row r="5559" spans="1:19" x14ac:dyDescent="0.25">
      <c r="A5559" s="41" t="s">
        <v>23</v>
      </c>
      <c r="B5559" s="41" t="s">
        <v>44222</v>
      </c>
      <c r="D5559" s="41" t="s">
        <v>509</v>
      </c>
      <c r="E5559" s="41" t="s">
        <v>45602</v>
      </c>
      <c r="F5559" s="41" t="s">
        <v>45603</v>
      </c>
      <c r="G5559" s="41" t="s">
        <v>45604</v>
      </c>
      <c r="H5559" s="41" t="s">
        <v>45605</v>
      </c>
      <c r="I5559" s="41" t="s">
        <v>45606</v>
      </c>
      <c r="J5559" s="41" t="s">
        <v>45607</v>
      </c>
      <c r="K5559" s="41" t="s">
        <v>44223</v>
      </c>
      <c r="L5559" s="41" t="s">
        <v>45608</v>
      </c>
      <c r="M5559" s="41" t="s">
        <v>45609</v>
      </c>
      <c r="N5559" s="41" t="s">
        <v>45610</v>
      </c>
      <c r="O5559" s="41" t="s">
        <v>45611</v>
      </c>
      <c r="P5559" s="41" t="s">
        <v>45612</v>
      </c>
      <c r="Q5559" s="41" t="s">
        <v>45613</v>
      </c>
      <c r="R5559" s="41" t="s">
        <v>45614</v>
      </c>
      <c r="S5559" s="41" t="s">
        <v>45615</v>
      </c>
    </row>
    <row r="5560" spans="1:19" x14ac:dyDescent="0.25">
      <c r="A5560" s="41" t="s">
        <v>23</v>
      </c>
      <c r="B5560" s="41" t="s">
        <v>44224</v>
      </c>
      <c r="D5560" s="41" t="s">
        <v>44225</v>
      </c>
      <c r="F5560" s="41" t="s">
        <v>44226</v>
      </c>
      <c r="G5560" s="41" t="s">
        <v>44227</v>
      </c>
      <c r="H5560" s="41" t="s">
        <v>44228</v>
      </c>
      <c r="I5560" s="41" t="s">
        <v>44229</v>
      </c>
      <c r="J5560" s="41" t="s">
        <v>44230</v>
      </c>
      <c r="K5560" s="41" t="s">
        <v>44231</v>
      </c>
      <c r="L5560" s="41" t="s">
        <v>891</v>
      </c>
    </row>
    <row r="5561" spans="1:19" x14ac:dyDescent="0.25">
      <c r="A5561" s="41" t="s">
        <v>23</v>
      </c>
      <c r="B5561" s="41" t="s">
        <v>44232</v>
      </c>
      <c r="D5561" s="41" t="s">
        <v>44233</v>
      </c>
      <c r="F5561" s="41" t="s">
        <v>44234</v>
      </c>
      <c r="G5561" s="41" t="s">
        <v>44235</v>
      </c>
      <c r="H5561" s="41" t="s">
        <v>44236</v>
      </c>
      <c r="I5561" s="41" t="s">
        <v>44237</v>
      </c>
      <c r="J5561" s="41" t="s">
        <v>44238</v>
      </c>
      <c r="K5561" s="41" t="s">
        <v>44239</v>
      </c>
      <c r="L5561" s="41" t="s">
        <v>1076</v>
      </c>
    </row>
    <row r="5562" spans="1:19" x14ac:dyDescent="0.25">
      <c r="A5562" s="41" t="s">
        <v>23</v>
      </c>
      <c r="B5562" s="41" t="s">
        <v>44240</v>
      </c>
      <c r="D5562" s="41" t="s">
        <v>44241</v>
      </c>
      <c r="F5562" s="41" t="s">
        <v>44242</v>
      </c>
      <c r="G5562" s="41" t="s">
        <v>44243</v>
      </c>
      <c r="H5562" s="41" t="s">
        <v>44244</v>
      </c>
      <c r="I5562" s="41" t="s">
        <v>44245</v>
      </c>
      <c r="J5562" s="41" t="s">
        <v>44246</v>
      </c>
      <c r="K5562" s="41" t="s">
        <v>44247</v>
      </c>
      <c r="L5562" s="41" t="s">
        <v>1085</v>
      </c>
    </row>
    <row r="5563" spans="1:19" x14ac:dyDescent="0.25">
      <c r="A5563" s="41" t="s">
        <v>23</v>
      </c>
      <c r="B5563" s="41" t="s">
        <v>45616</v>
      </c>
      <c r="D5563" s="41" t="s">
        <v>45617</v>
      </c>
      <c r="F5563" s="41" t="s">
        <v>45618</v>
      </c>
      <c r="G5563" s="41" t="s">
        <v>45619</v>
      </c>
      <c r="H5563" s="41" t="s">
        <v>45620</v>
      </c>
      <c r="I5563" s="41" t="s">
        <v>45621</v>
      </c>
      <c r="J5563" s="41" t="s">
        <v>45622</v>
      </c>
      <c r="K5563" s="41" t="s">
        <v>45623</v>
      </c>
      <c r="L5563" s="41" t="s">
        <v>1094</v>
      </c>
    </row>
    <row r="5564" spans="1:19" x14ac:dyDescent="0.25">
      <c r="A5564" s="41" t="s">
        <v>908</v>
      </c>
      <c r="B5564" s="41" t="s">
        <v>45624</v>
      </c>
    </row>
    <row r="5565" spans="1:19" x14ac:dyDescent="0.25">
      <c r="A5565" s="41" t="s">
        <v>23</v>
      </c>
      <c r="B5565" s="41" t="s">
        <v>45625</v>
      </c>
      <c r="F5565" s="41" t="s">
        <v>45626</v>
      </c>
      <c r="G5565" s="41" t="s">
        <v>45627</v>
      </c>
      <c r="H5565" s="41" t="s">
        <v>45628</v>
      </c>
      <c r="I5565" s="41" t="s">
        <v>45629</v>
      </c>
      <c r="J5565" s="41" t="s">
        <v>45630</v>
      </c>
      <c r="L5565" s="41" t="s">
        <v>4</v>
      </c>
    </row>
    <row r="5566" spans="1:19" x14ac:dyDescent="0.25">
      <c r="A5566" s="41" t="s">
        <v>23</v>
      </c>
      <c r="B5566" s="41" t="s">
        <v>44248</v>
      </c>
      <c r="D5566" s="41" t="s">
        <v>44167</v>
      </c>
      <c r="E5566" s="41" t="s">
        <v>45631</v>
      </c>
      <c r="F5566" s="41" t="s">
        <v>45632</v>
      </c>
      <c r="G5566" s="41" t="s">
        <v>45633</v>
      </c>
      <c r="H5566" s="41" t="s">
        <v>45634</v>
      </c>
      <c r="I5566" s="41" t="s">
        <v>45635</v>
      </c>
      <c r="J5566" s="41" t="s">
        <v>45636</v>
      </c>
      <c r="K5566" s="41" t="s">
        <v>44249</v>
      </c>
      <c r="L5566" s="41" t="s">
        <v>45637</v>
      </c>
      <c r="M5566" s="41" t="s">
        <v>45638</v>
      </c>
      <c r="N5566" s="41" t="s">
        <v>45639</v>
      </c>
      <c r="O5566" s="41" t="s">
        <v>45640</v>
      </c>
      <c r="P5566" s="41" t="s">
        <v>45641</v>
      </c>
      <c r="Q5566" s="41" t="s">
        <v>45642</v>
      </c>
      <c r="R5566" s="41" t="s">
        <v>45643</v>
      </c>
      <c r="S5566" s="41" t="s">
        <v>45644</v>
      </c>
    </row>
    <row r="5567" spans="1:19" x14ac:dyDescent="0.25">
      <c r="A5567" s="41" t="s">
        <v>23</v>
      </c>
      <c r="B5567" s="41" t="s">
        <v>44250</v>
      </c>
      <c r="D5567" s="41" t="s">
        <v>44251</v>
      </c>
      <c r="F5567" s="41" t="s">
        <v>44252</v>
      </c>
      <c r="G5567" s="41" t="s">
        <v>44253</v>
      </c>
      <c r="H5567" s="41" t="s">
        <v>44254</v>
      </c>
      <c r="I5567" s="41" t="s">
        <v>44255</v>
      </c>
      <c r="J5567" s="41" t="s">
        <v>44256</v>
      </c>
      <c r="K5567" s="41" t="s">
        <v>44257</v>
      </c>
      <c r="L5567" s="41" t="s">
        <v>891</v>
      </c>
    </row>
    <row r="5568" spans="1:19" x14ac:dyDescent="0.25">
      <c r="A5568" s="41" t="s">
        <v>23</v>
      </c>
      <c r="B5568" s="41" t="s">
        <v>44258</v>
      </c>
      <c r="D5568" s="41" t="s">
        <v>44259</v>
      </c>
      <c r="F5568" s="41" t="s">
        <v>44260</v>
      </c>
      <c r="G5568" s="41" t="s">
        <v>44261</v>
      </c>
      <c r="H5568" s="41" t="s">
        <v>44262</v>
      </c>
      <c r="I5568" s="41" t="s">
        <v>44263</v>
      </c>
      <c r="J5568" s="41" t="s">
        <v>44264</v>
      </c>
      <c r="K5568" s="41" t="s">
        <v>44265</v>
      </c>
      <c r="L5568" s="41" t="s">
        <v>1076</v>
      </c>
    </row>
    <row r="5569" spans="1:19" x14ac:dyDescent="0.25">
      <c r="A5569" s="41" t="s">
        <v>23</v>
      </c>
      <c r="B5569" s="41" t="s">
        <v>44266</v>
      </c>
      <c r="D5569" s="41" t="s">
        <v>44267</v>
      </c>
      <c r="F5569" s="41" t="s">
        <v>44268</v>
      </c>
      <c r="G5569" s="41" t="s">
        <v>44269</v>
      </c>
      <c r="H5569" s="41" t="s">
        <v>44270</v>
      </c>
      <c r="I5569" s="41" t="s">
        <v>44271</v>
      </c>
      <c r="J5569" s="41" t="s">
        <v>44272</v>
      </c>
      <c r="K5569" s="41" t="s">
        <v>44273</v>
      </c>
      <c r="L5569" s="41" t="s">
        <v>1085</v>
      </c>
    </row>
    <row r="5570" spans="1:19" x14ac:dyDescent="0.25">
      <c r="A5570" s="41" t="s">
        <v>23</v>
      </c>
      <c r="B5570" s="41" t="s">
        <v>45645</v>
      </c>
      <c r="D5570" s="41" t="s">
        <v>45646</v>
      </c>
      <c r="F5570" s="41" t="s">
        <v>45647</v>
      </c>
      <c r="G5570" s="41" t="s">
        <v>45648</v>
      </c>
      <c r="H5570" s="41" t="s">
        <v>45649</v>
      </c>
      <c r="I5570" s="41" t="s">
        <v>45650</v>
      </c>
      <c r="J5570" s="41" t="s">
        <v>45651</v>
      </c>
      <c r="K5570" s="41" t="s">
        <v>45652</v>
      </c>
      <c r="L5570" s="41" t="s">
        <v>1094</v>
      </c>
    </row>
    <row r="5571" spans="1:19" x14ac:dyDescent="0.25">
      <c r="A5571" s="41" t="s">
        <v>908</v>
      </c>
      <c r="B5571" s="41" t="s">
        <v>45653</v>
      </c>
    </row>
    <row r="5572" spans="1:19" x14ac:dyDescent="0.25">
      <c r="A5572" s="41" t="s">
        <v>23</v>
      </c>
      <c r="B5572" s="41" t="s">
        <v>45654</v>
      </c>
      <c r="F5572" s="41" t="s">
        <v>45655</v>
      </c>
      <c r="G5572" s="41" t="s">
        <v>45656</v>
      </c>
      <c r="H5572" s="41" t="s">
        <v>45657</v>
      </c>
      <c r="I5572" s="41" t="s">
        <v>45658</v>
      </c>
      <c r="J5572" s="41" t="s">
        <v>45659</v>
      </c>
      <c r="L5572" s="41" t="s">
        <v>4</v>
      </c>
    </row>
    <row r="5573" spans="1:19" x14ac:dyDescent="0.25">
      <c r="A5573" s="41" t="s">
        <v>23</v>
      </c>
      <c r="B5573" s="41" t="s">
        <v>44275</v>
      </c>
      <c r="D5573" s="41" t="s">
        <v>44194</v>
      </c>
      <c r="E5573" s="41" t="s">
        <v>45660</v>
      </c>
      <c r="F5573" s="41" t="s">
        <v>45661</v>
      </c>
      <c r="G5573" s="41" t="s">
        <v>45662</v>
      </c>
      <c r="H5573" s="41" t="s">
        <v>45663</v>
      </c>
      <c r="I5573" s="41" t="s">
        <v>45664</v>
      </c>
      <c r="J5573" s="41" t="s">
        <v>45665</v>
      </c>
      <c r="K5573" s="41" t="s">
        <v>44276</v>
      </c>
      <c r="L5573" s="41" t="s">
        <v>45666</v>
      </c>
      <c r="M5573" s="41" t="s">
        <v>45667</v>
      </c>
      <c r="N5573" s="41" t="s">
        <v>45668</v>
      </c>
      <c r="O5573" s="41" t="s">
        <v>45669</v>
      </c>
      <c r="P5573" s="41" t="s">
        <v>45670</v>
      </c>
      <c r="Q5573" s="41" t="s">
        <v>45671</v>
      </c>
      <c r="R5573" s="41" t="s">
        <v>45672</v>
      </c>
      <c r="S5573" s="41" t="s">
        <v>45673</v>
      </c>
    </row>
    <row r="5574" spans="1:19" x14ac:dyDescent="0.25">
      <c r="A5574" s="41" t="s">
        <v>23</v>
      </c>
      <c r="B5574" s="41" t="s">
        <v>44277</v>
      </c>
      <c r="D5574" s="41" t="s">
        <v>44278</v>
      </c>
      <c r="F5574" s="41" t="s">
        <v>44279</v>
      </c>
      <c r="G5574" s="41" t="s">
        <v>44280</v>
      </c>
      <c r="H5574" s="41" t="s">
        <v>44281</v>
      </c>
      <c r="I5574" s="41" t="s">
        <v>44282</v>
      </c>
      <c r="J5574" s="41" t="s">
        <v>44283</v>
      </c>
      <c r="K5574" s="41" t="s">
        <v>44284</v>
      </c>
      <c r="L5574" s="41" t="s">
        <v>891</v>
      </c>
    </row>
    <row r="5575" spans="1:19" x14ac:dyDescent="0.25">
      <c r="A5575" s="41" t="s">
        <v>23</v>
      </c>
      <c r="B5575" s="41" t="s">
        <v>44285</v>
      </c>
      <c r="D5575" s="41" t="s">
        <v>44286</v>
      </c>
      <c r="F5575" s="41" t="s">
        <v>44287</v>
      </c>
      <c r="G5575" s="41" t="s">
        <v>44288</v>
      </c>
      <c r="H5575" s="41" t="s">
        <v>44289</v>
      </c>
      <c r="I5575" s="41" t="s">
        <v>44290</v>
      </c>
      <c r="J5575" s="41" t="s">
        <v>44291</v>
      </c>
      <c r="K5575" s="41" t="s">
        <v>44292</v>
      </c>
      <c r="L5575" s="41" t="s">
        <v>1076</v>
      </c>
    </row>
    <row r="5576" spans="1:19" x14ac:dyDescent="0.25">
      <c r="A5576" s="41" t="s">
        <v>23</v>
      </c>
      <c r="B5576" s="41" t="s">
        <v>44293</v>
      </c>
      <c r="D5576" s="41" t="s">
        <v>44294</v>
      </c>
      <c r="F5576" s="41" t="s">
        <v>44295</v>
      </c>
      <c r="G5576" s="41" t="s">
        <v>44296</v>
      </c>
      <c r="H5576" s="41" t="s">
        <v>44297</v>
      </c>
      <c r="I5576" s="41" t="s">
        <v>44298</v>
      </c>
      <c r="J5576" s="41" t="s">
        <v>44299</v>
      </c>
      <c r="K5576" s="41" t="s">
        <v>44300</v>
      </c>
      <c r="L5576" s="41" t="s">
        <v>1085</v>
      </c>
    </row>
    <row r="5577" spans="1:19" x14ac:dyDescent="0.25">
      <c r="A5577" s="41" t="s">
        <v>23</v>
      </c>
      <c r="B5577" s="41" t="s">
        <v>45674</v>
      </c>
      <c r="D5577" s="41" t="s">
        <v>45675</v>
      </c>
      <c r="F5577" s="41" t="s">
        <v>45676</v>
      </c>
      <c r="G5577" s="41" t="s">
        <v>45677</v>
      </c>
      <c r="H5577" s="41" t="s">
        <v>45678</v>
      </c>
      <c r="I5577" s="41" t="s">
        <v>45679</v>
      </c>
      <c r="J5577" s="41" t="s">
        <v>45680</v>
      </c>
      <c r="K5577" s="41" t="s">
        <v>45681</v>
      </c>
      <c r="L5577" s="41" t="s">
        <v>1094</v>
      </c>
    </row>
    <row r="5578" spans="1:19" x14ac:dyDescent="0.25">
      <c r="A5578" s="41" t="s">
        <v>908</v>
      </c>
      <c r="B5578" s="41" t="s">
        <v>45682</v>
      </c>
    </row>
    <row r="5579" spans="1:19" x14ac:dyDescent="0.25">
      <c r="A5579" s="41" t="s">
        <v>23</v>
      </c>
      <c r="B5579" s="41" t="s">
        <v>45683</v>
      </c>
      <c r="F5579" s="41" t="s">
        <v>45684</v>
      </c>
      <c r="G5579" s="41" t="s">
        <v>45685</v>
      </c>
      <c r="H5579" s="41" t="s">
        <v>45686</v>
      </c>
      <c r="I5579" s="41" t="s">
        <v>45687</v>
      </c>
      <c r="J5579" s="41" t="s">
        <v>45688</v>
      </c>
      <c r="L5579" s="41" t="s">
        <v>4</v>
      </c>
    </row>
    <row r="5580" spans="1:19" x14ac:dyDescent="0.25">
      <c r="A5580" s="41" t="s">
        <v>23</v>
      </c>
      <c r="B5580" s="41" t="s">
        <v>44302</v>
      </c>
      <c r="D5580" s="41" t="s">
        <v>44221</v>
      </c>
      <c r="E5580" s="41" t="s">
        <v>45689</v>
      </c>
      <c r="F5580" s="41" t="s">
        <v>45690</v>
      </c>
      <c r="G5580" s="41" t="s">
        <v>45691</v>
      </c>
      <c r="H5580" s="41" t="s">
        <v>45692</v>
      </c>
      <c r="I5580" s="41" t="s">
        <v>45693</v>
      </c>
      <c r="J5580" s="41" t="s">
        <v>45694</v>
      </c>
      <c r="K5580" s="41" t="s">
        <v>44303</v>
      </c>
      <c r="L5580" s="41" t="s">
        <v>45695</v>
      </c>
      <c r="M5580" s="41" t="s">
        <v>45696</v>
      </c>
      <c r="N5580" s="41" t="s">
        <v>45697</v>
      </c>
      <c r="O5580" s="41" t="s">
        <v>45698</v>
      </c>
      <c r="P5580" s="41" t="s">
        <v>45699</v>
      </c>
      <c r="Q5580" s="41" t="s">
        <v>45700</v>
      </c>
      <c r="R5580" s="41" t="s">
        <v>45701</v>
      </c>
      <c r="S5580" s="41" t="s">
        <v>45702</v>
      </c>
    </row>
    <row r="5581" spans="1:19" x14ac:dyDescent="0.25">
      <c r="A5581" s="41" t="s">
        <v>23</v>
      </c>
      <c r="B5581" s="41" t="s">
        <v>44304</v>
      </c>
      <c r="D5581" s="41" t="s">
        <v>44305</v>
      </c>
      <c r="F5581" s="41" t="s">
        <v>44306</v>
      </c>
      <c r="G5581" s="41" t="s">
        <v>44307</v>
      </c>
      <c r="H5581" s="41" t="s">
        <v>44308</v>
      </c>
      <c r="I5581" s="41" t="s">
        <v>44309</v>
      </c>
      <c r="J5581" s="41" t="s">
        <v>44310</v>
      </c>
      <c r="K5581" s="41" t="s">
        <v>44311</v>
      </c>
      <c r="L5581" s="41" t="s">
        <v>891</v>
      </c>
    </row>
    <row r="5582" spans="1:19" x14ac:dyDescent="0.25">
      <c r="A5582" s="41" t="s">
        <v>23</v>
      </c>
      <c r="B5582" s="41" t="s">
        <v>44312</v>
      </c>
      <c r="D5582" s="41" t="s">
        <v>44313</v>
      </c>
      <c r="F5582" s="41" t="s">
        <v>44314</v>
      </c>
      <c r="G5582" s="41" t="s">
        <v>44315</v>
      </c>
      <c r="H5582" s="41" t="s">
        <v>44316</v>
      </c>
      <c r="I5582" s="41" t="s">
        <v>44317</v>
      </c>
      <c r="J5582" s="41" t="s">
        <v>44318</v>
      </c>
      <c r="K5582" s="41" t="s">
        <v>44319</v>
      </c>
      <c r="L5582" s="41" t="s">
        <v>1076</v>
      </c>
    </row>
    <row r="5583" spans="1:19" x14ac:dyDescent="0.25">
      <c r="A5583" s="41" t="s">
        <v>23</v>
      </c>
      <c r="B5583" s="41" t="s">
        <v>44320</v>
      </c>
      <c r="D5583" s="41" t="s">
        <v>44321</v>
      </c>
      <c r="F5583" s="41" t="s">
        <v>44322</v>
      </c>
      <c r="G5583" s="41" t="s">
        <v>44323</v>
      </c>
      <c r="H5583" s="41" t="s">
        <v>44324</v>
      </c>
      <c r="I5583" s="41" t="s">
        <v>44325</v>
      </c>
      <c r="J5583" s="41" t="s">
        <v>44326</v>
      </c>
      <c r="K5583" s="41" t="s">
        <v>44327</v>
      </c>
      <c r="L5583" s="41" t="s">
        <v>1085</v>
      </c>
    </row>
    <row r="5584" spans="1:19" x14ac:dyDescent="0.25">
      <c r="A5584" s="41" t="s">
        <v>23</v>
      </c>
      <c r="B5584" s="41" t="s">
        <v>45703</v>
      </c>
      <c r="D5584" s="41" t="s">
        <v>45704</v>
      </c>
      <c r="F5584" s="41" t="s">
        <v>45705</v>
      </c>
      <c r="G5584" s="41" t="s">
        <v>45706</v>
      </c>
      <c r="H5584" s="41" t="s">
        <v>45707</v>
      </c>
      <c r="I5584" s="41" t="s">
        <v>45708</v>
      </c>
      <c r="J5584" s="41" t="s">
        <v>45709</v>
      </c>
      <c r="K5584" s="41" t="s">
        <v>45710</v>
      </c>
      <c r="L5584" s="41" t="s">
        <v>1094</v>
      </c>
    </row>
    <row r="5585" spans="1:19" x14ac:dyDescent="0.25">
      <c r="A5585" s="41" t="s">
        <v>908</v>
      </c>
      <c r="B5585" s="41" t="s">
        <v>45711</v>
      </c>
    </row>
    <row r="5586" spans="1:19" x14ac:dyDescent="0.25">
      <c r="A5586" s="41" t="s">
        <v>23</v>
      </c>
      <c r="B5586" s="41" t="s">
        <v>45712</v>
      </c>
      <c r="F5586" s="41" t="s">
        <v>45713</v>
      </c>
      <c r="G5586" s="41" t="s">
        <v>45714</v>
      </c>
      <c r="H5586" s="41" t="s">
        <v>45715</v>
      </c>
      <c r="I5586" s="41" t="s">
        <v>45716</v>
      </c>
      <c r="J5586" s="41" t="s">
        <v>45717</v>
      </c>
      <c r="L5586" s="41" t="s">
        <v>4</v>
      </c>
    </row>
    <row r="5587" spans="1:19" x14ac:dyDescent="0.25">
      <c r="A5587" s="41" t="s">
        <v>23</v>
      </c>
      <c r="B5587" s="41" t="s">
        <v>44328</v>
      </c>
      <c r="D5587" s="41" t="s">
        <v>510</v>
      </c>
      <c r="E5587" s="41" t="s">
        <v>45718</v>
      </c>
      <c r="F5587" s="41" t="s">
        <v>45719</v>
      </c>
      <c r="G5587" s="41" t="s">
        <v>45720</v>
      </c>
      <c r="H5587" s="41" t="s">
        <v>45721</v>
      </c>
      <c r="I5587" s="41" t="s">
        <v>45722</v>
      </c>
      <c r="J5587" s="41" t="s">
        <v>45723</v>
      </c>
      <c r="K5587" s="41" t="s">
        <v>44329</v>
      </c>
      <c r="L5587" s="41" t="s">
        <v>45724</v>
      </c>
      <c r="M5587" s="41" t="s">
        <v>45725</v>
      </c>
      <c r="N5587" s="41" t="s">
        <v>45726</v>
      </c>
      <c r="O5587" s="41" t="s">
        <v>45727</v>
      </c>
      <c r="P5587" s="41" t="s">
        <v>45728</v>
      </c>
      <c r="Q5587" s="41" t="s">
        <v>45729</v>
      </c>
      <c r="R5587" s="41" t="s">
        <v>45730</v>
      </c>
      <c r="S5587" s="41" t="s">
        <v>45731</v>
      </c>
    </row>
    <row r="5588" spans="1:19" x14ac:dyDescent="0.25">
      <c r="A5588" s="41" t="s">
        <v>23</v>
      </c>
      <c r="B5588" s="41" t="s">
        <v>44330</v>
      </c>
      <c r="D5588" s="41" t="s">
        <v>44331</v>
      </c>
      <c r="F5588" s="41" t="s">
        <v>44332</v>
      </c>
      <c r="G5588" s="41" t="s">
        <v>44333</v>
      </c>
      <c r="H5588" s="41" t="s">
        <v>44334</v>
      </c>
      <c r="I5588" s="41" t="s">
        <v>44335</v>
      </c>
      <c r="J5588" s="41" t="s">
        <v>44336</v>
      </c>
      <c r="K5588" s="41" t="s">
        <v>44337</v>
      </c>
      <c r="L5588" s="41" t="s">
        <v>891</v>
      </c>
    </row>
    <row r="5589" spans="1:19" x14ac:dyDescent="0.25">
      <c r="A5589" s="41" t="s">
        <v>23</v>
      </c>
      <c r="B5589" s="41" t="s">
        <v>44338</v>
      </c>
      <c r="D5589" s="41" t="s">
        <v>44339</v>
      </c>
      <c r="F5589" s="41" t="s">
        <v>44340</v>
      </c>
      <c r="G5589" s="41" t="s">
        <v>44341</v>
      </c>
      <c r="H5589" s="41" t="s">
        <v>44342</v>
      </c>
      <c r="I5589" s="41" t="s">
        <v>44343</v>
      </c>
      <c r="J5589" s="41" t="s">
        <v>44344</v>
      </c>
      <c r="K5589" s="41" t="s">
        <v>44345</v>
      </c>
      <c r="L5589" s="41" t="s">
        <v>1076</v>
      </c>
    </row>
    <row r="5590" spans="1:19" x14ac:dyDescent="0.25">
      <c r="A5590" s="41" t="s">
        <v>23</v>
      </c>
      <c r="B5590" s="41" t="s">
        <v>44346</v>
      </c>
      <c r="D5590" s="41" t="s">
        <v>44347</v>
      </c>
      <c r="F5590" s="41" t="s">
        <v>44348</v>
      </c>
      <c r="G5590" s="41" t="s">
        <v>44349</v>
      </c>
      <c r="H5590" s="41" t="s">
        <v>44350</v>
      </c>
      <c r="I5590" s="41" t="s">
        <v>44351</v>
      </c>
      <c r="J5590" s="41" t="s">
        <v>44352</v>
      </c>
      <c r="K5590" s="41" t="s">
        <v>44353</v>
      </c>
      <c r="L5590" s="41" t="s">
        <v>1085</v>
      </c>
    </row>
    <row r="5591" spans="1:19" x14ac:dyDescent="0.25">
      <c r="A5591" s="41" t="s">
        <v>23</v>
      </c>
      <c r="B5591" s="41" t="s">
        <v>45732</v>
      </c>
      <c r="D5591" s="41" t="s">
        <v>45733</v>
      </c>
      <c r="F5591" s="41" t="s">
        <v>45734</v>
      </c>
      <c r="G5591" s="41" t="s">
        <v>45735</v>
      </c>
      <c r="H5591" s="41" t="s">
        <v>45736</v>
      </c>
      <c r="I5591" s="41" t="s">
        <v>45737</v>
      </c>
      <c r="J5591" s="41" t="s">
        <v>45738</v>
      </c>
      <c r="K5591" s="41" t="s">
        <v>45739</v>
      </c>
      <c r="L5591" s="41" t="s">
        <v>1094</v>
      </c>
    </row>
    <row r="5592" spans="1:19" x14ac:dyDescent="0.25">
      <c r="A5592" s="41" t="s">
        <v>908</v>
      </c>
      <c r="B5592" s="41" t="s">
        <v>45740</v>
      </c>
    </row>
    <row r="5593" spans="1:19" x14ac:dyDescent="0.25">
      <c r="A5593" s="41" t="s">
        <v>23</v>
      </c>
      <c r="B5593" s="41" t="s">
        <v>45741</v>
      </c>
      <c r="F5593" s="41" t="s">
        <v>45742</v>
      </c>
      <c r="G5593" s="41" t="s">
        <v>45743</v>
      </c>
      <c r="H5593" s="41" t="s">
        <v>45744</v>
      </c>
      <c r="I5593" s="41" t="s">
        <v>45745</v>
      </c>
      <c r="J5593" s="41" t="s">
        <v>45746</v>
      </c>
      <c r="L5593" s="41" t="s">
        <v>4</v>
      </c>
    </row>
    <row r="5594" spans="1:19" x14ac:dyDescent="0.25">
      <c r="A5594" s="41" t="s">
        <v>23</v>
      </c>
      <c r="B5594" s="41" t="s">
        <v>44355</v>
      </c>
      <c r="D5594" s="41" t="s">
        <v>44274</v>
      </c>
      <c r="E5594" s="41" t="s">
        <v>45747</v>
      </c>
      <c r="F5594" s="41" t="s">
        <v>45748</v>
      </c>
      <c r="G5594" s="41" t="s">
        <v>45749</v>
      </c>
      <c r="H5594" s="41" t="s">
        <v>45750</v>
      </c>
      <c r="I5594" s="41" t="s">
        <v>45751</v>
      </c>
      <c r="J5594" s="41" t="s">
        <v>45752</v>
      </c>
      <c r="K5594" s="41" t="s">
        <v>44356</v>
      </c>
      <c r="L5594" s="41" t="s">
        <v>45753</v>
      </c>
      <c r="M5594" s="41" t="s">
        <v>45754</v>
      </c>
      <c r="N5594" s="41" t="s">
        <v>45755</v>
      </c>
      <c r="O5594" s="41" t="s">
        <v>45756</v>
      </c>
      <c r="P5594" s="41" t="s">
        <v>45757</v>
      </c>
      <c r="Q5594" s="41" t="s">
        <v>45758</v>
      </c>
      <c r="R5594" s="41" t="s">
        <v>45759</v>
      </c>
      <c r="S5594" s="41" t="s">
        <v>45760</v>
      </c>
    </row>
    <row r="5595" spans="1:19" x14ac:dyDescent="0.25">
      <c r="A5595" s="41" t="s">
        <v>23</v>
      </c>
      <c r="B5595" s="41" t="s">
        <v>44357</v>
      </c>
      <c r="D5595" s="41" t="s">
        <v>44358</v>
      </c>
      <c r="F5595" s="41" t="s">
        <v>44359</v>
      </c>
      <c r="G5595" s="41" t="s">
        <v>44360</v>
      </c>
      <c r="H5595" s="41" t="s">
        <v>44361</v>
      </c>
      <c r="I5595" s="41" t="s">
        <v>44362</v>
      </c>
      <c r="J5595" s="41" t="s">
        <v>44363</v>
      </c>
      <c r="K5595" s="41" t="s">
        <v>44364</v>
      </c>
      <c r="L5595" s="41" t="s">
        <v>891</v>
      </c>
    </row>
    <row r="5596" spans="1:19" x14ac:dyDescent="0.25">
      <c r="A5596" s="41" t="s">
        <v>23</v>
      </c>
      <c r="B5596" s="41" t="s">
        <v>44365</v>
      </c>
      <c r="D5596" s="41" t="s">
        <v>44366</v>
      </c>
      <c r="F5596" s="41" t="s">
        <v>44367</v>
      </c>
      <c r="G5596" s="41" t="s">
        <v>44368</v>
      </c>
      <c r="H5596" s="41" t="s">
        <v>44369</v>
      </c>
      <c r="I5596" s="41" t="s">
        <v>44370</v>
      </c>
      <c r="J5596" s="41" t="s">
        <v>44371</v>
      </c>
      <c r="K5596" s="41" t="s">
        <v>44372</v>
      </c>
      <c r="L5596" s="41" t="s">
        <v>1076</v>
      </c>
    </row>
    <row r="5597" spans="1:19" x14ac:dyDescent="0.25">
      <c r="A5597" s="41" t="s">
        <v>23</v>
      </c>
      <c r="B5597" s="41" t="s">
        <v>44373</v>
      </c>
      <c r="D5597" s="41" t="s">
        <v>44374</v>
      </c>
      <c r="F5597" s="41" t="s">
        <v>44375</v>
      </c>
      <c r="G5597" s="41" t="s">
        <v>44376</v>
      </c>
      <c r="H5597" s="41" t="s">
        <v>44377</v>
      </c>
      <c r="I5597" s="41" t="s">
        <v>44378</v>
      </c>
      <c r="J5597" s="41" t="s">
        <v>44379</v>
      </c>
      <c r="K5597" s="41" t="s">
        <v>44380</v>
      </c>
      <c r="L5597" s="41" t="s">
        <v>1085</v>
      </c>
    </row>
    <row r="5598" spans="1:19" x14ac:dyDescent="0.25">
      <c r="A5598" s="41" t="s">
        <v>23</v>
      </c>
      <c r="B5598" s="41" t="s">
        <v>45761</v>
      </c>
      <c r="D5598" s="41" t="s">
        <v>45762</v>
      </c>
      <c r="F5598" s="41" t="s">
        <v>45763</v>
      </c>
      <c r="G5598" s="41" t="s">
        <v>45764</v>
      </c>
      <c r="H5598" s="41" t="s">
        <v>45765</v>
      </c>
      <c r="I5598" s="41" t="s">
        <v>45766</v>
      </c>
      <c r="J5598" s="41" t="s">
        <v>45767</v>
      </c>
      <c r="K5598" s="41" t="s">
        <v>45768</v>
      </c>
      <c r="L5598" s="41" t="s">
        <v>1094</v>
      </c>
    </row>
    <row r="5599" spans="1:19" x14ac:dyDescent="0.25">
      <c r="A5599" s="41" t="s">
        <v>908</v>
      </c>
      <c r="B5599" s="41" t="s">
        <v>45769</v>
      </c>
    </row>
    <row r="5600" spans="1:19" x14ac:dyDescent="0.25">
      <c r="A5600" s="41" t="s">
        <v>23</v>
      </c>
      <c r="B5600" s="41" t="s">
        <v>45770</v>
      </c>
      <c r="F5600" s="41" t="s">
        <v>45771</v>
      </c>
      <c r="G5600" s="41" t="s">
        <v>45772</v>
      </c>
      <c r="H5600" s="41" t="s">
        <v>45773</v>
      </c>
      <c r="I5600" s="41" t="s">
        <v>45774</v>
      </c>
      <c r="J5600" s="41" t="s">
        <v>45775</v>
      </c>
      <c r="L5600" s="41" t="s">
        <v>4</v>
      </c>
    </row>
    <row r="5601" spans="1:19" x14ac:dyDescent="0.25">
      <c r="A5601" s="41" t="s">
        <v>23</v>
      </c>
      <c r="B5601" s="41" t="s">
        <v>44382</v>
      </c>
      <c r="D5601" s="41" t="s">
        <v>44301</v>
      </c>
      <c r="E5601" s="41" t="s">
        <v>45776</v>
      </c>
      <c r="F5601" s="41" t="s">
        <v>45777</v>
      </c>
      <c r="G5601" s="41" t="s">
        <v>45778</v>
      </c>
      <c r="H5601" s="41" t="s">
        <v>45779</v>
      </c>
      <c r="I5601" s="41" t="s">
        <v>45780</v>
      </c>
      <c r="J5601" s="41" t="s">
        <v>45781</v>
      </c>
      <c r="K5601" s="41" t="s">
        <v>44383</v>
      </c>
      <c r="L5601" s="41" t="s">
        <v>45782</v>
      </c>
      <c r="M5601" s="41" t="s">
        <v>45783</v>
      </c>
      <c r="N5601" s="41" t="s">
        <v>45784</v>
      </c>
      <c r="O5601" s="41" t="s">
        <v>45785</v>
      </c>
      <c r="P5601" s="41" t="s">
        <v>45786</v>
      </c>
      <c r="Q5601" s="41" t="s">
        <v>45787</v>
      </c>
      <c r="R5601" s="41" t="s">
        <v>45788</v>
      </c>
      <c r="S5601" s="41" t="s">
        <v>45789</v>
      </c>
    </row>
    <row r="5602" spans="1:19" x14ac:dyDescent="0.25">
      <c r="A5602" s="41" t="s">
        <v>23</v>
      </c>
      <c r="B5602" s="41" t="s">
        <v>44384</v>
      </c>
      <c r="D5602" s="41" t="s">
        <v>44385</v>
      </c>
      <c r="F5602" s="41" t="s">
        <v>44386</v>
      </c>
      <c r="G5602" s="41" t="s">
        <v>44387</v>
      </c>
      <c r="H5602" s="41" t="s">
        <v>44388</v>
      </c>
      <c r="I5602" s="41" t="s">
        <v>44389</v>
      </c>
      <c r="J5602" s="41" t="s">
        <v>44390</v>
      </c>
      <c r="K5602" s="41" t="s">
        <v>44391</v>
      </c>
      <c r="L5602" s="41" t="s">
        <v>891</v>
      </c>
    </row>
    <row r="5603" spans="1:19" x14ac:dyDescent="0.25">
      <c r="A5603" s="41" t="s">
        <v>23</v>
      </c>
      <c r="B5603" s="41" t="s">
        <v>44392</v>
      </c>
      <c r="D5603" s="41" t="s">
        <v>44393</v>
      </c>
      <c r="F5603" s="41" t="s">
        <v>44394</v>
      </c>
      <c r="G5603" s="41" t="s">
        <v>44395</v>
      </c>
      <c r="H5603" s="41" t="s">
        <v>44396</v>
      </c>
      <c r="I5603" s="41" t="s">
        <v>44397</v>
      </c>
      <c r="J5603" s="41" t="s">
        <v>44398</v>
      </c>
      <c r="K5603" s="41" t="s">
        <v>44399</v>
      </c>
      <c r="L5603" s="41" t="s">
        <v>1076</v>
      </c>
    </row>
    <row r="5604" spans="1:19" x14ac:dyDescent="0.25">
      <c r="A5604" s="41" t="s">
        <v>23</v>
      </c>
      <c r="B5604" s="41" t="s">
        <v>44400</v>
      </c>
      <c r="D5604" s="41" t="s">
        <v>44401</v>
      </c>
      <c r="F5604" s="41" t="s">
        <v>44402</v>
      </c>
      <c r="G5604" s="41" t="s">
        <v>44403</v>
      </c>
      <c r="H5604" s="41" t="s">
        <v>44404</v>
      </c>
      <c r="I5604" s="41" t="s">
        <v>44405</v>
      </c>
      <c r="J5604" s="41" t="s">
        <v>44406</v>
      </c>
      <c r="K5604" s="41" t="s">
        <v>44407</v>
      </c>
      <c r="L5604" s="41" t="s">
        <v>1085</v>
      </c>
    </row>
    <row r="5605" spans="1:19" x14ac:dyDescent="0.25">
      <c r="A5605" s="41" t="s">
        <v>23</v>
      </c>
      <c r="B5605" s="41" t="s">
        <v>45790</v>
      </c>
      <c r="D5605" s="41" t="s">
        <v>45791</v>
      </c>
      <c r="F5605" s="41" t="s">
        <v>45792</v>
      </c>
      <c r="G5605" s="41" t="s">
        <v>45793</v>
      </c>
      <c r="H5605" s="41" t="s">
        <v>45794</v>
      </c>
      <c r="I5605" s="41" t="s">
        <v>45795</v>
      </c>
      <c r="J5605" s="41" t="s">
        <v>45796</v>
      </c>
      <c r="K5605" s="41" t="s">
        <v>45797</v>
      </c>
      <c r="L5605" s="41" t="s">
        <v>1094</v>
      </c>
    </row>
    <row r="5606" spans="1:19" x14ac:dyDescent="0.25">
      <c r="A5606" s="41" t="s">
        <v>908</v>
      </c>
      <c r="B5606" s="41" t="s">
        <v>45798</v>
      </c>
    </row>
    <row r="5607" spans="1:19" x14ac:dyDescent="0.25">
      <c r="A5607" s="41" t="s">
        <v>23</v>
      </c>
      <c r="B5607" s="41" t="s">
        <v>45799</v>
      </c>
      <c r="F5607" s="41" t="s">
        <v>45800</v>
      </c>
      <c r="G5607" s="41" t="s">
        <v>45801</v>
      </c>
      <c r="H5607" s="41" t="s">
        <v>45802</v>
      </c>
      <c r="I5607" s="41" t="s">
        <v>45803</v>
      </c>
      <c r="J5607" s="41" t="s">
        <v>45804</v>
      </c>
      <c r="L5607" s="41" t="s">
        <v>4</v>
      </c>
    </row>
    <row r="5608" spans="1:19" x14ac:dyDescent="0.25">
      <c r="A5608" s="41" t="s">
        <v>23</v>
      </c>
      <c r="B5608" s="41" t="s">
        <v>44409</v>
      </c>
      <c r="D5608" s="41" t="s">
        <v>886</v>
      </c>
      <c r="E5608" s="41" t="s">
        <v>45805</v>
      </c>
      <c r="F5608" s="41" t="s">
        <v>45806</v>
      </c>
      <c r="G5608" s="41" t="s">
        <v>45807</v>
      </c>
      <c r="H5608" s="41" t="s">
        <v>45808</v>
      </c>
      <c r="I5608" s="41" t="s">
        <v>45809</v>
      </c>
      <c r="J5608" s="41" t="s">
        <v>45810</v>
      </c>
      <c r="K5608" s="41" t="s">
        <v>44410</v>
      </c>
      <c r="L5608" s="41" t="s">
        <v>45811</v>
      </c>
      <c r="M5608" s="41" t="s">
        <v>45812</v>
      </c>
      <c r="N5608" s="41" t="s">
        <v>45813</v>
      </c>
      <c r="O5608" s="41" t="s">
        <v>45814</v>
      </c>
      <c r="P5608" s="41" t="s">
        <v>45815</v>
      </c>
      <c r="Q5608" s="41" t="s">
        <v>45816</v>
      </c>
      <c r="R5608" s="41" t="s">
        <v>45817</v>
      </c>
      <c r="S5608" s="41" t="s">
        <v>45818</v>
      </c>
    </row>
    <row r="5609" spans="1:19" x14ac:dyDescent="0.25">
      <c r="A5609" s="41" t="s">
        <v>23</v>
      </c>
      <c r="B5609" s="41" t="s">
        <v>44411</v>
      </c>
      <c r="D5609" s="41" t="s">
        <v>44412</v>
      </c>
      <c r="F5609" s="41" t="s">
        <v>44413</v>
      </c>
      <c r="G5609" s="41" t="s">
        <v>44414</v>
      </c>
      <c r="H5609" s="41" t="s">
        <v>44415</v>
      </c>
      <c r="I5609" s="41" t="s">
        <v>44416</v>
      </c>
      <c r="J5609" s="41" t="s">
        <v>44417</v>
      </c>
      <c r="K5609" s="41" t="s">
        <v>44418</v>
      </c>
      <c r="L5609" s="41" t="s">
        <v>891</v>
      </c>
    </row>
    <row r="5610" spans="1:19" x14ac:dyDescent="0.25">
      <c r="A5610" s="41" t="s">
        <v>23</v>
      </c>
      <c r="B5610" s="41" t="s">
        <v>44419</v>
      </c>
      <c r="D5610" s="41" t="s">
        <v>44420</v>
      </c>
      <c r="F5610" s="41" t="s">
        <v>44421</v>
      </c>
      <c r="G5610" s="41" t="s">
        <v>44422</v>
      </c>
      <c r="H5610" s="41" t="s">
        <v>44423</v>
      </c>
      <c r="I5610" s="41" t="s">
        <v>44424</v>
      </c>
      <c r="J5610" s="41" t="s">
        <v>44425</v>
      </c>
      <c r="K5610" s="41" t="s">
        <v>44426</v>
      </c>
      <c r="L5610" s="41" t="s">
        <v>1076</v>
      </c>
    </row>
    <row r="5611" spans="1:19" x14ac:dyDescent="0.25">
      <c r="A5611" s="41" t="s">
        <v>23</v>
      </c>
      <c r="B5611" s="41" t="s">
        <v>44427</v>
      </c>
      <c r="D5611" s="41" t="s">
        <v>44428</v>
      </c>
      <c r="F5611" s="41" t="s">
        <v>44429</v>
      </c>
      <c r="G5611" s="41" t="s">
        <v>44430</v>
      </c>
      <c r="H5611" s="41" t="s">
        <v>44431</v>
      </c>
      <c r="I5611" s="41" t="s">
        <v>44432</v>
      </c>
      <c r="J5611" s="41" t="s">
        <v>44433</v>
      </c>
      <c r="K5611" s="41" t="s">
        <v>44434</v>
      </c>
      <c r="L5611" s="41" t="s">
        <v>1085</v>
      </c>
    </row>
    <row r="5612" spans="1:19" x14ac:dyDescent="0.25">
      <c r="A5612" s="41" t="s">
        <v>23</v>
      </c>
      <c r="B5612" s="41" t="s">
        <v>45819</v>
      </c>
      <c r="D5612" s="41" t="s">
        <v>45820</v>
      </c>
      <c r="F5612" s="41" t="s">
        <v>45821</v>
      </c>
      <c r="G5612" s="41" t="s">
        <v>45822</v>
      </c>
      <c r="H5612" s="41" t="s">
        <v>45823</v>
      </c>
      <c r="I5612" s="41" t="s">
        <v>45824</v>
      </c>
      <c r="J5612" s="41" t="s">
        <v>45825</v>
      </c>
      <c r="K5612" s="41" t="s">
        <v>45826</v>
      </c>
      <c r="L5612" s="41" t="s">
        <v>1094</v>
      </c>
    </row>
    <row r="5613" spans="1:19" x14ac:dyDescent="0.25">
      <c r="A5613" s="41" t="s">
        <v>908</v>
      </c>
      <c r="B5613" s="41" t="s">
        <v>45827</v>
      </c>
    </row>
    <row r="5614" spans="1:19" x14ac:dyDescent="0.25">
      <c r="A5614" s="41" t="s">
        <v>23</v>
      </c>
      <c r="B5614" s="41" t="s">
        <v>45828</v>
      </c>
      <c r="F5614" s="41" t="s">
        <v>45829</v>
      </c>
      <c r="G5614" s="41" t="s">
        <v>45830</v>
      </c>
      <c r="H5614" s="41" t="s">
        <v>45831</v>
      </c>
      <c r="I5614" s="41" t="s">
        <v>45832</v>
      </c>
      <c r="J5614" s="41" t="s">
        <v>45833</v>
      </c>
      <c r="L5614" s="41" t="s">
        <v>4</v>
      </c>
    </row>
    <row r="5615" spans="1:19" x14ac:dyDescent="0.25">
      <c r="A5615" s="41" t="s">
        <v>23</v>
      </c>
      <c r="B5615" s="41" t="s">
        <v>44436</v>
      </c>
      <c r="D5615" s="41" t="s">
        <v>44354</v>
      </c>
      <c r="E5615" s="41" t="s">
        <v>45834</v>
      </c>
      <c r="F5615" s="41" t="s">
        <v>45835</v>
      </c>
      <c r="G5615" s="41" t="s">
        <v>45836</v>
      </c>
      <c r="H5615" s="41" t="s">
        <v>45837</v>
      </c>
      <c r="I5615" s="41" t="s">
        <v>45838</v>
      </c>
      <c r="J5615" s="41" t="s">
        <v>45839</v>
      </c>
      <c r="K5615" s="41" t="s">
        <v>44437</v>
      </c>
      <c r="L5615" s="41" t="s">
        <v>45840</v>
      </c>
      <c r="M5615" s="41" t="s">
        <v>45841</v>
      </c>
      <c r="N5615" s="41" t="s">
        <v>45842</v>
      </c>
      <c r="O5615" s="41" t="s">
        <v>45843</v>
      </c>
      <c r="P5615" s="41" t="s">
        <v>45844</v>
      </c>
      <c r="Q5615" s="41" t="s">
        <v>45845</v>
      </c>
      <c r="R5615" s="41" t="s">
        <v>45846</v>
      </c>
      <c r="S5615" s="41" t="s">
        <v>45847</v>
      </c>
    </row>
    <row r="5616" spans="1:19" x14ac:dyDescent="0.25">
      <c r="A5616" s="41" t="s">
        <v>23</v>
      </c>
      <c r="B5616" s="41" t="s">
        <v>44438</v>
      </c>
      <c r="D5616" s="41" t="s">
        <v>44439</v>
      </c>
      <c r="F5616" s="41" t="s">
        <v>44440</v>
      </c>
      <c r="G5616" s="41" t="s">
        <v>44441</v>
      </c>
      <c r="H5616" s="41" t="s">
        <v>44442</v>
      </c>
      <c r="I5616" s="41" t="s">
        <v>44443</v>
      </c>
      <c r="J5616" s="41" t="s">
        <v>44444</v>
      </c>
      <c r="K5616" s="41" t="s">
        <v>44445</v>
      </c>
      <c r="L5616" s="41" t="s">
        <v>891</v>
      </c>
    </row>
    <row r="5617" spans="1:19" x14ac:dyDescent="0.25">
      <c r="A5617" s="41" t="s">
        <v>23</v>
      </c>
      <c r="B5617" s="41" t="s">
        <v>44446</v>
      </c>
      <c r="D5617" s="41" t="s">
        <v>44447</v>
      </c>
      <c r="F5617" s="41" t="s">
        <v>44448</v>
      </c>
      <c r="G5617" s="41" t="s">
        <v>44449</v>
      </c>
      <c r="H5617" s="41" t="s">
        <v>44450</v>
      </c>
      <c r="I5617" s="41" t="s">
        <v>44451</v>
      </c>
      <c r="J5617" s="41" t="s">
        <v>44452</v>
      </c>
      <c r="K5617" s="41" t="s">
        <v>44453</v>
      </c>
      <c r="L5617" s="41" t="s">
        <v>1076</v>
      </c>
    </row>
    <row r="5618" spans="1:19" x14ac:dyDescent="0.25">
      <c r="A5618" s="41" t="s">
        <v>23</v>
      </c>
      <c r="B5618" s="41" t="s">
        <v>44454</v>
      </c>
      <c r="D5618" s="41" t="s">
        <v>44455</v>
      </c>
      <c r="F5618" s="41" t="s">
        <v>44456</v>
      </c>
      <c r="G5618" s="41" t="s">
        <v>44457</v>
      </c>
      <c r="H5618" s="41" t="s">
        <v>44458</v>
      </c>
      <c r="I5618" s="41" t="s">
        <v>44459</v>
      </c>
      <c r="J5618" s="41" t="s">
        <v>44460</v>
      </c>
      <c r="K5618" s="41" t="s">
        <v>44461</v>
      </c>
      <c r="L5618" s="41" t="s">
        <v>1085</v>
      </c>
    </row>
    <row r="5619" spans="1:19" x14ac:dyDescent="0.25">
      <c r="A5619" s="41" t="s">
        <v>23</v>
      </c>
      <c r="B5619" s="41" t="s">
        <v>45848</v>
      </c>
      <c r="D5619" s="41" t="s">
        <v>45849</v>
      </c>
      <c r="F5619" s="41" t="s">
        <v>45850</v>
      </c>
      <c r="G5619" s="41" t="s">
        <v>45851</v>
      </c>
      <c r="H5619" s="41" t="s">
        <v>45852</v>
      </c>
      <c r="I5619" s="41" t="s">
        <v>45853</v>
      </c>
      <c r="J5619" s="41" t="s">
        <v>45854</v>
      </c>
      <c r="K5619" s="41" t="s">
        <v>45855</v>
      </c>
      <c r="L5619" s="41" t="s">
        <v>1094</v>
      </c>
    </row>
    <row r="5620" spans="1:19" x14ac:dyDescent="0.25">
      <c r="A5620" s="41" t="s">
        <v>908</v>
      </c>
      <c r="B5620" s="41" t="s">
        <v>45856</v>
      </c>
    </row>
    <row r="5621" spans="1:19" x14ac:dyDescent="0.25">
      <c r="A5621" s="41" t="s">
        <v>23</v>
      </c>
      <c r="B5621" s="41" t="s">
        <v>45857</v>
      </c>
      <c r="F5621" s="41" t="s">
        <v>45858</v>
      </c>
      <c r="G5621" s="41" t="s">
        <v>45859</v>
      </c>
      <c r="H5621" s="41" t="s">
        <v>45860</v>
      </c>
      <c r="I5621" s="41" t="s">
        <v>45861</v>
      </c>
      <c r="J5621" s="41" t="s">
        <v>45862</v>
      </c>
      <c r="L5621" s="41" t="s">
        <v>4</v>
      </c>
    </row>
    <row r="5622" spans="1:19" x14ac:dyDescent="0.25">
      <c r="A5622" s="41" t="s">
        <v>23</v>
      </c>
      <c r="B5622" s="41" t="s">
        <v>44463</v>
      </c>
      <c r="D5622" s="41" t="s">
        <v>44381</v>
      </c>
      <c r="E5622" s="41" t="s">
        <v>45863</v>
      </c>
      <c r="F5622" s="41" t="s">
        <v>45864</v>
      </c>
      <c r="G5622" s="41" t="s">
        <v>45865</v>
      </c>
      <c r="H5622" s="41" t="s">
        <v>45866</v>
      </c>
      <c r="I5622" s="41" t="s">
        <v>45867</v>
      </c>
      <c r="J5622" s="41" t="s">
        <v>45868</v>
      </c>
      <c r="K5622" s="41" t="s">
        <v>44464</v>
      </c>
      <c r="L5622" s="41" t="s">
        <v>45869</v>
      </c>
      <c r="M5622" s="41" t="s">
        <v>45870</v>
      </c>
      <c r="N5622" s="41" t="s">
        <v>45871</v>
      </c>
      <c r="O5622" s="41" t="s">
        <v>45872</v>
      </c>
      <c r="P5622" s="41" t="s">
        <v>45873</v>
      </c>
      <c r="Q5622" s="41" t="s">
        <v>45874</v>
      </c>
      <c r="R5622" s="41" t="s">
        <v>45875</v>
      </c>
      <c r="S5622" s="41" t="s">
        <v>45876</v>
      </c>
    </row>
    <row r="5623" spans="1:19" x14ac:dyDescent="0.25">
      <c r="A5623" s="41" t="s">
        <v>23</v>
      </c>
      <c r="B5623" s="41" t="s">
        <v>44465</v>
      </c>
      <c r="D5623" s="41" t="s">
        <v>44466</v>
      </c>
      <c r="F5623" s="41" t="s">
        <v>44467</v>
      </c>
      <c r="G5623" s="41" t="s">
        <v>44468</v>
      </c>
      <c r="H5623" s="41" t="s">
        <v>44469</v>
      </c>
      <c r="I5623" s="41" t="s">
        <v>44470</v>
      </c>
      <c r="J5623" s="41" t="s">
        <v>44471</v>
      </c>
      <c r="K5623" s="41" t="s">
        <v>44472</v>
      </c>
      <c r="L5623" s="41" t="s">
        <v>891</v>
      </c>
    </row>
    <row r="5624" spans="1:19" x14ac:dyDescent="0.25">
      <c r="A5624" s="41" t="s">
        <v>23</v>
      </c>
      <c r="B5624" s="41" t="s">
        <v>44473</v>
      </c>
      <c r="D5624" s="41" t="s">
        <v>44474</v>
      </c>
      <c r="F5624" s="41" t="s">
        <v>44475</v>
      </c>
      <c r="G5624" s="41" t="s">
        <v>44476</v>
      </c>
      <c r="H5624" s="41" t="s">
        <v>44477</v>
      </c>
      <c r="I5624" s="41" t="s">
        <v>44478</v>
      </c>
      <c r="J5624" s="41" t="s">
        <v>44479</v>
      </c>
      <c r="K5624" s="41" t="s">
        <v>44480</v>
      </c>
      <c r="L5624" s="41" t="s">
        <v>1076</v>
      </c>
    </row>
    <row r="5625" spans="1:19" x14ac:dyDescent="0.25">
      <c r="A5625" s="41" t="s">
        <v>23</v>
      </c>
      <c r="B5625" s="41" t="s">
        <v>44481</v>
      </c>
      <c r="D5625" s="41" t="s">
        <v>44482</v>
      </c>
      <c r="F5625" s="41" t="s">
        <v>44483</v>
      </c>
      <c r="G5625" s="41" t="s">
        <v>44484</v>
      </c>
      <c r="H5625" s="41" t="s">
        <v>44485</v>
      </c>
      <c r="I5625" s="41" t="s">
        <v>44486</v>
      </c>
      <c r="J5625" s="41" t="s">
        <v>44487</v>
      </c>
      <c r="K5625" s="41" t="s">
        <v>44488</v>
      </c>
      <c r="L5625" s="41" t="s">
        <v>1085</v>
      </c>
    </row>
    <row r="5626" spans="1:19" x14ac:dyDescent="0.25">
      <c r="A5626" s="41" t="s">
        <v>23</v>
      </c>
      <c r="B5626" s="41" t="s">
        <v>45877</v>
      </c>
      <c r="D5626" s="41" t="s">
        <v>45878</v>
      </c>
      <c r="F5626" s="41" t="s">
        <v>45879</v>
      </c>
      <c r="G5626" s="41" t="s">
        <v>45880</v>
      </c>
      <c r="H5626" s="41" t="s">
        <v>45881</v>
      </c>
      <c r="I5626" s="41" t="s">
        <v>45882</v>
      </c>
      <c r="J5626" s="41" t="s">
        <v>45883</v>
      </c>
      <c r="K5626" s="41" t="s">
        <v>45884</v>
      </c>
      <c r="L5626" s="41" t="s">
        <v>1094</v>
      </c>
    </row>
    <row r="5627" spans="1:19" x14ac:dyDescent="0.25">
      <c r="A5627" s="41" t="s">
        <v>908</v>
      </c>
      <c r="B5627" s="41" t="s">
        <v>45885</v>
      </c>
    </row>
    <row r="5628" spans="1:19" x14ac:dyDescent="0.25">
      <c r="A5628" s="41" t="s">
        <v>23</v>
      </c>
      <c r="B5628" s="41" t="s">
        <v>45886</v>
      </c>
      <c r="F5628" s="41" t="s">
        <v>45887</v>
      </c>
      <c r="G5628" s="41" t="s">
        <v>45888</v>
      </c>
      <c r="H5628" s="41" t="s">
        <v>45889</v>
      </c>
      <c r="I5628" s="41" t="s">
        <v>45890</v>
      </c>
      <c r="J5628" s="41" t="s">
        <v>45891</v>
      </c>
      <c r="L5628" s="41" t="s">
        <v>4</v>
      </c>
    </row>
    <row r="5629" spans="1:19" x14ac:dyDescent="0.25">
      <c r="A5629" s="41" t="s">
        <v>23</v>
      </c>
      <c r="B5629" s="41" t="s">
        <v>44490</v>
      </c>
      <c r="D5629" s="41" t="s">
        <v>44408</v>
      </c>
      <c r="E5629" s="41" t="s">
        <v>45892</v>
      </c>
      <c r="F5629" s="41" t="s">
        <v>45893</v>
      </c>
      <c r="G5629" s="41" t="s">
        <v>45894</v>
      </c>
      <c r="H5629" s="41" t="s">
        <v>45895</v>
      </c>
      <c r="I5629" s="41" t="s">
        <v>45896</v>
      </c>
      <c r="J5629" s="41" t="s">
        <v>45897</v>
      </c>
      <c r="K5629" s="41" t="s">
        <v>44491</v>
      </c>
      <c r="L5629" s="41" t="s">
        <v>45898</v>
      </c>
      <c r="M5629" s="41" t="s">
        <v>45899</v>
      </c>
      <c r="N5629" s="41" t="s">
        <v>45900</v>
      </c>
      <c r="O5629" s="41" t="s">
        <v>45901</v>
      </c>
      <c r="P5629" s="41" t="s">
        <v>45902</v>
      </c>
      <c r="Q5629" s="41" t="s">
        <v>45903</v>
      </c>
      <c r="R5629" s="41" t="s">
        <v>45904</v>
      </c>
      <c r="S5629" s="41" t="s">
        <v>45905</v>
      </c>
    </row>
    <row r="5630" spans="1:19" x14ac:dyDescent="0.25">
      <c r="A5630" s="41" t="s">
        <v>23</v>
      </c>
      <c r="B5630" s="41" t="s">
        <v>44492</v>
      </c>
      <c r="D5630" s="41" t="s">
        <v>44493</v>
      </c>
      <c r="F5630" s="41" t="s">
        <v>44494</v>
      </c>
      <c r="G5630" s="41" t="s">
        <v>44495</v>
      </c>
      <c r="H5630" s="41" t="s">
        <v>44496</v>
      </c>
      <c r="I5630" s="41" t="s">
        <v>44497</v>
      </c>
      <c r="J5630" s="41" t="s">
        <v>44498</v>
      </c>
      <c r="K5630" s="41" t="s">
        <v>44499</v>
      </c>
      <c r="L5630" s="41" t="s">
        <v>891</v>
      </c>
    </row>
    <row r="5631" spans="1:19" x14ac:dyDescent="0.25">
      <c r="A5631" s="41" t="s">
        <v>23</v>
      </c>
      <c r="B5631" s="41" t="s">
        <v>44500</v>
      </c>
      <c r="D5631" s="41" t="s">
        <v>44501</v>
      </c>
      <c r="F5631" s="41" t="s">
        <v>44502</v>
      </c>
      <c r="G5631" s="41" t="s">
        <v>44503</v>
      </c>
      <c r="H5631" s="41" t="s">
        <v>44504</v>
      </c>
      <c r="I5631" s="41" t="s">
        <v>44505</v>
      </c>
      <c r="J5631" s="41" t="s">
        <v>44506</v>
      </c>
      <c r="K5631" s="41" t="s">
        <v>44507</v>
      </c>
      <c r="L5631" s="41" t="s">
        <v>1076</v>
      </c>
    </row>
    <row r="5632" spans="1:19" x14ac:dyDescent="0.25">
      <c r="A5632" s="41" t="s">
        <v>23</v>
      </c>
      <c r="B5632" s="41" t="s">
        <v>44508</v>
      </c>
      <c r="D5632" s="41" t="s">
        <v>44509</v>
      </c>
      <c r="F5632" s="41" t="s">
        <v>44510</v>
      </c>
      <c r="G5632" s="41" t="s">
        <v>44511</v>
      </c>
      <c r="H5632" s="41" t="s">
        <v>44512</v>
      </c>
      <c r="I5632" s="41" t="s">
        <v>44513</v>
      </c>
      <c r="J5632" s="41" t="s">
        <v>44514</v>
      </c>
      <c r="K5632" s="41" t="s">
        <v>44515</v>
      </c>
      <c r="L5632" s="41" t="s">
        <v>1085</v>
      </c>
    </row>
    <row r="5633" spans="1:19" x14ac:dyDescent="0.25">
      <c r="A5633" s="41" t="s">
        <v>23</v>
      </c>
      <c r="B5633" s="41" t="s">
        <v>45906</v>
      </c>
      <c r="D5633" s="41" t="s">
        <v>45907</v>
      </c>
      <c r="F5633" s="41" t="s">
        <v>45908</v>
      </c>
      <c r="G5633" s="41" t="s">
        <v>45909</v>
      </c>
      <c r="H5633" s="41" t="s">
        <v>45910</v>
      </c>
      <c r="I5633" s="41" t="s">
        <v>45911</v>
      </c>
      <c r="J5633" s="41" t="s">
        <v>45912</v>
      </c>
      <c r="K5633" s="41" t="s">
        <v>45913</v>
      </c>
      <c r="L5633" s="41" t="s">
        <v>1094</v>
      </c>
    </row>
    <row r="5634" spans="1:19" x14ac:dyDescent="0.25">
      <c r="A5634" s="41" t="s">
        <v>908</v>
      </c>
      <c r="B5634" s="41" t="s">
        <v>45914</v>
      </c>
    </row>
    <row r="5635" spans="1:19" x14ac:dyDescent="0.25">
      <c r="A5635" s="41" t="s">
        <v>23</v>
      </c>
      <c r="B5635" s="41" t="s">
        <v>45915</v>
      </c>
      <c r="F5635" s="41" t="s">
        <v>45916</v>
      </c>
      <c r="G5635" s="41" t="s">
        <v>45917</v>
      </c>
      <c r="H5635" s="41" t="s">
        <v>45918</v>
      </c>
      <c r="I5635" s="41" t="s">
        <v>45919</v>
      </c>
      <c r="J5635" s="41" t="s">
        <v>45920</v>
      </c>
      <c r="L5635" s="41" t="s">
        <v>4</v>
      </c>
    </row>
    <row r="5636" spans="1:19" x14ac:dyDescent="0.25">
      <c r="A5636" s="41" t="s">
        <v>23</v>
      </c>
      <c r="B5636" s="41" t="s">
        <v>44517</v>
      </c>
      <c r="D5636" s="41" t="s">
        <v>44435</v>
      </c>
      <c r="E5636" s="41" t="s">
        <v>45921</v>
      </c>
      <c r="F5636" s="41" t="s">
        <v>45922</v>
      </c>
      <c r="G5636" s="41" t="s">
        <v>45923</v>
      </c>
      <c r="H5636" s="41" t="s">
        <v>45924</v>
      </c>
      <c r="I5636" s="41" t="s">
        <v>45925</v>
      </c>
      <c r="J5636" s="41" t="s">
        <v>45926</v>
      </c>
      <c r="K5636" s="41" t="s">
        <v>44518</v>
      </c>
      <c r="L5636" s="41" t="s">
        <v>45927</v>
      </c>
      <c r="M5636" s="41" t="s">
        <v>45928</v>
      </c>
      <c r="N5636" s="41" t="s">
        <v>45929</v>
      </c>
      <c r="O5636" s="41" t="s">
        <v>45930</v>
      </c>
      <c r="P5636" s="41" t="s">
        <v>45931</v>
      </c>
      <c r="Q5636" s="41" t="s">
        <v>45932</v>
      </c>
      <c r="R5636" s="41" t="s">
        <v>45933</v>
      </c>
      <c r="S5636" s="41" t="s">
        <v>45934</v>
      </c>
    </row>
    <row r="5637" spans="1:19" x14ac:dyDescent="0.25">
      <c r="A5637" s="41" t="s">
        <v>23</v>
      </c>
      <c r="B5637" s="41" t="s">
        <v>44519</v>
      </c>
      <c r="D5637" s="41" t="s">
        <v>44520</v>
      </c>
      <c r="F5637" s="41" t="s">
        <v>44521</v>
      </c>
      <c r="G5637" s="41" t="s">
        <v>44522</v>
      </c>
      <c r="H5637" s="41" t="s">
        <v>44523</v>
      </c>
      <c r="I5637" s="41" t="s">
        <v>44524</v>
      </c>
      <c r="J5637" s="41" t="s">
        <v>44525</v>
      </c>
      <c r="K5637" s="41" t="s">
        <v>44526</v>
      </c>
      <c r="L5637" s="41" t="s">
        <v>891</v>
      </c>
    </row>
    <row r="5638" spans="1:19" x14ac:dyDescent="0.25">
      <c r="A5638" s="41" t="s">
        <v>23</v>
      </c>
      <c r="B5638" s="41" t="s">
        <v>44527</v>
      </c>
      <c r="D5638" s="41" t="s">
        <v>44528</v>
      </c>
      <c r="F5638" s="41" t="s">
        <v>44529</v>
      </c>
      <c r="G5638" s="41" t="s">
        <v>44530</v>
      </c>
      <c r="H5638" s="41" t="s">
        <v>44531</v>
      </c>
      <c r="I5638" s="41" t="s">
        <v>44532</v>
      </c>
      <c r="J5638" s="41" t="s">
        <v>44533</v>
      </c>
      <c r="K5638" s="41" t="s">
        <v>44534</v>
      </c>
      <c r="L5638" s="41" t="s">
        <v>1076</v>
      </c>
    </row>
    <row r="5639" spans="1:19" x14ac:dyDescent="0.25">
      <c r="A5639" s="41" t="s">
        <v>23</v>
      </c>
      <c r="B5639" s="41" t="s">
        <v>44535</v>
      </c>
      <c r="D5639" s="41" t="s">
        <v>44536</v>
      </c>
      <c r="F5639" s="41" t="s">
        <v>44537</v>
      </c>
      <c r="G5639" s="41" t="s">
        <v>44538</v>
      </c>
      <c r="H5639" s="41" t="s">
        <v>44539</v>
      </c>
      <c r="I5639" s="41" t="s">
        <v>44540</v>
      </c>
      <c r="J5639" s="41" t="s">
        <v>44541</v>
      </c>
      <c r="K5639" s="41" t="s">
        <v>44542</v>
      </c>
      <c r="L5639" s="41" t="s">
        <v>1085</v>
      </c>
    </row>
    <row r="5640" spans="1:19" x14ac:dyDescent="0.25">
      <c r="A5640" s="41" t="s">
        <v>23</v>
      </c>
      <c r="B5640" s="41" t="s">
        <v>45935</v>
      </c>
      <c r="D5640" s="41" t="s">
        <v>45936</v>
      </c>
      <c r="F5640" s="41" t="s">
        <v>45937</v>
      </c>
      <c r="G5640" s="41" t="s">
        <v>45938</v>
      </c>
      <c r="H5640" s="41" t="s">
        <v>45939</v>
      </c>
      <c r="I5640" s="41" t="s">
        <v>45940</v>
      </c>
      <c r="J5640" s="41" t="s">
        <v>45941</v>
      </c>
      <c r="K5640" s="41" t="s">
        <v>45942</v>
      </c>
      <c r="L5640" s="41" t="s">
        <v>1094</v>
      </c>
    </row>
    <row r="5641" spans="1:19" x14ac:dyDescent="0.25">
      <c r="A5641" s="41" t="s">
        <v>908</v>
      </c>
      <c r="B5641" s="41" t="s">
        <v>45943</v>
      </c>
    </row>
    <row r="5642" spans="1:19" x14ac:dyDescent="0.25">
      <c r="A5642" s="41" t="s">
        <v>23</v>
      </c>
      <c r="B5642" s="41" t="s">
        <v>45944</v>
      </c>
      <c r="F5642" s="41" t="s">
        <v>45945</v>
      </c>
      <c r="G5642" s="41" t="s">
        <v>45946</v>
      </c>
      <c r="H5642" s="41" t="s">
        <v>45947</v>
      </c>
      <c r="I5642" s="41" t="s">
        <v>45948</v>
      </c>
      <c r="J5642" s="41" t="s">
        <v>45949</v>
      </c>
      <c r="L5642" s="41" t="s">
        <v>4</v>
      </c>
    </row>
    <row r="5643" spans="1:19" x14ac:dyDescent="0.25">
      <c r="A5643" s="41" t="s">
        <v>23</v>
      </c>
      <c r="B5643" s="41" t="s">
        <v>44544</v>
      </c>
      <c r="D5643" s="41" t="s">
        <v>44462</v>
      </c>
      <c r="E5643" s="41" t="s">
        <v>45950</v>
      </c>
      <c r="F5643" s="41" t="s">
        <v>45951</v>
      </c>
      <c r="G5643" s="41" t="s">
        <v>45952</v>
      </c>
      <c r="H5643" s="41" t="s">
        <v>45953</v>
      </c>
      <c r="I5643" s="41" t="s">
        <v>45954</v>
      </c>
      <c r="J5643" s="41" t="s">
        <v>45955</v>
      </c>
      <c r="K5643" s="41" t="s">
        <v>44545</v>
      </c>
      <c r="L5643" s="41" t="s">
        <v>45956</v>
      </c>
      <c r="M5643" s="41" t="s">
        <v>45957</v>
      </c>
      <c r="N5643" s="41" t="s">
        <v>45958</v>
      </c>
      <c r="O5643" s="41" t="s">
        <v>45959</v>
      </c>
      <c r="P5643" s="41" t="s">
        <v>45960</v>
      </c>
      <c r="Q5643" s="41" t="s">
        <v>45961</v>
      </c>
      <c r="R5643" s="41" t="s">
        <v>45962</v>
      </c>
      <c r="S5643" s="41" t="s">
        <v>45963</v>
      </c>
    </row>
    <row r="5644" spans="1:19" x14ac:dyDescent="0.25">
      <c r="A5644" s="41" t="s">
        <v>23</v>
      </c>
      <c r="B5644" s="41" t="s">
        <v>44546</v>
      </c>
      <c r="D5644" s="41" t="s">
        <v>44547</v>
      </c>
      <c r="F5644" s="41" t="s">
        <v>44548</v>
      </c>
      <c r="G5644" s="41" t="s">
        <v>44549</v>
      </c>
      <c r="H5644" s="41" t="s">
        <v>44550</v>
      </c>
      <c r="I5644" s="41" t="s">
        <v>44551</v>
      </c>
      <c r="J5644" s="41" t="s">
        <v>44552</v>
      </c>
      <c r="K5644" s="41" t="s">
        <v>44553</v>
      </c>
      <c r="L5644" s="41" t="s">
        <v>891</v>
      </c>
    </row>
    <row r="5645" spans="1:19" x14ac:dyDescent="0.25">
      <c r="A5645" s="41" t="s">
        <v>23</v>
      </c>
      <c r="B5645" s="41" t="s">
        <v>44554</v>
      </c>
      <c r="D5645" s="41" t="s">
        <v>44555</v>
      </c>
      <c r="F5645" s="41" t="s">
        <v>44556</v>
      </c>
      <c r="G5645" s="41" t="s">
        <v>44557</v>
      </c>
      <c r="H5645" s="41" t="s">
        <v>44558</v>
      </c>
      <c r="I5645" s="41" t="s">
        <v>44559</v>
      </c>
      <c r="J5645" s="41" t="s">
        <v>44560</v>
      </c>
      <c r="K5645" s="41" t="s">
        <v>44561</v>
      </c>
      <c r="L5645" s="41" t="s">
        <v>1076</v>
      </c>
    </row>
    <row r="5646" spans="1:19" x14ac:dyDescent="0.25">
      <c r="A5646" s="41" t="s">
        <v>23</v>
      </c>
      <c r="B5646" s="41" t="s">
        <v>44562</v>
      </c>
      <c r="D5646" s="41" t="s">
        <v>44563</v>
      </c>
      <c r="F5646" s="41" t="s">
        <v>44564</v>
      </c>
      <c r="G5646" s="41" t="s">
        <v>44565</v>
      </c>
      <c r="H5646" s="41" t="s">
        <v>44566</v>
      </c>
      <c r="I5646" s="41" t="s">
        <v>44567</v>
      </c>
      <c r="J5646" s="41" t="s">
        <v>44568</v>
      </c>
      <c r="K5646" s="41" t="s">
        <v>44569</v>
      </c>
      <c r="L5646" s="41" t="s">
        <v>1085</v>
      </c>
    </row>
    <row r="5647" spans="1:19" x14ac:dyDescent="0.25">
      <c r="A5647" s="41" t="s">
        <v>23</v>
      </c>
      <c r="B5647" s="41" t="s">
        <v>45964</v>
      </c>
      <c r="D5647" s="41" t="s">
        <v>45965</v>
      </c>
      <c r="F5647" s="41" t="s">
        <v>45966</v>
      </c>
      <c r="G5647" s="41" t="s">
        <v>45967</v>
      </c>
      <c r="H5647" s="41" t="s">
        <v>45968</v>
      </c>
      <c r="I5647" s="41" t="s">
        <v>45969</v>
      </c>
      <c r="J5647" s="41" t="s">
        <v>45970</v>
      </c>
      <c r="K5647" s="41" t="s">
        <v>45971</v>
      </c>
      <c r="L5647" s="41" t="s">
        <v>1094</v>
      </c>
    </row>
    <row r="5648" spans="1:19" x14ac:dyDescent="0.25">
      <c r="A5648" s="41" t="s">
        <v>908</v>
      </c>
      <c r="B5648" s="41" t="s">
        <v>45972</v>
      </c>
    </row>
    <row r="5649" spans="1:19" x14ac:dyDescent="0.25">
      <c r="A5649" s="41" t="s">
        <v>23</v>
      </c>
      <c r="B5649" s="41" t="s">
        <v>45973</v>
      </c>
      <c r="F5649" s="41" t="s">
        <v>45974</v>
      </c>
      <c r="G5649" s="41" t="s">
        <v>45975</v>
      </c>
      <c r="H5649" s="41" t="s">
        <v>45976</v>
      </c>
      <c r="I5649" s="41" t="s">
        <v>45977</v>
      </c>
      <c r="J5649" s="41" t="s">
        <v>45978</v>
      </c>
      <c r="L5649" s="41" t="s">
        <v>4</v>
      </c>
    </row>
    <row r="5650" spans="1:19" x14ac:dyDescent="0.25">
      <c r="A5650" s="41" t="s">
        <v>23</v>
      </c>
      <c r="B5650" s="41" t="s">
        <v>44571</v>
      </c>
      <c r="D5650" s="41" t="s">
        <v>44489</v>
      </c>
      <c r="E5650" s="41" t="s">
        <v>45979</v>
      </c>
      <c r="F5650" s="41" t="s">
        <v>45980</v>
      </c>
      <c r="G5650" s="41" t="s">
        <v>45981</v>
      </c>
      <c r="H5650" s="41" t="s">
        <v>45982</v>
      </c>
      <c r="I5650" s="41" t="s">
        <v>45983</v>
      </c>
      <c r="J5650" s="41" t="s">
        <v>45984</v>
      </c>
      <c r="K5650" s="41" t="s">
        <v>44572</v>
      </c>
      <c r="L5650" s="41" t="s">
        <v>45985</v>
      </c>
      <c r="M5650" s="41" t="s">
        <v>45986</v>
      </c>
      <c r="N5650" s="41" t="s">
        <v>45987</v>
      </c>
      <c r="O5650" s="41" t="s">
        <v>45988</v>
      </c>
      <c r="P5650" s="41" t="s">
        <v>45989</v>
      </c>
      <c r="Q5650" s="41" t="s">
        <v>45990</v>
      </c>
      <c r="R5650" s="41" t="s">
        <v>45991</v>
      </c>
      <c r="S5650" s="41" t="s">
        <v>45992</v>
      </c>
    </row>
    <row r="5651" spans="1:19" x14ac:dyDescent="0.25">
      <c r="A5651" s="41" t="s">
        <v>23</v>
      </c>
      <c r="B5651" s="41" t="s">
        <v>44573</v>
      </c>
      <c r="D5651" s="41" t="s">
        <v>44574</v>
      </c>
      <c r="F5651" s="41" t="s">
        <v>44575</v>
      </c>
      <c r="G5651" s="41" t="s">
        <v>44576</v>
      </c>
      <c r="H5651" s="41" t="s">
        <v>44577</v>
      </c>
      <c r="I5651" s="41" t="s">
        <v>44578</v>
      </c>
      <c r="J5651" s="41" t="s">
        <v>44579</v>
      </c>
      <c r="K5651" s="41" t="s">
        <v>44580</v>
      </c>
      <c r="L5651" s="41" t="s">
        <v>891</v>
      </c>
    </row>
    <row r="5652" spans="1:19" x14ac:dyDescent="0.25">
      <c r="A5652" s="41" t="s">
        <v>23</v>
      </c>
      <c r="B5652" s="41" t="s">
        <v>44581</v>
      </c>
      <c r="D5652" s="41" t="s">
        <v>44582</v>
      </c>
      <c r="F5652" s="41" t="s">
        <v>44583</v>
      </c>
      <c r="G5652" s="41" t="s">
        <v>44584</v>
      </c>
      <c r="H5652" s="41" t="s">
        <v>44585</v>
      </c>
      <c r="I5652" s="41" t="s">
        <v>44586</v>
      </c>
      <c r="J5652" s="41" t="s">
        <v>44587</v>
      </c>
      <c r="K5652" s="41" t="s">
        <v>44588</v>
      </c>
      <c r="L5652" s="41" t="s">
        <v>1076</v>
      </c>
    </row>
    <row r="5653" spans="1:19" x14ac:dyDescent="0.25">
      <c r="A5653" s="41" t="s">
        <v>23</v>
      </c>
      <c r="B5653" s="41" t="s">
        <v>44589</v>
      </c>
      <c r="D5653" s="41" t="s">
        <v>44590</v>
      </c>
      <c r="F5653" s="41" t="s">
        <v>44591</v>
      </c>
      <c r="G5653" s="41" t="s">
        <v>44592</v>
      </c>
      <c r="H5653" s="41" t="s">
        <v>44593</v>
      </c>
      <c r="I5653" s="41" t="s">
        <v>44594</v>
      </c>
      <c r="J5653" s="41" t="s">
        <v>44595</v>
      </c>
      <c r="K5653" s="41" t="s">
        <v>44596</v>
      </c>
      <c r="L5653" s="41" t="s">
        <v>1085</v>
      </c>
    </row>
    <row r="5654" spans="1:19" x14ac:dyDescent="0.25">
      <c r="A5654" s="41" t="s">
        <v>23</v>
      </c>
      <c r="B5654" s="41" t="s">
        <v>45993</v>
      </c>
      <c r="D5654" s="41" t="s">
        <v>45994</v>
      </c>
      <c r="F5654" s="41" t="s">
        <v>45995</v>
      </c>
      <c r="G5654" s="41" t="s">
        <v>45996</v>
      </c>
      <c r="H5654" s="41" t="s">
        <v>45997</v>
      </c>
      <c r="I5654" s="41" t="s">
        <v>45998</v>
      </c>
      <c r="J5654" s="41" t="s">
        <v>45999</v>
      </c>
      <c r="K5654" s="41" t="s">
        <v>46000</v>
      </c>
      <c r="L5654" s="41" t="s">
        <v>1094</v>
      </c>
    </row>
    <row r="5655" spans="1:19" x14ac:dyDescent="0.25">
      <c r="A5655" s="41" t="s">
        <v>908</v>
      </c>
      <c r="B5655" s="41" t="s">
        <v>46001</v>
      </c>
    </row>
    <row r="5656" spans="1:19" x14ac:dyDescent="0.25">
      <c r="A5656" s="41" t="s">
        <v>23</v>
      </c>
      <c r="B5656" s="41" t="s">
        <v>46002</v>
      </c>
      <c r="F5656" s="41" t="s">
        <v>46003</v>
      </c>
      <c r="G5656" s="41" t="s">
        <v>46004</v>
      </c>
      <c r="H5656" s="41" t="s">
        <v>46005</v>
      </c>
      <c r="I5656" s="41" t="s">
        <v>46006</v>
      </c>
      <c r="J5656" s="41" t="s">
        <v>46007</v>
      </c>
      <c r="L5656" s="41" t="s">
        <v>4</v>
      </c>
    </row>
    <row r="5657" spans="1:19" x14ac:dyDescent="0.25">
      <c r="A5657" s="41" t="s">
        <v>23</v>
      </c>
      <c r="B5657" s="41" t="s">
        <v>44598</v>
      </c>
      <c r="D5657" s="41" t="s">
        <v>44516</v>
      </c>
      <c r="E5657" s="41" t="s">
        <v>46008</v>
      </c>
      <c r="F5657" s="41" t="s">
        <v>46009</v>
      </c>
      <c r="G5657" s="41" t="s">
        <v>46010</v>
      </c>
      <c r="H5657" s="41" t="s">
        <v>46011</v>
      </c>
      <c r="I5657" s="41" t="s">
        <v>46012</v>
      </c>
      <c r="J5657" s="41" t="s">
        <v>46013</v>
      </c>
      <c r="K5657" s="41" t="s">
        <v>44599</v>
      </c>
      <c r="L5657" s="41" t="s">
        <v>46014</v>
      </c>
      <c r="M5657" s="41" t="s">
        <v>46015</v>
      </c>
      <c r="N5657" s="41" t="s">
        <v>46016</v>
      </c>
      <c r="O5657" s="41" t="s">
        <v>46017</v>
      </c>
      <c r="P5657" s="41" t="s">
        <v>46018</v>
      </c>
      <c r="Q5657" s="41" t="s">
        <v>46019</v>
      </c>
      <c r="R5657" s="41" t="s">
        <v>46020</v>
      </c>
      <c r="S5657" s="41" t="s">
        <v>46021</v>
      </c>
    </row>
    <row r="5658" spans="1:19" x14ac:dyDescent="0.25">
      <c r="A5658" s="41" t="s">
        <v>23</v>
      </c>
      <c r="B5658" s="41" t="s">
        <v>44600</v>
      </c>
      <c r="D5658" s="41" t="s">
        <v>44601</v>
      </c>
      <c r="F5658" s="41" t="s">
        <v>44602</v>
      </c>
      <c r="G5658" s="41" t="s">
        <v>44603</v>
      </c>
      <c r="H5658" s="41" t="s">
        <v>44604</v>
      </c>
      <c r="I5658" s="41" t="s">
        <v>44605</v>
      </c>
      <c r="J5658" s="41" t="s">
        <v>44606</v>
      </c>
      <c r="K5658" s="41" t="s">
        <v>44607</v>
      </c>
      <c r="L5658" s="41" t="s">
        <v>891</v>
      </c>
    </row>
    <row r="5659" spans="1:19" x14ac:dyDescent="0.25">
      <c r="A5659" s="41" t="s">
        <v>23</v>
      </c>
      <c r="B5659" s="41" t="s">
        <v>44608</v>
      </c>
      <c r="D5659" s="41" t="s">
        <v>44609</v>
      </c>
      <c r="F5659" s="41" t="s">
        <v>44610</v>
      </c>
      <c r="G5659" s="41" t="s">
        <v>44611</v>
      </c>
      <c r="H5659" s="41" t="s">
        <v>44612</v>
      </c>
      <c r="I5659" s="41" t="s">
        <v>44613</v>
      </c>
      <c r="J5659" s="41" t="s">
        <v>44614</v>
      </c>
      <c r="K5659" s="41" t="s">
        <v>44615</v>
      </c>
      <c r="L5659" s="41" t="s">
        <v>1076</v>
      </c>
    </row>
    <row r="5660" spans="1:19" x14ac:dyDescent="0.25">
      <c r="A5660" s="41" t="s">
        <v>23</v>
      </c>
      <c r="B5660" s="41" t="s">
        <v>44616</v>
      </c>
      <c r="D5660" s="41" t="s">
        <v>44617</v>
      </c>
      <c r="F5660" s="41" t="s">
        <v>44618</v>
      </c>
      <c r="G5660" s="41" t="s">
        <v>44619</v>
      </c>
      <c r="H5660" s="41" t="s">
        <v>44620</v>
      </c>
      <c r="I5660" s="41" t="s">
        <v>44621</v>
      </c>
      <c r="J5660" s="41" t="s">
        <v>44622</v>
      </c>
      <c r="K5660" s="41" t="s">
        <v>44623</v>
      </c>
      <c r="L5660" s="41" t="s">
        <v>1085</v>
      </c>
    </row>
    <row r="5661" spans="1:19" x14ac:dyDescent="0.25">
      <c r="A5661" s="41" t="s">
        <v>23</v>
      </c>
      <c r="B5661" s="41" t="s">
        <v>46022</v>
      </c>
      <c r="D5661" s="41" t="s">
        <v>46023</v>
      </c>
      <c r="F5661" s="41" t="s">
        <v>46024</v>
      </c>
      <c r="G5661" s="41" t="s">
        <v>46025</v>
      </c>
      <c r="H5661" s="41" t="s">
        <v>46026</v>
      </c>
      <c r="I5661" s="41" t="s">
        <v>46027</v>
      </c>
      <c r="J5661" s="41" t="s">
        <v>46028</v>
      </c>
      <c r="K5661" s="41" t="s">
        <v>46029</v>
      </c>
      <c r="L5661" s="41" t="s">
        <v>1094</v>
      </c>
    </row>
    <row r="5662" spans="1:19" x14ac:dyDescent="0.25">
      <c r="A5662" s="41" t="s">
        <v>908</v>
      </c>
      <c r="B5662" s="41" t="s">
        <v>46030</v>
      </c>
    </row>
    <row r="5663" spans="1:19" x14ac:dyDescent="0.25">
      <c r="A5663" s="41" t="s">
        <v>23</v>
      </c>
      <c r="B5663" s="41" t="s">
        <v>46031</v>
      </c>
      <c r="F5663" s="41" t="s">
        <v>46032</v>
      </c>
      <c r="G5663" s="41" t="s">
        <v>46033</v>
      </c>
      <c r="H5663" s="41" t="s">
        <v>46034</v>
      </c>
      <c r="I5663" s="41" t="s">
        <v>46035</v>
      </c>
      <c r="J5663" s="41" t="s">
        <v>46036</v>
      </c>
      <c r="L5663" s="41" t="s">
        <v>4</v>
      </c>
    </row>
    <row r="5664" spans="1:19" x14ac:dyDescent="0.25">
      <c r="A5664" s="41" t="s">
        <v>23</v>
      </c>
      <c r="B5664" s="41" t="s">
        <v>44625</v>
      </c>
      <c r="D5664" s="41" t="s">
        <v>44543</v>
      </c>
      <c r="E5664" s="41" t="s">
        <v>46037</v>
      </c>
      <c r="F5664" s="41" t="s">
        <v>46038</v>
      </c>
      <c r="G5664" s="41" t="s">
        <v>46039</v>
      </c>
      <c r="H5664" s="41" t="s">
        <v>46040</v>
      </c>
      <c r="I5664" s="41" t="s">
        <v>46041</v>
      </c>
      <c r="J5664" s="41" t="s">
        <v>46042</v>
      </c>
      <c r="K5664" s="41" t="s">
        <v>44626</v>
      </c>
      <c r="L5664" s="41" t="s">
        <v>46043</v>
      </c>
      <c r="M5664" s="41" t="s">
        <v>46044</v>
      </c>
      <c r="N5664" s="41" t="s">
        <v>46045</v>
      </c>
      <c r="O5664" s="41" t="s">
        <v>46046</v>
      </c>
      <c r="P5664" s="41" t="s">
        <v>46047</v>
      </c>
      <c r="Q5664" s="41" t="s">
        <v>46048</v>
      </c>
      <c r="R5664" s="41" t="s">
        <v>46049</v>
      </c>
      <c r="S5664" s="41" t="s">
        <v>46050</v>
      </c>
    </row>
    <row r="5665" spans="1:19" x14ac:dyDescent="0.25">
      <c r="A5665" s="41" t="s">
        <v>23</v>
      </c>
      <c r="B5665" s="41" t="s">
        <v>44627</v>
      </c>
      <c r="D5665" s="41" t="s">
        <v>44628</v>
      </c>
      <c r="F5665" s="41" t="s">
        <v>44629</v>
      </c>
      <c r="G5665" s="41" t="s">
        <v>44630</v>
      </c>
      <c r="H5665" s="41" t="s">
        <v>44631</v>
      </c>
      <c r="I5665" s="41" t="s">
        <v>44632</v>
      </c>
      <c r="J5665" s="41" t="s">
        <v>44633</v>
      </c>
      <c r="K5665" s="41" t="s">
        <v>44634</v>
      </c>
      <c r="L5665" s="41" t="s">
        <v>891</v>
      </c>
    </row>
    <row r="5666" spans="1:19" x14ac:dyDescent="0.25">
      <c r="A5666" s="41" t="s">
        <v>23</v>
      </c>
      <c r="B5666" s="41" t="s">
        <v>44635</v>
      </c>
      <c r="D5666" s="41" t="s">
        <v>44636</v>
      </c>
      <c r="F5666" s="41" t="s">
        <v>44637</v>
      </c>
      <c r="G5666" s="41" t="s">
        <v>44638</v>
      </c>
      <c r="H5666" s="41" t="s">
        <v>44639</v>
      </c>
      <c r="I5666" s="41" t="s">
        <v>44640</v>
      </c>
      <c r="J5666" s="41" t="s">
        <v>44641</v>
      </c>
      <c r="K5666" s="41" t="s">
        <v>44642</v>
      </c>
      <c r="L5666" s="41" t="s">
        <v>1076</v>
      </c>
    </row>
    <row r="5667" spans="1:19" x14ac:dyDescent="0.25">
      <c r="A5667" s="41" t="s">
        <v>23</v>
      </c>
      <c r="B5667" s="41" t="s">
        <v>44643</v>
      </c>
      <c r="D5667" s="41" t="s">
        <v>44644</v>
      </c>
      <c r="F5667" s="41" t="s">
        <v>44645</v>
      </c>
      <c r="G5667" s="41" t="s">
        <v>44646</v>
      </c>
      <c r="H5667" s="41" t="s">
        <v>44647</v>
      </c>
      <c r="I5667" s="41" t="s">
        <v>44648</v>
      </c>
      <c r="J5667" s="41" t="s">
        <v>44649</v>
      </c>
      <c r="K5667" s="41" t="s">
        <v>44650</v>
      </c>
      <c r="L5667" s="41" t="s">
        <v>1085</v>
      </c>
    </row>
    <row r="5668" spans="1:19" x14ac:dyDescent="0.25">
      <c r="A5668" s="41" t="s">
        <v>23</v>
      </c>
      <c r="B5668" s="41" t="s">
        <v>46051</v>
      </c>
      <c r="D5668" s="41" t="s">
        <v>46052</v>
      </c>
      <c r="F5668" s="41" t="s">
        <v>46053</v>
      </c>
      <c r="G5668" s="41" t="s">
        <v>46054</v>
      </c>
      <c r="H5668" s="41" t="s">
        <v>46055</v>
      </c>
      <c r="I5668" s="41" t="s">
        <v>46056</v>
      </c>
      <c r="J5668" s="41" t="s">
        <v>46057</v>
      </c>
      <c r="K5668" s="41" t="s">
        <v>46058</v>
      </c>
      <c r="L5668" s="41" t="s">
        <v>1094</v>
      </c>
    </row>
    <row r="5669" spans="1:19" x14ac:dyDescent="0.25">
      <c r="A5669" s="41" t="s">
        <v>908</v>
      </c>
      <c r="B5669" s="41" t="s">
        <v>46059</v>
      </c>
    </row>
    <row r="5670" spans="1:19" x14ac:dyDescent="0.25">
      <c r="A5670" s="41" t="s">
        <v>23</v>
      </c>
      <c r="B5670" s="41" t="s">
        <v>46060</v>
      </c>
      <c r="F5670" s="41" t="s">
        <v>46061</v>
      </c>
      <c r="G5670" s="41" t="s">
        <v>46062</v>
      </c>
      <c r="H5670" s="41" t="s">
        <v>46063</v>
      </c>
      <c r="I5670" s="41" t="s">
        <v>46064</v>
      </c>
      <c r="J5670" s="41" t="s">
        <v>46065</v>
      </c>
      <c r="L5670" s="41" t="s">
        <v>4</v>
      </c>
    </row>
    <row r="5671" spans="1:19" x14ac:dyDescent="0.25">
      <c r="A5671" s="41" t="s">
        <v>23</v>
      </c>
      <c r="B5671" s="41" t="s">
        <v>44652</v>
      </c>
      <c r="D5671" s="41" t="s">
        <v>44570</v>
      </c>
      <c r="E5671" s="41" t="s">
        <v>46066</v>
      </c>
      <c r="F5671" s="41" t="s">
        <v>46067</v>
      </c>
      <c r="G5671" s="41" t="s">
        <v>46068</v>
      </c>
      <c r="H5671" s="41" t="s">
        <v>46069</v>
      </c>
      <c r="I5671" s="41" t="s">
        <v>46070</v>
      </c>
      <c r="J5671" s="41" t="s">
        <v>46071</v>
      </c>
      <c r="K5671" s="41" t="s">
        <v>44653</v>
      </c>
      <c r="L5671" s="41" t="s">
        <v>46072</v>
      </c>
      <c r="M5671" s="41" t="s">
        <v>46073</v>
      </c>
      <c r="N5671" s="41" t="s">
        <v>46074</v>
      </c>
      <c r="O5671" s="41" t="s">
        <v>46075</v>
      </c>
      <c r="P5671" s="41" t="s">
        <v>46076</v>
      </c>
      <c r="Q5671" s="41" t="s">
        <v>46077</v>
      </c>
      <c r="R5671" s="41" t="s">
        <v>46078</v>
      </c>
      <c r="S5671" s="41" t="s">
        <v>46079</v>
      </c>
    </row>
    <row r="5672" spans="1:19" x14ac:dyDescent="0.25">
      <c r="A5672" s="41" t="s">
        <v>23</v>
      </c>
      <c r="B5672" s="41" t="s">
        <v>44654</v>
      </c>
      <c r="D5672" s="41" t="s">
        <v>44655</v>
      </c>
      <c r="F5672" s="41" t="s">
        <v>44656</v>
      </c>
      <c r="G5672" s="41" t="s">
        <v>44657</v>
      </c>
      <c r="H5672" s="41" t="s">
        <v>44658</v>
      </c>
      <c r="I5672" s="41" t="s">
        <v>44659</v>
      </c>
      <c r="J5672" s="41" t="s">
        <v>44660</v>
      </c>
      <c r="K5672" s="41" t="s">
        <v>44661</v>
      </c>
      <c r="L5672" s="41" t="s">
        <v>891</v>
      </c>
    </row>
    <row r="5673" spans="1:19" x14ac:dyDescent="0.25">
      <c r="A5673" s="41" t="s">
        <v>23</v>
      </c>
      <c r="B5673" s="41" t="s">
        <v>44662</v>
      </c>
      <c r="D5673" s="41" t="s">
        <v>44663</v>
      </c>
      <c r="F5673" s="41" t="s">
        <v>44664</v>
      </c>
      <c r="G5673" s="41" t="s">
        <v>44665</v>
      </c>
      <c r="H5673" s="41" t="s">
        <v>44666</v>
      </c>
      <c r="I5673" s="41" t="s">
        <v>44667</v>
      </c>
      <c r="J5673" s="41" t="s">
        <v>44668</v>
      </c>
      <c r="K5673" s="41" t="s">
        <v>44669</v>
      </c>
      <c r="L5673" s="41" t="s">
        <v>1076</v>
      </c>
    </row>
    <row r="5674" spans="1:19" x14ac:dyDescent="0.25">
      <c r="A5674" s="41" t="s">
        <v>23</v>
      </c>
      <c r="B5674" s="41" t="s">
        <v>44670</v>
      </c>
      <c r="D5674" s="41" t="s">
        <v>44671</v>
      </c>
      <c r="F5674" s="41" t="s">
        <v>44672</v>
      </c>
      <c r="G5674" s="41" t="s">
        <v>44673</v>
      </c>
      <c r="H5674" s="41" t="s">
        <v>44674</v>
      </c>
      <c r="I5674" s="41" t="s">
        <v>44675</v>
      </c>
      <c r="J5674" s="41" t="s">
        <v>44676</v>
      </c>
      <c r="K5674" s="41" t="s">
        <v>44677</v>
      </c>
      <c r="L5674" s="41" t="s">
        <v>1085</v>
      </c>
    </row>
    <row r="5675" spans="1:19" x14ac:dyDescent="0.25">
      <c r="A5675" s="41" t="s">
        <v>23</v>
      </c>
      <c r="B5675" s="41" t="s">
        <v>46080</v>
      </c>
      <c r="D5675" s="41" t="s">
        <v>46081</v>
      </c>
      <c r="F5675" s="41" t="s">
        <v>46082</v>
      </c>
      <c r="G5675" s="41" t="s">
        <v>46083</v>
      </c>
      <c r="H5675" s="41" t="s">
        <v>46084</v>
      </c>
      <c r="I5675" s="41" t="s">
        <v>46085</v>
      </c>
      <c r="J5675" s="41" t="s">
        <v>46086</v>
      </c>
      <c r="K5675" s="41" t="s">
        <v>46087</v>
      </c>
      <c r="L5675" s="41" t="s">
        <v>1094</v>
      </c>
    </row>
    <row r="5676" spans="1:19" x14ac:dyDescent="0.25">
      <c r="A5676" s="41" t="s">
        <v>908</v>
      </c>
      <c r="B5676" s="41" t="s">
        <v>46088</v>
      </c>
    </row>
    <row r="5677" spans="1:19" x14ac:dyDescent="0.25">
      <c r="A5677" s="41" t="s">
        <v>23</v>
      </c>
      <c r="B5677" s="41" t="s">
        <v>46089</v>
      </c>
      <c r="F5677" s="41" t="s">
        <v>46090</v>
      </c>
      <c r="G5677" s="41" t="s">
        <v>46091</v>
      </c>
      <c r="H5677" s="41" t="s">
        <v>46092</v>
      </c>
      <c r="I5677" s="41" t="s">
        <v>46093</v>
      </c>
      <c r="J5677" s="41" t="s">
        <v>46094</v>
      </c>
      <c r="L5677" s="41" t="s">
        <v>4</v>
      </c>
    </row>
    <row r="5678" spans="1:19" x14ac:dyDescent="0.25">
      <c r="A5678" s="41" t="s">
        <v>23</v>
      </c>
      <c r="B5678" s="41" t="s">
        <v>44679</v>
      </c>
      <c r="D5678" s="41" t="s">
        <v>44597</v>
      </c>
      <c r="E5678" s="41" t="s">
        <v>46095</v>
      </c>
      <c r="F5678" s="41" t="s">
        <v>46096</v>
      </c>
      <c r="G5678" s="41" t="s">
        <v>46097</v>
      </c>
      <c r="H5678" s="41" t="s">
        <v>46098</v>
      </c>
      <c r="I5678" s="41" t="s">
        <v>46099</v>
      </c>
      <c r="J5678" s="41" t="s">
        <v>46100</v>
      </c>
      <c r="K5678" s="41" t="s">
        <v>44680</v>
      </c>
      <c r="L5678" s="41" t="s">
        <v>46101</v>
      </c>
      <c r="M5678" s="41" t="s">
        <v>46102</v>
      </c>
      <c r="N5678" s="41" t="s">
        <v>46103</v>
      </c>
      <c r="O5678" s="41" t="s">
        <v>46104</v>
      </c>
      <c r="P5678" s="41" t="s">
        <v>46105</v>
      </c>
      <c r="Q5678" s="41" t="s">
        <v>46106</v>
      </c>
      <c r="R5678" s="41" t="s">
        <v>46107</v>
      </c>
      <c r="S5678" s="41" t="s">
        <v>46108</v>
      </c>
    </row>
    <row r="5679" spans="1:19" x14ac:dyDescent="0.25">
      <c r="A5679" s="41" t="s">
        <v>23</v>
      </c>
      <c r="B5679" s="41" t="s">
        <v>44681</v>
      </c>
      <c r="D5679" s="41" t="s">
        <v>44682</v>
      </c>
      <c r="F5679" s="41" t="s">
        <v>44683</v>
      </c>
      <c r="G5679" s="41" t="s">
        <v>44684</v>
      </c>
      <c r="H5679" s="41" t="s">
        <v>44685</v>
      </c>
      <c r="I5679" s="41" t="s">
        <v>44686</v>
      </c>
      <c r="J5679" s="41" t="s">
        <v>44687</v>
      </c>
      <c r="K5679" s="41" t="s">
        <v>44688</v>
      </c>
      <c r="L5679" s="41" t="s">
        <v>891</v>
      </c>
    </row>
    <row r="5680" spans="1:19" x14ac:dyDescent="0.25">
      <c r="A5680" s="41" t="s">
        <v>23</v>
      </c>
      <c r="B5680" s="41" t="s">
        <v>44689</v>
      </c>
      <c r="D5680" s="41" t="s">
        <v>44690</v>
      </c>
      <c r="F5680" s="41" t="s">
        <v>44691</v>
      </c>
      <c r="G5680" s="41" t="s">
        <v>44692</v>
      </c>
      <c r="H5680" s="41" t="s">
        <v>44693</v>
      </c>
      <c r="I5680" s="41" t="s">
        <v>44694</v>
      </c>
      <c r="J5680" s="41" t="s">
        <v>44695</v>
      </c>
      <c r="K5680" s="41" t="s">
        <v>44696</v>
      </c>
      <c r="L5680" s="41" t="s">
        <v>1076</v>
      </c>
    </row>
    <row r="5681" spans="1:19" x14ac:dyDescent="0.25">
      <c r="A5681" s="41" t="s">
        <v>23</v>
      </c>
      <c r="B5681" s="41" t="s">
        <v>44697</v>
      </c>
      <c r="D5681" s="41" t="s">
        <v>44698</v>
      </c>
      <c r="F5681" s="41" t="s">
        <v>44699</v>
      </c>
      <c r="G5681" s="41" t="s">
        <v>44700</v>
      </c>
      <c r="H5681" s="41" t="s">
        <v>44701</v>
      </c>
      <c r="I5681" s="41" t="s">
        <v>44702</v>
      </c>
      <c r="J5681" s="41" t="s">
        <v>44703</v>
      </c>
      <c r="K5681" s="41" t="s">
        <v>44704</v>
      </c>
      <c r="L5681" s="41" t="s">
        <v>1085</v>
      </c>
    </row>
    <row r="5682" spans="1:19" x14ac:dyDescent="0.25">
      <c r="A5682" s="41" t="s">
        <v>23</v>
      </c>
      <c r="B5682" s="41" t="s">
        <v>46109</v>
      </c>
      <c r="D5682" s="41" t="s">
        <v>46110</v>
      </c>
      <c r="F5682" s="41" t="s">
        <v>46111</v>
      </c>
      <c r="G5682" s="41" t="s">
        <v>46112</v>
      </c>
      <c r="H5682" s="41" t="s">
        <v>46113</v>
      </c>
      <c r="I5682" s="41" t="s">
        <v>46114</v>
      </c>
      <c r="J5682" s="41" t="s">
        <v>46115</v>
      </c>
      <c r="K5682" s="41" t="s">
        <v>46116</v>
      </c>
      <c r="L5682" s="41" t="s">
        <v>1094</v>
      </c>
    </row>
    <row r="5683" spans="1:19" x14ac:dyDescent="0.25">
      <c r="A5683" s="41" t="s">
        <v>908</v>
      </c>
      <c r="B5683" s="41" t="s">
        <v>46117</v>
      </c>
    </row>
    <row r="5684" spans="1:19" x14ac:dyDescent="0.25">
      <c r="A5684" s="41" t="s">
        <v>23</v>
      </c>
      <c r="B5684" s="41" t="s">
        <v>46118</v>
      </c>
      <c r="F5684" s="41" t="s">
        <v>46119</v>
      </c>
      <c r="G5684" s="41" t="s">
        <v>46120</v>
      </c>
      <c r="H5684" s="41" t="s">
        <v>46121</v>
      </c>
      <c r="I5684" s="41" t="s">
        <v>46122</v>
      </c>
      <c r="J5684" s="41" t="s">
        <v>46123</v>
      </c>
      <c r="L5684" s="41" t="s">
        <v>4</v>
      </c>
    </row>
    <row r="5685" spans="1:19" x14ac:dyDescent="0.25">
      <c r="A5685" s="41" t="s">
        <v>23</v>
      </c>
      <c r="B5685" s="41" t="s">
        <v>44705</v>
      </c>
      <c r="D5685" s="41" t="s">
        <v>44624</v>
      </c>
      <c r="E5685" s="41" t="s">
        <v>46124</v>
      </c>
      <c r="F5685" s="41" t="s">
        <v>46125</v>
      </c>
      <c r="G5685" s="41" t="s">
        <v>46126</v>
      </c>
      <c r="H5685" s="41" t="s">
        <v>46127</v>
      </c>
      <c r="I5685" s="41" t="s">
        <v>46128</v>
      </c>
      <c r="J5685" s="41" t="s">
        <v>46129</v>
      </c>
      <c r="K5685" s="41" t="s">
        <v>44706</v>
      </c>
      <c r="L5685" s="41" t="s">
        <v>46130</v>
      </c>
      <c r="M5685" s="41" t="s">
        <v>46131</v>
      </c>
      <c r="N5685" s="41" t="s">
        <v>46132</v>
      </c>
      <c r="O5685" s="41" t="s">
        <v>46133</v>
      </c>
      <c r="P5685" s="41" t="s">
        <v>46134</v>
      </c>
      <c r="Q5685" s="41" t="s">
        <v>46135</v>
      </c>
      <c r="R5685" s="41" t="s">
        <v>46136</v>
      </c>
      <c r="S5685" s="41" t="s">
        <v>46137</v>
      </c>
    </row>
    <row r="5686" spans="1:19" x14ac:dyDescent="0.25">
      <c r="A5686" s="41" t="s">
        <v>23</v>
      </c>
      <c r="B5686" s="41" t="s">
        <v>44707</v>
      </c>
      <c r="D5686" s="41" t="s">
        <v>44708</v>
      </c>
      <c r="F5686" s="41" t="s">
        <v>44709</v>
      </c>
      <c r="G5686" s="41" t="s">
        <v>44710</v>
      </c>
      <c r="H5686" s="41" t="s">
        <v>44711</v>
      </c>
      <c r="I5686" s="41" t="s">
        <v>44712</v>
      </c>
      <c r="J5686" s="41" t="s">
        <v>44713</v>
      </c>
      <c r="K5686" s="41" t="s">
        <v>44714</v>
      </c>
      <c r="L5686" s="41" t="s">
        <v>891</v>
      </c>
    </row>
    <row r="5687" spans="1:19" x14ac:dyDescent="0.25">
      <c r="A5687" s="41" t="s">
        <v>23</v>
      </c>
      <c r="B5687" s="41" t="s">
        <v>44715</v>
      </c>
      <c r="D5687" s="41" t="s">
        <v>44716</v>
      </c>
      <c r="F5687" s="41" t="s">
        <v>44717</v>
      </c>
      <c r="G5687" s="41" t="s">
        <v>44718</v>
      </c>
      <c r="H5687" s="41" t="s">
        <v>44719</v>
      </c>
      <c r="I5687" s="41" t="s">
        <v>44720</v>
      </c>
      <c r="J5687" s="41" t="s">
        <v>44721</v>
      </c>
      <c r="K5687" s="41" t="s">
        <v>44722</v>
      </c>
      <c r="L5687" s="41" t="s">
        <v>1076</v>
      </c>
    </row>
    <row r="5688" spans="1:19" x14ac:dyDescent="0.25">
      <c r="A5688" s="41" t="s">
        <v>23</v>
      </c>
      <c r="B5688" s="41" t="s">
        <v>44723</v>
      </c>
      <c r="D5688" s="41" t="s">
        <v>44724</v>
      </c>
      <c r="F5688" s="41" t="s">
        <v>44725</v>
      </c>
      <c r="G5688" s="41" t="s">
        <v>44726</v>
      </c>
      <c r="H5688" s="41" t="s">
        <v>44727</v>
      </c>
      <c r="I5688" s="41" t="s">
        <v>44728</v>
      </c>
      <c r="J5688" s="41" t="s">
        <v>44729</v>
      </c>
      <c r="K5688" s="41" t="s">
        <v>44730</v>
      </c>
      <c r="L5688" s="41" t="s">
        <v>1085</v>
      </c>
    </row>
    <row r="5689" spans="1:19" x14ac:dyDescent="0.25">
      <c r="A5689" s="41" t="s">
        <v>23</v>
      </c>
      <c r="B5689" s="41" t="s">
        <v>46138</v>
      </c>
      <c r="D5689" s="41" t="s">
        <v>46139</v>
      </c>
      <c r="F5689" s="41" t="s">
        <v>46140</v>
      </c>
      <c r="G5689" s="41" t="s">
        <v>46141</v>
      </c>
      <c r="H5689" s="41" t="s">
        <v>46142</v>
      </c>
      <c r="I5689" s="41" t="s">
        <v>46143</v>
      </c>
      <c r="J5689" s="41" t="s">
        <v>46144</v>
      </c>
      <c r="K5689" s="41" t="s">
        <v>46145</v>
      </c>
      <c r="L5689" s="41" t="s">
        <v>1094</v>
      </c>
    </row>
    <row r="5690" spans="1:19" x14ac:dyDescent="0.25">
      <c r="A5690" s="41" t="s">
        <v>908</v>
      </c>
      <c r="B5690" s="41" t="s">
        <v>46146</v>
      </c>
    </row>
    <row r="5691" spans="1:19" x14ac:dyDescent="0.25">
      <c r="A5691" s="41" t="s">
        <v>23</v>
      </c>
      <c r="B5691" s="41" t="s">
        <v>46147</v>
      </c>
      <c r="F5691" s="41" t="s">
        <v>46148</v>
      </c>
      <c r="G5691" s="41" t="s">
        <v>46149</v>
      </c>
      <c r="H5691" s="41" t="s">
        <v>46150</v>
      </c>
      <c r="I5691" s="41" t="s">
        <v>46151</v>
      </c>
      <c r="J5691" s="41" t="s">
        <v>46152</v>
      </c>
      <c r="L5691" s="41" t="s">
        <v>4</v>
      </c>
    </row>
    <row r="5692" spans="1:19" x14ac:dyDescent="0.25">
      <c r="A5692" s="41" t="s">
        <v>23</v>
      </c>
      <c r="B5692" s="41" t="s">
        <v>44732</v>
      </c>
      <c r="D5692" s="41" t="s">
        <v>44651</v>
      </c>
      <c r="E5692" s="41" t="s">
        <v>46153</v>
      </c>
      <c r="F5692" s="41" t="s">
        <v>46154</v>
      </c>
      <c r="G5692" s="41" t="s">
        <v>46155</v>
      </c>
      <c r="H5692" s="41" t="s">
        <v>46156</v>
      </c>
      <c r="I5692" s="41" t="s">
        <v>46157</v>
      </c>
      <c r="J5692" s="41" t="s">
        <v>46158</v>
      </c>
      <c r="K5692" s="41" t="s">
        <v>44733</v>
      </c>
      <c r="L5692" s="41" t="s">
        <v>46159</v>
      </c>
      <c r="M5692" s="41" t="s">
        <v>46160</v>
      </c>
      <c r="N5692" s="41" t="s">
        <v>46161</v>
      </c>
      <c r="O5692" s="41" t="s">
        <v>46162</v>
      </c>
      <c r="P5692" s="41" t="s">
        <v>46163</v>
      </c>
      <c r="Q5692" s="41" t="s">
        <v>46164</v>
      </c>
      <c r="R5692" s="41" t="s">
        <v>46165</v>
      </c>
      <c r="S5692" s="41" t="s">
        <v>46166</v>
      </c>
    </row>
    <row r="5693" spans="1:19" x14ac:dyDescent="0.25">
      <c r="A5693" s="41" t="s">
        <v>23</v>
      </c>
      <c r="B5693" s="41" t="s">
        <v>44734</v>
      </c>
      <c r="D5693" s="41" t="s">
        <v>44735</v>
      </c>
      <c r="F5693" s="41" t="s">
        <v>44736</v>
      </c>
      <c r="G5693" s="41" t="s">
        <v>44737</v>
      </c>
      <c r="H5693" s="41" t="s">
        <v>44738</v>
      </c>
      <c r="I5693" s="41" t="s">
        <v>44739</v>
      </c>
      <c r="J5693" s="41" t="s">
        <v>44740</v>
      </c>
      <c r="K5693" s="41" t="s">
        <v>44741</v>
      </c>
      <c r="L5693" s="41" t="s">
        <v>891</v>
      </c>
    </row>
    <row r="5694" spans="1:19" x14ac:dyDescent="0.25">
      <c r="A5694" s="41" t="s">
        <v>23</v>
      </c>
      <c r="B5694" s="41" t="s">
        <v>44742</v>
      </c>
      <c r="D5694" s="41" t="s">
        <v>44743</v>
      </c>
      <c r="F5694" s="41" t="s">
        <v>44744</v>
      </c>
      <c r="G5694" s="41" t="s">
        <v>44745</v>
      </c>
      <c r="H5694" s="41" t="s">
        <v>44746</v>
      </c>
      <c r="I5694" s="41" t="s">
        <v>44747</v>
      </c>
      <c r="J5694" s="41" t="s">
        <v>44748</v>
      </c>
      <c r="K5694" s="41" t="s">
        <v>44749</v>
      </c>
      <c r="L5694" s="41" t="s">
        <v>1076</v>
      </c>
    </row>
    <row r="5695" spans="1:19" x14ac:dyDescent="0.25">
      <c r="A5695" s="41" t="s">
        <v>23</v>
      </c>
      <c r="B5695" s="41" t="s">
        <v>44750</v>
      </c>
      <c r="D5695" s="41" t="s">
        <v>44751</v>
      </c>
      <c r="F5695" s="41" t="s">
        <v>44752</v>
      </c>
      <c r="G5695" s="41" t="s">
        <v>44753</v>
      </c>
      <c r="H5695" s="41" t="s">
        <v>44754</v>
      </c>
      <c r="I5695" s="41" t="s">
        <v>44755</v>
      </c>
      <c r="J5695" s="41" t="s">
        <v>44756</v>
      </c>
      <c r="K5695" s="41" t="s">
        <v>44757</v>
      </c>
      <c r="L5695" s="41" t="s">
        <v>1085</v>
      </c>
    </row>
    <row r="5696" spans="1:19" x14ac:dyDescent="0.25">
      <c r="A5696" s="41" t="s">
        <v>23</v>
      </c>
      <c r="B5696" s="41" t="s">
        <v>46167</v>
      </c>
      <c r="D5696" s="41" t="s">
        <v>46168</v>
      </c>
      <c r="F5696" s="41" t="s">
        <v>46169</v>
      </c>
      <c r="G5696" s="41" t="s">
        <v>46170</v>
      </c>
      <c r="H5696" s="41" t="s">
        <v>46171</v>
      </c>
      <c r="I5696" s="41" t="s">
        <v>46172</v>
      </c>
      <c r="J5696" s="41" t="s">
        <v>46173</v>
      </c>
      <c r="K5696" s="41" t="s">
        <v>46174</v>
      </c>
      <c r="L5696" s="41" t="s">
        <v>1094</v>
      </c>
    </row>
    <row r="5697" spans="1:19" x14ac:dyDescent="0.25">
      <c r="A5697" s="41" t="s">
        <v>908</v>
      </c>
      <c r="B5697" s="41" t="s">
        <v>46175</v>
      </c>
    </row>
    <row r="5698" spans="1:19" x14ac:dyDescent="0.25">
      <c r="A5698" s="41" t="s">
        <v>23</v>
      </c>
      <c r="B5698" s="41" t="s">
        <v>46176</v>
      </c>
      <c r="F5698" s="41" t="s">
        <v>46177</v>
      </c>
      <c r="G5698" s="41" t="s">
        <v>46178</v>
      </c>
      <c r="H5698" s="41" t="s">
        <v>46179</v>
      </c>
      <c r="I5698" s="41" t="s">
        <v>46180</v>
      </c>
      <c r="J5698" s="41" t="s">
        <v>46181</v>
      </c>
      <c r="L5698" s="41" t="s">
        <v>4</v>
      </c>
    </row>
    <row r="5699" spans="1:19" x14ac:dyDescent="0.25">
      <c r="A5699" s="41" t="s">
        <v>23</v>
      </c>
      <c r="B5699" s="41" t="s">
        <v>44758</v>
      </c>
      <c r="D5699" s="41" t="s">
        <v>44678</v>
      </c>
      <c r="E5699" s="41" t="s">
        <v>46182</v>
      </c>
      <c r="F5699" s="41" t="s">
        <v>46183</v>
      </c>
      <c r="G5699" s="41" t="s">
        <v>46184</v>
      </c>
      <c r="H5699" s="41" t="s">
        <v>46185</v>
      </c>
      <c r="I5699" s="41" t="s">
        <v>46186</v>
      </c>
      <c r="J5699" s="41" t="s">
        <v>46187</v>
      </c>
      <c r="K5699" s="41" t="s">
        <v>44759</v>
      </c>
      <c r="L5699" s="41" t="s">
        <v>46188</v>
      </c>
      <c r="M5699" s="41" t="s">
        <v>46189</v>
      </c>
      <c r="N5699" s="41" t="s">
        <v>46190</v>
      </c>
      <c r="O5699" s="41" t="s">
        <v>46191</v>
      </c>
      <c r="P5699" s="41" t="s">
        <v>46192</v>
      </c>
      <c r="Q5699" s="41" t="s">
        <v>46193</v>
      </c>
      <c r="R5699" s="41" t="s">
        <v>46194</v>
      </c>
      <c r="S5699" s="41" t="s">
        <v>46195</v>
      </c>
    </row>
    <row r="5700" spans="1:19" x14ac:dyDescent="0.25">
      <c r="A5700" s="41" t="s">
        <v>23</v>
      </c>
      <c r="B5700" s="41" t="s">
        <v>44760</v>
      </c>
      <c r="D5700" s="41" t="s">
        <v>44761</v>
      </c>
      <c r="F5700" s="41" t="s">
        <v>44762</v>
      </c>
      <c r="G5700" s="41" t="s">
        <v>44763</v>
      </c>
      <c r="H5700" s="41" t="s">
        <v>44764</v>
      </c>
      <c r="I5700" s="41" t="s">
        <v>44765</v>
      </c>
      <c r="J5700" s="41" t="s">
        <v>44766</v>
      </c>
      <c r="K5700" s="41" t="s">
        <v>44767</v>
      </c>
      <c r="L5700" s="41" t="s">
        <v>891</v>
      </c>
    </row>
    <row r="5701" spans="1:19" x14ac:dyDescent="0.25">
      <c r="A5701" s="41" t="s">
        <v>23</v>
      </c>
      <c r="B5701" s="41" t="s">
        <v>44768</v>
      </c>
      <c r="D5701" s="41" t="s">
        <v>44769</v>
      </c>
      <c r="F5701" s="41" t="s">
        <v>44770</v>
      </c>
      <c r="G5701" s="41" t="s">
        <v>44771</v>
      </c>
      <c r="H5701" s="41" t="s">
        <v>44772</v>
      </c>
      <c r="I5701" s="41" t="s">
        <v>44773</v>
      </c>
      <c r="J5701" s="41" t="s">
        <v>44774</v>
      </c>
      <c r="K5701" s="41" t="s">
        <v>44775</v>
      </c>
      <c r="L5701" s="41" t="s">
        <v>1076</v>
      </c>
    </row>
    <row r="5702" spans="1:19" x14ac:dyDescent="0.25">
      <c r="A5702" s="41" t="s">
        <v>23</v>
      </c>
      <c r="B5702" s="41" t="s">
        <v>44776</v>
      </c>
      <c r="D5702" s="41" t="s">
        <v>44777</v>
      </c>
      <c r="F5702" s="41" t="s">
        <v>44778</v>
      </c>
      <c r="G5702" s="41" t="s">
        <v>44779</v>
      </c>
      <c r="H5702" s="41" t="s">
        <v>44780</v>
      </c>
      <c r="I5702" s="41" t="s">
        <v>44781</v>
      </c>
      <c r="J5702" s="41" t="s">
        <v>44782</v>
      </c>
      <c r="K5702" s="41" t="s">
        <v>44783</v>
      </c>
      <c r="L5702" s="41" t="s">
        <v>1085</v>
      </c>
    </row>
    <row r="5703" spans="1:19" x14ac:dyDescent="0.25">
      <c r="A5703" s="41" t="s">
        <v>23</v>
      </c>
      <c r="B5703" s="41" t="s">
        <v>46196</v>
      </c>
      <c r="D5703" s="41" t="s">
        <v>46197</v>
      </c>
      <c r="F5703" s="41" t="s">
        <v>46198</v>
      </c>
      <c r="G5703" s="41" t="s">
        <v>46199</v>
      </c>
      <c r="H5703" s="41" t="s">
        <v>46200</v>
      </c>
      <c r="I5703" s="41" t="s">
        <v>46201</v>
      </c>
      <c r="J5703" s="41" t="s">
        <v>46202</v>
      </c>
      <c r="K5703" s="41" t="s">
        <v>46203</v>
      </c>
      <c r="L5703" s="41" t="s">
        <v>1094</v>
      </c>
    </row>
    <row r="5704" spans="1:19" x14ac:dyDescent="0.25">
      <c r="A5704" s="41" t="s">
        <v>908</v>
      </c>
      <c r="B5704" s="41" t="s">
        <v>46204</v>
      </c>
    </row>
    <row r="5705" spans="1:19" x14ac:dyDescent="0.25">
      <c r="A5705" s="41" t="s">
        <v>23</v>
      </c>
      <c r="B5705" s="41" t="s">
        <v>46205</v>
      </c>
      <c r="F5705" s="41" t="s">
        <v>46206</v>
      </c>
      <c r="G5705" s="41" t="s">
        <v>46207</v>
      </c>
      <c r="H5705" s="41" t="s">
        <v>46208</v>
      </c>
      <c r="I5705" s="41" t="s">
        <v>46209</v>
      </c>
      <c r="J5705" s="41" t="s">
        <v>46210</v>
      </c>
      <c r="L5705" s="41" t="s">
        <v>4</v>
      </c>
    </row>
    <row r="5706" spans="1:19" x14ac:dyDescent="0.25">
      <c r="A5706" s="41" t="s">
        <v>23</v>
      </c>
      <c r="B5706" s="41" t="s">
        <v>46211</v>
      </c>
      <c r="D5706" s="41" t="s">
        <v>868</v>
      </c>
      <c r="E5706" s="41" t="s">
        <v>46212</v>
      </c>
      <c r="F5706" s="41" t="s">
        <v>46213</v>
      </c>
      <c r="G5706" s="41" t="s">
        <v>46214</v>
      </c>
      <c r="H5706" s="41" t="s">
        <v>46215</v>
      </c>
      <c r="I5706" s="41" t="s">
        <v>46216</v>
      </c>
      <c r="J5706" s="41" t="s">
        <v>46217</v>
      </c>
      <c r="K5706" s="41" t="s">
        <v>46218</v>
      </c>
      <c r="L5706" s="41" t="s">
        <v>46219</v>
      </c>
      <c r="M5706" s="41" t="s">
        <v>46220</v>
      </c>
      <c r="N5706" s="41" t="s">
        <v>46221</v>
      </c>
      <c r="O5706" s="41" t="s">
        <v>46222</v>
      </c>
      <c r="P5706" s="41" t="s">
        <v>46223</v>
      </c>
      <c r="Q5706" s="41" t="s">
        <v>46224</v>
      </c>
      <c r="R5706" s="41" t="s">
        <v>46225</v>
      </c>
      <c r="S5706" s="41" t="s">
        <v>46226</v>
      </c>
    </row>
    <row r="5707" spans="1:19" x14ac:dyDescent="0.25">
      <c r="A5707" s="41" t="s">
        <v>23</v>
      </c>
      <c r="B5707" s="41" t="s">
        <v>46227</v>
      </c>
      <c r="D5707" s="41" t="s">
        <v>46228</v>
      </c>
      <c r="F5707" s="41" t="s">
        <v>46229</v>
      </c>
      <c r="G5707" s="41" t="s">
        <v>46230</v>
      </c>
      <c r="H5707" s="41" t="s">
        <v>46231</v>
      </c>
      <c r="I5707" s="41" t="s">
        <v>46232</v>
      </c>
      <c r="J5707" s="41" t="s">
        <v>46233</v>
      </c>
      <c r="K5707" s="41" t="s">
        <v>46234</v>
      </c>
      <c r="L5707" s="41" t="s">
        <v>891</v>
      </c>
    </row>
    <row r="5708" spans="1:19" x14ac:dyDescent="0.25">
      <c r="A5708" s="41" t="s">
        <v>23</v>
      </c>
      <c r="B5708" s="41" t="s">
        <v>46235</v>
      </c>
      <c r="D5708" s="41" t="s">
        <v>46236</v>
      </c>
      <c r="F5708" s="41" t="s">
        <v>46237</v>
      </c>
      <c r="G5708" s="41" t="s">
        <v>46238</v>
      </c>
      <c r="H5708" s="41" t="s">
        <v>46239</v>
      </c>
      <c r="I5708" s="41" t="s">
        <v>46240</v>
      </c>
      <c r="J5708" s="41" t="s">
        <v>46241</v>
      </c>
      <c r="K5708" s="41" t="s">
        <v>46242</v>
      </c>
      <c r="L5708" s="41" t="s">
        <v>1076</v>
      </c>
    </row>
    <row r="5709" spans="1:19" x14ac:dyDescent="0.25">
      <c r="A5709" s="41" t="s">
        <v>23</v>
      </c>
      <c r="B5709" s="41" t="s">
        <v>46243</v>
      </c>
      <c r="D5709" s="41" t="s">
        <v>46244</v>
      </c>
      <c r="F5709" s="41" t="s">
        <v>46245</v>
      </c>
      <c r="G5709" s="41" t="s">
        <v>46246</v>
      </c>
      <c r="H5709" s="41" t="s">
        <v>46247</v>
      </c>
      <c r="I5709" s="41" t="s">
        <v>46248</v>
      </c>
      <c r="J5709" s="41" t="s">
        <v>46249</v>
      </c>
      <c r="K5709" s="41" t="s">
        <v>46250</v>
      </c>
      <c r="L5709" s="41" t="s">
        <v>1085</v>
      </c>
    </row>
    <row r="5710" spans="1:19" x14ac:dyDescent="0.25">
      <c r="A5710" s="41" t="s">
        <v>23</v>
      </c>
      <c r="B5710" s="41" t="s">
        <v>46251</v>
      </c>
      <c r="D5710" s="41" t="s">
        <v>46252</v>
      </c>
      <c r="F5710" s="41" t="s">
        <v>46253</v>
      </c>
      <c r="G5710" s="41" t="s">
        <v>46254</v>
      </c>
      <c r="H5710" s="41" t="s">
        <v>46255</v>
      </c>
      <c r="I5710" s="41" t="s">
        <v>46256</v>
      </c>
      <c r="J5710" s="41" t="s">
        <v>46257</v>
      </c>
      <c r="K5710" s="41" t="s">
        <v>46258</v>
      </c>
      <c r="L5710" s="41" t="s">
        <v>1094</v>
      </c>
    </row>
    <row r="5711" spans="1:19" x14ac:dyDescent="0.25">
      <c r="A5711" s="41" t="s">
        <v>908</v>
      </c>
      <c r="B5711" s="41" t="s">
        <v>46259</v>
      </c>
    </row>
    <row r="5712" spans="1:19" x14ac:dyDescent="0.25">
      <c r="A5712" s="41" t="s">
        <v>23</v>
      </c>
      <c r="B5712" s="41" t="s">
        <v>46260</v>
      </c>
      <c r="F5712" s="41" t="s">
        <v>46261</v>
      </c>
      <c r="G5712" s="41" t="s">
        <v>46262</v>
      </c>
      <c r="H5712" s="41" t="s">
        <v>46263</v>
      </c>
      <c r="I5712" s="41" t="s">
        <v>46264</v>
      </c>
      <c r="J5712" s="41" t="s">
        <v>46265</v>
      </c>
      <c r="L5712" s="41" t="s">
        <v>4</v>
      </c>
    </row>
    <row r="5713" spans="1:19" x14ac:dyDescent="0.25">
      <c r="A5713" s="41" t="s">
        <v>23</v>
      </c>
      <c r="B5713" s="41" t="s">
        <v>46266</v>
      </c>
      <c r="D5713" s="41" t="s">
        <v>44731</v>
      </c>
      <c r="E5713" s="41" t="s">
        <v>46267</v>
      </c>
      <c r="F5713" s="41" t="s">
        <v>46268</v>
      </c>
      <c r="G5713" s="41" t="s">
        <v>46269</v>
      </c>
      <c r="H5713" s="41" t="s">
        <v>46270</v>
      </c>
      <c r="I5713" s="41" t="s">
        <v>46271</v>
      </c>
      <c r="J5713" s="41" t="s">
        <v>46272</v>
      </c>
      <c r="K5713" s="41" t="s">
        <v>46273</v>
      </c>
      <c r="L5713" s="41" t="s">
        <v>46274</v>
      </c>
      <c r="M5713" s="41" t="s">
        <v>46275</v>
      </c>
      <c r="N5713" s="41" t="s">
        <v>46276</v>
      </c>
      <c r="O5713" s="41" t="s">
        <v>46277</v>
      </c>
      <c r="P5713" s="41" t="s">
        <v>46278</v>
      </c>
      <c r="Q5713" s="41" t="s">
        <v>46279</v>
      </c>
      <c r="R5713" s="41" t="s">
        <v>46280</v>
      </c>
      <c r="S5713" s="41" t="s">
        <v>46281</v>
      </c>
    </row>
    <row r="5714" spans="1:19" x14ac:dyDescent="0.25">
      <c r="A5714" s="41" t="s">
        <v>23</v>
      </c>
      <c r="B5714" s="41" t="s">
        <v>46282</v>
      </c>
      <c r="D5714" s="41" t="s">
        <v>46283</v>
      </c>
      <c r="F5714" s="41" t="s">
        <v>46284</v>
      </c>
      <c r="G5714" s="41" t="s">
        <v>46285</v>
      </c>
      <c r="H5714" s="41" t="s">
        <v>46286</v>
      </c>
      <c r="I5714" s="41" t="s">
        <v>46287</v>
      </c>
      <c r="J5714" s="41" t="s">
        <v>46288</v>
      </c>
      <c r="K5714" s="41" t="s">
        <v>46289</v>
      </c>
      <c r="L5714" s="41" t="s">
        <v>891</v>
      </c>
    </row>
    <row r="5715" spans="1:19" x14ac:dyDescent="0.25">
      <c r="A5715" s="41" t="s">
        <v>23</v>
      </c>
      <c r="B5715" s="41" t="s">
        <v>46290</v>
      </c>
      <c r="D5715" s="41" t="s">
        <v>46291</v>
      </c>
      <c r="F5715" s="41" t="s">
        <v>46292</v>
      </c>
      <c r="G5715" s="41" t="s">
        <v>46293</v>
      </c>
      <c r="H5715" s="41" t="s">
        <v>46294</v>
      </c>
      <c r="I5715" s="41" t="s">
        <v>46295</v>
      </c>
      <c r="J5715" s="41" t="s">
        <v>46296</v>
      </c>
      <c r="K5715" s="41" t="s">
        <v>46297</v>
      </c>
      <c r="L5715" s="41" t="s">
        <v>1076</v>
      </c>
    </row>
    <row r="5716" spans="1:19" x14ac:dyDescent="0.25">
      <c r="A5716" s="41" t="s">
        <v>23</v>
      </c>
      <c r="B5716" s="41" t="s">
        <v>46298</v>
      </c>
      <c r="D5716" s="41" t="s">
        <v>46299</v>
      </c>
      <c r="F5716" s="41" t="s">
        <v>46300</v>
      </c>
      <c r="G5716" s="41" t="s">
        <v>46301</v>
      </c>
      <c r="H5716" s="41" t="s">
        <v>46302</v>
      </c>
      <c r="I5716" s="41" t="s">
        <v>46303</v>
      </c>
      <c r="J5716" s="41" t="s">
        <v>46304</v>
      </c>
      <c r="K5716" s="41" t="s">
        <v>46305</v>
      </c>
      <c r="L5716" s="41" t="s">
        <v>1085</v>
      </c>
    </row>
    <row r="5717" spans="1:19" x14ac:dyDescent="0.25">
      <c r="A5717" s="41" t="s">
        <v>23</v>
      </c>
      <c r="B5717" s="41" t="s">
        <v>46306</v>
      </c>
      <c r="D5717" s="41" t="s">
        <v>46307</v>
      </c>
      <c r="F5717" s="41" t="s">
        <v>46308</v>
      </c>
      <c r="G5717" s="41" t="s">
        <v>46309</v>
      </c>
      <c r="H5717" s="41" t="s">
        <v>46310</v>
      </c>
      <c r="I5717" s="41" t="s">
        <v>46311</v>
      </c>
      <c r="J5717" s="41" t="s">
        <v>46312</v>
      </c>
      <c r="K5717" s="41" t="s">
        <v>46313</v>
      </c>
      <c r="L5717" s="41" t="s">
        <v>1094</v>
      </c>
    </row>
    <row r="5718" spans="1:19" x14ac:dyDescent="0.25">
      <c r="A5718" s="41" t="s">
        <v>908</v>
      </c>
      <c r="B5718" s="41" t="s">
        <v>46314</v>
      </c>
    </row>
    <row r="5719" spans="1:19" x14ac:dyDescent="0.25">
      <c r="A5719" s="41" t="s">
        <v>23</v>
      </c>
      <c r="B5719" s="41" t="s">
        <v>46315</v>
      </c>
      <c r="F5719" s="41" t="s">
        <v>46316</v>
      </c>
      <c r="G5719" s="41" t="s">
        <v>46317</v>
      </c>
      <c r="H5719" s="41" t="s">
        <v>46318</v>
      </c>
      <c r="I5719" s="41" t="s">
        <v>46319</v>
      </c>
      <c r="J5719" s="41" t="s">
        <v>46320</v>
      </c>
      <c r="L5719" s="41" t="s">
        <v>4</v>
      </c>
    </row>
    <row r="5720" spans="1:19" x14ac:dyDescent="0.25">
      <c r="A5720" s="41" t="s">
        <v>23</v>
      </c>
      <c r="B5720" s="41" t="s">
        <v>46321</v>
      </c>
      <c r="D5720" s="41" t="s">
        <v>869</v>
      </c>
      <c r="E5720" s="41" t="s">
        <v>46322</v>
      </c>
      <c r="F5720" s="41" t="s">
        <v>46323</v>
      </c>
      <c r="G5720" s="41" t="s">
        <v>46324</v>
      </c>
      <c r="H5720" s="41" t="s">
        <v>46325</v>
      </c>
      <c r="I5720" s="41" t="s">
        <v>46326</v>
      </c>
      <c r="J5720" s="41" t="s">
        <v>46327</v>
      </c>
      <c r="K5720" s="41" t="s">
        <v>46328</v>
      </c>
      <c r="L5720" s="41" t="s">
        <v>46329</v>
      </c>
      <c r="M5720" s="41" t="s">
        <v>46330</v>
      </c>
      <c r="N5720" s="41" t="s">
        <v>46331</v>
      </c>
      <c r="O5720" s="41" t="s">
        <v>46332</v>
      </c>
      <c r="P5720" s="41" t="s">
        <v>46333</v>
      </c>
      <c r="Q5720" s="41" t="s">
        <v>46334</v>
      </c>
      <c r="R5720" s="41" t="s">
        <v>46335</v>
      </c>
      <c r="S5720" s="41" t="s">
        <v>46336</v>
      </c>
    </row>
    <row r="5721" spans="1:19" x14ac:dyDescent="0.25">
      <c r="A5721" s="41" t="s">
        <v>23</v>
      </c>
      <c r="B5721" s="41" t="s">
        <v>46337</v>
      </c>
      <c r="D5721" s="41" t="s">
        <v>46338</v>
      </c>
      <c r="F5721" s="41" t="s">
        <v>46339</v>
      </c>
      <c r="G5721" s="41" t="s">
        <v>46340</v>
      </c>
      <c r="H5721" s="41" t="s">
        <v>46341</v>
      </c>
      <c r="I5721" s="41" t="s">
        <v>46342</v>
      </c>
      <c r="J5721" s="41" t="s">
        <v>46343</v>
      </c>
      <c r="K5721" s="41" t="s">
        <v>46344</v>
      </c>
      <c r="L5721" s="41" t="s">
        <v>891</v>
      </c>
    </row>
    <row r="5722" spans="1:19" x14ac:dyDescent="0.25">
      <c r="A5722" s="41" t="s">
        <v>23</v>
      </c>
      <c r="B5722" s="41" t="s">
        <v>46345</v>
      </c>
      <c r="D5722" s="41" t="s">
        <v>46346</v>
      </c>
      <c r="F5722" s="41" t="s">
        <v>46347</v>
      </c>
      <c r="G5722" s="41" t="s">
        <v>46348</v>
      </c>
      <c r="H5722" s="41" t="s">
        <v>46349</v>
      </c>
      <c r="I5722" s="41" t="s">
        <v>46350</v>
      </c>
      <c r="J5722" s="41" t="s">
        <v>46351</v>
      </c>
      <c r="K5722" s="41" t="s">
        <v>46352</v>
      </c>
      <c r="L5722" s="41" t="s">
        <v>1076</v>
      </c>
    </row>
    <row r="5723" spans="1:19" x14ac:dyDescent="0.25">
      <c r="A5723" s="41" t="s">
        <v>23</v>
      </c>
      <c r="B5723" s="41" t="s">
        <v>46353</v>
      </c>
      <c r="D5723" s="41" t="s">
        <v>46354</v>
      </c>
      <c r="F5723" s="41" t="s">
        <v>46355</v>
      </c>
      <c r="G5723" s="41" t="s">
        <v>46356</v>
      </c>
      <c r="H5723" s="41" t="s">
        <v>46357</v>
      </c>
      <c r="I5723" s="41" t="s">
        <v>46358</v>
      </c>
      <c r="J5723" s="41" t="s">
        <v>46359</v>
      </c>
      <c r="K5723" s="41" t="s">
        <v>46360</v>
      </c>
      <c r="L5723" s="41" t="s">
        <v>1085</v>
      </c>
    </row>
    <row r="5724" spans="1:19" x14ac:dyDescent="0.25">
      <c r="A5724" s="41" t="s">
        <v>23</v>
      </c>
      <c r="B5724" s="41" t="s">
        <v>46361</v>
      </c>
      <c r="D5724" s="41" t="s">
        <v>46362</v>
      </c>
      <c r="F5724" s="41" t="s">
        <v>46363</v>
      </c>
      <c r="G5724" s="41" t="s">
        <v>46364</v>
      </c>
      <c r="H5724" s="41" t="s">
        <v>46365</v>
      </c>
      <c r="I5724" s="41" t="s">
        <v>46366</v>
      </c>
      <c r="J5724" s="41" t="s">
        <v>46367</v>
      </c>
      <c r="K5724" s="41" t="s">
        <v>46368</v>
      </c>
      <c r="L5724" s="41" t="s">
        <v>1094</v>
      </c>
    </row>
    <row r="5725" spans="1:19" x14ac:dyDescent="0.25">
      <c r="A5725" s="41" t="s">
        <v>908</v>
      </c>
      <c r="B5725" s="41" t="s">
        <v>46369</v>
      </c>
    </row>
    <row r="5726" spans="1:19" x14ac:dyDescent="0.25">
      <c r="A5726" s="41" t="s">
        <v>23</v>
      </c>
      <c r="B5726" s="41" t="s">
        <v>46370</v>
      </c>
      <c r="F5726" s="41" t="s">
        <v>46371</v>
      </c>
      <c r="G5726" s="41" t="s">
        <v>46372</v>
      </c>
      <c r="H5726" s="41" t="s">
        <v>46373</v>
      </c>
      <c r="I5726" s="41" t="s">
        <v>46374</v>
      </c>
      <c r="J5726" s="41" t="s">
        <v>46375</v>
      </c>
      <c r="L5726" s="41" t="s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B5433-D7A7-42CF-9AD1-36B6D217DB7F}">
  <dimension ref="A1:S193"/>
  <sheetViews>
    <sheetView workbookViewId="0"/>
  </sheetViews>
  <sheetFormatPr defaultRowHeight="13.2" x14ac:dyDescent="0.25"/>
  <sheetData>
    <row r="1" spans="1:19" x14ac:dyDescent="0.25">
      <c r="A1" s="41" t="s">
        <v>48031</v>
      </c>
      <c r="B1" s="41" t="s">
        <v>9</v>
      </c>
      <c r="C1" s="41" t="s">
        <v>5</v>
      </c>
      <c r="E1" s="41" t="s">
        <v>5</v>
      </c>
      <c r="F1" s="41" t="s">
        <v>5</v>
      </c>
      <c r="J1" s="41" t="s">
        <v>5</v>
      </c>
      <c r="K1" s="41" t="s">
        <v>5</v>
      </c>
      <c r="L1" s="41" t="s">
        <v>5</v>
      </c>
      <c r="R1" s="41" t="s">
        <v>46381</v>
      </c>
      <c r="S1" s="41" t="s">
        <v>46381</v>
      </c>
    </row>
    <row r="2" spans="1:19" x14ac:dyDescent="0.25">
      <c r="D2" s="41" t="s">
        <v>48022</v>
      </c>
    </row>
    <row r="4" spans="1:19" x14ac:dyDescent="0.25">
      <c r="B4" s="41" t="s">
        <v>565</v>
      </c>
      <c r="G4" s="41" t="s">
        <v>20</v>
      </c>
      <c r="H4" s="41" t="s">
        <v>48021</v>
      </c>
    </row>
    <row r="5" spans="1:19" x14ac:dyDescent="0.25">
      <c r="G5" s="41" t="s">
        <v>46384</v>
      </c>
      <c r="H5" s="41" t="s">
        <v>46382</v>
      </c>
    </row>
    <row r="6" spans="1:19" x14ac:dyDescent="0.25">
      <c r="B6" s="41" t="s">
        <v>566</v>
      </c>
      <c r="G6" s="41" t="s">
        <v>46385</v>
      </c>
      <c r="H6" s="41" t="s">
        <v>46383</v>
      </c>
    </row>
    <row r="7" spans="1:19" x14ac:dyDescent="0.25">
      <c r="A7" s="41" t="s">
        <v>5</v>
      </c>
      <c r="B7" s="41" t="s">
        <v>44786</v>
      </c>
      <c r="G7" s="41" t="s">
        <v>46386</v>
      </c>
      <c r="H7" s="41" t="s">
        <v>16</v>
      </c>
    </row>
    <row r="8" spans="1:19" x14ac:dyDescent="0.25">
      <c r="B8" s="41" t="s">
        <v>44787</v>
      </c>
      <c r="F8" s="41" t="s">
        <v>44788</v>
      </c>
    </row>
    <row r="9" spans="1:19" x14ac:dyDescent="0.25">
      <c r="A9" s="41" t="s">
        <v>5</v>
      </c>
      <c r="J9" s="41" t="s">
        <v>10</v>
      </c>
      <c r="K9" s="41" t="s">
        <v>10</v>
      </c>
      <c r="L9" s="41" t="s">
        <v>12</v>
      </c>
      <c r="M9" s="41" t="s">
        <v>12</v>
      </c>
    </row>
    <row r="10" spans="1:19" x14ac:dyDescent="0.25">
      <c r="B10" s="41" t="s">
        <v>3</v>
      </c>
      <c r="D10" s="41" t="s">
        <v>0</v>
      </c>
      <c r="E10" s="41" t="s">
        <v>8</v>
      </c>
      <c r="F10" s="41" t="s">
        <v>564</v>
      </c>
      <c r="G10" s="41" t="s">
        <v>1</v>
      </c>
      <c r="H10" s="41" t="s">
        <v>2</v>
      </c>
      <c r="I10" s="41" t="s">
        <v>19</v>
      </c>
      <c r="J10" s="41" t="s">
        <v>46387</v>
      </c>
      <c r="K10" s="41" t="s">
        <v>13</v>
      </c>
      <c r="L10" s="41" t="s">
        <v>46387</v>
      </c>
      <c r="M10" s="41" t="s">
        <v>13</v>
      </c>
      <c r="N10" s="41" t="s">
        <v>18</v>
      </c>
      <c r="O10" s="41" t="s">
        <v>46378</v>
      </c>
      <c r="P10" s="41" t="s">
        <v>46379</v>
      </c>
      <c r="Q10" s="41" t="s">
        <v>46380</v>
      </c>
      <c r="R10" s="41" t="s">
        <v>48020</v>
      </c>
      <c r="S10" s="41" t="s">
        <v>46382</v>
      </c>
    </row>
    <row r="11" spans="1:19" x14ac:dyDescent="0.25">
      <c r="B11" s="41" t="s">
        <v>46388</v>
      </c>
      <c r="D11" s="41" t="s">
        <v>48019</v>
      </c>
      <c r="E11" s="41" t="s">
        <v>24</v>
      </c>
      <c r="F11" s="41" t="s">
        <v>574</v>
      </c>
      <c r="G11" s="41" t="s">
        <v>46389</v>
      </c>
      <c r="H11" s="41" t="s">
        <v>46390</v>
      </c>
      <c r="I11" s="41" t="s">
        <v>25</v>
      </c>
      <c r="J11" s="41" t="s">
        <v>46391</v>
      </c>
      <c r="K11" s="41" t="s">
        <v>46392</v>
      </c>
      <c r="L11" s="41" t="s">
        <v>46393</v>
      </c>
      <c r="M11" s="41" t="s">
        <v>46394</v>
      </c>
      <c r="N11" s="41" t="s">
        <v>46395</v>
      </c>
      <c r="Q11" s="41" t="s">
        <v>46396</v>
      </c>
      <c r="R11" s="41" t="s">
        <v>46387</v>
      </c>
      <c r="S11" s="41" t="s">
        <v>46397</v>
      </c>
    </row>
    <row r="12" spans="1:19" x14ac:dyDescent="0.25">
      <c r="A12" s="41" t="s">
        <v>23</v>
      </c>
      <c r="B12" s="41" t="s">
        <v>46399</v>
      </c>
      <c r="D12" s="41" t="s">
        <v>511</v>
      </c>
      <c r="E12" s="41" t="s">
        <v>26</v>
      </c>
      <c r="F12" s="41" t="s">
        <v>575</v>
      </c>
      <c r="G12" s="41" t="s">
        <v>46400</v>
      </c>
      <c r="H12" s="41" t="s">
        <v>46401</v>
      </c>
      <c r="I12" s="41" t="s">
        <v>27</v>
      </c>
      <c r="J12" s="41" t="s">
        <v>46402</v>
      </c>
      <c r="K12" s="41" t="s">
        <v>46403</v>
      </c>
      <c r="L12" s="41" t="s">
        <v>46404</v>
      </c>
      <c r="M12" s="41" t="s">
        <v>46405</v>
      </c>
      <c r="N12" s="41" t="s">
        <v>46406</v>
      </c>
      <c r="Q12" s="41" t="s">
        <v>46407</v>
      </c>
      <c r="R12" s="41" t="s">
        <v>46387</v>
      </c>
      <c r="S12" s="41" t="s">
        <v>46397</v>
      </c>
    </row>
    <row r="13" spans="1:19" x14ac:dyDescent="0.25">
      <c r="A13" s="41" t="s">
        <v>23</v>
      </c>
      <c r="B13" s="41" t="s">
        <v>46408</v>
      </c>
      <c r="D13" s="41" t="s">
        <v>512</v>
      </c>
      <c r="E13" s="41" t="s">
        <v>28</v>
      </c>
      <c r="F13" s="41" t="s">
        <v>576</v>
      </c>
      <c r="G13" s="41" t="s">
        <v>46409</v>
      </c>
      <c r="H13" s="41" t="s">
        <v>46410</v>
      </c>
      <c r="I13" s="41" t="s">
        <v>29</v>
      </c>
      <c r="J13" s="41" t="s">
        <v>46411</v>
      </c>
      <c r="K13" s="41" t="s">
        <v>46412</v>
      </c>
      <c r="L13" s="41" t="s">
        <v>46413</v>
      </c>
      <c r="M13" s="41" t="s">
        <v>46414</v>
      </c>
      <c r="N13" s="41" t="s">
        <v>46415</v>
      </c>
      <c r="Q13" s="41" t="s">
        <v>46416</v>
      </c>
      <c r="R13" s="41" t="s">
        <v>46387</v>
      </c>
      <c r="S13" s="41" t="s">
        <v>46397</v>
      </c>
    </row>
    <row r="14" spans="1:19" x14ac:dyDescent="0.25">
      <c r="A14" s="41" t="s">
        <v>23</v>
      </c>
      <c r="B14" s="41" t="s">
        <v>46417</v>
      </c>
      <c r="D14" s="41" t="s">
        <v>513</v>
      </c>
      <c r="E14" s="41" t="s">
        <v>30</v>
      </c>
      <c r="F14" s="41" t="s">
        <v>577</v>
      </c>
      <c r="G14" s="41" t="s">
        <v>46418</v>
      </c>
      <c r="H14" s="41" t="s">
        <v>46419</v>
      </c>
      <c r="I14" s="41" t="s">
        <v>31</v>
      </c>
      <c r="J14" s="41" t="s">
        <v>46420</v>
      </c>
      <c r="K14" s="41" t="s">
        <v>46421</v>
      </c>
      <c r="L14" s="41" t="s">
        <v>46422</v>
      </c>
      <c r="M14" s="41" t="s">
        <v>46423</v>
      </c>
      <c r="N14" s="41" t="s">
        <v>46424</v>
      </c>
      <c r="Q14" s="41" t="s">
        <v>46425</v>
      </c>
      <c r="R14" s="41" t="s">
        <v>46387</v>
      </c>
      <c r="S14" s="41" t="s">
        <v>46397</v>
      </c>
    </row>
    <row r="15" spans="1:19" x14ac:dyDescent="0.25">
      <c r="A15" s="41" t="s">
        <v>23</v>
      </c>
      <c r="B15" s="41" t="s">
        <v>46426</v>
      </c>
      <c r="D15" s="41" t="s">
        <v>870</v>
      </c>
      <c r="E15" s="41" t="s">
        <v>32</v>
      </c>
      <c r="F15" s="41" t="s">
        <v>578</v>
      </c>
      <c r="G15" s="41" t="s">
        <v>46427</v>
      </c>
      <c r="H15" s="41" t="s">
        <v>46428</v>
      </c>
      <c r="I15" s="41" t="s">
        <v>33</v>
      </c>
      <c r="J15" s="41" t="s">
        <v>46429</v>
      </c>
      <c r="K15" s="41" t="s">
        <v>46430</v>
      </c>
      <c r="L15" s="41" t="s">
        <v>46431</v>
      </c>
      <c r="M15" s="41" t="s">
        <v>46432</v>
      </c>
      <c r="N15" s="41" t="s">
        <v>46433</v>
      </c>
      <c r="Q15" s="41" t="s">
        <v>46434</v>
      </c>
      <c r="R15" s="41" t="s">
        <v>46387</v>
      </c>
      <c r="S15" s="41" t="s">
        <v>46397</v>
      </c>
    </row>
    <row r="16" spans="1:19" x14ac:dyDescent="0.25">
      <c r="A16" s="41" t="s">
        <v>23</v>
      </c>
      <c r="B16" s="41" t="s">
        <v>46435</v>
      </c>
      <c r="D16" s="41" t="s">
        <v>871</v>
      </c>
      <c r="E16" s="41" t="s">
        <v>34</v>
      </c>
      <c r="F16" s="41" t="s">
        <v>579</v>
      </c>
      <c r="G16" s="41" t="s">
        <v>46436</v>
      </c>
      <c r="H16" s="41" t="s">
        <v>46437</v>
      </c>
      <c r="I16" s="41" t="s">
        <v>35</v>
      </c>
      <c r="J16" s="41" t="s">
        <v>46438</v>
      </c>
      <c r="K16" s="41" t="s">
        <v>46439</v>
      </c>
      <c r="L16" s="41" t="s">
        <v>46440</v>
      </c>
      <c r="M16" s="41" t="s">
        <v>46441</v>
      </c>
      <c r="N16" s="41" t="s">
        <v>46442</v>
      </c>
      <c r="Q16" s="41" t="s">
        <v>46443</v>
      </c>
      <c r="R16" s="41" t="s">
        <v>46387</v>
      </c>
      <c r="S16" s="41" t="s">
        <v>46397</v>
      </c>
    </row>
    <row r="17" spans="1:19" x14ac:dyDescent="0.25">
      <c r="A17" s="41" t="s">
        <v>23</v>
      </c>
      <c r="B17" s="41" t="s">
        <v>46444</v>
      </c>
      <c r="D17" s="41" t="s">
        <v>872</v>
      </c>
      <c r="E17" s="41" t="s">
        <v>37</v>
      </c>
      <c r="F17" s="41" t="s">
        <v>584</v>
      </c>
      <c r="G17" s="41" t="s">
        <v>46445</v>
      </c>
      <c r="H17" s="41" t="s">
        <v>46446</v>
      </c>
      <c r="I17" s="41" t="s">
        <v>38</v>
      </c>
      <c r="J17" s="41" t="s">
        <v>46447</v>
      </c>
      <c r="K17" s="41" t="s">
        <v>46448</v>
      </c>
      <c r="L17" s="41" t="s">
        <v>46449</v>
      </c>
      <c r="M17" s="41" t="s">
        <v>46450</v>
      </c>
      <c r="N17" s="41" t="s">
        <v>46451</v>
      </c>
      <c r="Q17" s="41" t="s">
        <v>46452</v>
      </c>
      <c r="R17" s="41" t="s">
        <v>46387</v>
      </c>
      <c r="S17" s="41" t="s">
        <v>46397</v>
      </c>
    </row>
    <row r="18" spans="1:19" x14ac:dyDescent="0.25">
      <c r="A18" s="41" t="s">
        <v>23</v>
      </c>
      <c r="B18" s="41" t="s">
        <v>46453</v>
      </c>
      <c r="D18" s="41" t="s">
        <v>514</v>
      </c>
      <c r="E18" s="41" t="s">
        <v>40</v>
      </c>
      <c r="F18" s="41" t="s">
        <v>585</v>
      </c>
      <c r="G18" s="41" t="s">
        <v>46454</v>
      </c>
      <c r="H18" s="41" t="s">
        <v>46455</v>
      </c>
      <c r="I18" s="41" t="s">
        <v>41</v>
      </c>
      <c r="J18" s="41" t="s">
        <v>46456</v>
      </c>
      <c r="K18" s="41" t="s">
        <v>46457</v>
      </c>
      <c r="L18" s="41" t="s">
        <v>46458</v>
      </c>
      <c r="M18" s="41" t="s">
        <v>46459</v>
      </c>
      <c r="N18" s="41" t="s">
        <v>46460</v>
      </c>
      <c r="Q18" s="41" t="s">
        <v>46461</v>
      </c>
      <c r="R18" s="41" t="s">
        <v>46387</v>
      </c>
      <c r="S18" s="41" t="s">
        <v>46397</v>
      </c>
    </row>
    <row r="19" spans="1:19" x14ac:dyDescent="0.25">
      <c r="A19" s="41" t="s">
        <v>23</v>
      </c>
      <c r="B19" s="41" t="s">
        <v>46462</v>
      </c>
      <c r="D19" s="41" t="s">
        <v>515</v>
      </c>
      <c r="E19" s="41" t="s">
        <v>43</v>
      </c>
      <c r="F19" s="41" t="s">
        <v>586</v>
      </c>
      <c r="G19" s="41" t="s">
        <v>46463</v>
      </c>
      <c r="H19" s="41" t="s">
        <v>46464</v>
      </c>
      <c r="I19" s="41" t="s">
        <v>44</v>
      </c>
      <c r="J19" s="41" t="s">
        <v>46465</v>
      </c>
      <c r="K19" s="41" t="s">
        <v>46466</v>
      </c>
      <c r="L19" s="41" t="s">
        <v>46467</v>
      </c>
      <c r="M19" s="41" t="s">
        <v>46468</v>
      </c>
      <c r="N19" s="41" t="s">
        <v>46469</v>
      </c>
      <c r="Q19" s="41" t="s">
        <v>46470</v>
      </c>
      <c r="R19" s="41" t="s">
        <v>46387</v>
      </c>
      <c r="S19" s="41" t="s">
        <v>46397</v>
      </c>
    </row>
    <row r="20" spans="1:19" x14ac:dyDescent="0.25">
      <c r="A20" s="41" t="s">
        <v>23</v>
      </c>
      <c r="B20" s="41" t="s">
        <v>46471</v>
      </c>
      <c r="D20" s="41" t="s">
        <v>516</v>
      </c>
      <c r="E20" s="41" t="s">
        <v>46</v>
      </c>
      <c r="F20" s="41" t="s">
        <v>587</v>
      </c>
      <c r="G20" s="41" t="s">
        <v>46472</v>
      </c>
      <c r="H20" s="41" t="s">
        <v>46473</v>
      </c>
      <c r="I20" s="41" t="s">
        <v>47</v>
      </c>
      <c r="J20" s="41" t="s">
        <v>46474</v>
      </c>
      <c r="K20" s="41" t="s">
        <v>46475</v>
      </c>
      <c r="L20" s="41" t="s">
        <v>46476</v>
      </c>
      <c r="M20" s="41" t="s">
        <v>46477</v>
      </c>
      <c r="N20" s="41" t="s">
        <v>46478</v>
      </c>
      <c r="Q20" s="41" t="s">
        <v>46479</v>
      </c>
      <c r="R20" s="41" t="s">
        <v>46387</v>
      </c>
      <c r="S20" s="41" t="s">
        <v>46397</v>
      </c>
    </row>
    <row r="21" spans="1:19" x14ac:dyDescent="0.25">
      <c r="A21" s="41" t="s">
        <v>23</v>
      </c>
      <c r="B21" s="41" t="s">
        <v>46480</v>
      </c>
      <c r="D21" s="41" t="s">
        <v>873</v>
      </c>
      <c r="E21" s="41" t="s">
        <v>48</v>
      </c>
      <c r="F21" s="41" t="s">
        <v>588</v>
      </c>
      <c r="G21" s="41" t="s">
        <v>46481</v>
      </c>
      <c r="H21" s="41" t="s">
        <v>46482</v>
      </c>
      <c r="I21" s="41" t="s">
        <v>49</v>
      </c>
      <c r="J21" s="41" t="s">
        <v>46483</v>
      </c>
      <c r="K21" s="41" t="s">
        <v>46484</v>
      </c>
      <c r="L21" s="41" t="s">
        <v>46485</v>
      </c>
      <c r="M21" s="41" t="s">
        <v>46486</v>
      </c>
      <c r="N21" s="41" t="s">
        <v>46487</v>
      </c>
      <c r="Q21" s="41" t="s">
        <v>46488</v>
      </c>
      <c r="R21" s="41" t="s">
        <v>46387</v>
      </c>
      <c r="S21" s="41" t="s">
        <v>46397</v>
      </c>
    </row>
    <row r="22" spans="1:19" x14ac:dyDescent="0.25">
      <c r="A22" s="41" t="s">
        <v>23</v>
      </c>
      <c r="B22" s="41" t="s">
        <v>46489</v>
      </c>
      <c r="D22" s="41" t="s">
        <v>874</v>
      </c>
      <c r="E22" s="41" t="s">
        <v>50</v>
      </c>
      <c r="F22" s="41" t="s">
        <v>589</v>
      </c>
      <c r="G22" s="41" t="s">
        <v>46490</v>
      </c>
      <c r="H22" s="41" t="s">
        <v>46491</v>
      </c>
      <c r="I22" s="41" t="s">
        <v>51</v>
      </c>
      <c r="J22" s="41" t="s">
        <v>46492</v>
      </c>
      <c r="K22" s="41" t="s">
        <v>46493</v>
      </c>
      <c r="L22" s="41" t="s">
        <v>46494</v>
      </c>
      <c r="M22" s="41" t="s">
        <v>46495</v>
      </c>
      <c r="N22" s="41" t="s">
        <v>46496</v>
      </c>
      <c r="Q22" s="41" t="s">
        <v>46497</v>
      </c>
      <c r="R22" s="41" t="s">
        <v>46387</v>
      </c>
      <c r="S22" s="41" t="s">
        <v>46397</v>
      </c>
    </row>
    <row r="23" spans="1:19" x14ac:dyDescent="0.25">
      <c r="A23" s="41" t="s">
        <v>23</v>
      </c>
      <c r="B23" s="41" t="s">
        <v>46498</v>
      </c>
      <c r="D23" s="41" t="s">
        <v>875</v>
      </c>
      <c r="E23" s="41" t="s">
        <v>52</v>
      </c>
      <c r="F23" s="41" t="s">
        <v>590</v>
      </c>
      <c r="G23" s="41" t="s">
        <v>46499</v>
      </c>
      <c r="H23" s="41" t="s">
        <v>46500</v>
      </c>
      <c r="I23" s="41" t="s">
        <v>53</v>
      </c>
      <c r="J23" s="41" t="s">
        <v>46501</v>
      </c>
      <c r="K23" s="41" t="s">
        <v>46502</v>
      </c>
      <c r="L23" s="41" t="s">
        <v>46503</v>
      </c>
      <c r="M23" s="41" t="s">
        <v>46504</v>
      </c>
      <c r="N23" s="41" t="s">
        <v>46505</v>
      </c>
      <c r="Q23" s="41" t="s">
        <v>46506</v>
      </c>
      <c r="R23" s="41" t="s">
        <v>46387</v>
      </c>
      <c r="S23" s="41" t="s">
        <v>46397</v>
      </c>
    </row>
    <row r="24" spans="1:19" x14ac:dyDescent="0.25">
      <c r="A24" s="41" t="s">
        <v>23</v>
      </c>
      <c r="B24" s="41" t="s">
        <v>46507</v>
      </c>
      <c r="D24" s="41" t="s">
        <v>875</v>
      </c>
      <c r="E24" s="41" t="s">
        <v>1518</v>
      </c>
      <c r="F24" s="41" t="s">
        <v>595</v>
      </c>
      <c r="G24" s="41" t="s">
        <v>46508</v>
      </c>
      <c r="H24" s="41" t="s">
        <v>46509</v>
      </c>
      <c r="I24" s="41" t="s">
        <v>55</v>
      </c>
      <c r="J24" s="41" t="s">
        <v>46510</v>
      </c>
      <c r="K24" s="41" t="s">
        <v>46511</v>
      </c>
      <c r="L24" s="41" t="s">
        <v>46512</v>
      </c>
      <c r="M24" s="41" t="s">
        <v>46513</v>
      </c>
      <c r="N24" s="41" t="s">
        <v>46514</v>
      </c>
      <c r="Q24" s="41" t="s">
        <v>46515</v>
      </c>
      <c r="R24" s="41" t="s">
        <v>46387</v>
      </c>
      <c r="S24" s="41" t="s">
        <v>46397</v>
      </c>
    </row>
    <row r="25" spans="1:19" x14ac:dyDescent="0.25">
      <c r="A25" s="41" t="s">
        <v>23</v>
      </c>
      <c r="B25" s="41" t="s">
        <v>46516</v>
      </c>
      <c r="D25" s="41" t="s">
        <v>36</v>
      </c>
      <c r="E25" s="41" t="s">
        <v>56</v>
      </c>
      <c r="F25" s="41" t="s">
        <v>596</v>
      </c>
      <c r="G25" s="41" t="s">
        <v>46517</v>
      </c>
      <c r="H25" s="41" t="s">
        <v>46518</v>
      </c>
      <c r="I25" s="41" t="s">
        <v>57</v>
      </c>
      <c r="J25" s="41" t="s">
        <v>46519</v>
      </c>
      <c r="K25" s="41" t="s">
        <v>46520</v>
      </c>
      <c r="L25" s="41" t="s">
        <v>46521</v>
      </c>
      <c r="M25" s="41" t="s">
        <v>46522</v>
      </c>
      <c r="N25" s="41" t="s">
        <v>46523</v>
      </c>
      <c r="Q25" s="41" t="s">
        <v>46524</v>
      </c>
      <c r="R25" s="41" t="s">
        <v>46387</v>
      </c>
      <c r="S25" s="41" t="s">
        <v>46397</v>
      </c>
    </row>
    <row r="26" spans="1:19" x14ac:dyDescent="0.25">
      <c r="A26" s="41" t="s">
        <v>23</v>
      </c>
      <c r="B26" s="41" t="s">
        <v>46525</v>
      </c>
      <c r="D26" s="41" t="s">
        <v>39</v>
      </c>
      <c r="E26" s="41" t="s">
        <v>58</v>
      </c>
      <c r="F26" s="41" t="s">
        <v>597</v>
      </c>
      <c r="G26" s="41" t="s">
        <v>46526</v>
      </c>
      <c r="H26" s="41" t="s">
        <v>46527</v>
      </c>
      <c r="I26" s="41" t="s">
        <v>59</v>
      </c>
      <c r="J26" s="41" t="s">
        <v>46528</v>
      </c>
      <c r="K26" s="41" t="s">
        <v>46529</v>
      </c>
      <c r="L26" s="41" t="s">
        <v>46530</v>
      </c>
      <c r="M26" s="41" t="s">
        <v>46531</v>
      </c>
      <c r="N26" s="41" t="s">
        <v>46532</v>
      </c>
      <c r="Q26" s="41" t="s">
        <v>46533</v>
      </c>
      <c r="R26" s="41" t="s">
        <v>46387</v>
      </c>
      <c r="S26" s="41" t="s">
        <v>46397</v>
      </c>
    </row>
    <row r="27" spans="1:19" x14ac:dyDescent="0.25">
      <c r="A27" s="41" t="s">
        <v>23</v>
      </c>
      <c r="B27" s="41" t="s">
        <v>46534</v>
      </c>
      <c r="D27" s="41" t="s">
        <v>42</v>
      </c>
      <c r="E27" s="41" t="s">
        <v>61</v>
      </c>
      <c r="F27" s="41" t="s">
        <v>598</v>
      </c>
      <c r="G27" s="41" t="s">
        <v>46535</v>
      </c>
      <c r="H27" s="41" t="s">
        <v>46536</v>
      </c>
      <c r="I27" s="41" t="s">
        <v>62</v>
      </c>
      <c r="J27" s="41" t="s">
        <v>46537</v>
      </c>
      <c r="K27" s="41" t="s">
        <v>46538</v>
      </c>
      <c r="L27" s="41" t="s">
        <v>46539</v>
      </c>
      <c r="M27" s="41" t="s">
        <v>46540</v>
      </c>
      <c r="N27" s="41" t="s">
        <v>46541</v>
      </c>
      <c r="Q27" s="41" t="s">
        <v>46542</v>
      </c>
      <c r="R27" s="41" t="s">
        <v>46387</v>
      </c>
      <c r="S27" s="41" t="s">
        <v>46397</v>
      </c>
    </row>
    <row r="28" spans="1:19" x14ac:dyDescent="0.25">
      <c r="A28" s="41" t="s">
        <v>23</v>
      </c>
      <c r="B28" s="41" t="s">
        <v>46543</v>
      </c>
      <c r="D28" s="41" t="s">
        <v>45</v>
      </c>
      <c r="E28" s="41" t="s">
        <v>63</v>
      </c>
      <c r="F28" s="41" t="s">
        <v>599</v>
      </c>
      <c r="G28" s="41" t="s">
        <v>46544</v>
      </c>
      <c r="H28" s="41" t="s">
        <v>46545</v>
      </c>
      <c r="I28" s="41" t="s">
        <v>64</v>
      </c>
      <c r="J28" s="41" t="s">
        <v>46546</v>
      </c>
      <c r="K28" s="41" t="s">
        <v>46547</v>
      </c>
      <c r="L28" s="41" t="s">
        <v>46548</v>
      </c>
      <c r="M28" s="41" t="s">
        <v>46549</v>
      </c>
      <c r="N28" s="41" t="s">
        <v>46550</v>
      </c>
      <c r="Q28" s="41" t="s">
        <v>46551</v>
      </c>
      <c r="R28" s="41" t="s">
        <v>46387</v>
      </c>
      <c r="S28" s="41" t="s">
        <v>46397</v>
      </c>
    </row>
    <row r="29" spans="1:19" x14ac:dyDescent="0.25">
      <c r="A29" s="41" t="s">
        <v>23</v>
      </c>
      <c r="B29" s="41" t="s">
        <v>46552</v>
      </c>
      <c r="D29" s="41" t="s">
        <v>60</v>
      </c>
      <c r="E29" s="41" t="s">
        <v>65</v>
      </c>
      <c r="F29" s="41" t="s">
        <v>600</v>
      </c>
      <c r="G29" s="41" t="s">
        <v>46553</v>
      </c>
      <c r="H29" s="41" t="s">
        <v>46554</v>
      </c>
      <c r="I29" s="41" t="s">
        <v>66</v>
      </c>
      <c r="J29" s="41" t="s">
        <v>46555</v>
      </c>
      <c r="K29" s="41" t="s">
        <v>46556</v>
      </c>
      <c r="L29" s="41" t="s">
        <v>46557</v>
      </c>
      <c r="M29" s="41" t="s">
        <v>46558</v>
      </c>
      <c r="N29" s="41" t="s">
        <v>46559</v>
      </c>
      <c r="Q29" s="41" t="s">
        <v>46560</v>
      </c>
      <c r="R29" s="41" t="s">
        <v>46387</v>
      </c>
      <c r="S29" s="41" t="s">
        <v>46397</v>
      </c>
    </row>
    <row r="30" spans="1:19" x14ac:dyDescent="0.25">
      <c r="A30" s="41" t="s">
        <v>23</v>
      </c>
      <c r="B30" s="41" t="s">
        <v>46561</v>
      </c>
      <c r="D30" s="41" t="s">
        <v>71</v>
      </c>
      <c r="E30" s="41" t="s">
        <v>67</v>
      </c>
      <c r="F30" s="41" t="s">
        <v>601</v>
      </c>
      <c r="G30" s="41" t="s">
        <v>46562</v>
      </c>
      <c r="H30" s="41" t="s">
        <v>46563</v>
      </c>
      <c r="I30" s="41" t="s">
        <v>68</v>
      </c>
      <c r="J30" s="41" t="s">
        <v>46564</v>
      </c>
      <c r="K30" s="41" t="s">
        <v>46565</v>
      </c>
      <c r="L30" s="41" t="s">
        <v>46566</v>
      </c>
      <c r="M30" s="41" t="s">
        <v>46567</v>
      </c>
      <c r="N30" s="41" t="s">
        <v>46568</v>
      </c>
      <c r="Q30" s="41" t="s">
        <v>46569</v>
      </c>
      <c r="R30" s="41" t="s">
        <v>46387</v>
      </c>
      <c r="S30" s="41" t="s">
        <v>46397</v>
      </c>
    </row>
    <row r="31" spans="1:19" x14ac:dyDescent="0.25">
      <c r="A31" s="41" t="s">
        <v>23</v>
      </c>
      <c r="B31" s="41" t="s">
        <v>46570</v>
      </c>
      <c r="D31" s="41" t="s">
        <v>74</v>
      </c>
      <c r="E31" s="41" t="s">
        <v>69</v>
      </c>
      <c r="F31" s="41" t="s">
        <v>606</v>
      </c>
      <c r="G31" s="41" t="s">
        <v>46571</v>
      </c>
      <c r="H31" s="41" t="s">
        <v>46572</v>
      </c>
      <c r="I31" s="41" t="s">
        <v>70</v>
      </c>
      <c r="J31" s="41" t="s">
        <v>46573</v>
      </c>
      <c r="K31" s="41" t="s">
        <v>46574</v>
      </c>
      <c r="L31" s="41" t="s">
        <v>46575</v>
      </c>
      <c r="M31" s="41" t="s">
        <v>46576</v>
      </c>
      <c r="N31" s="41" t="s">
        <v>46577</v>
      </c>
      <c r="Q31" s="41" t="s">
        <v>46578</v>
      </c>
      <c r="R31" s="41" t="s">
        <v>46387</v>
      </c>
      <c r="S31" s="41" t="s">
        <v>46397</v>
      </c>
    </row>
    <row r="32" spans="1:19" x14ac:dyDescent="0.25">
      <c r="A32" s="41" t="s">
        <v>23</v>
      </c>
      <c r="B32" s="41" t="s">
        <v>46579</v>
      </c>
      <c r="D32" s="41" t="s">
        <v>77</v>
      </c>
      <c r="E32" s="41" t="s">
        <v>72</v>
      </c>
      <c r="F32" s="41" t="s">
        <v>607</v>
      </c>
      <c r="G32" s="41" t="s">
        <v>46580</v>
      </c>
      <c r="H32" s="41" t="s">
        <v>46581</v>
      </c>
      <c r="I32" s="41" t="s">
        <v>73</v>
      </c>
      <c r="J32" s="41" t="s">
        <v>46582</v>
      </c>
      <c r="K32" s="41" t="s">
        <v>46583</v>
      </c>
      <c r="L32" s="41" t="s">
        <v>46584</v>
      </c>
      <c r="M32" s="41" t="s">
        <v>46585</v>
      </c>
      <c r="N32" s="41" t="s">
        <v>46586</v>
      </c>
      <c r="Q32" s="41" t="s">
        <v>46587</v>
      </c>
      <c r="R32" s="41" t="s">
        <v>46387</v>
      </c>
      <c r="S32" s="41" t="s">
        <v>46397</v>
      </c>
    </row>
    <row r="33" spans="1:19" x14ac:dyDescent="0.25">
      <c r="A33" s="41" t="s">
        <v>23</v>
      </c>
      <c r="B33" s="41" t="s">
        <v>46588</v>
      </c>
      <c r="D33" s="41" t="s">
        <v>80</v>
      </c>
      <c r="E33" s="41" t="s">
        <v>75</v>
      </c>
      <c r="F33" s="41" t="s">
        <v>608</v>
      </c>
      <c r="G33" s="41" t="s">
        <v>46589</v>
      </c>
      <c r="H33" s="41" t="s">
        <v>46590</v>
      </c>
      <c r="I33" s="41" t="s">
        <v>76</v>
      </c>
      <c r="J33" s="41" t="s">
        <v>46591</v>
      </c>
      <c r="K33" s="41" t="s">
        <v>46592</v>
      </c>
      <c r="L33" s="41" t="s">
        <v>46593</v>
      </c>
      <c r="M33" s="41" t="s">
        <v>46594</v>
      </c>
      <c r="N33" s="41" t="s">
        <v>46595</v>
      </c>
      <c r="Q33" s="41" t="s">
        <v>46596</v>
      </c>
      <c r="R33" s="41" t="s">
        <v>46387</v>
      </c>
      <c r="S33" s="41" t="s">
        <v>46397</v>
      </c>
    </row>
    <row r="34" spans="1:19" x14ac:dyDescent="0.25">
      <c r="A34" s="41" t="s">
        <v>23</v>
      </c>
      <c r="B34" s="41" t="s">
        <v>46597</v>
      </c>
      <c r="D34" s="41" t="s">
        <v>83</v>
      </c>
      <c r="E34" s="41" t="s">
        <v>78</v>
      </c>
      <c r="F34" s="41" t="s">
        <v>609</v>
      </c>
      <c r="G34" s="41" t="s">
        <v>46598</v>
      </c>
      <c r="H34" s="41" t="s">
        <v>46599</v>
      </c>
      <c r="I34" s="41" t="s">
        <v>79</v>
      </c>
      <c r="J34" s="41" t="s">
        <v>46600</v>
      </c>
      <c r="K34" s="41" t="s">
        <v>46601</v>
      </c>
      <c r="L34" s="41" t="s">
        <v>46602</v>
      </c>
      <c r="M34" s="41" t="s">
        <v>46603</v>
      </c>
      <c r="N34" s="41" t="s">
        <v>46604</v>
      </c>
      <c r="Q34" s="41" t="s">
        <v>46605</v>
      </c>
      <c r="R34" s="41" t="s">
        <v>46387</v>
      </c>
      <c r="S34" s="41" t="s">
        <v>46397</v>
      </c>
    </row>
    <row r="35" spans="1:19" x14ac:dyDescent="0.25">
      <c r="A35" s="41" t="s">
        <v>23</v>
      </c>
      <c r="B35" s="41" t="s">
        <v>46606</v>
      </c>
      <c r="D35" s="41" t="s">
        <v>88</v>
      </c>
      <c r="E35" s="41" t="s">
        <v>81</v>
      </c>
      <c r="F35" s="41" t="s">
        <v>610</v>
      </c>
      <c r="G35" s="41" t="s">
        <v>46607</v>
      </c>
      <c r="H35" s="41" t="s">
        <v>46608</v>
      </c>
      <c r="I35" s="41" t="s">
        <v>82</v>
      </c>
      <c r="J35" s="41" t="s">
        <v>46609</v>
      </c>
      <c r="K35" s="41" t="s">
        <v>46610</v>
      </c>
      <c r="L35" s="41" t="s">
        <v>46611</v>
      </c>
      <c r="M35" s="41" t="s">
        <v>46612</v>
      </c>
      <c r="N35" s="41" t="s">
        <v>46613</v>
      </c>
      <c r="Q35" s="41" t="s">
        <v>46614</v>
      </c>
      <c r="R35" s="41" t="s">
        <v>46387</v>
      </c>
      <c r="S35" s="41" t="s">
        <v>46397</v>
      </c>
    </row>
    <row r="36" spans="1:19" x14ac:dyDescent="0.25">
      <c r="A36" s="41" t="s">
        <v>23</v>
      </c>
      <c r="B36" s="41" t="s">
        <v>46615</v>
      </c>
      <c r="D36" s="41" t="s">
        <v>91</v>
      </c>
      <c r="E36" s="41" t="s">
        <v>84</v>
      </c>
      <c r="F36" s="41" t="s">
        <v>611</v>
      </c>
      <c r="G36" s="41" t="s">
        <v>46616</v>
      </c>
      <c r="H36" s="41" t="s">
        <v>46617</v>
      </c>
      <c r="I36" s="41" t="s">
        <v>85</v>
      </c>
      <c r="J36" s="41" t="s">
        <v>46618</v>
      </c>
      <c r="K36" s="41" t="s">
        <v>46619</v>
      </c>
      <c r="L36" s="41" t="s">
        <v>46620</v>
      </c>
      <c r="M36" s="41" t="s">
        <v>46621</v>
      </c>
      <c r="N36" s="41" t="s">
        <v>46622</v>
      </c>
      <c r="Q36" s="41" t="s">
        <v>46623</v>
      </c>
      <c r="R36" s="41" t="s">
        <v>46387</v>
      </c>
      <c r="S36" s="41" t="s">
        <v>46397</v>
      </c>
    </row>
    <row r="37" spans="1:19" x14ac:dyDescent="0.25">
      <c r="A37" s="41" t="s">
        <v>23</v>
      </c>
      <c r="B37" s="41" t="s">
        <v>46624</v>
      </c>
      <c r="D37" s="41" t="s">
        <v>94</v>
      </c>
      <c r="E37" s="41" t="s">
        <v>86</v>
      </c>
      <c r="F37" s="41" t="s">
        <v>612</v>
      </c>
      <c r="G37" s="41" t="s">
        <v>46625</v>
      </c>
      <c r="H37" s="41" t="s">
        <v>46626</v>
      </c>
      <c r="I37" s="41" t="s">
        <v>87</v>
      </c>
      <c r="J37" s="41" t="s">
        <v>46627</v>
      </c>
      <c r="K37" s="41" t="s">
        <v>46628</v>
      </c>
      <c r="L37" s="41" t="s">
        <v>46629</v>
      </c>
      <c r="M37" s="41" t="s">
        <v>46630</v>
      </c>
      <c r="N37" s="41" t="s">
        <v>46631</v>
      </c>
      <c r="Q37" s="41" t="s">
        <v>46632</v>
      </c>
      <c r="R37" s="41" t="s">
        <v>46387</v>
      </c>
      <c r="S37" s="41" t="s">
        <v>46397</v>
      </c>
    </row>
    <row r="38" spans="1:19" x14ac:dyDescent="0.25">
      <c r="A38" s="41" t="s">
        <v>23</v>
      </c>
      <c r="B38" s="41" t="s">
        <v>46633</v>
      </c>
      <c r="D38" s="41" t="s">
        <v>107</v>
      </c>
      <c r="E38" s="41" t="s">
        <v>89</v>
      </c>
      <c r="F38" s="41" t="s">
        <v>617</v>
      </c>
      <c r="G38" s="41" t="s">
        <v>46634</v>
      </c>
      <c r="H38" s="41" t="s">
        <v>46635</v>
      </c>
      <c r="I38" s="41" t="s">
        <v>90</v>
      </c>
      <c r="J38" s="41" t="s">
        <v>46636</v>
      </c>
      <c r="K38" s="41" t="s">
        <v>46637</v>
      </c>
      <c r="L38" s="41" t="s">
        <v>46638</v>
      </c>
      <c r="M38" s="41" t="s">
        <v>46639</v>
      </c>
      <c r="N38" s="41" t="s">
        <v>46640</v>
      </c>
      <c r="Q38" s="41" t="s">
        <v>46641</v>
      </c>
      <c r="R38" s="41" t="s">
        <v>46387</v>
      </c>
      <c r="S38" s="41" t="s">
        <v>46397</v>
      </c>
    </row>
    <row r="39" spans="1:19" x14ac:dyDescent="0.25">
      <c r="A39" s="41" t="s">
        <v>23</v>
      </c>
      <c r="B39" s="41" t="s">
        <v>46642</v>
      </c>
      <c r="D39" s="41" t="s">
        <v>110</v>
      </c>
      <c r="E39" s="41" t="s">
        <v>92</v>
      </c>
      <c r="F39" s="41" t="s">
        <v>618</v>
      </c>
      <c r="G39" s="41" t="s">
        <v>46643</v>
      </c>
      <c r="H39" s="41" t="s">
        <v>46644</v>
      </c>
      <c r="I39" s="41" t="s">
        <v>93</v>
      </c>
      <c r="J39" s="41" t="s">
        <v>46645</v>
      </c>
      <c r="K39" s="41" t="s">
        <v>46646</v>
      </c>
      <c r="L39" s="41" t="s">
        <v>46647</v>
      </c>
      <c r="M39" s="41" t="s">
        <v>46648</v>
      </c>
      <c r="N39" s="41" t="s">
        <v>46649</v>
      </c>
      <c r="Q39" s="41" t="s">
        <v>46650</v>
      </c>
      <c r="R39" s="41" t="s">
        <v>46387</v>
      </c>
      <c r="S39" s="41" t="s">
        <v>46397</v>
      </c>
    </row>
    <row r="40" spans="1:19" x14ac:dyDescent="0.25">
      <c r="A40" s="41" t="s">
        <v>23</v>
      </c>
      <c r="B40" s="41" t="s">
        <v>46651</v>
      </c>
      <c r="D40" s="41" t="s">
        <v>113</v>
      </c>
      <c r="E40" s="41" t="s">
        <v>95</v>
      </c>
      <c r="F40" s="41" t="s">
        <v>619</v>
      </c>
      <c r="G40" s="41" t="s">
        <v>46652</v>
      </c>
      <c r="H40" s="41" t="s">
        <v>46653</v>
      </c>
      <c r="I40" s="41" t="s">
        <v>96</v>
      </c>
      <c r="J40" s="41" t="s">
        <v>46654</v>
      </c>
      <c r="K40" s="41" t="s">
        <v>46655</v>
      </c>
      <c r="L40" s="41" t="s">
        <v>46656</v>
      </c>
      <c r="M40" s="41" t="s">
        <v>46657</v>
      </c>
      <c r="N40" s="41" t="s">
        <v>46658</v>
      </c>
      <c r="Q40" s="41" t="s">
        <v>46659</v>
      </c>
      <c r="R40" s="41" t="s">
        <v>46387</v>
      </c>
      <c r="S40" s="41" t="s">
        <v>46397</v>
      </c>
    </row>
    <row r="41" spans="1:19" x14ac:dyDescent="0.25">
      <c r="A41" s="41" t="s">
        <v>23</v>
      </c>
      <c r="B41" s="41" t="s">
        <v>46660</v>
      </c>
      <c r="D41" s="41" t="s">
        <v>116</v>
      </c>
      <c r="E41" s="41" t="s">
        <v>97</v>
      </c>
      <c r="F41" s="41" t="s">
        <v>620</v>
      </c>
      <c r="G41" s="41" t="s">
        <v>46661</v>
      </c>
      <c r="H41" s="41" t="s">
        <v>46662</v>
      </c>
      <c r="I41" s="41" t="s">
        <v>98</v>
      </c>
      <c r="J41" s="41" t="s">
        <v>46663</v>
      </c>
      <c r="K41" s="41" t="s">
        <v>46664</v>
      </c>
      <c r="L41" s="41" t="s">
        <v>46665</v>
      </c>
      <c r="M41" s="41" t="s">
        <v>46666</v>
      </c>
      <c r="N41" s="41" t="s">
        <v>46667</v>
      </c>
      <c r="Q41" s="41" t="s">
        <v>46668</v>
      </c>
      <c r="R41" s="41" t="s">
        <v>46387</v>
      </c>
      <c r="S41" s="41" t="s">
        <v>46397</v>
      </c>
    </row>
    <row r="42" spans="1:19" x14ac:dyDescent="0.25">
      <c r="A42" s="41" t="s">
        <v>23</v>
      </c>
      <c r="B42" s="41" t="s">
        <v>46669</v>
      </c>
      <c r="D42" s="41" t="s">
        <v>121</v>
      </c>
      <c r="E42" s="41" t="s">
        <v>99</v>
      </c>
      <c r="F42" s="41" t="s">
        <v>621</v>
      </c>
      <c r="G42" s="41" t="s">
        <v>46670</v>
      </c>
      <c r="H42" s="41" t="s">
        <v>46671</v>
      </c>
      <c r="I42" s="41" t="s">
        <v>100</v>
      </c>
      <c r="J42" s="41" t="s">
        <v>46672</v>
      </c>
      <c r="K42" s="41" t="s">
        <v>46673</v>
      </c>
      <c r="L42" s="41" t="s">
        <v>46674</v>
      </c>
      <c r="M42" s="41" t="s">
        <v>46675</v>
      </c>
      <c r="N42" s="41" t="s">
        <v>46676</v>
      </c>
      <c r="Q42" s="41" t="s">
        <v>46677</v>
      </c>
      <c r="R42" s="41" t="s">
        <v>46387</v>
      </c>
      <c r="S42" s="41" t="s">
        <v>46397</v>
      </c>
    </row>
    <row r="43" spans="1:19" x14ac:dyDescent="0.25">
      <c r="A43" s="41" t="s">
        <v>23</v>
      </c>
      <c r="B43" s="41" t="s">
        <v>46678</v>
      </c>
      <c r="D43" s="41" t="s">
        <v>124</v>
      </c>
      <c r="E43" s="41" t="s">
        <v>101</v>
      </c>
      <c r="F43" s="41" t="s">
        <v>622</v>
      </c>
      <c r="G43" s="41" t="s">
        <v>46679</v>
      </c>
      <c r="H43" s="41" t="s">
        <v>46680</v>
      </c>
      <c r="I43" s="41" t="s">
        <v>102</v>
      </c>
      <c r="J43" s="41" t="s">
        <v>46681</v>
      </c>
      <c r="K43" s="41" t="s">
        <v>46682</v>
      </c>
      <c r="L43" s="41" t="s">
        <v>46683</v>
      </c>
      <c r="M43" s="41" t="s">
        <v>46684</v>
      </c>
      <c r="N43" s="41" t="s">
        <v>46685</v>
      </c>
      <c r="Q43" s="41" t="s">
        <v>46686</v>
      </c>
      <c r="R43" s="41" t="s">
        <v>46387</v>
      </c>
      <c r="S43" s="41" t="s">
        <v>46397</v>
      </c>
    </row>
    <row r="44" spans="1:19" x14ac:dyDescent="0.25">
      <c r="A44" s="41" t="s">
        <v>23</v>
      </c>
      <c r="B44" s="41" t="s">
        <v>46687</v>
      </c>
      <c r="D44" s="41" t="s">
        <v>127</v>
      </c>
      <c r="E44" s="41" t="s">
        <v>103</v>
      </c>
      <c r="F44" s="41" t="s">
        <v>623</v>
      </c>
      <c r="G44" s="41" t="s">
        <v>46688</v>
      </c>
      <c r="H44" s="41" t="s">
        <v>46689</v>
      </c>
      <c r="I44" s="41" t="s">
        <v>104</v>
      </c>
      <c r="J44" s="41" t="s">
        <v>46690</v>
      </c>
      <c r="K44" s="41" t="s">
        <v>46691</v>
      </c>
      <c r="L44" s="41" t="s">
        <v>46692</v>
      </c>
      <c r="M44" s="41" t="s">
        <v>46693</v>
      </c>
      <c r="N44" s="41" t="s">
        <v>46694</v>
      </c>
      <c r="Q44" s="41" t="s">
        <v>46695</v>
      </c>
      <c r="R44" s="41" t="s">
        <v>46387</v>
      </c>
      <c r="S44" s="41" t="s">
        <v>46397</v>
      </c>
    </row>
    <row r="45" spans="1:19" x14ac:dyDescent="0.25">
      <c r="A45" s="41" t="s">
        <v>23</v>
      </c>
      <c r="B45" s="41" t="s">
        <v>46696</v>
      </c>
      <c r="D45" s="41" t="s">
        <v>130</v>
      </c>
      <c r="E45" s="41" t="s">
        <v>105</v>
      </c>
      <c r="F45" s="41" t="s">
        <v>628</v>
      </c>
      <c r="G45" s="41" t="s">
        <v>46697</v>
      </c>
      <c r="H45" s="41" t="s">
        <v>46698</v>
      </c>
      <c r="I45" s="41" t="s">
        <v>106</v>
      </c>
      <c r="J45" s="41" t="s">
        <v>46699</v>
      </c>
      <c r="K45" s="41" t="s">
        <v>46700</v>
      </c>
      <c r="L45" s="41" t="s">
        <v>46701</v>
      </c>
      <c r="M45" s="41" t="s">
        <v>46702</v>
      </c>
      <c r="N45" s="41" t="s">
        <v>46703</v>
      </c>
      <c r="Q45" s="41" t="s">
        <v>46704</v>
      </c>
      <c r="R45" s="41" t="s">
        <v>46387</v>
      </c>
      <c r="S45" s="41" t="s">
        <v>46397</v>
      </c>
    </row>
    <row r="46" spans="1:19" x14ac:dyDescent="0.25">
      <c r="A46" s="41" t="s">
        <v>23</v>
      </c>
      <c r="B46" s="41" t="s">
        <v>46705</v>
      </c>
      <c r="D46" s="41" t="s">
        <v>133</v>
      </c>
      <c r="E46" s="41" t="s">
        <v>108</v>
      </c>
      <c r="F46" s="41" t="s">
        <v>629</v>
      </c>
      <c r="G46" s="41" t="s">
        <v>46706</v>
      </c>
      <c r="H46" s="41" t="s">
        <v>46707</v>
      </c>
      <c r="I46" s="41" t="s">
        <v>109</v>
      </c>
      <c r="J46" s="41" t="s">
        <v>46708</v>
      </c>
      <c r="K46" s="41" t="s">
        <v>46709</v>
      </c>
      <c r="L46" s="41" t="s">
        <v>46710</v>
      </c>
      <c r="M46" s="41" t="s">
        <v>46711</v>
      </c>
      <c r="N46" s="41" t="s">
        <v>46712</v>
      </c>
      <c r="Q46" s="41" t="s">
        <v>46713</v>
      </c>
      <c r="R46" s="41" t="s">
        <v>46387</v>
      </c>
      <c r="S46" s="41" t="s">
        <v>46397</v>
      </c>
    </row>
    <row r="47" spans="1:19" x14ac:dyDescent="0.25">
      <c r="A47" s="41" t="s">
        <v>23</v>
      </c>
      <c r="B47" s="41" t="s">
        <v>46714</v>
      </c>
      <c r="D47" s="41" t="s">
        <v>136</v>
      </c>
      <c r="E47" s="41" t="s">
        <v>111</v>
      </c>
      <c r="F47" s="41" t="s">
        <v>630</v>
      </c>
      <c r="G47" s="41" t="s">
        <v>46715</v>
      </c>
      <c r="H47" s="41" t="s">
        <v>46716</v>
      </c>
      <c r="I47" s="41" t="s">
        <v>112</v>
      </c>
      <c r="J47" s="41" t="s">
        <v>46717</v>
      </c>
      <c r="K47" s="41" t="s">
        <v>46718</v>
      </c>
      <c r="L47" s="41" t="s">
        <v>46719</v>
      </c>
      <c r="M47" s="41" t="s">
        <v>46720</v>
      </c>
      <c r="N47" s="41" t="s">
        <v>46721</v>
      </c>
      <c r="Q47" s="41" t="s">
        <v>46722</v>
      </c>
      <c r="R47" s="41" t="s">
        <v>46387</v>
      </c>
      <c r="S47" s="41" t="s">
        <v>46397</v>
      </c>
    </row>
    <row r="48" spans="1:19" x14ac:dyDescent="0.25">
      <c r="A48" s="41" t="s">
        <v>23</v>
      </c>
      <c r="B48" s="41" t="s">
        <v>46723</v>
      </c>
      <c r="D48" s="41" t="s">
        <v>145</v>
      </c>
      <c r="E48" s="41" t="s">
        <v>114</v>
      </c>
      <c r="F48" s="41" t="s">
        <v>631</v>
      </c>
      <c r="G48" s="41" t="s">
        <v>46724</v>
      </c>
      <c r="H48" s="41" t="s">
        <v>46725</v>
      </c>
      <c r="I48" s="41" t="s">
        <v>115</v>
      </c>
      <c r="J48" s="41" t="s">
        <v>46726</v>
      </c>
      <c r="K48" s="41" t="s">
        <v>46727</v>
      </c>
      <c r="L48" s="41" t="s">
        <v>46728</v>
      </c>
      <c r="M48" s="41" t="s">
        <v>46729</v>
      </c>
      <c r="N48" s="41" t="s">
        <v>46730</v>
      </c>
      <c r="Q48" s="41" t="s">
        <v>46731</v>
      </c>
      <c r="R48" s="41" t="s">
        <v>46387</v>
      </c>
      <c r="S48" s="41" t="s">
        <v>46397</v>
      </c>
    </row>
    <row r="49" spans="1:19" x14ac:dyDescent="0.25">
      <c r="A49" s="41" t="s">
        <v>23</v>
      </c>
      <c r="B49" s="41" t="s">
        <v>46732</v>
      </c>
      <c r="D49" s="41" t="s">
        <v>148</v>
      </c>
      <c r="E49" s="41" t="s">
        <v>117</v>
      </c>
      <c r="F49" s="41" t="s">
        <v>632</v>
      </c>
      <c r="G49" s="41" t="s">
        <v>46733</v>
      </c>
      <c r="H49" s="41" t="s">
        <v>46734</v>
      </c>
      <c r="I49" s="41" t="s">
        <v>118</v>
      </c>
      <c r="J49" s="41" t="s">
        <v>46735</v>
      </c>
      <c r="K49" s="41" t="s">
        <v>46736</v>
      </c>
      <c r="L49" s="41" t="s">
        <v>46737</v>
      </c>
      <c r="M49" s="41" t="s">
        <v>46738</v>
      </c>
      <c r="N49" s="41" t="s">
        <v>46739</v>
      </c>
      <c r="Q49" s="41" t="s">
        <v>46740</v>
      </c>
      <c r="R49" s="41" t="s">
        <v>46387</v>
      </c>
      <c r="S49" s="41" t="s">
        <v>46397</v>
      </c>
    </row>
    <row r="50" spans="1:19" x14ac:dyDescent="0.25">
      <c r="A50" s="41" t="s">
        <v>23</v>
      </c>
      <c r="B50" s="41" t="s">
        <v>46741</v>
      </c>
      <c r="D50" s="41" t="s">
        <v>151</v>
      </c>
      <c r="E50" s="41" t="s">
        <v>119</v>
      </c>
      <c r="F50" s="41" t="s">
        <v>633</v>
      </c>
      <c r="G50" s="41" t="s">
        <v>46742</v>
      </c>
      <c r="H50" s="41" t="s">
        <v>46743</v>
      </c>
      <c r="I50" s="41" t="s">
        <v>120</v>
      </c>
      <c r="J50" s="41" t="s">
        <v>46744</v>
      </c>
      <c r="K50" s="41" t="s">
        <v>46745</v>
      </c>
      <c r="L50" s="41" t="s">
        <v>46746</v>
      </c>
      <c r="M50" s="41" t="s">
        <v>46747</v>
      </c>
      <c r="N50" s="41" t="s">
        <v>46748</v>
      </c>
      <c r="Q50" s="41" t="s">
        <v>46749</v>
      </c>
      <c r="R50" s="41" t="s">
        <v>46387</v>
      </c>
      <c r="S50" s="41" t="s">
        <v>46397</v>
      </c>
    </row>
    <row r="51" spans="1:19" x14ac:dyDescent="0.25">
      <c r="A51" s="41" t="s">
        <v>23</v>
      </c>
      <c r="B51" s="41" t="s">
        <v>46750</v>
      </c>
      <c r="D51" s="41" t="s">
        <v>154</v>
      </c>
      <c r="E51" s="41" t="s">
        <v>122</v>
      </c>
      <c r="F51" s="41" t="s">
        <v>634</v>
      </c>
      <c r="G51" s="41" t="s">
        <v>46751</v>
      </c>
      <c r="H51" s="41" t="s">
        <v>46752</v>
      </c>
      <c r="I51" s="41" t="s">
        <v>123</v>
      </c>
      <c r="J51" s="41" t="s">
        <v>46753</v>
      </c>
      <c r="K51" s="41" t="s">
        <v>46754</v>
      </c>
      <c r="L51" s="41" t="s">
        <v>46755</v>
      </c>
      <c r="M51" s="41" t="s">
        <v>46756</v>
      </c>
      <c r="N51" s="41" t="s">
        <v>46757</v>
      </c>
      <c r="Q51" s="41" t="s">
        <v>46758</v>
      </c>
      <c r="R51" s="41" t="s">
        <v>46387</v>
      </c>
      <c r="S51" s="41" t="s">
        <v>46397</v>
      </c>
    </row>
    <row r="52" spans="1:19" x14ac:dyDescent="0.25">
      <c r="A52" s="41" t="s">
        <v>23</v>
      </c>
      <c r="B52" s="41" t="s">
        <v>46759</v>
      </c>
      <c r="D52" s="41" t="s">
        <v>157</v>
      </c>
      <c r="E52" s="41" t="s">
        <v>125</v>
      </c>
      <c r="F52" s="41" t="s">
        <v>639</v>
      </c>
      <c r="G52" s="41" t="s">
        <v>46760</v>
      </c>
      <c r="H52" s="41" t="s">
        <v>46761</v>
      </c>
      <c r="I52" s="41" t="s">
        <v>126</v>
      </c>
      <c r="J52" s="41" t="s">
        <v>46762</v>
      </c>
      <c r="K52" s="41" t="s">
        <v>46763</v>
      </c>
      <c r="L52" s="41" t="s">
        <v>46764</v>
      </c>
      <c r="M52" s="41" t="s">
        <v>46765</v>
      </c>
      <c r="N52" s="41" t="s">
        <v>46766</v>
      </c>
      <c r="Q52" s="41" t="s">
        <v>46767</v>
      </c>
      <c r="R52" s="41" t="s">
        <v>46387</v>
      </c>
      <c r="S52" s="41" t="s">
        <v>46397</v>
      </c>
    </row>
    <row r="53" spans="1:19" x14ac:dyDescent="0.25">
      <c r="A53" s="41" t="s">
        <v>23</v>
      </c>
      <c r="B53" s="41" t="s">
        <v>46768</v>
      </c>
      <c r="D53" s="41" t="s">
        <v>689</v>
      </c>
      <c r="E53" s="41" t="s">
        <v>128</v>
      </c>
      <c r="F53" s="41" t="s">
        <v>640</v>
      </c>
      <c r="G53" s="41" t="s">
        <v>46769</v>
      </c>
      <c r="H53" s="41" t="s">
        <v>46770</v>
      </c>
      <c r="I53" s="41" t="s">
        <v>129</v>
      </c>
      <c r="J53" s="41" t="s">
        <v>46771</v>
      </c>
      <c r="K53" s="41" t="s">
        <v>46772</v>
      </c>
      <c r="L53" s="41" t="s">
        <v>46773</v>
      </c>
      <c r="M53" s="41" t="s">
        <v>46774</v>
      </c>
      <c r="N53" s="41" t="s">
        <v>46775</v>
      </c>
      <c r="Q53" s="41" t="s">
        <v>46776</v>
      </c>
      <c r="R53" s="41" t="s">
        <v>46387</v>
      </c>
      <c r="S53" s="41" t="s">
        <v>46397</v>
      </c>
    </row>
    <row r="54" spans="1:19" x14ac:dyDescent="0.25">
      <c r="A54" s="41" t="s">
        <v>23</v>
      </c>
      <c r="B54" s="41" t="s">
        <v>46777</v>
      </c>
      <c r="D54" s="41" t="s">
        <v>517</v>
      </c>
      <c r="E54" s="41" t="s">
        <v>131</v>
      </c>
      <c r="F54" s="41" t="s">
        <v>641</v>
      </c>
      <c r="G54" s="41" t="s">
        <v>46778</v>
      </c>
      <c r="H54" s="41" t="s">
        <v>46779</v>
      </c>
      <c r="I54" s="41" t="s">
        <v>132</v>
      </c>
      <c r="J54" s="41" t="s">
        <v>46780</v>
      </c>
      <c r="K54" s="41" t="s">
        <v>46781</v>
      </c>
      <c r="L54" s="41" t="s">
        <v>46782</v>
      </c>
      <c r="M54" s="41" t="s">
        <v>46783</v>
      </c>
      <c r="N54" s="41" t="s">
        <v>46784</v>
      </c>
      <c r="Q54" s="41" t="s">
        <v>46785</v>
      </c>
      <c r="R54" s="41" t="s">
        <v>46387</v>
      </c>
      <c r="S54" s="41" t="s">
        <v>46397</v>
      </c>
    </row>
    <row r="55" spans="1:19" x14ac:dyDescent="0.25">
      <c r="A55" s="41" t="s">
        <v>23</v>
      </c>
      <c r="B55" s="41" t="s">
        <v>46786</v>
      </c>
      <c r="D55" s="41" t="s">
        <v>189</v>
      </c>
      <c r="E55" s="41" t="s">
        <v>134</v>
      </c>
      <c r="F55" s="41" t="s">
        <v>642</v>
      </c>
      <c r="G55" s="41" t="s">
        <v>46787</v>
      </c>
      <c r="H55" s="41" t="s">
        <v>46788</v>
      </c>
      <c r="I55" s="41" t="s">
        <v>135</v>
      </c>
      <c r="J55" s="41" t="s">
        <v>46789</v>
      </c>
      <c r="K55" s="41" t="s">
        <v>46790</v>
      </c>
      <c r="L55" s="41" t="s">
        <v>46791</v>
      </c>
      <c r="M55" s="41" t="s">
        <v>46792</v>
      </c>
      <c r="N55" s="41" t="s">
        <v>46793</v>
      </c>
      <c r="Q55" s="41" t="s">
        <v>46794</v>
      </c>
      <c r="R55" s="41" t="s">
        <v>46387</v>
      </c>
      <c r="S55" s="41" t="s">
        <v>46397</v>
      </c>
    </row>
    <row r="56" spans="1:19" x14ac:dyDescent="0.25">
      <c r="A56" s="41" t="s">
        <v>23</v>
      </c>
      <c r="B56" s="41" t="s">
        <v>46795</v>
      </c>
      <c r="D56" s="41" t="s">
        <v>214</v>
      </c>
      <c r="E56" s="41" t="s">
        <v>137</v>
      </c>
      <c r="F56" s="41" t="s">
        <v>643</v>
      </c>
      <c r="G56" s="41" t="s">
        <v>46796</v>
      </c>
      <c r="H56" s="41" t="s">
        <v>46797</v>
      </c>
      <c r="I56" s="41" t="s">
        <v>138</v>
      </c>
      <c r="J56" s="41" t="s">
        <v>46798</v>
      </c>
      <c r="K56" s="41" t="s">
        <v>46799</v>
      </c>
      <c r="L56" s="41" t="s">
        <v>46800</v>
      </c>
      <c r="M56" s="41" t="s">
        <v>46801</v>
      </c>
      <c r="N56" s="41" t="s">
        <v>46802</v>
      </c>
      <c r="Q56" s="41" t="s">
        <v>46803</v>
      </c>
      <c r="R56" s="41" t="s">
        <v>46387</v>
      </c>
      <c r="S56" s="41" t="s">
        <v>46397</v>
      </c>
    </row>
    <row r="57" spans="1:19" x14ac:dyDescent="0.25">
      <c r="A57" s="41" t="s">
        <v>23</v>
      </c>
      <c r="B57" s="41" t="s">
        <v>46804</v>
      </c>
      <c r="D57" s="41" t="s">
        <v>217</v>
      </c>
      <c r="E57" s="41" t="s">
        <v>139</v>
      </c>
      <c r="F57" s="41" t="s">
        <v>644</v>
      </c>
      <c r="G57" s="41" t="s">
        <v>46805</v>
      </c>
      <c r="H57" s="41" t="s">
        <v>46806</v>
      </c>
      <c r="I57" s="41" t="s">
        <v>140</v>
      </c>
      <c r="J57" s="41" t="s">
        <v>46807</v>
      </c>
      <c r="K57" s="41" t="s">
        <v>46808</v>
      </c>
      <c r="L57" s="41" t="s">
        <v>46809</v>
      </c>
      <c r="M57" s="41" t="s">
        <v>46810</v>
      </c>
      <c r="N57" s="41" t="s">
        <v>46811</v>
      </c>
      <c r="Q57" s="41" t="s">
        <v>46812</v>
      </c>
      <c r="R57" s="41" t="s">
        <v>46387</v>
      </c>
      <c r="S57" s="41" t="s">
        <v>46397</v>
      </c>
    </row>
    <row r="58" spans="1:19" x14ac:dyDescent="0.25">
      <c r="A58" s="41" t="s">
        <v>23</v>
      </c>
      <c r="B58" s="41" t="s">
        <v>46813</v>
      </c>
      <c r="D58" s="41" t="s">
        <v>220</v>
      </c>
      <c r="E58" s="41" t="s">
        <v>141</v>
      </c>
      <c r="F58" s="41" t="s">
        <v>645</v>
      </c>
      <c r="G58" s="41" t="s">
        <v>46814</v>
      </c>
      <c r="H58" s="41" t="s">
        <v>46815</v>
      </c>
      <c r="I58" s="41" t="s">
        <v>142</v>
      </c>
      <c r="J58" s="41" t="s">
        <v>46816</v>
      </c>
      <c r="K58" s="41" t="s">
        <v>46817</v>
      </c>
      <c r="L58" s="41" t="s">
        <v>46818</v>
      </c>
      <c r="M58" s="41" t="s">
        <v>46819</v>
      </c>
      <c r="N58" s="41" t="s">
        <v>46820</v>
      </c>
      <c r="Q58" s="41" t="s">
        <v>46821</v>
      </c>
      <c r="R58" s="41" t="s">
        <v>46387</v>
      </c>
      <c r="S58" s="41" t="s">
        <v>46397</v>
      </c>
    </row>
    <row r="59" spans="1:19" x14ac:dyDescent="0.25">
      <c r="A59" s="41" t="s">
        <v>23</v>
      </c>
      <c r="B59" s="41" t="s">
        <v>46822</v>
      </c>
      <c r="D59" s="41" t="s">
        <v>223</v>
      </c>
      <c r="E59" s="41" t="s">
        <v>143</v>
      </c>
      <c r="F59" s="41" t="s">
        <v>650</v>
      </c>
      <c r="G59" s="41" t="s">
        <v>46823</v>
      </c>
      <c r="H59" s="41" t="s">
        <v>46824</v>
      </c>
      <c r="I59" s="41" t="s">
        <v>144</v>
      </c>
      <c r="J59" s="41" t="s">
        <v>46825</v>
      </c>
      <c r="K59" s="41" t="s">
        <v>46826</v>
      </c>
      <c r="L59" s="41" t="s">
        <v>46827</v>
      </c>
      <c r="M59" s="41" t="s">
        <v>46828</v>
      </c>
      <c r="N59" s="41" t="s">
        <v>46829</v>
      </c>
      <c r="Q59" s="41" t="s">
        <v>46830</v>
      </c>
      <c r="R59" s="41" t="s">
        <v>46387</v>
      </c>
      <c r="S59" s="41" t="s">
        <v>46397</v>
      </c>
    </row>
    <row r="60" spans="1:19" x14ac:dyDescent="0.25">
      <c r="A60" s="41" t="s">
        <v>23</v>
      </c>
      <c r="B60" s="41" t="s">
        <v>46831</v>
      </c>
      <c r="D60" s="41" t="s">
        <v>226</v>
      </c>
      <c r="E60" s="41" t="s">
        <v>146</v>
      </c>
      <c r="F60" s="41" t="s">
        <v>651</v>
      </c>
      <c r="G60" s="41" t="s">
        <v>46832</v>
      </c>
      <c r="H60" s="41" t="s">
        <v>46833</v>
      </c>
      <c r="I60" s="41" t="s">
        <v>147</v>
      </c>
      <c r="J60" s="41" t="s">
        <v>46834</v>
      </c>
      <c r="K60" s="41" t="s">
        <v>46835</v>
      </c>
      <c r="L60" s="41" t="s">
        <v>46836</v>
      </c>
      <c r="M60" s="41" t="s">
        <v>46837</v>
      </c>
      <c r="N60" s="41" t="s">
        <v>46838</v>
      </c>
      <c r="Q60" s="41" t="s">
        <v>46839</v>
      </c>
      <c r="R60" s="41" t="s">
        <v>46387</v>
      </c>
      <c r="S60" s="41" t="s">
        <v>46397</v>
      </c>
    </row>
    <row r="61" spans="1:19" x14ac:dyDescent="0.25">
      <c r="A61" s="41" t="s">
        <v>23</v>
      </c>
      <c r="B61" s="41" t="s">
        <v>46840</v>
      </c>
      <c r="D61" s="41" t="s">
        <v>229</v>
      </c>
      <c r="E61" s="41" t="s">
        <v>149</v>
      </c>
      <c r="F61" s="41" t="s">
        <v>652</v>
      </c>
      <c r="G61" s="41" t="s">
        <v>46841</v>
      </c>
      <c r="H61" s="41" t="s">
        <v>46842</v>
      </c>
      <c r="I61" s="41" t="s">
        <v>150</v>
      </c>
      <c r="J61" s="41" t="s">
        <v>46843</v>
      </c>
      <c r="K61" s="41" t="s">
        <v>46844</v>
      </c>
      <c r="L61" s="41" t="s">
        <v>46845</v>
      </c>
      <c r="M61" s="41" t="s">
        <v>46846</v>
      </c>
      <c r="N61" s="41" t="s">
        <v>46847</v>
      </c>
      <c r="Q61" s="41" t="s">
        <v>46848</v>
      </c>
      <c r="R61" s="41" t="s">
        <v>46387</v>
      </c>
      <c r="S61" s="41" t="s">
        <v>46397</v>
      </c>
    </row>
    <row r="62" spans="1:19" x14ac:dyDescent="0.25">
      <c r="A62" s="41" t="s">
        <v>23</v>
      </c>
      <c r="B62" s="41" t="s">
        <v>46849</v>
      </c>
      <c r="D62" s="41" t="s">
        <v>533</v>
      </c>
      <c r="E62" s="41" t="s">
        <v>152</v>
      </c>
      <c r="F62" s="41" t="s">
        <v>653</v>
      </c>
      <c r="G62" s="41" t="s">
        <v>46850</v>
      </c>
      <c r="H62" s="41" t="s">
        <v>46851</v>
      </c>
      <c r="I62" s="41" t="s">
        <v>153</v>
      </c>
      <c r="J62" s="41" t="s">
        <v>46852</v>
      </c>
      <c r="K62" s="41" t="s">
        <v>46853</v>
      </c>
      <c r="L62" s="41" t="s">
        <v>46854</v>
      </c>
      <c r="M62" s="41" t="s">
        <v>46855</v>
      </c>
      <c r="N62" s="41" t="s">
        <v>46856</v>
      </c>
      <c r="Q62" s="41" t="s">
        <v>46857</v>
      </c>
      <c r="R62" s="41" t="s">
        <v>46387</v>
      </c>
      <c r="S62" s="41" t="s">
        <v>46397</v>
      </c>
    </row>
    <row r="63" spans="1:19" x14ac:dyDescent="0.25">
      <c r="A63" s="41" t="s">
        <v>23</v>
      </c>
      <c r="B63" s="41" t="s">
        <v>46858</v>
      </c>
      <c r="D63" s="41" t="s">
        <v>232</v>
      </c>
      <c r="E63" s="41" t="s">
        <v>155</v>
      </c>
      <c r="F63" s="41" t="s">
        <v>654</v>
      </c>
      <c r="G63" s="41" t="s">
        <v>46859</v>
      </c>
      <c r="H63" s="41" t="s">
        <v>46860</v>
      </c>
      <c r="I63" s="41" t="s">
        <v>156</v>
      </c>
      <c r="J63" s="41" t="s">
        <v>46861</v>
      </c>
      <c r="K63" s="41" t="s">
        <v>46862</v>
      </c>
      <c r="L63" s="41" t="s">
        <v>46863</v>
      </c>
      <c r="M63" s="41" t="s">
        <v>46864</v>
      </c>
      <c r="N63" s="41" t="s">
        <v>46865</v>
      </c>
      <c r="Q63" s="41" t="s">
        <v>46866</v>
      </c>
      <c r="R63" s="41" t="s">
        <v>46387</v>
      </c>
      <c r="S63" s="41" t="s">
        <v>46397</v>
      </c>
    </row>
    <row r="64" spans="1:19" x14ac:dyDescent="0.25">
      <c r="A64" s="41" t="s">
        <v>23</v>
      </c>
      <c r="B64" s="41" t="s">
        <v>46867</v>
      </c>
      <c r="D64" s="41" t="s">
        <v>241</v>
      </c>
      <c r="E64" s="41" t="s">
        <v>158</v>
      </c>
      <c r="F64" s="41" t="s">
        <v>655</v>
      </c>
      <c r="G64" s="41" t="s">
        <v>46868</v>
      </c>
      <c r="H64" s="41" t="s">
        <v>46869</v>
      </c>
      <c r="I64" s="41" t="s">
        <v>159</v>
      </c>
      <c r="J64" s="41" t="s">
        <v>46870</v>
      </c>
      <c r="K64" s="41" t="s">
        <v>46871</v>
      </c>
      <c r="L64" s="41" t="s">
        <v>46872</v>
      </c>
      <c r="M64" s="41" t="s">
        <v>46873</v>
      </c>
      <c r="N64" s="41" t="s">
        <v>46874</v>
      </c>
      <c r="Q64" s="41" t="s">
        <v>46875</v>
      </c>
      <c r="R64" s="41" t="s">
        <v>46387</v>
      </c>
      <c r="S64" s="41" t="s">
        <v>46397</v>
      </c>
    </row>
    <row r="65" spans="1:19" x14ac:dyDescent="0.25">
      <c r="A65" s="41" t="s">
        <v>23</v>
      </c>
      <c r="B65" s="41" t="s">
        <v>46876</v>
      </c>
      <c r="D65" s="41" t="s">
        <v>250</v>
      </c>
      <c r="E65" s="41" t="s">
        <v>160</v>
      </c>
      <c r="F65" s="41" t="s">
        <v>656</v>
      </c>
      <c r="G65" s="41" t="s">
        <v>46877</v>
      </c>
      <c r="H65" s="41" t="s">
        <v>46878</v>
      </c>
      <c r="I65" s="41" t="s">
        <v>161</v>
      </c>
      <c r="J65" s="41" t="s">
        <v>46879</v>
      </c>
      <c r="K65" s="41" t="s">
        <v>46880</v>
      </c>
      <c r="L65" s="41" t="s">
        <v>46881</v>
      </c>
      <c r="M65" s="41" t="s">
        <v>46882</v>
      </c>
      <c r="N65" s="41" t="s">
        <v>46883</v>
      </c>
      <c r="Q65" s="41" t="s">
        <v>46884</v>
      </c>
      <c r="R65" s="41" t="s">
        <v>46387</v>
      </c>
      <c r="S65" s="41" t="s">
        <v>46397</v>
      </c>
    </row>
    <row r="66" spans="1:19" x14ac:dyDescent="0.25">
      <c r="A66" s="41" t="s">
        <v>23</v>
      </c>
      <c r="B66" s="41" t="s">
        <v>46885</v>
      </c>
      <c r="D66" s="41" t="s">
        <v>253</v>
      </c>
      <c r="E66" s="41" t="s">
        <v>1323</v>
      </c>
      <c r="F66" s="41" t="s">
        <v>661</v>
      </c>
      <c r="G66" s="41" t="s">
        <v>46886</v>
      </c>
      <c r="H66" s="41" t="s">
        <v>46887</v>
      </c>
      <c r="I66" s="41" t="s">
        <v>162</v>
      </c>
      <c r="J66" s="41" t="s">
        <v>46888</v>
      </c>
      <c r="K66" s="41" t="s">
        <v>46889</v>
      </c>
      <c r="L66" s="41" t="s">
        <v>46890</v>
      </c>
      <c r="M66" s="41" t="s">
        <v>46891</v>
      </c>
      <c r="N66" s="41" t="s">
        <v>46892</v>
      </c>
      <c r="Q66" s="41" t="s">
        <v>46893</v>
      </c>
      <c r="R66" s="41" t="s">
        <v>46387</v>
      </c>
      <c r="S66" s="41" t="s">
        <v>46397</v>
      </c>
    </row>
    <row r="67" spans="1:19" x14ac:dyDescent="0.25">
      <c r="A67" s="41" t="s">
        <v>23</v>
      </c>
      <c r="B67" s="41" t="s">
        <v>46894</v>
      </c>
      <c r="D67" s="41" t="s">
        <v>256</v>
      </c>
      <c r="E67" s="41" t="s">
        <v>46376</v>
      </c>
      <c r="F67" s="41" t="s">
        <v>662</v>
      </c>
      <c r="G67" s="41" t="s">
        <v>46895</v>
      </c>
      <c r="H67" s="41" t="s">
        <v>46896</v>
      </c>
      <c r="I67" s="41" t="s">
        <v>163</v>
      </c>
      <c r="J67" s="41" t="s">
        <v>46897</v>
      </c>
      <c r="K67" s="41" t="s">
        <v>46898</v>
      </c>
      <c r="L67" s="41" t="s">
        <v>46899</v>
      </c>
      <c r="M67" s="41" t="s">
        <v>46900</v>
      </c>
      <c r="N67" s="41" t="s">
        <v>46901</v>
      </c>
      <c r="Q67" s="41" t="s">
        <v>46902</v>
      </c>
      <c r="R67" s="41" t="s">
        <v>46387</v>
      </c>
      <c r="S67" s="41" t="s">
        <v>46397</v>
      </c>
    </row>
    <row r="68" spans="1:19" x14ac:dyDescent="0.25">
      <c r="A68" s="41" t="s">
        <v>23</v>
      </c>
      <c r="B68" s="41" t="s">
        <v>46903</v>
      </c>
      <c r="D68" s="41" t="s">
        <v>256</v>
      </c>
      <c r="E68" s="41" t="s">
        <v>202</v>
      </c>
      <c r="F68" s="41" t="s">
        <v>663</v>
      </c>
      <c r="G68" s="41" t="s">
        <v>46904</v>
      </c>
      <c r="H68" s="41" t="s">
        <v>46905</v>
      </c>
      <c r="I68" s="41" t="s">
        <v>164</v>
      </c>
      <c r="J68" s="41" t="s">
        <v>46906</v>
      </c>
      <c r="K68" s="41" t="s">
        <v>46907</v>
      </c>
      <c r="L68" s="41" t="s">
        <v>46908</v>
      </c>
      <c r="M68" s="41" t="s">
        <v>46909</v>
      </c>
      <c r="N68" s="41" t="s">
        <v>46910</v>
      </c>
      <c r="Q68" s="41" t="s">
        <v>46911</v>
      </c>
      <c r="R68" s="41" t="s">
        <v>46387</v>
      </c>
      <c r="S68" s="41" t="s">
        <v>46397</v>
      </c>
    </row>
    <row r="69" spans="1:19" x14ac:dyDescent="0.25">
      <c r="A69" s="41" t="s">
        <v>23</v>
      </c>
      <c r="B69" s="41" t="s">
        <v>46912</v>
      </c>
      <c r="D69" s="41" t="s">
        <v>259</v>
      </c>
      <c r="E69" s="41" t="s">
        <v>165</v>
      </c>
      <c r="F69" s="41" t="s">
        <v>664</v>
      </c>
      <c r="G69" s="41" t="s">
        <v>46913</v>
      </c>
      <c r="H69" s="41" t="s">
        <v>46914</v>
      </c>
      <c r="I69" s="41" t="s">
        <v>166</v>
      </c>
      <c r="J69" s="41" t="s">
        <v>46915</v>
      </c>
      <c r="K69" s="41" t="s">
        <v>46916</v>
      </c>
      <c r="L69" s="41" t="s">
        <v>46917</v>
      </c>
      <c r="M69" s="41" t="s">
        <v>46918</v>
      </c>
      <c r="N69" s="41" t="s">
        <v>46919</v>
      </c>
      <c r="Q69" s="41" t="s">
        <v>46920</v>
      </c>
      <c r="R69" s="41" t="s">
        <v>46387</v>
      </c>
      <c r="S69" s="41" t="s">
        <v>46397</v>
      </c>
    </row>
    <row r="70" spans="1:19" x14ac:dyDescent="0.25">
      <c r="A70" s="41" t="s">
        <v>23</v>
      </c>
      <c r="B70" s="41" t="s">
        <v>46921</v>
      </c>
      <c r="D70" s="41" t="s">
        <v>550</v>
      </c>
      <c r="E70" s="41" t="s">
        <v>167</v>
      </c>
      <c r="F70" s="41" t="s">
        <v>665</v>
      </c>
      <c r="G70" s="41" t="s">
        <v>46922</v>
      </c>
      <c r="H70" s="41" t="s">
        <v>46923</v>
      </c>
      <c r="I70" s="41" t="s">
        <v>168</v>
      </c>
      <c r="J70" s="41" t="s">
        <v>46924</v>
      </c>
      <c r="K70" s="41" t="s">
        <v>46925</v>
      </c>
      <c r="L70" s="41" t="s">
        <v>46926</v>
      </c>
      <c r="M70" s="41" t="s">
        <v>46927</v>
      </c>
      <c r="N70" s="41" t="s">
        <v>46928</v>
      </c>
      <c r="Q70" s="41" t="s">
        <v>46929</v>
      </c>
      <c r="R70" s="41" t="s">
        <v>46387</v>
      </c>
      <c r="S70" s="41" t="s">
        <v>46397</v>
      </c>
    </row>
    <row r="71" spans="1:19" x14ac:dyDescent="0.25">
      <c r="A71" s="41" t="s">
        <v>23</v>
      </c>
      <c r="B71" s="41" t="s">
        <v>46930</v>
      </c>
      <c r="D71" s="41" t="s">
        <v>261</v>
      </c>
      <c r="E71" s="41" t="s">
        <v>169</v>
      </c>
      <c r="F71" s="41" t="s">
        <v>666</v>
      </c>
      <c r="G71" s="41" t="s">
        <v>46931</v>
      </c>
      <c r="H71" s="41" t="s">
        <v>46932</v>
      </c>
      <c r="I71" s="41" t="s">
        <v>170</v>
      </c>
      <c r="J71" s="41" t="s">
        <v>46933</v>
      </c>
      <c r="K71" s="41" t="s">
        <v>46934</v>
      </c>
      <c r="L71" s="41" t="s">
        <v>46935</v>
      </c>
      <c r="M71" s="41" t="s">
        <v>46936</v>
      </c>
      <c r="N71" s="41" t="s">
        <v>46937</v>
      </c>
      <c r="Q71" s="41" t="s">
        <v>46938</v>
      </c>
      <c r="R71" s="41" t="s">
        <v>46387</v>
      </c>
      <c r="S71" s="41" t="s">
        <v>46397</v>
      </c>
    </row>
    <row r="72" spans="1:19" x14ac:dyDescent="0.25">
      <c r="A72" s="41" t="s">
        <v>23</v>
      </c>
      <c r="B72" s="41" t="s">
        <v>46939</v>
      </c>
      <c r="D72" s="41" t="s">
        <v>264</v>
      </c>
      <c r="E72" s="41" t="s">
        <v>171</v>
      </c>
      <c r="F72" s="41" t="s">
        <v>667</v>
      </c>
      <c r="G72" s="41" t="s">
        <v>46940</v>
      </c>
      <c r="H72" s="41" t="s">
        <v>46941</v>
      </c>
      <c r="I72" s="41" t="s">
        <v>172</v>
      </c>
      <c r="J72" s="41" t="s">
        <v>46942</v>
      </c>
      <c r="K72" s="41" t="s">
        <v>46943</v>
      </c>
      <c r="L72" s="41" t="s">
        <v>46944</v>
      </c>
      <c r="M72" s="41" t="s">
        <v>46945</v>
      </c>
      <c r="N72" s="41" t="s">
        <v>46946</v>
      </c>
      <c r="Q72" s="41" t="s">
        <v>46947</v>
      </c>
      <c r="R72" s="41" t="s">
        <v>46387</v>
      </c>
      <c r="S72" s="41" t="s">
        <v>46397</v>
      </c>
    </row>
    <row r="73" spans="1:19" x14ac:dyDescent="0.25">
      <c r="A73" s="41" t="s">
        <v>23</v>
      </c>
      <c r="B73" s="41" t="s">
        <v>46948</v>
      </c>
      <c r="D73" s="41" t="s">
        <v>267</v>
      </c>
      <c r="E73" s="41" t="s">
        <v>173</v>
      </c>
      <c r="F73" s="41" t="s">
        <v>672</v>
      </c>
      <c r="G73" s="41" t="s">
        <v>46949</v>
      </c>
      <c r="H73" s="41" t="s">
        <v>46950</v>
      </c>
      <c r="I73" s="41" t="s">
        <v>174</v>
      </c>
      <c r="J73" s="41" t="s">
        <v>46951</v>
      </c>
      <c r="K73" s="41" t="s">
        <v>46952</v>
      </c>
      <c r="L73" s="41" t="s">
        <v>46953</v>
      </c>
      <c r="M73" s="41" t="s">
        <v>46954</v>
      </c>
      <c r="N73" s="41" t="s">
        <v>46955</v>
      </c>
      <c r="Q73" s="41" t="s">
        <v>46956</v>
      </c>
      <c r="R73" s="41" t="s">
        <v>46387</v>
      </c>
      <c r="S73" s="41" t="s">
        <v>46397</v>
      </c>
    </row>
    <row r="74" spans="1:19" x14ac:dyDescent="0.25">
      <c r="A74" s="41" t="s">
        <v>23</v>
      </c>
      <c r="B74" s="41" t="s">
        <v>46957</v>
      </c>
      <c r="D74" s="41" t="s">
        <v>270</v>
      </c>
      <c r="E74" s="41" t="s">
        <v>175</v>
      </c>
      <c r="F74" s="41" t="s">
        <v>673</v>
      </c>
      <c r="G74" s="41" t="s">
        <v>46958</v>
      </c>
      <c r="H74" s="41" t="s">
        <v>46959</v>
      </c>
      <c r="I74" s="41" t="s">
        <v>176</v>
      </c>
      <c r="J74" s="41" t="s">
        <v>46960</v>
      </c>
      <c r="K74" s="41" t="s">
        <v>46961</v>
      </c>
      <c r="L74" s="41" t="s">
        <v>46962</v>
      </c>
      <c r="M74" s="41" t="s">
        <v>46963</v>
      </c>
      <c r="N74" s="41" t="s">
        <v>46964</v>
      </c>
      <c r="Q74" s="41" t="s">
        <v>46965</v>
      </c>
      <c r="R74" s="41" t="s">
        <v>46387</v>
      </c>
      <c r="S74" s="41" t="s">
        <v>46397</v>
      </c>
    </row>
    <row r="75" spans="1:19" x14ac:dyDescent="0.25">
      <c r="A75" s="41" t="s">
        <v>23</v>
      </c>
      <c r="B75" s="41" t="s">
        <v>46966</v>
      </c>
      <c r="D75" s="41" t="s">
        <v>273</v>
      </c>
      <c r="E75" s="41" t="s">
        <v>519</v>
      </c>
      <c r="F75" s="41" t="s">
        <v>674</v>
      </c>
      <c r="G75" s="41" t="s">
        <v>46967</v>
      </c>
      <c r="H75" s="41" t="s">
        <v>46968</v>
      </c>
      <c r="I75" s="41" t="s">
        <v>178</v>
      </c>
      <c r="J75" s="41" t="s">
        <v>46969</v>
      </c>
      <c r="K75" s="41" t="s">
        <v>46970</v>
      </c>
      <c r="L75" s="41" t="s">
        <v>46971</v>
      </c>
      <c r="M75" s="41" t="s">
        <v>46972</v>
      </c>
      <c r="N75" s="41" t="s">
        <v>46973</v>
      </c>
      <c r="Q75" s="41" t="s">
        <v>46974</v>
      </c>
      <c r="R75" s="41" t="s">
        <v>46387</v>
      </c>
      <c r="S75" s="41" t="s">
        <v>46397</v>
      </c>
    </row>
    <row r="76" spans="1:19" x14ac:dyDescent="0.25">
      <c r="A76" s="41" t="s">
        <v>23</v>
      </c>
      <c r="B76" s="41" t="s">
        <v>46975</v>
      </c>
      <c r="D76" s="41" t="s">
        <v>276</v>
      </c>
      <c r="E76" s="41" t="s">
        <v>179</v>
      </c>
      <c r="F76" s="41" t="s">
        <v>675</v>
      </c>
      <c r="G76" s="41" t="s">
        <v>46976</v>
      </c>
      <c r="H76" s="41" t="s">
        <v>46977</v>
      </c>
      <c r="I76" s="41" t="s">
        <v>180</v>
      </c>
      <c r="J76" s="41" t="s">
        <v>46978</v>
      </c>
      <c r="K76" s="41" t="s">
        <v>46979</v>
      </c>
      <c r="L76" s="41" t="s">
        <v>46980</v>
      </c>
      <c r="M76" s="41" t="s">
        <v>46981</v>
      </c>
      <c r="N76" s="41" t="s">
        <v>46982</v>
      </c>
      <c r="Q76" s="41" t="s">
        <v>46983</v>
      </c>
      <c r="R76" s="41" t="s">
        <v>46387</v>
      </c>
      <c r="S76" s="41" t="s">
        <v>46397</v>
      </c>
    </row>
    <row r="77" spans="1:19" x14ac:dyDescent="0.25">
      <c r="A77" s="41" t="s">
        <v>23</v>
      </c>
      <c r="B77" s="41" t="s">
        <v>46984</v>
      </c>
      <c r="D77" s="41" t="s">
        <v>518</v>
      </c>
      <c r="E77" s="41" t="s">
        <v>181</v>
      </c>
      <c r="F77" s="41" t="s">
        <v>676</v>
      </c>
      <c r="G77" s="41" t="s">
        <v>46985</v>
      </c>
      <c r="H77" s="41" t="s">
        <v>46986</v>
      </c>
      <c r="I77" s="41" t="s">
        <v>182</v>
      </c>
      <c r="J77" s="41" t="s">
        <v>46987</v>
      </c>
      <c r="K77" s="41" t="s">
        <v>46988</v>
      </c>
      <c r="L77" s="41" t="s">
        <v>46989</v>
      </c>
      <c r="M77" s="41" t="s">
        <v>46990</v>
      </c>
      <c r="N77" s="41" t="s">
        <v>46991</v>
      </c>
      <c r="Q77" s="41" t="s">
        <v>46992</v>
      </c>
      <c r="R77" s="41" t="s">
        <v>46387</v>
      </c>
      <c r="S77" s="41" t="s">
        <v>46397</v>
      </c>
    </row>
    <row r="78" spans="1:19" x14ac:dyDescent="0.25">
      <c r="A78" s="41" t="s">
        <v>23</v>
      </c>
      <c r="B78" s="41" t="s">
        <v>46993</v>
      </c>
      <c r="D78" s="41" t="s">
        <v>387</v>
      </c>
      <c r="E78" s="41" t="s">
        <v>183</v>
      </c>
      <c r="F78" s="41" t="s">
        <v>677</v>
      </c>
      <c r="G78" s="41" t="s">
        <v>46994</v>
      </c>
      <c r="H78" s="41" t="s">
        <v>46995</v>
      </c>
      <c r="I78" s="41" t="s">
        <v>184</v>
      </c>
      <c r="J78" s="41" t="s">
        <v>46996</v>
      </c>
      <c r="K78" s="41" t="s">
        <v>46997</v>
      </c>
      <c r="L78" s="41" t="s">
        <v>46998</v>
      </c>
      <c r="M78" s="41" t="s">
        <v>46999</v>
      </c>
      <c r="N78" s="41" t="s">
        <v>47000</v>
      </c>
      <c r="Q78" s="41" t="s">
        <v>47001</v>
      </c>
      <c r="R78" s="41" t="s">
        <v>46387</v>
      </c>
      <c r="S78" s="41" t="s">
        <v>46397</v>
      </c>
    </row>
    <row r="79" spans="1:19" x14ac:dyDescent="0.25">
      <c r="A79" s="41" t="s">
        <v>23</v>
      </c>
      <c r="B79" s="41" t="s">
        <v>47002</v>
      </c>
      <c r="D79" s="41" t="s">
        <v>427</v>
      </c>
      <c r="E79" s="41" t="s">
        <v>185</v>
      </c>
      <c r="F79" s="41" t="s">
        <v>678</v>
      </c>
      <c r="G79" s="41" t="s">
        <v>47003</v>
      </c>
      <c r="H79" s="41" t="s">
        <v>47004</v>
      </c>
      <c r="I79" s="41" t="s">
        <v>186</v>
      </c>
      <c r="J79" s="41" t="s">
        <v>47005</v>
      </c>
      <c r="K79" s="41" t="s">
        <v>47006</v>
      </c>
      <c r="L79" s="41" t="s">
        <v>47007</v>
      </c>
      <c r="M79" s="41" t="s">
        <v>47008</v>
      </c>
      <c r="N79" s="41" t="s">
        <v>47009</v>
      </c>
      <c r="Q79" s="41" t="s">
        <v>47010</v>
      </c>
      <c r="R79" s="41" t="s">
        <v>46387</v>
      </c>
      <c r="S79" s="41" t="s">
        <v>46397</v>
      </c>
    </row>
    <row r="80" spans="1:19" x14ac:dyDescent="0.25">
      <c r="A80" s="41" t="s">
        <v>23</v>
      </c>
      <c r="B80" s="41" t="s">
        <v>47011</v>
      </c>
      <c r="D80" s="41" t="s">
        <v>428</v>
      </c>
      <c r="E80" s="41" t="s">
        <v>187</v>
      </c>
      <c r="F80" s="41" t="s">
        <v>683</v>
      </c>
      <c r="G80" s="41" t="s">
        <v>47012</v>
      </c>
      <c r="H80" s="41" t="s">
        <v>47013</v>
      </c>
      <c r="I80" s="41" t="s">
        <v>188</v>
      </c>
      <c r="J80" s="41" t="s">
        <v>47014</v>
      </c>
      <c r="K80" s="41" t="s">
        <v>47015</v>
      </c>
      <c r="L80" s="41" t="s">
        <v>47016</v>
      </c>
      <c r="M80" s="41" t="s">
        <v>47017</v>
      </c>
      <c r="N80" s="41" t="s">
        <v>47018</v>
      </c>
      <c r="Q80" s="41" t="s">
        <v>47019</v>
      </c>
      <c r="R80" s="41" t="s">
        <v>46387</v>
      </c>
      <c r="S80" s="41" t="s">
        <v>46397</v>
      </c>
    </row>
    <row r="81" spans="1:19" x14ac:dyDescent="0.25">
      <c r="A81" s="41" t="s">
        <v>23</v>
      </c>
      <c r="B81" s="41" t="s">
        <v>47020</v>
      </c>
      <c r="D81" s="41" t="s">
        <v>429</v>
      </c>
      <c r="E81" s="41" t="s">
        <v>190</v>
      </c>
      <c r="F81" s="41" t="s">
        <v>684</v>
      </c>
      <c r="G81" s="41" t="s">
        <v>47021</v>
      </c>
      <c r="H81" s="41" t="s">
        <v>47022</v>
      </c>
      <c r="I81" s="41" t="s">
        <v>191</v>
      </c>
      <c r="J81" s="41" t="s">
        <v>47023</v>
      </c>
      <c r="K81" s="41" t="s">
        <v>47024</v>
      </c>
      <c r="L81" s="41" t="s">
        <v>47025</v>
      </c>
      <c r="M81" s="41" t="s">
        <v>47026</v>
      </c>
      <c r="N81" s="41" t="s">
        <v>47027</v>
      </c>
      <c r="Q81" s="41" t="s">
        <v>47028</v>
      </c>
      <c r="R81" s="41" t="s">
        <v>46387</v>
      </c>
      <c r="S81" s="41" t="s">
        <v>46397</v>
      </c>
    </row>
    <row r="82" spans="1:19" x14ac:dyDescent="0.25">
      <c r="A82" s="41" t="s">
        <v>23</v>
      </c>
      <c r="B82" s="41" t="s">
        <v>47029</v>
      </c>
      <c r="D82" s="41" t="s">
        <v>430</v>
      </c>
      <c r="E82" s="41" t="s">
        <v>192</v>
      </c>
      <c r="F82" s="41" t="s">
        <v>685</v>
      </c>
      <c r="G82" s="41" t="s">
        <v>47030</v>
      </c>
      <c r="H82" s="41" t="s">
        <v>47031</v>
      </c>
      <c r="I82" s="41" t="s">
        <v>193</v>
      </c>
      <c r="J82" s="41" t="s">
        <v>47032</v>
      </c>
      <c r="K82" s="41" t="s">
        <v>47033</v>
      </c>
      <c r="L82" s="41" t="s">
        <v>47034</v>
      </c>
      <c r="M82" s="41" t="s">
        <v>47035</v>
      </c>
      <c r="N82" s="41" t="s">
        <v>47036</v>
      </c>
      <c r="Q82" s="41" t="s">
        <v>47037</v>
      </c>
      <c r="R82" s="41" t="s">
        <v>46387</v>
      </c>
      <c r="S82" s="41" t="s">
        <v>46397</v>
      </c>
    </row>
    <row r="83" spans="1:19" x14ac:dyDescent="0.25">
      <c r="A83" s="41" t="s">
        <v>23</v>
      </c>
      <c r="B83" s="41" t="s">
        <v>47038</v>
      </c>
      <c r="D83" s="41" t="s">
        <v>431</v>
      </c>
      <c r="E83" s="41" t="s">
        <v>194</v>
      </c>
      <c r="F83" s="41" t="s">
        <v>686</v>
      </c>
      <c r="G83" s="41" t="s">
        <v>47039</v>
      </c>
      <c r="H83" s="41" t="s">
        <v>47040</v>
      </c>
      <c r="I83" s="41" t="s">
        <v>195</v>
      </c>
      <c r="J83" s="41" t="s">
        <v>47041</v>
      </c>
      <c r="K83" s="41" t="s">
        <v>47042</v>
      </c>
      <c r="L83" s="41" t="s">
        <v>47043</v>
      </c>
      <c r="M83" s="41" t="s">
        <v>47044</v>
      </c>
      <c r="N83" s="41" t="s">
        <v>47045</v>
      </c>
      <c r="Q83" s="41" t="s">
        <v>47046</v>
      </c>
      <c r="R83" s="41" t="s">
        <v>46387</v>
      </c>
      <c r="S83" s="41" t="s">
        <v>46397</v>
      </c>
    </row>
    <row r="84" spans="1:19" x14ac:dyDescent="0.25">
      <c r="A84" s="41" t="s">
        <v>23</v>
      </c>
      <c r="B84" s="41" t="s">
        <v>47047</v>
      </c>
      <c r="D84" s="41" t="s">
        <v>432</v>
      </c>
      <c r="E84" s="41" t="s">
        <v>196</v>
      </c>
      <c r="F84" s="41" t="s">
        <v>687</v>
      </c>
      <c r="G84" s="41" t="s">
        <v>47048</v>
      </c>
      <c r="H84" s="41" t="s">
        <v>47049</v>
      </c>
      <c r="I84" s="41" t="s">
        <v>197</v>
      </c>
      <c r="J84" s="41" t="s">
        <v>47050</v>
      </c>
      <c r="K84" s="41" t="s">
        <v>47051</v>
      </c>
      <c r="L84" s="41" t="s">
        <v>47052</v>
      </c>
      <c r="M84" s="41" t="s">
        <v>47053</v>
      </c>
      <c r="N84" s="41" t="s">
        <v>47054</v>
      </c>
      <c r="Q84" s="41" t="s">
        <v>47055</v>
      </c>
      <c r="R84" s="41" t="s">
        <v>46387</v>
      </c>
      <c r="S84" s="41" t="s">
        <v>46397</v>
      </c>
    </row>
    <row r="85" spans="1:19" x14ac:dyDescent="0.25">
      <c r="A85" s="41" t="s">
        <v>23</v>
      </c>
      <c r="B85" s="41" t="s">
        <v>47056</v>
      </c>
      <c r="D85" s="41" t="s">
        <v>433</v>
      </c>
      <c r="E85" s="41" t="s">
        <v>198</v>
      </c>
      <c r="F85" s="41" t="s">
        <v>688</v>
      </c>
      <c r="G85" s="41" t="s">
        <v>47057</v>
      </c>
      <c r="H85" s="41" t="s">
        <v>47058</v>
      </c>
      <c r="I85" s="41" t="s">
        <v>199</v>
      </c>
      <c r="J85" s="41" t="s">
        <v>47059</v>
      </c>
      <c r="K85" s="41" t="s">
        <v>47060</v>
      </c>
      <c r="L85" s="41" t="s">
        <v>47061</v>
      </c>
      <c r="M85" s="41" t="s">
        <v>47062</v>
      </c>
      <c r="N85" s="41" t="s">
        <v>47063</v>
      </c>
      <c r="Q85" s="41" t="s">
        <v>47064</v>
      </c>
      <c r="R85" s="41" t="s">
        <v>46387</v>
      </c>
      <c r="S85" s="41" t="s">
        <v>46397</v>
      </c>
    </row>
    <row r="86" spans="1:19" x14ac:dyDescent="0.25">
      <c r="A86" s="41" t="s">
        <v>23</v>
      </c>
      <c r="B86" s="41" t="s">
        <v>47065</v>
      </c>
      <c r="D86" s="41" t="s">
        <v>17260</v>
      </c>
      <c r="E86" s="41" t="s">
        <v>200</v>
      </c>
      <c r="F86" s="41" t="s">
        <v>690</v>
      </c>
      <c r="G86" s="41" t="s">
        <v>47066</v>
      </c>
      <c r="H86" s="41" t="s">
        <v>47067</v>
      </c>
      <c r="I86" s="41" t="s">
        <v>201</v>
      </c>
      <c r="J86" s="41" t="s">
        <v>47068</v>
      </c>
      <c r="K86" s="41" t="s">
        <v>47069</v>
      </c>
      <c r="L86" s="41" t="s">
        <v>47070</v>
      </c>
      <c r="M86" s="41" t="s">
        <v>47071</v>
      </c>
      <c r="N86" s="41" t="s">
        <v>47072</v>
      </c>
      <c r="Q86" s="41" t="s">
        <v>47073</v>
      </c>
      <c r="R86" s="41" t="s">
        <v>46387</v>
      </c>
      <c r="S86" s="41" t="s">
        <v>46397</v>
      </c>
    </row>
    <row r="87" spans="1:19" x14ac:dyDescent="0.25">
      <c r="A87" s="41" t="s">
        <v>23</v>
      </c>
      <c r="B87" s="41" t="s">
        <v>47074</v>
      </c>
      <c r="D87" s="41" t="s">
        <v>551</v>
      </c>
      <c r="E87" s="41" t="s">
        <v>522</v>
      </c>
      <c r="F87" s="41" t="s">
        <v>695</v>
      </c>
      <c r="G87" s="41" t="s">
        <v>47075</v>
      </c>
      <c r="H87" s="41" t="s">
        <v>47076</v>
      </c>
      <c r="I87" s="41" t="s">
        <v>203</v>
      </c>
      <c r="J87" s="41" t="s">
        <v>47077</v>
      </c>
      <c r="K87" s="41" t="s">
        <v>47078</v>
      </c>
      <c r="L87" s="41" t="s">
        <v>47079</v>
      </c>
      <c r="M87" s="41" t="s">
        <v>47080</v>
      </c>
      <c r="N87" s="41" t="s">
        <v>47081</v>
      </c>
      <c r="Q87" s="41" t="s">
        <v>47082</v>
      </c>
      <c r="R87" s="41" t="s">
        <v>46387</v>
      </c>
      <c r="S87" s="41" t="s">
        <v>46397</v>
      </c>
    </row>
    <row r="88" spans="1:19" x14ac:dyDescent="0.25">
      <c r="A88" s="41" t="s">
        <v>23</v>
      </c>
      <c r="B88" s="41" t="s">
        <v>47083</v>
      </c>
      <c r="D88" s="41" t="s">
        <v>552</v>
      </c>
      <c r="E88" s="41" t="s">
        <v>204</v>
      </c>
      <c r="F88" s="41" t="s">
        <v>696</v>
      </c>
      <c r="G88" s="41" t="s">
        <v>47084</v>
      </c>
      <c r="H88" s="41" t="s">
        <v>47085</v>
      </c>
      <c r="I88" s="41" t="s">
        <v>205</v>
      </c>
      <c r="J88" s="41" t="s">
        <v>47086</v>
      </c>
      <c r="K88" s="41" t="s">
        <v>47087</v>
      </c>
      <c r="L88" s="41" t="s">
        <v>47088</v>
      </c>
      <c r="M88" s="41" t="s">
        <v>47089</v>
      </c>
      <c r="N88" s="41" t="s">
        <v>47090</v>
      </c>
      <c r="Q88" s="41" t="s">
        <v>47091</v>
      </c>
      <c r="R88" s="41" t="s">
        <v>46387</v>
      </c>
      <c r="S88" s="41" t="s">
        <v>46397</v>
      </c>
    </row>
    <row r="89" spans="1:19" x14ac:dyDescent="0.25">
      <c r="A89" s="41" t="s">
        <v>23</v>
      </c>
      <c r="B89" s="41" t="s">
        <v>47092</v>
      </c>
      <c r="D89" s="41" t="s">
        <v>553</v>
      </c>
      <c r="E89" s="41" t="s">
        <v>206</v>
      </c>
      <c r="F89" s="41" t="s">
        <v>697</v>
      </c>
      <c r="G89" s="41" t="s">
        <v>47093</v>
      </c>
      <c r="H89" s="41" t="s">
        <v>47094</v>
      </c>
      <c r="I89" s="41" t="s">
        <v>207</v>
      </c>
      <c r="J89" s="41" t="s">
        <v>47095</v>
      </c>
      <c r="K89" s="41" t="s">
        <v>47096</v>
      </c>
      <c r="L89" s="41" t="s">
        <v>47097</v>
      </c>
      <c r="M89" s="41" t="s">
        <v>47098</v>
      </c>
      <c r="N89" s="41" t="s">
        <v>47099</v>
      </c>
      <c r="Q89" s="41" t="s">
        <v>47100</v>
      </c>
      <c r="R89" s="41" t="s">
        <v>46387</v>
      </c>
      <c r="S89" s="41" t="s">
        <v>46397</v>
      </c>
    </row>
    <row r="90" spans="1:19" x14ac:dyDescent="0.25">
      <c r="A90" s="41" t="s">
        <v>23</v>
      </c>
      <c r="B90" s="41" t="s">
        <v>47101</v>
      </c>
      <c r="D90" s="41" t="s">
        <v>520</v>
      </c>
      <c r="E90" s="41" t="s">
        <v>208</v>
      </c>
      <c r="F90" s="41" t="s">
        <v>698</v>
      </c>
      <c r="G90" s="41" t="s">
        <v>47102</v>
      </c>
      <c r="H90" s="41" t="s">
        <v>47103</v>
      </c>
      <c r="I90" s="41" t="s">
        <v>209</v>
      </c>
      <c r="J90" s="41" t="s">
        <v>47104</v>
      </c>
      <c r="K90" s="41" t="s">
        <v>47105</v>
      </c>
      <c r="L90" s="41" t="s">
        <v>47106</v>
      </c>
      <c r="M90" s="41" t="s">
        <v>47107</v>
      </c>
      <c r="N90" s="41" t="s">
        <v>47108</v>
      </c>
      <c r="Q90" s="41" t="s">
        <v>47109</v>
      </c>
      <c r="R90" s="41" t="s">
        <v>46387</v>
      </c>
      <c r="S90" s="41" t="s">
        <v>46397</v>
      </c>
    </row>
    <row r="91" spans="1:19" x14ac:dyDescent="0.25">
      <c r="A91" s="41" t="s">
        <v>23</v>
      </c>
      <c r="B91" s="41" t="s">
        <v>47110</v>
      </c>
      <c r="D91" s="41" t="s">
        <v>434</v>
      </c>
      <c r="E91" s="41" t="s">
        <v>210</v>
      </c>
      <c r="F91" s="41" t="s">
        <v>699</v>
      </c>
      <c r="G91" s="41" t="s">
        <v>47111</v>
      </c>
      <c r="H91" s="41" t="s">
        <v>47112</v>
      </c>
      <c r="I91" s="41" t="s">
        <v>211</v>
      </c>
      <c r="J91" s="41" t="s">
        <v>47113</v>
      </c>
      <c r="K91" s="41" t="s">
        <v>47114</v>
      </c>
      <c r="L91" s="41" t="s">
        <v>47115</v>
      </c>
      <c r="M91" s="41" t="s">
        <v>47116</v>
      </c>
      <c r="N91" s="41" t="s">
        <v>47117</v>
      </c>
      <c r="Q91" s="41" t="s">
        <v>47118</v>
      </c>
      <c r="R91" s="41" t="s">
        <v>46387</v>
      </c>
      <c r="S91" s="41" t="s">
        <v>46397</v>
      </c>
    </row>
    <row r="92" spans="1:19" x14ac:dyDescent="0.25">
      <c r="A92" s="41" t="s">
        <v>23</v>
      </c>
      <c r="B92" s="41" t="s">
        <v>47119</v>
      </c>
      <c r="D92" s="41" t="s">
        <v>521</v>
      </c>
      <c r="E92" s="41" t="s">
        <v>212</v>
      </c>
      <c r="F92" s="41" t="s">
        <v>700</v>
      </c>
      <c r="G92" s="41" t="s">
        <v>47120</v>
      </c>
      <c r="H92" s="41" t="s">
        <v>47121</v>
      </c>
      <c r="I92" s="41" t="s">
        <v>213</v>
      </c>
      <c r="J92" s="41" t="s">
        <v>47122</v>
      </c>
      <c r="K92" s="41" t="s">
        <v>47123</v>
      </c>
      <c r="L92" s="41" t="s">
        <v>47124</v>
      </c>
      <c r="M92" s="41" t="s">
        <v>47125</v>
      </c>
      <c r="N92" s="41" t="s">
        <v>47126</v>
      </c>
      <c r="Q92" s="41" t="s">
        <v>47127</v>
      </c>
      <c r="R92" s="41" t="s">
        <v>46387</v>
      </c>
      <c r="S92" s="41" t="s">
        <v>46397</v>
      </c>
    </row>
    <row r="93" spans="1:19" x14ac:dyDescent="0.25">
      <c r="A93" s="41" t="s">
        <v>23</v>
      </c>
      <c r="B93" s="41" t="s">
        <v>47128</v>
      </c>
      <c r="D93" s="41" t="s">
        <v>435</v>
      </c>
      <c r="E93" s="41" t="s">
        <v>215</v>
      </c>
      <c r="F93" s="41" t="s">
        <v>701</v>
      </c>
      <c r="G93" s="41" t="s">
        <v>47129</v>
      </c>
      <c r="H93" s="41" t="s">
        <v>47130</v>
      </c>
      <c r="I93" s="41" t="s">
        <v>216</v>
      </c>
      <c r="J93" s="41" t="s">
        <v>47131</v>
      </c>
      <c r="K93" s="41" t="s">
        <v>47132</v>
      </c>
      <c r="L93" s="41" t="s">
        <v>47133</v>
      </c>
      <c r="M93" s="41" t="s">
        <v>47134</v>
      </c>
      <c r="N93" s="41" t="s">
        <v>47135</v>
      </c>
      <c r="Q93" s="41" t="s">
        <v>47136</v>
      </c>
      <c r="R93" s="41" t="s">
        <v>46387</v>
      </c>
      <c r="S93" s="41" t="s">
        <v>46397</v>
      </c>
    </row>
    <row r="94" spans="1:19" x14ac:dyDescent="0.25">
      <c r="A94" s="41" t="s">
        <v>23</v>
      </c>
      <c r="B94" s="41" t="s">
        <v>47137</v>
      </c>
      <c r="D94" s="41" t="s">
        <v>860</v>
      </c>
      <c r="E94" s="41" t="s">
        <v>218</v>
      </c>
      <c r="F94" s="41" t="s">
        <v>706</v>
      </c>
      <c r="G94" s="41" t="s">
        <v>47138</v>
      </c>
      <c r="H94" s="41" t="s">
        <v>47139</v>
      </c>
      <c r="I94" s="41" t="s">
        <v>219</v>
      </c>
      <c r="J94" s="41" t="s">
        <v>47140</v>
      </c>
      <c r="K94" s="41" t="s">
        <v>47141</v>
      </c>
      <c r="L94" s="41" t="s">
        <v>47142</v>
      </c>
      <c r="M94" s="41" t="s">
        <v>47143</v>
      </c>
      <c r="N94" s="41" t="s">
        <v>47144</v>
      </c>
      <c r="Q94" s="41" t="s">
        <v>47145</v>
      </c>
      <c r="R94" s="41" t="s">
        <v>46387</v>
      </c>
      <c r="S94" s="41" t="s">
        <v>46397</v>
      </c>
    </row>
    <row r="95" spans="1:19" x14ac:dyDescent="0.25">
      <c r="A95" s="41" t="s">
        <v>23</v>
      </c>
      <c r="B95" s="41" t="s">
        <v>47146</v>
      </c>
      <c r="D95" s="41" t="s">
        <v>861</v>
      </c>
      <c r="E95" s="41" t="s">
        <v>221</v>
      </c>
      <c r="F95" s="41" t="s">
        <v>711</v>
      </c>
      <c r="G95" s="41" t="s">
        <v>47147</v>
      </c>
      <c r="H95" s="41" t="s">
        <v>47148</v>
      </c>
      <c r="I95" s="41" t="s">
        <v>222</v>
      </c>
      <c r="J95" s="41" t="s">
        <v>47149</v>
      </c>
      <c r="K95" s="41" t="s">
        <v>47150</v>
      </c>
      <c r="L95" s="41" t="s">
        <v>47151</v>
      </c>
      <c r="M95" s="41" t="s">
        <v>47152</v>
      </c>
      <c r="N95" s="41" t="s">
        <v>47153</v>
      </c>
      <c r="Q95" s="41" t="s">
        <v>47154</v>
      </c>
      <c r="R95" s="41" t="s">
        <v>46387</v>
      </c>
      <c r="S95" s="41" t="s">
        <v>46397</v>
      </c>
    </row>
    <row r="96" spans="1:19" x14ac:dyDescent="0.25">
      <c r="A96" s="41" t="s">
        <v>23</v>
      </c>
      <c r="B96" s="41" t="s">
        <v>47155</v>
      </c>
      <c r="D96" s="41" t="s">
        <v>436</v>
      </c>
      <c r="E96" s="41" t="s">
        <v>224</v>
      </c>
      <c r="F96" s="41" t="s">
        <v>712</v>
      </c>
      <c r="G96" s="41" t="s">
        <v>47156</v>
      </c>
      <c r="H96" s="41" t="s">
        <v>47157</v>
      </c>
      <c r="I96" s="41" t="s">
        <v>225</v>
      </c>
      <c r="J96" s="41" t="s">
        <v>47158</v>
      </c>
      <c r="K96" s="41" t="s">
        <v>47159</v>
      </c>
      <c r="L96" s="41" t="s">
        <v>47160</v>
      </c>
      <c r="M96" s="41" t="s">
        <v>47161</v>
      </c>
      <c r="N96" s="41" t="s">
        <v>47162</v>
      </c>
      <c r="Q96" s="41" t="s">
        <v>47163</v>
      </c>
      <c r="R96" s="41" t="s">
        <v>46387</v>
      </c>
      <c r="S96" s="41" t="s">
        <v>46397</v>
      </c>
    </row>
    <row r="97" spans="1:19" x14ac:dyDescent="0.25">
      <c r="A97" s="41" t="s">
        <v>23</v>
      </c>
      <c r="B97" s="41" t="s">
        <v>47164</v>
      </c>
      <c r="D97" s="41" t="s">
        <v>437</v>
      </c>
      <c r="E97" s="41" t="s">
        <v>227</v>
      </c>
      <c r="F97" s="41" t="s">
        <v>713</v>
      </c>
      <c r="G97" s="41" t="s">
        <v>47165</v>
      </c>
      <c r="H97" s="41" t="s">
        <v>47166</v>
      </c>
      <c r="I97" s="41" t="s">
        <v>228</v>
      </c>
      <c r="J97" s="41" t="s">
        <v>47167</v>
      </c>
      <c r="K97" s="41" t="s">
        <v>47168</v>
      </c>
      <c r="L97" s="41" t="s">
        <v>47169</v>
      </c>
      <c r="M97" s="41" t="s">
        <v>47170</v>
      </c>
      <c r="N97" s="41" t="s">
        <v>47171</v>
      </c>
      <c r="Q97" s="41" t="s">
        <v>47172</v>
      </c>
      <c r="R97" s="41" t="s">
        <v>46387</v>
      </c>
      <c r="S97" s="41" t="s">
        <v>46397</v>
      </c>
    </row>
    <row r="98" spans="1:19" x14ac:dyDescent="0.25">
      <c r="A98" s="41" t="s">
        <v>23</v>
      </c>
      <c r="B98" s="41" t="s">
        <v>47173</v>
      </c>
      <c r="D98" s="41" t="s">
        <v>438</v>
      </c>
      <c r="E98" s="41" t="s">
        <v>230</v>
      </c>
      <c r="F98" s="41" t="s">
        <v>714</v>
      </c>
      <c r="G98" s="41" t="s">
        <v>47174</v>
      </c>
      <c r="H98" s="41" t="s">
        <v>47175</v>
      </c>
      <c r="I98" s="41" t="s">
        <v>231</v>
      </c>
      <c r="J98" s="41" t="s">
        <v>47176</v>
      </c>
      <c r="K98" s="41" t="s">
        <v>47177</v>
      </c>
      <c r="L98" s="41" t="s">
        <v>47178</v>
      </c>
      <c r="M98" s="41" t="s">
        <v>47179</v>
      </c>
      <c r="N98" s="41" t="s">
        <v>47180</v>
      </c>
      <c r="Q98" s="41" t="s">
        <v>47181</v>
      </c>
      <c r="R98" s="41" t="s">
        <v>46387</v>
      </c>
      <c r="S98" s="41" t="s">
        <v>46397</v>
      </c>
    </row>
    <row r="99" spans="1:19" x14ac:dyDescent="0.25">
      <c r="A99" s="41" t="s">
        <v>23</v>
      </c>
      <c r="B99" s="41" t="s">
        <v>47182</v>
      </c>
      <c r="D99" s="41" t="s">
        <v>439</v>
      </c>
      <c r="E99" s="41" t="s">
        <v>233</v>
      </c>
      <c r="F99" s="41" t="s">
        <v>715</v>
      </c>
      <c r="G99" s="41" t="s">
        <v>47183</v>
      </c>
      <c r="H99" s="41" t="s">
        <v>47184</v>
      </c>
      <c r="I99" s="41" t="s">
        <v>234</v>
      </c>
      <c r="J99" s="41" t="s">
        <v>47185</v>
      </c>
      <c r="K99" s="41" t="s">
        <v>47186</v>
      </c>
      <c r="L99" s="41" t="s">
        <v>47187</v>
      </c>
      <c r="M99" s="41" t="s">
        <v>47188</v>
      </c>
      <c r="N99" s="41" t="s">
        <v>47189</v>
      </c>
      <c r="Q99" s="41" t="s">
        <v>47190</v>
      </c>
      <c r="R99" s="41" t="s">
        <v>46387</v>
      </c>
      <c r="S99" s="41" t="s">
        <v>46397</v>
      </c>
    </row>
    <row r="100" spans="1:19" x14ac:dyDescent="0.25">
      <c r="A100" s="41" t="s">
        <v>23</v>
      </c>
      <c r="B100" s="41" t="s">
        <v>47191</v>
      </c>
      <c r="D100" s="41" t="s">
        <v>440</v>
      </c>
      <c r="E100" s="41" t="s">
        <v>235</v>
      </c>
      <c r="F100" s="41" t="s">
        <v>716</v>
      </c>
      <c r="G100" s="41" t="s">
        <v>47192</v>
      </c>
      <c r="H100" s="41" t="s">
        <v>47193</v>
      </c>
      <c r="I100" s="41" t="s">
        <v>236</v>
      </c>
      <c r="J100" s="41" t="s">
        <v>47194</v>
      </c>
      <c r="K100" s="41" t="s">
        <v>47195</v>
      </c>
      <c r="L100" s="41" t="s">
        <v>47196</v>
      </c>
      <c r="M100" s="41" t="s">
        <v>47197</v>
      </c>
      <c r="N100" s="41" t="s">
        <v>47198</v>
      </c>
      <c r="Q100" s="41" t="s">
        <v>47199</v>
      </c>
      <c r="R100" s="41" t="s">
        <v>46387</v>
      </c>
      <c r="S100" s="41" t="s">
        <v>46397</v>
      </c>
    </row>
    <row r="101" spans="1:19" x14ac:dyDescent="0.25">
      <c r="A101" s="41" t="s">
        <v>23</v>
      </c>
      <c r="B101" s="41" t="s">
        <v>47200</v>
      </c>
      <c r="D101" s="41" t="s">
        <v>441</v>
      </c>
      <c r="E101" s="41" t="s">
        <v>237</v>
      </c>
      <c r="F101" s="41" t="s">
        <v>717</v>
      </c>
      <c r="G101" s="41" t="s">
        <v>47201</v>
      </c>
      <c r="H101" s="41" t="s">
        <v>47202</v>
      </c>
      <c r="I101" s="41" t="s">
        <v>238</v>
      </c>
      <c r="J101" s="41" t="s">
        <v>47203</v>
      </c>
      <c r="K101" s="41" t="s">
        <v>47204</v>
      </c>
      <c r="L101" s="41" t="s">
        <v>47205</v>
      </c>
      <c r="M101" s="41" t="s">
        <v>47206</v>
      </c>
      <c r="N101" s="41" t="s">
        <v>47207</v>
      </c>
      <c r="Q101" s="41" t="s">
        <v>47208</v>
      </c>
      <c r="R101" s="41" t="s">
        <v>46387</v>
      </c>
      <c r="S101" s="41" t="s">
        <v>46397</v>
      </c>
    </row>
    <row r="102" spans="1:19" x14ac:dyDescent="0.25">
      <c r="A102" s="41" t="s">
        <v>23</v>
      </c>
      <c r="B102" s="41" t="s">
        <v>47209</v>
      </c>
      <c r="D102" s="41" t="s">
        <v>862</v>
      </c>
      <c r="E102" s="41" t="s">
        <v>239</v>
      </c>
      <c r="F102" s="41" t="s">
        <v>722</v>
      </c>
      <c r="G102" s="41" t="s">
        <v>47210</v>
      </c>
      <c r="H102" s="41" t="s">
        <v>47211</v>
      </c>
      <c r="I102" s="41" t="s">
        <v>240</v>
      </c>
      <c r="J102" s="41" t="s">
        <v>47212</v>
      </c>
      <c r="K102" s="41" t="s">
        <v>47213</v>
      </c>
      <c r="L102" s="41" t="s">
        <v>47214</v>
      </c>
      <c r="M102" s="41" t="s">
        <v>47215</v>
      </c>
      <c r="N102" s="41" t="s">
        <v>47216</v>
      </c>
      <c r="Q102" s="41" t="s">
        <v>47217</v>
      </c>
      <c r="R102" s="41" t="s">
        <v>46387</v>
      </c>
      <c r="S102" s="41" t="s">
        <v>46397</v>
      </c>
    </row>
    <row r="103" spans="1:19" x14ac:dyDescent="0.25">
      <c r="A103" s="41" t="s">
        <v>23</v>
      </c>
      <c r="B103" s="41" t="s">
        <v>47218</v>
      </c>
      <c r="D103" s="41" t="s">
        <v>449</v>
      </c>
      <c r="E103" s="41" t="s">
        <v>242</v>
      </c>
      <c r="F103" s="41" t="s">
        <v>723</v>
      </c>
      <c r="G103" s="41" t="s">
        <v>47219</v>
      </c>
      <c r="H103" s="41" t="s">
        <v>47220</v>
      </c>
      <c r="I103" s="41" t="s">
        <v>243</v>
      </c>
      <c r="J103" s="41" t="s">
        <v>47221</v>
      </c>
      <c r="K103" s="41" t="s">
        <v>47222</v>
      </c>
      <c r="L103" s="41" t="s">
        <v>47223</v>
      </c>
      <c r="M103" s="41" t="s">
        <v>47224</v>
      </c>
      <c r="N103" s="41" t="s">
        <v>47225</v>
      </c>
      <c r="Q103" s="41" t="s">
        <v>47226</v>
      </c>
      <c r="R103" s="41" t="s">
        <v>46387</v>
      </c>
      <c r="S103" s="41" t="s">
        <v>46397</v>
      </c>
    </row>
    <row r="104" spans="1:19" x14ac:dyDescent="0.25">
      <c r="A104" s="41" t="s">
        <v>23</v>
      </c>
      <c r="B104" s="41" t="s">
        <v>47227</v>
      </c>
      <c r="D104" s="41" t="s">
        <v>450</v>
      </c>
      <c r="E104" s="41" t="s">
        <v>244</v>
      </c>
      <c r="F104" s="41" t="s">
        <v>724</v>
      </c>
      <c r="G104" s="41" t="s">
        <v>47228</v>
      </c>
      <c r="H104" s="41" t="s">
        <v>47229</v>
      </c>
      <c r="I104" s="41" t="s">
        <v>245</v>
      </c>
      <c r="J104" s="41" t="s">
        <v>47230</v>
      </c>
      <c r="K104" s="41" t="s">
        <v>47231</v>
      </c>
      <c r="L104" s="41" t="s">
        <v>47232</v>
      </c>
      <c r="M104" s="41" t="s">
        <v>47233</v>
      </c>
      <c r="N104" s="41" t="s">
        <v>47234</v>
      </c>
      <c r="Q104" s="41" t="s">
        <v>47235</v>
      </c>
      <c r="R104" s="41" t="s">
        <v>46387</v>
      </c>
      <c r="S104" s="41" t="s">
        <v>46397</v>
      </c>
    </row>
    <row r="105" spans="1:19" x14ac:dyDescent="0.25">
      <c r="A105" s="41" t="s">
        <v>23</v>
      </c>
      <c r="B105" s="41" t="s">
        <v>47236</v>
      </c>
      <c r="D105" s="41" t="s">
        <v>450</v>
      </c>
      <c r="E105" s="41" t="s">
        <v>863</v>
      </c>
      <c r="F105" s="41" t="s">
        <v>725</v>
      </c>
      <c r="G105" s="41" t="s">
        <v>47237</v>
      </c>
      <c r="H105" s="41" t="s">
        <v>47238</v>
      </c>
      <c r="I105" s="41" t="s">
        <v>246</v>
      </c>
      <c r="J105" s="41" t="s">
        <v>47239</v>
      </c>
      <c r="K105" s="41" t="s">
        <v>47240</v>
      </c>
      <c r="L105" s="41" t="s">
        <v>47241</v>
      </c>
      <c r="M105" s="41" t="s">
        <v>47242</v>
      </c>
      <c r="N105" s="41" t="s">
        <v>47243</v>
      </c>
      <c r="Q105" s="41" t="s">
        <v>47244</v>
      </c>
      <c r="R105" s="41" t="s">
        <v>46387</v>
      </c>
      <c r="S105" s="41" t="s">
        <v>46397</v>
      </c>
    </row>
    <row r="106" spans="1:19" x14ac:dyDescent="0.25">
      <c r="A106" s="41" t="s">
        <v>23</v>
      </c>
      <c r="B106" s="41" t="s">
        <v>47245</v>
      </c>
      <c r="D106" s="41" t="s">
        <v>451</v>
      </c>
      <c r="E106" s="41" t="s">
        <v>247</v>
      </c>
      <c r="F106" s="41" t="s">
        <v>726</v>
      </c>
      <c r="G106" s="41" t="s">
        <v>47246</v>
      </c>
      <c r="H106" s="41" t="s">
        <v>47247</v>
      </c>
      <c r="I106" s="41" t="s">
        <v>248</v>
      </c>
      <c r="J106" s="41" t="s">
        <v>47248</v>
      </c>
      <c r="K106" s="41" t="s">
        <v>47249</v>
      </c>
      <c r="L106" s="41" t="s">
        <v>47250</v>
      </c>
      <c r="M106" s="41" t="s">
        <v>47251</v>
      </c>
      <c r="N106" s="41" t="s">
        <v>47252</v>
      </c>
      <c r="Q106" s="41" t="s">
        <v>47253</v>
      </c>
      <c r="R106" s="41" t="s">
        <v>46387</v>
      </c>
      <c r="S106" s="41" t="s">
        <v>46397</v>
      </c>
    </row>
    <row r="107" spans="1:19" x14ac:dyDescent="0.25">
      <c r="A107" s="41" t="s">
        <v>23</v>
      </c>
      <c r="B107" s="41" t="s">
        <v>47254</v>
      </c>
      <c r="D107" s="41" t="s">
        <v>451</v>
      </c>
      <c r="E107" s="41" t="s">
        <v>864</v>
      </c>
      <c r="F107" s="41" t="s">
        <v>727</v>
      </c>
      <c r="G107" s="41" t="s">
        <v>47255</v>
      </c>
      <c r="H107" s="41" t="s">
        <v>47256</v>
      </c>
      <c r="I107" s="41" t="s">
        <v>249</v>
      </c>
      <c r="J107" s="41" t="s">
        <v>47257</v>
      </c>
      <c r="K107" s="41" t="s">
        <v>47258</v>
      </c>
      <c r="L107" s="41" t="s">
        <v>47259</v>
      </c>
      <c r="M107" s="41" t="s">
        <v>47260</v>
      </c>
      <c r="N107" s="41" t="s">
        <v>47261</v>
      </c>
      <c r="Q107" s="41" t="s">
        <v>47262</v>
      </c>
      <c r="R107" s="41" t="s">
        <v>46387</v>
      </c>
      <c r="S107" s="41" t="s">
        <v>46397</v>
      </c>
    </row>
    <row r="108" spans="1:19" x14ac:dyDescent="0.25">
      <c r="A108" s="41" t="s">
        <v>23</v>
      </c>
      <c r="B108" s="41" t="s">
        <v>47263</v>
      </c>
      <c r="D108" s="41" t="s">
        <v>452</v>
      </c>
      <c r="E108" s="41" t="s">
        <v>251</v>
      </c>
      <c r="F108" s="41" t="s">
        <v>728</v>
      </c>
      <c r="G108" s="41" t="s">
        <v>47264</v>
      </c>
      <c r="H108" s="41" t="s">
        <v>47265</v>
      </c>
      <c r="I108" s="41" t="s">
        <v>252</v>
      </c>
      <c r="J108" s="41" t="s">
        <v>47266</v>
      </c>
      <c r="K108" s="41" t="s">
        <v>47267</v>
      </c>
      <c r="L108" s="41" t="s">
        <v>47268</v>
      </c>
      <c r="M108" s="41" t="s">
        <v>47269</v>
      </c>
      <c r="N108" s="41" t="s">
        <v>47270</v>
      </c>
      <c r="Q108" s="41" t="s">
        <v>47271</v>
      </c>
      <c r="R108" s="41" t="s">
        <v>46387</v>
      </c>
      <c r="S108" s="41" t="s">
        <v>46397</v>
      </c>
    </row>
    <row r="109" spans="1:19" x14ac:dyDescent="0.25">
      <c r="A109" s="41" t="s">
        <v>23</v>
      </c>
      <c r="B109" s="41" t="s">
        <v>47272</v>
      </c>
      <c r="D109" s="41" t="s">
        <v>454</v>
      </c>
      <c r="E109" s="41" t="s">
        <v>254</v>
      </c>
      <c r="F109" s="41" t="s">
        <v>733</v>
      </c>
      <c r="G109" s="41" t="s">
        <v>47273</v>
      </c>
      <c r="H109" s="41" t="s">
        <v>47274</v>
      </c>
      <c r="I109" s="41" t="s">
        <v>255</v>
      </c>
      <c r="J109" s="41" t="s">
        <v>47275</v>
      </c>
      <c r="K109" s="41" t="s">
        <v>47276</v>
      </c>
      <c r="L109" s="41" t="s">
        <v>47277</v>
      </c>
      <c r="M109" s="41" t="s">
        <v>47278</v>
      </c>
      <c r="N109" s="41" t="s">
        <v>47279</v>
      </c>
      <c r="Q109" s="41" t="s">
        <v>47280</v>
      </c>
      <c r="R109" s="41" t="s">
        <v>46387</v>
      </c>
      <c r="S109" s="41" t="s">
        <v>46397</v>
      </c>
    </row>
    <row r="110" spans="1:19" x14ac:dyDescent="0.25">
      <c r="A110" s="41" t="s">
        <v>23</v>
      </c>
      <c r="B110" s="41" t="s">
        <v>47281</v>
      </c>
      <c r="D110" s="41" t="s">
        <v>534</v>
      </c>
      <c r="E110" s="41" t="s">
        <v>48028</v>
      </c>
      <c r="F110" s="41" t="s">
        <v>734</v>
      </c>
      <c r="G110" s="41" t="s">
        <v>47282</v>
      </c>
      <c r="H110" s="41" t="s">
        <v>47283</v>
      </c>
      <c r="I110" s="41" t="s">
        <v>257</v>
      </c>
      <c r="J110" s="41" t="s">
        <v>47284</v>
      </c>
      <c r="K110" s="41" t="s">
        <v>47285</v>
      </c>
      <c r="L110" s="41" t="s">
        <v>47286</v>
      </c>
      <c r="M110" s="41" t="s">
        <v>47287</v>
      </c>
      <c r="N110" s="41" t="s">
        <v>47288</v>
      </c>
      <c r="Q110" s="41" t="s">
        <v>47289</v>
      </c>
      <c r="R110" s="41" t="s">
        <v>46387</v>
      </c>
      <c r="S110" s="41" t="s">
        <v>46397</v>
      </c>
    </row>
    <row r="111" spans="1:19" x14ac:dyDescent="0.25">
      <c r="A111" s="41" t="s">
        <v>23</v>
      </c>
      <c r="B111" s="41" t="s">
        <v>47290</v>
      </c>
      <c r="D111" s="41" t="s">
        <v>24566</v>
      </c>
      <c r="E111" s="41" t="s">
        <v>46377</v>
      </c>
      <c r="F111" s="41" t="s">
        <v>735</v>
      </c>
      <c r="G111" s="41" t="s">
        <v>47291</v>
      </c>
      <c r="H111" s="41" t="s">
        <v>47292</v>
      </c>
      <c r="I111" s="41" t="s">
        <v>258</v>
      </c>
      <c r="J111" s="41" t="s">
        <v>47293</v>
      </c>
      <c r="K111" s="41" t="s">
        <v>47294</v>
      </c>
      <c r="L111" s="41" t="s">
        <v>47295</v>
      </c>
      <c r="M111" s="41" t="s">
        <v>47296</v>
      </c>
      <c r="N111" s="41" t="s">
        <v>47297</v>
      </c>
      <c r="Q111" s="41" t="s">
        <v>47298</v>
      </c>
      <c r="R111" s="41" t="s">
        <v>46387</v>
      </c>
      <c r="S111" s="41" t="s">
        <v>46397</v>
      </c>
    </row>
    <row r="112" spans="1:19" x14ac:dyDescent="0.25">
      <c r="A112" s="41" t="s">
        <v>23</v>
      </c>
      <c r="B112" s="41" t="s">
        <v>47299</v>
      </c>
      <c r="D112" s="41" t="s">
        <v>24622</v>
      </c>
      <c r="E112" s="41" t="s">
        <v>48029</v>
      </c>
      <c r="F112" s="41" t="s">
        <v>736</v>
      </c>
      <c r="G112" s="41" t="s">
        <v>47300</v>
      </c>
      <c r="H112" s="41" t="s">
        <v>47301</v>
      </c>
      <c r="I112" s="41" t="s">
        <v>260</v>
      </c>
      <c r="J112" s="41" t="s">
        <v>47302</v>
      </c>
      <c r="K112" s="41" t="s">
        <v>47303</v>
      </c>
      <c r="L112" s="41" t="s">
        <v>47304</v>
      </c>
      <c r="M112" s="41" t="s">
        <v>47305</v>
      </c>
      <c r="N112" s="41" t="s">
        <v>47306</v>
      </c>
      <c r="Q112" s="41" t="s">
        <v>47307</v>
      </c>
      <c r="R112" s="41" t="s">
        <v>46387</v>
      </c>
      <c r="S112" s="41" t="s">
        <v>46397</v>
      </c>
    </row>
    <row r="113" spans="1:19" x14ac:dyDescent="0.25">
      <c r="A113" s="41" t="s">
        <v>23</v>
      </c>
      <c r="B113" s="41" t="s">
        <v>47308</v>
      </c>
      <c r="D113" s="41" t="s">
        <v>455</v>
      </c>
      <c r="E113" s="41" t="s">
        <v>262</v>
      </c>
      <c r="F113" s="41" t="s">
        <v>737</v>
      </c>
      <c r="G113" s="41" t="s">
        <v>47309</v>
      </c>
      <c r="H113" s="41" t="s">
        <v>47310</v>
      </c>
      <c r="I113" s="41" t="s">
        <v>263</v>
      </c>
      <c r="J113" s="41" t="s">
        <v>47311</v>
      </c>
      <c r="K113" s="41" t="s">
        <v>47312</v>
      </c>
      <c r="L113" s="41" t="s">
        <v>47313</v>
      </c>
      <c r="M113" s="41" t="s">
        <v>47314</v>
      </c>
      <c r="N113" s="41" t="s">
        <v>47315</v>
      </c>
      <c r="Q113" s="41" t="s">
        <v>47316</v>
      </c>
      <c r="R113" s="41" t="s">
        <v>46387</v>
      </c>
      <c r="S113" s="41" t="s">
        <v>46397</v>
      </c>
    </row>
    <row r="114" spans="1:19" x14ac:dyDescent="0.25">
      <c r="A114" s="41" t="s">
        <v>23</v>
      </c>
      <c r="B114" s="41" t="s">
        <v>47317</v>
      </c>
      <c r="D114" s="41" t="s">
        <v>456</v>
      </c>
      <c r="E114" s="41" t="s">
        <v>265</v>
      </c>
      <c r="F114" s="41" t="s">
        <v>738</v>
      </c>
      <c r="G114" s="41" t="s">
        <v>47318</v>
      </c>
      <c r="H114" s="41" t="s">
        <v>47319</v>
      </c>
      <c r="I114" s="41" t="s">
        <v>266</v>
      </c>
      <c r="J114" s="41" t="s">
        <v>47320</v>
      </c>
      <c r="K114" s="41" t="s">
        <v>47321</v>
      </c>
      <c r="L114" s="41" t="s">
        <v>47322</v>
      </c>
      <c r="M114" s="41" t="s">
        <v>47323</v>
      </c>
      <c r="N114" s="41" t="s">
        <v>47324</v>
      </c>
      <c r="Q114" s="41" t="s">
        <v>47325</v>
      </c>
      <c r="R114" s="41" t="s">
        <v>46387</v>
      </c>
      <c r="S114" s="41" t="s">
        <v>46397</v>
      </c>
    </row>
    <row r="115" spans="1:19" x14ac:dyDescent="0.25">
      <c r="A115" s="41" t="s">
        <v>23</v>
      </c>
      <c r="B115" s="41" t="s">
        <v>47326</v>
      </c>
      <c r="D115" s="41" t="s">
        <v>457</v>
      </c>
      <c r="E115" s="41" t="s">
        <v>268</v>
      </c>
      <c r="F115" s="41" t="s">
        <v>739</v>
      </c>
      <c r="G115" s="41" t="s">
        <v>47327</v>
      </c>
      <c r="H115" s="41" t="s">
        <v>47328</v>
      </c>
      <c r="I115" s="41" t="s">
        <v>269</v>
      </c>
      <c r="J115" s="41" t="s">
        <v>47329</v>
      </c>
      <c r="K115" s="41" t="s">
        <v>47330</v>
      </c>
      <c r="L115" s="41" t="s">
        <v>47331</v>
      </c>
      <c r="M115" s="41" t="s">
        <v>47332</v>
      </c>
      <c r="N115" s="41" t="s">
        <v>47333</v>
      </c>
      <c r="Q115" s="41" t="s">
        <v>47334</v>
      </c>
      <c r="R115" s="41" t="s">
        <v>46387</v>
      </c>
      <c r="S115" s="41" t="s">
        <v>46397</v>
      </c>
    </row>
    <row r="116" spans="1:19" x14ac:dyDescent="0.25">
      <c r="A116" s="41" t="s">
        <v>23</v>
      </c>
      <c r="B116" s="41" t="s">
        <v>47335</v>
      </c>
      <c r="D116" s="41" t="s">
        <v>458</v>
      </c>
      <c r="E116" s="41" t="s">
        <v>271</v>
      </c>
      <c r="F116" s="41" t="s">
        <v>744</v>
      </c>
      <c r="G116" s="41" t="s">
        <v>47336</v>
      </c>
      <c r="H116" s="41" t="s">
        <v>47337</v>
      </c>
      <c r="I116" s="41" t="s">
        <v>272</v>
      </c>
      <c r="J116" s="41" t="s">
        <v>47338</v>
      </c>
      <c r="K116" s="41" t="s">
        <v>47339</v>
      </c>
      <c r="L116" s="41" t="s">
        <v>47340</v>
      </c>
      <c r="M116" s="41" t="s">
        <v>47341</v>
      </c>
      <c r="N116" s="41" t="s">
        <v>47342</v>
      </c>
      <c r="Q116" s="41" t="s">
        <v>47343</v>
      </c>
      <c r="R116" s="41" t="s">
        <v>46387</v>
      </c>
      <c r="S116" s="41" t="s">
        <v>46397</v>
      </c>
    </row>
    <row r="117" spans="1:19" x14ac:dyDescent="0.25">
      <c r="A117" s="41" t="s">
        <v>23</v>
      </c>
      <c r="B117" s="41" t="s">
        <v>47344</v>
      </c>
      <c r="D117" s="41" t="s">
        <v>459</v>
      </c>
      <c r="E117" s="41" t="s">
        <v>274</v>
      </c>
      <c r="F117" s="41" t="s">
        <v>745</v>
      </c>
      <c r="G117" s="41" t="s">
        <v>47345</v>
      </c>
      <c r="H117" s="41" t="s">
        <v>47346</v>
      </c>
      <c r="I117" s="41" t="s">
        <v>275</v>
      </c>
      <c r="J117" s="41" t="s">
        <v>47347</v>
      </c>
      <c r="K117" s="41" t="s">
        <v>47348</v>
      </c>
      <c r="L117" s="41" t="s">
        <v>47349</v>
      </c>
      <c r="M117" s="41" t="s">
        <v>47350</v>
      </c>
      <c r="N117" s="41" t="s">
        <v>47351</v>
      </c>
      <c r="Q117" s="41" t="s">
        <v>47352</v>
      </c>
      <c r="R117" s="41" t="s">
        <v>46387</v>
      </c>
      <c r="S117" s="41" t="s">
        <v>46397</v>
      </c>
    </row>
    <row r="118" spans="1:19" x14ac:dyDescent="0.25">
      <c r="A118" s="41" t="s">
        <v>23</v>
      </c>
      <c r="B118" s="41" t="s">
        <v>47353</v>
      </c>
      <c r="D118" s="41" t="s">
        <v>460</v>
      </c>
      <c r="E118" s="41" t="s">
        <v>277</v>
      </c>
      <c r="F118" s="41" t="s">
        <v>746</v>
      </c>
      <c r="G118" s="41" t="s">
        <v>47354</v>
      </c>
      <c r="H118" s="41" t="s">
        <v>47355</v>
      </c>
      <c r="I118" s="41" t="s">
        <v>278</v>
      </c>
      <c r="J118" s="41" t="s">
        <v>47356</v>
      </c>
      <c r="K118" s="41" t="s">
        <v>47357</v>
      </c>
      <c r="L118" s="41" t="s">
        <v>47358</v>
      </c>
      <c r="M118" s="41" t="s">
        <v>47359</v>
      </c>
      <c r="N118" s="41" t="s">
        <v>47360</v>
      </c>
      <c r="Q118" s="41" t="s">
        <v>47361</v>
      </c>
      <c r="R118" s="41" t="s">
        <v>46387</v>
      </c>
      <c r="S118" s="41" t="s">
        <v>46397</v>
      </c>
    </row>
    <row r="119" spans="1:19" x14ac:dyDescent="0.25">
      <c r="A119" s="41" t="s">
        <v>23</v>
      </c>
      <c r="B119" s="41" t="s">
        <v>47362</v>
      </c>
      <c r="D119" s="41" t="s">
        <v>461</v>
      </c>
      <c r="E119" s="41" t="s">
        <v>279</v>
      </c>
      <c r="F119" s="41" t="s">
        <v>747</v>
      </c>
      <c r="G119" s="41" t="s">
        <v>47363</v>
      </c>
      <c r="H119" s="41" t="s">
        <v>47364</v>
      </c>
      <c r="I119" s="41" t="s">
        <v>280</v>
      </c>
      <c r="J119" s="41" t="s">
        <v>47365</v>
      </c>
      <c r="K119" s="41" t="s">
        <v>47366</v>
      </c>
      <c r="L119" s="41" t="s">
        <v>47367</v>
      </c>
      <c r="M119" s="41" t="s">
        <v>47368</v>
      </c>
      <c r="N119" s="41" t="s">
        <v>47369</v>
      </c>
      <c r="Q119" s="41" t="s">
        <v>47370</v>
      </c>
      <c r="R119" s="41" t="s">
        <v>46387</v>
      </c>
      <c r="S119" s="41" t="s">
        <v>46397</v>
      </c>
    </row>
    <row r="120" spans="1:19" x14ac:dyDescent="0.25">
      <c r="A120" s="41" t="s">
        <v>23</v>
      </c>
      <c r="B120" s="41" t="s">
        <v>47371</v>
      </c>
      <c r="D120" s="41" t="s">
        <v>462</v>
      </c>
      <c r="E120" s="41" t="s">
        <v>281</v>
      </c>
      <c r="F120" s="41" t="s">
        <v>748</v>
      </c>
      <c r="G120" s="41" t="s">
        <v>47372</v>
      </c>
      <c r="H120" s="41" t="s">
        <v>47373</v>
      </c>
      <c r="I120" s="41" t="s">
        <v>282</v>
      </c>
      <c r="J120" s="41" t="s">
        <v>47374</v>
      </c>
      <c r="K120" s="41" t="s">
        <v>47375</v>
      </c>
      <c r="L120" s="41" t="s">
        <v>47376</v>
      </c>
      <c r="M120" s="41" t="s">
        <v>47377</v>
      </c>
      <c r="N120" s="41" t="s">
        <v>47378</v>
      </c>
      <c r="Q120" s="41" t="s">
        <v>47379</v>
      </c>
      <c r="R120" s="41" t="s">
        <v>46387</v>
      </c>
      <c r="S120" s="41" t="s">
        <v>46397</v>
      </c>
    </row>
    <row r="121" spans="1:19" x14ac:dyDescent="0.25">
      <c r="A121" s="41" t="s">
        <v>23</v>
      </c>
      <c r="B121" s="41" t="s">
        <v>47380</v>
      </c>
      <c r="D121" s="41" t="s">
        <v>463</v>
      </c>
      <c r="E121" s="41" t="s">
        <v>283</v>
      </c>
      <c r="F121" s="41" t="s">
        <v>749</v>
      </c>
      <c r="G121" s="41" t="s">
        <v>47381</v>
      </c>
      <c r="H121" s="41" t="s">
        <v>47382</v>
      </c>
      <c r="I121" s="41" t="s">
        <v>284</v>
      </c>
      <c r="J121" s="41" t="s">
        <v>47383</v>
      </c>
      <c r="K121" s="41" t="s">
        <v>47384</v>
      </c>
      <c r="L121" s="41" t="s">
        <v>47385</v>
      </c>
      <c r="M121" s="41" t="s">
        <v>47386</v>
      </c>
      <c r="N121" s="41" t="s">
        <v>47387</v>
      </c>
      <c r="Q121" s="41" t="s">
        <v>47388</v>
      </c>
      <c r="R121" s="41" t="s">
        <v>46387</v>
      </c>
      <c r="S121" s="41" t="s">
        <v>46397</v>
      </c>
    </row>
    <row r="122" spans="1:19" x14ac:dyDescent="0.25">
      <c r="A122" s="41" t="s">
        <v>23</v>
      </c>
      <c r="B122" s="41" t="s">
        <v>47389</v>
      </c>
      <c r="D122" s="41" t="s">
        <v>464</v>
      </c>
      <c r="E122" s="41" t="s">
        <v>285</v>
      </c>
      <c r="F122" s="41" t="s">
        <v>750</v>
      </c>
      <c r="G122" s="41" t="s">
        <v>47390</v>
      </c>
      <c r="H122" s="41" t="s">
        <v>47391</v>
      </c>
      <c r="I122" s="41" t="s">
        <v>286</v>
      </c>
      <c r="J122" s="41" t="s">
        <v>47392</v>
      </c>
      <c r="K122" s="41" t="s">
        <v>47393</v>
      </c>
      <c r="L122" s="41" t="s">
        <v>47394</v>
      </c>
      <c r="M122" s="41" t="s">
        <v>47395</v>
      </c>
      <c r="N122" s="41" t="s">
        <v>47396</v>
      </c>
      <c r="Q122" s="41" t="s">
        <v>47397</v>
      </c>
      <c r="R122" s="41" t="s">
        <v>46387</v>
      </c>
      <c r="S122" s="41" t="s">
        <v>46397</v>
      </c>
    </row>
    <row r="123" spans="1:19" x14ac:dyDescent="0.25">
      <c r="A123" s="41" t="s">
        <v>23</v>
      </c>
      <c r="B123" s="41" t="s">
        <v>47398</v>
      </c>
      <c r="D123" s="41" t="s">
        <v>465</v>
      </c>
      <c r="E123" s="41" t="s">
        <v>287</v>
      </c>
      <c r="F123" s="41" t="s">
        <v>755</v>
      </c>
      <c r="G123" s="41" t="s">
        <v>47399</v>
      </c>
      <c r="H123" s="41" t="s">
        <v>47400</v>
      </c>
      <c r="I123" s="41" t="s">
        <v>288</v>
      </c>
      <c r="J123" s="41" t="s">
        <v>47401</v>
      </c>
      <c r="K123" s="41" t="s">
        <v>47402</v>
      </c>
      <c r="L123" s="41" t="s">
        <v>47403</v>
      </c>
      <c r="M123" s="41" t="s">
        <v>47404</v>
      </c>
      <c r="N123" s="41" t="s">
        <v>47405</v>
      </c>
      <c r="Q123" s="41" t="s">
        <v>47406</v>
      </c>
      <c r="R123" s="41" t="s">
        <v>46387</v>
      </c>
      <c r="S123" s="41" t="s">
        <v>46397</v>
      </c>
    </row>
    <row r="124" spans="1:19" x14ac:dyDescent="0.25">
      <c r="A124" s="41" t="s">
        <v>23</v>
      </c>
      <c r="B124" s="41" t="s">
        <v>47407</v>
      </c>
      <c r="D124" s="41" t="s">
        <v>466</v>
      </c>
      <c r="E124" s="41" t="s">
        <v>289</v>
      </c>
      <c r="F124" s="41" t="s">
        <v>756</v>
      </c>
      <c r="G124" s="41" t="s">
        <v>47408</v>
      </c>
      <c r="H124" s="41" t="s">
        <v>47409</v>
      </c>
      <c r="I124" s="41" t="s">
        <v>290</v>
      </c>
      <c r="J124" s="41" t="s">
        <v>47410</v>
      </c>
      <c r="K124" s="41" t="s">
        <v>47411</v>
      </c>
      <c r="L124" s="41" t="s">
        <v>47412</v>
      </c>
      <c r="M124" s="41" t="s">
        <v>47413</v>
      </c>
      <c r="N124" s="41" t="s">
        <v>47414</v>
      </c>
      <c r="Q124" s="41" t="s">
        <v>47415</v>
      </c>
      <c r="R124" s="41" t="s">
        <v>46387</v>
      </c>
      <c r="S124" s="41" t="s">
        <v>46397</v>
      </c>
    </row>
    <row r="125" spans="1:19" x14ac:dyDescent="0.25">
      <c r="A125" s="41" t="s">
        <v>23</v>
      </c>
      <c r="B125" s="41" t="s">
        <v>47416</v>
      </c>
      <c r="D125" s="41" t="s">
        <v>467</v>
      </c>
      <c r="E125" s="41" t="s">
        <v>291</v>
      </c>
      <c r="F125" s="41" t="s">
        <v>757</v>
      </c>
      <c r="G125" s="41" t="s">
        <v>47417</v>
      </c>
      <c r="H125" s="41" t="s">
        <v>47418</v>
      </c>
      <c r="I125" s="41" t="s">
        <v>292</v>
      </c>
      <c r="J125" s="41" t="s">
        <v>47419</v>
      </c>
      <c r="K125" s="41" t="s">
        <v>47420</v>
      </c>
      <c r="L125" s="41" t="s">
        <v>47421</v>
      </c>
      <c r="M125" s="41" t="s">
        <v>47422</v>
      </c>
      <c r="N125" s="41" t="s">
        <v>47423</v>
      </c>
      <c r="Q125" s="41" t="s">
        <v>47424</v>
      </c>
      <c r="R125" s="41" t="s">
        <v>46387</v>
      </c>
      <c r="S125" s="41" t="s">
        <v>46397</v>
      </c>
    </row>
    <row r="126" spans="1:19" x14ac:dyDescent="0.25">
      <c r="A126" s="41" t="s">
        <v>23</v>
      </c>
      <c r="B126" s="41" t="s">
        <v>47425</v>
      </c>
      <c r="D126" s="41" t="s">
        <v>468</v>
      </c>
      <c r="E126" s="41" t="s">
        <v>293</v>
      </c>
      <c r="F126" s="41" t="s">
        <v>758</v>
      </c>
      <c r="G126" s="41" t="s">
        <v>47426</v>
      </c>
      <c r="H126" s="41" t="s">
        <v>47427</v>
      </c>
      <c r="I126" s="41" t="s">
        <v>294</v>
      </c>
      <c r="J126" s="41" t="s">
        <v>47428</v>
      </c>
      <c r="K126" s="41" t="s">
        <v>47429</v>
      </c>
      <c r="L126" s="41" t="s">
        <v>47430</v>
      </c>
      <c r="M126" s="41" t="s">
        <v>47431</v>
      </c>
      <c r="N126" s="41" t="s">
        <v>47432</v>
      </c>
      <c r="Q126" s="41" t="s">
        <v>47433</v>
      </c>
      <c r="R126" s="41" t="s">
        <v>46387</v>
      </c>
      <c r="S126" s="41" t="s">
        <v>46397</v>
      </c>
    </row>
    <row r="127" spans="1:19" x14ac:dyDescent="0.25">
      <c r="A127" s="41" t="s">
        <v>23</v>
      </c>
      <c r="B127" s="41" t="s">
        <v>47434</v>
      </c>
      <c r="D127" s="41" t="s">
        <v>469</v>
      </c>
      <c r="E127" s="41" t="s">
        <v>295</v>
      </c>
      <c r="F127" s="41" t="s">
        <v>759</v>
      </c>
      <c r="G127" s="41" t="s">
        <v>47435</v>
      </c>
      <c r="H127" s="41" t="s">
        <v>47436</v>
      </c>
      <c r="I127" s="41" t="s">
        <v>296</v>
      </c>
      <c r="J127" s="41" t="s">
        <v>47437</v>
      </c>
      <c r="K127" s="41" t="s">
        <v>47438</v>
      </c>
      <c r="L127" s="41" t="s">
        <v>47439</v>
      </c>
      <c r="M127" s="41" t="s">
        <v>47440</v>
      </c>
      <c r="N127" s="41" t="s">
        <v>47441</v>
      </c>
      <c r="Q127" s="41" t="s">
        <v>47442</v>
      </c>
      <c r="R127" s="41" t="s">
        <v>46387</v>
      </c>
      <c r="S127" s="41" t="s">
        <v>46397</v>
      </c>
    </row>
    <row r="128" spans="1:19" x14ac:dyDescent="0.25">
      <c r="A128" s="41" t="s">
        <v>23</v>
      </c>
      <c r="B128" s="41" t="s">
        <v>47443</v>
      </c>
      <c r="D128" s="41" t="s">
        <v>470</v>
      </c>
      <c r="E128" s="41" t="s">
        <v>297</v>
      </c>
      <c r="F128" s="41" t="s">
        <v>760</v>
      </c>
      <c r="G128" s="41" t="s">
        <v>47444</v>
      </c>
      <c r="H128" s="41" t="s">
        <v>47445</v>
      </c>
      <c r="I128" s="41" t="s">
        <v>298</v>
      </c>
      <c r="J128" s="41" t="s">
        <v>47446</v>
      </c>
      <c r="K128" s="41" t="s">
        <v>47447</v>
      </c>
      <c r="L128" s="41" t="s">
        <v>47448</v>
      </c>
      <c r="M128" s="41" t="s">
        <v>47449</v>
      </c>
      <c r="N128" s="41" t="s">
        <v>47450</v>
      </c>
      <c r="Q128" s="41" t="s">
        <v>47451</v>
      </c>
      <c r="R128" s="41" t="s">
        <v>46387</v>
      </c>
      <c r="S128" s="41" t="s">
        <v>46397</v>
      </c>
    </row>
    <row r="129" spans="1:19" x14ac:dyDescent="0.25">
      <c r="A129" s="41" t="s">
        <v>23</v>
      </c>
      <c r="B129" s="41" t="s">
        <v>47452</v>
      </c>
      <c r="D129" s="41" t="s">
        <v>471</v>
      </c>
      <c r="E129" s="41" t="s">
        <v>299</v>
      </c>
      <c r="F129" s="41" t="s">
        <v>761</v>
      </c>
      <c r="G129" s="41" t="s">
        <v>47453</v>
      </c>
      <c r="H129" s="41" t="s">
        <v>47454</v>
      </c>
      <c r="I129" s="41" t="s">
        <v>300</v>
      </c>
      <c r="J129" s="41" t="s">
        <v>47455</v>
      </c>
      <c r="K129" s="41" t="s">
        <v>47456</v>
      </c>
      <c r="L129" s="41" t="s">
        <v>47457</v>
      </c>
      <c r="M129" s="41" t="s">
        <v>47458</v>
      </c>
      <c r="N129" s="41" t="s">
        <v>47459</v>
      </c>
      <c r="Q129" s="41" t="s">
        <v>47460</v>
      </c>
      <c r="R129" s="41" t="s">
        <v>46387</v>
      </c>
      <c r="S129" s="41" t="s">
        <v>46397</v>
      </c>
    </row>
    <row r="130" spans="1:19" x14ac:dyDescent="0.25">
      <c r="A130" s="41" t="s">
        <v>23</v>
      </c>
      <c r="B130" s="41" t="s">
        <v>47461</v>
      </c>
      <c r="D130" s="41" t="s">
        <v>472</v>
      </c>
      <c r="E130" s="41" t="s">
        <v>301</v>
      </c>
      <c r="F130" s="41" t="s">
        <v>766</v>
      </c>
      <c r="G130" s="41" t="s">
        <v>47462</v>
      </c>
      <c r="H130" s="41" t="s">
        <v>47463</v>
      </c>
      <c r="I130" s="41" t="s">
        <v>302</v>
      </c>
      <c r="J130" s="41" t="s">
        <v>47464</v>
      </c>
      <c r="K130" s="41" t="s">
        <v>47465</v>
      </c>
      <c r="L130" s="41" t="s">
        <v>47466</v>
      </c>
      <c r="M130" s="41" t="s">
        <v>47467</v>
      </c>
      <c r="N130" s="41" t="s">
        <v>47468</v>
      </c>
      <c r="Q130" s="41" t="s">
        <v>47469</v>
      </c>
      <c r="R130" s="41" t="s">
        <v>46387</v>
      </c>
      <c r="S130" s="41" t="s">
        <v>46397</v>
      </c>
    </row>
    <row r="131" spans="1:19" x14ac:dyDescent="0.25">
      <c r="A131" s="41" t="s">
        <v>23</v>
      </c>
      <c r="B131" s="41" t="s">
        <v>47470</v>
      </c>
      <c r="D131" s="41" t="s">
        <v>473</v>
      </c>
      <c r="E131" s="41" t="s">
        <v>303</v>
      </c>
      <c r="F131" s="41" t="s">
        <v>767</v>
      </c>
      <c r="G131" s="41" t="s">
        <v>47471</v>
      </c>
      <c r="H131" s="41" t="s">
        <v>47472</v>
      </c>
      <c r="I131" s="41" t="s">
        <v>304</v>
      </c>
      <c r="J131" s="41" t="s">
        <v>47473</v>
      </c>
      <c r="K131" s="41" t="s">
        <v>47474</v>
      </c>
      <c r="L131" s="41" t="s">
        <v>47475</v>
      </c>
      <c r="M131" s="41" t="s">
        <v>47476</v>
      </c>
      <c r="N131" s="41" t="s">
        <v>47477</v>
      </c>
      <c r="Q131" s="41" t="s">
        <v>47478</v>
      </c>
      <c r="R131" s="41" t="s">
        <v>46387</v>
      </c>
      <c r="S131" s="41" t="s">
        <v>46397</v>
      </c>
    </row>
    <row r="132" spans="1:19" x14ac:dyDescent="0.25">
      <c r="A132" s="41" t="s">
        <v>23</v>
      </c>
      <c r="B132" s="41" t="s">
        <v>47479</v>
      </c>
      <c r="D132" s="41" t="s">
        <v>474</v>
      </c>
      <c r="E132" s="41" t="s">
        <v>305</v>
      </c>
      <c r="F132" s="41" t="s">
        <v>768</v>
      </c>
      <c r="G132" s="41" t="s">
        <v>47480</v>
      </c>
      <c r="H132" s="41" t="s">
        <v>47481</v>
      </c>
      <c r="I132" s="41" t="s">
        <v>306</v>
      </c>
      <c r="J132" s="41" t="s">
        <v>47482</v>
      </c>
      <c r="K132" s="41" t="s">
        <v>47483</v>
      </c>
      <c r="L132" s="41" t="s">
        <v>47484</v>
      </c>
      <c r="M132" s="41" t="s">
        <v>47485</v>
      </c>
      <c r="N132" s="41" t="s">
        <v>47486</v>
      </c>
      <c r="Q132" s="41" t="s">
        <v>47487</v>
      </c>
      <c r="R132" s="41" t="s">
        <v>46387</v>
      </c>
      <c r="S132" s="41" t="s">
        <v>46397</v>
      </c>
    </row>
    <row r="133" spans="1:19" x14ac:dyDescent="0.25">
      <c r="A133" s="41" t="s">
        <v>23</v>
      </c>
      <c r="B133" s="41" t="s">
        <v>47488</v>
      </c>
      <c r="D133" s="41" t="s">
        <v>475</v>
      </c>
      <c r="E133" s="41" t="s">
        <v>307</v>
      </c>
      <c r="F133" s="41" t="s">
        <v>769</v>
      </c>
      <c r="G133" s="41" t="s">
        <v>47489</v>
      </c>
      <c r="H133" s="41" t="s">
        <v>47490</v>
      </c>
      <c r="I133" s="41" t="s">
        <v>308</v>
      </c>
      <c r="J133" s="41" t="s">
        <v>47491</v>
      </c>
      <c r="K133" s="41" t="s">
        <v>47492</v>
      </c>
      <c r="L133" s="41" t="s">
        <v>47493</v>
      </c>
      <c r="M133" s="41" t="s">
        <v>47494</v>
      </c>
      <c r="N133" s="41" t="s">
        <v>47495</v>
      </c>
      <c r="Q133" s="41" t="s">
        <v>47496</v>
      </c>
      <c r="R133" s="41" t="s">
        <v>46387</v>
      </c>
      <c r="S133" s="41" t="s">
        <v>46397</v>
      </c>
    </row>
    <row r="134" spans="1:19" x14ac:dyDescent="0.25">
      <c r="A134" s="41" t="s">
        <v>23</v>
      </c>
      <c r="B134" s="41" t="s">
        <v>47497</v>
      </c>
      <c r="D134" s="41" t="s">
        <v>476</v>
      </c>
      <c r="E134" s="41" t="s">
        <v>309</v>
      </c>
      <c r="F134" s="41" t="s">
        <v>770</v>
      </c>
      <c r="G134" s="41" t="s">
        <v>47498</v>
      </c>
      <c r="H134" s="41" t="s">
        <v>47499</v>
      </c>
      <c r="I134" s="41" t="s">
        <v>310</v>
      </c>
      <c r="J134" s="41" t="s">
        <v>47500</v>
      </c>
      <c r="K134" s="41" t="s">
        <v>47501</v>
      </c>
      <c r="L134" s="41" t="s">
        <v>47502</v>
      </c>
      <c r="M134" s="41" t="s">
        <v>47503</v>
      </c>
      <c r="N134" s="41" t="s">
        <v>47504</v>
      </c>
      <c r="Q134" s="41" t="s">
        <v>47505</v>
      </c>
      <c r="R134" s="41" t="s">
        <v>46387</v>
      </c>
      <c r="S134" s="41" t="s">
        <v>46397</v>
      </c>
    </row>
    <row r="135" spans="1:19" x14ac:dyDescent="0.25">
      <c r="A135" s="41" t="s">
        <v>23</v>
      </c>
      <c r="B135" s="41" t="s">
        <v>47506</v>
      </c>
      <c r="D135" s="41" t="s">
        <v>477</v>
      </c>
      <c r="E135" s="41" t="s">
        <v>311</v>
      </c>
      <c r="F135" s="41" t="s">
        <v>771</v>
      </c>
      <c r="G135" s="41" t="s">
        <v>47507</v>
      </c>
      <c r="H135" s="41" t="s">
        <v>47508</v>
      </c>
      <c r="I135" s="41" t="s">
        <v>312</v>
      </c>
      <c r="J135" s="41" t="s">
        <v>47509</v>
      </c>
      <c r="K135" s="41" t="s">
        <v>47510</v>
      </c>
      <c r="L135" s="41" t="s">
        <v>47511</v>
      </c>
      <c r="M135" s="41" t="s">
        <v>47512</v>
      </c>
      <c r="N135" s="41" t="s">
        <v>47513</v>
      </c>
      <c r="Q135" s="41" t="s">
        <v>47514</v>
      </c>
      <c r="R135" s="41" t="s">
        <v>46387</v>
      </c>
      <c r="S135" s="41" t="s">
        <v>46397</v>
      </c>
    </row>
    <row r="136" spans="1:19" x14ac:dyDescent="0.25">
      <c r="A136" s="41" t="s">
        <v>23</v>
      </c>
      <c r="B136" s="41" t="s">
        <v>47515</v>
      </c>
      <c r="D136" s="41" t="s">
        <v>478</v>
      </c>
      <c r="E136" s="41" t="s">
        <v>313</v>
      </c>
      <c r="F136" s="41" t="s">
        <v>772</v>
      </c>
      <c r="G136" s="41" t="s">
        <v>47516</v>
      </c>
      <c r="H136" s="41" t="s">
        <v>47517</v>
      </c>
      <c r="I136" s="41" t="s">
        <v>314</v>
      </c>
      <c r="J136" s="41" t="s">
        <v>47518</v>
      </c>
      <c r="K136" s="41" t="s">
        <v>47519</v>
      </c>
      <c r="L136" s="41" t="s">
        <v>47520</v>
      </c>
      <c r="M136" s="41" t="s">
        <v>47521</v>
      </c>
      <c r="N136" s="41" t="s">
        <v>47522</v>
      </c>
      <c r="Q136" s="41" t="s">
        <v>47523</v>
      </c>
      <c r="R136" s="41" t="s">
        <v>46387</v>
      </c>
      <c r="S136" s="41" t="s">
        <v>46397</v>
      </c>
    </row>
    <row r="137" spans="1:19" x14ac:dyDescent="0.25">
      <c r="A137" s="41" t="s">
        <v>23</v>
      </c>
      <c r="B137" s="41" t="s">
        <v>47524</v>
      </c>
      <c r="D137" s="41" t="s">
        <v>479</v>
      </c>
      <c r="E137" s="41" t="s">
        <v>315</v>
      </c>
      <c r="F137" s="41" t="s">
        <v>777</v>
      </c>
      <c r="G137" s="41" t="s">
        <v>47525</v>
      </c>
      <c r="H137" s="41" t="s">
        <v>47526</v>
      </c>
      <c r="I137" s="41" t="s">
        <v>316</v>
      </c>
      <c r="J137" s="41" t="s">
        <v>47527</v>
      </c>
      <c r="K137" s="41" t="s">
        <v>47528</v>
      </c>
      <c r="L137" s="41" t="s">
        <v>47529</v>
      </c>
      <c r="M137" s="41" t="s">
        <v>47530</v>
      </c>
      <c r="N137" s="41" t="s">
        <v>47531</v>
      </c>
      <c r="Q137" s="41" t="s">
        <v>47532</v>
      </c>
      <c r="R137" s="41" t="s">
        <v>46387</v>
      </c>
      <c r="S137" s="41" t="s">
        <v>46397</v>
      </c>
    </row>
    <row r="138" spans="1:19" x14ac:dyDescent="0.25">
      <c r="A138" s="41" t="s">
        <v>23</v>
      </c>
      <c r="B138" s="41" t="s">
        <v>47533</v>
      </c>
      <c r="D138" s="41" t="s">
        <v>480</v>
      </c>
      <c r="E138" s="41" t="s">
        <v>317</v>
      </c>
      <c r="F138" s="41" t="s">
        <v>778</v>
      </c>
      <c r="G138" s="41" t="s">
        <v>47534</v>
      </c>
      <c r="H138" s="41" t="s">
        <v>47535</v>
      </c>
      <c r="I138" s="41" t="s">
        <v>318</v>
      </c>
      <c r="J138" s="41" t="s">
        <v>47536</v>
      </c>
      <c r="K138" s="41" t="s">
        <v>47537</v>
      </c>
      <c r="L138" s="41" t="s">
        <v>47538</v>
      </c>
      <c r="M138" s="41" t="s">
        <v>47539</v>
      </c>
      <c r="N138" s="41" t="s">
        <v>47540</v>
      </c>
      <c r="Q138" s="41" t="s">
        <v>47541</v>
      </c>
      <c r="R138" s="41" t="s">
        <v>46387</v>
      </c>
      <c r="S138" s="41" t="s">
        <v>46397</v>
      </c>
    </row>
    <row r="139" spans="1:19" x14ac:dyDescent="0.25">
      <c r="A139" s="41" t="s">
        <v>23</v>
      </c>
      <c r="B139" s="41" t="s">
        <v>47542</v>
      </c>
      <c r="D139" s="41" t="s">
        <v>481</v>
      </c>
      <c r="E139" s="41" t="s">
        <v>319</v>
      </c>
      <c r="F139" s="41" t="s">
        <v>779</v>
      </c>
      <c r="G139" s="41" t="s">
        <v>47543</v>
      </c>
      <c r="H139" s="41" t="s">
        <v>47544</v>
      </c>
      <c r="I139" s="41" t="s">
        <v>320</v>
      </c>
      <c r="J139" s="41" t="s">
        <v>47545</v>
      </c>
      <c r="K139" s="41" t="s">
        <v>47546</v>
      </c>
      <c r="L139" s="41" t="s">
        <v>47547</v>
      </c>
      <c r="M139" s="41" t="s">
        <v>47548</v>
      </c>
      <c r="N139" s="41" t="s">
        <v>47549</v>
      </c>
      <c r="Q139" s="41" t="s">
        <v>47550</v>
      </c>
      <c r="R139" s="41" t="s">
        <v>46387</v>
      </c>
      <c r="S139" s="41" t="s">
        <v>46397</v>
      </c>
    </row>
    <row r="140" spans="1:19" x14ac:dyDescent="0.25">
      <c r="A140" s="41" t="s">
        <v>23</v>
      </c>
      <c r="B140" s="41" t="s">
        <v>47551</v>
      </c>
      <c r="D140" s="41" t="s">
        <v>482</v>
      </c>
      <c r="E140" s="41" t="s">
        <v>321</v>
      </c>
      <c r="F140" s="41" t="s">
        <v>780</v>
      </c>
      <c r="G140" s="41" t="s">
        <v>47552</v>
      </c>
      <c r="H140" s="41" t="s">
        <v>47553</v>
      </c>
      <c r="I140" s="41" t="s">
        <v>322</v>
      </c>
      <c r="J140" s="41" t="s">
        <v>47554</v>
      </c>
      <c r="K140" s="41" t="s">
        <v>47555</v>
      </c>
      <c r="L140" s="41" t="s">
        <v>47556</v>
      </c>
      <c r="M140" s="41" t="s">
        <v>47557</v>
      </c>
      <c r="N140" s="41" t="s">
        <v>47558</v>
      </c>
      <c r="Q140" s="41" t="s">
        <v>47559</v>
      </c>
      <c r="R140" s="41" t="s">
        <v>46387</v>
      </c>
      <c r="S140" s="41" t="s">
        <v>46397</v>
      </c>
    </row>
    <row r="141" spans="1:19" x14ac:dyDescent="0.25">
      <c r="A141" s="41" t="s">
        <v>23</v>
      </c>
      <c r="B141" s="41" t="s">
        <v>47560</v>
      </c>
      <c r="D141" s="41" t="s">
        <v>483</v>
      </c>
      <c r="E141" s="41" t="s">
        <v>323</v>
      </c>
      <c r="F141" s="41" t="s">
        <v>781</v>
      </c>
      <c r="G141" s="41" t="s">
        <v>47561</v>
      </c>
      <c r="H141" s="41" t="s">
        <v>47562</v>
      </c>
      <c r="I141" s="41" t="s">
        <v>324</v>
      </c>
      <c r="J141" s="41" t="s">
        <v>47563</v>
      </c>
      <c r="K141" s="41" t="s">
        <v>47564</v>
      </c>
      <c r="L141" s="41" t="s">
        <v>47565</v>
      </c>
      <c r="M141" s="41" t="s">
        <v>47566</v>
      </c>
      <c r="N141" s="41" t="s">
        <v>47567</v>
      </c>
      <c r="Q141" s="41" t="s">
        <v>47568</v>
      </c>
      <c r="R141" s="41" t="s">
        <v>46387</v>
      </c>
      <c r="S141" s="41" t="s">
        <v>46397</v>
      </c>
    </row>
    <row r="142" spans="1:19" x14ac:dyDescent="0.25">
      <c r="A142" s="41" t="s">
        <v>23</v>
      </c>
      <c r="B142" s="41" t="s">
        <v>47569</v>
      </c>
      <c r="D142" s="41" t="s">
        <v>484</v>
      </c>
      <c r="E142" s="41" t="s">
        <v>325</v>
      </c>
      <c r="F142" s="41" t="s">
        <v>782</v>
      </c>
      <c r="G142" s="41" t="s">
        <v>47570</v>
      </c>
      <c r="H142" s="41" t="s">
        <v>47571</v>
      </c>
      <c r="I142" s="41" t="s">
        <v>326</v>
      </c>
      <c r="J142" s="41" t="s">
        <v>47572</v>
      </c>
      <c r="K142" s="41" t="s">
        <v>47573</v>
      </c>
      <c r="L142" s="41" t="s">
        <v>47574</v>
      </c>
      <c r="M142" s="41" t="s">
        <v>47575</v>
      </c>
      <c r="N142" s="41" t="s">
        <v>47576</v>
      </c>
      <c r="Q142" s="41" t="s">
        <v>47577</v>
      </c>
      <c r="R142" s="41" t="s">
        <v>46387</v>
      </c>
      <c r="S142" s="41" t="s">
        <v>46397</v>
      </c>
    </row>
    <row r="143" spans="1:19" x14ac:dyDescent="0.25">
      <c r="A143" s="41" t="s">
        <v>23</v>
      </c>
      <c r="B143" s="41" t="s">
        <v>47578</v>
      </c>
      <c r="D143" s="41" t="s">
        <v>485</v>
      </c>
      <c r="E143" s="41" t="s">
        <v>327</v>
      </c>
      <c r="F143" s="41" t="s">
        <v>783</v>
      </c>
      <c r="G143" s="41" t="s">
        <v>47579</v>
      </c>
      <c r="H143" s="41" t="s">
        <v>47580</v>
      </c>
      <c r="I143" s="41" t="s">
        <v>328</v>
      </c>
      <c r="J143" s="41" t="s">
        <v>47581</v>
      </c>
      <c r="K143" s="41" t="s">
        <v>47582</v>
      </c>
      <c r="L143" s="41" t="s">
        <v>47583</v>
      </c>
      <c r="M143" s="41" t="s">
        <v>47584</v>
      </c>
      <c r="N143" s="41" t="s">
        <v>47585</v>
      </c>
      <c r="Q143" s="41" t="s">
        <v>47586</v>
      </c>
      <c r="R143" s="41" t="s">
        <v>46387</v>
      </c>
      <c r="S143" s="41" t="s">
        <v>46397</v>
      </c>
    </row>
    <row r="144" spans="1:19" x14ac:dyDescent="0.25">
      <c r="A144" s="41" t="s">
        <v>23</v>
      </c>
      <c r="B144" s="41" t="s">
        <v>47587</v>
      </c>
      <c r="D144" s="41" t="s">
        <v>486</v>
      </c>
      <c r="E144" s="41" t="s">
        <v>329</v>
      </c>
      <c r="F144" s="41" t="s">
        <v>788</v>
      </c>
      <c r="G144" s="41" t="s">
        <v>47588</v>
      </c>
      <c r="H144" s="41" t="s">
        <v>47589</v>
      </c>
      <c r="I144" s="41" t="s">
        <v>330</v>
      </c>
      <c r="J144" s="41" t="s">
        <v>47590</v>
      </c>
      <c r="K144" s="41" t="s">
        <v>47591</v>
      </c>
      <c r="L144" s="41" t="s">
        <v>47592</v>
      </c>
      <c r="M144" s="41" t="s">
        <v>47593</v>
      </c>
      <c r="N144" s="41" t="s">
        <v>47594</v>
      </c>
      <c r="Q144" s="41" t="s">
        <v>47595</v>
      </c>
      <c r="R144" s="41" t="s">
        <v>46387</v>
      </c>
      <c r="S144" s="41" t="s">
        <v>46397</v>
      </c>
    </row>
    <row r="145" spans="1:19" x14ac:dyDescent="0.25">
      <c r="A145" s="41" t="s">
        <v>23</v>
      </c>
      <c r="B145" s="41" t="s">
        <v>47596</v>
      </c>
      <c r="D145" s="41" t="s">
        <v>487</v>
      </c>
      <c r="E145" s="41" t="s">
        <v>331</v>
      </c>
      <c r="F145" s="41" t="s">
        <v>789</v>
      </c>
      <c r="G145" s="41" t="s">
        <v>47597</v>
      </c>
      <c r="H145" s="41" t="s">
        <v>47598</v>
      </c>
      <c r="I145" s="41" t="s">
        <v>332</v>
      </c>
      <c r="J145" s="41" t="s">
        <v>47599</v>
      </c>
      <c r="K145" s="41" t="s">
        <v>47600</v>
      </c>
      <c r="L145" s="41" t="s">
        <v>47601</v>
      </c>
      <c r="M145" s="41" t="s">
        <v>47602</v>
      </c>
      <c r="N145" s="41" t="s">
        <v>47603</v>
      </c>
      <c r="Q145" s="41" t="s">
        <v>47604</v>
      </c>
      <c r="R145" s="41" t="s">
        <v>46387</v>
      </c>
      <c r="S145" s="41" t="s">
        <v>46397</v>
      </c>
    </row>
    <row r="146" spans="1:19" x14ac:dyDescent="0.25">
      <c r="A146" s="41" t="s">
        <v>23</v>
      </c>
      <c r="B146" s="41" t="s">
        <v>47605</v>
      </c>
      <c r="D146" s="41" t="s">
        <v>488</v>
      </c>
      <c r="E146" s="41" t="s">
        <v>333</v>
      </c>
      <c r="F146" s="41" t="s">
        <v>790</v>
      </c>
      <c r="G146" s="41" t="s">
        <v>47606</v>
      </c>
      <c r="H146" s="41" t="s">
        <v>47607</v>
      </c>
      <c r="I146" s="41" t="s">
        <v>334</v>
      </c>
      <c r="J146" s="41" t="s">
        <v>47608</v>
      </c>
      <c r="K146" s="41" t="s">
        <v>47609</v>
      </c>
      <c r="L146" s="41" t="s">
        <v>47610</v>
      </c>
      <c r="M146" s="41" t="s">
        <v>47611</v>
      </c>
      <c r="N146" s="41" t="s">
        <v>47612</v>
      </c>
      <c r="Q146" s="41" t="s">
        <v>47613</v>
      </c>
      <c r="R146" s="41" t="s">
        <v>46387</v>
      </c>
      <c r="S146" s="41" t="s">
        <v>46397</v>
      </c>
    </row>
    <row r="147" spans="1:19" x14ac:dyDescent="0.25">
      <c r="A147" s="41" t="s">
        <v>23</v>
      </c>
      <c r="B147" s="41" t="s">
        <v>47614</v>
      </c>
      <c r="D147" s="41" t="s">
        <v>489</v>
      </c>
      <c r="E147" s="41" t="s">
        <v>335</v>
      </c>
      <c r="F147" s="41" t="s">
        <v>791</v>
      </c>
      <c r="G147" s="41" t="s">
        <v>47615</v>
      </c>
      <c r="H147" s="41" t="s">
        <v>47616</v>
      </c>
      <c r="I147" s="41" t="s">
        <v>336</v>
      </c>
      <c r="J147" s="41" t="s">
        <v>47617</v>
      </c>
      <c r="K147" s="41" t="s">
        <v>47618</v>
      </c>
      <c r="L147" s="41" t="s">
        <v>47619</v>
      </c>
      <c r="M147" s="41" t="s">
        <v>47620</v>
      </c>
      <c r="N147" s="41" t="s">
        <v>47621</v>
      </c>
      <c r="Q147" s="41" t="s">
        <v>47622</v>
      </c>
      <c r="R147" s="41" t="s">
        <v>46387</v>
      </c>
      <c r="S147" s="41" t="s">
        <v>46397</v>
      </c>
    </row>
    <row r="148" spans="1:19" x14ac:dyDescent="0.25">
      <c r="A148" s="41" t="s">
        <v>23</v>
      </c>
      <c r="B148" s="41" t="s">
        <v>47623</v>
      </c>
      <c r="D148" s="41" t="s">
        <v>490</v>
      </c>
      <c r="E148" s="41" t="s">
        <v>337</v>
      </c>
      <c r="F148" s="41" t="s">
        <v>792</v>
      </c>
      <c r="G148" s="41" t="s">
        <v>47624</v>
      </c>
      <c r="H148" s="41" t="s">
        <v>47625</v>
      </c>
      <c r="I148" s="41" t="s">
        <v>338</v>
      </c>
      <c r="J148" s="41" t="s">
        <v>47626</v>
      </c>
      <c r="K148" s="41" t="s">
        <v>47627</v>
      </c>
      <c r="L148" s="41" t="s">
        <v>47628</v>
      </c>
      <c r="M148" s="41" t="s">
        <v>47629</v>
      </c>
      <c r="N148" s="41" t="s">
        <v>47630</v>
      </c>
      <c r="Q148" s="41" t="s">
        <v>47631</v>
      </c>
      <c r="R148" s="41" t="s">
        <v>46387</v>
      </c>
      <c r="S148" s="41" t="s">
        <v>46397</v>
      </c>
    </row>
    <row r="149" spans="1:19" x14ac:dyDescent="0.25">
      <c r="A149" s="41" t="s">
        <v>23</v>
      </c>
      <c r="B149" s="41" t="s">
        <v>47632</v>
      </c>
      <c r="D149" s="41" t="s">
        <v>491</v>
      </c>
      <c r="E149" s="41" t="s">
        <v>339</v>
      </c>
      <c r="F149" s="41" t="s">
        <v>793</v>
      </c>
      <c r="G149" s="41" t="s">
        <v>47633</v>
      </c>
      <c r="H149" s="41" t="s">
        <v>47634</v>
      </c>
      <c r="I149" s="41" t="s">
        <v>340</v>
      </c>
      <c r="J149" s="41" t="s">
        <v>47635</v>
      </c>
      <c r="K149" s="41" t="s">
        <v>47636</v>
      </c>
      <c r="L149" s="41" t="s">
        <v>47637</v>
      </c>
      <c r="M149" s="41" t="s">
        <v>47638</v>
      </c>
      <c r="N149" s="41" t="s">
        <v>47639</v>
      </c>
      <c r="Q149" s="41" t="s">
        <v>47640</v>
      </c>
      <c r="R149" s="41" t="s">
        <v>46387</v>
      </c>
      <c r="S149" s="41" t="s">
        <v>46397</v>
      </c>
    </row>
    <row r="150" spans="1:19" x14ac:dyDescent="0.25">
      <c r="A150" s="41" t="s">
        <v>23</v>
      </c>
      <c r="B150" s="41" t="s">
        <v>47641</v>
      </c>
      <c r="D150" s="41" t="s">
        <v>492</v>
      </c>
      <c r="E150" s="41" t="s">
        <v>341</v>
      </c>
      <c r="F150" s="41" t="s">
        <v>794</v>
      </c>
      <c r="G150" s="41" t="s">
        <v>47642</v>
      </c>
      <c r="H150" s="41" t="s">
        <v>47643</v>
      </c>
      <c r="I150" s="41" t="s">
        <v>342</v>
      </c>
      <c r="J150" s="41" t="s">
        <v>47644</v>
      </c>
      <c r="K150" s="41" t="s">
        <v>47645</v>
      </c>
      <c r="L150" s="41" t="s">
        <v>47646</v>
      </c>
      <c r="M150" s="41" t="s">
        <v>47647</v>
      </c>
      <c r="N150" s="41" t="s">
        <v>47648</v>
      </c>
      <c r="Q150" s="41" t="s">
        <v>47649</v>
      </c>
      <c r="R150" s="41" t="s">
        <v>46387</v>
      </c>
      <c r="S150" s="41" t="s">
        <v>46397</v>
      </c>
    </row>
    <row r="151" spans="1:19" x14ac:dyDescent="0.25">
      <c r="A151" s="41" t="s">
        <v>23</v>
      </c>
      <c r="B151" s="41" t="s">
        <v>47650</v>
      </c>
      <c r="D151" s="41" t="s">
        <v>493</v>
      </c>
      <c r="E151" s="41" t="s">
        <v>343</v>
      </c>
      <c r="F151" s="41" t="s">
        <v>799</v>
      </c>
      <c r="G151" s="41" t="s">
        <v>47651</v>
      </c>
      <c r="H151" s="41" t="s">
        <v>47652</v>
      </c>
      <c r="I151" s="41" t="s">
        <v>344</v>
      </c>
      <c r="J151" s="41" t="s">
        <v>47653</v>
      </c>
      <c r="K151" s="41" t="s">
        <v>47654</v>
      </c>
      <c r="L151" s="41" t="s">
        <v>47655</v>
      </c>
      <c r="M151" s="41" t="s">
        <v>47656</v>
      </c>
      <c r="N151" s="41" t="s">
        <v>47657</v>
      </c>
      <c r="Q151" s="41" t="s">
        <v>47658</v>
      </c>
      <c r="R151" s="41" t="s">
        <v>46387</v>
      </c>
      <c r="S151" s="41" t="s">
        <v>46397</v>
      </c>
    </row>
    <row r="152" spans="1:19" x14ac:dyDescent="0.25">
      <c r="A152" s="41" t="s">
        <v>23</v>
      </c>
      <c r="B152" s="41" t="s">
        <v>47659</v>
      </c>
      <c r="D152" s="41" t="s">
        <v>494</v>
      </c>
      <c r="E152" s="41" t="s">
        <v>345</v>
      </c>
      <c r="F152" s="41" t="s">
        <v>800</v>
      </c>
      <c r="G152" s="41" t="s">
        <v>47660</v>
      </c>
      <c r="H152" s="41" t="s">
        <v>47661</v>
      </c>
      <c r="I152" s="41" t="s">
        <v>346</v>
      </c>
      <c r="J152" s="41" t="s">
        <v>47662</v>
      </c>
      <c r="K152" s="41" t="s">
        <v>47663</v>
      </c>
      <c r="L152" s="41" t="s">
        <v>47664</v>
      </c>
      <c r="M152" s="41" t="s">
        <v>47665</v>
      </c>
      <c r="N152" s="41" t="s">
        <v>47666</v>
      </c>
      <c r="Q152" s="41" t="s">
        <v>47667</v>
      </c>
      <c r="R152" s="41" t="s">
        <v>46387</v>
      </c>
      <c r="S152" s="41" t="s">
        <v>46397</v>
      </c>
    </row>
    <row r="153" spans="1:19" x14ac:dyDescent="0.25">
      <c r="A153" s="41" t="s">
        <v>23</v>
      </c>
      <c r="B153" s="41" t="s">
        <v>47668</v>
      </c>
      <c r="D153" s="41" t="s">
        <v>495</v>
      </c>
      <c r="E153" s="41" t="s">
        <v>347</v>
      </c>
      <c r="F153" s="41" t="s">
        <v>801</v>
      </c>
      <c r="G153" s="41" t="s">
        <v>47669</v>
      </c>
      <c r="H153" s="41" t="s">
        <v>47670</v>
      </c>
      <c r="I153" s="41" t="s">
        <v>348</v>
      </c>
      <c r="J153" s="41" t="s">
        <v>47671</v>
      </c>
      <c r="K153" s="41" t="s">
        <v>47672</v>
      </c>
      <c r="L153" s="41" t="s">
        <v>47673</v>
      </c>
      <c r="M153" s="41" t="s">
        <v>47674</v>
      </c>
      <c r="N153" s="41" t="s">
        <v>47675</v>
      </c>
      <c r="Q153" s="41" t="s">
        <v>47676</v>
      </c>
      <c r="R153" s="41" t="s">
        <v>46387</v>
      </c>
      <c r="S153" s="41" t="s">
        <v>46397</v>
      </c>
    </row>
    <row r="154" spans="1:19" x14ac:dyDescent="0.25">
      <c r="A154" s="41" t="s">
        <v>23</v>
      </c>
      <c r="B154" s="41" t="s">
        <v>47677</v>
      </c>
      <c r="D154" s="41" t="s">
        <v>865</v>
      </c>
      <c r="E154" s="41" t="s">
        <v>349</v>
      </c>
      <c r="F154" s="41" t="s">
        <v>802</v>
      </c>
      <c r="G154" s="41" t="s">
        <v>47678</v>
      </c>
      <c r="H154" s="41" t="s">
        <v>47679</v>
      </c>
      <c r="I154" s="41" t="s">
        <v>350</v>
      </c>
      <c r="J154" s="41" t="s">
        <v>47680</v>
      </c>
      <c r="K154" s="41" t="s">
        <v>47681</v>
      </c>
      <c r="L154" s="41" t="s">
        <v>47682</v>
      </c>
      <c r="M154" s="41" t="s">
        <v>47683</v>
      </c>
      <c r="N154" s="41" t="s">
        <v>47684</v>
      </c>
      <c r="Q154" s="41" t="s">
        <v>47685</v>
      </c>
      <c r="R154" s="41" t="s">
        <v>46387</v>
      </c>
      <c r="S154" s="41" t="s">
        <v>46397</v>
      </c>
    </row>
    <row r="155" spans="1:19" x14ac:dyDescent="0.25">
      <c r="A155" s="41" t="s">
        <v>23</v>
      </c>
      <c r="B155" s="41" t="s">
        <v>47686</v>
      </c>
      <c r="D155" s="41" t="s">
        <v>866</v>
      </c>
      <c r="E155" s="41" t="s">
        <v>351</v>
      </c>
      <c r="F155" s="41" t="s">
        <v>803</v>
      </c>
      <c r="G155" s="41" t="s">
        <v>47687</v>
      </c>
      <c r="H155" s="41" t="s">
        <v>47688</v>
      </c>
      <c r="I155" s="41" t="s">
        <v>352</v>
      </c>
      <c r="J155" s="41" t="s">
        <v>47689</v>
      </c>
      <c r="K155" s="41" t="s">
        <v>47690</v>
      </c>
      <c r="L155" s="41" t="s">
        <v>47691</v>
      </c>
      <c r="M155" s="41" t="s">
        <v>47692</v>
      </c>
      <c r="N155" s="41" t="s">
        <v>47693</v>
      </c>
      <c r="Q155" s="41" t="s">
        <v>47694</v>
      </c>
      <c r="R155" s="41" t="s">
        <v>46387</v>
      </c>
      <c r="S155" s="41" t="s">
        <v>46397</v>
      </c>
    </row>
    <row r="156" spans="1:19" x14ac:dyDescent="0.25">
      <c r="A156" s="41" t="s">
        <v>23</v>
      </c>
      <c r="B156" s="41" t="s">
        <v>47695</v>
      </c>
      <c r="D156" s="41" t="s">
        <v>496</v>
      </c>
      <c r="E156" s="41" t="s">
        <v>353</v>
      </c>
      <c r="F156" s="41" t="s">
        <v>804</v>
      </c>
      <c r="G156" s="41" t="s">
        <v>47696</v>
      </c>
      <c r="H156" s="41" t="s">
        <v>47697</v>
      </c>
      <c r="I156" s="41" t="s">
        <v>354</v>
      </c>
      <c r="J156" s="41" t="s">
        <v>47698</v>
      </c>
      <c r="K156" s="41" t="s">
        <v>47699</v>
      </c>
      <c r="L156" s="41" t="s">
        <v>47700</v>
      </c>
      <c r="M156" s="41" t="s">
        <v>47701</v>
      </c>
      <c r="N156" s="41" t="s">
        <v>47702</v>
      </c>
      <c r="Q156" s="41" t="s">
        <v>47703</v>
      </c>
      <c r="R156" s="41" t="s">
        <v>46387</v>
      </c>
      <c r="S156" s="41" t="s">
        <v>46397</v>
      </c>
    </row>
    <row r="157" spans="1:19" x14ac:dyDescent="0.25">
      <c r="A157" s="41" t="s">
        <v>23</v>
      </c>
      <c r="B157" s="41" t="s">
        <v>47704</v>
      </c>
      <c r="D157" s="41" t="s">
        <v>876</v>
      </c>
      <c r="E157" s="41" t="s">
        <v>355</v>
      </c>
      <c r="F157" s="41" t="s">
        <v>805</v>
      </c>
      <c r="G157" s="41" t="s">
        <v>47705</v>
      </c>
      <c r="H157" s="41" t="s">
        <v>47706</v>
      </c>
      <c r="I157" s="41" t="s">
        <v>356</v>
      </c>
      <c r="J157" s="41" t="s">
        <v>47707</v>
      </c>
      <c r="K157" s="41" t="s">
        <v>47708</v>
      </c>
      <c r="L157" s="41" t="s">
        <v>47709</v>
      </c>
      <c r="M157" s="41" t="s">
        <v>47710</v>
      </c>
      <c r="N157" s="41" t="s">
        <v>47711</v>
      </c>
      <c r="Q157" s="41" t="s">
        <v>47712</v>
      </c>
      <c r="R157" s="41" t="s">
        <v>46387</v>
      </c>
      <c r="S157" s="41" t="s">
        <v>46397</v>
      </c>
    </row>
    <row r="158" spans="1:19" x14ac:dyDescent="0.25">
      <c r="A158" s="41" t="s">
        <v>23</v>
      </c>
      <c r="B158" s="41" t="s">
        <v>47713</v>
      </c>
      <c r="D158" s="41" t="s">
        <v>877</v>
      </c>
      <c r="E158" s="41" t="s">
        <v>357</v>
      </c>
      <c r="F158" s="41" t="s">
        <v>810</v>
      </c>
      <c r="G158" s="41" t="s">
        <v>47714</v>
      </c>
      <c r="H158" s="41" t="s">
        <v>47715</v>
      </c>
      <c r="I158" s="41" t="s">
        <v>358</v>
      </c>
      <c r="J158" s="41" t="s">
        <v>47716</v>
      </c>
      <c r="K158" s="41" t="s">
        <v>47717</v>
      </c>
      <c r="L158" s="41" t="s">
        <v>47718</v>
      </c>
      <c r="M158" s="41" t="s">
        <v>47719</v>
      </c>
      <c r="N158" s="41" t="s">
        <v>47720</v>
      </c>
      <c r="Q158" s="41" t="s">
        <v>47721</v>
      </c>
      <c r="R158" s="41" t="s">
        <v>46387</v>
      </c>
      <c r="S158" s="41" t="s">
        <v>46397</v>
      </c>
    </row>
    <row r="159" spans="1:19" x14ac:dyDescent="0.25">
      <c r="A159" s="41" t="s">
        <v>23</v>
      </c>
      <c r="B159" s="41" t="s">
        <v>47722</v>
      </c>
      <c r="D159" s="41" t="s">
        <v>878</v>
      </c>
      <c r="E159" s="41" t="s">
        <v>359</v>
      </c>
      <c r="F159" s="41" t="s">
        <v>811</v>
      </c>
      <c r="G159" s="41" t="s">
        <v>47723</v>
      </c>
      <c r="H159" s="41" t="s">
        <v>47724</v>
      </c>
      <c r="I159" s="41" t="s">
        <v>360</v>
      </c>
      <c r="J159" s="41" t="s">
        <v>47725</v>
      </c>
      <c r="K159" s="41" t="s">
        <v>47726</v>
      </c>
      <c r="L159" s="41" t="s">
        <v>47727</v>
      </c>
      <c r="M159" s="41" t="s">
        <v>47728</v>
      </c>
      <c r="N159" s="41" t="s">
        <v>47729</v>
      </c>
      <c r="Q159" s="41" t="s">
        <v>47730</v>
      </c>
      <c r="R159" s="41" t="s">
        <v>46387</v>
      </c>
      <c r="S159" s="41" t="s">
        <v>46397</v>
      </c>
    </row>
    <row r="160" spans="1:19" x14ac:dyDescent="0.25">
      <c r="A160" s="41" t="s">
        <v>23</v>
      </c>
      <c r="B160" s="41" t="s">
        <v>47731</v>
      </c>
      <c r="D160" s="41" t="s">
        <v>879</v>
      </c>
      <c r="E160" s="41" t="s">
        <v>361</v>
      </c>
      <c r="F160" s="41" t="s">
        <v>812</v>
      </c>
      <c r="G160" s="41" t="s">
        <v>47732</v>
      </c>
      <c r="H160" s="41" t="s">
        <v>47733</v>
      </c>
      <c r="I160" s="41" t="s">
        <v>362</v>
      </c>
      <c r="J160" s="41" t="s">
        <v>47734</v>
      </c>
      <c r="K160" s="41" t="s">
        <v>47735</v>
      </c>
      <c r="L160" s="41" t="s">
        <v>47736</v>
      </c>
      <c r="M160" s="41" t="s">
        <v>47737</v>
      </c>
      <c r="N160" s="41" t="s">
        <v>47738</v>
      </c>
      <c r="Q160" s="41" t="s">
        <v>47739</v>
      </c>
      <c r="R160" s="41" t="s">
        <v>46387</v>
      </c>
      <c r="S160" s="41" t="s">
        <v>46397</v>
      </c>
    </row>
    <row r="161" spans="1:19" x14ac:dyDescent="0.25">
      <c r="A161" s="41" t="s">
        <v>23</v>
      </c>
      <c r="B161" s="41" t="s">
        <v>47740</v>
      </c>
      <c r="D161" s="41" t="s">
        <v>880</v>
      </c>
      <c r="E161" s="41" t="s">
        <v>363</v>
      </c>
      <c r="F161" s="41" t="s">
        <v>813</v>
      </c>
      <c r="G161" s="41" t="s">
        <v>47741</v>
      </c>
      <c r="H161" s="41" t="s">
        <v>47742</v>
      </c>
      <c r="I161" s="41" t="s">
        <v>364</v>
      </c>
      <c r="J161" s="41" t="s">
        <v>47743</v>
      </c>
      <c r="K161" s="41" t="s">
        <v>47744</v>
      </c>
      <c r="L161" s="41" t="s">
        <v>47745</v>
      </c>
      <c r="M161" s="41" t="s">
        <v>47746</v>
      </c>
      <c r="N161" s="41" t="s">
        <v>47747</v>
      </c>
      <c r="Q161" s="41" t="s">
        <v>47748</v>
      </c>
      <c r="R161" s="41" t="s">
        <v>46387</v>
      </c>
      <c r="S161" s="41" t="s">
        <v>46397</v>
      </c>
    </row>
    <row r="162" spans="1:19" x14ac:dyDescent="0.25">
      <c r="A162" s="41" t="s">
        <v>23</v>
      </c>
      <c r="B162" s="41" t="s">
        <v>47749</v>
      </c>
      <c r="D162" s="41" t="s">
        <v>497</v>
      </c>
      <c r="E162" s="41" t="s">
        <v>365</v>
      </c>
      <c r="F162" s="41" t="s">
        <v>814</v>
      </c>
      <c r="G162" s="41" t="s">
        <v>47750</v>
      </c>
      <c r="H162" s="41" t="s">
        <v>47751</v>
      </c>
      <c r="I162" s="41" t="s">
        <v>366</v>
      </c>
      <c r="J162" s="41" t="s">
        <v>47752</v>
      </c>
      <c r="K162" s="41" t="s">
        <v>47753</v>
      </c>
      <c r="L162" s="41" t="s">
        <v>47754</v>
      </c>
      <c r="M162" s="41" t="s">
        <v>47755</v>
      </c>
      <c r="N162" s="41" t="s">
        <v>47756</v>
      </c>
      <c r="Q162" s="41" t="s">
        <v>47757</v>
      </c>
      <c r="R162" s="41" t="s">
        <v>46387</v>
      </c>
      <c r="S162" s="41" t="s">
        <v>46397</v>
      </c>
    </row>
    <row r="163" spans="1:19" x14ac:dyDescent="0.25">
      <c r="A163" s="41" t="s">
        <v>23</v>
      </c>
      <c r="B163" s="41" t="s">
        <v>47758</v>
      </c>
      <c r="D163" s="41" t="s">
        <v>498</v>
      </c>
      <c r="E163" s="41" t="s">
        <v>367</v>
      </c>
      <c r="F163" s="41" t="s">
        <v>815</v>
      </c>
      <c r="G163" s="41" t="s">
        <v>47759</v>
      </c>
      <c r="H163" s="41" t="s">
        <v>47760</v>
      </c>
      <c r="I163" s="41" t="s">
        <v>368</v>
      </c>
      <c r="J163" s="41" t="s">
        <v>47761</v>
      </c>
      <c r="K163" s="41" t="s">
        <v>47762</v>
      </c>
      <c r="L163" s="41" t="s">
        <v>47763</v>
      </c>
      <c r="M163" s="41" t="s">
        <v>47764</v>
      </c>
      <c r="N163" s="41" t="s">
        <v>47765</v>
      </c>
      <c r="Q163" s="41" t="s">
        <v>47766</v>
      </c>
      <c r="R163" s="41" t="s">
        <v>46387</v>
      </c>
      <c r="S163" s="41" t="s">
        <v>46397</v>
      </c>
    </row>
    <row r="164" spans="1:19" x14ac:dyDescent="0.25">
      <c r="A164" s="41" t="s">
        <v>23</v>
      </c>
      <c r="B164" s="41" t="s">
        <v>47767</v>
      </c>
      <c r="D164" s="41" t="s">
        <v>499</v>
      </c>
      <c r="E164" s="41" t="s">
        <v>369</v>
      </c>
      <c r="F164" s="41" t="s">
        <v>816</v>
      </c>
      <c r="G164" s="41" t="s">
        <v>47768</v>
      </c>
      <c r="H164" s="41" t="s">
        <v>47769</v>
      </c>
      <c r="I164" s="41" t="s">
        <v>370</v>
      </c>
      <c r="J164" s="41" t="s">
        <v>47770</v>
      </c>
      <c r="K164" s="41" t="s">
        <v>47771</v>
      </c>
      <c r="L164" s="41" t="s">
        <v>47772</v>
      </c>
      <c r="M164" s="41" t="s">
        <v>47773</v>
      </c>
      <c r="N164" s="41" t="s">
        <v>47774</v>
      </c>
      <c r="Q164" s="41" t="s">
        <v>47775</v>
      </c>
      <c r="R164" s="41" t="s">
        <v>46387</v>
      </c>
      <c r="S164" s="41" t="s">
        <v>46397</v>
      </c>
    </row>
    <row r="165" spans="1:19" x14ac:dyDescent="0.25">
      <c r="A165" s="41" t="s">
        <v>23</v>
      </c>
      <c r="B165" s="41" t="s">
        <v>47776</v>
      </c>
      <c r="D165" s="41" t="s">
        <v>500</v>
      </c>
      <c r="E165" s="41" t="s">
        <v>371</v>
      </c>
      <c r="F165" s="41" t="s">
        <v>821</v>
      </c>
      <c r="G165" s="41" t="s">
        <v>47777</v>
      </c>
      <c r="H165" s="41" t="s">
        <v>47778</v>
      </c>
      <c r="I165" s="41" t="s">
        <v>372</v>
      </c>
      <c r="J165" s="41" t="s">
        <v>47779</v>
      </c>
      <c r="K165" s="41" t="s">
        <v>47780</v>
      </c>
      <c r="L165" s="41" t="s">
        <v>47781</v>
      </c>
      <c r="M165" s="41" t="s">
        <v>47782</v>
      </c>
      <c r="N165" s="41" t="s">
        <v>47783</v>
      </c>
      <c r="Q165" s="41" t="s">
        <v>47784</v>
      </c>
      <c r="R165" s="41" t="s">
        <v>46387</v>
      </c>
      <c r="S165" s="41" t="s">
        <v>46397</v>
      </c>
    </row>
    <row r="166" spans="1:19" x14ac:dyDescent="0.25">
      <c r="A166" s="41" t="s">
        <v>23</v>
      </c>
      <c r="B166" s="41" t="s">
        <v>47785</v>
      </c>
      <c r="D166" s="41" t="s">
        <v>501</v>
      </c>
      <c r="E166" s="41" t="s">
        <v>373</v>
      </c>
      <c r="F166" s="41" t="s">
        <v>822</v>
      </c>
      <c r="G166" s="41" t="s">
        <v>47786</v>
      </c>
      <c r="H166" s="41" t="s">
        <v>47787</v>
      </c>
      <c r="I166" s="41" t="s">
        <v>374</v>
      </c>
      <c r="J166" s="41" t="s">
        <v>47788</v>
      </c>
      <c r="K166" s="41" t="s">
        <v>47789</v>
      </c>
      <c r="L166" s="41" t="s">
        <v>47790</v>
      </c>
      <c r="M166" s="41" t="s">
        <v>47791</v>
      </c>
      <c r="N166" s="41" t="s">
        <v>47792</v>
      </c>
      <c r="Q166" s="41" t="s">
        <v>47793</v>
      </c>
      <c r="R166" s="41" t="s">
        <v>46387</v>
      </c>
      <c r="S166" s="41" t="s">
        <v>46397</v>
      </c>
    </row>
    <row r="167" spans="1:19" x14ac:dyDescent="0.25">
      <c r="A167" s="41" t="s">
        <v>23</v>
      </c>
      <c r="B167" s="41" t="s">
        <v>47794</v>
      </c>
      <c r="D167" s="41" t="s">
        <v>523</v>
      </c>
      <c r="E167" s="41" t="s">
        <v>375</v>
      </c>
      <c r="F167" s="41" t="s">
        <v>823</v>
      </c>
      <c r="G167" s="41" t="s">
        <v>47795</v>
      </c>
      <c r="H167" s="41" t="s">
        <v>47796</v>
      </c>
      <c r="I167" s="41" t="s">
        <v>376</v>
      </c>
      <c r="J167" s="41" t="s">
        <v>47797</v>
      </c>
      <c r="K167" s="41" t="s">
        <v>47798</v>
      </c>
      <c r="L167" s="41" t="s">
        <v>47799</v>
      </c>
      <c r="M167" s="41" t="s">
        <v>47800</v>
      </c>
      <c r="N167" s="41" t="s">
        <v>47801</v>
      </c>
      <c r="Q167" s="41" t="s">
        <v>47802</v>
      </c>
      <c r="R167" s="41" t="s">
        <v>46387</v>
      </c>
      <c r="S167" s="41" t="s">
        <v>46397</v>
      </c>
    </row>
    <row r="168" spans="1:19" x14ac:dyDescent="0.25">
      <c r="A168" s="41" t="s">
        <v>23</v>
      </c>
      <c r="B168" s="41" t="s">
        <v>47803</v>
      </c>
      <c r="D168" s="41" t="s">
        <v>524</v>
      </c>
      <c r="E168" s="41" t="s">
        <v>377</v>
      </c>
      <c r="F168" s="41" t="s">
        <v>824</v>
      </c>
      <c r="G168" s="41" t="s">
        <v>47804</v>
      </c>
      <c r="H168" s="41" t="s">
        <v>47805</v>
      </c>
      <c r="I168" s="41" t="s">
        <v>378</v>
      </c>
      <c r="J168" s="41" t="s">
        <v>47806</v>
      </c>
      <c r="K168" s="41" t="s">
        <v>47807</v>
      </c>
      <c r="L168" s="41" t="s">
        <v>47808</v>
      </c>
      <c r="M168" s="41" t="s">
        <v>47809</v>
      </c>
      <c r="N168" s="41" t="s">
        <v>47810</v>
      </c>
      <c r="Q168" s="41" t="s">
        <v>47811</v>
      </c>
      <c r="R168" s="41" t="s">
        <v>46387</v>
      </c>
      <c r="S168" s="41" t="s">
        <v>46397</v>
      </c>
    </row>
    <row r="169" spans="1:19" x14ac:dyDescent="0.25">
      <c r="A169" s="41" t="s">
        <v>23</v>
      </c>
      <c r="B169" s="41" t="s">
        <v>47812</v>
      </c>
      <c r="D169" s="41" t="s">
        <v>525</v>
      </c>
      <c r="E169" s="41" t="s">
        <v>379</v>
      </c>
      <c r="F169" s="41" t="s">
        <v>825</v>
      </c>
      <c r="G169" s="41" t="s">
        <v>47813</v>
      </c>
      <c r="H169" s="41" t="s">
        <v>47814</v>
      </c>
      <c r="I169" s="41" t="s">
        <v>380</v>
      </c>
      <c r="J169" s="41" t="s">
        <v>47815</v>
      </c>
      <c r="K169" s="41" t="s">
        <v>47816</v>
      </c>
      <c r="L169" s="41" t="s">
        <v>47817</v>
      </c>
      <c r="M169" s="41" t="s">
        <v>47818</v>
      </c>
      <c r="N169" s="41" t="s">
        <v>47819</v>
      </c>
      <c r="Q169" s="41" t="s">
        <v>47820</v>
      </c>
      <c r="R169" s="41" t="s">
        <v>46387</v>
      </c>
      <c r="S169" s="41" t="s">
        <v>46397</v>
      </c>
    </row>
    <row r="170" spans="1:19" x14ac:dyDescent="0.25">
      <c r="A170" s="41" t="s">
        <v>23</v>
      </c>
      <c r="B170" s="41" t="s">
        <v>47821</v>
      </c>
      <c r="D170" s="41" t="s">
        <v>526</v>
      </c>
      <c r="E170" s="41" t="s">
        <v>381</v>
      </c>
      <c r="F170" s="41" t="s">
        <v>826</v>
      </c>
      <c r="G170" s="41" t="s">
        <v>47822</v>
      </c>
      <c r="H170" s="41" t="s">
        <v>47823</v>
      </c>
      <c r="I170" s="41" t="s">
        <v>382</v>
      </c>
      <c r="J170" s="41" t="s">
        <v>47824</v>
      </c>
      <c r="K170" s="41" t="s">
        <v>47825</v>
      </c>
      <c r="L170" s="41" t="s">
        <v>47826</v>
      </c>
      <c r="M170" s="41" t="s">
        <v>47827</v>
      </c>
      <c r="N170" s="41" t="s">
        <v>47828</v>
      </c>
      <c r="Q170" s="41" t="s">
        <v>47829</v>
      </c>
      <c r="R170" s="41" t="s">
        <v>46387</v>
      </c>
      <c r="S170" s="41" t="s">
        <v>46397</v>
      </c>
    </row>
    <row r="171" spans="1:19" x14ac:dyDescent="0.25">
      <c r="A171" s="41" t="s">
        <v>23</v>
      </c>
      <c r="B171" s="41" t="s">
        <v>47830</v>
      </c>
      <c r="D171" s="41" t="s">
        <v>527</v>
      </c>
      <c r="E171" s="41" t="s">
        <v>383</v>
      </c>
      <c r="F171" s="41" t="s">
        <v>827</v>
      </c>
      <c r="G171" s="41" t="s">
        <v>47831</v>
      </c>
      <c r="H171" s="41" t="s">
        <v>47832</v>
      </c>
      <c r="I171" s="41" t="s">
        <v>384</v>
      </c>
      <c r="J171" s="41" t="s">
        <v>47833</v>
      </c>
      <c r="K171" s="41" t="s">
        <v>47834</v>
      </c>
      <c r="L171" s="41" t="s">
        <v>47835</v>
      </c>
      <c r="M171" s="41" t="s">
        <v>47836</v>
      </c>
      <c r="N171" s="41" t="s">
        <v>47837</v>
      </c>
      <c r="Q171" s="41" t="s">
        <v>47838</v>
      </c>
      <c r="R171" s="41" t="s">
        <v>46387</v>
      </c>
      <c r="S171" s="41" t="s">
        <v>46397</v>
      </c>
    </row>
    <row r="172" spans="1:19" x14ac:dyDescent="0.25">
      <c r="A172" s="41" t="s">
        <v>23</v>
      </c>
      <c r="B172" s="41" t="s">
        <v>47839</v>
      </c>
      <c r="D172" s="41" t="s">
        <v>528</v>
      </c>
      <c r="E172" s="41" t="s">
        <v>385</v>
      </c>
      <c r="F172" s="41" t="s">
        <v>832</v>
      </c>
      <c r="G172" s="41" t="s">
        <v>47840</v>
      </c>
      <c r="H172" s="41" t="s">
        <v>47841</v>
      </c>
      <c r="I172" s="41" t="s">
        <v>386</v>
      </c>
      <c r="J172" s="41" t="s">
        <v>47842</v>
      </c>
      <c r="K172" s="41" t="s">
        <v>47843</v>
      </c>
      <c r="L172" s="41" t="s">
        <v>47844</v>
      </c>
      <c r="M172" s="41" t="s">
        <v>47845</v>
      </c>
      <c r="N172" s="41" t="s">
        <v>47846</v>
      </c>
      <c r="Q172" s="41" t="s">
        <v>47847</v>
      </c>
      <c r="R172" s="41" t="s">
        <v>46387</v>
      </c>
      <c r="S172" s="41" t="s">
        <v>46397</v>
      </c>
    </row>
    <row r="173" spans="1:19" x14ac:dyDescent="0.25">
      <c r="A173" s="41" t="s">
        <v>23</v>
      </c>
      <c r="B173" s="41" t="s">
        <v>47848</v>
      </c>
      <c r="D173" s="41" t="s">
        <v>529</v>
      </c>
      <c r="E173" s="41" t="s">
        <v>388</v>
      </c>
      <c r="F173" s="41" t="s">
        <v>833</v>
      </c>
      <c r="G173" s="41" t="s">
        <v>47849</v>
      </c>
      <c r="H173" s="41" t="s">
        <v>47850</v>
      </c>
      <c r="I173" s="41" t="s">
        <v>389</v>
      </c>
      <c r="J173" s="41" t="s">
        <v>47851</v>
      </c>
      <c r="K173" s="41" t="s">
        <v>47852</v>
      </c>
      <c r="L173" s="41" t="s">
        <v>47853</v>
      </c>
      <c r="M173" s="41" t="s">
        <v>47854</v>
      </c>
      <c r="N173" s="41" t="s">
        <v>47855</v>
      </c>
      <c r="Q173" s="41" t="s">
        <v>47856</v>
      </c>
      <c r="R173" s="41" t="s">
        <v>46387</v>
      </c>
      <c r="S173" s="41" t="s">
        <v>46397</v>
      </c>
    </row>
    <row r="174" spans="1:19" x14ac:dyDescent="0.25">
      <c r="A174" s="41" t="s">
        <v>23</v>
      </c>
      <c r="B174" s="41" t="s">
        <v>47857</v>
      </c>
      <c r="D174" s="41" t="s">
        <v>530</v>
      </c>
      <c r="E174" s="41" t="s">
        <v>390</v>
      </c>
      <c r="F174" s="41" t="s">
        <v>834</v>
      </c>
      <c r="G174" s="41" t="s">
        <v>47858</v>
      </c>
      <c r="H174" s="41" t="s">
        <v>47859</v>
      </c>
      <c r="I174" s="41" t="s">
        <v>391</v>
      </c>
      <c r="J174" s="41" t="s">
        <v>47860</v>
      </c>
      <c r="K174" s="41" t="s">
        <v>47861</v>
      </c>
      <c r="L174" s="41" t="s">
        <v>47862</v>
      </c>
      <c r="M174" s="41" t="s">
        <v>47863</v>
      </c>
      <c r="N174" s="41" t="s">
        <v>47864</v>
      </c>
      <c r="Q174" s="41" t="s">
        <v>47865</v>
      </c>
      <c r="R174" s="41" t="s">
        <v>46387</v>
      </c>
      <c r="S174" s="41" t="s">
        <v>46397</v>
      </c>
    </row>
    <row r="175" spans="1:19" x14ac:dyDescent="0.25">
      <c r="A175" s="41" t="s">
        <v>23</v>
      </c>
      <c r="B175" s="41" t="s">
        <v>47866</v>
      </c>
      <c r="D175" s="41" t="s">
        <v>502</v>
      </c>
      <c r="E175" s="41" t="s">
        <v>392</v>
      </c>
      <c r="F175" s="41" t="s">
        <v>835</v>
      </c>
      <c r="G175" s="41" t="s">
        <v>47867</v>
      </c>
      <c r="H175" s="41" t="s">
        <v>47868</v>
      </c>
      <c r="I175" s="41" t="s">
        <v>393</v>
      </c>
      <c r="J175" s="41" t="s">
        <v>47869</v>
      </c>
      <c r="K175" s="41" t="s">
        <v>47870</v>
      </c>
      <c r="L175" s="41" t="s">
        <v>47871</v>
      </c>
      <c r="M175" s="41" t="s">
        <v>47872</v>
      </c>
      <c r="N175" s="41" t="s">
        <v>47873</v>
      </c>
      <c r="Q175" s="41" t="s">
        <v>47874</v>
      </c>
      <c r="R175" s="41" t="s">
        <v>46387</v>
      </c>
      <c r="S175" s="41" t="s">
        <v>46397</v>
      </c>
    </row>
    <row r="176" spans="1:19" x14ac:dyDescent="0.25">
      <c r="A176" s="41" t="s">
        <v>23</v>
      </c>
      <c r="B176" s="41" t="s">
        <v>47875</v>
      </c>
      <c r="D176" s="41" t="s">
        <v>531</v>
      </c>
      <c r="E176" s="41" t="s">
        <v>394</v>
      </c>
      <c r="F176" s="41" t="s">
        <v>836</v>
      </c>
      <c r="G176" s="41" t="s">
        <v>47876</v>
      </c>
      <c r="H176" s="41" t="s">
        <v>47877</v>
      </c>
      <c r="I176" s="41" t="s">
        <v>395</v>
      </c>
      <c r="J176" s="41" t="s">
        <v>47878</v>
      </c>
      <c r="K176" s="41" t="s">
        <v>47879</v>
      </c>
      <c r="L176" s="41" t="s">
        <v>47880</v>
      </c>
      <c r="M176" s="41" t="s">
        <v>47881</v>
      </c>
      <c r="N176" s="41" t="s">
        <v>47882</v>
      </c>
      <c r="Q176" s="41" t="s">
        <v>47883</v>
      </c>
      <c r="R176" s="41" t="s">
        <v>46387</v>
      </c>
      <c r="S176" s="41" t="s">
        <v>46397</v>
      </c>
    </row>
    <row r="177" spans="1:19" x14ac:dyDescent="0.25">
      <c r="A177" s="41" t="s">
        <v>23</v>
      </c>
      <c r="B177" s="41" t="s">
        <v>47884</v>
      </c>
      <c r="D177" s="41" t="s">
        <v>503</v>
      </c>
      <c r="E177" s="41" t="s">
        <v>396</v>
      </c>
      <c r="F177" s="41" t="s">
        <v>837</v>
      </c>
      <c r="G177" s="41" t="s">
        <v>47885</v>
      </c>
      <c r="H177" s="41" t="s">
        <v>47886</v>
      </c>
      <c r="I177" s="41" t="s">
        <v>397</v>
      </c>
      <c r="J177" s="41" t="s">
        <v>47887</v>
      </c>
      <c r="K177" s="41" t="s">
        <v>47888</v>
      </c>
      <c r="L177" s="41" t="s">
        <v>47889</v>
      </c>
      <c r="M177" s="41" t="s">
        <v>47890</v>
      </c>
      <c r="N177" s="41" t="s">
        <v>47891</v>
      </c>
      <c r="Q177" s="41" t="s">
        <v>47892</v>
      </c>
      <c r="R177" s="41" t="s">
        <v>46387</v>
      </c>
      <c r="S177" s="41" t="s">
        <v>46397</v>
      </c>
    </row>
    <row r="178" spans="1:19" x14ac:dyDescent="0.25">
      <c r="A178" s="41" t="s">
        <v>23</v>
      </c>
      <c r="B178" s="41" t="s">
        <v>47893</v>
      </c>
      <c r="D178" s="41" t="s">
        <v>504</v>
      </c>
      <c r="E178" s="41" t="s">
        <v>398</v>
      </c>
      <c r="F178" s="41" t="s">
        <v>838</v>
      </c>
      <c r="G178" s="41" t="s">
        <v>47894</v>
      </c>
      <c r="H178" s="41" t="s">
        <v>47895</v>
      </c>
      <c r="I178" s="41" t="s">
        <v>399</v>
      </c>
      <c r="J178" s="41" t="s">
        <v>47896</v>
      </c>
      <c r="K178" s="41" t="s">
        <v>47897</v>
      </c>
      <c r="L178" s="41" t="s">
        <v>47898</v>
      </c>
      <c r="M178" s="41" t="s">
        <v>47899</v>
      </c>
      <c r="N178" s="41" t="s">
        <v>47900</v>
      </c>
      <c r="Q178" s="41" t="s">
        <v>47901</v>
      </c>
      <c r="R178" s="41" t="s">
        <v>46387</v>
      </c>
      <c r="S178" s="41" t="s">
        <v>46397</v>
      </c>
    </row>
    <row r="179" spans="1:19" x14ac:dyDescent="0.25">
      <c r="A179" s="41" t="s">
        <v>23</v>
      </c>
      <c r="B179" s="41" t="s">
        <v>47902</v>
      </c>
      <c r="D179" s="41" t="s">
        <v>532</v>
      </c>
      <c r="E179" s="41" t="s">
        <v>400</v>
      </c>
      <c r="F179" s="41" t="s">
        <v>843</v>
      </c>
      <c r="G179" s="41" t="s">
        <v>47903</v>
      </c>
      <c r="H179" s="41" t="s">
        <v>47904</v>
      </c>
      <c r="I179" s="41" t="s">
        <v>401</v>
      </c>
      <c r="J179" s="41" t="s">
        <v>47905</v>
      </c>
      <c r="K179" s="41" t="s">
        <v>47906</v>
      </c>
      <c r="L179" s="41" t="s">
        <v>47907</v>
      </c>
      <c r="M179" s="41" t="s">
        <v>47908</v>
      </c>
      <c r="N179" s="41" t="s">
        <v>47909</v>
      </c>
      <c r="Q179" s="41" t="s">
        <v>47910</v>
      </c>
      <c r="R179" s="41" t="s">
        <v>46387</v>
      </c>
      <c r="S179" s="41" t="s">
        <v>46397</v>
      </c>
    </row>
    <row r="180" spans="1:19" x14ac:dyDescent="0.25">
      <c r="A180" s="41" t="s">
        <v>23</v>
      </c>
      <c r="B180" s="41" t="s">
        <v>47911</v>
      </c>
      <c r="D180" s="41" t="s">
        <v>505</v>
      </c>
      <c r="E180" s="41" t="s">
        <v>402</v>
      </c>
      <c r="F180" s="41" t="s">
        <v>844</v>
      </c>
      <c r="G180" s="41" t="s">
        <v>47912</v>
      </c>
      <c r="H180" s="41" t="s">
        <v>47913</v>
      </c>
      <c r="I180" s="41" t="s">
        <v>403</v>
      </c>
      <c r="J180" s="41" t="s">
        <v>47914</v>
      </c>
      <c r="K180" s="41" t="s">
        <v>47915</v>
      </c>
      <c r="L180" s="41" t="s">
        <v>47916</v>
      </c>
      <c r="M180" s="41" t="s">
        <v>47917</v>
      </c>
      <c r="N180" s="41" t="s">
        <v>47918</v>
      </c>
      <c r="Q180" s="41" t="s">
        <v>47919</v>
      </c>
      <c r="R180" s="41" t="s">
        <v>46387</v>
      </c>
      <c r="S180" s="41" t="s">
        <v>46397</v>
      </c>
    </row>
    <row r="181" spans="1:19" x14ac:dyDescent="0.25">
      <c r="A181" s="41" t="s">
        <v>23</v>
      </c>
      <c r="B181" s="41" t="s">
        <v>47920</v>
      </c>
      <c r="D181" s="41" t="s">
        <v>506</v>
      </c>
      <c r="E181" s="41" t="s">
        <v>404</v>
      </c>
      <c r="F181" s="41" t="s">
        <v>845</v>
      </c>
      <c r="G181" s="41" t="s">
        <v>47921</v>
      </c>
      <c r="H181" s="41" t="s">
        <v>47922</v>
      </c>
      <c r="I181" s="41" t="s">
        <v>405</v>
      </c>
      <c r="J181" s="41" t="s">
        <v>47923</v>
      </c>
      <c r="K181" s="41" t="s">
        <v>47924</v>
      </c>
      <c r="L181" s="41" t="s">
        <v>47925</v>
      </c>
      <c r="M181" s="41" t="s">
        <v>47926</v>
      </c>
      <c r="N181" s="41" t="s">
        <v>47927</v>
      </c>
      <c r="Q181" s="41" t="s">
        <v>47928</v>
      </c>
      <c r="R181" s="41" t="s">
        <v>46387</v>
      </c>
      <c r="S181" s="41" t="s">
        <v>46397</v>
      </c>
    </row>
    <row r="182" spans="1:19" x14ac:dyDescent="0.25">
      <c r="A182" s="41" t="s">
        <v>23</v>
      </c>
      <c r="B182" s="41" t="s">
        <v>47929</v>
      </c>
      <c r="D182" s="41" t="s">
        <v>507</v>
      </c>
      <c r="E182" s="41" t="s">
        <v>406</v>
      </c>
      <c r="F182" s="41" t="s">
        <v>846</v>
      </c>
      <c r="G182" s="41" t="s">
        <v>47930</v>
      </c>
      <c r="H182" s="41" t="s">
        <v>47931</v>
      </c>
      <c r="I182" s="41" t="s">
        <v>407</v>
      </c>
      <c r="J182" s="41" t="s">
        <v>47932</v>
      </c>
      <c r="K182" s="41" t="s">
        <v>47933</v>
      </c>
      <c r="L182" s="41" t="s">
        <v>47934</v>
      </c>
      <c r="M182" s="41" t="s">
        <v>47935</v>
      </c>
      <c r="N182" s="41" t="s">
        <v>47936</v>
      </c>
      <c r="Q182" s="41" t="s">
        <v>47937</v>
      </c>
      <c r="R182" s="41" t="s">
        <v>46387</v>
      </c>
      <c r="S182" s="41" t="s">
        <v>46397</v>
      </c>
    </row>
    <row r="183" spans="1:19" x14ac:dyDescent="0.25">
      <c r="A183" s="41" t="s">
        <v>23</v>
      </c>
      <c r="B183" s="41" t="s">
        <v>47938</v>
      </c>
      <c r="D183" s="41" t="s">
        <v>508</v>
      </c>
      <c r="E183" s="41" t="s">
        <v>409</v>
      </c>
      <c r="F183" s="41" t="s">
        <v>847</v>
      </c>
      <c r="G183" s="41" t="s">
        <v>47939</v>
      </c>
      <c r="H183" s="41" t="s">
        <v>47940</v>
      </c>
      <c r="I183" s="41" t="s">
        <v>410</v>
      </c>
      <c r="J183" s="41" t="s">
        <v>47941</v>
      </c>
      <c r="K183" s="41" t="s">
        <v>47942</v>
      </c>
      <c r="L183" s="41" t="s">
        <v>47943</v>
      </c>
      <c r="M183" s="41" t="s">
        <v>47944</v>
      </c>
      <c r="N183" s="41" t="s">
        <v>47945</v>
      </c>
      <c r="Q183" s="41" t="s">
        <v>47946</v>
      </c>
      <c r="R183" s="41" t="s">
        <v>46387</v>
      </c>
      <c r="S183" s="41" t="s">
        <v>46397</v>
      </c>
    </row>
    <row r="184" spans="1:19" x14ac:dyDescent="0.25">
      <c r="A184" s="41" t="s">
        <v>23</v>
      </c>
      <c r="B184" s="41" t="s">
        <v>47947</v>
      </c>
      <c r="D184" s="41" t="s">
        <v>43671</v>
      </c>
      <c r="E184" s="41" t="s">
        <v>411</v>
      </c>
      <c r="F184" s="41" t="s">
        <v>848</v>
      </c>
      <c r="G184" s="41" t="s">
        <v>47948</v>
      </c>
      <c r="H184" s="41" t="s">
        <v>47949</v>
      </c>
      <c r="I184" s="41" t="s">
        <v>412</v>
      </c>
      <c r="J184" s="41" t="s">
        <v>47950</v>
      </c>
      <c r="K184" s="41" t="s">
        <v>47951</v>
      </c>
      <c r="L184" s="41" t="s">
        <v>47952</v>
      </c>
      <c r="M184" s="41" t="s">
        <v>47953</v>
      </c>
      <c r="N184" s="41" t="s">
        <v>47954</v>
      </c>
      <c r="Q184" s="41" t="s">
        <v>47955</v>
      </c>
      <c r="R184" s="41" t="s">
        <v>46387</v>
      </c>
      <c r="S184" s="41" t="s">
        <v>46397</v>
      </c>
    </row>
    <row r="185" spans="1:19" x14ac:dyDescent="0.25">
      <c r="A185" s="41" t="s">
        <v>23</v>
      </c>
      <c r="B185" s="41" t="s">
        <v>47956</v>
      </c>
      <c r="D185" s="41" t="s">
        <v>43671</v>
      </c>
      <c r="E185" s="41" t="s">
        <v>1518</v>
      </c>
      <c r="F185" s="41" t="s">
        <v>849</v>
      </c>
      <c r="G185" s="41" t="s">
        <v>47957</v>
      </c>
      <c r="H185" s="41" t="s">
        <v>47958</v>
      </c>
      <c r="I185" s="41" t="s">
        <v>413</v>
      </c>
      <c r="J185" s="41" t="s">
        <v>47959</v>
      </c>
      <c r="K185" s="41" t="s">
        <v>47960</v>
      </c>
      <c r="L185" s="41" t="s">
        <v>47961</v>
      </c>
      <c r="M185" s="41" t="s">
        <v>47962</v>
      </c>
      <c r="N185" s="41" t="s">
        <v>47963</v>
      </c>
      <c r="Q185" s="41" t="s">
        <v>47964</v>
      </c>
      <c r="R185" s="41" t="s">
        <v>46387</v>
      </c>
      <c r="S185" s="41" t="s">
        <v>46397</v>
      </c>
    </row>
    <row r="186" spans="1:19" x14ac:dyDescent="0.25">
      <c r="A186" s="41" t="s">
        <v>23</v>
      </c>
      <c r="B186" s="41" t="s">
        <v>47965</v>
      </c>
      <c r="D186" s="41" t="s">
        <v>867</v>
      </c>
      <c r="E186" s="41" t="s">
        <v>415</v>
      </c>
      <c r="F186" s="41" t="s">
        <v>854</v>
      </c>
      <c r="G186" s="41" t="s">
        <v>47966</v>
      </c>
      <c r="H186" s="41" t="s">
        <v>47967</v>
      </c>
      <c r="I186" s="41" t="s">
        <v>416</v>
      </c>
      <c r="J186" s="41" t="s">
        <v>47968</v>
      </c>
      <c r="K186" s="41" t="s">
        <v>47969</v>
      </c>
      <c r="L186" s="41" t="s">
        <v>47970</v>
      </c>
      <c r="M186" s="41" t="s">
        <v>47971</v>
      </c>
      <c r="N186" s="41" t="s">
        <v>47972</v>
      </c>
      <c r="Q186" s="41" t="s">
        <v>47973</v>
      </c>
      <c r="R186" s="41" t="s">
        <v>46387</v>
      </c>
      <c r="S186" s="41" t="s">
        <v>46397</v>
      </c>
    </row>
    <row r="187" spans="1:19" x14ac:dyDescent="0.25">
      <c r="A187" s="41" t="s">
        <v>23</v>
      </c>
      <c r="B187" s="41" t="s">
        <v>47974</v>
      </c>
      <c r="D187" s="41" t="s">
        <v>867</v>
      </c>
      <c r="E187" s="41" t="s">
        <v>177</v>
      </c>
      <c r="F187" s="41" t="s">
        <v>855</v>
      </c>
      <c r="G187" s="41" t="s">
        <v>47975</v>
      </c>
      <c r="H187" s="41" t="s">
        <v>47976</v>
      </c>
      <c r="I187" s="41" t="s">
        <v>418</v>
      </c>
      <c r="J187" s="41" t="s">
        <v>47977</v>
      </c>
      <c r="K187" s="41" t="s">
        <v>47978</v>
      </c>
      <c r="L187" s="41" t="s">
        <v>47979</v>
      </c>
      <c r="M187" s="41" t="s">
        <v>47980</v>
      </c>
      <c r="N187" s="41" t="s">
        <v>47981</v>
      </c>
      <c r="Q187" s="41" t="s">
        <v>47982</v>
      </c>
      <c r="R187" s="41" t="s">
        <v>46387</v>
      </c>
      <c r="S187" s="41" t="s">
        <v>46397</v>
      </c>
    </row>
    <row r="188" spans="1:19" x14ac:dyDescent="0.25">
      <c r="A188" s="41" t="s">
        <v>23</v>
      </c>
      <c r="B188" s="41" t="s">
        <v>47983</v>
      </c>
      <c r="D188" s="41" t="s">
        <v>509</v>
      </c>
      <c r="E188" s="41" t="s">
        <v>44784</v>
      </c>
      <c r="F188" s="41" t="s">
        <v>856</v>
      </c>
      <c r="G188" s="41" t="s">
        <v>47984</v>
      </c>
      <c r="H188" s="41" t="s">
        <v>47985</v>
      </c>
      <c r="I188" s="41" t="s">
        <v>420</v>
      </c>
      <c r="J188" s="41" t="s">
        <v>47986</v>
      </c>
      <c r="K188" s="41" t="s">
        <v>47987</v>
      </c>
      <c r="L188" s="41" t="s">
        <v>47988</v>
      </c>
      <c r="M188" s="41" t="s">
        <v>47989</v>
      </c>
      <c r="N188" s="41" t="s">
        <v>47990</v>
      </c>
      <c r="Q188" s="41" t="s">
        <v>47991</v>
      </c>
      <c r="R188" s="41" t="s">
        <v>46387</v>
      </c>
      <c r="S188" s="41" t="s">
        <v>46397</v>
      </c>
    </row>
    <row r="189" spans="1:19" x14ac:dyDescent="0.25">
      <c r="A189" s="41" t="s">
        <v>23</v>
      </c>
      <c r="B189" s="41" t="s">
        <v>47992</v>
      </c>
      <c r="D189" s="41" t="s">
        <v>510</v>
      </c>
      <c r="E189" s="41" t="s">
        <v>421</v>
      </c>
      <c r="F189" s="41" t="s">
        <v>857</v>
      </c>
      <c r="G189" s="41" t="s">
        <v>47993</v>
      </c>
      <c r="H189" s="41" t="s">
        <v>47994</v>
      </c>
      <c r="I189" s="41" t="s">
        <v>422</v>
      </c>
      <c r="J189" s="41" t="s">
        <v>47995</v>
      </c>
      <c r="K189" s="41" t="s">
        <v>47996</v>
      </c>
      <c r="L189" s="41" t="s">
        <v>47997</v>
      </c>
      <c r="M189" s="41" t="s">
        <v>47998</v>
      </c>
      <c r="N189" s="41" t="s">
        <v>47999</v>
      </c>
      <c r="Q189" s="41" t="s">
        <v>48000</v>
      </c>
      <c r="R189" s="41" t="s">
        <v>46387</v>
      </c>
      <c r="S189" s="41" t="s">
        <v>46397</v>
      </c>
    </row>
    <row r="190" spans="1:19" x14ac:dyDescent="0.25">
      <c r="A190" s="41" t="s">
        <v>23</v>
      </c>
      <c r="B190" s="41" t="s">
        <v>48001</v>
      </c>
      <c r="D190" s="41" t="s">
        <v>868</v>
      </c>
      <c r="E190" s="41" t="s">
        <v>48030</v>
      </c>
      <c r="F190" s="41" t="s">
        <v>858</v>
      </c>
      <c r="G190" s="41" t="s">
        <v>48002</v>
      </c>
      <c r="H190" s="41" t="s">
        <v>48003</v>
      </c>
      <c r="I190" s="41" t="s">
        <v>423</v>
      </c>
      <c r="J190" s="41" t="s">
        <v>48004</v>
      </c>
      <c r="K190" s="41" t="s">
        <v>48005</v>
      </c>
      <c r="L190" s="41" t="s">
        <v>48006</v>
      </c>
      <c r="M190" s="41" t="s">
        <v>48007</v>
      </c>
      <c r="N190" s="41" t="s">
        <v>48008</v>
      </c>
      <c r="Q190" s="41" t="s">
        <v>48009</v>
      </c>
      <c r="R190" s="41" t="s">
        <v>46387</v>
      </c>
      <c r="S190" s="41" t="s">
        <v>46397</v>
      </c>
    </row>
    <row r="191" spans="1:19" x14ac:dyDescent="0.25">
      <c r="A191" s="41" t="s">
        <v>23</v>
      </c>
      <c r="B191" s="41" t="s">
        <v>48010</v>
      </c>
      <c r="D191" s="41" t="s">
        <v>869</v>
      </c>
      <c r="E191" s="41" t="s">
        <v>424</v>
      </c>
      <c r="F191" s="41" t="s">
        <v>859</v>
      </c>
      <c r="G191" s="41" t="s">
        <v>48011</v>
      </c>
      <c r="H191" s="41" t="s">
        <v>48012</v>
      </c>
      <c r="I191" s="41" t="s">
        <v>425</v>
      </c>
      <c r="J191" s="41" t="s">
        <v>48013</v>
      </c>
      <c r="K191" s="41" t="s">
        <v>48014</v>
      </c>
      <c r="L191" s="41" t="s">
        <v>48015</v>
      </c>
      <c r="M191" s="41" t="s">
        <v>48016</v>
      </c>
      <c r="N191" s="41" t="s">
        <v>48017</v>
      </c>
      <c r="Q191" s="41" t="s">
        <v>48018</v>
      </c>
      <c r="R191" s="41" t="s">
        <v>46387</v>
      </c>
      <c r="S191" s="41" t="s">
        <v>46397</v>
      </c>
    </row>
    <row r="193" spans="8:9" x14ac:dyDescent="0.25">
      <c r="H193" s="41" t="s">
        <v>4</v>
      </c>
      <c r="I193" s="41" t="s">
        <v>46398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8A171-1CF8-4F05-91E3-99C4398DA12F}">
  <dimension ref="A1:S32"/>
  <sheetViews>
    <sheetView workbookViewId="0"/>
  </sheetViews>
  <sheetFormatPr defaultRowHeight="13.2" x14ac:dyDescent="0.25"/>
  <sheetData>
    <row r="1" spans="1:19" x14ac:dyDescent="0.25">
      <c r="A1" s="41" t="s">
        <v>48033</v>
      </c>
      <c r="B1" s="41" t="s">
        <v>9</v>
      </c>
      <c r="C1" s="41" t="s">
        <v>5</v>
      </c>
      <c r="E1" s="41" t="s">
        <v>5</v>
      </c>
      <c r="F1" s="41" t="s">
        <v>5</v>
      </c>
      <c r="J1" s="41" t="s">
        <v>5</v>
      </c>
      <c r="K1" s="41" t="s">
        <v>5</v>
      </c>
      <c r="L1" s="41" t="s">
        <v>5</v>
      </c>
      <c r="R1" s="41" t="s">
        <v>46381</v>
      </c>
      <c r="S1" s="41" t="s">
        <v>46381</v>
      </c>
    </row>
    <row r="2" spans="1:19" x14ac:dyDescent="0.25">
      <c r="D2" s="41" t="s">
        <v>48022</v>
      </c>
    </row>
    <row r="4" spans="1:19" x14ac:dyDescent="0.25">
      <c r="B4" s="41" t="s">
        <v>565</v>
      </c>
      <c r="G4" s="41" t="s">
        <v>1076</v>
      </c>
      <c r="H4" s="41" t="s">
        <v>48021</v>
      </c>
    </row>
    <row r="5" spans="1:19" x14ac:dyDescent="0.25">
      <c r="G5" s="41" t="s">
        <v>46384</v>
      </c>
      <c r="H5" s="41" t="s">
        <v>46382</v>
      </c>
    </row>
    <row r="6" spans="1:19" x14ac:dyDescent="0.25">
      <c r="B6" s="41" t="s">
        <v>566</v>
      </c>
      <c r="G6" s="41" t="s">
        <v>46385</v>
      </c>
      <c r="H6" s="41" t="s">
        <v>46383</v>
      </c>
    </row>
    <row r="7" spans="1:19" x14ac:dyDescent="0.25">
      <c r="A7" s="41" t="s">
        <v>5</v>
      </c>
      <c r="B7" s="41" t="s">
        <v>44786</v>
      </c>
      <c r="G7" s="41" t="s">
        <v>46386</v>
      </c>
      <c r="H7" s="41" t="s">
        <v>16</v>
      </c>
    </row>
    <row r="8" spans="1:19" x14ac:dyDescent="0.25">
      <c r="B8" s="41" t="s">
        <v>44787</v>
      </c>
      <c r="F8" s="41" t="s">
        <v>44788</v>
      </c>
    </row>
    <row r="9" spans="1:19" x14ac:dyDescent="0.25">
      <c r="A9" s="41" t="s">
        <v>5</v>
      </c>
      <c r="J9" s="41" t="s">
        <v>10</v>
      </c>
      <c r="K9" s="41" t="s">
        <v>10</v>
      </c>
      <c r="L9" s="41" t="s">
        <v>12</v>
      </c>
      <c r="M9" s="41" t="s">
        <v>12</v>
      </c>
    </row>
    <row r="10" spans="1:19" x14ac:dyDescent="0.25">
      <c r="B10" s="41" t="s">
        <v>3</v>
      </c>
      <c r="D10" s="41" t="s">
        <v>0</v>
      </c>
      <c r="E10" s="41" t="s">
        <v>8</v>
      </c>
      <c r="F10" s="41" t="s">
        <v>564</v>
      </c>
      <c r="G10" s="41" t="s">
        <v>1</v>
      </c>
      <c r="H10" s="41" t="s">
        <v>2</v>
      </c>
      <c r="I10" s="41" t="s">
        <v>19</v>
      </c>
      <c r="J10" s="41" t="s">
        <v>46387</v>
      </c>
      <c r="K10" s="41" t="s">
        <v>13</v>
      </c>
      <c r="L10" s="41" t="s">
        <v>46387</v>
      </c>
      <c r="M10" s="41" t="s">
        <v>13</v>
      </c>
      <c r="N10" s="41" t="s">
        <v>18</v>
      </c>
      <c r="O10" s="41" t="s">
        <v>46378</v>
      </c>
      <c r="P10" s="41" t="s">
        <v>46379</v>
      </c>
      <c r="Q10" s="41" t="s">
        <v>46380</v>
      </c>
      <c r="R10" s="41" t="s">
        <v>48020</v>
      </c>
      <c r="S10" s="41" t="s">
        <v>46382</v>
      </c>
    </row>
    <row r="11" spans="1:19" x14ac:dyDescent="0.25">
      <c r="B11" s="41" t="s">
        <v>46388</v>
      </c>
      <c r="D11" s="41" t="s">
        <v>48019</v>
      </c>
      <c r="E11" s="41" t="s">
        <v>24</v>
      </c>
      <c r="F11" s="41" t="s">
        <v>574</v>
      </c>
      <c r="G11" s="41" t="s">
        <v>46389</v>
      </c>
      <c r="H11" s="41" t="s">
        <v>46390</v>
      </c>
      <c r="I11" s="41" t="s">
        <v>25</v>
      </c>
      <c r="J11" s="41" t="s">
        <v>46391</v>
      </c>
      <c r="K11" s="41" t="s">
        <v>46392</v>
      </c>
      <c r="L11" s="41" t="s">
        <v>46393</v>
      </c>
      <c r="M11" s="41" t="s">
        <v>46394</v>
      </c>
      <c r="N11" s="41" t="s">
        <v>46395</v>
      </c>
      <c r="Q11" s="41" t="s">
        <v>46396</v>
      </c>
      <c r="R11" s="41" t="s">
        <v>46387</v>
      </c>
      <c r="S11" s="41" t="s">
        <v>46397</v>
      </c>
    </row>
    <row r="12" spans="1:19" x14ac:dyDescent="0.25">
      <c r="A12" s="41" t="s">
        <v>23</v>
      </c>
      <c r="B12" s="41" t="s">
        <v>46399</v>
      </c>
      <c r="D12" s="41" t="s">
        <v>80</v>
      </c>
      <c r="E12" s="41" t="s">
        <v>26</v>
      </c>
      <c r="F12" s="41" t="s">
        <v>575</v>
      </c>
      <c r="G12" s="41" t="s">
        <v>46400</v>
      </c>
      <c r="H12" s="41" t="s">
        <v>46401</v>
      </c>
      <c r="I12" s="41" t="s">
        <v>27</v>
      </c>
      <c r="J12" s="41" t="s">
        <v>46402</v>
      </c>
      <c r="K12" s="41" t="s">
        <v>46403</v>
      </c>
      <c r="L12" s="41" t="s">
        <v>46404</v>
      </c>
      <c r="M12" s="41" t="s">
        <v>46405</v>
      </c>
      <c r="N12" s="41" t="s">
        <v>46406</v>
      </c>
      <c r="Q12" s="41" t="s">
        <v>46407</v>
      </c>
      <c r="R12" s="41" t="s">
        <v>46387</v>
      </c>
      <c r="S12" s="41" t="s">
        <v>46397</v>
      </c>
    </row>
    <row r="13" spans="1:19" x14ac:dyDescent="0.25">
      <c r="A13" s="41" t="s">
        <v>23</v>
      </c>
      <c r="B13" s="41" t="s">
        <v>46408</v>
      </c>
      <c r="D13" s="41" t="s">
        <v>83</v>
      </c>
      <c r="E13" s="41" t="s">
        <v>28</v>
      </c>
      <c r="F13" s="41" t="s">
        <v>576</v>
      </c>
      <c r="G13" s="41" t="s">
        <v>46409</v>
      </c>
      <c r="H13" s="41" t="s">
        <v>46410</v>
      </c>
      <c r="I13" s="41" t="s">
        <v>29</v>
      </c>
      <c r="J13" s="41" t="s">
        <v>46411</v>
      </c>
      <c r="K13" s="41" t="s">
        <v>46412</v>
      </c>
      <c r="L13" s="41" t="s">
        <v>46413</v>
      </c>
      <c r="M13" s="41" t="s">
        <v>46414</v>
      </c>
      <c r="N13" s="41" t="s">
        <v>46415</v>
      </c>
      <c r="Q13" s="41" t="s">
        <v>46416</v>
      </c>
      <c r="R13" s="41" t="s">
        <v>46387</v>
      </c>
      <c r="S13" s="41" t="s">
        <v>46397</v>
      </c>
    </row>
    <row r="14" spans="1:19" x14ac:dyDescent="0.25">
      <c r="A14" s="41" t="s">
        <v>23</v>
      </c>
      <c r="B14" s="41" t="s">
        <v>46417</v>
      </c>
      <c r="D14" s="41" t="s">
        <v>94</v>
      </c>
      <c r="E14" s="41" t="s">
        <v>30</v>
      </c>
      <c r="F14" s="41" t="s">
        <v>577</v>
      </c>
      <c r="G14" s="41" t="s">
        <v>46418</v>
      </c>
      <c r="H14" s="41" t="s">
        <v>46419</v>
      </c>
      <c r="I14" s="41" t="s">
        <v>31</v>
      </c>
      <c r="J14" s="41" t="s">
        <v>46420</v>
      </c>
      <c r="K14" s="41" t="s">
        <v>46421</v>
      </c>
      <c r="L14" s="41" t="s">
        <v>46422</v>
      </c>
      <c r="M14" s="41" t="s">
        <v>46423</v>
      </c>
      <c r="N14" s="41" t="s">
        <v>46424</v>
      </c>
      <c r="Q14" s="41" t="s">
        <v>46425</v>
      </c>
      <c r="R14" s="41" t="s">
        <v>46387</v>
      </c>
      <c r="S14" s="41" t="s">
        <v>46397</v>
      </c>
    </row>
    <row r="15" spans="1:19" x14ac:dyDescent="0.25">
      <c r="A15" s="41" t="s">
        <v>23</v>
      </c>
      <c r="B15" s="41" t="s">
        <v>46426</v>
      </c>
      <c r="D15" s="41" t="s">
        <v>127</v>
      </c>
      <c r="E15" s="41" t="s">
        <v>32</v>
      </c>
      <c r="F15" s="41" t="s">
        <v>578</v>
      </c>
      <c r="G15" s="41" t="s">
        <v>46427</v>
      </c>
      <c r="H15" s="41" t="s">
        <v>46428</v>
      </c>
      <c r="I15" s="41" t="s">
        <v>33</v>
      </c>
      <c r="J15" s="41" t="s">
        <v>46429</v>
      </c>
      <c r="K15" s="41" t="s">
        <v>46430</v>
      </c>
      <c r="L15" s="41" t="s">
        <v>46431</v>
      </c>
      <c r="M15" s="41" t="s">
        <v>46432</v>
      </c>
      <c r="N15" s="41" t="s">
        <v>46433</v>
      </c>
      <c r="Q15" s="41" t="s">
        <v>46434</v>
      </c>
      <c r="R15" s="41" t="s">
        <v>46387</v>
      </c>
      <c r="S15" s="41" t="s">
        <v>46397</v>
      </c>
    </row>
    <row r="16" spans="1:19" x14ac:dyDescent="0.25">
      <c r="A16" s="41" t="s">
        <v>23</v>
      </c>
      <c r="B16" s="41" t="s">
        <v>46435</v>
      </c>
      <c r="D16" s="41" t="s">
        <v>133</v>
      </c>
      <c r="E16" s="41" t="s">
        <v>34</v>
      </c>
      <c r="F16" s="41" t="s">
        <v>579</v>
      </c>
      <c r="G16" s="41" t="s">
        <v>46436</v>
      </c>
      <c r="H16" s="41" t="s">
        <v>46437</v>
      </c>
      <c r="I16" s="41" t="s">
        <v>35</v>
      </c>
      <c r="J16" s="41" t="s">
        <v>46438</v>
      </c>
      <c r="K16" s="41" t="s">
        <v>46439</v>
      </c>
      <c r="L16" s="41" t="s">
        <v>46440</v>
      </c>
      <c r="M16" s="41" t="s">
        <v>46441</v>
      </c>
      <c r="N16" s="41" t="s">
        <v>46442</v>
      </c>
      <c r="Q16" s="41" t="s">
        <v>46443</v>
      </c>
      <c r="R16" s="41" t="s">
        <v>46387</v>
      </c>
      <c r="S16" s="41" t="s">
        <v>46397</v>
      </c>
    </row>
    <row r="17" spans="1:19" x14ac:dyDescent="0.25">
      <c r="A17" s="41" t="s">
        <v>23</v>
      </c>
      <c r="B17" s="41" t="s">
        <v>46444</v>
      </c>
      <c r="D17" s="41" t="s">
        <v>148</v>
      </c>
      <c r="E17" s="41" t="s">
        <v>37</v>
      </c>
      <c r="F17" s="41" t="s">
        <v>584</v>
      </c>
      <c r="G17" s="41" t="s">
        <v>46445</v>
      </c>
      <c r="H17" s="41" t="s">
        <v>46446</v>
      </c>
      <c r="I17" s="41" t="s">
        <v>38</v>
      </c>
      <c r="J17" s="41" t="s">
        <v>46447</v>
      </c>
      <c r="K17" s="41" t="s">
        <v>46448</v>
      </c>
      <c r="L17" s="41" t="s">
        <v>46449</v>
      </c>
      <c r="M17" s="41" t="s">
        <v>46450</v>
      </c>
      <c r="N17" s="41" t="s">
        <v>46451</v>
      </c>
      <c r="Q17" s="41" t="s">
        <v>46452</v>
      </c>
      <c r="R17" s="41" t="s">
        <v>46387</v>
      </c>
      <c r="S17" s="41" t="s">
        <v>46397</v>
      </c>
    </row>
    <row r="18" spans="1:19" x14ac:dyDescent="0.25">
      <c r="A18" s="41" t="s">
        <v>23</v>
      </c>
      <c r="B18" s="41" t="s">
        <v>46453</v>
      </c>
      <c r="D18" s="41" t="s">
        <v>4823</v>
      </c>
      <c r="E18" s="41" t="s">
        <v>40</v>
      </c>
      <c r="F18" s="41" t="s">
        <v>585</v>
      </c>
      <c r="G18" s="41" t="s">
        <v>46454</v>
      </c>
      <c r="H18" s="41" t="s">
        <v>46455</v>
      </c>
      <c r="I18" s="41" t="s">
        <v>41</v>
      </c>
      <c r="J18" s="41" t="s">
        <v>46456</v>
      </c>
      <c r="K18" s="41" t="s">
        <v>46457</v>
      </c>
      <c r="L18" s="41" t="s">
        <v>46458</v>
      </c>
      <c r="M18" s="41" t="s">
        <v>46459</v>
      </c>
      <c r="N18" s="41" t="s">
        <v>46460</v>
      </c>
      <c r="Q18" s="41" t="s">
        <v>46461</v>
      </c>
      <c r="R18" s="41" t="s">
        <v>46387</v>
      </c>
      <c r="S18" s="41" t="s">
        <v>46397</v>
      </c>
    </row>
    <row r="19" spans="1:19" x14ac:dyDescent="0.25">
      <c r="A19" s="41" t="s">
        <v>23</v>
      </c>
      <c r="B19" s="41" t="s">
        <v>46462</v>
      </c>
      <c r="D19" s="41" t="s">
        <v>6124</v>
      </c>
      <c r="E19" s="41" t="s">
        <v>43</v>
      </c>
      <c r="F19" s="41" t="s">
        <v>586</v>
      </c>
      <c r="G19" s="41" t="s">
        <v>46463</v>
      </c>
      <c r="H19" s="41" t="s">
        <v>46464</v>
      </c>
      <c r="I19" s="41" t="s">
        <v>44</v>
      </c>
      <c r="J19" s="41" t="s">
        <v>46465</v>
      </c>
      <c r="K19" s="41" t="s">
        <v>46466</v>
      </c>
      <c r="L19" s="41" t="s">
        <v>46467</v>
      </c>
      <c r="M19" s="41" t="s">
        <v>46468</v>
      </c>
      <c r="N19" s="41" t="s">
        <v>46469</v>
      </c>
      <c r="Q19" s="41" t="s">
        <v>46470</v>
      </c>
      <c r="R19" s="41" t="s">
        <v>46387</v>
      </c>
      <c r="S19" s="41" t="s">
        <v>46397</v>
      </c>
    </row>
    <row r="20" spans="1:19" x14ac:dyDescent="0.25">
      <c r="A20" s="41" t="s">
        <v>23</v>
      </c>
      <c r="B20" s="41" t="s">
        <v>46471</v>
      </c>
      <c r="D20" s="41" t="s">
        <v>217</v>
      </c>
      <c r="E20" s="41" t="s">
        <v>46</v>
      </c>
      <c r="F20" s="41" t="s">
        <v>587</v>
      </c>
      <c r="G20" s="41" t="s">
        <v>46472</v>
      </c>
      <c r="H20" s="41" t="s">
        <v>46473</v>
      </c>
      <c r="I20" s="41" t="s">
        <v>47</v>
      </c>
      <c r="J20" s="41" t="s">
        <v>46474</v>
      </c>
      <c r="K20" s="41" t="s">
        <v>46475</v>
      </c>
      <c r="L20" s="41" t="s">
        <v>46476</v>
      </c>
      <c r="M20" s="41" t="s">
        <v>46477</v>
      </c>
      <c r="N20" s="41" t="s">
        <v>46478</v>
      </c>
      <c r="Q20" s="41" t="s">
        <v>46479</v>
      </c>
      <c r="R20" s="41" t="s">
        <v>46387</v>
      </c>
      <c r="S20" s="41" t="s">
        <v>46397</v>
      </c>
    </row>
    <row r="21" spans="1:19" x14ac:dyDescent="0.25">
      <c r="A21" s="41" t="s">
        <v>23</v>
      </c>
      <c r="B21" s="41" t="s">
        <v>46480</v>
      </c>
      <c r="D21" s="41" t="s">
        <v>226</v>
      </c>
      <c r="E21" s="41" t="s">
        <v>48</v>
      </c>
      <c r="F21" s="41" t="s">
        <v>588</v>
      </c>
      <c r="G21" s="41" t="s">
        <v>46481</v>
      </c>
      <c r="H21" s="41" t="s">
        <v>46482</v>
      </c>
      <c r="I21" s="41" t="s">
        <v>49</v>
      </c>
      <c r="J21" s="41" t="s">
        <v>46483</v>
      </c>
      <c r="K21" s="41" t="s">
        <v>46484</v>
      </c>
      <c r="L21" s="41" t="s">
        <v>46485</v>
      </c>
      <c r="M21" s="41" t="s">
        <v>46486</v>
      </c>
      <c r="N21" s="41" t="s">
        <v>46487</v>
      </c>
      <c r="Q21" s="41" t="s">
        <v>46488</v>
      </c>
      <c r="R21" s="41" t="s">
        <v>46387</v>
      </c>
      <c r="S21" s="41" t="s">
        <v>46397</v>
      </c>
    </row>
    <row r="22" spans="1:19" x14ac:dyDescent="0.25">
      <c r="A22" s="41" t="s">
        <v>23</v>
      </c>
      <c r="B22" s="41" t="s">
        <v>46489</v>
      </c>
      <c r="D22" s="41" t="s">
        <v>264</v>
      </c>
      <c r="E22" s="41" t="s">
        <v>50</v>
      </c>
      <c r="F22" s="41" t="s">
        <v>589</v>
      </c>
      <c r="G22" s="41" t="s">
        <v>46490</v>
      </c>
      <c r="H22" s="41" t="s">
        <v>46491</v>
      </c>
      <c r="I22" s="41" t="s">
        <v>51</v>
      </c>
      <c r="J22" s="41" t="s">
        <v>46492</v>
      </c>
      <c r="K22" s="41" t="s">
        <v>46493</v>
      </c>
      <c r="L22" s="41" t="s">
        <v>46494</v>
      </c>
      <c r="M22" s="41" t="s">
        <v>46495</v>
      </c>
      <c r="N22" s="41" t="s">
        <v>46496</v>
      </c>
      <c r="Q22" s="41" t="s">
        <v>46497</v>
      </c>
      <c r="R22" s="41" t="s">
        <v>46387</v>
      </c>
      <c r="S22" s="41" t="s">
        <v>46397</v>
      </c>
    </row>
    <row r="23" spans="1:19" x14ac:dyDescent="0.25">
      <c r="A23" s="41" t="s">
        <v>23</v>
      </c>
      <c r="B23" s="41" t="s">
        <v>46498</v>
      </c>
      <c r="D23" s="41" t="s">
        <v>267</v>
      </c>
      <c r="E23" s="41" t="s">
        <v>52</v>
      </c>
      <c r="F23" s="41" t="s">
        <v>590</v>
      </c>
      <c r="G23" s="41" t="s">
        <v>46499</v>
      </c>
      <c r="H23" s="41" t="s">
        <v>46500</v>
      </c>
      <c r="I23" s="41" t="s">
        <v>53</v>
      </c>
      <c r="J23" s="41" t="s">
        <v>46501</v>
      </c>
      <c r="K23" s="41" t="s">
        <v>46502</v>
      </c>
      <c r="L23" s="41" t="s">
        <v>46503</v>
      </c>
      <c r="M23" s="41" t="s">
        <v>46504</v>
      </c>
      <c r="N23" s="41" t="s">
        <v>46505</v>
      </c>
      <c r="Q23" s="41" t="s">
        <v>46506</v>
      </c>
      <c r="R23" s="41" t="s">
        <v>46387</v>
      </c>
      <c r="S23" s="41" t="s">
        <v>46397</v>
      </c>
    </row>
    <row r="24" spans="1:19" x14ac:dyDescent="0.25">
      <c r="A24" s="41" t="s">
        <v>23</v>
      </c>
      <c r="B24" s="41" t="s">
        <v>46507</v>
      </c>
      <c r="D24" s="41" t="s">
        <v>521</v>
      </c>
      <c r="E24" s="41" t="s">
        <v>54</v>
      </c>
      <c r="F24" s="41" t="s">
        <v>595</v>
      </c>
      <c r="G24" s="41" t="s">
        <v>46508</v>
      </c>
      <c r="H24" s="41" t="s">
        <v>46509</v>
      </c>
      <c r="I24" s="41" t="s">
        <v>55</v>
      </c>
      <c r="J24" s="41" t="s">
        <v>46510</v>
      </c>
      <c r="K24" s="41" t="s">
        <v>46511</v>
      </c>
      <c r="L24" s="41" t="s">
        <v>46512</v>
      </c>
      <c r="M24" s="41" t="s">
        <v>46513</v>
      </c>
      <c r="N24" s="41" t="s">
        <v>46514</v>
      </c>
      <c r="Q24" s="41" t="s">
        <v>46515</v>
      </c>
      <c r="R24" s="41" t="s">
        <v>46387</v>
      </c>
      <c r="S24" s="41" t="s">
        <v>46397</v>
      </c>
    </row>
    <row r="25" spans="1:19" x14ac:dyDescent="0.25">
      <c r="A25" s="41" t="s">
        <v>23</v>
      </c>
      <c r="B25" s="41" t="s">
        <v>46516</v>
      </c>
      <c r="D25" s="41" t="s">
        <v>18976</v>
      </c>
      <c r="E25" s="41" t="s">
        <v>56</v>
      </c>
      <c r="F25" s="41" t="s">
        <v>596</v>
      </c>
      <c r="G25" s="41" t="s">
        <v>46517</v>
      </c>
      <c r="H25" s="41" t="s">
        <v>46518</v>
      </c>
      <c r="I25" s="41" t="s">
        <v>57</v>
      </c>
      <c r="J25" s="41" t="s">
        <v>46519</v>
      </c>
      <c r="K25" s="41" t="s">
        <v>46520</v>
      </c>
      <c r="L25" s="41" t="s">
        <v>46521</v>
      </c>
      <c r="M25" s="41" t="s">
        <v>46522</v>
      </c>
      <c r="N25" s="41" t="s">
        <v>46523</v>
      </c>
      <c r="Q25" s="41" t="s">
        <v>46524</v>
      </c>
      <c r="R25" s="41" t="s">
        <v>46387</v>
      </c>
      <c r="S25" s="41" t="s">
        <v>46397</v>
      </c>
    </row>
    <row r="26" spans="1:19" x14ac:dyDescent="0.25">
      <c r="A26" s="41" t="s">
        <v>23</v>
      </c>
      <c r="B26" s="41" t="s">
        <v>46525</v>
      </c>
      <c r="D26" s="41" t="s">
        <v>19200</v>
      </c>
      <c r="E26" s="41" t="s">
        <v>58</v>
      </c>
      <c r="F26" s="41" t="s">
        <v>597</v>
      </c>
      <c r="G26" s="41" t="s">
        <v>46526</v>
      </c>
      <c r="H26" s="41" t="s">
        <v>46527</v>
      </c>
      <c r="I26" s="41" t="s">
        <v>59</v>
      </c>
      <c r="J26" s="41" t="s">
        <v>46528</v>
      </c>
      <c r="K26" s="41" t="s">
        <v>46529</v>
      </c>
      <c r="L26" s="41" t="s">
        <v>46530</v>
      </c>
      <c r="M26" s="41" t="s">
        <v>46531</v>
      </c>
      <c r="N26" s="41" t="s">
        <v>46532</v>
      </c>
      <c r="Q26" s="41" t="s">
        <v>46533</v>
      </c>
      <c r="R26" s="41" t="s">
        <v>46387</v>
      </c>
      <c r="S26" s="41" t="s">
        <v>46397</v>
      </c>
    </row>
    <row r="27" spans="1:19" x14ac:dyDescent="0.25">
      <c r="A27" s="41" t="s">
        <v>23</v>
      </c>
      <c r="B27" s="41" t="s">
        <v>46534</v>
      </c>
      <c r="D27" s="41" t="s">
        <v>24734</v>
      </c>
      <c r="E27" s="41" t="s">
        <v>61</v>
      </c>
      <c r="F27" s="41" t="s">
        <v>598</v>
      </c>
      <c r="G27" s="41" t="s">
        <v>46535</v>
      </c>
      <c r="H27" s="41" t="s">
        <v>46536</v>
      </c>
      <c r="I27" s="41" t="s">
        <v>62</v>
      </c>
      <c r="J27" s="41" t="s">
        <v>46537</v>
      </c>
      <c r="K27" s="41" t="s">
        <v>46538</v>
      </c>
      <c r="L27" s="41" t="s">
        <v>46539</v>
      </c>
      <c r="M27" s="41" t="s">
        <v>46540</v>
      </c>
      <c r="N27" s="41" t="s">
        <v>46541</v>
      </c>
      <c r="Q27" s="41" t="s">
        <v>46542</v>
      </c>
      <c r="R27" s="41" t="s">
        <v>46387</v>
      </c>
      <c r="S27" s="41" t="s">
        <v>46397</v>
      </c>
    </row>
    <row r="28" spans="1:19" x14ac:dyDescent="0.25">
      <c r="A28" s="41" t="s">
        <v>23</v>
      </c>
      <c r="B28" s="41" t="s">
        <v>46543</v>
      </c>
      <c r="D28" s="41" t="s">
        <v>25462</v>
      </c>
      <c r="E28" s="41" t="s">
        <v>63</v>
      </c>
      <c r="F28" s="41" t="s">
        <v>599</v>
      </c>
      <c r="G28" s="41" t="s">
        <v>46544</v>
      </c>
      <c r="H28" s="41" t="s">
        <v>46545</v>
      </c>
      <c r="I28" s="41" t="s">
        <v>64</v>
      </c>
      <c r="J28" s="41" t="s">
        <v>46546</v>
      </c>
      <c r="K28" s="41" t="s">
        <v>46547</v>
      </c>
      <c r="L28" s="41" t="s">
        <v>46548</v>
      </c>
      <c r="M28" s="41" t="s">
        <v>46549</v>
      </c>
      <c r="N28" s="41" t="s">
        <v>46550</v>
      </c>
      <c r="Q28" s="41" t="s">
        <v>46551</v>
      </c>
      <c r="R28" s="41" t="s">
        <v>46387</v>
      </c>
      <c r="S28" s="41" t="s">
        <v>46397</v>
      </c>
    </row>
    <row r="29" spans="1:19" x14ac:dyDescent="0.25">
      <c r="A29" s="41" t="s">
        <v>23</v>
      </c>
      <c r="B29" s="41" t="s">
        <v>46552</v>
      </c>
      <c r="D29" s="41" t="s">
        <v>43671</v>
      </c>
      <c r="E29" s="41" t="s">
        <v>65</v>
      </c>
      <c r="F29" s="41" t="s">
        <v>600</v>
      </c>
      <c r="G29" s="41" t="s">
        <v>46553</v>
      </c>
      <c r="H29" s="41" t="s">
        <v>46554</v>
      </c>
      <c r="I29" s="41" t="s">
        <v>66</v>
      </c>
      <c r="J29" s="41" t="s">
        <v>46555</v>
      </c>
      <c r="K29" s="41" t="s">
        <v>46556</v>
      </c>
      <c r="L29" s="41" t="s">
        <v>46557</v>
      </c>
      <c r="M29" s="41" t="s">
        <v>46558</v>
      </c>
      <c r="N29" s="41" t="s">
        <v>46559</v>
      </c>
      <c r="Q29" s="41" t="s">
        <v>46560</v>
      </c>
      <c r="R29" s="41" t="s">
        <v>46387</v>
      </c>
      <c r="S29" s="41" t="s">
        <v>46397</v>
      </c>
    </row>
    <row r="30" spans="1:19" x14ac:dyDescent="0.25">
      <c r="A30" s="41" t="s">
        <v>23</v>
      </c>
      <c r="B30" s="41" t="s">
        <v>46561</v>
      </c>
      <c r="D30" s="41" t="s">
        <v>43671</v>
      </c>
      <c r="E30" s="41" t="s">
        <v>1518</v>
      </c>
      <c r="F30" s="41" t="s">
        <v>601</v>
      </c>
      <c r="G30" s="41" t="s">
        <v>46562</v>
      </c>
      <c r="H30" s="41" t="s">
        <v>46563</v>
      </c>
      <c r="I30" s="41" t="s">
        <v>68</v>
      </c>
      <c r="J30" s="41" t="s">
        <v>46564</v>
      </c>
      <c r="K30" s="41" t="s">
        <v>46565</v>
      </c>
      <c r="L30" s="41" t="s">
        <v>46566</v>
      </c>
      <c r="M30" s="41" t="s">
        <v>46567</v>
      </c>
      <c r="N30" s="41" t="s">
        <v>46568</v>
      </c>
      <c r="Q30" s="41" t="s">
        <v>46569</v>
      </c>
      <c r="R30" s="41" t="s">
        <v>46387</v>
      </c>
      <c r="S30" s="41" t="s">
        <v>46397</v>
      </c>
    </row>
    <row r="32" spans="1:19" x14ac:dyDescent="0.25">
      <c r="H32" s="41" t="s">
        <v>4</v>
      </c>
      <c r="I32" s="41" t="s">
        <v>46398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7178A-2A54-4A80-9649-3CFCE54F1B55}">
  <dimension ref="A1:S43"/>
  <sheetViews>
    <sheetView workbookViewId="0"/>
  </sheetViews>
  <sheetFormatPr defaultRowHeight="13.2" x14ac:dyDescent="0.25"/>
  <sheetData>
    <row r="1" spans="1:19" x14ac:dyDescent="0.25">
      <c r="A1" s="41" t="s">
        <v>48035</v>
      </c>
      <c r="B1" s="41" t="s">
        <v>9</v>
      </c>
      <c r="C1" s="41" t="s">
        <v>5</v>
      </c>
      <c r="E1" s="41" t="s">
        <v>5</v>
      </c>
      <c r="F1" s="41" t="s">
        <v>5</v>
      </c>
      <c r="J1" s="41" t="s">
        <v>5</v>
      </c>
      <c r="K1" s="41" t="s">
        <v>5</v>
      </c>
      <c r="L1" s="41" t="s">
        <v>5</v>
      </c>
      <c r="R1" s="41" t="s">
        <v>46381</v>
      </c>
      <c r="S1" s="41" t="s">
        <v>46381</v>
      </c>
    </row>
    <row r="2" spans="1:19" x14ac:dyDescent="0.25">
      <c r="D2" s="41" t="s">
        <v>48022</v>
      </c>
    </row>
    <row r="4" spans="1:19" x14ac:dyDescent="0.25">
      <c r="B4" s="41" t="s">
        <v>565</v>
      </c>
      <c r="G4" s="41" t="s">
        <v>1085</v>
      </c>
      <c r="H4" s="41" t="s">
        <v>48021</v>
      </c>
    </row>
    <row r="5" spans="1:19" x14ac:dyDescent="0.25">
      <c r="G5" s="41" t="s">
        <v>46384</v>
      </c>
      <c r="H5" s="41" t="s">
        <v>46382</v>
      </c>
    </row>
    <row r="6" spans="1:19" x14ac:dyDescent="0.25">
      <c r="B6" s="41" t="s">
        <v>566</v>
      </c>
      <c r="G6" s="41" t="s">
        <v>46385</v>
      </c>
      <c r="H6" s="41" t="s">
        <v>46383</v>
      </c>
    </row>
    <row r="7" spans="1:19" x14ac:dyDescent="0.25">
      <c r="A7" s="41" t="s">
        <v>5</v>
      </c>
      <c r="B7" s="41" t="s">
        <v>44786</v>
      </c>
      <c r="G7" s="41" t="s">
        <v>46386</v>
      </c>
      <c r="H7" s="41" t="s">
        <v>16</v>
      </c>
    </row>
    <row r="8" spans="1:19" x14ac:dyDescent="0.25">
      <c r="B8" s="41" t="s">
        <v>44787</v>
      </c>
      <c r="F8" s="41" t="s">
        <v>44788</v>
      </c>
    </row>
    <row r="9" spans="1:19" x14ac:dyDescent="0.25">
      <c r="A9" s="41" t="s">
        <v>5</v>
      </c>
      <c r="J9" s="41" t="s">
        <v>10</v>
      </c>
      <c r="K9" s="41" t="s">
        <v>10</v>
      </c>
      <c r="L9" s="41" t="s">
        <v>12</v>
      </c>
      <c r="M9" s="41" t="s">
        <v>12</v>
      </c>
    </row>
    <row r="10" spans="1:19" x14ac:dyDescent="0.25">
      <c r="B10" s="41" t="s">
        <v>3</v>
      </c>
      <c r="D10" s="41" t="s">
        <v>0</v>
      </c>
      <c r="E10" s="41" t="s">
        <v>8</v>
      </c>
      <c r="F10" s="41" t="s">
        <v>564</v>
      </c>
      <c r="G10" s="41" t="s">
        <v>1</v>
      </c>
      <c r="H10" s="41" t="s">
        <v>2</v>
      </c>
      <c r="I10" s="41" t="s">
        <v>19</v>
      </c>
      <c r="J10" s="41" t="s">
        <v>46387</v>
      </c>
      <c r="K10" s="41" t="s">
        <v>13</v>
      </c>
      <c r="L10" s="41" t="s">
        <v>46387</v>
      </c>
      <c r="M10" s="41" t="s">
        <v>13</v>
      </c>
      <c r="N10" s="41" t="s">
        <v>18</v>
      </c>
      <c r="O10" s="41" t="s">
        <v>46378</v>
      </c>
      <c r="P10" s="41" t="s">
        <v>46379</v>
      </c>
      <c r="Q10" s="41" t="s">
        <v>46380</v>
      </c>
      <c r="R10" s="41" t="s">
        <v>48020</v>
      </c>
      <c r="S10" s="41" t="s">
        <v>46382</v>
      </c>
    </row>
    <row r="11" spans="1:19" x14ac:dyDescent="0.25">
      <c r="B11" s="41" t="s">
        <v>46388</v>
      </c>
      <c r="D11" s="41" t="s">
        <v>48019</v>
      </c>
      <c r="E11" s="41" t="s">
        <v>24</v>
      </c>
      <c r="F11" s="41" t="s">
        <v>574</v>
      </c>
      <c r="G11" s="41" t="s">
        <v>46389</v>
      </c>
      <c r="H11" s="41" t="s">
        <v>46390</v>
      </c>
      <c r="I11" s="41" t="s">
        <v>25</v>
      </c>
      <c r="J11" s="41" t="s">
        <v>46391</v>
      </c>
      <c r="K11" s="41" t="s">
        <v>46392</v>
      </c>
      <c r="L11" s="41" t="s">
        <v>46393</v>
      </c>
      <c r="M11" s="41" t="s">
        <v>46394</v>
      </c>
      <c r="N11" s="41" t="s">
        <v>46395</v>
      </c>
      <c r="Q11" s="41" t="s">
        <v>46396</v>
      </c>
      <c r="R11" s="41" t="s">
        <v>46387</v>
      </c>
      <c r="S11" s="41" t="s">
        <v>46397</v>
      </c>
    </row>
    <row r="12" spans="1:19" x14ac:dyDescent="0.25">
      <c r="A12" s="41" t="s">
        <v>23</v>
      </c>
      <c r="B12" s="41" t="s">
        <v>46399</v>
      </c>
      <c r="D12" s="41" t="s">
        <v>881</v>
      </c>
      <c r="E12" s="41" t="s">
        <v>26</v>
      </c>
      <c r="F12" s="41" t="s">
        <v>575</v>
      </c>
      <c r="G12" s="41" t="s">
        <v>46400</v>
      </c>
      <c r="H12" s="41" t="s">
        <v>46401</v>
      </c>
      <c r="I12" s="41" t="s">
        <v>27</v>
      </c>
      <c r="J12" s="41" t="s">
        <v>46402</v>
      </c>
      <c r="K12" s="41" t="s">
        <v>46403</v>
      </c>
      <c r="L12" s="41" t="s">
        <v>46404</v>
      </c>
      <c r="M12" s="41" t="s">
        <v>46405</v>
      </c>
      <c r="N12" s="41" t="s">
        <v>46406</v>
      </c>
      <c r="Q12" s="41" t="s">
        <v>46407</v>
      </c>
      <c r="R12" s="41" t="s">
        <v>46387</v>
      </c>
      <c r="S12" s="41" t="s">
        <v>46397</v>
      </c>
    </row>
    <row r="13" spans="1:19" x14ac:dyDescent="0.25">
      <c r="A13" s="41" t="s">
        <v>23</v>
      </c>
      <c r="B13" s="41" t="s">
        <v>46408</v>
      </c>
      <c r="D13" s="41" t="s">
        <v>882</v>
      </c>
      <c r="E13" s="41" t="s">
        <v>28</v>
      </c>
      <c r="F13" s="41" t="s">
        <v>576</v>
      </c>
      <c r="G13" s="41" t="s">
        <v>46409</v>
      </c>
      <c r="H13" s="41" t="s">
        <v>46410</v>
      </c>
      <c r="I13" s="41" t="s">
        <v>29</v>
      </c>
      <c r="J13" s="41" t="s">
        <v>46411</v>
      </c>
      <c r="K13" s="41" t="s">
        <v>46412</v>
      </c>
      <c r="L13" s="41" t="s">
        <v>46413</v>
      </c>
      <c r="M13" s="41" t="s">
        <v>46414</v>
      </c>
      <c r="N13" s="41" t="s">
        <v>46415</v>
      </c>
      <c r="Q13" s="41" t="s">
        <v>46416</v>
      </c>
      <c r="R13" s="41" t="s">
        <v>46387</v>
      </c>
      <c r="S13" s="41" t="s">
        <v>46397</v>
      </c>
    </row>
    <row r="14" spans="1:19" x14ac:dyDescent="0.25">
      <c r="A14" s="41" t="s">
        <v>23</v>
      </c>
      <c r="B14" s="41" t="s">
        <v>46417</v>
      </c>
      <c r="D14" s="41" t="s">
        <v>535</v>
      </c>
      <c r="E14" s="41" t="s">
        <v>30</v>
      </c>
      <c r="F14" s="41" t="s">
        <v>577</v>
      </c>
      <c r="G14" s="41" t="s">
        <v>46418</v>
      </c>
      <c r="H14" s="41" t="s">
        <v>46419</v>
      </c>
      <c r="I14" s="41" t="s">
        <v>31</v>
      </c>
      <c r="J14" s="41" t="s">
        <v>46420</v>
      </c>
      <c r="K14" s="41" t="s">
        <v>46421</v>
      </c>
      <c r="L14" s="41" t="s">
        <v>46422</v>
      </c>
      <c r="M14" s="41" t="s">
        <v>46423</v>
      </c>
      <c r="N14" s="41" t="s">
        <v>46424</v>
      </c>
      <c r="Q14" s="41" t="s">
        <v>46425</v>
      </c>
      <c r="R14" s="41" t="s">
        <v>46387</v>
      </c>
      <c r="S14" s="41" t="s">
        <v>46397</v>
      </c>
    </row>
    <row r="15" spans="1:19" x14ac:dyDescent="0.25">
      <c r="A15" s="41" t="s">
        <v>23</v>
      </c>
      <c r="B15" s="41" t="s">
        <v>46426</v>
      </c>
      <c r="D15" s="41" t="s">
        <v>559</v>
      </c>
      <c r="E15" s="41" t="s">
        <v>32</v>
      </c>
      <c r="F15" s="41" t="s">
        <v>578</v>
      </c>
      <c r="G15" s="41" t="s">
        <v>46427</v>
      </c>
      <c r="H15" s="41" t="s">
        <v>46428</v>
      </c>
      <c r="I15" s="41" t="s">
        <v>33</v>
      </c>
      <c r="J15" s="41" t="s">
        <v>46429</v>
      </c>
      <c r="K15" s="41" t="s">
        <v>46430</v>
      </c>
      <c r="L15" s="41" t="s">
        <v>46431</v>
      </c>
      <c r="M15" s="41" t="s">
        <v>46432</v>
      </c>
      <c r="N15" s="41" t="s">
        <v>46433</v>
      </c>
      <c r="Q15" s="41" t="s">
        <v>46434</v>
      </c>
      <c r="R15" s="41" t="s">
        <v>46387</v>
      </c>
      <c r="S15" s="41" t="s">
        <v>46397</v>
      </c>
    </row>
    <row r="16" spans="1:19" x14ac:dyDescent="0.25">
      <c r="A16" s="41" t="s">
        <v>23</v>
      </c>
      <c r="B16" s="41" t="s">
        <v>46435</v>
      </c>
      <c r="D16" s="41" t="s">
        <v>883</v>
      </c>
      <c r="E16" s="41" t="s">
        <v>34</v>
      </c>
      <c r="F16" s="41" t="s">
        <v>579</v>
      </c>
      <c r="G16" s="41" t="s">
        <v>46436</v>
      </c>
      <c r="H16" s="41" t="s">
        <v>46437</v>
      </c>
      <c r="I16" s="41" t="s">
        <v>35</v>
      </c>
      <c r="J16" s="41" t="s">
        <v>46438</v>
      </c>
      <c r="K16" s="41" t="s">
        <v>46439</v>
      </c>
      <c r="L16" s="41" t="s">
        <v>46440</v>
      </c>
      <c r="M16" s="41" t="s">
        <v>46441</v>
      </c>
      <c r="N16" s="41" t="s">
        <v>46442</v>
      </c>
      <c r="Q16" s="41" t="s">
        <v>46443</v>
      </c>
      <c r="R16" s="41" t="s">
        <v>46387</v>
      </c>
      <c r="S16" s="41" t="s">
        <v>46397</v>
      </c>
    </row>
    <row r="17" spans="1:19" x14ac:dyDescent="0.25">
      <c r="A17" s="41" t="s">
        <v>23</v>
      </c>
      <c r="B17" s="41" t="s">
        <v>46444</v>
      </c>
      <c r="D17" s="41" t="s">
        <v>536</v>
      </c>
      <c r="E17" s="41" t="s">
        <v>37</v>
      </c>
      <c r="F17" s="41" t="s">
        <v>584</v>
      </c>
      <c r="G17" s="41" t="s">
        <v>46445</v>
      </c>
      <c r="H17" s="41" t="s">
        <v>46446</v>
      </c>
      <c r="I17" s="41" t="s">
        <v>38</v>
      </c>
      <c r="J17" s="41" t="s">
        <v>46447</v>
      </c>
      <c r="K17" s="41" t="s">
        <v>46448</v>
      </c>
      <c r="L17" s="41" t="s">
        <v>46449</v>
      </c>
      <c r="M17" s="41" t="s">
        <v>46450</v>
      </c>
      <c r="N17" s="41" t="s">
        <v>46451</v>
      </c>
      <c r="Q17" s="41" t="s">
        <v>46452</v>
      </c>
      <c r="R17" s="41" t="s">
        <v>46387</v>
      </c>
      <c r="S17" s="41" t="s">
        <v>46397</v>
      </c>
    </row>
    <row r="18" spans="1:19" x14ac:dyDescent="0.25">
      <c r="A18" s="41" t="s">
        <v>23</v>
      </c>
      <c r="B18" s="41" t="s">
        <v>46453</v>
      </c>
      <c r="D18" s="41" t="s">
        <v>537</v>
      </c>
      <c r="E18" s="41" t="s">
        <v>40</v>
      </c>
      <c r="F18" s="41" t="s">
        <v>585</v>
      </c>
      <c r="G18" s="41" t="s">
        <v>46454</v>
      </c>
      <c r="H18" s="41" t="s">
        <v>46455</v>
      </c>
      <c r="I18" s="41" t="s">
        <v>41</v>
      </c>
      <c r="J18" s="41" t="s">
        <v>46456</v>
      </c>
      <c r="K18" s="41" t="s">
        <v>46457</v>
      </c>
      <c r="L18" s="41" t="s">
        <v>46458</v>
      </c>
      <c r="M18" s="41" t="s">
        <v>46459</v>
      </c>
      <c r="N18" s="41" t="s">
        <v>46460</v>
      </c>
      <c r="Q18" s="41" t="s">
        <v>46461</v>
      </c>
      <c r="R18" s="41" t="s">
        <v>46387</v>
      </c>
      <c r="S18" s="41" t="s">
        <v>46397</v>
      </c>
    </row>
    <row r="19" spans="1:19" x14ac:dyDescent="0.25">
      <c r="A19" s="41" t="s">
        <v>23</v>
      </c>
      <c r="B19" s="41" t="s">
        <v>46462</v>
      </c>
      <c r="D19" s="41" t="s">
        <v>884</v>
      </c>
      <c r="E19" s="41" t="s">
        <v>43</v>
      </c>
      <c r="F19" s="41" t="s">
        <v>586</v>
      </c>
      <c r="G19" s="41" t="s">
        <v>46463</v>
      </c>
      <c r="H19" s="41" t="s">
        <v>46464</v>
      </c>
      <c r="I19" s="41" t="s">
        <v>44</v>
      </c>
      <c r="J19" s="41" t="s">
        <v>46465</v>
      </c>
      <c r="K19" s="41" t="s">
        <v>46466</v>
      </c>
      <c r="L19" s="41" t="s">
        <v>46467</v>
      </c>
      <c r="M19" s="41" t="s">
        <v>46468</v>
      </c>
      <c r="N19" s="41" t="s">
        <v>46469</v>
      </c>
      <c r="Q19" s="41" t="s">
        <v>46470</v>
      </c>
      <c r="R19" s="41" t="s">
        <v>46387</v>
      </c>
      <c r="S19" s="41" t="s">
        <v>46397</v>
      </c>
    </row>
    <row r="20" spans="1:19" x14ac:dyDescent="0.25">
      <c r="A20" s="41" t="s">
        <v>23</v>
      </c>
      <c r="B20" s="41" t="s">
        <v>46471</v>
      </c>
      <c r="D20" s="41" t="s">
        <v>885</v>
      </c>
      <c r="E20" s="41" t="s">
        <v>46</v>
      </c>
      <c r="F20" s="41" t="s">
        <v>587</v>
      </c>
      <c r="G20" s="41" t="s">
        <v>46472</v>
      </c>
      <c r="H20" s="41" t="s">
        <v>46473</v>
      </c>
      <c r="I20" s="41" t="s">
        <v>47</v>
      </c>
      <c r="J20" s="41" t="s">
        <v>46474</v>
      </c>
      <c r="K20" s="41" t="s">
        <v>46475</v>
      </c>
      <c r="L20" s="41" t="s">
        <v>46476</v>
      </c>
      <c r="M20" s="41" t="s">
        <v>46477</v>
      </c>
      <c r="N20" s="41" t="s">
        <v>46478</v>
      </c>
      <c r="Q20" s="41" t="s">
        <v>46479</v>
      </c>
      <c r="R20" s="41" t="s">
        <v>46387</v>
      </c>
      <c r="S20" s="41" t="s">
        <v>46397</v>
      </c>
    </row>
    <row r="21" spans="1:19" x14ac:dyDescent="0.25">
      <c r="A21" s="41" t="s">
        <v>23</v>
      </c>
      <c r="B21" s="41" t="s">
        <v>46480</v>
      </c>
      <c r="D21" s="41" t="s">
        <v>538</v>
      </c>
      <c r="E21" s="41" t="s">
        <v>48</v>
      </c>
      <c r="F21" s="41" t="s">
        <v>588</v>
      </c>
      <c r="G21" s="41" t="s">
        <v>46481</v>
      </c>
      <c r="H21" s="41" t="s">
        <v>46482</v>
      </c>
      <c r="I21" s="41" t="s">
        <v>49</v>
      </c>
      <c r="J21" s="41" t="s">
        <v>46483</v>
      </c>
      <c r="K21" s="41" t="s">
        <v>46484</v>
      </c>
      <c r="L21" s="41" t="s">
        <v>46485</v>
      </c>
      <c r="M21" s="41" t="s">
        <v>46486</v>
      </c>
      <c r="N21" s="41" t="s">
        <v>46487</v>
      </c>
      <c r="Q21" s="41" t="s">
        <v>46488</v>
      </c>
      <c r="R21" s="41" t="s">
        <v>46387</v>
      </c>
      <c r="S21" s="41" t="s">
        <v>46397</v>
      </c>
    </row>
    <row r="22" spans="1:19" x14ac:dyDescent="0.25">
      <c r="A22" s="41" t="s">
        <v>23</v>
      </c>
      <c r="B22" s="41" t="s">
        <v>46489</v>
      </c>
      <c r="D22" s="41" t="s">
        <v>539</v>
      </c>
      <c r="E22" s="41" t="s">
        <v>50</v>
      </c>
      <c r="F22" s="41" t="s">
        <v>589</v>
      </c>
      <c r="G22" s="41" t="s">
        <v>46490</v>
      </c>
      <c r="H22" s="41" t="s">
        <v>46491</v>
      </c>
      <c r="I22" s="41" t="s">
        <v>51</v>
      </c>
      <c r="J22" s="41" t="s">
        <v>46492</v>
      </c>
      <c r="K22" s="41" t="s">
        <v>46493</v>
      </c>
      <c r="L22" s="41" t="s">
        <v>46494</v>
      </c>
      <c r="M22" s="41" t="s">
        <v>46495</v>
      </c>
      <c r="N22" s="41" t="s">
        <v>46496</v>
      </c>
      <c r="Q22" s="41" t="s">
        <v>46497</v>
      </c>
      <c r="R22" s="41" t="s">
        <v>46387</v>
      </c>
      <c r="S22" s="41" t="s">
        <v>46397</v>
      </c>
    </row>
    <row r="23" spans="1:19" x14ac:dyDescent="0.25">
      <c r="A23" s="41" t="s">
        <v>23</v>
      </c>
      <c r="B23" s="41" t="s">
        <v>46498</v>
      </c>
      <c r="D23" s="41" t="s">
        <v>10937</v>
      </c>
      <c r="E23" s="41" t="s">
        <v>52</v>
      </c>
      <c r="F23" s="41" t="s">
        <v>590</v>
      </c>
      <c r="G23" s="41" t="s">
        <v>46499</v>
      </c>
      <c r="H23" s="41" t="s">
        <v>46500</v>
      </c>
      <c r="I23" s="41" t="s">
        <v>53</v>
      </c>
      <c r="J23" s="41" t="s">
        <v>46501</v>
      </c>
      <c r="K23" s="41" t="s">
        <v>46502</v>
      </c>
      <c r="L23" s="41" t="s">
        <v>46503</v>
      </c>
      <c r="M23" s="41" t="s">
        <v>46504</v>
      </c>
      <c r="N23" s="41" t="s">
        <v>46505</v>
      </c>
      <c r="Q23" s="41" t="s">
        <v>46506</v>
      </c>
      <c r="R23" s="41" t="s">
        <v>46387</v>
      </c>
      <c r="S23" s="41" t="s">
        <v>46397</v>
      </c>
    </row>
    <row r="24" spans="1:19" x14ac:dyDescent="0.25">
      <c r="A24" s="41" t="s">
        <v>23</v>
      </c>
      <c r="B24" s="41" t="s">
        <v>46507</v>
      </c>
      <c r="D24" s="41" t="s">
        <v>10993</v>
      </c>
      <c r="E24" s="41" t="s">
        <v>54</v>
      </c>
      <c r="F24" s="41" t="s">
        <v>595</v>
      </c>
      <c r="G24" s="41" t="s">
        <v>46508</v>
      </c>
      <c r="H24" s="41" t="s">
        <v>46509</v>
      </c>
      <c r="I24" s="41" t="s">
        <v>55</v>
      </c>
      <c r="J24" s="41" t="s">
        <v>46510</v>
      </c>
      <c r="K24" s="41" t="s">
        <v>46511</v>
      </c>
      <c r="L24" s="41" t="s">
        <v>46512</v>
      </c>
      <c r="M24" s="41" t="s">
        <v>46513</v>
      </c>
      <c r="N24" s="41" t="s">
        <v>46514</v>
      </c>
      <c r="Q24" s="41" t="s">
        <v>46515</v>
      </c>
      <c r="R24" s="41" t="s">
        <v>46387</v>
      </c>
      <c r="S24" s="41" t="s">
        <v>46397</v>
      </c>
    </row>
    <row r="25" spans="1:19" x14ac:dyDescent="0.25">
      <c r="A25" s="41" t="s">
        <v>23</v>
      </c>
      <c r="B25" s="41" t="s">
        <v>46516</v>
      </c>
      <c r="D25" s="41" t="s">
        <v>11049</v>
      </c>
      <c r="E25" s="41" t="s">
        <v>56</v>
      </c>
      <c r="F25" s="41" t="s">
        <v>596</v>
      </c>
      <c r="G25" s="41" t="s">
        <v>46517</v>
      </c>
      <c r="H25" s="41" t="s">
        <v>46518</v>
      </c>
      <c r="I25" s="41" t="s">
        <v>57</v>
      </c>
      <c r="J25" s="41" t="s">
        <v>46519</v>
      </c>
      <c r="K25" s="41" t="s">
        <v>46520</v>
      </c>
      <c r="L25" s="41" t="s">
        <v>46521</v>
      </c>
      <c r="M25" s="41" t="s">
        <v>46522</v>
      </c>
      <c r="N25" s="41" t="s">
        <v>46523</v>
      </c>
      <c r="Q25" s="41" t="s">
        <v>46524</v>
      </c>
      <c r="R25" s="41" t="s">
        <v>46387</v>
      </c>
      <c r="S25" s="41" t="s">
        <v>46397</v>
      </c>
    </row>
    <row r="26" spans="1:19" x14ac:dyDescent="0.25">
      <c r="A26" s="41" t="s">
        <v>23</v>
      </c>
      <c r="B26" s="41" t="s">
        <v>46525</v>
      </c>
      <c r="D26" s="41" t="s">
        <v>540</v>
      </c>
      <c r="E26" s="41" t="s">
        <v>58</v>
      </c>
      <c r="F26" s="41" t="s">
        <v>597</v>
      </c>
      <c r="G26" s="41" t="s">
        <v>46526</v>
      </c>
      <c r="H26" s="41" t="s">
        <v>46527</v>
      </c>
      <c r="I26" s="41" t="s">
        <v>59</v>
      </c>
      <c r="J26" s="41" t="s">
        <v>46528</v>
      </c>
      <c r="K26" s="41" t="s">
        <v>46529</v>
      </c>
      <c r="L26" s="41" t="s">
        <v>46530</v>
      </c>
      <c r="M26" s="41" t="s">
        <v>46531</v>
      </c>
      <c r="N26" s="41" t="s">
        <v>46532</v>
      </c>
      <c r="Q26" s="41" t="s">
        <v>46533</v>
      </c>
      <c r="R26" s="41" t="s">
        <v>46387</v>
      </c>
      <c r="S26" s="41" t="s">
        <v>46397</v>
      </c>
    </row>
    <row r="27" spans="1:19" x14ac:dyDescent="0.25">
      <c r="A27" s="41" t="s">
        <v>23</v>
      </c>
      <c r="B27" s="41" t="s">
        <v>46534</v>
      </c>
      <c r="D27" s="41" t="s">
        <v>541</v>
      </c>
      <c r="E27" s="41" t="s">
        <v>61</v>
      </c>
      <c r="F27" s="41" t="s">
        <v>598</v>
      </c>
      <c r="G27" s="41" t="s">
        <v>46535</v>
      </c>
      <c r="H27" s="41" t="s">
        <v>46536</v>
      </c>
      <c r="I27" s="41" t="s">
        <v>62</v>
      </c>
      <c r="J27" s="41" t="s">
        <v>46537</v>
      </c>
      <c r="K27" s="41" t="s">
        <v>46538</v>
      </c>
      <c r="L27" s="41" t="s">
        <v>46539</v>
      </c>
      <c r="M27" s="41" t="s">
        <v>46540</v>
      </c>
      <c r="N27" s="41" t="s">
        <v>46541</v>
      </c>
      <c r="Q27" s="41" t="s">
        <v>46542</v>
      </c>
      <c r="R27" s="41" t="s">
        <v>46387</v>
      </c>
      <c r="S27" s="41" t="s">
        <v>46397</v>
      </c>
    </row>
    <row r="28" spans="1:19" x14ac:dyDescent="0.25">
      <c r="A28" s="41" t="s">
        <v>23</v>
      </c>
      <c r="B28" s="41" t="s">
        <v>46543</v>
      </c>
      <c r="D28" s="41" t="s">
        <v>542</v>
      </c>
      <c r="E28" s="41" t="s">
        <v>63</v>
      </c>
      <c r="F28" s="41" t="s">
        <v>599</v>
      </c>
      <c r="G28" s="41" t="s">
        <v>46544</v>
      </c>
      <c r="H28" s="41" t="s">
        <v>46545</v>
      </c>
      <c r="I28" s="41" t="s">
        <v>64</v>
      </c>
      <c r="J28" s="41" t="s">
        <v>46546</v>
      </c>
      <c r="K28" s="41" t="s">
        <v>46547</v>
      </c>
      <c r="L28" s="41" t="s">
        <v>46548</v>
      </c>
      <c r="M28" s="41" t="s">
        <v>46549</v>
      </c>
      <c r="N28" s="41" t="s">
        <v>46550</v>
      </c>
      <c r="Q28" s="41" t="s">
        <v>46551</v>
      </c>
      <c r="R28" s="41" t="s">
        <v>46387</v>
      </c>
      <c r="S28" s="41" t="s">
        <v>46397</v>
      </c>
    </row>
    <row r="29" spans="1:19" x14ac:dyDescent="0.25">
      <c r="A29" s="41" t="s">
        <v>23</v>
      </c>
      <c r="B29" s="41" t="s">
        <v>46552</v>
      </c>
      <c r="D29" s="41" t="s">
        <v>11270</v>
      </c>
      <c r="E29" s="41" t="s">
        <v>65</v>
      </c>
      <c r="F29" s="41" t="s">
        <v>600</v>
      </c>
      <c r="G29" s="41" t="s">
        <v>46553</v>
      </c>
      <c r="H29" s="41" t="s">
        <v>46554</v>
      </c>
      <c r="I29" s="41" t="s">
        <v>66</v>
      </c>
      <c r="J29" s="41" t="s">
        <v>46555</v>
      </c>
      <c r="K29" s="41" t="s">
        <v>46556</v>
      </c>
      <c r="L29" s="41" t="s">
        <v>46557</v>
      </c>
      <c r="M29" s="41" t="s">
        <v>46558</v>
      </c>
      <c r="N29" s="41" t="s">
        <v>46559</v>
      </c>
      <c r="Q29" s="41" t="s">
        <v>46560</v>
      </c>
      <c r="R29" s="41" t="s">
        <v>46387</v>
      </c>
      <c r="S29" s="41" t="s">
        <v>46397</v>
      </c>
    </row>
    <row r="30" spans="1:19" x14ac:dyDescent="0.25">
      <c r="A30" s="41" t="s">
        <v>23</v>
      </c>
      <c r="B30" s="41" t="s">
        <v>46561</v>
      </c>
      <c r="D30" s="41" t="s">
        <v>14013</v>
      </c>
      <c r="E30" s="41" t="s">
        <v>67</v>
      </c>
      <c r="F30" s="41" t="s">
        <v>601</v>
      </c>
      <c r="G30" s="41" t="s">
        <v>46562</v>
      </c>
      <c r="H30" s="41" t="s">
        <v>46563</v>
      </c>
      <c r="I30" s="41" t="s">
        <v>68</v>
      </c>
      <c r="J30" s="41" t="s">
        <v>46564</v>
      </c>
      <c r="K30" s="41" t="s">
        <v>46565</v>
      </c>
      <c r="L30" s="41" t="s">
        <v>46566</v>
      </c>
      <c r="M30" s="41" t="s">
        <v>46567</v>
      </c>
      <c r="N30" s="41" t="s">
        <v>46568</v>
      </c>
      <c r="Q30" s="41" t="s">
        <v>46569</v>
      </c>
      <c r="R30" s="41" t="s">
        <v>46387</v>
      </c>
      <c r="S30" s="41" t="s">
        <v>46397</v>
      </c>
    </row>
    <row r="31" spans="1:19" x14ac:dyDescent="0.25">
      <c r="A31" s="41" t="s">
        <v>23</v>
      </c>
      <c r="B31" s="41" t="s">
        <v>46570</v>
      </c>
      <c r="D31" s="41" t="s">
        <v>14069</v>
      </c>
      <c r="E31" s="41" t="s">
        <v>69</v>
      </c>
      <c r="F31" s="41" t="s">
        <v>606</v>
      </c>
      <c r="G31" s="41" t="s">
        <v>46571</v>
      </c>
      <c r="H31" s="41" t="s">
        <v>46572</v>
      </c>
      <c r="I31" s="41" t="s">
        <v>70</v>
      </c>
      <c r="J31" s="41" t="s">
        <v>46573</v>
      </c>
      <c r="K31" s="41" t="s">
        <v>46574</v>
      </c>
      <c r="L31" s="41" t="s">
        <v>46575</v>
      </c>
      <c r="M31" s="41" t="s">
        <v>46576</v>
      </c>
      <c r="N31" s="41" t="s">
        <v>46577</v>
      </c>
      <c r="Q31" s="41" t="s">
        <v>46578</v>
      </c>
      <c r="R31" s="41" t="s">
        <v>46387</v>
      </c>
      <c r="S31" s="41" t="s">
        <v>46397</v>
      </c>
    </row>
    <row r="32" spans="1:19" x14ac:dyDescent="0.25">
      <c r="A32" s="41" t="s">
        <v>23</v>
      </c>
      <c r="B32" s="41" t="s">
        <v>46579</v>
      </c>
      <c r="D32" s="41" t="s">
        <v>14125</v>
      </c>
      <c r="E32" s="41" t="s">
        <v>72</v>
      </c>
      <c r="F32" s="41" t="s">
        <v>607</v>
      </c>
      <c r="G32" s="41" t="s">
        <v>46580</v>
      </c>
      <c r="H32" s="41" t="s">
        <v>46581</v>
      </c>
      <c r="I32" s="41" t="s">
        <v>73</v>
      </c>
      <c r="J32" s="41" t="s">
        <v>46582</v>
      </c>
      <c r="K32" s="41" t="s">
        <v>46583</v>
      </c>
      <c r="L32" s="41" t="s">
        <v>46584</v>
      </c>
      <c r="M32" s="41" t="s">
        <v>46585</v>
      </c>
      <c r="N32" s="41" t="s">
        <v>46586</v>
      </c>
      <c r="Q32" s="41" t="s">
        <v>46587</v>
      </c>
      <c r="R32" s="41" t="s">
        <v>46387</v>
      </c>
      <c r="S32" s="41" t="s">
        <v>46397</v>
      </c>
    </row>
    <row r="33" spans="1:19" x14ac:dyDescent="0.25">
      <c r="A33" s="41" t="s">
        <v>23</v>
      </c>
      <c r="B33" s="41" t="s">
        <v>46588</v>
      </c>
      <c r="D33" s="41" t="s">
        <v>44789</v>
      </c>
      <c r="E33" s="41" t="s">
        <v>75</v>
      </c>
      <c r="F33" s="41" t="s">
        <v>608</v>
      </c>
      <c r="G33" s="41" t="s">
        <v>46589</v>
      </c>
      <c r="H33" s="41" t="s">
        <v>46590</v>
      </c>
      <c r="I33" s="41" t="s">
        <v>76</v>
      </c>
      <c r="J33" s="41" t="s">
        <v>46591</v>
      </c>
      <c r="K33" s="41" t="s">
        <v>46592</v>
      </c>
      <c r="L33" s="41" t="s">
        <v>46593</v>
      </c>
      <c r="M33" s="41" t="s">
        <v>46594</v>
      </c>
      <c r="N33" s="41" t="s">
        <v>46595</v>
      </c>
      <c r="Q33" s="41" t="s">
        <v>46596</v>
      </c>
      <c r="R33" s="41" t="s">
        <v>46387</v>
      </c>
      <c r="S33" s="41" t="s">
        <v>46397</v>
      </c>
    </row>
    <row r="34" spans="1:19" x14ac:dyDescent="0.25">
      <c r="A34" s="41" t="s">
        <v>23</v>
      </c>
      <c r="B34" s="41" t="s">
        <v>46597</v>
      </c>
      <c r="D34" s="41" t="s">
        <v>44790</v>
      </c>
      <c r="E34" s="41" t="s">
        <v>78</v>
      </c>
      <c r="F34" s="41" t="s">
        <v>609</v>
      </c>
      <c r="G34" s="41" t="s">
        <v>46598</v>
      </c>
      <c r="H34" s="41" t="s">
        <v>46599</v>
      </c>
      <c r="I34" s="41" t="s">
        <v>79</v>
      </c>
      <c r="J34" s="41" t="s">
        <v>46600</v>
      </c>
      <c r="K34" s="41" t="s">
        <v>46601</v>
      </c>
      <c r="L34" s="41" t="s">
        <v>46602</v>
      </c>
      <c r="M34" s="41" t="s">
        <v>46603</v>
      </c>
      <c r="N34" s="41" t="s">
        <v>46604</v>
      </c>
      <c r="Q34" s="41" t="s">
        <v>46605</v>
      </c>
      <c r="R34" s="41" t="s">
        <v>46387</v>
      </c>
      <c r="S34" s="41" t="s">
        <v>46397</v>
      </c>
    </row>
    <row r="35" spans="1:19" x14ac:dyDescent="0.25">
      <c r="A35" s="41" t="s">
        <v>23</v>
      </c>
      <c r="B35" s="41" t="s">
        <v>46606</v>
      </c>
      <c r="D35" s="41" t="s">
        <v>543</v>
      </c>
      <c r="E35" s="41" t="s">
        <v>81</v>
      </c>
      <c r="F35" s="41" t="s">
        <v>610</v>
      </c>
      <c r="G35" s="41" t="s">
        <v>46607</v>
      </c>
      <c r="H35" s="41" t="s">
        <v>46608</v>
      </c>
      <c r="I35" s="41" t="s">
        <v>82</v>
      </c>
      <c r="J35" s="41" t="s">
        <v>46609</v>
      </c>
      <c r="K35" s="41" t="s">
        <v>46610</v>
      </c>
      <c r="L35" s="41" t="s">
        <v>46611</v>
      </c>
      <c r="M35" s="41" t="s">
        <v>46612</v>
      </c>
      <c r="N35" s="41" t="s">
        <v>46613</v>
      </c>
      <c r="Q35" s="41" t="s">
        <v>46614</v>
      </c>
      <c r="R35" s="41" t="s">
        <v>46387</v>
      </c>
      <c r="S35" s="41" t="s">
        <v>46397</v>
      </c>
    </row>
    <row r="36" spans="1:19" x14ac:dyDescent="0.25">
      <c r="A36" s="41" t="s">
        <v>23</v>
      </c>
      <c r="B36" s="41" t="s">
        <v>46615</v>
      </c>
      <c r="D36" s="41" t="s">
        <v>544</v>
      </c>
      <c r="E36" s="41" t="s">
        <v>84</v>
      </c>
      <c r="F36" s="41" t="s">
        <v>611</v>
      </c>
      <c r="G36" s="41" t="s">
        <v>46616</v>
      </c>
      <c r="H36" s="41" t="s">
        <v>46617</v>
      </c>
      <c r="I36" s="41" t="s">
        <v>85</v>
      </c>
      <c r="J36" s="41" t="s">
        <v>46618</v>
      </c>
      <c r="K36" s="41" t="s">
        <v>46619</v>
      </c>
      <c r="L36" s="41" t="s">
        <v>46620</v>
      </c>
      <c r="M36" s="41" t="s">
        <v>46621</v>
      </c>
      <c r="N36" s="41" t="s">
        <v>46622</v>
      </c>
      <c r="Q36" s="41" t="s">
        <v>46623</v>
      </c>
      <c r="R36" s="41" t="s">
        <v>46387</v>
      </c>
      <c r="S36" s="41" t="s">
        <v>46397</v>
      </c>
    </row>
    <row r="37" spans="1:19" x14ac:dyDescent="0.25">
      <c r="A37" s="41" t="s">
        <v>23</v>
      </c>
      <c r="B37" s="41" t="s">
        <v>46624</v>
      </c>
      <c r="D37" s="41" t="s">
        <v>545</v>
      </c>
      <c r="E37" s="41" t="s">
        <v>86</v>
      </c>
      <c r="F37" s="41" t="s">
        <v>612</v>
      </c>
      <c r="G37" s="41" t="s">
        <v>46625</v>
      </c>
      <c r="H37" s="41" t="s">
        <v>46626</v>
      </c>
      <c r="I37" s="41" t="s">
        <v>87</v>
      </c>
      <c r="J37" s="41" t="s">
        <v>46627</v>
      </c>
      <c r="K37" s="41" t="s">
        <v>46628</v>
      </c>
      <c r="L37" s="41" t="s">
        <v>46629</v>
      </c>
      <c r="M37" s="41" t="s">
        <v>46630</v>
      </c>
      <c r="N37" s="41" t="s">
        <v>46631</v>
      </c>
      <c r="Q37" s="41" t="s">
        <v>46632</v>
      </c>
      <c r="R37" s="41" t="s">
        <v>46387</v>
      </c>
      <c r="S37" s="41" t="s">
        <v>46397</v>
      </c>
    </row>
    <row r="38" spans="1:19" x14ac:dyDescent="0.25">
      <c r="A38" s="41" t="s">
        <v>23</v>
      </c>
      <c r="B38" s="41" t="s">
        <v>46633</v>
      </c>
      <c r="D38" s="41" t="s">
        <v>546</v>
      </c>
      <c r="E38" s="41" t="s">
        <v>89</v>
      </c>
      <c r="F38" s="41" t="s">
        <v>617</v>
      </c>
      <c r="G38" s="41" t="s">
        <v>46634</v>
      </c>
      <c r="H38" s="41" t="s">
        <v>46635</v>
      </c>
      <c r="I38" s="41" t="s">
        <v>90</v>
      </c>
      <c r="J38" s="41" t="s">
        <v>46636</v>
      </c>
      <c r="K38" s="41" t="s">
        <v>46637</v>
      </c>
      <c r="L38" s="41" t="s">
        <v>46638</v>
      </c>
      <c r="M38" s="41" t="s">
        <v>46639</v>
      </c>
      <c r="N38" s="41" t="s">
        <v>46640</v>
      </c>
      <c r="Q38" s="41" t="s">
        <v>46641</v>
      </c>
      <c r="R38" s="41" t="s">
        <v>46387</v>
      </c>
      <c r="S38" s="41" t="s">
        <v>46397</v>
      </c>
    </row>
    <row r="39" spans="1:19" x14ac:dyDescent="0.25">
      <c r="A39" s="41" t="s">
        <v>23</v>
      </c>
      <c r="B39" s="41" t="s">
        <v>46642</v>
      </c>
      <c r="D39" s="41" t="s">
        <v>547</v>
      </c>
      <c r="E39" s="41" t="s">
        <v>92</v>
      </c>
      <c r="F39" s="41" t="s">
        <v>618</v>
      </c>
      <c r="G39" s="41" t="s">
        <v>46643</v>
      </c>
      <c r="H39" s="41" t="s">
        <v>46644</v>
      </c>
      <c r="I39" s="41" t="s">
        <v>93</v>
      </c>
      <c r="J39" s="41" t="s">
        <v>46645</v>
      </c>
      <c r="K39" s="41" t="s">
        <v>46646</v>
      </c>
      <c r="L39" s="41" t="s">
        <v>46647</v>
      </c>
      <c r="M39" s="41" t="s">
        <v>46648</v>
      </c>
      <c r="N39" s="41" t="s">
        <v>46649</v>
      </c>
      <c r="Q39" s="41" t="s">
        <v>46650</v>
      </c>
      <c r="R39" s="41" t="s">
        <v>46387</v>
      </c>
      <c r="S39" s="41" t="s">
        <v>46397</v>
      </c>
    </row>
    <row r="40" spans="1:19" x14ac:dyDescent="0.25">
      <c r="A40" s="41" t="s">
        <v>23</v>
      </c>
      <c r="B40" s="41" t="s">
        <v>46651</v>
      </c>
      <c r="D40" s="41" t="s">
        <v>548</v>
      </c>
      <c r="E40" s="41" t="s">
        <v>95</v>
      </c>
      <c r="F40" s="41" t="s">
        <v>619</v>
      </c>
      <c r="G40" s="41" t="s">
        <v>46652</v>
      </c>
      <c r="H40" s="41" t="s">
        <v>46653</v>
      </c>
      <c r="I40" s="41" t="s">
        <v>96</v>
      </c>
      <c r="J40" s="41" t="s">
        <v>46654</v>
      </c>
      <c r="K40" s="41" t="s">
        <v>46655</v>
      </c>
      <c r="L40" s="41" t="s">
        <v>46656</v>
      </c>
      <c r="M40" s="41" t="s">
        <v>46657</v>
      </c>
      <c r="N40" s="41" t="s">
        <v>46658</v>
      </c>
      <c r="Q40" s="41" t="s">
        <v>46659</v>
      </c>
      <c r="R40" s="41" t="s">
        <v>46387</v>
      </c>
      <c r="S40" s="41" t="s">
        <v>46397</v>
      </c>
    </row>
    <row r="41" spans="1:19" x14ac:dyDescent="0.25">
      <c r="A41" s="41" t="s">
        <v>23</v>
      </c>
      <c r="B41" s="41" t="s">
        <v>46660</v>
      </c>
      <c r="D41" s="41" t="s">
        <v>886</v>
      </c>
      <c r="E41" s="41" t="s">
        <v>97</v>
      </c>
      <c r="F41" s="41" t="s">
        <v>620</v>
      </c>
      <c r="G41" s="41" t="s">
        <v>46661</v>
      </c>
      <c r="H41" s="41" t="s">
        <v>46662</v>
      </c>
      <c r="I41" s="41" t="s">
        <v>98</v>
      </c>
      <c r="J41" s="41" t="s">
        <v>46663</v>
      </c>
      <c r="K41" s="41" t="s">
        <v>46664</v>
      </c>
      <c r="L41" s="41" t="s">
        <v>46665</v>
      </c>
      <c r="M41" s="41" t="s">
        <v>46666</v>
      </c>
      <c r="N41" s="41" t="s">
        <v>46667</v>
      </c>
      <c r="Q41" s="41" t="s">
        <v>46668</v>
      </c>
      <c r="R41" s="41" t="s">
        <v>46387</v>
      </c>
      <c r="S41" s="41" t="s">
        <v>46397</v>
      </c>
    </row>
    <row r="43" spans="1:19" x14ac:dyDescent="0.25">
      <c r="H43" s="41" t="s">
        <v>4</v>
      </c>
      <c r="I43" s="41" t="s">
        <v>46398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0C619-C05E-4584-8113-5DC957C0421A}">
  <dimension ref="A1:S31"/>
  <sheetViews>
    <sheetView workbookViewId="0"/>
  </sheetViews>
  <sheetFormatPr defaultRowHeight="13.2" x14ac:dyDescent="0.25"/>
  <sheetData>
    <row r="1" spans="1:19" x14ac:dyDescent="0.25">
      <c r="A1" s="41" t="s">
        <v>48037</v>
      </c>
      <c r="B1" s="41" t="s">
        <v>9</v>
      </c>
      <c r="C1" s="41" t="s">
        <v>5</v>
      </c>
      <c r="E1" s="41" t="s">
        <v>5</v>
      </c>
      <c r="F1" s="41" t="s">
        <v>5</v>
      </c>
      <c r="J1" s="41" t="s">
        <v>5</v>
      </c>
      <c r="K1" s="41" t="s">
        <v>5</v>
      </c>
      <c r="L1" s="41" t="s">
        <v>5</v>
      </c>
      <c r="R1" s="41" t="s">
        <v>46381</v>
      </c>
      <c r="S1" s="41" t="s">
        <v>46381</v>
      </c>
    </row>
    <row r="2" spans="1:19" x14ac:dyDescent="0.25">
      <c r="D2" s="41" t="s">
        <v>48022</v>
      </c>
    </row>
    <row r="4" spans="1:19" x14ac:dyDescent="0.25">
      <c r="B4" s="41" t="s">
        <v>565</v>
      </c>
      <c r="G4" s="41" t="s">
        <v>1094</v>
      </c>
      <c r="H4" s="41" t="s">
        <v>48021</v>
      </c>
    </row>
    <row r="5" spans="1:19" x14ac:dyDescent="0.25">
      <c r="G5" s="41" t="s">
        <v>46384</v>
      </c>
      <c r="H5" s="41" t="s">
        <v>46382</v>
      </c>
    </row>
    <row r="6" spans="1:19" x14ac:dyDescent="0.25">
      <c r="B6" s="41" t="s">
        <v>566</v>
      </c>
      <c r="G6" s="41" t="s">
        <v>46385</v>
      </c>
      <c r="H6" s="41" t="s">
        <v>46383</v>
      </c>
    </row>
    <row r="7" spans="1:19" x14ac:dyDescent="0.25">
      <c r="A7" s="41" t="s">
        <v>5</v>
      </c>
      <c r="B7" s="41" t="s">
        <v>44786</v>
      </c>
      <c r="G7" s="41" t="s">
        <v>46386</v>
      </c>
      <c r="H7" s="41" t="s">
        <v>16</v>
      </c>
    </row>
    <row r="8" spans="1:19" x14ac:dyDescent="0.25">
      <c r="B8" s="41" t="s">
        <v>44787</v>
      </c>
      <c r="F8" s="41" t="s">
        <v>44788</v>
      </c>
    </row>
    <row r="9" spans="1:19" x14ac:dyDescent="0.25">
      <c r="A9" s="41" t="s">
        <v>5</v>
      </c>
      <c r="J9" s="41" t="s">
        <v>10</v>
      </c>
      <c r="K9" s="41" t="s">
        <v>10</v>
      </c>
      <c r="L9" s="41" t="s">
        <v>12</v>
      </c>
      <c r="M9" s="41" t="s">
        <v>12</v>
      </c>
    </row>
    <row r="10" spans="1:19" x14ac:dyDescent="0.25">
      <c r="B10" s="41" t="s">
        <v>3</v>
      </c>
      <c r="D10" s="41" t="s">
        <v>0</v>
      </c>
      <c r="E10" s="41" t="s">
        <v>8</v>
      </c>
      <c r="F10" s="41" t="s">
        <v>564</v>
      </c>
      <c r="G10" s="41" t="s">
        <v>1</v>
      </c>
      <c r="H10" s="41" t="s">
        <v>2</v>
      </c>
      <c r="I10" s="41" t="s">
        <v>19</v>
      </c>
      <c r="J10" s="41" t="s">
        <v>46387</v>
      </c>
      <c r="K10" s="41" t="s">
        <v>13</v>
      </c>
      <c r="L10" s="41" t="s">
        <v>46387</v>
      </c>
      <c r="M10" s="41" t="s">
        <v>13</v>
      </c>
      <c r="N10" s="41" t="s">
        <v>18</v>
      </c>
      <c r="O10" s="41" t="s">
        <v>46378</v>
      </c>
      <c r="P10" s="41" t="s">
        <v>46379</v>
      </c>
      <c r="Q10" s="41" t="s">
        <v>46380</v>
      </c>
      <c r="R10" s="41" t="s">
        <v>48020</v>
      </c>
      <c r="S10" s="41" t="s">
        <v>46382</v>
      </c>
    </row>
    <row r="11" spans="1:19" x14ac:dyDescent="0.25">
      <c r="B11" s="41" t="s">
        <v>46388</v>
      </c>
      <c r="D11" s="41" t="s">
        <v>48019</v>
      </c>
      <c r="E11" s="41" t="s">
        <v>24</v>
      </c>
      <c r="F11" s="41" t="s">
        <v>574</v>
      </c>
      <c r="G11" s="41" t="s">
        <v>46389</v>
      </c>
      <c r="H11" s="41" t="s">
        <v>46390</v>
      </c>
      <c r="I11" s="41" t="s">
        <v>25</v>
      </c>
      <c r="J11" s="41" t="s">
        <v>46391</v>
      </c>
      <c r="K11" s="41" t="s">
        <v>46392</v>
      </c>
      <c r="L11" s="41" t="s">
        <v>46393</v>
      </c>
      <c r="M11" s="41" t="s">
        <v>46394</v>
      </c>
      <c r="N11" s="41" t="s">
        <v>46395</v>
      </c>
      <c r="Q11" s="41" t="s">
        <v>46396</v>
      </c>
      <c r="R11" s="41" t="s">
        <v>46387</v>
      </c>
      <c r="S11" s="41" t="s">
        <v>46397</v>
      </c>
    </row>
    <row r="12" spans="1:19" x14ac:dyDescent="0.25">
      <c r="A12" s="41" t="s">
        <v>23</v>
      </c>
      <c r="B12" s="41" t="s">
        <v>46399</v>
      </c>
      <c r="D12" s="41" t="s">
        <v>881</v>
      </c>
      <c r="E12" s="41" t="s">
        <v>26</v>
      </c>
      <c r="F12" s="41" t="s">
        <v>575</v>
      </c>
      <c r="G12" s="41" t="s">
        <v>46400</v>
      </c>
      <c r="H12" s="41" t="s">
        <v>46401</v>
      </c>
      <c r="I12" s="41" t="s">
        <v>27</v>
      </c>
      <c r="J12" s="41" t="s">
        <v>46402</v>
      </c>
      <c r="K12" s="41" t="s">
        <v>46403</v>
      </c>
      <c r="L12" s="41" t="s">
        <v>46404</v>
      </c>
      <c r="M12" s="41" t="s">
        <v>46405</v>
      </c>
      <c r="N12" s="41" t="s">
        <v>46406</v>
      </c>
      <c r="Q12" s="41" t="s">
        <v>46407</v>
      </c>
      <c r="R12" s="41" t="s">
        <v>46387</v>
      </c>
      <c r="S12" s="41" t="s">
        <v>46397</v>
      </c>
    </row>
    <row r="13" spans="1:19" x14ac:dyDescent="0.25">
      <c r="A13" s="41" t="s">
        <v>23</v>
      </c>
      <c r="B13" s="41" t="s">
        <v>46408</v>
      </c>
      <c r="D13" s="41" t="s">
        <v>535</v>
      </c>
      <c r="E13" s="41" t="s">
        <v>28</v>
      </c>
      <c r="F13" s="41" t="s">
        <v>576</v>
      </c>
      <c r="G13" s="41" t="s">
        <v>46409</v>
      </c>
      <c r="H13" s="41" t="s">
        <v>46410</v>
      </c>
      <c r="I13" s="41" t="s">
        <v>29</v>
      </c>
      <c r="J13" s="41" t="s">
        <v>46411</v>
      </c>
      <c r="K13" s="41" t="s">
        <v>46412</v>
      </c>
      <c r="L13" s="41" t="s">
        <v>46413</v>
      </c>
      <c r="M13" s="41" t="s">
        <v>46414</v>
      </c>
      <c r="N13" s="41" t="s">
        <v>46415</v>
      </c>
      <c r="Q13" s="41" t="s">
        <v>46416</v>
      </c>
      <c r="R13" s="41" t="s">
        <v>46387</v>
      </c>
      <c r="S13" s="41" t="s">
        <v>46397</v>
      </c>
    </row>
    <row r="14" spans="1:19" x14ac:dyDescent="0.25">
      <c r="A14" s="41" t="s">
        <v>23</v>
      </c>
      <c r="B14" s="41" t="s">
        <v>46417</v>
      </c>
      <c r="D14" s="41" t="s">
        <v>883</v>
      </c>
      <c r="E14" s="41" t="s">
        <v>30</v>
      </c>
      <c r="F14" s="41" t="s">
        <v>577</v>
      </c>
      <c r="G14" s="41" t="s">
        <v>46418</v>
      </c>
      <c r="H14" s="41" t="s">
        <v>46419</v>
      </c>
      <c r="I14" s="41" t="s">
        <v>31</v>
      </c>
      <c r="J14" s="41" t="s">
        <v>46420</v>
      </c>
      <c r="K14" s="41" t="s">
        <v>46421</v>
      </c>
      <c r="L14" s="41" t="s">
        <v>46422</v>
      </c>
      <c r="M14" s="41" t="s">
        <v>46423</v>
      </c>
      <c r="N14" s="41" t="s">
        <v>46424</v>
      </c>
      <c r="Q14" s="41" t="s">
        <v>46425</v>
      </c>
      <c r="R14" s="41" t="s">
        <v>46387</v>
      </c>
      <c r="S14" s="41" t="s">
        <v>46397</v>
      </c>
    </row>
    <row r="15" spans="1:19" x14ac:dyDescent="0.25">
      <c r="A15" s="41" t="s">
        <v>23</v>
      </c>
      <c r="B15" s="41" t="s">
        <v>46426</v>
      </c>
      <c r="D15" s="41" t="s">
        <v>44785</v>
      </c>
      <c r="E15" s="41" t="s">
        <v>32</v>
      </c>
      <c r="F15" s="41" t="s">
        <v>578</v>
      </c>
      <c r="G15" s="41" t="s">
        <v>46427</v>
      </c>
      <c r="H15" s="41" t="s">
        <v>46428</v>
      </c>
      <c r="I15" s="41" t="s">
        <v>33</v>
      </c>
      <c r="J15" s="41" t="s">
        <v>46429</v>
      </c>
      <c r="K15" s="41" t="s">
        <v>46430</v>
      </c>
      <c r="L15" s="41" t="s">
        <v>46431</v>
      </c>
      <c r="M15" s="41" t="s">
        <v>46432</v>
      </c>
      <c r="N15" s="41" t="s">
        <v>46433</v>
      </c>
      <c r="Q15" s="41" t="s">
        <v>46434</v>
      </c>
      <c r="R15" s="41" t="s">
        <v>46387</v>
      </c>
      <c r="S15" s="41" t="s">
        <v>46397</v>
      </c>
    </row>
    <row r="16" spans="1:19" x14ac:dyDescent="0.25">
      <c r="A16" s="41" t="s">
        <v>23</v>
      </c>
      <c r="B16" s="41" t="s">
        <v>46435</v>
      </c>
      <c r="D16" s="41" t="s">
        <v>884</v>
      </c>
      <c r="E16" s="41" t="s">
        <v>34</v>
      </c>
      <c r="F16" s="41" t="s">
        <v>579</v>
      </c>
      <c r="G16" s="41" t="s">
        <v>46436</v>
      </c>
      <c r="H16" s="41" t="s">
        <v>46437</v>
      </c>
      <c r="I16" s="41" t="s">
        <v>35</v>
      </c>
      <c r="J16" s="41" t="s">
        <v>46438</v>
      </c>
      <c r="K16" s="41" t="s">
        <v>46439</v>
      </c>
      <c r="L16" s="41" t="s">
        <v>46440</v>
      </c>
      <c r="M16" s="41" t="s">
        <v>46441</v>
      </c>
      <c r="N16" s="41" t="s">
        <v>46442</v>
      </c>
      <c r="Q16" s="41" t="s">
        <v>46443</v>
      </c>
      <c r="R16" s="41" t="s">
        <v>46387</v>
      </c>
      <c r="S16" s="41" t="s">
        <v>46397</v>
      </c>
    </row>
    <row r="17" spans="1:19" x14ac:dyDescent="0.25">
      <c r="A17" s="41" t="s">
        <v>23</v>
      </c>
      <c r="B17" s="41" t="s">
        <v>46444</v>
      </c>
      <c r="D17" s="41" t="s">
        <v>885</v>
      </c>
      <c r="E17" s="41" t="s">
        <v>37</v>
      </c>
      <c r="F17" s="41" t="s">
        <v>584</v>
      </c>
      <c r="G17" s="41" t="s">
        <v>46445</v>
      </c>
      <c r="H17" s="41" t="s">
        <v>46446</v>
      </c>
      <c r="I17" s="41" t="s">
        <v>38</v>
      </c>
      <c r="J17" s="41" t="s">
        <v>46447</v>
      </c>
      <c r="K17" s="41" t="s">
        <v>46448</v>
      </c>
      <c r="L17" s="41" t="s">
        <v>46449</v>
      </c>
      <c r="M17" s="41" t="s">
        <v>46450</v>
      </c>
      <c r="N17" s="41" t="s">
        <v>46451</v>
      </c>
      <c r="Q17" s="41" t="s">
        <v>46452</v>
      </c>
      <c r="R17" s="41" t="s">
        <v>46387</v>
      </c>
      <c r="S17" s="41" t="s">
        <v>46397</v>
      </c>
    </row>
    <row r="18" spans="1:19" x14ac:dyDescent="0.25">
      <c r="A18" s="41" t="s">
        <v>23</v>
      </c>
      <c r="B18" s="41" t="s">
        <v>46453</v>
      </c>
      <c r="D18" s="41" t="s">
        <v>10937</v>
      </c>
      <c r="E18" s="41" t="s">
        <v>40</v>
      </c>
      <c r="F18" s="41" t="s">
        <v>585</v>
      </c>
      <c r="G18" s="41" t="s">
        <v>46454</v>
      </c>
      <c r="H18" s="41" t="s">
        <v>46455</v>
      </c>
      <c r="I18" s="41" t="s">
        <v>41</v>
      </c>
      <c r="J18" s="41" t="s">
        <v>46456</v>
      </c>
      <c r="K18" s="41" t="s">
        <v>46457</v>
      </c>
      <c r="L18" s="41" t="s">
        <v>46458</v>
      </c>
      <c r="M18" s="41" t="s">
        <v>46459</v>
      </c>
      <c r="N18" s="41" t="s">
        <v>46460</v>
      </c>
      <c r="Q18" s="41" t="s">
        <v>46461</v>
      </c>
      <c r="R18" s="41" t="s">
        <v>46387</v>
      </c>
      <c r="S18" s="41" t="s">
        <v>46397</v>
      </c>
    </row>
    <row r="19" spans="1:19" x14ac:dyDescent="0.25">
      <c r="A19" s="41" t="s">
        <v>23</v>
      </c>
      <c r="B19" s="41" t="s">
        <v>46462</v>
      </c>
      <c r="D19" s="41" t="s">
        <v>10993</v>
      </c>
      <c r="E19" s="41" t="s">
        <v>43</v>
      </c>
      <c r="F19" s="41" t="s">
        <v>586</v>
      </c>
      <c r="G19" s="41" t="s">
        <v>46463</v>
      </c>
      <c r="H19" s="41" t="s">
        <v>46464</v>
      </c>
      <c r="I19" s="41" t="s">
        <v>44</v>
      </c>
      <c r="J19" s="41" t="s">
        <v>46465</v>
      </c>
      <c r="K19" s="41" t="s">
        <v>46466</v>
      </c>
      <c r="L19" s="41" t="s">
        <v>46467</v>
      </c>
      <c r="M19" s="41" t="s">
        <v>46468</v>
      </c>
      <c r="N19" s="41" t="s">
        <v>46469</v>
      </c>
      <c r="Q19" s="41" t="s">
        <v>46470</v>
      </c>
      <c r="R19" s="41" t="s">
        <v>46387</v>
      </c>
      <c r="S19" s="41" t="s">
        <v>46397</v>
      </c>
    </row>
    <row r="20" spans="1:19" x14ac:dyDescent="0.25">
      <c r="A20" s="41" t="s">
        <v>23</v>
      </c>
      <c r="B20" s="41" t="s">
        <v>46471</v>
      </c>
      <c r="D20" s="41" t="s">
        <v>11049</v>
      </c>
      <c r="E20" s="41" t="s">
        <v>46</v>
      </c>
      <c r="F20" s="41" t="s">
        <v>587</v>
      </c>
      <c r="G20" s="41" t="s">
        <v>46472</v>
      </c>
      <c r="H20" s="41" t="s">
        <v>46473</v>
      </c>
      <c r="I20" s="41" t="s">
        <v>47</v>
      </c>
      <c r="J20" s="41" t="s">
        <v>46474</v>
      </c>
      <c r="K20" s="41" t="s">
        <v>46475</v>
      </c>
      <c r="L20" s="41" t="s">
        <v>46476</v>
      </c>
      <c r="M20" s="41" t="s">
        <v>46477</v>
      </c>
      <c r="N20" s="41" t="s">
        <v>46478</v>
      </c>
      <c r="Q20" s="41" t="s">
        <v>46479</v>
      </c>
      <c r="R20" s="41" t="s">
        <v>46387</v>
      </c>
      <c r="S20" s="41" t="s">
        <v>46397</v>
      </c>
    </row>
    <row r="21" spans="1:19" x14ac:dyDescent="0.25">
      <c r="A21" s="41" t="s">
        <v>23</v>
      </c>
      <c r="B21" s="41" t="s">
        <v>46480</v>
      </c>
      <c r="D21" s="41" t="s">
        <v>540</v>
      </c>
      <c r="E21" s="41" t="s">
        <v>48</v>
      </c>
      <c r="F21" s="41" t="s">
        <v>588</v>
      </c>
      <c r="G21" s="41" t="s">
        <v>46481</v>
      </c>
      <c r="H21" s="41" t="s">
        <v>46482</v>
      </c>
      <c r="I21" s="41" t="s">
        <v>49</v>
      </c>
      <c r="J21" s="41" t="s">
        <v>46483</v>
      </c>
      <c r="K21" s="41" t="s">
        <v>46484</v>
      </c>
      <c r="L21" s="41" t="s">
        <v>46485</v>
      </c>
      <c r="M21" s="41" t="s">
        <v>46486</v>
      </c>
      <c r="N21" s="41" t="s">
        <v>46487</v>
      </c>
      <c r="Q21" s="41" t="s">
        <v>46488</v>
      </c>
      <c r="R21" s="41" t="s">
        <v>46387</v>
      </c>
      <c r="S21" s="41" t="s">
        <v>46397</v>
      </c>
    </row>
    <row r="22" spans="1:19" x14ac:dyDescent="0.25">
      <c r="A22" s="41" t="s">
        <v>23</v>
      </c>
      <c r="B22" s="41" t="s">
        <v>46489</v>
      </c>
      <c r="D22" s="41" t="s">
        <v>541</v>
      </c>
      <c r="E22" s="41" t="s">
        <v>50</v>
      </c>
      <c r="F22" s="41" t="s">
        <v>589</v>
      </c>
      <c r="G22" s="41" t="s">
        <v>46490</v>
      </c>
      <c r="H22" s="41" t="s">
        <v>46491</v>
      </c>
      <c r="I22" s="41" t="s">
        <v>51</v>
      </c>
      <c r="J22" s="41" t="s">
        <v>46492</v>
      </c>
      <c r="K22" s="41" t="s">
        <v>46493</v>
      </c>
      <c r="L22" s="41" t="s">
        <v>46494</v>
      </c>
      <c r="M22" s="41" t="s">
        <v>46495</v>
      </c>
      <c r="N22" s="41" t="s">
        <v>46496</v>
      </c>
      <c r="Q22" s="41" t="s">
        <v>46497</v>
      </c>
      <c r="R22" s="41" t="s">
        <v>46387</v>
      </c>
      <c r="S22" s="41" t="s">
        <v>46397</v>
      </c>
    </row>
    <row r="23" spans="1:19" x14ac:dyDescent="0.25">
      <c r="A23" s="41" t="s">
        <v>23</v>
      </c>
      <c r="B23" s="41" t="s">
        <v>46498</v>
      </c>
      <c r="D23" s="41" t="s">
        <v>542</v>
      </c>
      <c r="E23" s="41" t="s">
        <v>52</v>
      </c>
      <c r="F23" s="41" t="s">
        <v>590</v>
      </c>
      <c r="G23" s="41" t="s">
        <v>46499</v>
      </c>
      <c r="H23" s="41" t="s">
        <v>46500</v>
      </c>
      <c r="I23" s="41" t="s">
        <v>53</v>
      </c>
      <c r="J23" s="41" t="s">
        <v>46501</v>
      </c>
      <c r="K23" s="41" t="s">
        <v>46502</v>
      </c>
      <c r="L23" s="41" t="s">
        <v>46503</v>
      </c>
      <c r="M23" s="41" t="s">
        <v>46504</v>
      </c>
      <c r="N23" s="41" t="s">
        <v>46505</v>
      </c>
      <c r="Q23" s="41" t="s">
        <v>46506</v>
      </c>
      <c r="R23" s="41" t="s">
        <v>46387</v>
      </c>
      <c r="S23" s="41" t="s">
        <v>46397</v>
      </c>
    </row>
    <row r="24" spans="1:19" x14ac:dyDescent="0.25">
      <c r="A24" s="41" t="s">
        <v>23</v>
      </c>
      <c r="B24" s="41" t="s">
        <v>46507</v>
      </c>
      <c r="D24" s="41" t="s">
        <v>11270</v>
      </c>
      <c r="E24" s="41" t="s">
        <v>54</v>
      </c>
      <c r="F24" s="41" t="s">
        <v>595</v>
      </c>
      <c r="G24" s="41" t="s">
        <v>46508</v>
      </c>
      <c r="H24" s="41" t="s">
        <v>46509</v>
      </c>
      <c r="I24" s="41" t="s">
        <v>55</v>
      </c>
      <c r="J24" s="41" t="s">
        <v>46510</v>
      </c>
      <c r="K24" s="41" t="s">
        <v>46511</v>
      </c>
      <c r="L24" s="41" t="s">
        <v>46512</v>
      </c>
      <c r="M24" s="41" t="s">
        <v>46513</v>
      </c>
      <c r="N24" s="41" t="s">
        <v>46514</v>
      </c>
      <c r="Q24" s="41" t="s">
        <v>46515</v>
      </c>
      <c r="R24" s="41" t="s">
        <v>46387</v>
      </c>
      <c r="S24" s="41" t="s">
        <v>46397</v>
      </c>
    </row>
    <row r="25" spans="1:19" x14ac:dyDescent="0.25">
      <c r="A25" s="41" t="s">
        <v>23</v>
      </c>
      <c r="B25" s="41" t="s">
        <v>46516</v>
      </c>
      <c r="D25" s="41" t="s">
        <v>14013</v>
      </c>
      <c r="E25" s="41" t="s">
        <v>56</v>
      </c>
      <c r="F25" s="41" t="s">
        <v>596</v>
      </c>
      <c r="G25" s="41" t="s">
        <v>46517</v>
      </c>
      <c r="H25" s="41" t="s">
        <v>46518</v>
      </c>
      <c r="I25" s="41" t="s">
        <v>57</v>
      </c>
      <c r="J25" s="41" t="s">
        <v>46519</v>
      </c>
      <c r="K25" s="41" t="s">
        <v>46520</v>
      </c>
      <c r="L25" s="41" t="s">
        <v>46521</v>
      </c>
      <c r="M25" s="41" t="s">
        <v>46522</v>
      </c>
      <c r="N25" s="41" t="s">
        <v>46523</v>
      </c>
      <c r="Q25" s="41" t="s">
        <v>46524</v>
      </c>
      <c r="R25" s="41" t="s">
        <v>46387</v>
      </c>
      <c r="S25" s="41" t="s">
        <v>46397</v>
      </c>
    </row>
    <row r="26" spans="1:19" x14ac:dyDescent="0.25">
      <c r="A26" s="41" t="s">
        <v>23</v>
      </c>
      <c r="B26" s="41" t="s">
        <v>46525</v>
      </c>
      <c r="D26" s="41" t="s">
        <v>14069</v>
      </c>
      <c r="E26" s="41" t="s">
        <v>58</v>
      </c>
      <c r="F26" s="41" t="s">
        <v>597</v>
      </c>
      <c r="G26" s="41" t="s">
        <v>46526</v>
      </c>
      <c r="H26" s="41" t="s">
        <v>46527</v>
      </c>
      <c r="I26" s="41" t="s">
        <v>59</v>
      </c>
      <c r="J26" s="41" t="s">
        <v>46528</v>
      </c>
      <c r="K26" s="41" t="s">
        <v>46529</v>
      </c>
      <c r="L26" s="41" t="s">
        <v>46530</v>
      </c>
      <c r="M26" s="41" t="s">
        <v>46531</v>
      </c>
      <c r="N26" s="41" t="s">
        <v>46532</v>
      </c>
      <c r="Q26" s="41" t="s">
        <v>46533</v>
      </c>
      <c r="R26" s="41" t="s">
        <v>46387</v>
      </c>
      <c r="S26" s="41" t="s">
        <v>46397</v>
      </c>
    </row>
    <row r="27" spans="1:19" x14ac:dyDescent="0.25">
      <c r="A27" s="41" t="s">
        <v>23</v>
      </c>
      <c r="B27" s="41" t="s">
        <v>46534</v>
      </c>
      <c r="D27" s="41" t="s">
        <v>14125</v>
      </c>
      <c r="E27" s="41" t="s">
        <v>61</v>
      </c>
      <c r="F27" s="41" t="s">
        <v>598</v>
      </c>
      <c r="G27" s="41" t="s">
        <v>46535</v>
      </c>
      <c r="H27" s="41" t="s">
        <v>46536</v>
      </c>
      <c r="I27" s="41" t="s">
        <v>62</v>
      </c>
      <c r="J27" s="41" t="s">
        <v>46537</v>
      </c>
      <c r="K27" s="41" t="s">
        <v>46538</v>
      </c>
      <c r="L27" s="41" t="s">
        <v>46539</v>
      </c>
      <c r="M27" s="41" t="s">
        <v>46540</v>
      </c>
      <c r="N27" s="41" t="s">
        <v>46541</v>
      </c>
      <c r="Q27" s="41" t="s">
        <v>46542</v>
      </c>
      <c r="R27" s="41" t="s">
        <v>46387</v>
      </c>
      <c r="S27" s="41" t="s">
        <v>46397</v>
      </c>
    </row>
    <row r="28" spans="1:19" x14ac:dyDescent="0.25">
      <c r="A28" s="41" t="s">
        <v>23</v>
      </c>
      <c r="B28" s="41" t="s">
        <v>46543</v>
      </c>
      <c r="D28" s="41" t="s">
        <v>44789</v>
      </c>
      <c r="E28" s="41" t="s">
        <v>63</v>
      </c>
      <c r="F28" s="41" t="s">
        <v>599</v>
      </c>
      <c r="G28" s="41" t="s">
        <v>46544</v>
      </c>
      <c r="H28" s="41" t="s">
        <v>46545</v>
      </c>
      <c r="I28" s="41" t="s">
        <v>64</v>
      </c>
      <c r="J28" s="41" t="s">
        <v>46546</v>
      </c>
      <c r="K28" s="41" t="s">
        <v>46547</v>
      </c>
      <c r="L28" s="41" t="s">
        <v>46548</v>
      </c>
      <c r="M28" s="41" t="s">
        <v>46549</v>
      </c>
      <c r="N28" s="41" t="s">
        <v>46550</v>
      </c>
      <c r="Q28" s="41" t="s">
        <v>46551</v>
      </c>
      <c r="R28" s="41" t="s">
        <v>46387</v>
      </c>
      <c r="S28" s="41" t="s">
        <v>46397</v>
      </c>
    </row>
    <row r="29" spans="1:19" x14ac:dyDescent="0.25">
      <c r="A29" s="41" t="s">
        <v>23</v>
      </c>
      <c r="B29" s="41" t="s">
        <v>46552</v>
      </c>
      <c r="D29" s="41" t="s">
        <v>44790</v>
      </c>
      <c r="E29" s="41" t="s">
        <v>65</v>
      </c>
      <c r="F29" s="41" t="s">
        <v>600</v>
      </c>
      <c r="G29" s="41" t="s">
        <v>46553</v>
      </c>
      <c r="H29" s="41" t="s">
        <v>46554</v>
      </c>
      <c r="I29" s="41" t="s">
        <v>66</v>
      </c>
      <c r="J29" s="41" t="s">
        <v>46555</v>
      </c>
      <c r="K29" s="41" t="s">
        <v>46556</v>
      </c>
      <c r="L29" s="41" t="s">
        <v>46557</v>
      </c>
      <c r="M29" s="41" t="s">
        <v>46558</v>
      </c>
      <c r="N29" s="41" t="s">
        <v>46559</v>
      </c>
      <c r="Q29" s="41" t="s">
        <v>46560</v>
      </c>
      <c r="R29" s="41" t="s">
        <v>46387</v>
      </c>
      <c r="S29" s="41" t="s">
        <v>46397</v>
      </c>
    </row>
    <row r="31" spans="1:19" x14ac:dyDescent="0.25">
      <c r="H31" s="41" t="s">
        <v>4</v>
      </c>
      <c r="I31" s="41" t="s">
        <v>46398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Options</vt:lpstr>
      <vt:lpstr>Summary</vt:lpstr>
      <vt:lpstr>-----</vt:lpstr>
      <vt:lpstr>EQP-LAWPACK1</vt:lpstr>
      <vt:lpstr>EQP-LAWPACK2</vt:lpstr>
      <vt:lpstr>SW-COMAS-PACKL</vt:lpstr>
      <vt:lpstr>SW-RISER-PACK</vt:lpstr>
      <vt:lpstr>Dimension</vt:lpstr>
      <vt:lpstr>eqp_code</vt:lpstr>
      <vt:lpstr>ItemNoFilter</vt:lpstr>
      <vt:lpstr>location_code</vt:lpstr>
      <vt:lpstr>'EQP-LAWPACK1'!Print_Titles</vt:lpstr>
      <vt:lpstr>'EQP-LAWPACK2'!Print_Titles</vt:lpstr>
      <vt:lpstr>Summary!Print_Titles</vt:lpstr>
      <vt:lpstr>'SW-COMAS-PACKL'!Print_Titles</vt:lpstr>
      <vt:lpstr>'SW-RISER-PACK'!Print_Titles</vt:lpstr>
      <vt:lpstr>Summary_Items</vt:lpstr>
    </vt:vector>
  </TitlesOfParts>
  <Company>eSoftware Professionals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Hollcraft</dc:creator>
  <cp:lastModifiedBy>Brian Anderson Home</cp:lastModifiedBy>
  <cp:lastPrinted>2024-01-25T16:43:32Z</cp:lastPrinted>
  <dcterms:created xsi:type="dcterms:W3CDTF">2003-01-16T21:40:33Z</dcterms:created>
  <dcterms:modified xsi:type="dcterms:W3CDTF">2024-03-04T14:03:48Z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Drill Button Active">
    <vt:bool>true</vt:bool>
  </property>
  <property fmtid="{D5CDD505-2E9C-101B-9397-08002B2CF9AE}" pid="3" name="Jet Reports Design Mode Active">
    <vt:bool>false</vt:bool>
  </property>
  <property fmtid="{D5CDD505-2E9C-101B-9397-08002B2CF9AE}" pid="4" name="Jet Reports Last Version Refresh">
    <vt:lpwstr>Version 7.1.2  Released 2/6/2009 12:46:57 PM</vt:lpwstr>
  </property>
  <property fmtid="{D5CDD505-2E9C-101B-9397-08002B2CF9AE}" pid="5" name="NeedsREVERT">
    <vt:lpwstr>FALSE</vt:lpwstr>
  </property>
  <property fmtid="{D5CDD505-2E9C-101B-9397-08002B2CF9AE}" pid="6" name="OriginalName">
    <vt:lpwstr>FG Items Setup Checklist -for LAWRENCE.xls</vt:lpwstr>
  </property>
  <property fmtid="{D5CDD505-2E9C-101B-9397-08002B2CF9AE}" pid="7" name="Jet Reports Function Literals">
    <vt:lpwstr>,	;	,	{	}	[@[{0}]]	1033	8192</vt:lpwstr>
  </property>
</Properties>
</file>